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0.95\imr shared ppic\Daily Report\Januari 2023\"/>
    </mc:Choice>
  </mc:AlternateContent>
  <xr:revisionPtr revIDLastSave="0" documentId="8_{8824F9E3-011F-4267-93AA-F79EA2AD01F4}" xr6:coauthVersionLast="47" xr6:coauthVersionMax="47" xr10:uidLastSave="{00000000-0000-0000-0000-000000000000}"/>
  <bookViews>
    <workbookView xWindow="-120" yWindow="-120" windowWidth="20730" windowHeight="11160" xr2:uid="{975F0BF0-2C3E-401F-B900-A0B0035CDAB3}"/>
  </bookViews>
  <sheets>
    <sheet name="31.01.2023" sheetId="1" r:id="rId1"/>
    <sheet name="Data" sheetId="2" r:id="rId2"/>
    <sheet name="Chart" sheetId="3" r:id="rId3"/>
    <sheet name="RM+WIP" sheetId="4" r:id="rId4"/>
    <sheet name=" CPL" sheetId="5" r:id="rId5"/>
    <sheet name=" CLN" sheetId="6" r:id="rId6"/>
    <sheet name="MILL" sheetId="7" r:id="rId7"/>
    <sheet name="MILL 2" sheetId="8" r:id="rId8"/>
    <sheet name="BAL" sheetId="9" r:id="rId9"/>
    <sheet name="BAL 2" sheetId="10" r:id="rId10"/>
    <sheet name="SLT" sheetId="11" r:id="rId11"/>
    <sheet name="SLT 2" sheetId="12" r:id="rId12"/>
    <sheet name="TLL" sheetId="13" r:id="rId13"/>
    <sheet name="CTL" sheetId="14" r:id="rId14"/>
    <sheet name="FG" sheetId="15" r:id="rId15"/>
    <sheet name="FG-KW2 COIL" sheetId="16" r:id="rId16"/>
    <sheet name="FG KW2 SHEETS" sheetId="17" r:id="rId17"/>
    <sheet name="BABY COIL 2B JANUARI" sheetId="18" r:id="rId18"/>
  </sheets>
  <externalReferences>
    <externalReference r:id="rId19"/>
    <externalReference r:id="rId20"/>
  </externalReferences>
  <definedNames>
    <definedName name="_xlnm._FilterDatabase" localSheetId="5" hidden="1">' CLN'!$A$3:$BG$3</definedName>
    <definedName name="_xlnm._FilterDatabase" localSheetId="4" hidden="1">' CPL'!$A$3:$BG$464</definedName>
    <definedName name="_xlnm._FilterDatabase" localSheetId="17" hidden="1">'BABY COIL 2B JANUARI'!$A$4:$BN$186</definedName>
    <definedName name="_xlnm._FilterDatabase" localSheetId="8" hidden="1">BAL!$A$3:$AS$171</definedName>
    <definedName name="_xlnm._FilterDatabase" localSheetId="9" hidden="1">'BAL 2'!$A$3:$AS$3</definedName>
    <definedName name="_xlnm._FilterDatabase" localSheetId="13" hidden="1">CTL!$A$3:$AW$3</definedName>
    <definedName name="_xlnm._FilterDatabase" localSheetId="14" hidden="1">FG!$A$4:$BO$243</definedName>
    <definedName name="_xlnm._FilterDatabase" localSheetId="16" hidden="1">'FG KW2 SHEETS'!$A$4:$BN$33</definedName>
    <definedName name="_xlnm._FilterDatabase" localSheetId="15" hidden="1">'FG-KW2 COIL'!$A$4:$BQ$175</definedName>
    <definedName name="_xlnm._FilterDatabase" localSheetId="6" hidden="1">MILL!$A$3:$AL$100</definedName>
    <definedName name="_xlnm._FilterDatabase" localSheetId="7" hidden="1">'MILL 2'!$A$3:$AL$3</definedName>
    <definedName name="_xlnm._FilterDatabase" localSheetId="3" hidden="1">'RM+WIP'!$A$4:$BX$1224</definedName>
    <definedName name="_xlnm._FilterDatabase" localSheetId="10" hidden="1">SLT!$A$3:$AZ$154</definedName>
    <definedName name="_xlnm._FilterDatabase" localSheetId="11" hidden="1">'SLT 2'!$A$3:$AZ$3</definedName>
    <definedName name="_xlnm._FilterDatabase" localSheetId="12" hidden="1">TLL!$A$3:$AZ$3</definedName>
    <definedName name="_xlnm.Print_Area" localSheetId="5">' CLN'!$C$3:$M$3</definedName>
    <definedName name="_xlnm.Print_Area" localSheetId="4">' CPL'!$C$3:$M$3</definedName>
    <definedName name="_xlnm.Print_Area" localSheetId="0">'31.01.2023'!$A$1:$L$78</definedName>
    <definedName name="_xlnm.Print_Area" localSheetId="17">'BABY COIL 2B JANUARI'!#REF!</definedName>
    <definedName name="_xlnm.Print_Area" localSheetId="2">Chart!$A$1:$AC$86</definedName>
    <definedName name="_xlnm.Print_Area" localSheetId="13">CTL!$C$3:$S$3</definedName>
    <definedName name="_xlnm.Print_Area" localSheetId="14">FG!#REF!</definedName>
    <definedName name="_xlnm.Print_Area" localSheetId="16">'FG KW2 SHEETS'!$G$4:$U$43</definedName>
    <definedName name="_xlnm.Print_Area" localSheetId="15">'FG-KW2 COIL'!$E$74:$Q$77</definedName>
    <definedName name="_xlnm.Print_Area" localSheetId="3">'RM+WIP'!$F$4:$Q$1225</definedName>
    <definedName name="_xlnm.Print_Area" localSheetId="10">SLT!$C$3:$X$3</definedName>
    <definedName name="_xlnm.Print_Area" localSheetId="11">'SLT 2'!$C$3:$X$3</definedName>
    <definedName name="_xlnm.Print_Area" localSheetId="12">TLL!$C$3:$X$3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87" i="18" l="1"/>
  <c r="AT131" i="18"/>
  <c r="AM131" i="18"/>
  <c r="AL131" i="18"/>
  <c r="AK131" i="18"/>
  <c r="AT130" i="18"/>
  <c r="AM130" i="18"/>
  <c r="AL130" i="18"/>
  <c r="AK130" i="18"/>
  <c r="AT129" i="18"/>
  <c r="AM129" i="18"/>
  <c r="AL129" i="18"/>
  <c r="AK129" i="18"/>
  <c r="AT128" i="18"/>
  <c r="AM128" i="18"/>
  <c r="AL128" i="18"/>
  <c r="AK128" i="18"/>
  <c r="AM127" i="18"/>
  <c r="AL127" i="18"/>
  <c r="AK127" i="18"/>
  <c r="AT127" i="18" s="1"/>
  <c r="AT126" i="18"/>
  <c r="AQ126" i="18"/>
  <c r="AM126" i="18"/>
  <c r="AK126" i="18"/>
  <c r="AL126" i="18" s="1"/>
  <c r="AT125" i="18"/>
  <c r="AM125" i="18"/>
  <c r="AK125" i="18"/>
  <c r="AL125" i="18" s="1"/>
  <c r="AT124" i="18"/>
  <c r="AK124" i="18"/>
  <c r="AT123" i="18"/>
  <c r="AM123" i="18"/>
  <c r="AK123" i="18"/>
  <c r="AL123" i="18" s="1"/>
  <c r="AT122" i="18"/>
  <c r="AM122" i="18"/>
  <c r="AK122" i="18"/>
  <c r="AL122" i="18" s="1"/>
  <c r="AT121" i="18"/>
  <c r="AM121" i="18"/>
  <c r="AK121" i="18"/>
  <c r="AL121" i="18" s="1"/>
  <c r="AT120" i="18"/>
  <c r="AQ120" i="18"/>
  <c r="AK120" i="18"/>
  <c r="AT119" i="18"/>
  <c r="AK119" i="18"/>
  <c r="AT118" i="18"/>
  <c r="AK118" i="18"/>
  <c r="AT117" i="18"/>
  <c r="AM117" i="18"/>
  <c r="AK117" i="18"/>
  <c r="AL117" i="18" s="1"/>
  <c r="AT116" i="18"/>
  <c r="AK116" i="18"/>
  <c r="AT115" i="18"/>
  <c r="AM115" i="18"/>
  <c r="AK115" i="18"/>
  <c r="AL115" i="18" s="1"/>
  <c r="AT114" i="18"/>
  <c r="AK114" i="18"/>
  <c r="AT113" i="18"/>
  <c r="AM113" i="18"/>
  <c r="AK113" i="18"/>
  <c r="AL113" i="18" s="1"/>
  <c r="AT112" i="18"/>
  <c r="AM112" i="18"/>
  <c r="AK112" i="18"/>
  <c r="AL112" i="18" s="1"/>
  <c r="AT111" i="18"/>
  <c r="AM111" i="18"/>
  <c r="AK111" i="18"/>
  <c r="AL111" i="18" s="1"/>
  <c r="AT110" i="18"/>
  <c r="AM110" i="18"/>
  <c r="AK110" i="18"/>
  <c r="AL110" i="18" s="1"/>
  <c r="AT109" i="18"/>
  <c r="AK109" i="18"/>
  <c r="AT108" i="18"/>
  <c r="AK108" i="18"/>
  <c r="AT107" i="18"/>
  <c r="AK107" i="18"/>
  <c r="AT106" i="18"/>
  <c r="AK106" i="18"/>
  <c r="AK105" i="18"/>
  <c r="AT104" i="18"/>
  <c r="AM104" i="18"/>
  <c r="AK104" i="18"/>
  <c r="AL104" i="18" s="1"/>
  <c r="AT103" i="18"/>
  <c r="AK103" i="18"/>
  <c r="AT102" i="18"/>
  <c r="AM102" i="18"/>
  <c r="AK102" i="18"/>
  <c r="AL102" i="18" s="1"/>
  <c r="AT101" i="18"/>
  <c r="AM101" i="18"/>
  <c r="AK101" i="18"/>
  <c r="AL101" i="18" s="1"/>
  <c r="AT100" i="18"/>
  <c r="AM100" i="18"/>
  <c r="AK100" i="18"/>
  <c r="AL100" i="18" s="1"/>
  <c r="AT99" i="18"/>
  <c r="AM99" i="18"/>
  <c r="AK99" i="18"/>
  <c r="AL99" i="18" s="1"/>
  <c r="AT98" i="18"/>
  <c r="AK98" i="18"/>
  <c r="AT97" i="18"/>
  <c r="AM97" i="18"/>
  <c r="AK97" i="18"/>
  <c r="AL97" i="18" s="1"/>
  <c r="AT96" i="18"/>
  <c r="AQ96" i="18"/>
  <c r="AK96" i="18"/>
  <c r="AM96" i="18" s="1"/>
  <c r="AT95" i="18"/>
  <c r="AQ95" i="18"/>
  <c r="AM95" i="18"/>
  <c r="AL95" i="18"/>
  <c r="AK95" i="18"/>
  <c r="AT94" i="18"/>
  <c r="AM94" i="18"/>
  <c r="AL94" i="18"/>
  <c r="AK94" i="18"/>
  <c r="AT93" i="18"/>
  <c r="AM93" i="18"/>
  <c r="AL93" i="18"/>
  <c r="AK93" i="18"/>
  <c r="AT92" i="18"/>
  <c r="AM92" i="18"/>
  <c r="AL92" i="18"/>
  <c r="AK92" i="18"/>
  <c r="AT91" i="18"/>
  <c r="AM91" i="18"/>
  <c r="AL91" i="18"/>
  <c r="AK91" i="18"/>
  <c r="AT90" i="18"/>
  <c r="AM90" i="18"/>
  <c r="AL90" i="18"/>
  <c r="AK90" i="18"/>
  <c r="AT89" i="18"/>
  <c r="AM89" i="18"/>
  <c r="AL89" i="18"/>
  <c r="AK89" i="18"/>
  <c r="AT88" i="18"/>
  <c r="AM88" i="18"/>
  <c r="AL88" i="18"/>
  <c r="AK88" i="18"/>
  <c r="AT87" i="18"/>
  <c r="AM87" i="18"/>
  <c r="AL87" i="18"/>
  <c r="AK87" i="18"/>
  <c r="AT86" i="18"/>
  <c r="AM86" i="18"/>
  <c r="AL86" i="18"/>
  <c r="AK86" i="18"/>
  <c r="AT85" i="18"/>
  <c r="AM85" i="18"/>
  <c r="AL85" i="18"/>
  <c r="AK85" i="18"/>
  <c r="AT84" i="18"/>
  <c r="AM84" i="18"/>
  <c r="AL84" i="18"/>
  <c r="AK84" i="18"/>
  <c r="AT83" i="18"/>
  <c r="AM83" i="18"/>
  <c r="AL83" i="18"/>
  <c r="AK83" i="18"/>
  <c r="AT82" i="18"/>
  <c r="AM82" i="18"/>
  <c r="AL82" i="18"/>
  <c r="AK82" i="18"/>
  <c r="AT81" i="18"/>
  <c r="AM81" i="18"/>
  <c r="AL81" i="18"/>
  <c r="AK81" i="18"/>
  <c r="AT80" i="18"/>
  <c r="AQ80" i="18"/>
  <c r="AM80" i="18"/>
  <c r="AK80" i="18"/>
  <c r="AL80" i="18" s="1"/>
  <c r="AT79" i="18"/>
  <c r="AM79" i="18"/>
  <c r="AK79" i="18"/>
  <c r="AL79" i="18" s="1"/>
  <c r="AT78" i="18"/>
  <c r="AM78" i="18"/>
  <c r="AK78" i="18"/>
  <c r="AL78" i="18" s="1"/>
  <c r="AT77" i="18"/>
  <c r="AM77" i="18"/>
  <c r="AK77" i="18"/>
  <c r="AL77" i="18" s="1"/>
  <c r="AT76" i="18"/>
  <c r="AM76" i="18"/>
  <c r="AK76" i="18"/>
  <c r="AL76" i="18" s="1"/>
  <c r="AT75" i="18"/>
  <c r="AM75" i="18"/>
  <c r="AK75" i="18"/>
  <c r="AL75" i="18" s="1"/>
  <c r="AT74" i="18"/>
  <c r="AK74" i="18"/>
  <c r="AT73" i="18"/>
  <c r="AM73" i="18"/>
  <c r="AK73" i="18"/>
  <c r="AL73" i="18" s="1"/>
  <c r="AT72" i="18"/>
  <c r="AM72" i="18"/>
  <c r="AK72" i="18"/>
  <c r="AL72" i="18" s="1"/>
  <c r="AT71" i="18"/>
  <c r="AM71" i="18"/>
  <c r="AK71" i="18"/>
  <c r="AL71" i="18" s="1"/>
  <c r="AT70" i="18"/>
  <c r="AM70" i="18"/>
  <c r="AK70" i="18"/>
  <c r="AL70" i="18" s="1"/>
  <c r="AT69" i="18"/>
  <c r="AM69" i="18"/>
  <c r="AK69" i="18"/>
  <c r="AL69" i="18" s="1"/>
  <c r="AT68" i="18"/>
  <c r="AM68" i="18"/>
  <c r="AK68" i="18"/>
  <c r="AL68" i="18" s="1"/>
  <c r="AT67" i="18"/>
  <c r="AM67" i="18"/>
  <c r="AK67" i="18"/>
  <c r="AL67" i="18" s="1"/>
  <c r="AT66" i="18"/>
  <c r="AM66" i="18"/>
  <c r="AK66" i="18"/>
  <c r="AL66" i="18" s="1"/>
  <c r="AT65" i="18"/>
  <c r="AK65" i="18"/>
  <c r="AL65" i="18" s="1"/>
  <c r="AT64" i="18"/>
  <c r="AK64" i="18"/>
  <c r="AL64" i="18" s="1"/>
  <c r="AT63" i="18"/>
  <c r="AM63" i="18"/>
  <c r="AK63" i="18"/>
  <c r="AL63" i="18" s="1"/>
  <c r="AT62" i="18"/>
  <c r="AK62" i="18"/>
  <c r="AT61" i="18"/>
  <c r="AK61" i="18"/>
  <c r="AL61" i="18" s="1"/>
  <c r="AT60" i="18"/>
  <c r="AK60" i="18"/>
  <c r="AL60" i="18" s="1"/>
  <c r="AT59" i="18"/>
  <c r="AM59" i="18"/>
  <c r="AK59" i="18"/>
  <c r="AL59" i="18" s="1"/>
  <c r="AT58" i="18"/>
  <c r="AM58" i="18"/>
  <c r="AK58" i="18"/>
  <c r="AL58" i="18" s="1"/>
  <c r="AT57" i="18"/>
  <c r="AM57" i="18"/>
  <c r="AK57" i="18"/>
  <c r="AL57" i="18" s="1"/>
  <c r="AT56" i="18"/>
  <c r="AK56" i="18"/>
  <c r="AL56" i="18" s="1"/>
  <c r="AT55" i="18"/>
  <c r="AM55" i="18"/>
  <c r="AK55" i="18"/>
  <c r="AL55" i="18" s="1"/>
  <c r="AT54" i="18"/>
  <c r="AK54" i="18"/>
  <c r="AT53" i="18"/>
  <c r="AM53" i="18"/>
  <c r="AK53" i="18"/>
  <c r="AL53" i="18" s="1"/>
  <c r="AT52" i="18"/>
  <c r="AM52" i="18"/>
  <c r="AK52" i="18"/>
  <c r="AL52" i="18" s="1"/>
  <c r="AT51" i="18"/>
  <c r="AK51" i="18"/>
  <c r="AL51" i="18" s="1"/>
  <c r="AT50" i="18"/>
  <c r="AK50" i="18"/>
  <c r="AT49" i="18"/>
  <c r="AK49" i="18"/>
  <c r="AL49" i="18" s="1"/>
  <c r="AT48" i="18"/>
  <c r="AK48" i="18"/>
  <c r="AL48" i="18" s="1"/>
  <c r="AT47" i="18"/>
  <c r="AM47" i="18"/>
  <c r="AK47" i="18"/>
  <c r="AL47" i="18" s="1"/>
  <c r="AT46" i="18"/>
  <c r="AK46" i="18"/>
  <c r="AT45" i="18"/>
  <c r="AK45" i="18"/>
  <c r="AL45" i="18" s="1"/>
  <c r="AT44" i="18"/>
  <c r="AK44" i="18"/>
  <c r="AL44" i="18" s="1"/>
  <c r="AT43" i="18"/>
  <c r="AM43" i="18"/>
  <c r="AK43" i="18"/>
  <c r="AL43" i="18" s="1"/>
  <c r="AT42" i="18"/>
  <c r="AK42" i="18"/>
  <c r="AT41" i="18"/>
  <c r="AK41" i="18"/>
  <c r="AL41" i="18" s="1"/>
  <c r="AT40" i="18"/>
  <c r="AK40" i="18"/>
  <c r="AL40" i="18" s="1"/>
  <c r="AT39" i="18"/>
  <c r="AK39" i="18"/>
  <c r="AT38" i="18"/>
  <c r="AK38" i="18"/>
  <c r="AT37" i="18"/>
  <c r="AK37" i="18"/>
  <c r="AL37" i="18" s="1"/>
  <c r="AT36" i="18"/>
  <c r="AK36" i="18"/>
  <c r="AL36" i="18" s="1"/>
  <c r="AT35" i="18"/>
  <c r="AK35" i="18"/>
  <c r="AL35" i="18" s="1"/>
  <c r="AT34" i="18"/>
  <c r="AK34" i="18"/>
  <c r="AT33" i="18"/>
  <c r="AK33" i="18"/>
  <c r="AL33" i="18" s="1"/>
  <c r="AT32" i="18"/>
  <c r="AK32" i="18"/>
  <c r="AL32" i="18" s="1"/>
  <c r="AT31" i="18"/>
  <c r="AM31" i="18"/>
  <c r="AK31" i="18"/>
  <c r="AL31" i="18" s="1"/>
  <c r="AT30" i="18"/>
  <c r="AK30" i="18"/>
  <c r="AT29" i="18"/>
  <c r="AK29" i="18"/>
  <c r="AL29" i="18" s="1"/>
  <c r="AT28" i="18"/>
  <c r="AK28" i="18"/>
  <c r="AL28" i="18" s="1"/>
  <c r="AT27" i="18"/>
  <c r="AM27" i="18"/>
  <c r="AK27" i="18"/>
  <c r="AL27" i="18" s="1"/>
  <c r="AT26" i="18"/>
  <c r="AK26" i="18"/>
  <c r="AT25" i="18"/>
  <c r="AK25" i="18"/>
  <c r="AL25" i="18" s="1"/>
  <c r="AT24" i="18"/>
  <c r="AK24" i="18"/>
  <c r="AL24" i="18" s="1"/>
  <c r="AT23" i="18"/>
  <c r="AK23" i="18"/>
  <c r="AT22" i="18"/>
  <c r="AM22" i="18"/>
  <c r="AK22" i="18"/>
  <c r="AL22" i="18" s="1"/>
  <c r="AT21" i="18"/>
  <c r="AK21" i="18"/>
  <c r="AL21" i="18" s="1"/>
  <c r="AT20" i="18"/>
  <c r="AK20" i="18"/>
  <c r="AL20" i="18" s="1"/>
  <c r="AT19" i="18"/>
  <c r="AM19" i="18"/>
  <c r="AK19" i="18"/>
  <c r="AL19" i="18" s="1"/>
  <c r="AT18" i="18"/>
  <c r="AK18" i="18"/>
  <c r="AT17" i="18"/>
  <c r="AK17" i="18"/>
  <c r="AL17" i="18" s="1"/>
  <c r="AT16" i="18"/>
  <c r="AK16" i="18"/>
  <c r="AL16" i="18" s="1"/>
  <c r="AT15" i="18"/>
  <c r="AM15" i="18"/>
  <c r="AK15" i="18"/>
  <c r="AL15" i="18" s="1"/>
  <c r="AT14" i="18"/>
  <c r="AM14" i="18"/>
  <c r="AK14" i="18"/>
  <c r="AL14" i="18" s="1"/>
  <c r="AT13" i="18"/>
  <c r="AK13" i="18"/>
  <c r="AT12" i="18"/>
  <c r="AK12" i="18"/>
  <c r="AT11" i="18"/>
  <c r="AK11" i="18"/>
  <c r="AK10" i="18"/>
  <c r="AM10" i="18" s="1"/>
  <c r="AT9" i="18"/>
  <c r="AK9" i="18"/>
  <c r="AM9" i="18" s="1"/>
  <c r="AT8" i="18"/>
  <c r="AK8" i="18"/>
  <c r="AM8" i="18" s="1"/>
  <c r="AT7" i="18"/>
  <c r="AK7" i="18"/>
  <c r="AM7" i="18" s="1"/>
  <c r="AT6" i="18"/>
  <c r="AQ6" i="18"/>
  <c r="AK6" i="18"/>
  <c r="BF2" i="18"/>
  <c r="BG2" i="18" s="1"/>
  <c r="BH2" i="18" s="1"/>
  <c r="BI2" i="18" s="1"/>
  <c r="F441" i="17"/>
  <c r="C441" i="17"/>
  <c r="D441" i="17" s="1"/>
  <c r="E441" i="17" s="1"/>
  <c r="F440" i="17"/>
  <c r="C440" i="17"/>
  <c r="D440" i="17" s="1"/>
  <c r="E440" i="17" s="1"/>
  <c r="F439" i="17"/>
  <c r="C439" i="17"/>
  <c r="D439" i="17" s="1"/>
  <c r="E439" i="17" s="1"/>
  <c r="F437" i="17"/>
  <c r="C437" i="17"/>
  <c r="D437" i="17" s="1"/>
  <c r="E437" i="17" s="1"/>
  <c r="F436" i="17"/>
  <c r="C436" i="17"/>
  <c r="D436" i="17" s="1"/>
  <c r="E436" i="17" s="1"/>
  <c r="F435" i="17"/>
  <c r="C435" i="17"/>
  <c r="F434" i="17"/>
  <c r="D434" i="17"/>
  <c r="E434" i="17" s="1"/>
  <c r="C434" i="17"/>
  <c r="G434" i="17" s="1"/>
  <c r="F433" i="17"/>
  <c r="E433" i="17"/>
  <c r="C433" i="17"/>
  <c r="D433" i="17" s="1"/>
  <c r="G431" i="17"/>
  <c r="F431" i="17"/>
  <c r="C431" i="17"/>
  <c r="D431" i="17" s="1"/>
  <c r="E431" i="17" s="1"/>
  <c r="F430" i="17"/>
  <c r="D430" i="17"/>
  <c r="E430" i="17" s="1"/>
  <c r="C430" i="17"/>
  <c r="F428" i="17"/>
  <c r="C428" i="17"/>
  <c r="D428" i="17" s="1"/>
  <c r="E428" i="17" s="1"/>
  <c r="F427" i="17"/>
  <c r="C427" i="17"/>
  <c r="D427" i="17" s="1"/>
  <c r="E427" i="17" s="1"/>
  <c r="F426" i="17"/>
  <c r="D426" i="17"/>
  <c r="E426" i="17" s="1"/>
  <c r="C426" i="17"/>
  <c r="F425" i="17"/>
  <c r="E425" i="17"/>
  <c r="C425" i="17"/>
  <c r="D425" i="17" s="1"/>
  <c r="F424" i="17"/>
  <c r="C424" i="17"/>
  <c r="D424" i="17" s="1"/>
  <c r="E424" i="17" s="1"/>
  <c r="G423" i="17"/>
  <c r="F423" i="17"/>
  <c r="C423" i="17"/>
  <c r="D423" i="17" s="1"/>
  <c r="E423" i="17" s="1"/>
  <c r="F422" i="17"/>
  <c r="D422" i="17"/>
  <c r="E422" i="17" s="1"/>
  <c r="C422" i="17"/>
  <c r="F421" i="17"/>
  <c r="C421" i="17"/>
  <c r="D421" i="17" s="1"/>
  <c r="E421" i="17" s="1"/>
  <c r="F420" i="17"/>
  <c r="C420" i="17"/>
  <c r="D420" i="17" s="1"/>
  <c r="E420" i="17" s="1"/>
  <c r="F419" i="17"/>
  <c r="C419" i="17"/>
  <c r="D419" i="17" s="1"/>
  <c r="E419" i="17" s="1"/>
  <c r="F418" i="17"/>
  <c r="D418" i="17"/>
  <c r="E418" i="17" s="1"/>
  <c r="C418" i="17"/>
  <c r="G418" i="17" s="1"/>
  <c r="F416" i="17"/>
  <c r="C416" i="17"/>
  <c r="F415" i="17"/>
  <c r="C415" i="17"/>
  <c r="F414" i="17"/>
  <c r="D414" i="17"/>
  <c r="E414" i="17" s="1"/>
  <c r="C414" i="17"/>
  <c r="F413" i="17"/>
  <c r="C413" i="17"/>
  <c r="D413" i="17" s="1"/>
  <c r="E413" i="17" s="1"/>
  <c r="F412" i="17"/>
  <c r="C412" i="17"/>
  <c r="F130" i="17"/>
  <c r="C130" i="17"/>
  <c r="D130" i="17" s="1"/>
  <c r="E130" i="17" s="1"/>
  <c r="F129" i="17"/>
  <c r="C129" i="17"/>
  <c r="D129" i="17" s="1"/>
  <c r="E129" i="17" s="1"/>
  <c r="G128" i="17"/>
  <c r="F128" i="17"/>
  <c r="C128" i="17"/>
  <c r="D128" i="17" s="1"/>
  <c r="E128" i="17" s="1"/>
  <c r="F126" i="17"/>
  <c r="C126" i="17"/>
  <c r="D126" i="17" s="1"/>
  <c r="E126" i="17" s="1"/>
  <c r="F125" i="17"/>
  <c r="C125" i="17"/>
  <c r="D125" i="17" s="1"/>
  <c r="E125" i="17" s="1"/>
  <c r="G124" i="17"/>
  <c r="F124" i="17"/>
  <c r="C124" i="17"/>
  <c r="D124" i="17" s="1"/>
  <c r="E124" i="17" s="1"/>
  <c r="F123" i="17"/>
  <c r="E123" i="17"/>
  <c r="D123" i="17"/>
  <c r="C123" i="17"/>
  <c r="G123" i="17" s="1"/>
  <c r="F122" i="17"/>
  <c r="E122" i="17"/>
  <c r="C122" i="17"/>
  <c r="D122" i="17" s="1"/>
  <c r="F120" i="17"/>
  <c r="D120" i="17"/>
  <c r="E120" i="17" s="1"/>
  <c r="C120" i="17"/>
  <c r="F119" i="17"/>
  <c r="D119" i="17"/>
  <c r="E119" i="17" s="1"/>
  <c r="C119" i="17"/>
  <c r="F118" i="17"/>
  <c r="C118" i="17"/>
  <c r="D118" i="17" s="1"/>
  <c r="E118" i="17" s="1"/>
  <c r="F117" i="17"/>
  <c r="C117" i="17"/>
  <c r="D117" i="17" s="1"/>
  <c r="E117" i="17" s="1"/>
  <c r="F116" i="17"/>
  <c r="C116" i="17"/>
  <c r="D116" i="17" s="1"/>
  <c r="E116" i="17" s="1"/>
  <c r="F114" i="17"/>
  <c r="C114" i="17"/>
  <c r="D114" i="17" s="1"/>
  <c r="E114" i="17" s="1"/>
  <c r="F113" i="17"/>
  <c r="C113" i="17"/>
  <c r="D113" i="17" s="1"/>
  <c r="E113" i="17" s="1"/>
  <c r="F112" i="17"/>
  <c r="C112" i="17"/>
  <c r="D112" i="17" s="1"/>
  <c r="E112" i="17" s="1"/>
  <c r="F111" i="17"/>
  <c r="D111" i="17"/>
  <c r="E111" i="17" s="1"/>
  <c r="C111" i="17"/>
  <c r="F110" i="17"/>
  <c r="C110" i="17"/>
  <c r="D110" i="17" s="1"/>
  <c r="E110" i="17" s="1"/>
  <c r="F109" i="17"/>
  <c r="G109" i="17" s="1"/>
  <c r="C109" i="17"/>
  <c r="D109" i="17" s="1"/>
  <c r="E109" i="17" s="1"/>
  <c r="F108" i="17"/>
  <c r="D108" i="17"/>
  <c r="E108" i="17" s="1"/>
  <c r="C108" i="17"/>
  <c r="F107" i="17"/>
  <c r="D107" i="17"/>
  <c r="E107" i="17" s="1"/>
  <c r="C107" i="17"/>
  <c r="F106" i="17"/>
  <c r="C106" i="17"/>
  <c r="D106" i="17" s="1"/>
  <c r="E106" i="17" s="1"/>
  <c r="F105" i="17"/>
  <c r="C105" i="17"/>
  <c r="D105" i="17" s="1"/>
  <c r="E105" i="17" s="1"/>
  <c r="F104" i="17"/>
  <c r="C104" i="17"/>
  <c r="D104" i="17" s="1"/>
  <c r="E104" i="17" s="1"/>
  <c r="F103" i="17"/>
  <c r="E103" i="17"/>
  <c r="D103" i="17"/>
  <c r="C103" i="17"/>
  <c r="G103" i="17" s="1"/>
  <c r="F102" i="17"/>
  <c r="E102" i="17"/>
  <c r="C102" i="17"/>
  <c r="D102" i="17" s="1"/>
  <c r="F101" i="17"/>
  <c r="G101" i="17" s="1"/>
  <c r="C101" i="17"/>
  <c r="D101" i="17" s="1"/>
  <c r="E101" i="17" s="1"/>
  <c r="F100" i="17"/>
  <c r="D100" i="17"/>
  <c r="E100" i="17" s="1"/>
  <c r="C100" i="17"/>
  <c r="G100" i="17" s="1"/>
  <c r="F99" i="17"/>
  <c r="D99" i="17"/>
  <c r="E99" i="17" s="1"/>
  <c r="C99" i="17"/>
  <c r="F98" i="17"/>
  <c r="C98" i="17"/>
  <c r="O41" i="17"/>
  <c r="AP37" i="17"/>
  <c r="AN37" i="17"/>
  <c r="D37" i="17"/>
  <c r="AP36" i="17"/>
  <c r="AO36" i="17"/>
  <c r="AN36" i="17"/>
  <c r="AW36" i="17" s="1"/>
  <c r="D36" i="17"/>
  <c r="B36" i="17"/>
  <c r="AN35" i="17"/>
  <c r="D35" i="17"/>
  <c r="AP34" i="17"/>
  <c r="AO34" i="17"/>
  <c r="AN34" i="17"/>
  <c r="AW34" i="17" s="1"/>
  <c r="D34" i="17"/>
  <c r="B34" i="17"/>
  <c r="AO33" i="17"/>
  <c r="AN33" i="17"/>
  <c r="D33" i="17"/>
  <c r="B33" i="17"/>
  <c r="AO32" i="17"/>
  <c r="AN32" i="17"/>
  <c r="D32" i="17"/>
  <c r="B32" i="17"/>
  <c r="AO31" i="17"/>
  <c r="AN31" i="17"/>
  <c r="O31" i="17"/>
  <c r="D31" i="17"/>
  <c r="B31" i="17"/>
  <c r="AO30" i="17"/>
  <c r="AN30" i="17"/>
  <c r="D30" i="17"/>
  <c r="B30" i="17"/>
  <c r="AO29" i="17"/>
  <c r="AN29" i="17"/>
  <c r="D29" i="17"/>
  <c r="B29" i="17"/>
  <c r="AO28" i="17"/>
  <c r="AN28" i="17"/>
  <c r="D28" i="17"/>
  <c r="AO27" i="17"/>
  <c r="AN27" i="17"/>
  <c r="D27" i="17"/>
  <c r="AN26" i="17"/>
  <c r="AO26" i="17" s="1"/>
  <c r="D26" i="17"/>
  <c r="AN25" i="17"/>
  <c r="AO25" i="17" s="1"/>
  <c r="D25" i="17"/>
  <c r="AN24" i="17"/>
  <c r="AO24" i="17" s="1"/>
  <c r="D24" i="17"/>
  <c r="AN23" i="17"/>
  <c r="AO23" i="17" s="1"/>
  <c r="D23" i="17"/>
  <c r="AN22" i="17"/>
  <c r="AO22" i="17" s="1"/>
  <c r="D22" i="17"/>
  <c r="AN21" i="17"/>
  <c r="AO21" i="17" s="1"/>
  <c r="D21" i="17"/>
  <c r="AO20" i="17"/>
  <c r="AN20" i="17"/>
  <c r="D20" i="17"/>
  <c r="AO19" i="17"/>
  <c r="AN19" i="17"/>
  <c r="D19" i="17"/>
  <c r="AN18" i="17"/>
  <c r="AO18" i="17" s="1"/>
  <c r="D18" i="17"/>
  <c r="AN17" i="17"/>
  <c r="AO17" i="17" s="1"/>
  <c r="D17" i="17"/>
  <c r="AN16" i="17"/>
  <c r="AO16" i="17" s="1"/>
  <c r="D16" i="17"/>
  <c r="AN15" i="17"/>
  <c r="AO15" i="17" s="1"/>
  <c r="D15" i="17"/>
  <c r="AN14" i="17"/>
  <c r="AO14" i="17" s="1"/>
  <c r="D14" i="17"/>
  <c r="AN13" i="17"/>
  <c r="AO13" i="17" s="1"/>
  <c r="D13" i="17"/>
  <c r="AN12" i="17"/>
  <c r="D12" i="17"/>
  <c r="AN11" i="17"/>
  <c r="AW11" i="17" s="1"/>
  <c r="D11" i="17"/>
  <c r="AO10" i="17"/>
  <c r="AN10" i="17"/>
  <c r="AW10" i="17" s="1"/>
  <c r="D10" i="17"/>
  <c r="AN9" i="17"/>
  <c r="D9" i="17"/>
  <c r="AN8" i="17"/>
  <c r="D8" i="17"/>
  <c r="AN7" i="17"/>
  <c r="D7" i="17"/>
  <c r="AN6" i="17"/>
  <c r="AO6" i="17" s="1"/>
  <c r="D6" i="17"/>
  <c r="D2" i="17"/>
  <c r="F411" i="16"/>
  <c r="C411" i="16"/>
  <c r="D411" i="16" s="1"/>
  <c r="E411" i="16" s="1"/>
  <c r="F410" i="16"/>
  <c r="C410" i="16"/>
  <c r="D410" i="16" s="1"/>
  <c r="E410" i="16" s="1"/>
  <c r="F409" i="16"/>
  <c r="D409" i="16"/>
  <c r="E409" i="16" s="1"/>
  <c r="C409" i="16"/>
  <c r="G409" i="16" s="1"/>
  <c r="F407" i="16"/>
  <c r="C407" i="16"/>
  <c r="D407" i="16" s="1"/>
  <c r="E407" i="16" s="1"/>
  <c r="F406" i="16"/>
  <c r="C406" i="16"/>
  <c r="F404" i="16"/>
  <c r="C404" i="16"/>
  <c r="D404" i="16" s="1"/>
  <c r="E404" i="16" s="1"/>
  <c r="F403" i="16"/>
  <c r="C403" i="16"/>
  <c r="D403" i="16" s="1"/>
  <c r="E403" i="16" s="1"/>
  <c r="F401" i="16"/>
  <c r="D401" i="16"/>
  <c r="E401" i="16" s="1"/>
  <c r="C401" i="16"/>
  <c r="F398" i="16"/>
  <c r="C398" i="16"/>
  <c r="F395" i="16"/>
  <c r="C395" i="16"/>
  <c r="D395" i="16" s="1"/>
  <c r="E395" i="16" s="1"/>
  <c r="F394" i="16"/>
  <c r="C394" i="16"/>
  <c r="D394" i="16" s="1"/>
  <c r="E394" i="16" s="1"/>
  <c r="F392" i="16"/>
  <c r="C392" i="16"/>
  <c r="D392" i="16" s="1"/>
  <c r="E392" i="16" s="1"/>
  <c r="F391" i="16"/>
  <c r="C391" i="16"/>
  <c r="D391" i="16" s="1"/>
  <c r="E391" i="16" s="1"/>
  <c r="F389" i="16"/>
  <c r="D389" i="16"/>
  <c r="E389" i="16" s="1"/>
  <c r="C389" i="16"/>
  <c r="F388" i="16"/>
  <c r="E388" i="16"/>
  <c r="C388" i="16"/>
  <c r="D388" i="16" s="1"/>
  <c r="F387" i="16"/>
  <c r="C387" i="16"/>
  <c r="D387" i="16" s="1"/>
  <c r="E387" i="16" s="1"/>
  <c r="G386" i="16"/>
  <c r="F386" i="16"/>
  <c r="C386" i="16"/>
  <c r="D386" i="16" s="1"/>
  <c r="E386" i="16" s="1"/>
  <c r="F385" i="16"/>
  <c r="D385" i="16"/>
  <c r="E385" i="16" s="1"/>
  <c r="C385" i="16"/>
  <c r="F383" i="16"/>
  <c r="C383" i="16"/>
  <c r="D383" i="16" s="1"/>
  <c r="E383" i="16" s="1"/>
  <c r="F382" i="16"/>
  <c r="C382" i="16"/>
  <c r="D382" i="16" s="1"/>
  <c r="E382" i="16" s="1"/>
  <c r="F381" i="16"/>
  <c r="D381" i="16"/>
  <c r="E381" i="16" s="1"/>
  <c r="C381" i="16"/>
  <c r="F380" i="16"/>
  <c r="E380" i="16"/>
  <c r="C380" i="16"/>
  <c r="D380" i="16" s="1"/>
  <c r="F379" i="16"/>
  <c r="C379" i="16"/>
  <c r="AK246" i="16"/>
  <c r="AM246" i="16" s="1"/>
  <c r="AT245" i="16"/>
  <c r="AK245" i="16"/>
  <c r="AL245" i="16" s="1"/>
  <c r="AO244" i="16"/>
  <c r="AP244" i="16" s="1"/>
  <c r="AU171" i="16"/>
  <c r="AQ171" i="16"/>
  <c r="AO171" i="16"/>
  <c r="D171" i="16"/>
  <c r="AX170" i="16"/>
  <c r="AQ170" i="16"/>
  <c r="AO170" i="16"/>
  <c r="AP170" i="16" s="1"/>
  <c r="D170" i="16"/>
  <c r="B170" i="16"/>
  <c r="AQ169" i="16"/>
  <c r="AO169" i="16"/>
  <c r="D169" i="16"/>
  <c r="AX168" i="16"/>
  <c r="AO168" i="16"/>
  <c r="D168" i="16"/>
  <c r="AO167" i="16"/>
  <c r="D167" i="16"/>
  <c r="AO166" i="16"/>
  <c r="D166" i="16"/>
  <c r="AX165" i="16"/>
  <c r="AQ165" i="16"/>
  <c r="AO165" i="16"/>
  <c r="B165" i="16" s="1"/>
  <c r="D165" i="16"/>
  <c r="AX164" i="16"/>
  <c r="AQ164" i="16"/>
  <c r="AP164" i="16"/>
  <c r="AO164" i="16"/>
  <c r="D164" i="16"/>
  <c r="B164" i="16"/>
  <c r="AX163" i="16"/>
  <c r="AO163" i="16"/>
  <c r="AQ163" i="16" s="1"/>
  <c r="D163" i="16"/>
  <c r="AX162" i="16"/>
  <c r="AQ162" i="16"/>
  <c r="AO162" i="16"/>
  <c r="AP162" i="16" s="1"/>
  <c r="D162" i="16"/>
  <c r="B162" i="16"/>
  <c r="AO161" i="16"/>
  <c r="D161" i="16"/>
  <c r="AO160" i="16"/>
  <c r="D160" i="16"/>
  <c r="AQ159" i="16"/>
  <c r="AO159" i="16"/>
  <c r="D159" i="16"/>
  <c r="AO158" i="16"/>
  <c r="D158" i="16"/>
  <c r="AX157" i="16"/>
  <c r="AQ157" i="16"/>
  <c r="AO157" i="16"/>
  <c r="AP157" i="16" s="1"/>
  <c r="D157" i="16"/>
  <c r="B157" i="16"/>
  <c r="AO156" i="16"/>
  <c r="D156" i="16"/>
  <c r="AX155" i="16"/>
  <c r="AQ155" i="16"/>
  <c r="AO155" i="16"/>
  <c r="AP155" i="16" s="1"/>
  <c r="D155" i="16"/>
  <c r="B155" i="16"/>
  <c r="AO154" i="16"/>
  <c r="Q154" i="16"/>
  <c r="N154" i="16"/>
  <c r="D154" i="16"/>
  <c r="B154" i="16"/>
  <c r="AO153" i="16"/>
  <c r="AQ153" i="16" s="1"/>
  <c r="D153" i="16"/>
  <c r="AQ152" i="16"/>
  <c r="AO152" i="16"/>
  <c r="AP152" i="16" s="1"/>
  <c r="D152" i="16"/>
  <c r="AO151" i="16"/>
  <c r="D151" i="16"/>
  <c r="AO150" i="16"/>
  <c r="D150" i="16"/>
  <c r="AO149" i="16"/>
  <c r="AQ149" i="16" s="1"/>
  <c r="D149" i="16"/>
  <c r="AQ148" i="16"/>
  <c r="AO148" i="16"/>
  <c r="AX148" i="16" s="1"/>
  <c r="D148" i="16"/>
  <c r="B148" i="16"/>
  <c r="AO147" i="16"/>
  <c r="AQ147" i="16" s="1"/>
  <c r="O147" i="16"/>
  <c r="D147" i="16"/>
  <c r="AX146" i="16"/>
  <c r="AQ146" i="16"/>
  <c r="AO146" i="16"/>
  <c r="AP146" i="16" s="1"/>
  <c r="D146" i="16"/>
  <c r="B146" i="16"/>
  <c r="AO145" i="16"/>
  <c r="D145" i="16"/>
  <c r="AX144" i="16"/>
  <c r="AO144" i="16"/>
  <c r="AP144" i="16" s="1"/>
  <c r="D144" i="16"/>
  <c r="B144" i="16"/>
  <c r="AO143" i="16"/>
  <c r="D143" i="16"/>
  <c r="AO142" i="16"/>
  <c r="AP142" i="16" s="1"/>
  <c r="D142" i="16"/>
  <c r="AO141" i="16"/>
  <c r="AP141" i="16" s="1"/>
  <c r="D141" i="16"/>
  <c r="B141" i="16"/>
  <c r="AO140" i="16"/>
  <c r="D140" i="16"/>
  <c r="AO139" i="16"/>
  <c r="D139" i="16"/>
  <c r="AO138" i="16"/>
  <c r="D138" i="16"/>
  <c r="B138" i="16"/>
  <c r="AO137" i="16"/>
  <c r="D137" i="16"/>
  <c r="AX136" i="16"/>
  <c r="AQ136" i="16"/>
  <c r="AO136" i="16"/>
  <c r="AP136" i="16" s="1"/>
  <c r="D136" i="16"/>
  <c r="B136" i="16"/>
  <c r="AO135" i="16"/>
  <c r="D135" i="16"/>
  <c r="AQ134" i="16"/>
  <c r="AO134" i="16"/>
  <c r="AP134" i="16" s="1"/>
  <c r="D134" i="16"/>
  <c r="AO133" i="16"/>
  <c r="D133" i="16"/>
  <c r="AO132" i="16"/>
  <c r="D132" i="16"/>
  <c r="AO131" i="16"/>
  <c r="D131" i="16"/>
  <c r="AO130" i="16"/>
  <c r="O130" i="16"/>
  <c r="D130" i="16"/>
  <c r="AP129" i="16"/>
  <c r="AO129" i="16"/>
  <c r="AX129" i="16" s="1"/>
  <c r="D129" i="16"/>
  <c r="AX128" i="16"/>
  <c r="AO128" i="16"/>
  <c r="AQ128" i="16" s="1"/>
  <c r="D128" i="16"/>
  <c r="AX127" i="16"/>
  <c r="AQ127" i="16"/>
  <c r="AP127" i="16"/>
  <c r="AO127" i="16"/>
  <c r="D127" i="16"/>
  <c r="B127" i="16"/>
  <c r="AX126" i="16"/>
  <c r="AO126" i="16"/>
  <c r="AQ126" i="16" s="1"/>
  <c r="D126" i="16"/>
  <c r="AX125" i="16"/>
  <c r="AQ125" i="16"/>
  <c r="AO125" i="16"/>
  <c r="AP125" i="16" s="1"/>
  <c r="D125" i="16"/>
  <c r="B125" i="16"/>
  <c r="AO124" i="16"/>
  <c r="D124" i="16"/>
  <c r="AO123" i="16"/>
  <c r="D123" i="16"/>
  <c r="AX122" i="16"/>
  <c r="AO122" i="16"/>
  <c r="AP122" i="16" s="1"/>
  <c r="D122" i="16"/>
  <c r="B122" i="16"/>
  <c r="AO121" i="16"/>
  <c r="AX121" i="16" s="1"/>
  <c r="D121" i="16"/>
  <c r="AQ120" i="16"/>
  <c r="AP120" i="16"/>
  <c r="AO120" i="16"/>
  <c r="AX120" i="16" s="1"/>
  <c r="D120" i="16"/>
  <c r="B120" i="16"/>
  <c r="AX119" i="16"/>
  <c r="AO119" i="16"/>
  <c r="AQ119" i="16" s="1"/>
  <c r="D119" i="16"/>
  <c r="AO118" i="16"/>
  <c r="D118" i="16"/>
  <c r="AO117" i="16"/>
  <c r="D117" i="16"/>
  <c r="B117" i="16"/>
  <c r="AO116" i="16"/>
  <c r="D116" i="16"/>
  <c r="AX115" i="16"/>
  <c r="AQ115" i="16"/>
  <c r="AO115" i="16"/>
  <c r="AP115" i="16" s="1"/>
  <c r="D115" i="16"/>
  <c r="B115" i="16"/>
  <c r="AO114" i="16"/>
  <c r="D114" i="16"/>
  <c r="AQ113" i="16"/>
  <c r="AO113" i="16"/>
  <c r="AP113" i="16" s="1"/>
  <c r="D113" i="16"/>
  <c r="AO112" i="16"/>
  <c r="D112" i="16"/>
  <c r="AO111" i="16"/>
  <c r="D111" i="16"/>
  <c r="AO110" i="16"/>
  <c r="AP110" i="16" s="1"/>
  <c r="O110" i="16"/>
  <c r="D110" i="16"/>
  <c r="AO109" i="16"/>
  <c r="AP109" i="16" s="1"/>
  <c r="O109" i="16"/>
  <c r="D109" i="16"/>
  <c r="AO108" i="16"/>
  <c r="P108" i="16"/>
  <c r="D108" i="16"/>
  <c r="AO107" i="16"/>
  <c r="AX107" i="16" s="1"/>
  <c r="D107" i="16"/>
  <c r="AO106" i="16"/>
  <c r="O106" i="16"/>
  <c r="D106" i="16"/>
  <c r="AX105" i="16"/>
  <c r="AO105" i="16"/>
  <c r="AP105" i="16" s="1"/>
  <c r="O105" i="16"/>
  <c r="D105" i="16"/>
  <c r="AX104" i="16"/>
  <c r="AQ104" i="16"/>
  <c r="AO104" i="16"/>
  <c r="AP104" i="16" s="1"/>
  <c r="D104" i="16"/>
  <c r="B104" i="16"/>
  <c r="AO103" i="16"/>
  <c r="B103" i="16" s="1"/>
  <c r="D103" i="16"/>
  <c r="AX102" i="16"/>
  <c r="AQ102" i="16"/>
  <c r="AO102" i="16"/>
  <c r="AP102" i="16" s="1"/>
  <c r="D102" i="16"/>
  <c r="B102" i="16"/>
  <c r="AO101" i="16"/>
  <c r="AX101" i="16" s="1"/>
  <c r="D101" i="16"/>
  <c r="AX100" i="16"/>
  <c r="AQ100" i="16"/>
  <c r="AP100" i="16"/>
  <c r="AO100" i="16"/>
  <c r="D100" i="16"/>
  <c r="B100" i="16"/>
  <c r="AX99" i="16"/>
  <c r="AQ99" i="16"/>
  <c r="AO99" i="16"/>
  <c r="B99" i="16" s="1"/>
  <c r="D99" i="16"/>
  <c r="AX98" i="16"/>
  <c r="AP98" i="16"/>
  <c r="AO98" i="16"/>
  <c r="D98" i="16"/>
  <c r="AX97" i="16"/>
  <c r="AO97" i="16"/>
  <c r="AQ97" i="16" s="1"/>
  <c r="D97" i="16"/>
  <c r="AO96" i="16"/>
  <c r="D96" i="16"/>
  <c r="AO95" i="16"/>
  <c r="AQ95" i="16" s="1"/>
  <c r="D95" i="16"/>
  <c r="AP94" i="16"/>
  <c r="AO94" i="16"/>
  <c r="D94" i="16"/>
  <c r="AX93" i="16"/>
  <c r="AQ93" i="16"/>
  <c r="AO93" i="16"/>
  <c r="B93" i="16" s="1"/>
  <c r="D93" i="16"/>
  <c r="AQ92" i="16"/>
  <c r="AP92" i="16"/>
  <c r="AO92" i="16"/>
  <c r="AX92" i="16" s="1"/>
  <c r="R92" i="16"/>
  <c r="O92" i="16"/>
  <c r="D92" i="16"/>
  <c r="B92" i="16"/>
  <c r="AO91" i="16"/>
  <c r="R91" i="16"/>
  <c r="O91" i="16"/>
  <c r="D91" i="16"/>
  <c r="B91" i="16"/>
  <c r="AX90" i="16"/>
  <c r="AW90" i="16"/>
  <c r="AU90" i="16"/>
  <c r="AQ90" i="16"/>
  <c r="AO90" i="16"/>
  <c r="B90" i="16" s="1"/>
  <c r="D90" i="16"/>
  <c r="AP89" i="16"/>
  <c r="AO89" i="16"/>
  <c r="AX89" i="16" s="1"/>
  <c r="D89" i="16"/>
  <c r="AX88" i="16"/>
  <c r="AO88" i="16"/>
  <c r="AQ88" i="16" s="1"/>
  <c r="O88" i="16"/>
  <c r="D88" i="16"/>
  <c r="AX87" i="16"/>
  <c r="AW87" i="16"/>
  <c r="AU87" i="16"/>
  <c r="AQ87" i="16"/>
  <c r="AO87" i="16"/>
  <c r="D87" i="16"/>
  <c r="AO86" i="16"/>
  <c r="AX86" i="16" s="1"/>
  <c r="D86" i="16"/>
  <c r="AO85" i="16"/>
  <c r="AQ85" i="16" s="1"/>
  <c r="D85" i="16"/>
  <c r="AP84" i="16"/>
  <c r="AO84" i="16"/>
  <c r="D84" i="16"/>
  <c r="AQ83" i="16"/>
  <c r="AP83" i="16"/>
  <c r="AO83" i="16"/>
  <c r="D83" i="16"/>
  <c r="B83" i="16"/>
  <c r="AO82" i="16"/>
  <c r="AX82" i="16" s="1"/>
  <c r="R82" i="16"/>
  <c r="D82" i="16"/>
  <c r="AX81" i="16"/>
  <c r="AP81" i="16"/>
  <c r="AO81" i="16"/>
  <c r="D81" i="16"/>
  <c r="B81" i="16"/>
  <c r="AX80" i="16"/>
  <c r="AP80" i="16"/>
  <c r="AO80" i="16"/>
  <c r="D80" i="16"/>
  <c r="B80" i="16"/>
  <c r="AO79" i="16"/>
  <c r="D79" i="16"/>
  <c r="AX78" i="16"/>
  <c r="AP78" i="16"/>
  <c r="AO78" i="16"/>
  <c r="D78" i="16"/>
  <c r="B78" i="16"/>
  <c r="AX77" i="16"/>
  <c r="AP77" i="16"/>
  <c r="AO77" i="16"/>
  <c r="D77" i="16"/>
  <c r="B77" i="16"/>
  <c r="AO76" i="16"/>
  <c r="AX76" i="16" s="1"/>
  <c r="O76" i="16"/>
  <c r="D76" i="16"/>
  <c r="AX75" i="16"/>
  <c r="AQ75" i="16"/>
  <c r="AO75" i="16"/>
  <c r="AP75" i="16" s="1"/>
  <c r="D75" i="16"/>
  <c r="B75" i="16"/>
  <c r="AO74" i="16"/>
  <c r="AP74" i="16" s="1"/>
  <c r="D74" i="16"/>
  <c r="AX73" i="16"/>
  <c r="AP73" i="16"/>
  <c r="AO73" i="16"/>
  <c r="AQ73" i="16" s="1"/>
  <c r="O73" i="16"/>
  <c r="D73" i="16"/>
  <c r="B73" i="16"/>
  <c r="AQ72" i="16"/>
  <c r="AP72" i="16"/>
  <c r="AO72" i="16"/>
  <c r="AX72" i="16" s="1"/>
  <c r="O72" i="16"/>
  <c r="D72" i="16"/>
  <c r="B72" i="16"/>
  <c r="AO71" i="16"/>
  <c r="AP71" i="16" s="1"/>
  <c r="D71" i="16"/>
  <c r="AO70" i="16"/>
  <c r="D70" i="16"/>
  <c r="AO69" i="16"/>
  <c r="B69" i="16" s="1"/>
  <c r="D69" i="16"/>
  <c r="AO68" i="16"/>
  <c r="D68" i="16"/>
  <c r="AQ67" i="16"/>
  <c r="AO67" i="16"/>
  <c r="AP67" i="16" s="1"/>
  <c r="D67" i="16"/>
  <c r="AX66" i="16"/>
  <c r="AQ66" i="16"/>
  <c r="AP66" i="16"/>
  <c r="AO66" i="16"/>
  <c r="D66" i="16"/>
  <c r="B66" i="16"/>
  <c r="AX65" i="16"/>
  <c r="AQ65" i="16"/>
  <c r="AO65" i="16"/>
  <c r="D65" i="16"/>
  <c r="AX64" i="16"/>
  <c r="AQ64" i="16"/>
  <c r="AP64" i="16"/>
  <c r="AO64" i="16"/>
  <c r="B64" i="16" s="1"/>
  <c r="D64" i="16"/>
  <c r="AP63" i="16"/>
  <c r="AO63" i="16"/>
  <c r="D63" i="16"/>
  <c r="AQ62" i="16"/>
  <c r="AP62" i="16"/>
  <c r="AO62" i="16"/>
  <c r="AX62" i="16" s="1"/>
  <c r="D62" i="16"/>
  <c r="B62" i="16"/>
  <c r="AP61" i="16"/>
  <c r="AO61" i="16"/>
  <c r="D61" i="16"/>
  <c r="AX60" i="16"/>
  <c r="AQ60" i="16"/>
  <c r="AP60" i="16"/>
  <c r="AO60" i="16"/>
  <c r="O60" i="16"/>
  <c r="D60" i="16"/>
  <c r="B60" i="16"/>
  <c r="AO59" i="16"/>
  <c r="D59" i="16"/>
  <c r="AX58" i="16"/>
  <c r="AO58" i="16"/>
  <c r="O58" i="16"/>
  <c r="D58" i="16"/>
  <c r="AX57" i="16"/>
  <c r="AQ57" i="16"/>
  <c r="AP57" i="16"/>
  <c r="AO57" i="16"/>
  <c r="D57" i="16"/>
  <c r="B57" i="16"/>
  <c r="AO56" i="16"/>
  <c r="D56" i="16"/>
  <c r="AX55" i="16"/>
  <c r="AQ55" i="16"/>
  <c r="AP55" i="16"/>
  <c r="AO55" i="16"/>
  <c r="D55" i="16"/>
  <c r="AO54" i="16"/>
  <c r="D54" i="16"/>
  <c r="AO53" i="16"/>
  <c r="AP53" i="16" s="1"/>
  <c r="D53" i="16"/>
  <c r="AO19" i="16"/>
  <c r="D19" i="16"/>
  <c r="AO18" i="16"/>
  <c r="AX18" i="16" s="1"/>
  <c r="D18" i="16"/>
  <c r="AX17" i="16"/>
  <c r="AQ17" i="16"/>
  <c r="AO17" i="16"/>
  <c r="D17" i="16"/>
  <c r="AO16" i="16"/>
  <c r="D16" i="16"/>
  <c r="AQ15" i="16"/>
  <c r="AO15" i="16"/>
  <c r="O15" i="16"/>
  <c r="D15" i="16"/>
  <c r="AO14" i="16"/>
  <c r="O14" i="16"/>
  <c r="D14" i="16"/>
  <c r="AO13" i="16"/>
  <c r="AX13" i="16" s="1"/>
  <c r="D13" i="16"/>
  <c r="AO12" i="16"/>
  <c r="B12" i="16" s="1"/>
  <c r="D12" i="16"/>
  <c r="AO11" i="16"/>
  <c r="D11" i="16"/>
  <c r="AQ10" i="16"/>
  <c r="AO10" i="16"/>
  <c r="D10" i="16"/>
  <c r="B10" i="16"/>
  <c r="AO9" i="16"/>
  <c r="D9" i="16"/>
  <c r="AO8" i="16"/>
  <c r="B8" i="16" s="1"/>
  <c r="D8" i="16"/>
  <c r="AO7" i="16"/>
  <c r="B7" i="16" s="1"/>
  <c r="D7" i="16"/>
  <c r="BK2" i="16"/>
  <c r="BL2" i="16" s="1"/>
  <c r="BM2" i="16" s="1"/>
  <c r="BN2" i="16" s="1"/>
  <c r="F490" i="15"/>
  <c r="G490" i="15" s="1"/>
  <c r="C490" i="15"/>
  <c r="D490" i="15" s="1"/>
  <c r="E490" i="15" s="1"/>
  <c r="F489" i="15"/>
  <c r="D489" i="15"/>
  <c r="E489" i="15" s="1"/>
  <c r="C489" i="15"/>
  <c r="F488" i="15"/>
  <c r="D488" i="15"/>
  <c r="E488" i="15" s="1"/>
  <c r="C488" i="15"/>
  <c r="F487" i="15"/>
  <c r="D487" i="15"/>
  <c r="E487" i="15" s="1"/>
  <c r="C487" i="15"/>
  <c r="F486" i="15"/>
  <c r="E486" i="15"/>
  <c r="C486" i="15"/>
  <c r="D486" i="15" s="1"/>
  <c r="F484" i="15"/>
  <c r="E484" i="15"/>
  <c r="D484" i="15"/>
  <c r="C484" i="15"/>
  <c r="G484" i="15" s="1"/>
  <c r="F483" i="15"/>
  <c r="E483" i="15"/>
  <c r="D483" i="15"/>
  <c r="C483" i="15"/>
  <c r="F482" i="15"/>
  <c r="G482" i="15" s="1"/>
  <c r="E482" i="15"/>
  <c r="C482" i="15"/>
  <c r="D482" i="15" s="1"/>
  <c r="F481" i="15"/>
  <c r="G481" i="15" s="1"/>
  <c r="D481" i="15"/>
  <c r="E481" i="15" s="1"/>
  <c r="C481" i="15"/>
  <c r="F480" i="15"/>
  <c r="C480" i="15"/>
  <c r="D480" i="15" s="1"/>
  <c r="E480" i="15" s="1"/>
  <c r="F479" i="15"/>
  <c r="C479" i="15"/>
  <c r="F478" i="15"/>
  <c r="C478" i="15"/>
  <c r="F477" i="15"/>
  <c r="D477" i="15"/>
  <c r="E477" i="15" s="1"/>
  <c r="C477" i="15"/>
  <c r="F476" i="15"/>
  <c r="E476" i="15"/>
  <c r="D476" i="15"/>
  <c r="C476" i="15"/>
  <c r="G476" i="15" s="1"/>
  <c r="F475" i="15"/>
  <c r="C475" i="15"/>
  <c r="D475" i="15" s="1"/>
  <c r="E475" i="15" s="1"/>
  <c r="F474" i="15"/>
  <c r="C474" i="15"/>
  <c r="F473" i="15"/>
  <c r="D473" i="15"/>
  <c r="E473" i="15" s="1"/>
  <c r="C473" i="15"/>
  <c r="F472" i="15"/>
  <c r="E472" i="15"/>
  <c r="D472" i="15"/>
  <c r="C472" i="15"/>
  <c r="G472" i="15" s="1"/>
  <c r="F471" i="15"/>
  <c r="C471" i="15"/>
  <c r="D471" i="15" s="1"/>
  <c r="E471" i="15" s="1"/>
  <c r="F470" i="15"/>
  <c r="C470" i="15"/>
  <c r="F469" i="15"/>
  <c r="D469" i="15"/>
  <c r="E469" i="15" s="1"/>
  <c r="C469" i="15"/>
  <c r="F468" i="15"/>
  <c r="E468" i="15"/>
  <c r="D468" i="15"/>
  <c r="C468" i="15"/>
  <c r="G468" i="15" s="1"/>
  <c r="F467" i="15"/>
  <c r="C467" i="15"/>
  <c r="D467" i="15" s="1"/>
  <c r="E467" i="15" s="1"/>
  <c r="F466" i="15"/>
  <c r="C466" i="15"/>
  <c r="F465" i="15"/>
  <c r="D465" i="15"/>
  <c r="E465" i="15" s="1"/>
  <c r="C465" i="15"/>
  <c r="F464" i="15"/>
  <c r="E464" i="15"/>
  <c r="D464" i="15"/>
  <c r="C464" i="15"/>
  <c r="G464" i="15" s="1"/>
  <c r="F463" i="15"/>
  <c r="C463" i="15"/>
  <c r="D463" i="15" s="1"/>
  <c r="E463" i="15" s="1"/>
  <c r="F462" i="15"/>
  <c r="C462" i="15"/>
  <c r="F461" i="15"/>
  <c r="D461" i="15"/>
  <c r="E461" i="15" s="1"/>
  <c r="C461" i="15"/>
  <c r="F460" i="15"/>
  <c r="E460" i="15"/>
  <c r="D460" i="15"/>
  <c r="C460" i="15"/>
  <c r="G460" i="15" s="1"/>
  <c r="F459" i="15"/>
  <c r="C459" i="15"/>
  <c r="D459" i="15" s="1"/>
  <c r="E459" i="15" s="1"/>
  <c r="F458" i="15"/>
  <c r="C458" i="15"/>
  <c r="F457" i="15"/>
  <c r="D457" i="15"/>
  <c r="E457" i="15" s="1"/>
  <c r="C457" i="15"/>
  <c r="F456" i="15"/>
  <c r="E456" i="15"/>
  <c r="D456" i="15"/>
  <c r="C456" i="15"/>
  <c r="G456" i="15" s="1"/>
  <c r="F455" i="15"/>
  <c r="C455" i="15"/>
  <c r="D455" i="15" s="1"/>
  <c r="E455" i="15" s="1"/>
  <c r="F454" i="15"/>
  <c r="C454" i="15"/>
  <c r="F453" i="15"/>
  <c r="D453" i="15"/>
  <c r="E453" i="15" s="1"/>
  <c r="C453" i="15"/>
  <c r="F452" i="15"/>
  <c r="E452" i="15"/>
  <c r="D452" i="15"/>
  <c r="C452" i="15"/>
  <c r="G452" i="15" s="1"/>
  <c r="F451" i="15"/>
  <c r="C451" i="15"/>
  <c r="D451" i="15" s="1"/>
  <c r="E451" i="15" s="1"/>
  <c r="F450" i="15"/>
  <c r="C450" i="15"/>
  <c r="F449" i="15"/>
  <c r="D449" i="15"/>
  <c r="E449" i="15" s="1"/>
  <c r="C449" i="15"/>
  <c r="F448" i="15"/>
  <c r="E448" i="15"/>
  <c r="D448" i="15"/>
  <c r="C448" i="15"/>
  <c r="F447" i="15"/>
  <c r="C447" i="15"/>
  <c r="D447" i="15" s="1"/>
  <c r="E447" i="15" s="1"/>
  <c r="F446" i="15"/>
  <c r="C446" i="15"/>
  <c r="F445" i="15"/>
  <c r="D445" i="15"/>
  <c r="E445" i="15" s="1"/>
  <c r="C445" i="15"/>
  <c r="F444" i="15"/>
  <c r="E444" i="15"/>
  <c r="D444" i="15"/>
  <c r="C444" i="15"/>
  <c r="F443" i="15"/>
  <c r="C443" i="15"/>
  <c r="D443" i="15" s="1"/>
  <c r="E443" i="15" s="1"/>
  <c r="F442" i="15"/>
  <c r="C442" i="15"/>
  <c r="F441" i="15"/>
  <c r="D441" i="15"/>
  <c r="E441" i="15" s="1"/>
  <c r="C441" i="15"/>
  <c r="F440" i="15"/>
  <c r="E440" i="15"/>
  <c r="D440" i="15"/>
  <c r="C440" i="15"/>
  <c r="F439" i="15"/>
  <c r="C439" i="15"/>
  <c r="D439" i="15" s="1"/>
  <c r="E439" i="15" s="1"/>
  <c r="F438" i="15"/>
  <c r="C438" i="15"/>
  <c r="F437" i="15"/>
  <c r="D437" i="15"/>
  <c r="E437" i="15" s="1"/>
  <c r="C437" i="15"/>
  <c r="F436" i="15"/>
  <c r="E436" i="15"/>
  <c r="D436" i="15"/>
  <c r="C436" i="15"/>
  <c r="F435" i="15"/>
  <c r="C435" i="15"/>
  <c r="D435" i="15" s="1"/>
  <c r="E435" i="15" s="1"/>
  <c r="F434" i="15"/>
  <c r="C434" i="15"/>
  <c r="F433" i="15"/>
  <c r="D433" i="15"/>
  <c r="E433" i="15" s="1"/>
  <c r="C433" i="15"/>
  <c r="F432" i="15"/>
  <c r="E432" i="15"/>
  <c r="D432" i="15"/>
  <c r="C432" i="15"/>
  <c r="F431" i="15"/>
  <c r="C431" i="15"/>
  <c r="D431" i="15" s="1"/>
  <c r="E431" i="15" s="1"/>
  <c r="F430" i="15"/>
  <c r="C430" i="15"/>
  <c r="F429" i="15"/>
  <c r="D429" i="15"/>
  <c r="E429" i="15" s="1"/>
  <c r="C429" i="15"/>
  <c r="F428" i="15"/>
  <c r="E428" i="15"/>
  <c r="D428" i="15"/>
  <c r="C428" i="15"/>
  <c r="F427" i="15"/>
  <c r="C427" i="15"/>
  <c r="D427" i="15" s="1"/>
  <c r="E427" i="15" s="1"/>
  <c r="F426" i="15"/>
  <c r="C426" i="15"/>
  <c r="F425" i="15"/>
  <c r="D425" i="15"/>
  <c r="E425" i="15" s="1"/>
  <c r="C425" i="15"/>
  <c r="F424" i="15"/>
  <c r="E424" i="15"/>
  <c r="D424" i="15"/>
  <c r="C424" i="15"/>
  <c r="F423" i="15"/>
  <c r="C423" i="15"/>
  <c r="D423" i="15" s="1"/>
  <c r="E423" i="15" s="1"/>
  <c r="F422" i="15"/>
  <c r="C422" i="15"/>
  <c r="F421" i="15"/>
  <c r="D421" i="15"/>
  <c r="C421" i="15"/>
  <c r="B258" i="15"/>
  <c r="AX242" i="15"/>
  <c r="AP242" i="15"/>
  <c r="AO242" i="15"/>
  <c r="AQ242" i="15" s="1"/>
  <c r="D242" i="15"/>
  <c r="AX241" i="15"/>
  <c r="AQ241" i="15"/>
  <c r="AO241" i="15"/>
  <c r="AP241" i="15" s="1"/>
  <c r="D241" i="15"/>
  <c r="B241" i="15"/>
  <c r="AQ240" i="15"/>
  <c r="AO240" i="15"/>
  <c r="O240" i="15"/>
  <c r="D240" i="15"/>
  <c r="AQ239" i="15"/>
  <c r="AO239" i="15"/>
  <c r="D239" i="15"/>
  <c r="AQ238" i="15"/>
  <c r="AO238" i="15"/>
  <c r="D238" i="15"/>
  <c r="B238" i="15"/>
  <c r="AQ237" i="15"/>
  <c r="AO237" i="15"/>
  <c r="D237" i="15"/>
  <c r="AX236" i="15"/>
  <c r="AQ236" i="15"/>
  <c r="AP236" i="15"/>
  <c r="AO236" i="15"/>
  <c r="D236" i="15"/>
  <c r="AX235" i="15"/>
  <c r="AQ235" i="15"/>
  <c r="AO235" i="15"/>
  <c r="AP235" i="15" s="1"/>
  <c r="D235" i="15"/>
  <c r="B235" i="15"/>
  <c r="AQ234" i="15"/>
  <c r="AO234" i="15"/>
  <c r="D234" i="15"/>
  <c r="AO233" i="15"/>
  <c r="B233" i="15" s="1"/>
  <c r="D233" i="15"/>
  <c r="AQ232" i="15"/>
  <c r="AP232" i="15"/>
  <c r="AO232" i="15"/>
  <c r="AX232" i="15" s="1"/>
  <c r="D232" i="15"/>
  <c r="AQ231" i="15"/>
  <c r="AP231" i="15"/>
  <c r="AO231" i="15"/>
  <c r="AX231" i="15" s="1"/>
  <c r="D231" i="15"/>
  <c r="AQ230" i="15"/>
  <c r="AO230" i="15"/>
  <c r="AP230" i="15" s="1"/>
  <c r="D230" i="15"/>
  <c r="AQ229" i="15"/>
  <c r="AO229" i="15"/>
  <c r="D229" i="15"/>
  <c r="AO228" i="15"/>
  <c r="D228" i="15"/>
  <c r="AQ227" i="15"/>
  <c r="AO227" i="15"/>
  <c r="AP227" i="15" s="1"/>
  <c r="D227" i="15"/>
  <c r="AO226" i="15"/>
  <c r="O226" i="15"/>
  <c r="D226" i="15"/>
  <c r="AX225" i="15"/>
  <c r="AO225" i="15"/>
  <c r="AQ225" i="15" s="1"/>
  <c r="O225" i="15"/>
  <c r="D225" i="15"/>
  <c r="AP224" i="15"/>
  <c r="AO224" i="15"/>
  <c r="AQ224" i="15" s="1"/>
  <c r="O224" i="15"/>
  <c r="D224" i="15"/>
  <c r="B224" i="15"/>
  <c r="AO223" i="15"/>
  <c r="O223" i="15"/>
  <c r="D223" i="15"/>
  <c r="AO222" i="15"/>
  <c r="O222" i="15"/>
  <c r="D222" i="15"/>
  <c r="AO221" i="15"/>
  <c r="O221" i="15"/>
  <c r="D221" i="15"/>
  <c r="AX220" i="15"/>
  <c r="AQ220" i="15"/>
  <c r="AO220" i="15"/>
  <c r="O220" i="15"/>
  <c r="D220" i="15"/>
  <c r="AP219" i="15"/>
  <c r="AO219" i="15"/>
  <c r="AX219" i="15" s="1"/>
  <c r="O219" i="15"/>
  <c r="D219" i="15"/>
  <c r="B219" i="15"/>
  <c r="AX218" i="15"/>
  <c r="AP218" i="15"/>
  <c r="AO218" i="15"/>
  <c r="AQ218" i="15" s="1"/>
  <c r="O218" i="15"/>
  <c r="D218" i="15"/>
  <c r="B218" i="15"/>
  <c r="AO217" i="15"/>
  <c r="O217" i="15"/>
  <c r="D217" i="15"/>
  <c r="AO216" i="15"/>
  <c r="O216" i="15"/>
  <c r="D216" i="15"/>
  <c r="AP215" i="15"/>
  <c r="AO215" i="15"/>
  <c r="AX215" i="15" s="1"/>
  <c r="O215" i="15"/>
  <c r="D215" i="15"/>
  <c r="B215" i="15"/>
  <c r="AO214" i="15"/>
  <c r="O214" i="15"/>
  <c r="D214" i="15"/>
  <c r="AQ213" i="15"/>
  <c r="AO213" i="15"/>
  <c r="AX213" i="15" s="1"/>
  <c r="O213" i="15"/>
  <c r="D213" i="15"/>
  <c r="AO212" i="15"/>
  <c r="O212" i="15"/>
  <c r="D212" i="15"/>
  <c r="AO211" i="15"/>
  <c r="O211" i="15"/>
  <c r="D211" i="15"/>
  <c r="AX210" i="15"/>
  <c r="AP210" i="15"/>
  <c r="AO210" i="15"/>
  <c r="AQ210" i="15" s="1"/>
  <c r="O210" i="15"/>
  <c r="D210" i="15"/>
  <c r="B210" i="15"/>
  <c r="AO209" i="15"/>
  <c r="O209" i="15"/>
  <c r="D209" i="15"/>
  <c r="AP208" i="15"/>
  <c r="AO208" i="15"/>
  <c r="AX208" i="15" s="1"/>
  <c r="O208" i="15"/>
  <c r="D208" i="15"/>
  <c r="B208" i="15"/>
  <c r="AP207" i="15"/>
  <c r="AO207" i="15"/>
  <c r="AX207" i="15" s="1"/>
  <c r="O207" i="15"/>
  <c r="D207" i="15"/>
  <c r="B207" i="15"/>
  <c r="AP206" i="15"/>
  <c r="AO206" i="15"/>
  <c r="O206" i="15"/>
  <c r="D206" i="15"/>
  <c r="B206" i="15"/>
  <c r="AO205" i="15"/>
  <c r="O205" i="15"/>
  <c r="D205" i="15"/>
  <c r="AO204" i="15"/>
  <c r="O204" i="15"/>
  <c r="D204" i="15"/>
  <c r="AO203" i="15"/>
  <c r="O203" i="15"/>
  <c r="D203" i="15"/>
  <c r="AO202" i="15"/>
  <c r="O202" i="15"/>
  <c r="D202" i="15"/>
  <c r="AO201" i="15"/>
  <c r="AX201" i="15" s="1"/>
  <c r="O201" i="15"/>
  <c r="D201" i="15"/>
  <c r="AX200" i="15"/>
  <c r="AP200" i="15"/>
  <c r="AO200" i="15"/>
  <c r="O200" i="15"/>
  <c r="D200" i="15"/>
  <c r="B200" i="15"/>
  <c r="AO199" i="15"/>
  <c r="O199" i="15"/>
  <c r="D199" i="15"/>
  <c r="AX198" i="15"/>
  <c r="AO198" i="15"/>
  <c r="AQ198" i="15" s="1"/>
  <c r="O198" i="15"/>
  <c r="D198" i="15"/>
  <c r="AQ197" i="15"/>
  <c r="AO197" i="15"/>
  <c r="D197" i="15"/>
  <c r="B197" i="15"/>
  <c r="AO196" i="15"/>
  <c r="O196" i="15"/>
  <c r="D196" i="15"/>
  <c r="AO195" i="15"/>
  <c r="O195" i="15"/>
  <c r="D195" i="15"/>
  <c r="AQ194" i="15"/>
  <c r="AO194" i="15"/>
  <c r="O194" i="15"/>
  <c r="D194" i="15"/>
  <c r="AO193" i="15"/>
  <c r="B193" i="15" s="1"/>
  <c r="D193" i="15"/>
  <c r="AO192" i="15"/>
  <c r="D192" i="15"/>
  <c r="AQ191" i="15"/>
  <c r="AO191" i="15"/>
  <c r="O191" i="15"/>
  <c r="D191" i="15"/>
  <c r="AX190" i="15"/>
  <c r="AO190" i="15"/>
  <c r="O190" i="15"/>
  <c r="D190" i="15"/>
  <c r="AX189" i="15"/>
  <c r="AO189" i="15"/>
  <c r="O189" i="15"/>
  <c r="D189" i="15"/>
  <c r="AX188" i="15"/>
  <c r="AP188" i="15"/>
  <c r="AO188" i="15"/>
  <c r="AQ188" i="15" s="1"/>
  <c r="O188" i="15"/>
  <c r="D188" i="15"/>
  <c r="B188" i="15"/>
  <c r="AO187" i="15"/>
  <c r="O187" i="15"/>
  <c r="D187" i="15"/>
  <c r="AO186" i="15"/>
  <c r="O186" i="15"/>
  <c r="D186" i="15"/>
  <c r="AO185" i="15"/>
  <c r="O185" i="15"/>
  <c r="D185" i="15"/>
  <c r="AX184" i="15"/>
  <c r="AP184" i="15"/>
  <c r="AO184" i="15"/>
  <c r="AQ184" i="15" s="1"/>
  <c r="O184" i="15"/>
  <c r="D184" i="15"/>
  <c r="B184" i="15"/>
  <c r="AO183" i="15"/>
  <c r="O183" i="15"/>
  <c r="D183" i="15"/>
  <c r="AO182" i="15"/>
  <c r="O182" i="15"/>
  <c r="D182" i="15"/>
  <c r="AO181" i="15"/>
  <c r="D181" i="15"/>
  <c r="AQ180" i="15"/>
  <c r="AP180" i="15"/>
  <c r="AO180" i="15"/>
  <c r="AX180" i="15" s="1"/>
  <c r="O180" i="15"/>
  <c r="D180" i="15"/>
  <c r="B180" i="15"/>
  <c r="AO179" i="15"/>
  <c r="O179" i="15"/>
  <c r="D179" i="15"/>
  <c r="AO178" i="15"/>
  <c r="D178" i="15"/>
  <c r="AX177" i="15"/>
  <c r="AQ177" i="15"/>
  <c r="AO177" i="15"/>
  <c r="O177" i="15"/>
  <c r="D177" i="15"/>
  <c r="AX176" i="15"/>
  <c r="AQ176" i="15"/>
  <c r="AO176" i="15"/>
  <c r="O176" i="15"/>
  <c r="D176" i="15"/>
  <c r="AX175" i="15"/>
  <c r="AQ175" i="15"/>
  <c r="AO175" i="15"/>
  <c r="O175" i="15"/>
  <c r="D175" i="15"/>
  <c r="AX174" i="15"/>
  <c r="AQ174" i="15"/>
  <c r="AP174" i="15"/>
  <c r="AO174" i="15"/>
  <c r="O174" i="15"/>
  <c r="D174" i="15"/>
  <c r="B174" i="15"/>
  <c r="AX173" i="15"/>
  <c r="AQ173" i="15"/>
  <c r="AO173" i="15"/>
  <c r="O173" i="15"/>
  <c r="D173" i="15"/>
  <c r="AX172" i="15"/>
  <c r="AQ172" i="15"/>
  <c r="AO172" i="15"/>
  <c r="O172" i="15"/>
  <c r="D172" i="15"/>
  <c r="AX171" i="15"/>
  <c r="AQ171" i="15"/>
  <c r="AO171" i="15"/>
  <c r="O171" i="15"/>
  <c r="D171" i="15"/>
  <c r="AX170" i="15"/>
  <c r="AQ170" i="15"/>
  <c r="AP170" i="15"/>
  <c r="AO170" i="15"/>
  <c r="O170" i="15"/>
  <c r="D170" i="15"/>
  <c r="B170" i="15"/>
  <c r="AX169" i="15"/>
  <c r="AQ169" i="15"/>
  <c r="AO169" i="15"/>
  <c r="O169" i="15"/>
  <c r="D169" i="15"/>
  <c r="AX168" i="15"/>
  <c r="AO168" i="15"/>
  <c r="O168" i="15"/>
  <c r="D168" i="15"/>
  <c r="AQ167" i="15"/>
  <c r="AO167" i="15"/>
  <c r="AX167" i="15" s="1"/>
  <c r="O167" i="15"/>
  <c r="D167" i="15"/>
  <c r="AX166" i="15"/>
  <c r="AP166" i="15"/>
  <c r="AO166" i="15"/>
  <c r="AQ166" i="15" s="1"/>
  <c r="O166" i="15"/>
  <c r="D166" i="15"/>
  <c r="B166" i="15"/>
  <c r="AO165" i="15"/>
  <c r="O165" i="15"/>
  <c r="D165" i="15"/>
  <c r="AO164" i="15"/>
  <c r="O164" i="15"/>
  <c r="D164" i="15"/>
  <c r="AQ163" i="15"/>
  <c r="AO163" i="15"/>
  <c r="AX163" i="15" s="1"/>
  <c r="O163" i="15"/>
  <c r="D163" i="15"/>
  <c r="AX162" i="15"/>
  <c r="AQ162" i="15"/>
  <c r="AP162" i="15"/>
  <c r="AO162" i="15"/>
  <c r="O162" i="15"/>
  <c r="D162" i="15"/>
  <c r="B162" i="15"/>
  <c r="AO161" i="15"/>
  <c r="O161" i="15"/>
  <c r="D161" i="15"/>
  <c r="AO160" i="15"/>
  <c r="O160" i="15"/>
  <c r="D160" i="15"/>
  <c r="AQ159" i="15"/>
  <c r="AO159" i="15"/>
  <c r="AX159" i="15" s="1"/>
  <c r="O159" i="15"/>
  <c r="D159" i="15"/>
  <c r="AX158" i="15"/>
  <c r="AP158" i="15"/>
  <c r="AO158" i="15"/>
  <c r="AQ158" i="15" s="1"/>
  <c r="O158" i="15"/>
  <c r="D158" i="15"/>
  <c r="B158" i="15"/>
  <c r="AO157" i="15"/>
  <c r="D157" i="15"/>
  <c r="AO156" i="15"/>
  <c r="O156" i="15"/>
  <c r="D156" i="15"/>
  <c r="AQ155" i="15"/>
  <c r="AO155" i="15"/>
  <c r="D155" i="15"/>
  <c r="B155" i="15"/>
  <c r="AO154" i="15"/>
  <c r="D154" i="15"/>
  <c r="AX153" i="15"/>
  <c r="AQ153" i="15"/>
  <c r="AP153" i="15"/>
  <c r="AO153" i="15"/>
  <c r="D153" i="15"/>
  <c r="B153" i="15"/>
  <c r="AX152" i="15"/>
  <c r="AO152" i="15"/>
  <c r="AP152" i="15" s="1"/>
  <c r="D152" i="15"/>
  <c r="AQ151" i="15"/>
  <c r="AO151" i="15"/>
  <c r="D151" i="15"/>
  <c r="B151" i="15"/>
  <c r="AQ150" i="15"/>
  <c r="AO150" i="15"/>
  <c r="O150" i="15"/>
  <c r="D150" i="15"/>
  <c r="AP149" i="15"/>
  <c r="AO149" i="15"/>
  <c r="D149" i="15"/>
  <c r="B149" i="15"/>
  <c r="AP148" i="15"/>
  <c r="AO148" i="15"/>
  <c r="D148" i="15"/>
  <c r="B148" i="15"/>
  <c r="AQ147" i="15"/>
  <c r="AO147" i="15"/>
  <c r="AP147" i="15" s="1"/>
  <c r="D147" i="15"/>
  <c r="B147" i="15"/>
  <c r="AO146" i="15"/>
  <c r="R146" i="15"/>
  <c r="D146" i="15"/>
  <c r="AP145" i="15"/>
  <c r="AO145" i="15"/>
  <c r="B145" i="15" s="1"/>
  <c r="R145" i="15"/>
  <c r="D145" i="15" s="1"/>
  <c r="AO144" i="15"/>
  <c r="D144" i="15"/>
  <c r="AO143" i="15"/>
  <c r="AP143" i="15" s="1"/>
  <c r="D143" i="15"/>
  <c r="B143" i="15"/>
  <c r="AO142" i="15"/>
  <c r="O142" i="15"/>
  <c r="D142" i="15"/>
  <c r="D141" i="15"/>
  <c r="B141" i="15"/>
  <c r="AO140" i="15"/>
  <c r="D140" i="15"/>
  <c r="AP139" i="15"/>
  <c r="AO139" i="15"/>
  <c r="B139" i="15" s="1"/>
  <c r="D139" i="15"/>
  <c r="AO138" i="15"/>
  <c r="D138" i="15"/>
  <c r="AP137" i="15"/>
  <c r="AO137" i="15"/>
  <c r="B137" i="15" s="1"/>
  <c r="D137" i="15"/>
  <c r="O132" i="15"/>
  <c r="AX131" i="15"/>
  <c r="AQ131" i="15"/>
  <c r="AO131" i="15"/>
  <c r="D131" i="15"/>
  <c r="AX127" i="15"/>
  <c r="AQ127" i="15"/>
  <c r="AO127" i="15"/>
  <c r="AP127" i="15" s="1"/>
  <c r="D127" i="15"/>
  <c r="AX126" i="15"/>
  <c r="AQ126" i="15"/>
  <c r="AP126" i="15"/>
  <c r="AO126" i="15"/>
  <c r="B126" i="15" s="1"/>
  <c r="D126" i="15"/>
  <c r="AX125" i="15"/>
  <c r="AQ125" i="15"/>
  <c r="AP125" i="15"/>
  <c r="AO125" i="15"/>
  <c r="D125" i="15"/>
  <c r="B125" i="15"/>
  <c r="AX124" i="15"/>
  <c r="AQ124" i="15"/>
  <c r="AO124" i="15"/>
  <c r="B124" i="15" s="1"/>
  <c r="D124" i="15"/>
  <c r="AX123" i="15"/>
  <c r="AQ123" i="15"/>
  <c r="AP123" i="15"/>
  <c r="AO123" i="15"/>
  <c r="D123" i="15"/>
  <c r="B123" i="15"/>
  <c r="AX122" i="15"/>
  <c r="AQ122" i="15"/>
  <c r="AO122" i="15"/>
  <c r="D122" i="15"/>
  <c r="AX121" i="15"/>
  <c r="AQ121" i="15"/>
  <c r="AP121" i="15"/>
  <c r="AO121" i="15"/>
  <c r="O121" i="15"/>
  <c r="D121" i="15"/>
  <c r="B121" i="15"/>
  <c r="AX120" i="15"/>
  <c r="AQ120" i="15"/>
  <c r="AO120" i="15"/>
  <c r="AP120" i="15" s="1"/>
  <c r="D120" i="15"/>
  <c r="B120" i="15"/>
  <c r="AX119" i="15"/>
  <c r="AQ119" i="15"/>
  <c r="AO119" i="15"/>
  <c r="D119" i="15"/>
  <c r="AX118" i="15"/>
  <c r="AQ118" i="15"/>
  <c r="AO118" i="15"/>
  <c r="D118" i="15"/>
  <c r="AX117" i="15"/>
  <c r="AQ117" i="15"/>
  <c r="AO117" i="15"/>
  <c r="D117" i="15"/>
  <c r="AX116" i="15"/>
  <c r="AQ116" i="15"/>
  <c r="AO116" i="15"/>
  <c r="D116" i="15"/>
  <c r="AX115" i="15"/>
  <c r="AQ115" i="15"/>
  <c r="AO115" i="15"/>
  <c r="O115" i="15"/>
  <c r="D115" i="15"/>
  <c r="AX114" i="15"/>
  <c r="AQ114" i="15"/>
  <c r="AO114" i="15"/>
  <c r="AP114" i="15" s="1"/>
  <c r="D114" i="15"/>
  <c r="B114" i="15"/>
  <c r="AX113" i="15"/>
  <c r="AQ113" i="15"/>
  <c r="AO113" i="15"/>
  <c r="D113" i="15"/>
  <c r="AX112" i="15"/>
  <c r="AQ112" i="15"/>
  <c r="AP112" i="15"/>
  <c r="AO112" i="15"/>
  <c r="O112" i="15"/>
  <c r="O128" i="15" s="1"/>
  <c r="D112" i="15"/>
  <c r="B112" i="15"/>
  <c r="AQ111" i="15"/>
  <c r="AO111" i="15"/>
  <c r="D111" i="15"/>
  <c r="B111" i="15"/>
  <c r="AQ107" i="15"/>
  <c r="AP107" i="15"/>
  <c r="AO107" i="15"/>
  <c r="D107" i="15"/>
  <c r="AX106" i="15"/>
  <c r="AQ106" i="15"/>
  <c r="AP106" i="15"/>
  <c r="AO106" i="15"/>
  <c r="O106" i="15"/>
  <c r="O108" i="15" s="1"/>
  <c r="D106" i="15"/>
  <c r="B106" i="15"/>
  <c r="O103" i="15"/>
  <c r="AX102" i="15"/>
  <c r="AQ102" i="15"/>
  <c r="AP102" i="15"/>
  <c r="AO102" i="15"/>
  <c r="D102" i="15"/>
  <c r="B102" i="15"/>
  <c r="AQ101" i="15"/>
  <c r="AO101" i="15"/>
  <c r="B101" i="15" s="1"/>
  <c r="D101" i="15"/>
  <c r="AQ100" i="15"/>
  <c r="AO100" i="15"/>
  <c r="AX100" i="15" s="1"/>
  <c r="D100" i="15"/>
  <c r="B100" i="15"/>
  <c r="O97" i="15"/>
  <c r="AQ96" i="15"/>
  <c r="AO96" i="15"/>
  <c r="O96" i="15"/>
  <c r="D96" i="15"/>
  <c r="O93" i="15"/>
  <c r="AX92" i="15"/>
  <c r="AO92" i="15"/>
  <c r="D92" i="15"/>
  <c r="AX91" i="15"/>
  <c r="AO91" i="15"/>
  <c r="D91" i="15"/>
  <c r="AX87" i="15"/>
  <c r="AQ87" i="15"/>
  <c r="AP87" i="15"/>
  <c r="AO87" i="15"/>
  <c r="O87" i="15"/>
  <c r="D87" i="15"/>
  <c r="B87" i="15"/>
  <c r="AQ86" i="15"/>
  <c r="AO86" i="15"/>
  <c r="O86" i="15"/>
  <c r="D86" i="15"/>
  <c r="AX85" i="15"/>
  <c r="AQ85" i="15"/>
  <c r="AO85" i="15"/>
  <c r="D85" i="15"/>
  <c r="AQ84" i="15"/>
  <c r="AO84" i="15"/>
  <c r="O84" i="15"/>
  <c r="D84" i="15"/>
  <c r="AQ83" i="15"/>
  <c r="AO83" i="15"/>
  <c r="B83" i="15" s="1"/>
  <c r="D83" i="15"/>
  <c r="AQ82" i="15"/>
  <c r="AO82" i="15"/>
  <c r="O82" i="15"/>
  <c r="D82" i="15"/>
  <c r="AX81" i="15"/>
  <c r="AQ81" i="15"/>
  <c r="AO81" i="15"/>
  <c r="AP81" i="15" s="1"/>
  <c r="D81" i="15"/>
  <c r="B81" i="15"/>
  <c r="AQ80" i="15"/>
  <c r="AP80" i="15"/>
  <c r="AO80" i="15"/>
  <c r="AX80" i="15" s="1"/>
  <c r="O80" i="15"/>
  <c r="O88" i="15" s="1"/>
  <c r="D80" i="15"/>
  <c r="B80" i="15"/>
  <c r="AQ79" i="15"/>
  <c r="AO79" i="15"/>
  <c r="D79" i="15"/>
  <c r="AQ78" i="15"/>
  <c r="AO78" i="15"/>
  <c r="D78" i="15"/>
  <c r="AX74" i="15"/>
  <c r="AP74" i="15"/>
  <c r="AO74" i="15"/>
  <c r="AQ74" i="15" s="1"/>
  <c r="O74" i="15"/>
  <c r="D74" i="15"/>
  <c r="B74" i="15"/>
  <c r="AQ73" i="15"/>
  <c r="AO73" i="15"/>
  <c r="O73" i="15"/>
  <c r="O75" i="15" s="1"/>
  <c r="D73" i="15"/>
  <c r="O70" i="15"/>
  <c r="AX69" i="15"/>
  <c r="AO69" i="15"/>
  <c r="D69" i="15"/>
  <c r="AX68" i="15"/>
  <c r="AQ68" i="15"/>
  <c r="AO68" i="15"/>
  <c r="D68" i="15"/>
  <c r="AX67" i="15"/>
  <c r="AQ67" i="15"/>
  <c r="AO67" i="15"/>
  <c r="AP67" i="15" s="1"/>
  <c r="D67" i="15"/>
  <c r="AQ66" i="15"/>
  <c r="AO66" i="15"/>
  <c r="B66" i="15" s="1"/>
  <c r="D66" i="15"/>
  <c r="AQ65" i="15"/>
  <c r="AO65" i="15"/>
  <c r="O65" i="15"/>
  <c r="D65" i="15"/>
  <c r="AQ64" i="15"/>
  <c r="AO64" i="15"/>
  <c r="AX64" i="15" s="1"/>
  <c r="D64" i="15"/>
  <c r="B64" i="15"/>
  <c r="AX63" i="15"/>
  <c r="AQ63" i="15"/>
  <c r="AO63" i="15"/>
  <c r="D63" i="15"/>
  <c r="AQ62" i="15"/>
  <c r="AO62" i="15"/>
  <c r="D62" i="15"/>
  <c r="AX61" i="15"/>
  <c r="AQ61" i="15"/>
  <c r="AP61" i="15"/>
  <c r="AO61" i="15"/>
  <c r="B61" i="15" s="1"/>
  <c r="D61" i="15"/>
  <c r="AQ60" i="15"/>
  <c r="AO60" i="15"/>
  <c r="AX60" i="15" s="1"/>
  <c r="O60" i="15"/>
  <c r="D60" i="15"/>
  <c r="AX53" i="15"/>
  <c r="AQ53" i="15"/>
  <c r="AP53" i="15"/>
  <c r="AO53" i="15"/>
  <c r="D53" i="15"/>
  <c r="B53" i="15"/>
  <c r="AX52" i="15"/>
  <c r="AQ52" i="15"/>
  <c r="AP52" i="15"/>
  <c r="AO52" i="15"/>
  <c r="B52" i="15" s="1"/>
  <c r="D52" i="15"/>
  <c r="AP51" i="15"/>
  <c r="AO51" i="15"/>
  <c r="AX51" i="15" s="1"/>
  <c r="D51" i="15"/>
  <c r="AX50" i="15"/>
  <c r="AQ50" i="15"/>
  <c r="AO50" i="15"/>
  <c r="O50" i="15"/>
  <c r="O54" i="15" s="1"/>
  <c r="D50" i="15"/>
  <c r="AX46" i="15"/>
  <c r="AP46" i="15"/>
  <c r="AO46" i="15"/>
  <c r="AQ46" i="15" s="1"/>
  <c r="D46" i="15"/>
  <c r="AX45" i="15"/>
  <c r="AQ45" i="15"/>
  <c r="AP45" i="15"/>
  <c r="AO45" i="15"/>
  <c r="O45" i="15"/>
  <c r="O47" i="15" s="1"/>
  <c r="D45" i="15"/>
  <c r="B45" i="15"/>
  <c r="AO44" i="15"/>
  <c r="AQ44" i="15" s="1"/>
  <c r="D44" i="15"/>
  <c r="AO43" i="15"/>
  <c r="AQ43" i="15" s="1"/>
  <c r="D43" i="15"/>
  <c r="B43" i="15"/>
  <c r="AO42" i="15"/>
  <c r="AQ42" i="15" s="1"/>
  <c r="O42" i="15"/>
  <c r="D42" i="15"/>
  <c r="O39" i="15"/>
  <c r="AQ38" i="15"/>
  <c r="AO38" i="15"/>
  <c r="D38" i="15"/>
  <c r="AP37" i="15"/>
  <c r="AO37" i="15"/>
  <c r="D37" i="15"/>
  <c r="AO36" i="15"/>
  <c r="AP36" i="15" s="1"/>
  <c r="D36" i="15"/>
  <c r="D35" i="15"/>
  <c r="D34" i="15"/>
  <c r="O31" i="15"/>
  <c r="AO30" i="15"/>
  <c r="AP30" i="15" s="1"/>
  <c r="D30" i="15"/>
  <c r="B30" i="15"/>
  <c r="AO29" i="15"/>
  <c r="D29" i="15"/>
  <c r="AO28" i="15"/>
  <c r="D28" i="15"/>
  <c r="AO27" i="15"/>
  <c r="AP27" i="15" s="1"/>
  <c r="D27" i="15"/>
  <c r="B27" i="15"/>
  <c r="AO26" i="15"/>
  <c r="D26" i="15"/>
  <c r="AO25" i="15"/>
  <c r="D25" i="15"/>
  <c r="AO24" i="15"/>
  <c r="D24" i="15"/>
  <c r="AO23" i="15"/>
  <c r="D23" i="15"/>
  <c r="AO22" i="15"/>
  <c r="AP22" i="15" s="1"/>
  <c r="D22" i="15"/>
  <c r="AO21" i="15"/>
  <c r="D21" i="15"/>
  <c r="AO20" i="15"/>
  <c r="D20" i="15"/>
  <c r="AO19" i="15"/>
  <c r="AP19" i="15" s="1"/>
  <c r="D19" i="15"/>
  <c r="B19" i="15"/>
  <c r="AO18" i="15"/>
  <c r="AP18" i="15" s="1"/>
  <c r="D18" i="15"/>
  <c r="B18" i="15"/>
  <c r="AO17" i="15"/>
  <c r="D17" i="15"/>
  <c r="AO16" i="15"/>
  <c r="D16" i="15"/>
  <c r="AO15" i="15"/>
  <c r="D15" i="15"/>
  <c r="AO14" i="15"/>
  <c r="AP14" i="15" s="1"/>
  <c r="D14" i="15"/>
  <c r="B14" i="15"/>
  <c r="AO13" i="15"/>
  <c r="D13" i="15"/>
  <c r="AO12" i="15"/>
  <c r="D12" i="15"/>
  <c r="AO11" i="15"/>
  <c r="AP11" i="15" s="1"/>
  <c r="D11" i="15"/>
  <c r="B11" i="15"/>
  <c r="AO10" i="15"/>
  <c r="AP10" i="15" s="1"/>
  <c r="D10" i="15"/>
  <c r="AO9" i="15"/>
  <c r="D9" i="15"/>
  <c r="AO8" i="15"/>
  <c r="D8" i="15"/>
  <c r="AQ7" i="15"/>
  <c r="AP7" i="15"/>
  <c r="AO7" i="15"/>
  <c r="D7" i="15"/>
  <c r="B7" i="15"/>
  <c r="D2" i="15"/>
  <c r="O6" i="14"/>
  <c r="N6" i="14"/>
  <c r="S6" i="13"/>
  <c r="R6" i="13"/>
  <c r="Q6" i="13"/>
  <c r="O6" i="13"/>
  <c r="N6" i="13"/>
  <c r="S84" i="12"/>
  <c r="R84" i="12"/>
  <c r="Q84" i="12"/>
  <c r="N84" i="12"/>
  <c r="AR81" i="12"/>
  <c r="O81" i="12"/>
  <c r="B81" i="12"/>
  <c r="AT80" i="12"/>
  <c r="AR80" i="12"/>
  <c r="B80" i="12"/>
  <c r="AS79" i="12"/>
  <c r="AR79" i="12"/>
  <c r="AT79" i="12" s="1"/>
  <c r="B79" i="12"/>
  <c r="AR78" i="12"/>
  <c r="N78" i="12"/>
  <c r="B78" i="12"/>
  <c r="AT77" i="12"/>
  <c r="AR77" i="12"/>
  <c r="B77" i="12"/>
  <c r="BA76" i="12"/>
  <c r="AR76" i="12"/>
  <c r="O76" i="12"/>
  <c r="B76" i="12"/>
  <c r="AT75" i="12"/>
  <c r="AR75" i="12"/>
  <c r="B75" i="12"/>
  <c r="AT74" i="12"/>
  <c r="AR74" i="12"/>
  <c r="B74" i="12"/>
  <c r="AT73" i="12"/>
  <c r="AS73" i="12"/>
  <c r="AR73" i="12"/>
  <c r="BA73" i="12" s="1"/>
  <c r="B73" i="12"/>
  <c r="AT72" i="12"/>
  <c r="AR72" i="12"/>
  <c r="B72" i="12"/>
  <c r="AT71" i="12"/>
  <c r="AR71" i="12"/>
  <c r="B71" i="12"/>
  <c r="AT70" i="12"/>
  <c r="AR70" i="12"/>
  <c r="B70" i="12"/>
  <c r="AR69" i="12"/>
  <c r="O69" i="12"/>
  <c r="B69" i="12"/>
  <c r="BA68" i="12"/>
  <c r="AT68" i="12"/>
  <c r="AS68" i="12"/>
  <c r="AR68" i="12"/>
  <c r="B68" i="12"/>
  <c r="AT67" i="12"/>
  <c r="AR67" i="12"/>
  <c r="O67" i="12"/>
  <c r="B67" i="12"/>
  <c r="AT66" i="12"/>
  <c r="AR66" i="12"/>
  <c r="B66" i="12"/>
  <c r="BA65" i="12"/>
  <c r="AT65" i="12"/>
  <c r="AS65" i="12"/>
  <c r="AR65" i="12"/>
  <c r="B65" i="12"/>
  <c r="AR64" i="12"/>
  <c r="AT64" i="12" s="1"/>
  <c r="B64" i="12"/>
  <c r="AS63" i="12"/>
  <c r="AR63" i="12"/>
  <c r="B63" i="12"/>
  <c r="AR62" i="12"/>
  <c r="AT62" i="12" s="1"/>
  <c r="B62" i="12"/>
  <c r="AR61" i="12"/>
  <c r="B61" i="12"/>
  <c r="AT60" i="12"/>
  <c r="AR60" i="12"/>
  <c r="B60" i="12"/>
  <c r="AR59" i="12"/>
  <c r="B59" i="12"/>
  <c r="AR58" i="12"/>
  <c r="B58" i="12"/>
  <c r="BA57" i="12"/>
  <c r="AR57" i="12"/>
  <c r="B57" i="12"/>
  <c r="AR56" i="12"/>
  <c r="B56" i="12"/>
  <c r="BA55" i="12"/>
  <c r="AS55" i="12"/>
  <c r="AR55" i="12"/>
  <c r="AT55" i="12" s="1"/>
  <c r="B55" i="12"/>
  <c r="AR54" i="12"/>
  <c r="B54" i="12"/>
  <c r="AR53" i="12"/>
  <c r="B53" i="12"/>
  <c r="AR52" i="12"/>
  <c r="B52" i="12"/>
  <c r="AR51" i="12"/>
  <c r="B51" i="12"/>
  <c r="AR50" i="12"/>
  <c r="B50" i="12"/>
  <c r="BA49" i="12"/>
  <c r="AR49" i="12"/>
  <c r="AS49" i="12" s="1"/>
  <c r="B49" i="12"/>
  <c r="AT48" i="12"/>
  <c r="AR48" i="12"/>
  <c r="B48" i="12"/>
  <c r="AR47" i="12"/>
  <c r="B47" i="12"/>
  <c r="AR46" i="12"/>
  <c r="AS46" i="12" s="1"/>
  <c r="B46" i="12"/>
  <c r="AR45" i="12"/>
  <c r="B45" i="12"/>
  <c r="AR44" i="12"/>
  <c r="B44" i="12"/>
  <c r="AS43" i="12"/>
  <c r="AR43" i="12"/>
  <c r="B43" i="12"/>
  <c r="AR42" i="12"/>
  <c r="B42" i="12"/>
  <c r="AR41" i="12"/>
  <c r="B41" i="12"/>
  <c r="BA40" i="12"/>
  <c r="AR40" i="12"/>
  <c r="AS40" i="12" s="1"/>
  <c r="B40" i="12"/>
  <c r="AR39" i="12"/>
  <c r="B39" i="12"/>
  <c r="AT38" i="12"/>
  <c r="AR38" i="12"/>
  <c r="BA38" i="12" s="1"/>
  <c r="B38" i="12"/>
  <c r="AR37" i="12"/>
  <c r="B37" i="12"/>
  <c r="AR36" i="12"/>
  <c r="B36" i="12"/>
  <c r="AR35" i="12"/>
  <c r="B35" i="12"/>
  <c r="AR34" i="12"/>
  <c r="B34" i="12"/>
  <c r="BA33" i="12"/>
  <c r="AT33" i="12"/>
  <c r="AS33" i="12"/>
  <c r="AR33" i="12"/>
  <c r="B33" i="12"/>
  <c r="AR32" i="12"/>
  <c r="AT32" i="12" s="1"/>
  <c r="B32" i="12"/>
  <c r="AR31" i="12"/>
  <c r="B31" i="12"/>
  <c r="AS30" i="12"/>
  <c r="AR30" i="12"/>
  <c r="B30" i="12"/>
  <c r="AT29" i="12"/>
  <c r="AR29" i="12"/>
  <c r="B29" i="12"/>
  <c r="AR28" i="12"/>
  <c r="B28" i="12"/>
  <c r="BA27" i="12"/>
  <c r="AR27" i="12"/>
  <c r="B27" i="12"/>
  <c r="AT26" i="12"/>
  <c r="AR26" i="12"/>
  <c r="B26" i="12"/>
  <c r="AS25" i="12"/>
  <c r="AR25" i="12"/>
  <c r="AT25" i="12" s="1"/>
  <c r="B25" i="12"/>
  <c r="AR24" i="12"/>
  <c r="B24" i="12"/>
  <c r="BA23" i="12"/>
  <c r="AR23" i="12"/>
  <c r="AT23" i="12" s="1"/>
  <c r="B23" i="12"/>
  <c r="AT22" i="12"/>
  <c r="AR22" i="12"/>
  <c r="BA22" i="12" s="1"/>
  <c r="B22" i="12"/>
  <c r="BA21" i="12"/>
  <c r="AT21" i="12"/>
  <c r="AS21" i="12"/>
  <c r="AR21" i="12"/>
  <c r="B21" i="12"/>
  <c r="AR20" i="12"/>
  <c r="B20" i="12"/>
  <c r="AR19" i="12"/>
  <c r="B19" i="12"/>
  <c r="AR18" i="12"/>
  <c r="B18" i="12"/>
  <c r="AS17" i="12"/>
  <c r="AR17" i="12"/>
  <c r="B17" i="12"/>
  <c r="AR16" i="12"/>
  <c r="AT16" i="12" s="1"/>
  <c r="B16" i="12"/>
  <c r="AR15" i="12"/>
  <c r="B15" i="12"/>
  <c r="AR14" i="12"/>
  <c r="AS14" i="12" s="1"/>
  <c r="B14" i="12"/>
  <c r="BA13" i="12"/>
  <c r="AT13" i="12"/>
  <c r="AS13" i="12"/>
  <c r="AR13" i="12"/>
  <c r="B13" i="12"/>
  <c r="BA12" i="12"/>
  <c r="AT12" i="12"/>
  <c r="AR12" i="12"/>
  <c r="AS12" i="12" s="1"/>
  <c r="B12" i="12"/>
  <c r="BA11" i="12"/>
  <c r="AS11" i="12"/>
  <c r="AR11" i="12"/>
  <c r="AT11" i="12" s="1"/>
  <c r="B11" i="12"/>
  <c r="AT10" i="12"/>
  <c r="AS10" i="12"/>
  <c r="AR10" i="12"/>
  <c r="BA10" i="12" s="1"/>
  <c r="B10" i="12"/>
  <c r="BA9" i="12"/>
  <c r="AT9" i="12"/>
  <c r="AR9" i="12"/>
  <c r="AS9" i="12" s="1"/>
  <c r="B9" i="12"/>
  <c r="BA8" i="12"/>
  <c r="AR8" i="12"/>
  <c r="AS8" i="12" s="1"/>
  <c r="B8" i="12"/>
  <c r="AR7" i="12"/>
  <c r="BA7" i="12" s="1"/>
  <c r="B7" i="12"/>
  <c r="AR6" i="12"/>
  <c r="B6" i="12"/>
  <c r="BA5" i="12"/>
  <c r="AR5" i="12"/>
  <c r="AT5" i="12" s="1"/>
  <c r="B5" i="12"/>
  <c r="AT4" i="12"/>
  <c r="AR4" i="12"/>
  <c r="B4" i="12"/>
  <c r="S286" i="11"/>
  <c r="R286" i="11"/>
  <c r="BA283" i="11"/>
  <c r="AT283" i="11"/>
  <c r="AR283" i="11"/>
  <c r="AS283" i="11" s="1"/>
  <c r="B283" i="11"/>
  <c r="BA282" i="11"/>
  <c r="AT282" i="11"/>
  <c r="AR282" i="11"/>
  <c r="AS282" i="11" s="1"/>
  <c r="B282" i="11"/>
  <c r="BA281" i="11"/>
  <c r="AR281" i="11"/>
  <c r="B281" i="11"/>
  <c r="BA280" i="11"/>
  <c r="AT280" i="11"/>
  <c r="AR280" i="11"/>
  <c r="AS280" i="11" s="1"/>
  <c r="O280" i="11"/>
  <c r="B280" i="11"/>
  <c r="AT279" i="11"/>
  <c r="AS279" i="11"/>
  <c r="AR279" i="11"/>
  <c r="BA279" i="11" s="1"/>
  <c r="B279" i="11"/>
  <c r="BA278" i="11"/>
  <c r="AT278" i="11"/>
  <c r="AR278" i="11"/>
  <c r="AS278" i="11" s="1"/>
  <c r="B278" i="11"/>
  <c r="BA277" i="11"/>
  <c r="AR277" i="11"/>
  <c r="B277" i="11"/>
  <c r="BA276" i="11"/>
  <c r="AT276" i="11"/>
  <c r="AS276" i="11"/>
  <c r="AR276" i="11"/>
  <c r="B276" i="11"/>
  <c r="BA275" i="11"/>
  <c r="AT275" i="11"/>
  <c r="AS275" i="11"/>
  <c r="AR275" i="11"/>
  <c r="N275" i="11"/>
  <c r="B275" i="11"/>
  <c r="BA274" i="11"/>
  <c r="AT274" i="11"/>
  <c r="AR274" i="11"/>
  <c r="AS274" i="11" s="1"/>
  <c r="B274" i="11"/>
  <c r="AR273" i="11"/>
  <c r="N273" i="11"/>
  <c r="B273" i="11"/>
  <c r="BA272" i="11"/>
  <c r="AX272" i="11"/>
  <c r="AT272" i="11"/>
  <c r="AR272" i="11"/>
  <c r="AS272" i="11" s="1"/>
  <c r="N272" i="11"/>
  <c r="B272" i="11"/>
  <c r="AX271" i="11"/>
  <c r="AT271" i="11"/>
  <c r="AR271" i="11"/>
  <c r="AS271" i="11" s="1"/>
  <c r="B271" i="11"/>
  <c r="AT270" i="11"/>
  <c r="AR270" i="11"/>
  <c r="AS270" i="11" s="1"/>
  <c r="O270" i="11"/>
  <c r="B270" i="11"/>
  <c r="BA269" i="11"/>
  <c r="AT269" i="11"/>
  <c r="AS269" i="11"/>
  <c r="AR269" i="11"/>
  <c r="B269" i="11"/>
  <c r="AX268" i="11"/>
  <c r="AT268" i="11"/>
  <c r="AR268" i="11"/>
  <c r="AS268" i="11" s="1"/>
  <c r="B268" i="11"/>
  <c r="AX267" i="11"/>
  <c r="AT267" i="11"/>
  <c r="AS267" i="11"/>
  <c r="AR267" i="11"/>
  <c r="BA267" i="11" s="1"/>
  <c r="O267" i="11"/>
  <c r="B267" i="11"/>
  <c r="BA266" i="11"/>
  <c r="AR266" i="11"/>
  <c r="B266" i="11"/>
  <c r="AT265" i="11"/>
  <c r="AS265" i="11"/>
  <c r="AR265" i="11"/>
  <c r="BA265" i="11" s="1"/>
  <c r="B265" i="11"/>
  <c r="AT264" i="11"/>
  <c r="AR264" i="11"/>
  <c r="B264" i="11"/>
  <c r="AT263" i="11"/>
  <c r="AR263" i="11"/>
  <c r="B263" i="11"/>
  <c r="AT262" i="11"/>
  <c r="AR262" i="11"/>
  <c r="B262" i="11"/>
  <c r="AT261" i="11"/>
  <c r="AR261" i="11"/>
  <c r="BA261" i="11" s="1"/>
  <c r="B261" i="11"/>
  <c r="BA260" i="11"/>
  <c r="AT260" i="11"/>
  <c r="AR260" i="11"/>
  <c r="AS260" i="11" s="1"/>
  <c r="B260" i="11"/>
  <c r="BA259" i="11"/>
  <c r="AT259" i="11"/>
  <c r="AR259" i="11"/>
  <c r="AS259" i="11" s="1"/>
  <c r="B259" i="11"/>
  <c r="BA258" i="11"/>
  <c r="AT258" i="11"/>
  <c r="AR258" i="11"/>
  <c r="AS258" i="11" s="1"/>
  <c r="B258" i="11"/>
  <c r="AX257" i="11"/>
  <c r="AS257" i="11"/>
  <c r="AR257" i="11"/>
  <c r="B257" i="11"/>
  <c r="AR256" i="11"/>
  <c r="B256" i="11"/>
  <c r="AR255" i="11"/>
  <c r="BA255" i="11" s="1"/>
  <c r="B255" i="11"/>
  <c r="BA254" i="11"/>
  <c r="AR254" i="11"/>
  <c r="B254" i="11"/>
  <c r="BA253" i="11"/>
  <c r="AS253" i="11"/>
  <c r="AR253" i="11"/>
  <c r="AT253" i="11" s="1"/>
  <c r="B253" i="11"/>
  <c r="AT252" i="11"/>
  <c r="AR252" i="11"/>
  <c r="N252" i="11"/>
  <c r="B252" i="11"/>
  <c r="BA251" i="11"/>
  <c r="AS251" i="11"/>
  <c r="AR251" i="11"/>
  <c r="AT251" i="11" s="1"/>
  <c r="O251" i="11"/>
  <c r="B251" i="11"/>
  <c r="BA250" i="11"/>
  <c r="AT250" i="11"/>
  <c r="AR250" i="11"/>
  <c r="AS250" i="11" s="1"/>
  <c r="B250" i="11"/>
  <c r="BA249" i="11"/>
  <c r="AR249" i="11"/>
  <c r="B249" i="11"/>
  <c r="AT248" i="11"/>
  <c r="AS248" i="11"/>
  <c r="AR248" i="11"/>
  <c r="BA248" i="11" s="1"/>
  <c r="O248" i="11"/>
  <c r="B248" i="11"/>
  <c r="BA247" i="11"/>
  <c r="AT247" i="11"/>
  <c r="AR247" i="11"/>
  <c r="AS247" i="11" s="1"/>
  <c r="B247" i="11"/>
  <c r="BA246" i="11"/>
  <c r="AT246" i="11"/>
  <c r="AR246" i="11"/>
  <c r="AS246" i="11" s="1"/>
  <c r="B246" i="11"/>
  <c r="AT245" i="11"/>
  <c r="AR245" i="11"/>
  <c r="BA245" i="11" s="1"/>
  <c r="B245" i="11"/>
  <c r="BA244" i="11"/>
  <c r="AT244" i="11"/>
  <c r="AS244" i="11"/>
  <c r="AR244" i="11"/>
  <c r="B244" i="11"/>
  <c r="BA243" i="11"/>
  <c r="AT243" i="11"/>
  <c r="AR243" i="11"/>
  <c r="AS243" i="11" s="1"/>
  <c r="B243" i="11"/>
  <c r="AR242" i="11"/>
  <c r="B242" i="11"/>
  <c r="AT241" i="11"/>
  <c r="AR241" i="11"/>
  <c r="BA241" i="11" s="1"/>
  <c r="B241" i="11"/>
  <c r="AT240" i="11"/>
  <c r="AS240" i="11"/>
  <c r="AR240" i="11"/>
  <c r="BA240" i="11" s="1"/>
  <c r="B240" i="11"/>
  <c r="AR239" i="11"/>
  <c r="B239" i="11"/>
  <c r="AT238" i="11"/>
  <c r="AR238" i="11"/>
  <c r="B238" i="11"/>
  <c r="AT237" i="11"/>
  <c r="AR237" i="11"/>
  <c r="B237" i="11"/>
  <c r="AT236" i="11"/>
  <c r="AR236" i="11"/>
  <c r="B236" i="11"/>
  <c r="AT235" i="11"/>
  <c r="AR235" i="11"/>
  <c r="AS235" i="11" s="1"/>
  <c r="B235" i="11"/>
  <c r="BA234" i="11"/>
  <c r="AT234" i="11"/>
  <c r="AR234" i="11"/>
  <c r="AS234" i="11" s="1"/>
  <c r="B234" i="11"/>
  <c r="BA233" i="11"/>
  <c r="AT233" i="11"/>
  <c r="AS233" i="11"/>
  <c r="AR233" i="11"/>
  <c r="O233" i="11"/>
  <c r="B233" i="11"/>
  <c r="BA232" i="11"/>
  <c r="AT232" i="11"/>
  <c r="AR232" i="11"/>
  <c r="AS232" i="11" s="1"/>
  <c r="B232" i="11"/>
  <c r="BA231" i="11"/>
  <c r="AR231" i="11"/>
  <c r="B231" i="11"/>
  <c r="AR230" i="11"/>
  <c r="O230" i="11"/>
  <c r="B230" i="11"/>
  <c r="AR229" i="11"/>
  <c r="O229" i="11"/>
  <c r="B229" i="11"/>
  <c r="BA228" i="11"/>
  <c r="AR228" i="11"/>
  <c r="AT228" i="11" s="1"/>
  <c r="O228" i="11"/>
  <c r="B228" i="11"/>
  <c r="BA227" i="11"/>
  <c r="AT227" i="11"/>
  <c r="AR227" i="11"/>
  <c r="AS227" i="11" s="1"/>
  <c r="O227" i="11"/>
  <c r="B227" i="11"/>
  <c r="AS226" i="11"/>
  <c r="AR226" i="11"/>
  <c r="O226" i="11"/>
  <c r="B226" i="11"/>
  <c r="BA225" i="11"/>
  <c r="AT225" i="11"/>
  <c r="AR225" i="11"/>
  <c r="AS225" i="11" s="1"/>
  <c r="B225" i="11"/>
  <c r="BA224" i="11"/>
  <c r="AR224" i="11"/>
  <c r="N224" i="11"/>
  <c r="B224" i="11"/>
  <c r="BA223" i="11"/>
  <c r="AR223" i="11"/>
  <c r="AT223" i="11" s="1"/>
  <c r="B223" i="11"/>
  <c r="BA222" i="11"/>
  <c r="AR222" i="11"/>
  <c r="AS222" i="11" s="1"/>
  <c r="O222" i="11"/>
  <c r="B222" i="11"/>
  <c r="BA221" i="11"/>
  <c r="AT221" i="11"/>
  <c r="AS221" i="11"/>
  <c r="AR221" i="11"/>
  <c r="B221" i="11"/>
  <c r="AT220" i="11"/>
  <c r="AR220" i="11"/>
  <c r="O220" i="11"/>
  <c r="B220" i="11"/>
  <c r="AR219" i="11"/>
  <c r="B219" i="11"/>
  <c r="AT218" i="11"/>
  <c r="AR218" i="11"/>
  <c r="BA218" i="11" s="1"/>
  <c r="O218" i="11"/>
  <c r="B218" i="11"/>
  <c r="BA217" i="11"/>
  <c r="AT217" i="11"/>
  <c r="AR217" i="11"/>
  <c r="AS217" i="11" s="1"/>
  <c r="B217" i="11"/>
  <c r="AR216" i="11"/>
  <c r="O216" i="11"/>
  <c r="B216" i="11"/>
  <c r="BA215" i="11"/>
  <c r="AT215" i="11"/>
  <c r="AS215" i="11"/>
  <c r="AR215" i="11"/>
  <c r="O215" i="11"/>
  <c r="B215" i="11"/>
  <c r="AT214" i="11"/>
  <c r="AR214" i="11"/>
  <c r="B214" i="11"/>
  <c r="AT213" i="11"/>
  <c r="AR213" i="11"/>
  <c r="O213" i="11"/>
  <c r="B213" i="11"/>
  <c r="BA212" i="11"/>
  <c r="AR212" i="11"/>
  <c r="O212" i="11"/>
  <c r="B212" i="11"/>
  <c r="AT211" i="11"/>
  <c r="AR211" i="11"/>
  <c r="B211" i="11"/>
  <c r="BA210" i="11"/>
  <c r="AX210" i="11"/>
  <c r="AT210" i="11"/>
  <c r="AR210" i="11"/>
  <c r="AS210" i="11" s="1"/>
  <c r="O210" i="11"/>
  <c r="B210" i="11"/>
  <c r="AX209" i="11"/>
  <c r="AT209" i="11"/>
  <c r="AR209" i="11"/>
  <c r="O209" i="11"/>
  <c r="B209" i="11"/>
  <c r="AR208" i="11"/>
  <c r="O208" i="11"/>
  <c r="B208" i="11"/>
  <c r="AX207" i="11"/>
  <c r="AR207" i="11"/>
  <c r="N207" i="11"/>
  <c r="B207" i="11"/>
  <c r="BA206" i="11"/>
  <c r="AR206" i="11"/>
  <c r="AT206" i="11" s="1"/>
  <c r="B206" i="11"/>
  <c r="BA205" i="11"/>
  <c r="AS205" i="11"/>
  <c r="AR205" i="11"/>
  <c r="AT205" i="11" s="1"/>
  <c r="B205" i="11"/>
  <c r="BA204" i="11"/>
  <c r="AT204" i="11"/>
  <c r="AR204" i="11"/>
  <c r="AS204" i="11" s="1"/>
  <c r="N204" i="11"/>
  <c r="B204" i="11"/>
  <c r="BA203" i="11"/>
  <c r="AR203" i="11"/>
  <c r="AT203" i="11" s="1"/>
  <c r="B203" i="11"/>
  <c r="BA202" i="11"/>
  <c r="AT202" i="11"/>
  <c r="AS202" i="11"/>
  <c r="AR202" i="11"/>
  <c r="O202" i="11"/>
  <c r="B202" i="11"/>
  <c r="BA201" i="11"/>
  <c r="AT201" i="11"/>
  <c r="AR201" i="11"/>
  <c r="AS201" i="11" s="1"/>
  <c r="B201" i="11"/>
  <c r="AT200" i="11"/>
  <c r="AR200" i="11"/>
  <c r="BA200" i="11" s="1"/>
  <c r="B200" i="11"/>
  <c r="AT199" i="11"/>
  <c r="AR199" i="11"/>
  <c r="B199" i="11"/>
  <c r="AT198" i="11"/>
  <c r="AR198" i="11"/>
  <c r="B198" i="11"/>
  <c r="AT197" i="11"/>
  <c r="AR197" i="11"/>
  <c r="B197" i="11"/>
  <c r="AT196" i="11"/>
  <c r="AR196" i="11"/>
  <c r="B196" i="11"/>
  <c r="BA195" i="11"/>
  <c r="AS195" i="11"/>
  <c r="AR195" i="11"/>
  <c r="AT195" i="11" s="1"/>
  <c r="O195" i="11"/>
  <c r="B195" i="11"/>
  <c r="AT194" i="11"/>
  <c r="AR194" i="11"/>
  <c r="AS194" i="11" s="1"/>
  <c r="B194" i="11"/>
  <c r="AT193" i="11"/>
  <c r="AS193" i="11"/>
  <c r="AR193" i="11"/>
  <c r="BA193" i="11" s="1"/>
  <c r="B193" i="11"/>
  <c r="AT192" i="11"/>
  <c r="AS192" i="11"/>
  <c r="AR192" i="11"/>
  <c r="BA192" i="11" s="1"/>
  <c r="B192" i="11"/>
  <c r="AR191" i="11"/>
  <c r="B191" i="11"/>
  <c r="AT190" i="11"/>
  <c r="AR190" i="11"/>
  <c r="O190" i="11"/>
  <c r="B190" i="11"/>
  <c r="AR189" i="11"/>
  <c r="O189" i="11"/>
  <c r="B189" i="11"/>
  <c r="AT188" i="11"/>
  <c r="AR188" i="11"/>
  <c r="AS188" i="11" s="1"/>
  <c r="B188" i="11"/>
  <c r="AT187" i="11"/>
  <c r="AR187" i="11"/>
  <c r="O187" i="11"/>
  <c r="B187" i="11"/>
  <c r="AT186" i="11"/>
  <c r="AR186" i="11"/>
  <c r="B186" i="11"/>
  <c r="AT185" i="11"/>
  <c r="AR185" i="11"/>
  <c r="B185" i="11"/>
  <c r="AT184" i="11"/>
  <c r="AR184" i="11"/>
  <c r="BA184" i="11" s="1"/>
  <c r="B184" i="11"/>
  <c r="AT183" i="11"/>
  <c r="AR183" i="11"/>
  <c r="AS183" i="11" s="1"/>
  <c r="B183" i="11"/>
  <c r="AT182" i="11"/>
  <c r="AR182" i="11"/>
  <c r="B182" i="11"/>
  <c r="AT181" i="11"/>
  <c r="AR181" i="11"/>
  <c r="B181" i="11"/>
  <c r="AT180" i="11"/>
  <c r="AS180" i="11"/>
  <c r="AR180" i="11"/>
  <c r="BA180" i="11" s="1"/>
  <c r="B180" i="11"/>
  <c r="AT179" i="11"/>
  <c r="AS179" i="11"/>
  <c r="AR179" i="11"/>
  <c r="BA179" i="11" s="1"/>
  <c r="O179" i="11"/>
  <c r="B179" i="11"/>
  <c r="AT178" i="11"/>
  <c r="AR178" i="11"/>
  <c r="AS178" i="11" s="1"/>
  <c r="B178" i="11"/>
  <c r="AR177" i="11"/>
  <c r="O177" i="11"/>
  <c r="B177" i="11"/>
  <c r="AR176" i="11"/>
  <c r="B176" i="11"/>
  <c r="AR175" i="11"/>
  <c r="B175" i="11"/>
  <c r="AS174" i="11"/>
  <c r="AR174" i="11"/>
  <c r="O174" i="11"/>
  <c r="B174" i="11"/>
  <c r="BA173" i="11"/>
  <c r="AT173" i="11"/>
  <c r="AR173" i="11"/>
  <c r="AS173" i="11" s="1"/>
  <c r="B173" i="11"/>
  <c r="AT172" i="11"/>
  <c r="AR172" i="11"/>
  <c r="AS172" i="11" s="1"/>
  <c r="N172" i="11"/>
  <c r="B172" i="11"/>
  <c r="BA171" i="11"/>
  <c r="AT171" i="11"/>
  <c r="AR171" i="11"/>
  <c r="AS171" i="11" s="1"/>
  <c r="N171" i="11"/>
  <c r="B171" i="11"/>
  <c r="AT170" i="11"/>
  <c r="AR170" i="11"/>
  <c r="B170" i="11"/>
  <c r="AT169" i="11"/>
  <c r="AR169" i="11"/>
  <c r="B169" i="11"/>
  <c r="AT168" i="11"/>
  <c r="AR168" i="11"/>
  <c r="B168" i="11"/>
  <c r="AT167" i="11"/>
  <c r="AR167" i="11"/>
  <c r="Q167" i="11"/>
  <c r="B167" i="11"/>
  <c r="AR166" i="11"/>
  <c r="B166" i="11"/>
  <c r="AR165" i="11"/>
  <c r="B165" i="11"/>
  <c r="AT164" i="11"/>
  <c r="AR164" i="11"/>
  <c r="B164" i="11"/>
  <c r="AT163" i="11"/>
  <c r="AR163" i="11"/>
  <c r="AS163" i="11" s="1"/>
  <c r="B163" i="11"/>
  <c r="AT162" i="11"/>
  <c r="AR162" i="11"/>
  <c r="B162" i="11"/>
  <c r="AT161" i="11"/>
  <c r="AR161" i="11"/>
  <c r="B161" i="11"/>
  <c r="AT160" i="11"/>
  <c r="AR160" i="11"/>
  <c r="B160" i="11"/>
  <c r="AT159" i="11"/>
  <c r="AR159" i="11"/>
  <c r="B159" i="11"/>
  <c r="AT158" i="11"/>
  <c r="AR158" i="11"/>
  <c r="BA158" i="11" s="1"/>
  <c r="B158" i="11"/>
  <c r="AT157" i="11"/>
  <c r="AS157" i="11"/>
  <c r="AR157" i="11"/>
  <c r="BA157" i="11" s="1"/>
  <c r="B157" i="11"/>
  <c r="BA156" i="11"/>
  <c r="AT156" i="11"/>
  <c r="AR156" i="11"/>
  <c r="AS156" i="11" s="1"/>
  <c r="B156" i="11"/>
  <c r="AR155" i="11"/>
  <c r="O155" i="11"/>
  <c r="B155" i="11"/>
  <c r="AT154" i="11"/>
  <c r="AR154" i="11"/>
  <c r="O154" i="11"/>
  <c r="B154" i="11"/>
  <c r="AT153" i="11"/>
  <c r="AR153" i="11"/>
  <c r="AS153" i="11" s="1"/>
  <c r="O153" i="11"/>
  <c r="B153" i="11"/>
  <c r="BA152" i="11"/>
  <c r="AT152" i="11"/>
  <c r="AR152" i="11"/>
  <c r="AS152" i="11" s="1"/>
  <c r="N152" i="11"/>
  <c r="B152" i="11"/>
  <c r="BA151" i="11"/>
  <c r="AT151" i="11"/>
  <c r="AR151" i="11"/>
  <c r="AS151" i="11" s="1"/>
  <c r="B151" i="11"/>
  <c r="AT150" i="11"/>
  <c r="AR150" i="11"/>
  <c r="O150" i="11"/>
  <c r="B150" i="11"/>
  <c r="BA149" i="11"/>
  <c r="AR149" i="11"/>
  <c r="N149" i="11"/>
  <c r="B149" i="11"/>
  <c r="BA148" i="11"/>
  <c r="AR148" i="11"/>
  <c r="AT148" i="11" s="1"/>
  <c r="B148" i="11"/>
  <c r="BA147" i="11"/>
  <c r="AT147" i="11"/>
  <c r="AR147" i="11"/>
  <c r="AS147" i="11" s="1"/>
  <c r="O147" i="11"/>
  <c r="B147" i="11"/>
  <c r="BA146" i="11"/>
  <c r="AR146" i="11"/>
  <c r="B146" i="11"/>
  <c r="BA145" i="11"/>
  <c r="AR145" i="11"/>
  <c r="B145" i="11"/>
  <c r="BA144" i="11"/>
  <c r="AT144" i="11"/>
  <c r="AS144" i="11"/>
  <c r="AR144" i="11"/>
  <c r="Q144" i="11"/>
  <c r="B144" i="11"/>
  <c r="AR143" i="11"/>
  <c r="Q143" i="11"/>
  <c r="O143" i="11"/>
  <c r="B143" i="11"/>
  <c r="BA142" i="11"/>
  <c r="AR142" i="11"/>
  <c r="O142" i="11"/>
  <c r="B142" i="11"/>
  <c r="BA141" i="11"/>
  <c r="AS141" i="11"/>
  <c r="AR141" i="11"/>
  <c r="AT141" i="11" s="1"/>
  <c r="O141" i="11"/>
  <c r="B141" i="11"/>
  <c r="BA140" i="11"/>
  <c r="AR140" i="11"/>
  <c r="O140" i="11"/>
  <c r="B140" i="11"/>
  <c r="BA139" i="11"/>
  <c r="AS139" i="11"/>
  <c r="AR139" i="11"/>
  <c r="AT139" i="11" s="1"/>
  <c r="O139" i="11"/>
  <c r="B139" i="11"/>
  <c r="BA138" i="11"/>
  <c r="AT138" i="11"/>
  <c r="AR138" i="11"/>
  <c r="AS138" i="11" s="1"/>
  <c r="O138" i="11"/>
  <c r="B138" i="11"/>
  <c r="BA137" i="11"/>
  <c r="AT137" i="11"/>
  <c r="AR137" i="11"/>
  <c r="AS137" i="11" s="1"/>
  <c r="O137" i="11"/>
  <c r="B137" i="11"/>
  <c r="BA136" i="11"/>
  <c r="AR136" i="11"/>
  <c r="O136" i="11"/>
  <c r="B136" i="11"/>
  <c r="BA135" i="11"/>
  <c r="AR135" i="11"/>
  <c r="AT135" i="11" s="1"/>
  <c r="O135" i="11"/>
  <c r="B135" i="11"/>
  <c r="BA134" i="11"/>
  <c r="AT134" i="11"/>
  <c r="AR134" i="11"/>
  <c r="AS134" i="11" s="1"/>
  <c r="O134" i="11"/>
  <c r="B134" i="11"/>
  <c r="BA133" i="11"/>
  <c r="AR133" i="11"/>
  <c r="B133" i="11"/>
  <c r="BA132" i="11"/>
  <c r="AR132" i="11"/>
  <c r="B132" i="11"/>
  <c r="BA131" i="11"/>
  <c r="AR131" i="11"/>
  <c r="O131" i="11"/>
  <c r="B131" i="11"/>
  <c r="BA130" i="11"/>
  <c r="AR130" i="11"/>
  <c r="AT130" i="11" s="1"/>
  <c r="O130" i="11"/>
  <c r="B130" i="11"/>
  <c r="BA129" i="11"/>
  <c r="AR129" i="11"/>
  <c r="O129" i="11"/>
  <c r="B129" i="11"/>
  <c r="BA128" i="11"/>
  <c r="AR128" i="11"/>
  <c r="B128" i="11"/>
  <c r="BA127" i="11"/>
  <c r="AT127" i="11"/>
  <c r="AS127" i="11"/>
  <c r="AR127" i="11"/>
  <c r="B127" i="11"/>
  <c r="BA126" i="11"/>
  <c r="AT126" i="11"/>
  <c r="AR126" i="11"/>
  <c r="AS126" i="11" s="1"/>
  <c r="B126" i="11"/>
  <c r="BA125" i="11"/>
  <c r="AR125" i="11"/>
  <c r="B125" i="11"/>
  <c r="BA124" i="11"/>
  <c r="AR124" i="11"/>
  <c r="B124" i="11"/>
  <c r="BA123" i="11"/>
  <c r="AR123" i="11"/>
  <c r="O123" i="11"/>
  <c r="B123" i="11"/>
  <c r="BA122" i="11"/>
  <c r="AR122" i="11"/>
  <c r="B122" i="11"/>
  <c r="BA121" i="11"/>
  <c r="AR121" i="11"/>
  <c r="O121" i="11"/>
  <c r="B121" i="11"/>
  <c r="BA120" i="11"/>
  <c r="AT120" i="11"/>
  <c r="AR120" i="11"/>
  <c r="AS120" i="11" s="1"/>
  <c r="B120" i="11"/>
  <c r="BA119" i="11"/>
  <c r="AT119" i="11"/>
  <c r="AR119" i="11"/>
  <c r="AS119" i="11" s="1"/>
  <c r="B119" i="11"/>
  <c r="BA118" i="11"/>
  <c r="AR118" i="11"/>
  <c r="AT118" i="11" s="1"/>
  <c r="Q118" i="11"/>
  <c r="O118" i="11"/>
  <c r="B118" i="11"/>
  <c r="BA117" i="11"/>
  <c r="AR117" i="11"/>
  <c r="Q117" i="11"/>
  <c r="O117" i="11"/>
  <c r="B117" i="11"/>
  <c r="BA116" i="11"/>
  <c r="AX116" i="11"/>
  <c r="AR116" i="11"/>
  <c r="B116" i="11"/>
  <c r="AR115" i="11"/>
  <c r="B115" i="11"/>
  <c r="BA114" i="11"/>
  <c r="AT114" i="11"/>
  <c r="AS114" i="11"/>
  <c r="AR114" i="11"/>
  <c r="B114" i="11"/>
  <c r="BA113" i="11"/>
  <c r="AT113" i="11"/>
  <c r="AR113" i="11"/>
  <c r="AS113" i="11" s="1"/>
  <c r="B113" i="11"/>
  <c r="BA112" i="11"/>
  <c r="AR112" i="11"/>
  <c r="B112" i="11"/>
  <c r="BA111" i="11"/>
  <c r="AR111" i="11"/>
  <c r="N111" i="11"/>
  <c r="B111" i="11"/>
  <c r="BA110" i="11"/>
  <c r="AR110" i="11"/>
  <c r="B110" i="11"/>
  <c r="BA109" i="11"/>
  <c r="AT109" i="11"/>
  <c r="AR109" i="11"/>
  <c r="AS109" i="11" s="1"/>
  <c r="B109" i="11"/>
  <c r="AR108" i="11"/>
  <c r="Q108" i="11"/>
  <c r="O108" i="11"/>
  <c r="B108" i="11"/>
  <c r="BA107" i="11"/>
  <c r="AT107" i="11"/>
  <c r="AR107" i="11"/>
  <c r="AS107" i="11" s="1"/>
  <c r="B107" i="11"/>
  <c r="BA106" i="11"/>
  <c r="AT106" i="11"/>
  <c r="AS106" i="11"/>
  <c r="AR106" i="11"/>
  <c r="B106" i="11"/>
  <c r="AT105" i="11"/>
  <c r="AR105" i="11"/>
  <c r="AS105" i="11" s="1"/>
  <c r="B105" i="11"/>
  <c r="BA104" i="11"/>
  <c r="AT104" i="11"/>
  <c r="AR104" i="11"/>
  <c r="AS104" i="11" s="1"/>
  <c r="B104" i="11"/>
  <c r="BA103" i="11"/>
  <c r="AR103" i="11"/>
  <c r="O103" i="11"/>
  <c r="B103" i="11"/>
  <c r="BA102" i="11"/>
  <c r="AS102" i="11"/>
  <c r="AR102" i="11"/>
  <c r="AT102" i="11" s="1"/>
  <c r="B102" i="11"/>
  <c r="BA101" i="11"/>
  <c r="AT101" i="11"/>
  <c r="AR101" i="11"/>
  <c r="AS101" i="11" s="1"/>
  <c r="O101" i="11"/>
  <c r="B101" i="11"/>
  <c r="BA100" i="11"/>
  <c r="AT100" i="11"/>
  <c r="AS100" i="11"/>
  <c r="AR100" i="11"/>
  <c r="B100" i="11"/>
  <c r="AR99" i="11"/>
  <c r="B99" i="11"/>
  <c r="BA98" i="11"/>
  <c r="AR98" i="11"/>
  <c r="O98" i="11"/>
  <c r="B98" i="11"/>
  <c r="AR97" i="11"/>
  <c r="B97" i="11"/>
  <c r="BA96" i="11"/>
  <c r="AT96" i="11"/>
  <c r="AR96" i="11"/>
  <c r="AS96" i="11" s="1"/>
  <c r="B96" i="11"/>
  <c r="BA95" i="11"/>
  <c r="AT95" i="11"/>
  <c r="AR95" i="11"/>
  <c r="AS95" i="11" s="1"/>
  <c r="B95" i="11"/>
  <c r="BA94" i="11"/>
  <c r="AT94" i="11"/>
  <c r="AR94" i="11"/>
  <c r="AS94" i="11" s="1"/>
  <c r="B94" i="11"/>
  <c r="BA93" i="11"/>
  <c r="AT93" i="11"/>
  <c r="AR93" i="11"/>
  <c r="AS93" i="11" s="1"/>
  <c r="B93" i="11"/>
  <c r="BA92" i="11"/>
  <c r="AT92" i="11"/>
  <c r="AS92" i="11"/>
  <c r="AR92" i="11"/>
  <c r="B92" i="11"/>
  <c r="BA91" i="11"/>
  <c r="AT91" i="11"/>
  <c r="AR91" i="11"/>
  <c r="AS91" i="11" s="1"/>
  <c r="B91" i="11"/>
  <c r="AR90" i="11"/>
  <c r="B90" i="11"/>
  <c r="BA89" i="11"/>
  <c r="AT89" i="11"/>
  <c r="AR89" i="11"/>
  <c r="AS89" i="11" s="1"/>
  <c r="B89" i="11"/>
  <c r="BA88" i="11"/>
  <c r="AT88" i="11"/>
  <c r="AR88" i="11"/>
  <c r="AS88" i="11" s="1"/>
  <c r="B88" i="11"/>
  <c r="BA87" i="11"/>
  <c r="AR87" i="11"/>
  <c r="B87" i="11"/>
  <c r="AT86" i="11"/>
  <c r="AR86" i="11"/>
  <c r="B86" i="11"/>
  <c r="AT85" i="11"/>
  <c r="AR85" i="11"/>
  <c r="B85" i="11"/>
  <c r="BA84" i="11"/>
  <c r="AT84" i="11"/>
  <c r="AR84" i="11"/>
  <c r="AS84" i="11" s="1"/>
  <c r="B84" i="11"/>
  <c r="BA83" i="11"/>
  <c r="AT83" i="11"/>
  <c r="AR83" i="11"/>
  <c r="AS83" i="11" s="1"/>
  <c r="B83" i="11"/>
  <c r="BA82" i="11"/>
  <c r="AR82" i="11"/>
  <c r="B82" i="11"/>
  <c r="AR81" i="11"/>
  <c r="AS81" i="11" s="1"/>
  <c r="B81" i="11"/>
  <c r="BA80" i="11"/>
  <c r="AT80" i="11"/>
  <c r="AS80" i="11"/>
  <c r="AR80" i="11"/>
  <c r="B80" i="11"/>
  <c r="BA79" i="11"/>
  <c r="AT79" i="11"/>
  <c r="AR79" i="11"/>
  <c r="AS79" i="11" s="1"/>
  <c r="O79" i="11"/>
  <c r="B79" i="11"/>
  <c r="AR78" i="11"/>
  <c r="N78" i="11"/>
  <c r="B78" i="11"/>
  <c r="AR77" i="11"/>
  <c r="B77" i="11"/>
  <c r="AS76" i="11"/>
  <c r="AR76" i="11"/>
  <c r="AT76" i="11" s="1"/>
  <c r="O76" i="11"/>
  <c r="B76" i="11"/>
  <c r="BA75" i="11"/>
  <c r="AT75" i="11"/>
  <c r="AS75" i="11"/>
  <c r="AR75" i="11"/>
  <c r="B75" i="11"/>
  <c r="BA74" i="11"/>
  <c r="AT74" i="11"/>
  <c r="AR74" i="11"/>
  <c r="AS74" i="11" s="1"/>
  <c r="B74" i="11"/>
  <c r="BA73" i="11"/>
  <c r="AS73" i="11"/>
  <c r="AR73" i="11"/>
  <c r="AT73" i="11" s="1"/>
  <c r="O73" i="11"/>
  <c r="B73" i="11"/>
  <c r="BA72" i="11"/>
  <c r="AR72" i="11"/>
  <c r="B72" i="11"/>
  <c r="AR71" i="11"/>
  <c r="O71" i="11"/>
  <c r="B71" i="11"/>
  <c r="BA70" i="11"/>
  <c r="AT70" i="11"/>
  <c r="AR70" i="11"/>
  <c r="AS70" i="11" s="1"/>
  <c r="B70" i="11"/>
  <c r="BA69" i="11"/>
  <c r="AT69" i="11"/>
  <c r="AS69" i="11"/>
  <c r="AR69" i="11"/>
  <c r="B69" i="11"/>
  <c r="AR68" i="11"/>
  <c r="B68" i="11"/>
  <c r="AR67" i="11"/>
  <c r="O67" i="11"/>
  <c r="B67" i="11"/>
  <c r="BA66" i="11"/>
  <c r="AR66" i="11"/>
  <c r="B66" i="11"/>
  <c r="AR65" i="11"/>
  <c r="O65" i="11"/>
  <c r="B65" i="11"/>
  <c r="BA64" i="11"/>
  <c r="AR64" i="11"/>
  <c r="O64" i="11"/>
  <c r="B64" i="11"/>
  <c r="AR63" i="11"/>
  <c r="O63" i="11"/>
  <c r="B63" i="11"/>
  <c r="AR62" i="11"/>
  <c r="B62" i="11"/>
  <c r="BA61" i="11"/>
  <c r="AR61" i="11"/>
  <c r="B61" i="11"/>
  <c r="BA60" i="11"/>
  <c r="AT60" i="11"/>
  <c r="AR60" i="11"/>
  <c r="AS60" i="11" s="1"/>
  <c r="B60" i="11"/>
  <c r="AS59" i="11"/>
  <c r="AR59" i="11"/>
  <c r="B59" i="11"/>
  <c r="AR58" i="11"/>
  <c r="B58" i="11"/>
  <c r="BA57" i="11"/>
  <c r="AS57" i="11"/>
  <c r="AR57" i="11"/>
  <c r="AT57" i="11" s="1"/>
  <c r="B57" i="11"/>
  <c r="AR56" i="11"/>
  <c r="B56" i="11"/>
  <c r="AR55" i="11"/>
  <c r="B55" i="11"/>
  <c r="BA54" i="11"/>
  <c r="AS54" i="11"/>
  <c r="AR54" i="11"/>
  <c r="AT54" i="11" s="1"/>
  <c r="B54" i="11"/>
  <c r="BA53" i="11"/>
  <c r="AT53" i="11"/>
  <c r="AR53" i="11"/>
  <c r="AS53" i="11" s="1"/>
  <c r="B53" i="11"/>
  <c r="BA52" i="11"/>
  <c r="AR52" i="11"/>
  <c r="AS52" i="11" s="1"/>
  <c r="O52" i="11"/>
  <c r="B52" i="11"/>
  <c r="AT51" i="11"/>
  <c r="AR51" i="11"/>
  <c r="B51" i="11"/>
  <c r="BA50" i="11"/>
  <c r="AT50" i="11"/>
  <c r="AS50" i="11"/>
  <c r="AR50" i="11"/>
  <c r="N50" i="11"/>
  <c r="N286" i="11" s="1"/>
  <c r="B50" i="11"/>
  <c r="AS49" i="11"/>
  <c r="AR49" i="11"/>
  <c r="AT49" i="11" s="1"/>
  <c r="B49" i="11"/>
  <c r="AR48" i="11"/>
  <c r="B48" i="11"/>
  <c r="AT47" i="11"/>
  <c r="AR47" i="11"/>
  <c r="AS47" i="11" s="1"/>
  <c r="O47" i="11"/>
  <c r="B47" i="11"/>
  <c r="AR46" i="11"/>
  <c r="O46" i="11"/>
  <c r="B46" i="11"/>
  <c r="AR45" i="11"/>
  <c r="B45" i="11"/>
  <c r="AS44" i="11"/>
  <c r="AR44" i="11"/>
  <c r="AT44" i="11" s="1"/>
  <c r="B44" i="11"/>
  <c r="AR43" i="11"/>
  <c r="O43" i="11"/>
  <c r="B43" i="11"/>
  <c r="AT42" i="11"/>
  <c r="AR42" i="11"/>
  <c r="AS42" i="11" s="1"/>
  <c r="B42" i="11"/>
  <c r="BA41" i="11"/>
  <c r="AT41" i="11"/>
  <c r="AR41" i="11"/>
  <c r="AS41" i="11" s="1"/>
  <c r="B41" i="11"/>
  <c r="BA40" i="11"/>
  <c r="AR40" i="11"/>
  <c r="B40" i="11"/>
  <c r="BA39" i="11"/>
  <c r="AS39" i="11"/>
  <c r="AR39" i="11"/>
  <c r="AT39" i="11" s="1"/>
  <c r="O39" i="11"/>
  <c r="B39" i="11"/>
  <c r="BA38" i="11"/>
  <c r="AS38" i="11"/>
  <c r="AR38" i="11"/>
  <c r="AT38" i="11" s="1"/>
  <c r="O38" i="11"/>
  <c r="B38" i="11"/>
  <c r="BA37" i="11"/>
  <c r="AR37" i="11"/>
  <c r="B37" i="11"/>
  <c r="AT36" i="11"/>
  <c r="AR36" i="11"/>
  <c r="AS36" i="11" s="1"/>
  <c r="B36" i="11"/>
  <c r="AT35" i="11"/>
  <c r="AS35" i="11"/>
  <c r="AR35" i="11"/>
  <c r="BA35" i="11" s="1"/>
  <c r="O35" i="11"/>
  <c r="B35" i="11"/>
  <c r="BA34" i="11"/>
  <c r="AS34" i="11"/>
  <c r="AR34" i="11"/>
  <c r="AT34" i="11" s="1"/>
  <c r="B34" i="11"/>
  <c r="AT33" i="11"/>
  <c r="AR33" i="11"/>
  <c r="AS33" i="11" s="1"/>
  <c r="B33" i="11"/>
  <c r="BA32" i="11"/>
  <c r="AT32" i="11"/>
  <c r="AS32" i="11"/>
  <c r="AR32" i="11"/>
  <c r="B32" i="11"/>
  <c r="AR31" i="11"/>
  <c r="B31" i="11"/>
  <c r="AS30" i="11"/>
  <c r="AR30" i="11"/>
  <c r="B30" i="11"/>
  <c r="AR29" i="11"/>
  <c r="B29" i="11"/>
  <c r="BA28" i="11"/>
  <c r="AS28" i="11"/>
  <c r="AR28" i="11"/>
  <c r="AT28" i="11" s="1"/>
  <c r="B28" i="11"/>
  <c r="BA27" i="11"/>
  <c r="AR27" i="11"/>
  <c r="B27" i="11"/>
  <c r="BA26" i="11"/>
  <c r="AR26" i="11"/>
  <c r="B26" i="11"/>
  <c r="BA25" i="11"/>
  <c r="AT25" i="11"/>
  <c r="AR25" i="11"/>
  <c r="AS25" i="11" s="1"/>
  <c r="B25" i="11"/>
  <c r="AS24" i="11"/>
  <c r="AR24" i="11"/>
  <c r="AT24" i="11" s="1"/>
  <c r="B24" i="11"/>
  <c r="AR23" i="11"/>
  <c r="B23" i="11"/>
  <c r="BA22" i="11"/>
  <c r="AS22" i="11"/>
  <c r="AR22" i="11"/>
  <c r="AT22" i="11" s="1"/>
  <c r="O22" i="11"/>
  <c r="B22" i="11"/>
  <c r="AR21" i="11"/>
  <c r="B21" i="11"/>
  <c r="AR20" i="11"/>
  <c r="B20" i="11"/>
  <c r="BA19" i="11"/>
  <c r="AS19" i="11"/>
  <c r="AR19" i="11"/>
  <c r="AT19" i="11" s="1"/>
  <c r="B19" i="11"/>
  <c r="AT18" i="11"/>
  <c r="AR18" i="11"/>
  <c r="AS18" i="11" s="1"/>
  <c r="B18" i="11"/>
  <c r="BA17" i="11"/>
  <c r="AT17" i="11"/>
  <c r="AS17" i="11"/>
  <c r="AR17" i="11"/>
  <c r="B17" i="11"/>
  <c r="BA16" i="11"/>
  <c r="AR16" i="11"/>
  <c r="B16" i="11"/>
  <c r="AS15" i="11"/>
  <c r="AR15" i="11"/>
  <c r="AT15" i="11" s="1"/>
  <c r="B15" i="11"/>
  <c r="AR14" i="11"/>
  <c r="O14" i="11"/>
  <c r="B14" i="11"/>
  <c r="BA13" i="11"/>
  <c r="AT13" i="11"/>
  <c r="AS13" i="11"/>
  <c r="AR13" i="11"/>
  <c r="B13" i="11"/>
  <c r="AR12" i="11"/>
  <c r="B12" i="11"/>
  <c r="AS11" i="11"/>
  <c r="AR11" i="11"/>
  <c r="O11" i="11"/>
  <c r="B11" i="11"/>
  <c r="BA10" i="11"/>
  <c r="AT10" i="11"/>
  <c r="AS10" i="11"/>
  <c r="AR10" i="11"/>
  <c r="O10" i="11"/>
  <c r="B10" i="11"/>
  <c r="BA9" i="11"/>
  <c r="AR9" i="11"/>
  <c r="O9" i="11"/>
  <c r="B9" i="11"/>
  <c r="BA8" i="11"/>
  <c r="AT8" i="11"/>
  <c r="AS8" i="11"/>
  <c r="AR8" i="11"/>
  <c r="B8" i="11"/>
  <c r="BA7" i="11"/>
  <c r="AT7" i="11"/>
  <c r="AR7" i="11"/>
  <c r="AS7" i="11" s="1"/>
  <c r="B7" i="11"/>
  <c r="BA6" i="11"/>
  <c r="AS6" i="11"/>
  <c r="AR6" i="11"/>
  <c r="AT6" i="11" s="1"/>
  <c r="O6" i="11"/>
  <c r="B6" i="11"/>
  <c r="AR5" i="11"/>
  <c r="O5" i="11"/>
  <c r="B5" i="11"/>
  <c r="AX4" i="11"/>
  <c r="AT4" i="11"/>
  <c r="AR4" i="11"/>
  <c r="AS4" i="11" s="1"/>
  <c r="O4" i="11"/>
  <c r="B4" i="11"/>
  <c r="Q116" i="10"/>
  <c r="P116" i="10"/>
  <c r="AW113" i="10"/>
  <c r="AP113" i="10"/>
  <c r="AN113" i="10"/>
  <c r="AO113" i="10" s="1"/>
  <c r="B113" i="10"/>
  <c r="AW112" i="10"/>
  <c r="AP112" i="10"/>
  <c r="AO112" i="10"/>
  <c r="AN112" i="10"/>
  <c r="B112" i="10"/>
  <c r="AW111" i="10"/>
  <c r="AP111" i="10"/>
  <c r="AN111" i="10"/>
  <c r="AO111" i="10" s="1"/>
  <c r="B111" i="10"/>
  <c r="AW110" i="10"/>
  <c r="AP110" i="10"/>
  <c r="AN110" i="10"/>
  <c r="AO110" i="10" s="1"/>
  <c r="B110" i="10"/>
  <c r="AW109" i="10"/>
  <c r="AP109" i="10"/>
  <c r="AN109" i="10"/>
  <c r="AO109" i="10" s="1"/>
  <c r="B109" i="10"/>
  <c r="AW108" i="10"/>
  <c r="AP108" i="10"/>
  <c r="AO108" i="10"/>
  <c r="AN108" i="10"/>
  <c r="O108" i="10"/>
  <c r="B108" i="10"/>
  <c r="AW107" i="10"/>
  <c r="AP107" i="10"/>
  <c r="AO107" i="10"/>
  <c r="AN107" i="10"/>
  <c r="B107" i="10"/>
  <c r="AW106" i="10"/>
  <c r="AP106" i="10"/>
  <c r="AN106" i="10"/>
  <c r="AO106" i="10" s="1"/>
  <c r="B106" i="10"/>
  <c r="AW105" i="10"/>
  <c r="AP105" i="10"/>
  <c r="AN105" i="10"/>
  <c r="AO105" i="10" s="1"/>
  <c r="B105" i="10"/>
  <c r="AT104" i="10"/>
  <c r="AP104" i="10"/>
  <c r="AO104" i="10"/>
  <c r="AN104" i="10"/>
  <c r="AW104" i="10" s="1"/>
  <c r="B104" i="10"/>
  <c r="AP103" i="10"/>
  <c r="AN103" i="10"/>
  <c r="B103" i="10"/>
  <c r="AW102" i="10"/>
  <c r="AP102" i="10"/>
  <c r="AO102" i="10"/>
  <c r="AN102" i="10"/>
  <c r="O102" i="10"/>
  <c r="B102" i="10"/>
  <c r="AW101" i="10"/>
  <c r="AP101" i="10"/>
  <c r="AO101" i="10"/>
  <c r="AN101" i="10"/>
  <c r="O101" i="10"/>
  <c r="B101" i="10"/>
  <c r="AN100" i="10"/>
  <c r="B100" i="10"/>
  <c r="AP99" i="10"/>
  <c r="AN99" i="10"/>
  <c r="AO99" i="10" s="1"/>
  <c r="B99" i="10"/>
  <c r="AP98" i="10"/>
  <c r="AO98" i="10"/>
  <c r="AN98" i="10"/>
  <c r="AW98" i="10" s="1"/>
  <c r="B98" i="10"/>
  <c r="AP97" i="10"/>
  <c r="AN97" i="10"/>
  <c r="B97" i="10"/>
  <c r="AW96" i="10"/>
  <c r="AP96" i="10"/>
  <c r="AN96" i="10"/>
  <c r="AO96" i="10" s="1"/>
  <c r="B96" i="10"/>
  <c r="AP95" i="10"/>
  <c r="AN95" i="10"/>
  <c r="AO95" i="10" s="1"/>
  <c r="B95" i="10"/>
  <c r="AW94" i="10"/>
  <c r="AP94" i="10"/>
  <c r="AN94" i="10"/>
  <c r="AO94" i="10" s="1"/>
  <c r="B94" i="10"/>
  <c r="AP93" i="10"/>
  <c r="AN93" i="10"/>
  <c r="B93" i="10"/>
  <c r="AW92" i="10"/>
  <c r="AP92" i="10"/>
  <c r="AN92" i="10"/>
  <c r="AO92" i="10" s="1"/>
  <c r="B92" i="10"/>
  <c r="AP91" i="10"/>
  <c r="AN91" i="10"/>
  <c r="AO91" i="10" s="1"/>
  <c r="B91" i="10"/>
  <c r="AW90" i="10"/>
  <c r="AP90" i="10"/>
  <c r="AN90" i="10"/>
  <c r="AO90" i="10" s="1"/>
  <c r="B90" i="10"/>
  <c r="AP89" i="10"/>
  <c r="AN89" i="10"/>
  <c r="N89" i="10"/>
  <c r="B89" i="10"/>
  <c r="AP88" i="10"/>
  <c r="AN88" i="10"/>
  <c r="AO88" i="10" s="1"/>
  <c r="B88" i="10"/>
  <c r="AW87" i="10"/>
  <c r="AP87" i="10"/>
  <c r="AN87" i="10"/>
  <c r="AO87" i="10" s="1"/>
  <c r="B87" i="10"/>
  <c r="AP86" i="10"/>
  <c r="AN86" i="10"/>
  <c r="O86" i="10"/>
  <c r="B86" i="10"/>
  <c r="AP85" i="10"/>
  <c r="AN85" i="10"/>
  <c r="AO85" i="10" s="1"/>
  <c r="O85" i="10"/>
  <c r="B85" i="10"/>
  <c r="AP84" i="10"/>
  <c r="AN84" i="10"/>
  <c r="B84" i="10"/>
  <c r="AW83" i="10"/>
  <c r="AP83" i="10"/>
  <c r="AN83" i="10"/>
  <c r="AO83" i="10" s="1"/>
  <c r="O83" i="10"/>
  <c r="B83" i="10"/>
  <c r="AW82" i="10"/>
  <c r="AP82" i="10"/>
  <c r="AO82" i="10"/>
  <c r="AN82" i="10"/>
  <c r="O82" i="10"/>
  <c r="B82" i="10"/>
  <c r="AW81" i="10"/>
  <c r="AP81" i="10"/>
  <c r="AN81" i="10"/>
  <c r="AO81" i="10" s="1"/>
  <c r="B81" i="10"/>
  <c r="AP80" i="10"/>
  <c r="AN80" i="10"/>
  <c r="AO80" i="10" s="1"/>
  <c r="B80" i="10"/>
  <c r="AW79" i="10"/>
  <c r="AP79" i="10"/>
  <c r="AN79" i="10"/>
  <c r="AO79" i="10" s="1"/>
  <c r="N79" i="10"/>
  <c r="N116" i="10" s="1"/>
  <c r="B79" i="10"/>
  <c r="AW78" i="10"/>
  <c r="AP78" i="10"/>
  <c r="AO78" i="10"/>
  <c r="AN78" i="10"/>
  <c r="B78" i="10"/>
  <c r="AP77" i="10"/>
  <c r="AN77" i="10"/>
  <c r="AO77" i="10" s="1"/>
  <c r="B77" i="10"/>
  <c r="AW76" i="10"/>
  <c r="AP76" i="10"/>
  <c r="AO76" i="10"/>
  <c r="AN76" i="10"/>
  <c r="O76" i="10"/>
  <c r="B76" i="10"/>
  <c r="AW75" i="10"/>
  <c r="AP75" i="10"/>
  <c r="AN75" i="10"/>
  <c r="AO75" i="10" s="1"/>
  <c r="O75" i="10"/>
  <c r="B75" i="10"/>
  <c r="AW74" i="10"/>
  <c r="AP74" i="10"/>
  <c r="AO74" i="10"/>
  <c r="AN74" i="10"/>
  <c r="O74" i="10"/>
  <c r="B74" i="10"/>
  <c r="AW73" i="10"/>
  <c r="AP73" i="10"/>
  <c r="AN73" i="10"/>
  <c r="AO73" i="10" s="1"/>
  <c r="B73" i="10"/>
  <c r="AP72" i="10"/>
  <c r="AN72" i="10"/>
  <c r="AO72" i="10" s="1"/>
  <c r="B72" i="10"/>
  <c r="AW71" i="10"/>
  <c r="AP71" i="10"/>
  <c r="AN71" i="10"/>
  <c r="AO71" i="10" s="1"/>
  <c r="B71" i="10"/>
  <c r="AP70" i="10"/>
  <c r="AN70" i="10"/>
  <c r="B70" i="10"/>
  <c r="AW69" i="10"/>
  <c r="AP69" i="10"/>
  <c r="AN69" i="10"/>
  <c r="AO69" i="10" s="1"/>
  <c r="B69" i="10"/>
  <c r="AP68" i="10"/>
  <c r="AN68" i="10"/>
  <c r="AO68" i="10" s="1"/>
  <c r="B68" i="10"/>
  <c r="AW67" i="10"/>
  <c r="AT67" i="10"/>
  <c r="AP67" i="10"/>
  <c r="AN67" i="10"/>
  <c r="AO67" i="10" s="1"/>
  <c r="B67" i="10"/>
  <c r="AW66" i="10"/>
  <c r="AP66" i="10"/>
  <c r="AN66" i="10"/>
  <c r="AO66" i="10" s="1"/>
  <c r="B66" i="10"/>
  <c r="AP65" i="10"/>
  <c r="AN65" i="10"/>
  <c r="AO65" i="10" s="1"/>
  <c r="B65" i="10"/>
  <c r="AP64" i="10"/>
  <c r="AN64" i="10"/>
  <c r="AW64" i="10" s="1"/>
  <c r="B64" i="10"/>
  <c r="AP63" i="10"/>
  <c r="AN63" i="10"/>
  <c r="B63" i="10"/>
  <c r="AP62" i="10"/>
  <c r="AO62" i="10"/>
  <c r="AN62" i="10"/>
  <c r="AW62" i="10" s="1"/>
  <c r="B62" i="10"/>
  <c r="AP61" i="10"/>
  <c r="AN61" i="10"/>
  <c r="AO61" i="10" s="1"/>
  <c r="B61" i="10"/>
  <c r="AP60" i="10"/>
  <c r="AO60" i="10"/>
  <c r="AN60" i="10"/>
  <c r="AW60" i="10" s="1"/>
  <c r="B60" i="10"/>
  <c r="AP59" i="10"/>
  <c r="AN59" i="10"/>
  <c r="B59" i="10"/>
  <c r="AP58" i="10"/>
  <c r="AN58" i="10"/>
  <c r="B58" i="10"/>
  <c r="AP57" i="10"/>
  <c r="AN57" i="10"/>
  <c r="AO57" i="10" s="1"/>
  <c r="B57" i="10"/>
  <c r="AP56" i="10"/>
  <c r="AN56" i="10"/>
  <c r="AW56" i="10" s="1"/>
  <c r="O56" i="10"/>
  <c r="B56" i="10"/>
  <c r="AP55" i="10"/>
  <c r="AN55" i="10"/>
  <c r="N55" i="10"/>
  <c r="B55" i="10"/>
  <c r="AP54" i="10"/>
  <c r="AO54" i="10"/>
  <c r="AN54" i="10"/>
  <c r="AW54" i="10" s="1"/>
  <c r="B54" i="10"/>
  <c r="AP53" i="10"/>
  <c r="AN53" i="10"/>
  <c r="O53" i="10"/>
  <c r="B53" i="10"/>
  <c r="AP52" i="10"/>
  <c r="AN52" i="10"/>
  <c r="AO52" i="10" s="1"/>
  <c r="B52" i="10"/>
  <c r="AP51" i="10"/>
  <c r="AN51" i="10"/>
  <c r="B51" i="10"/>
  <c r="AP50" i="10"/>
  <c r="AN50" i="10"/>
  <c r="B50" i="10"/>
  <c r="AP49" i="10"/>
  <c r="AN49" i="10"/>
  <c r="AW49" i="10" s="1"/>
  <c r="O49" i="10"/>
  <c r="B49" i="10"/>
  <c r="AP48" i="10"/>
  <c r="AN48" i="10"/>
  <c r="O48" i="10"/>
  <c r="B48" i="10"/>
  <c r="AP47" i="10"/>
  <c r="AN47" i="10"/>
  <c r="AW47" i="10" s="1"/>
  <c r="B47" i="10"/>
  <c r="AP46" i="10"/>
  <c r="AN46" i="10"/>
  <c r="AO46" i="10" s="1"/>
  <c r="B46" i="10"/>
  <c r="AP45" i="10"/>
  <c r="AN45" i="10"/>
  <c r="O45" i="10"/>
  <c r="B45" i="10"/>
  <c r="AP44" i="10"/>
  <c r="AN44" i="10"/>
  <c r="O44" i="10"/>
  <c r="B44" i="10"/>
  <c r="AP43" i="10"/>
  <c r="AO43" i="10"/>
  <c r="AN43" i="10"/>
  <c r="AW43" i="10" s="1"/>
  <c r="B43" i="10"/>
  <c r="AP42" i="10"/>
  <c r="AN42" i="10"/>
  <c r="B42" i="10"/>
  <c r="AP41" i="10"/>
  <c r="AO41" i="10"/>
  <c r="AN41" i="10"/>
  <c r="AW41" i="10" s="1"/>
  <c r="B41" i="10"/>
  <c r="AP40" i="10"/>
  <c r="AN40" i="10"/>
  <c r="AO40" i="10" s="1"/>
  <c r="B40" i="10"/>
  <c r="AP39" i="10"/>
  <c r="AN39" i="10"/>
  <c r="B39" i="10"/>
  <c r="AP38" i="10"/>
  <c r="AN38" i="10"/>
  <c r="B38" i="10"/>
  <c r="AP37" i="10"/>
  <c r="AN37" i="10"/>
  <c r="AW37" i="10" s="1"/>
  <c r="B37" i="10"/>
  <c r="AP36" i="10"/>
  <c r="AN36" i="10"/>
  <c r="AO36" i="10" s="1"/>
  <c r="B36" i="10"/>
  <c r="AP35" i="10"/>
  <c r="AO35" i="10"/>
  <c r="AN35" i="10"/>
  <c r="AW35" i="10" s="1"/>
  <c r="O35" i="10"/>
  <c r="B35" i="10"/>
  <c r="AW34" i="10"/>
  <c r="AP34" i="10"/>
  <c r="AN34" i="10"/>
  <c r="AO34" i="10" s="1"/>
  <c r="B34" i="10"/>
  <c r="AP33" i="10"/>
  <c r="AN33" i="10"/>
  <c r="AO33" i="10" s="1"/>
  <c r="B33" i="10"/>
  <c r="AW32" i="10"/>
  <c r="AP32" i="10"/>
  <c r="AN32" i="10"/>
  <c r="AO32" i="10" s="1"/>
  <c r="N32" i="10"/>
  <c r="B32" i="10"/>
  <c r="AP31" i="10"/>
  <c r="AN31" i="10"/>
  <c r="AW31" i="10" s="1"/>
  <c r="B31" i="10"/>
  <c r="AP30" i="10"/>
  <c r="AN30" i="10"/>
  <c r="AO30" i="10" s="1"/>
  <c r="O30" i="10"/>
  <c r="B30" i="10"/>
  <c r="AP29" i="10"/>
  <c r="AN29" i="10"/>
  <c r="B29" i="10"/>
  <c r="AP28" i="10"/>
  <c r="AO28" i="10"/>
  <c r="AN28" i="10"/>
  <c r="AW28" i="10" s="1"/>
  <c r="B28" i="10"/>
  <c r="AP27" i="10"/>
  <c r="AN27" i="10"/>
  <c r="AO27" i="10" s="1"/>
  <c r="B27" i="10"/>
  <c r="AP26" i="10"/>
  <c r="AO26" i="10"/>
  <c r="AN26" i="10"/>
  <c r="AW26" i="10" s="1"/>
  <c r="O26" i="10"/>
  <c r="B26" i="10"/>
  <c r="AW25" i="10"/>
  <c r="AP25" i="10"/>
  <c r="AN25" i="10"/>
  <c r="AO25" i="10" s="1"/>
  <c r="B25" i="10"/>
  <c r="AP24" i="10"/>
  <c r="AN24" i="10"/>
  <c r="AO24" i="10" s="1"/>
  <c r="B24" i="10"/>
  <c r="AP23" i="10"/>
  <c r="AN23" i="10"/>
  <c r="O23" i="10"/>
  <c r="B23" i="10"/>
  <c r="AP22" i="10"/>
  <c r="AO22" i="10"/>
  <c r="AN22" i="10"/>
  <c r="AW22" i="10" s="1"/>
  <c r="B22" i="10"/>
  <c r="AP21" i="10"/>
  <c r="AN21" i="10"/>
  <c r="AO21" i="10" s="1"/>
  <c r="B21" i="10"/>
  <c r="AP20" i="10"/>
  <c r="AO20" i="10"/>
  <c r="AN20" i="10"/>
  <c r="AW20" i="10" s="1"/>
  <c r="B20" i="10"/>
  <c r="AP19" i="10"/>
  <c r="AN19" i="10"/>
  <c r="B19" i="10"/>
  <c r="AP18" i="10"/>
  <c r="AN18" i="10"/>
  <c r="B18" i="10"/>
  <c r="AP17" i="10"/>
  <c r="AN17" i="10"/>
  <c r="AO17" i="10" s="1"/>
  <c r="B17" i="10"/>
  <c r="AP16" i="10"/>
  <c r="AN16" i="10"/>
  <c r="AW16" i="10" s="1"/>
  <c r="B16" i="10"/>
  <c r="AP15" i="10"/>
  <c r="AN15" i="10"/>
  <c r="B15" i="10"/>
  <c r="AP14" i="10"/>
  <c r="AO14" i="10"/>
  <c r="AN14" i="10"/>
  <c r="AW14" i="10" s="1"/>
  <c r="B14" i="10"/>
  <c r="AP13" i="10"/>
  <c r="AN13" i="10"/>
  <c r="AO13" i="10" s="1"/>
  <c r="B13" i="10"/>
  <c r="AP12" i="10"/>
  <c r="AN12" i="10"/>
  <c r="AW12" i="10" s="1"/>
  <c r="B12" i="10"/>
  <c r="AP11" i="10"/>
  <c r="AN11" i="10"/>
  <c r="B11" i="10"/>
  <c r="AW10" i="10"/>
  <c r="AP10" i="10"/>
  <c r="AN10" i="10"/>
  <c r="AO10" i="10" s="1"/>
  <c r="B10" i="10"/>
  <c r="AW9" i="10"/>
  <c r="AP9" i="10"/>
  <c r="AN9" i="10"/>
  <c r="AO9" i="10" s="1"/>
  <c r="B9" i="10"/>
  <c r="AW8" i="10"/>
  <c r="AP8" i="10"/>
  <c r="AO8" i="10"/>
  <c r="AN8" i="10"/>
  <c r="B8" i="10"/>
  <c r="AW7" i="10"/>
  <c r="AP7" i="10"/>
  <c r="AN7" i="10"/>
  <c r="AO7" i="10" s="1"/>
  <c r="B7" i="10"/>
  <c r="AW6" i="10"/>
  <c r="AP6" i="10"/>
  <c r="AN6" i="10"/>
  <c r="AO6" i="10" s="1"/>
  <c r="B6" i="10"/>
  <c r="AT5" i="10"/>
  <c r="AP5" i="10"/>
  <c r="AN5" i="10"/>
  <c r="AW5" i="10" s="1"/>
  <c r="B5" i="10"/>
  <c r="AT4" i="10"/>
  <c r="AP4" i="10"/>
  <c r="AN4" i="10"/>
  <c r="B4" i="10"/>
  <c r="Q304" i="9"/>
  <c r="P304" i="9"/>
  <c r="AW301" i="9"/>
  <c r="AP301" i="9"/>
  <c r="AN301" i="9"/>
  <c r="AO301" i="9" s="1"/>
  <c r="B301" i="9"/>
  <c r="AW300" i="9"/>
  <c r="AP300" i="9"/>
  <c r="AN300" i="9"/>
  <c r="AO300" i="9" s="1"/>
  <c r="B300" i="9"/>
  <c r="AW299" i="9"/>
  <c r="AP299" i="9"/>
  <c r="AN299" i="9"/>
  <c r="AO299" i="9" s="1"/>
  <c r="B299" i="9"/>
  <c r="AW298" i="9"/>
  <c r="AP298" i="9"/>
  <c r="AN298" i="9"/>
  <c r="AO298" i="9" s="1"/>
  <c r="B298" i="9"/>
  <c r="AW297" i="9"/>
  <c r="AN297" i="9"/>
  <c r="B297" i="9"/>
  <c r="AW296" i="9"/>
  <c r="AP296" i="9"/>
  <c r="AO296" i="9"/>
  <c r="AN296" i="9"/>
  <c r="O296" i="9"/>
  <c r="B296" i="9"/>
  <c r="AW295" i="9"/>
  <c r="AP295" i="9"/>
  <c r="AN295" i="9"/>
  <c r="AO295" i="9" s="1"/>
  <c r="O295" i="9"/>
  <c r="B295" i="9"/>
  <c r="AW294" i="9"/>
  <c r="AP294" i="9"/>
  <c r="AO294" i="9"/>
  <c r="AN294" i="9"/>
  <c r="B294" i="9"/>
  <c r="AW293" i="9"/>
  <c r="AP293" i="9"/>
  <c r="AN293" i="9"/>
  <c r="AO293" i="9" s="1"/>
  <c r="B293" i="9"/>
  <c r="AW292" i="9"/>
  <c r="AP292" i="9"/>
  <c r="AN292" i="9"/>
  <c r="AO292" i="9" s="1"/>
  <c r="N292" i="9"/>
  <c r="B292" i="9"/>
  <c r="AP291" i="9"/>
  <c r="AO291" i="9"/>
  <c r="AN291" i="9"/>
  <c r="AW291" i="9" s="1"/>
  <c r="B291" i="9"/>
  <c r="AN290" i="9"/>
  <c r="B290" i="9"/>
  <c r="AP289" i="9"/>
  <c r="AN289" i="9"/>
  <c r="AW289" i="9" s="1"/>
  <c r="O289" i="9"/>
  <c r="B289" i="9"/>
  <c r="AW288" i="9"/>
  <c r="AP288" i="9"/>
  <c r="AO288" i="9"/>
  <c r="AN288" i="9"/>
  <c r="O288" i="9"/>
  <c r="B288" i="9"/>
  <c r="AP287" i="9"/>
  <c r="AN287" i="9"/>
  <c r="AW287" i="9" s="1"/>
  <c r="B287" i="9"/>
  <c r="AP286" i="9"/>
  <c r="AN286" i="9"/>
  <c r="AO286" i="9" s="1"/>
  <c r="O286" i="9"/>
  <c r="B286" i="9"/>
  <c r="AW285" i="9"/>
  <c r="AN285" i="9"/>
  <c r="B285" i="9"/>
  <c r="AP284" i="9"/>
  <c r="AO284" i="9"/>
  <c r="AN284" i="9"/>
  <c r="AW284" i="9" s="1"/>
  <c r="O284" i="9"/>
  <c r="B284" i="9"/>
  <c r="AW283" i="9"/>
  <c r="AP283" i="9"/>
  <c r="AO283" i="9"/>
  <c r="AN283" i="9"/>
  <c r="O283" i="9"/>
  <c r="B283" i="9"/>
  <c r="AN282" i="9"/>
  <c r="B282" i="9"/>
  <c r="AP281" i="9"/>
  <c r="AN281" i="9"/>
  <c r="AO281" i="9" s="1"/>
  <c r="O281" i="9"/>
  <c r="B281" i="9"/>
  <c r="AP280" i="9"/>
  <c r="AN280" i="9"/>
  <c r="O280" i="9"/>
  <c r="B280" i="9"/>
  <c r="AP279" i="9"/>
  <c r="AN279" i="9"/>
  <c r="AO279" i="9" s="1"/>
  <c r="O279" i="9"/>
  <c r="B279" i="9"/>
  <c r="AP278" i="9"/>
  <c r="AN278" i="9"/>
  <c r="O278" i="9"/>
  <c r="B278" i="9"/>
  <c r="AP277" i="9"/>
  <c r="AN277" i="9"/>
  <c r="AO277" i="9" s="1"/>
  <c r="B277" i="9"/>
  <c r="AW276" i="9"/>
  <c r="AP276" i="9"/>
  <c r="AN276" i="9"/>
  <c r="AO276" i="9" s="1"/>
  <c r="B276" i="9"/>
  <c r="AP275" i="9"/>
  <c r="AN275" i="9"/>
  <c r="O275" i="9"/>
  <c r="B275" i="9"/>
  <c r="AW274" i="9"/>
  <c r="AN274" i="9"/>
  <c r="B274" i="9"/>
  <c r="AW273" i="9"/>
  <c r="AP273" i="9"/>
  <c r="AO273" i="9"/>
  <c r="AN273" i="9"/>
  <c r="N273" i="9"/>
  <c r="B273" i="9"/>
  <c r="AW272" i="9"/>
  <c r="AP272" i="9"/>
  <c r="AO272" i="9"/>
  <c r="AN272" i="9"/>
  <c r="B272" i="9"/>
  <c r="AW271" i="9"/>
  <c r="AP271" i="9"/>
  <c r="AN271" i="9"/>
  <c r="AO271" i="9" s="1"/>
  <c r="O271" i="9"/>
  <c r="B271" i="9"/>
  <c r="AP270" i="9"/>
  <c r="AN270" i="9"/>
  <c r="O270" i="9"/>
  <c r="B270" i="9"/>
  <c r="AP269" i="9"/>
  <c r="AN269" i="9"/>
  <c r="AO269" i="9" s="1"/>
  <c r="O269" i="9"/>
  <c r="B269" i="9"/>
  <c r="AW268" i="9"/>
  <c r="AP268" i="9"/>
  <c r="AN268" i="9"/>
  <c r="AO268" i="9" s="1"/>
  <c r="O268" i="9"/>
  <c r="B268" i="9"/>
  <c r="AP267" i="9"/>
  <c r="AN267" i="9"/>
  <c r="AO267" i="9" s="1"/>
  <c r="O267" i="9"/>
  <c r="B267" i="9"/>
  <c r="AP266" i="9"/>
  <c r="AN266" i="9"/>
  <c r="O266" i="9"/>
  <c r="B266" i="9"/>
  <c r="AW265" i="9"/>
  <c r="AP265" i="9"/>
  <c r="AN265" i="9"/>
  <c r="AO265" i="9" s="1"/>
  <c r="O265" i="9"/>
  <c r="B265" i="9"/>
  <c r="AW264" i="9"/>
  <c r="AN264" i="9"/>
  <c r="B264" i="9"/>
  <c r="AP263" i="9"/>
  <c r="AO263" i="9"/>
  <c r="AN263" i="9"/>
  <c r="AW263" i="9" s="1"/>
  <c r="O263" i="9"/>
  <c r="B263" i="9"/>
  <c r="AW262" i="9"/>
  <c r="AP262" i="9"/>
  <c r="AN262" i="9"/>
  <c r="AO262" i="9" s="1"/>
  <c r="O262" i="9"/>
  <c r="B262" i="9"/>
  <c r="AP261" i="9"/>
  <c r="AN261" i="9"/>
  <c r="O261" i="9"/>
  <c r="B261" i="9"/>
  <c r="AP260" i="9"/>
  <c r="AN260" i="9"/>
  <c r="O260" i="9"/>
  <c r="B260" i="9"/>
  <c r="AP259" i="9"/>
  <c r="AO259" i="9"/>
  <c r="AN259" i="9"/>
  <c r="AW259" i="9" s="1"/>
  <c r="B259" i="9"/>
  <c r="AP258" i="9"/>
  <c r="AN258" i="9"/>
  <c r="AO258" i="9" s="1"/>
  <c r="O258" i="9"/>
  <c r="B258" i="9"/>
  <c r="AP257" i="9"/>
  <c r="AN257" i="9"/>
  <c r="N257" i="9"/>
  <c r="B257" i="9"/>
  <c r="AP256" i="9"/>
  <c r="AN256" i="9"/>
  <c r="AO256" i="9" s="1"/>
  <c r="B256" i="9"/>
  <c r="AO255" i="9"/>
  <c r="AN255" i="9"/>
  <c r="B255" i="9"/>
  <c r="AP254" i="9"/>
  <c r="AN254" i="9"/>
  <c r="O254" i="9"/>
  <c r="B254" i="9"/>
  <c r="AP253" i="9"/>
  <c r="AN253" i="9"/>
  <c r="AO253" i="9" s="1"/>
  <c r="O253" i="9"/>
  <c r="B253" i="9"/>
  <c r="AW252" i="9"/>
  <c r="AP252" i="9"/>
  <c r="AN252" i="9"/>
  <c r="AO252" i="9" s="1"/>
  <c r="O252" i="9"/>
  <c r="B252" i="9"/>
  <c r="AW251" i="9"/>
  <c r="AP251" i="9"/>
  <c r="AN251" i="9"/>
  <c r="AO251" i="9" s="1"/>
  <c r="B251" i="9"/>
  <c r="AW250" i="9"/>
  <c r="AP250" i="9"/>
  <c r="AN250" i="9"/>
  <c r="AO250" i="9" s="1"/>
  <c r="B250" i="9"/>
  <c r="AW249" i="9"/>
  <c r="AP249" i="9"/>
  <c r="AN249" i="9"/>
  <c r="AO249" i="9" s="1"/>
  <c r="O249" i="9"/>
  <c r="B249" i="9"/>
  <c r="AW248" i="9"/>
  <c r="AN248" i="9"/>
  <c r="AO248" i="9" s="1"/>
  <c r="B248" i="9"/>
  <c r="AW247" i="9"/>
  <c r="AP247" i="9"/>
  <c r="AN247" i="9"/>
  <c r="AO247" i="9" s="1"/>
  <c r="O247" i="9"/>
  <c r="B247" i="9"/>
  <c r="AW246" i="9"/>
  <c r="AO246" i="9"/>
  <c r="AN246" i="9"/>
  <c r="AP246" i="9" s="1"/>
  <c r="B246" i="9"/>
  <c r="AN245" i="9"/>
  <c r="B245" i="9"/>
  <c r="AT244" i="9"/>
  <c r="AN244" i="9"/>
  <c r="B244" i="9"/>
  <c r="AO243" i="9"/>
  <c r="AN243" i="9"/>
  <c r="B243" i="9"/>
  <c r="AW242" i="9"/>
  <c r="AP242" i="9"/>
  <c r="AN242" i="9"/>
  <c r="AO242" i="9" s="1"/>
  <c r="B242" i="9"/>
  <c r="AP241" i="9"/>
  <c r="AO241" i="9"/>
  <c r="AN241" i="9"/>
  <c r="AW241" i="9" s="1"/>
  <c r="B241" i="9"/>
  <c r="AN240" i="9"/>
  <c r="B240" i="9"/>
  <c r="AN239" i="9"/>
  <c r="B239" i="9"/>
  <c r="AP238" i="9"/>
  <c r="AN238" i="9"/>
  <c r="AO238" i="9" s="1"/>
  <c r="B238" i="9"/>
  <c r="AW237" i="9"/>
  <c r="AP237" i="9"/>
  <c r="AN237" i="9"/>
  <c r="AO237" i="9" s="1"/>
  <c r="B237" i="9"/>
  <c r="AN236" i="9"/>
  <c r="B236" i="9"/>
  <c r="AW235" i="9"/>
  <c r="AP235" i="9"/>
  <c r="AO235" i="9"/>
  <c r="AN235" i="9"/>
  <c r="B235" i="9"/>
  <c r="AN234" i="9"/>
  <c r="B234" i="9"/>
  <c r="AW233" i="9"/>
  <c r="AP233" i="9"/>
  <c r="AO233" i="9"/>
  <c r="AN233" i="9"/>
  <c r="O233" i="9"/>
  <c r="B233" i="9"/>
  <c r="AW232" i="9"/>
  <c r="AN232" i="9"/>
  <c r="B232" i="9"/>
  <c r="AP231" i="9"/>
  <c r="AN231" i="9"/>
  <c r="AO231" i="9" s="1"/>
  <c r="B231" i="9"/>
  <c r="AW230" i="9"/>
  <c r="AN230" i="9"/>
  <c r="B230" i="9"/>
  <c r="AW229" i="9"/>
  <c r="AN229" i="9"/>
  <c r="B229" i="9"/>
  <c r="AW228" i="9"/>
  <c r="AO228" i="9"/>
  <c r="AN228" i="9"/>
  <c r="AP228" i="9" s="1"/>
  <c r="B228" i="9"/>
  <c r="AW227" i="9"/>
  <c r="AP227" i="9"/>
  <c r="AN227" i="9"/>
  <c r="AO227" i="9" s="1"/>
  <c r="B227" i="9"/>
  <c r="AW226" i="9"/>
  <c r="AN226" i="9"/>
  <c r="AO226" i="9" s="1"/>
  <c r="B226" i="9"/>
  <c r="AP225" i="9"/>
  <c r="AN225" i="9"/>
  <c r="O225" i="9"/>
  <c r="B225" i="9"/>
  <c r="AP224" i="9"/>
  <c r="AN224" i="9"/>
  <c r="AO224" i="9" s="1"/>
  <c r="O224" i="9"/>
  <c r="B224" i="9"/>
  <c r="AN223" i="9"/>
  <c r="B223" i="9"/>
  <c r="AW222" i="9"/>
  <c r="AP222" i="9"/>
  <c r="AO222" i="9"/>
  <c r="AN222" i="9"/>
  <c r="O222" i="9"/>
  <c r="B222" i="9"/>
  <c r="AW221" i="9"/>
  <c r="AP221" i="9"/>
  <c r="AN221" i="9"/>
  <c r="AO221" i="9" s="1"/>
  <c r="O221" i="9"/>
  <c r="B221" i="9"/>
  <c r="AW220" i="9"/>
  <c r="AP220" i="9"/>
  <c r="AO220" i="9"/>
  <c r="AN220" i="9"/>
  <c r="O220" i="9"/>
  <c r="B220" i="9"/>
  <c r="AW219" i="9"/>
  <c r="AN219" i="9"/>
  <c r="AP219" i="9" s="1"/>
  <c r="B219" i="9"/>
  <c r="AP218" i="9"/>
  <c r="AN218" i="9"/>
  <c r="B218" i="9"/>
  <c r="AW217" i="9"/>
  <c r="AP217" i="9"/>
  <c r="AN217" i="9"/>
  <c r="AO217" i="9" s="1"/>
  <c r="O217" i="9"/>
  <c r="B217" i="9"/>
  <c r="AW216" i="9"/>
  <c r="AP216" i="9"/>
  <c r="AO216" i="9"/>
  <c r="AN216" i="9"/>
  <c r="O216" i="9"/>
  <c r="B216" i="9"/>
  <c r="AN215" i="9"/>
  <c r="AW215" i="9" s="1"/>
  <c r="B215" i="9"/>
  <c r="AP214" i="9"/>
  <c r="AN214" i="9"/>
  <c r="AO214" i="9" s="1"/>
  <c r="B214" i="9"/>
  <c r="AN213" i="9"/>
  <c r="B213" i="9"/>
  <c r="AN212" i="9"/>
  <c r="B212" i="9"/>
  <c r="AW211" i="9"/>
  <c r="AO211" i="9"/>
  <c r="AN211" i="9"/>
  <c r="AP211" i="9" s="1"/>
  <c r="B211" i="9"/>
  <c r="AP210" i="9"/>
  <c r="AN210" i="9"/>
  <c r="AO210" i="9" s="1"/>
  <c r="B210" i="9"/>
  <c r="AP209" i="9"/>
  <c r="AO209" i="9"/>
  <c r="AN209" i="9"/>
  <c r="AW209" i="9" s="1"/>
  <c r="O209" i="9"/>
  <c r="N209" i="9"/>
  <c r="B209" i="9"/>
  <c r="AP208" i="9"/>
  <c r="AN208" i="9"/>
  <c r="AO208" i="9" s="1"/>
  <c r="B208" i="9"/>
  <c r="AW207" i="9"/>
  <c r="AP207" i="9"/>
  <c r="AN207" i="9"/>
  <c r="AO207" i="9" s="1"/>
  <c r="B207" i="9"/>
  <c r="AP206" i="9"/>
  <c r="AN206" i="9"/>
  <c r="O206" i="9"/>
  <c r="B206" i="9"/>
  <c r="AP205" i="9"/>
  <c r="AN205" i="9"/>
  <c r="AO205" i="9" s="1"/>
  <c r="O205" i="9"/>
  <c r="B205" i="9"/>
  <c r="AP204" i="9"/>
  <c r="AN204" i="9"/>
  <c r="O204" i="9"/>
  <c r="B204" i="9"/>
  <c r="AP203" i="9"/>
  <c r="AN203" i="9"/>
  <c r="AO203" i="9" s="1"/>
  <c r="O203" i="9"/>
  <c r="B203" i="9"/>
  <c r="AP202" i="9"/>
  <c r="AN202" i="9"/>
  <c r="O202" i="9"/>
  <c r="B202" i="9"/>
  <c r="AP201" i="9"/>
  <c r="AN201" i="9"/>
  <c r="AO201" i="9" s="1"/>
  <c r="O201" i="9"/>
  <c r="B201" i="9"/>
  <c r="AP200" i="9"/>
  <c r="AN200" i="9"/>
  <c r="O200" i="9"/>
  <c r="B200" i="9"/>
  <c r="AP199" i="9"/>
  <c r="AN199" i="9"/>
  <c r="AO199" i="9" s="1"/>
  <c r="O199" i="9"/>
  <c r="B199" i="9"/>
  <c r="AP198" i="9"/>
  <c r="AN198" i="9"/>
  <c r="O198" i="9"/>
  <c r="B198" i="9"/>
  <c r="AP197" i="9"/>
  <c r="AN197" i="9"/>
  <c r="AO197" i="9" s="1"/>
  <c r="O197" i="9"/>
  <c r="B197" i="9"/>
  <c r="AN196" i="9"/>
  <c r="B196" i="9"/>
  <c r="AW195" i="9"/>
  <c r="AP195" i="9"/>
  <c r="AO195" i="9"/>
  <c r="AN195" i="9"/>
  <c r="B195" i="9"/>
  <c r="AP194" i="9"/>
  <c r="AN194" i="9"/>
  <c r="AO194" i="9" s="1"/>
  <c r="O194" i="9"/>
  <c r="B194" i="9"/>
  <c r="AP193" i="9"/>
  <c r="AN193" i="9"/>
  <c r="O193" i="9"/>
  <c r="B193" i="9"/>
  <c r="AP192" i="9"/>
  <c r="AN192" i="9"/>
  <c r="AO192" i="9" s="1"/>
  <c r="O192" i="9"/>
  <c r="B192" i="9"/>
  <c r="AW191" i="9"/>
  <c r="AN191" i="9"/>
  <c r="B191" i="9"/>
  <c r="AW190" i="9"/>
  <c r="AN190" i="9"/>
  <c r="B190" i="9"/>
  <c r="AN189" i="9"/>
  <c r="AO189" i="9" s="1"/>
  <c r="B189" i="9"/>
  <c r="AW188" i="9"/>
  <c r="AN188" i="9"/>
  <c r="B188" i="9"/>
  <c r="AW187" i="9"/>
  <c r="AN187" i="9"/>
  <c r="B187" i="9"/>
  <c r="AW186" i="9"/>
  <c r="AN186" i="9"/>
  <c r="AP186" i="9" s="1"/>
  <c r="B186" i="9"/>
  <c r="AW185" i="9"/>
  <c r="AN185" i="9"/>
  <c r="AO185" i="9" s="1"/>
  <c r="B185" i="9"/>
  <c r="AW184" i="9"/>
  <c r="AN184" i="9"/>
  <c r="B184" i="9"/>
  <c r="AN183" i="9"/>
  <c r="B183" i="9"/>
  <c r="AW182" i="9"/>
  <c r="AN182" i="9"/>
  <c r="B182" i="9"/>
  <c r="AW181" i="9"/>
  <c r="AN181" i="9"/>
  <c r="B181" i="9"/>
  <c r="AW180" i="9"/>
  <c r="AN180" i="9"/>
  <c r="B180" i="9"/>
  <c r="AW179" i="9"/>
  <c r="AN179" i="9"/>
  <c r="B179" i="9"/>
  <c r="AW178" i="9"/>
  <c r="AN178" i="9"/>
  <c r="B178" i="9"/>
  <c r="AW177" i="9"/>
  <c r="AN177" i="9"/>
  <c r="B177" i="9"/>
  <c r="AW176" i="9"/>
  <c r="AO176" i="9"/>
  <c r="AN176" i="9"/>
  <c r="AP176" i="9" s="1"/>
  <c r="B176" i="9"/>
  <c r="AP175" i="9"/>
  <c r="AN175" i="9"/>
  <c r="O175" i="9"/>
  <c r="B175" i="9"/>
  <c r="AN174" i="9"/>
  <c r="B174" i="9"/>
  <c r="AW173" i="9"/>
  <c r="AN173" i="9"/>
  <c r="AP173" i="9" s="1"/>
  <c r="B173" i="9"/>
  <c r="AN172" i="9"/>
  <c r="B172" i="9"/>
  <c r="AW171" i="9"/>
  <c r="AO171" i="9"/>
  <c r="AN171" i="9"/>
  <c r="AP171" i="9" s="1"/>
  <c r="O171" i="9"/>
  <c r="B171" i="9"/>
  <c r="AW170" i="9"/>
  <c r="AP170" i="9"/>
  <c r="AN170" i="9"/>
  <c r="AO170" i="9" s="1"/>
  <c r="O170" i="9"/>
  <c r="B170" i="9"/>
  <c r="AW169" i="9"/>
  <c r="AP169" i="9"/>
  <c r="AO169" i="9"/>
  <c r="AN169" i="9"/>
  <c r="O169" i="9"/>
  <c r="B169" i="9"/>
  <c r="AW168" i="9"/>
  <c r="AP168" i="9"/>
  <c r="AN168" i="9"/>
  <c r="AO168" i="9" s="1"/>
  <c r="O168" i="9"/>
  <c r="B168" i="9"/>
  <c r="AW167" i="9"/>
  <c r="AN167" i="9"/>
  <c r="B167" i="9"/>
  <c r="AW166" i="9"/>
  <c r="AN166" i="9"/>
  <c r="B166" i="9"/>
  <c r="AW165" i="9"/>
  <c r="AP165" i="9"/>
  <c r="AO165" i="9"/>
  <c r="AN165" i="9"/>
  <c r="B165" i="9"/>
  <c r="AN164" i="9"/>
  <c r="B164" i="9"/>
  <c r="AP163" i="9"/>
  <c r="AN163" i="9"/>
  <c r="AW163" i="9" s="1"/>
  <c r="B163" i="9"/>
  <c r="AP162" i="9"/>
  <c r="AN162" i="9"/>
  <c r="AO162" i="9" s="1"/>
  <c r="O162" i="9"/>
  <c r="B162" i="9"/>
  <c r="AP161" i="9"/>
  <c r="AN161" i="9"/>
  <c r="O161" i="9"/>
  <c r="B161" i="9"/>
  <c r="AP160" i="9"/>
  <c r="AN160" i="9"/>
  <c r="AO160" i="9" s="1"/>
  <c r="O160" i="9"/>
  <c r="B160" i="9"/>
  <c r="AP159" i="9"/>
  <c r="AN159" i="9"/>
  <c r="O159" i="9"/>
  <c r="B159" i="9"/>
  <c r="AW158" i="9"/>
  <c r="AN158" i="9"/>
  <c r="AO158" i="9" s="1"/>
  <c r="B158" i="9"/>
  <c r="AW157" i="9"/>
  <c r="AP157" i="9"/>
  <c r="AO157" i="9"/>
  <c r="AN157" i="9"/>
  <c r="B157" i="9"/>
  <c r="AW156" i="9"/>
  <c r="AN156" i="9"/>
  <c r="B156" i="9"/>
  <c r="AW155" i="9"/>
  <c r="AN155" i="9"/>
  <c r="AP155" i="9" s="1"/>
  <c r="B155" i="9"/>
  <c r="AP154" i="9"/>
  <c r="AN154" i="9"/>
  <c r="AO154" i="9" s="1"/>
  <c r="O154" i="9"/>
  <c r="B154" i="9"/>
  <c r="AP153" i="9"/>
  <c r="AN153" i="9"/>
  <c r="O153" i="9"/>
  <c r="B153" i="9"/>
  <c r="AP152" i="9"/>
  <c r="AN152" i="9"/>
  <c r="AO152" i="9" s="1"/>
  <c r="O152" i="9"/>
  <c r="B152" i="9"/>
  <c r="AP151" i="9"/>
  <c r="AN151" i="9"/>
  <c r="O151" i="9"/>
  <c r="B151" i="9"/>
  <c r="AP150" i="9"/>
  <c r="AN150" i="9"/>
  <c r="AO150" i="9" s="1"/>
  <c r="O150" i="9"/>
  <c r="B150" i="9"/>
  <c r="AP149" i="9"/>
  <c r="AN149" i="9"/>
  <c r="O149" i="9"/>
  <c r="B149" i="9"/>
  <c r="AP148" i="9"/>
  <c r="AN148" i="9"/>
  <c r="AO148" i="9" s="1"/>
  <c r="O148" i="9"/>
  <c r="B148" i="9"/>
  <c r="AP147" i="9"/>
  <c r="AN147" i="9"/>
  <c r="O147" i="9"/>
  <c r="B147" i="9"/>
  <c r="AP146" i="9"/>
  <c r="AN146" i="9"/>
  <c r="AO146" i="9" s="1"/>
  <c r="O146" i="9"/>
  <c r="B146" i="9"/>
  <c r="AP145" i="9"/>
  <c r="AN145" i="9"/>
  <c r="O145" i="9"/>
  <c r="B145" i="9"/>
  <c r="AP144" i="9"/>
  <c r="AN144" i="9"/>
  <c r="AO144" i="9" s="1"/>
  <c r="O144" i="9"/>
  <c r="B144" i="9"/>
  <c r="AN143" i="9"/>
  <c r="B143" i="9"/>
  <c r="AN142" i="9"/>
  <c r="O142" i="9"/>
  <c r="B142" i="9"/>
  <c r="AW141" i="9"/>
  <c r="AP141" i="9"/>
  <c r="AO141" i="9"/>
  <c r="AN141" i="9"/>
  <c r="B141" i="9"/>
  <c r="AW140" i="9"/>
  <c r="AN140" i="9"/>
  <c r="B140" i="9"/>
  <c r="AN139" i="9"/>
  <c r="B139" i="9"/>
  <c r="AP138" i="9"/>
  <c r="AN138" i="9"/>
  <c r="AO138" i="9" s="1"/>
  <c r="O138" i="9"/>
  <c r="B138" i="9"/>
  <c r="AP137" i="9"/>
  <c r="AN137" i="9"/>
  <c r="O137" i="9"/>
  <c r="B137" i="9"/>
  <c r="AP136" i="9"/>
  <c r="AN136" i="9"/>
  <c r="AO136" i="9" s="1"/>
  <c r="N136" i="9"/>
  <c r="B136" i="9"/>
  <c r="AP135" i="9"/>
  <c r="AN135" i="9"/>
  <c r="B135" i="9"/>
  <c r="AW134" i="9"/>
  <c r="AP134" i="9"/>
  <c r="AN134" i="9"/>
  <c r="AO134" i="9" s="1"/>
  <c r="O134" i="9"/>
  <c r="B134" i="9"/>
  <c r="AW133" i="9"/>
  <c r="AP133" i="9"/>
  <c r="AO133" i="9"/>
  <c r="AN133" i="9"/>
  <c r="O133" i="9"/>
  <c r="B133" i="9"/>
  <c r="AP132" i="9"/>
  <c r="AN132" i="9"/>
  <c r="AO132" i="9" s="1"/>
  <c r="O132" i="9"/>
  <c r="B132" i="9"/>
  <c r="AW131" i="9"/>
  <c r="AP131" i="9"/>
  <c r="AO131" i="9"/>
  <c r="AN131" i="9"/>
  <c r="O131" i="9"/>
  <c r="B131" i="9"/>
  <c r="AW130" i="9"/>
  <c r="AN130" i="9"/>
  <c r="B130" i="9"/>
  <c r="AP129" i="9"/>
  <c r="AN129" i="9"/>
  <c r="AO129" i="9" s="1"/>
  <c r="B129" i="9"/>
  <c r="AN128" i="9"/>
  <c r="B128" i="9"/>
  <c r="AP127" i="9"/>
  <c r="AN127" i="9"/>
  <c r="O127" i="9"/>
  <c r="B127" i="9"/>
  <c r="AP126" i="9"/>
  <c r="AN126" i="9"/>
  <c r="AO126" i="9" s="1"/>
  <c r="O126" i="9"/>
  <c r="B126" i="9"/>
  <c r="AN125" i="9"/>
  <c r="B125" i="9"/>
  <c r="AW124" i="9"/>
  <c r="AN124" i="9"/>
  <c r="AP124" i="9" s="1"/>
  <c r="B124" i="9"/>
  <c r="AP123" i="9"/>
  <c r="AN123" i="9"/>
  <c r="AO123" i="9" s="1"/>
  <c r="B123" i="9"/>
  <c r="AP122" i="9"/>
  <c r="AO122" i="9"/>
  <c r="AN122" i="9"/>
  <c r="AW122" i="9" s="1"/>
  <c r="B122" i="9"/>
  <c r="AP121" i="9"/>
  <c r="AN121" i="9"/>
  <c r="O121" i="9"/>
  <c r="B121" i="9"/>
  <c r="AP120" i="9"/>
  <c r="AN120" i="9"/>
  <c r="AO120" i="9" s="1"/>
  <c r="O120" i="9"/>
  <c r="B120" i="9"/>
  <c r="AP119" i="9"/>
  <c r="AN119" i="9"/>
  <c r="N119" i="9"/>
  <c r="B119" i="9"/>
  <c r="AP118" i="9"/>
  <c r="AN118" i="9"/>
  <c r="AO118" i="9" s="1"/>
  <c r="B118" i="9"/>
  <c r="AO117" i="9"/>
  <c r="AN117" i="9"/>
  <c r="B117" i="9"/>
  <c r="AP116" i="9"/>
  <c r="AN116" i="9"/>
  <c r="O116" i="9"/>
  <c r="B116" i="9"/>
  <c r="AN115" i="9"/>
  <c r="B115" i="9"/>
  <c r="AW114" i="9"/>
  <c r="AN114" i="9"/>
  <c r="AP114" i="9" s="1"/>
  <c r="B114" i="9"/>
  <c r="AN113" i="9"/>
  <c r="B113" i="9"/>
  <c r="AW112" i="9"/>
  <c r="AN112" i="9"/>
  <c r="B112" i="9"/>
  <c r="AP111" i="9"/>
  <c r="AN111" i="9"/>
  <c r="AO111" i="9" s="1"/>
  <c r="B111" i="9"/>
  <c r="AN110" i="9"/>
  <c r="B110" i="9"/>
  <c r="AN109" i="9"/>
  <c r="N109" i="9"/>
  <c r="B109" i="9"/>
  <c r="AN108" i="9"/>
  <c r="AO108" i="9" s="1"/>
  <c r="B108" i="9"/>
  <c r="AW107" i="9"/>
  <c r="AP107" i="9"/>
  <c r="AO107" i="9"/>
  <c r="AN107" i="9"/>
  <c r="O107" i="9"/>
  <c r="B107" i="9"/>
  <c r="AW106" i="9"/>
  <c r="AP106" i="9"/>
  <c r="AO106" i="9"/>
  <c r="AN106" i="9"/>
  <c r="O106" i="9"/>
  <c r="B106" i="9"/>
  <c r="AW105" i="9"/>
  <c r="AP105" i="9"/>
  <c r="AO105" i="9"/>
  <c r="AN105" i="9"/>
  <c r="B105" i="9"/>
  <c r="AN104" i="9"/>
  <c r="B104" i="9"/>
  <c r="AO103" i="9"/>
  <c r="AN103" i="9"/>
  <c r="B103" i="9"/>
  <c r="AP102" i="9"/>
  <c r="AN102" i="9"/>
  <c r="AO102" i="9" s="1"/>
  <c r="B102" i="9"/>
  <c r="AP101" i="9"/>
  <c r="AO101" i="9"/>
  <c r="AN101" i="9"/>
  <c r="AW101" i="9" s="1"/>
  <c r="O101" i="9"/>
  <c r="B101" i="9"/>
  <c r="AW100" i="9"/>
  <c r="AO100" i="9"/>
  <c r="AN100" i="9"/>
  <c r="AP100" i="9" s="1"/>
  <c r="B100" i="9"/>
  <c r="AP99" i="9"/>
  <c r="AN99" i="9"/>
  <c r="AO99" i="9" s="1"/>
  <c r="B99" i="9"/>
  <c r="AP98" i="9"/>
  <c r="AO98" i="9"/>
  <c r="AN98" i="9"/>
  <c r="AW98" i="9" s="1"/>
  <c r="B98" i="9"/>
  <c r="AP97" i="9"/>
  <c r="AN97" i="9"/>
  <c r="O97" i="9"/>
  <c r="N97" i="9"/>
  <c r="B97" i="9"/>
  <c r="AW96" i="9"/>
  <c r="AP96" i="9"/>
  <c r="AN96" i="9"/>
  <c r="AO96" i="9" s="1"/>
  <c r="B96" i="9"/>
  <c r="AN95" i="9"/>
  <c r="B95" i="9"/>
  <c r="AN94" i="9"/>
  <c r="B94" i="9"/>
  <c r="AN93" i="9"/>
  <c r="AO93" i="9" s="1"/>
  <c r="B93" i="9"/>
  <c r="AN92" i="9"/>
  <c r="B92" i="9"/>
  <c r="AP91" i="9"/>
  <c r="AN91" i="9"/>
  <c r="O91" i="9"/>
  <c r="B91" i="9"/>
  <c r="AP90" i="9"/>
  <c r="AN90" i="9"/>
  <c r="AO90" i="9" s="1"/>
  <c r="O90" i="9"/>
  <c r="B90" i="9"/>
  <c r="AP89" i="9"/>
  <c r="AN89" i="9"/>
  <c r="O89" i="9"/>
  <c r="B89" i="9"/>
  <c r="AP88" i="9"/>
  <c r="AN88" i="9"/>
  <c r="AO88" i="9" s="1"/>
  <c r="O88" i="9"/>
  <c r="B88" i="9"/>
  <c r="AP87" i="9"/>
  <c r="AN87" i="9"/>
  <c r="N87" i="9"/>
  <c r="B87" i="9"/>
  <c r="AP86" i="9"/>
  <c r="AN86" i="9"/>
  <c r="AO86" i="9" s="1"/>
  <c r="B86" i="9"/>
  <c r="AP85" i="9"/>
  <c r="AO85" i="9"/>
  <c r="AN85" i="9"/>
  <c r="AW85" i="9" s="1"/>
  <c r="B85" i="9"/>
  <c r="AN84" i="9"/>
  <c r="B84" i="9"/>
  <c r="AN83" i="9"/>
  <c r="B83" i="9"/>
  <c r="AP82" i="9"/>
  <c r="AN82" i="9"/>
  <c r="B82" i="9"/>
  <c r="AW81" i="9"/>
  <c r="AP81" i="9"/>
  <c r="AN81" i="9"/>
  <c r="AO81" i="9" s="1"/>
  <c r="O81" i="9"/>
  <c r="B81" i="9"/>
  <c r="AP80" i="9"/>
  <c r="AN80" i="9"/>
  <c r="B80" i="9"/>
  <c r="AN79" i="9"/>
  <c r="B79" i="9"/>
  <c r="AN78" i="9"/>
  <c r="AP78" i="9" s="1"/>
  <c r="B78" i="9"/>
  <c r="AN77" i="9"/>
  <c r="B77" i="9"/>
  <c r="AW76" i="9"/>
  <c r="AO76" i="9"/>
  <c r="AN76" i="9"/>
  <c r="AP76" i="9" s="1"/>
  <c r="B76" i="9"/>
  <c r="AP75" i="9"/>
  <c r="AN75" i="9"/>
  <c r="B75" i="9"/>
  <c r="AW74" i="9"/>
  <c r="AP74" i="9"/>
  <c r="AO74" i="9"/>
  <c r="AN74" i="9"/>
  <c r="B74" i="9"/>
  <c r="AP73" i="9"/>
  <c r="AN73" i="9"/>
  <c r="O73" i="9"/>
  <c r="B73" i="9"/>
  <c r="AP72" i="9"/>
  <c r="AN72" i="9"/>
  <c r="O72" i="9"/>
  <c r="B72" i="9"/>
  <c r="AP71" i="9"/>
  <c r="AN71" i="9"/>
  <c r="O71" i="9"/>
  <c r="B71" i="9"/>
  <c r="AP70" i="9"/>
  <c r="AN70" i="9"/>
  <c r="O70" i="9"/>
  <c r="B70" i="9"/>
  <c r="AP69" i="9"/>
  <c r="AN69" i="9"/>
  <c r="O69" i="9"/>
  <c r="B69" i="9"/>
  <c r="AP68" i="9"/>
  <c r="AN68" i="9"/>
  <c r="O68" i="9"/>
  <c r="B68" i="9"/>
  <c r="AP67" i="9"/>
  <c r="AN67" i="9"/>
  <c r="B67" i="9"/>
  <c r="AW66" i="9"/>
  <c r="AP66" i="9"/>
  <c r="AO66" i="9"/>
  <c r="AN66" i="9"/>
  <c r="O66" i="9"/>
  <c r="B66" i="9"/>
  <c r="AP65" i="9"/>
  <c r="AO65" i="9"/>
  <c r="AN65" i="9"/>
  <c r="AW65" i="9" s="1"/>
  <c r="N65" i="9"/>
  <c r="B65" i="9"/>
  <c r="AW64" i="9"/>
  <c r="AP64" i="9"/>
  <c r="AO64" i="9"/>
  <c r="AN64" i="9"/>
  <c r="B64" i="9"/>
  <c r="AW63" i="9"/>
  <c r="AN63" i="9"/>
  <c r="AO63" i="9" s="1"/>
  <c r="B63" i="9"/>
  <c r="AW62" i="9"/>
  <c r="AP62" i="9"/>
  <c r="AO62" i="9"/>
  <c r="AN62" i="9"/>
  <c r="O62" i="9"/>
  <c r="B62" i="9"/>
  <c r="AP61" i="9"/>
  <c r="AO61" i="9"/>
  <c r="AN61" i="9"/>
  <c r="AW61" i="9" s="1"/>
  <c r="O61" i="9"/>
  <c r="B61" i="9"/>
  <c r="AW60" i="9"/>
  <c r="AP60" i="9"/>
  <c r="AO60" i="9"/>
  <c r="AN60" i="9"/>
  <c r="O60" i="9"/>
  <c r="B60" i="9"/>
  <c r="AP59" i="9"/>
  <c r="AN59" i="9"/>
  <c r="AW59" i="9" s="1"/>
  <c r="O59" i="9"/>
  <c r="B59" i="9"/>
  <c r="AW58" i="9"/>
  <c r="AP58" i="9"/>
  <c r="AO58" i="9"/>
  <c r="AN58" i="9"/>
  <c r="B58" i="9"/>
  <c r="AP57" i="9"/>
  <c r="AN57" i="9"/>
  <c r="B57" i="9"/>
  <c r="AW56" i="9"/>
  <c r="AP56" i="9"/>
  <c r="AO56" i="9"/>
  <c r="AN56" i="9"/>
  <c r="O56" i="9"/>
  <c r="B56" i="9"/>
  <c r="AO55" i="9"/>
  <c r="AN55" i="9"/>
  <c r="B55" i="9"/>
  <c r="AP54" i="9"/>
  <c r="AN54" i="9"/>
  <c r="O54" i="9"/>
  <c r="B54" i="9"/>
  <c r="AP53" i="9"/>
  <c r="AN53" i="9"/>
  <c r="N53" i="9"/>
  <c r="B53" i="9"/>
  <c r="AP52" i="9"/>
  <c r="AN52" i="9"/>
  <c r="O52" i="9"/>
  <c r="N52" i="9"/>
  <c r="B52" i="9"/>
  <c r="AW51" i="9"/>
  <c r="AP51" i="9"/>
  <c r="AO51" i="9"/>
  <c r="AN51" i="9"/>
  <c r="O51" i="9"/>
  <c r="B51" i="9"/>
  <c r="AW50" i="9"/>
  <c r="AN50" i="9"/>
  <c r="B50" i="9"/>
  <c r="AP49" i="9"/>
  <c r="AN49" i="9"/>
  <c r="O49" i="9"/>
  <c r="B49" i="9"/>
  <c r="AP48" i="9"/>
  <c r="AN48" i="9"/>
  <c r="O48" i="9"/>
  <c r="B48" i="9"/>
  <c r="AP47" i="9"/>
  <c r="AN47" i="9"/>
  <c r="O47" i="9"/>
  <c r="B47" i="9"/>
  <c r="AP46" i="9"/>
  <c r="AN46" i="9"/>
  <c r="O46" i="9"/>
  <c r="B46" i="9"/>
  <c r="AP45" i="9"/>
  <c r="AN45" i="9"/>
  <c r="O45" i="9"/>
  <c r="B45" i="9"/>
  <c r="AP44" i="9"/>
  <c r="AN44" i="9"/>
  <c r="O44" i="9"/>
  <c r="B44" i="9"/>
  <c r="AP43" i="9"/>
  <c r="AN43" i="9"/>
  <c r="O43" i="9"/>
  <c r="B43" i="9"/>
  <c r="AP42" i="9"/>
  <c r="AN42" i="9"/>
  <c r="O42" i="9"/>
  <c r="B42" i="9"/>
  <c r="AP41" i="9"/>
  <c r="AN41" i="9"/>
  <c r="O41" i="9"/>
  <c r="B41" i="9"/>
  <c r="AP40" i="9"/>
  <c r="AN40" i="9"/>
  <c r="O40" i="9"/>
  <c r="B40" i="9"/>
  <c r="AW39" i="9"/>
  <c r="AN39" i="9"/>
  <c r="B39" i="9"/>
  <c r="AN38" i="9"/>
  <c r="AP38" i="9" s="1"/>
  <c r="B38" i="9"/>
  <c r="AP37" i="9"/>
  <c r="AN37" i="9"/>
  <c r="B37" i="9"/>
  <c r="AN36" i="9"/>
  <c r="B36" i="9"/>
  <c r="AP35" i="9"/>
  <c r="AN35" i="9"/>
  <c r="B35" i="9"/>
  <c r="AW34" i="9"/>
  <c r="AP34" i="9"/>
  <c r="AN34" i="9"/>
  <c r="AO34" i="9" s="1"/>
  <c r="O34" i="9"/>
  <c r="B34" i="9"/>
  <c r="AP33" i="9"/>
  <c r="AN33" i="9"/>
  <c r="O33" i="9"/>
  <c r="N33" i="9"/>
  <c r="B33" i="9"/>
  <c r="AP32" i="9"/>
  <c r="AN32" i="9"/>
  <c r="B32" i="9"/>
  <c r="AP31" i="9"/>
  <c r="AN31" i="9"/>
  <c r="O31" i="9"/>
  <c r="B31" i="9"/>
  <c r="AP30" i="9"/>
  <c r="AN30" i="9"/>
  <c r="AW30" i="9" s="1"/>
  <c r="O30" i="9"/>
  <c r="B30" i="9"/>
  <c r="AW29" i="9"/>
  <c r="AO29" i="9"/>
  <c r="AN29" i="9"/>
  <c r="AP29" i="9" s="1"/>
  <c r="B29" i="9"/>
  <c r="AP28" i="9"/>
  <c r="AN28" i="9"/>
  <c r="B28" i="9"/>
  <c r="AW27" i="9"/>
  <c r="AP27" i="9"/>
  <c r="AO27" i="9"/>
  <c r="AN27" i="9"/>
  <c r="O27" i="9"/>
  <c r="B27" i="9"/>
  <c r="AW26" i="9"/>
  <c r="AP26" i="9"/>
  <c r="AN26" i="9"/>
  <c r="AO26" i="9" s="1"/>
  <c r="O26" i="9"/>
  <c r="B26" i="9"/>
  <c r="AW25" i="9"/>
  <c r="AP25" i="9"/>
  <c r="AO25" i="9"/>
  <c r="AN25" i="9"/>
  <c r="O25" i="9"/>
  <c r="B25" i="9"/>
  <c r="AW24" i="9"/>
  <c r="AN24" i="9"/>
  <c r="B24" i="9"/>
  <c r="AP23" i="9"/>
  <c r="AN23" i="9"/>
  <c r="B23" i="9"/>
  <c r="AP22" i="9"/>
  <c r="AN22" i="9"/>
  <c r="AO22" i="9" s="1"/>
  <c r="B22" i="9"/>
  <c r="AP21" i="9"/>
  <c r="AN21" i="9"/>
  <c r="O21" i="9"/>
  <c r="B21" i="9"/>
  <c r="AP20" i="9"/>
  <c r="AN20" i="9"/>
  <c r="B20" i="9"/>
  <c r="AP19" i="9"/>
  <c r="AN19" i="9"/>
  <c r="O19" i="9"/>
  <c r="B19" i="9"/>
  <c r="AN18" i="9"/>
  <c r="B18" i="9"/>
  <c r="AP17" i="9"/>
  <c r="AN17" i="9"/>
  <c r="O17" i="9"/>
  <c r="B17" i="9"/>
  <c r="AP16" i="9"/>
  <c r="AN16" i="9"/>
  <c r="O16" i="9"/>
  <c r="B16" i="9"/>
  <c r="AP15" i="9"/>
  <c r="AN15" i="9"/>
  <c r="O15" i="9"/>
  <c r="B15" i="9"/>
  <c r="AP14" i="9"/>
  <c r="AN14" i="9"/>
  <c r="O14" i="9"/>
  <c r="B14" i="9"/>
  <c r="AT13" i="9"/>
  <c r="AN13" i="9"/>
  <c r="AW13" i="9" s="1"/>
  <c r="B13" i="9"/>
  <c r="AP12" i="9"/>
  <c r="AN12" i="9"/>
  <c r="B12" i="9"/>
  <c r="AN11" i="9"/>
  <c r="B11" i="9"/>
  <c r="AN10" i="9"/>
  <c r="B10" i="9"/>
  <c r="AP9" i="9"/>
  <c r="AN9" i="9"/>
  <c r="O9" i="9"/>
  <c r="B9" i="9"/>
  <c r="AP8" i="9"/>
  <c r="AN8" i="9"/>
  <c r="O8" i="9"/>
  <c r="B8" i="9"/>
  <c r="AP7" i="9"/>
  <c r="AN7" i="9"/>
  <c r="B7" i="9"/>
  <c r="AP6" i="9"/>
  <c r="AN6" i="9"/>
  <c r="O6" i="9"/>
  <c r="B6" i="9"/>
  <c r="AO5" i="9"/>
  <c r="AN5" i="9"/>
  <c r="B5" i="9"/>
  <c r="AP4" i="9"/>
  <c r="AN4" i="9"/>
  <c r="N4" i="9"/>
  <c r="B4" i="9"/>
  <c r="AZ74" i="8"/>
  <c r="AZ73" i="8"/>
  <c r="AZ72" i="8"/>
  <c r="AZ71" i="8"/>
  <c r="AZ70" i="8"/>
  <c r="AZ69" i="8"/>
  <c r="AZ68" i="8"/>
  <c r="O68" i="8"/>
  <c r="N68" i="8"/>
  <c r="AZ67" i="8"/>
  <c r="AM62" i="8"/>
  <c r="AK62" i="8"/>
  <c r="B62" i="8"/>
  <c r="AT61" i="8"/>
  <c r="AM61" i="8"/>
  <c r="AL61" i="8"/>
  <c r="AK61" i="8"/>
  <c r="B61" i="8"/>
  <c r="AT60" i="8"/>
  <c r="AM60" i="8"/>
  <c r="AK60" i="8"/>
  <c r="AL60" i="8" s="1"/>
  <c r="B60" i="8"/>
  <c r="AT59" i="8"/>
  <c r="AM59" i="8"/>
  <c r="AK59" i="8"/>
  <c r="AL59" i="8" s="1"/>
  <c r="B59" i="8"/>
  <c r="AT58" i="8"/>
  <c r="AM58" i="8"/>
  <c r="AK58" i="8"/>
  <c r="AL58" i="8" s="1"/>
  <c r="B58" i="8"/>
  <c r="AT57" i="8"/>
  <c r="AM57" i="8"/>
  <c r="AK57" i="8"/>
  <c r="AL57" i="8" s="1"/>
  <c r="B57" i="8"/>
  <c r="AT56" i="8"/>
  <c r="AM56" i="8"/>
  <c r="AK56" i="8"/>
  <c r="AL56" i="8" s="1"/>
  <c r="B56" i="8"/>
  <c r="AT55" i="8"/>
  <c r="AM55" i="8"/>
  <c r="AK55" i="8"/>
  <c r="AL55" i="8" s="1"/>
  <c r="B55" i="8"/>
  <c r="AT54" i="8"/>
  <c r="AM54" i="8"/>
  <c r="AK54" i="8"/>
  <c r="AL54" i="8" s="1"/>
  <c r="B54" i="8"/>
  <c r="AT53" i="8"/>
  <c r="AM53" i="8"/>
  <c r="AL53" i="8"/>
  <c r="AK53" i="8"/>
  <c r="B53" i="8"/>
  <c r="AK52" i="8"/>
  <c r="B52" i="8"/>
  <c r="AT51" i="8"/>
  <c r="AM51" i="8"/>
  <c r="AK51" i="8"/>
  <c r="AL51" i="8" s="1"/>
  <c r="B51" i="8"/>
  <c r="AT50" i="8"/>
  <c r="AM50" i="8"/>
  <c r="AK50" i="8"/>
  <c r="AL50" i="8" s="1"/>
  <c r="B50" i="8"/>
  <c r="AT49" i="8"/>
  <c r="AM49" i="8"/>
  <c r="AL49" i="8"/>
  <c r="AK49" i="8"/>
  <c r="B49" i="8"/>
  <c r="AT48" i="8"/>
  <c r="AM48" i="8"/>
  <c r="AK48" i="8"/>
  <c r="AL48" i="8" s="1"/>
  <c r="B48" i="8"/>
  <c r="AT47" i="8"/>
  <c r="AM47" i="8"/>
  <c r="AK47" i="8"/>
  <c r="AL47" i="8" s="1"/>
  <c r="B47" i="8"/>
  <c r="AT46" i="8"/>
  <c r="AM46" i="8"/>
  <c r="AK46" i="8"/>
  <c r="AL46" i="8" s="1"/>
  <c r="B46" i="8"/>
  <c r="AT45" i="8"/>
  <c r="AM45" i="8"/>
  <c r="AL45" i="8"/>
  <c r="AK45" i="8"/>
  <c r="B45" i="8"/>
  <c r="AT44" i="8"/>
  <c r="AM44" i="8"/>
  <c r="AK44" i="8"/>
  <c r="AL44" i="8" s="1"/>
  <c r="B44" i="8"/>
  <c r="AT43" i="8"/>
  <c r="AM43" i="8"/>
  <c r="AK43" i="8"/>
  <c r="AL43" i="8" s="1"/>
  <c r="B43" i="8"/>
  <c r="AT42" i="8"/>
  <c r="AM42" i="8"/>
  <c r="AK42" i="8"/>
  <c r="AL42" i="8" s="1"/>
  <c r="B42" i="8"/>
  <c r="AT41" i="8"/>
  <c r="AM41" i="8"/>
  <c r="AL41" i="8"/>
  <c r="AK41" i="8"/>
  <c r="B41" i="8"/>
  <c r="AT40" i="8"/>
  <c r="AM40" i="8"/>
  <c r="AK40" i="8"/>
  <c r="AL40" i="8" s="1"/>
  <c r="B40" i="8"/>
  <c r="AT39" i="8"/>
  <c r="AM39" i="8"/>
  <c r="AK39" i="8"/>
  <c r="AL39" i="8" s="1"/>
  <c r="B39" i="8"/>
  <c r="AT38" i="8"/>
  <c r="AM38" i="8"/>
  <c r="AK38" i="8"/>
  <c r="AL38" i="8" s="1"/>
  <c r="B38" i="8"/>
  <c r="AT37" i="8"/>
  <c r="AM37" i="8"/>
  <c r="AK37" i="8"/>
  <c r="AL37" i="8" s="1"/>
  <c r="B37" i="8"/>
  <c r="AT36" i="8"/>
  <c r="AK36" i="8"/>
  <c r="AL36" i="8" s="1"/>
  <c r="B36" i="8"/>
  <c r="AK35" i="8"/>
  <c r="B35" i="8"/>
  <c r="AT34" i="8"/>
  <c r="AM34" i="8"/>
  <c r="AK34" i="8"/>
  <c r="AL34" i="8" s="1"/>
  <c r="B34" i="8"/>
  <c r="AT33" i="8"/>
  <c r="AM33" i="8"/>
  <c r="AL33" i="8"/>
  <c r="AK33" i="8"/>
  <c r="B33" i="8"/>
  <c r="AT32" i="8"/>
  <c r="AM32" i="8"/>
  <c r="AK32" i="8"/>
  <c r="AL32" i="8" s="1"/>
  <c r="B32" i="8"/>
  <c r="AT31" i="8"/>
  <c r="AM31" i="8"/>
  <c r="AK31" i="8"/>
  <c r="AL31" i="8" s="1"/>
  <c r="B31" i="8"/>
  <c r="AT30" i="8"/>
  <c r="AM30" i="8"/>
  <c r="AK30" i="8"/>
  <c r="AL30" i="8" s="1"/>
  <c r="B30" i="8"/>
  <c r="AT29" i="8"/>
  <c r="AM29" i="8"/>
  <c r="AL29" i="8"/>
  <c r="AK29" i="8"/>
  <c r="B29" i="8"/>
  <c r="AM28" i="8"/>
  <c r="AK28" i="8"/>
  <c r="B28" i="8"/>
  <c r="AT27" i="8"/>
  <c r="AM27" i="8"/>
  <c r="AL27" i="8"/>
  <c r="AK27" i="8"/>
  <c r="B27" i="8"/>
  <c r="AT26" i="8"/>
  <c r="AM26" i="8"/>
  <c r="AK26" i="8"/>
  <c r="AL26" i="8" s="1"/>
  <c r="B26" i="8"/>
  <c r="AT25" i="8"/>
  <c r="AM25" i="8"/>
  <c r="AK25" i="8"/>
  <c r="AL25" i="8" s="1"/>
  <c r="B25" i="8"/>
  <c r="AT24" i="8"/>
  <c r="AM24" i="8"/>
  <c r="AK24" i="8"/>
  <c r="AL24" i="8" s="1"/>
  <c r="B24" i="8"/>
  <c r="AT23" i="8"/>
  <c r="AM23" i="8"/>
  <c r="AK23" i="8"/>
  <c r="AL23" i="8" s="1"/>
  <c r="B23" i="8"/>
  <c r="AT22" i="8"/>
  <c r="AM22" i="8"/>
  <c r="AK22" i="8"/>
  <c r="AL22" i="8" s="1"/>
  <c r="B22" i="8"/>
  <c r="AT21" i="8"/>
  <c r="AM21" i="8"/>
  <c r="AL21" i="8"/>
  <c r="AK21" i="8"/>
  <c r="B21" i="8"/>
  <c r="AT20" i="8"/>
  <c r="AM20" i="8"/>
  <c r="AK20" i="8"/>
  <c r="AL20" i="8" s="1"/>
  <c r="B20" i="8"/>
  <c r="AT19" i="8"/>
  <c r="AM19" i="8"/>
  <c r="AL19" i="8"/>
  <c r="AK19" i="8"/>
  <c r="B19" i="8"/>
  <c r="AT18" i="8"/>
  <c r="AM18" i="8"/>
  <c r="AK18" i="8"/>
  <c r="AL18" i="8" s="1"/>
  <c r="B18" i="8"/>
  <c r="AT17" i="8"/>
  <c r="AM17" i="8"/>
  <c r="AK17" i="8"/>
  <c r="AL17" i="8" s="1"/>
  <c r="B17" i="8"/>
  <c r="AT16" i="8"/>
  <c r="AM16" i="8"/>
  <c r="AK16" i="8"/>
  <c r="AL16" i="8" s="1"/>
  <c r="B16" i="8"/>
  <c r="AT15" i="8"/>
  <c r="AM15" i="8"/>
  <c r="AL15" i="8"/>
  <c r="AK15" i="8"/>
  <c r="B15" i="8"/>
  <c r="AT14" i="8"/>
  <c r="AM14" i="8"/>
  <c r="AK14" i="8"/>
  <c r="AL14" i="8" s="1"/>
  <c r="B14" i="8"/>
  <c r="AT13" i="8"/>
  <c r="AM13" i="8"/>
  <c r="AK13" i="8"/>
  <c r="AL13" i="8" s="1"/>
  <c r="B13" i="8"/>
  <c r="AT12" i="8"/>
  <c r="AM12" i="8"/>
  <c r="AK12" i="8"/>
  <c r="AL12" i="8" s="1"/>
  <c r="B12" i="8"/>
  <c r="AT11" i="8"/>
  <c r="AM11" i="8"/>
  <c r="AK11" i="8"/>
  <c r="AL11" i="8" s="1"/>
  <c r="B11" i="8"/>
  <c r="AT10" i="8"/>
  <c r="AM10" i="8"/>
  <c r="AL10" i="8"/>
  <c r="AK10" i="8"/>
  <c r="B10" i="8"/>
  <c r="AT9" i="8"/>
  <c r="AM9" i="8"/>
  <c r="AK9" i="8"/>
  <c r="AL9" i="8" s="1"/>
  <c r="B9" i="8"/>
  <c r="AT8" i="8"/>
  <c r="AM8" i="8"/>
  <c r="AK8" i="8"/>
  <c r="AL8" i="8" s="1"/>
  <c r="B8" i="8"/>
  <c r="AT7" i="8"/>
  <c r="AM7" i="8"/>
  <c r="AL7" i="8"/>
  <c r="AK7" i="8"/>
  <c r="B7" i="8"/>
  <c r="AT6" i="8"/>
  <c r="AM6" i="8"/>
  <c r="AK6" i="8"/>
  <c r="AL6" i="8" s="1"/>
  <c r="B6" i="8"/>
  <c r="AT5" i="8"/>
  <c r="AM5" i="8"/>
  <c r="AL5" i="8"/>
  <c r="AK5" i="8"/>
  <c r="B5" i="8"/>
  <c r="AT4" i="8"/>
  <c r="AM4" i="8"/>
  <c r="AK4" i="8"/>
  <c r="AL4" i="8" s="1"/>
  <c r="B4" i="8"/>
  <c r="AZ246" i="7"/>
  <c r="AZ245" i="7"/>
  <c r="AZ244" i="7"/>
  <c r="AZ243" i="7"/>
  <c r="AZ242" i="7"/>
  <c r="AZ241" i="7"/>
  <c r="AZ240" i="7"/>
  <c r="AZ239" i="7"/>
  <c r="BA237" i="7"/>
  <c r="AZ237" i="7"/>
  <c r="AX237" i="7"/>
  <c r="AT237" i="7"/>
  <c r="AM237" i="7"/>
  <c r="AL237" i="7"/>
  <c r="AK237" i="7"/>
  <c r="B237" i="7"/>
  <c r="BA236" i="7"/>
  <c r="AZ236" i="7"/>
  <c r="AX236" i="7"/>
  <c r="AT236" i="7"/>
  <c r="AM236" i="7"/>
  <c r="AL236" i="7"/>
  <c r="AK236" i="7"/>
  <c r="B236" i="7"/>
  <c r="BA235" i="7"/>
  <c r="AZ235" i="7"/>
  <c r="AX235" i="7"/>
  <c r="AT235" i="7"/>
  <c r="AM235" i="7"/>
  <c r="AL235" i="7"/>
  <c r="AK235" i="7"/>
  <c r="B235" i="7"/>
  <c r="BA234" i="7"/>
  <c r="AZ234" i="7"/>
  <c r="AX234" i="7"/>
  <c r="AT234" i="7"/>
  <c r="AM234" i="7"/>
  <c r="AL234" i="7"/>
  <c r="AK234" i="7"/>
  <c r="B234" i="7"/>
  <c r="BA233" i="7"/>
  <c r="AZ233" i="7"/>
  <c r="AX233" i="7"/>
  <c r="AT233" i="7"/>
  <c r="AM233" i="7"/>
  <c r="AL233" i="7"/>
  <c r="AK233" i="7"/>
  <c r="B233" i="7"/>
  <c r="BA232" i="7"/>
  <c r="AZ232" i="7"/>
  <c r="AX232" i="7"/>
  <c r="AT232" i="7"/>
  <c r="AM232" i="7"/>
  <c r="AL232" i="7"/>
  <c r="AK232" i="7"/>
  <c r="B232" i="7"/>
  <c r="BA231" i="7"/>
  <c r="AZ231" i="7"/>
  <c r="AX231" i="7"/>
  <c r="AT231" i="7"/>
  <c r="AM231" i="7"/>
  <c r="AL231" i="7"/>
  <c r="AK231" i="7"/>
  <c r="B231" i="7"/>
  <c r="BA230" i="7"/>
  <c r="AZ230" i="7"/>
  <c r="AX230" i="7"/>
  <c r="AT230" i="7"/>
  <c r="AM230" i="7"/>
  <c r="AL230" i="7"/>
  <c r="AK230" i="7"/>
  <c r="B230" i="7"/>
  <c r="BA229" i="7"/>
  <c r="AZ229" i="7"/>
  <c r="AX229" i="7"/>
  <c r="AT229" i="7"/>
  <c r="AM229" i="7"/>
  <c r="AL229" i="7"/>
  <c r="AK229" i="7"/>
  <c r="B229" i="7"/>
  <c r="BA228" i="7"/>
  <c r="AZ228" i="7"/>
  <c r="AX228" i="7"/>
  <c r="AM228" i="7"/>
  <c r="AK228" i="7"/>
  <c r="AT228" i="7" s="1"/>
  <c r="B228" i="7"/>
  <c r="BA227" i="7"/>
  <c r="AZ227" i="7"/>
  <c r="AX227" i="7"/>
  <c r="AM227" i="7"/>
  <c r="AL227" i="7"/>
  <c r="AK227" i="7"/>
  <c r="AT227" i="7" s="1"/>
  <c r="B227" i="7"/>
  <c r="BA226" i="7"/>
  <c r="AZ226" i="7"/>
  <c r="AX226" i="7"/>
  <c r="AM226" i="7"/>
  <c r="AK226" i="7"/>
  <c r="AT226" i="7" s="1"/>
  <c r="B226" i="7"/>
  <c r="BA225" i="7"/>
  <c r="AZ225" i="7"/>
  <c r="AX225" i="7"/>
  <c r="AM225" i="7"/>
  <c r="AK225" i="7"/>
  <c r="B225" i="7"/>
  <c r="BA224" i="7"/>
  <c r="AZ224" i="7"/>
  <c r="AX224" i="7"/>
  <c r="AM224" i="7"/>
  <c r="AK224" i="7"/>
  <c r="AT224" i="7" s="1"/>
  <c r="B224" i="7"/>
  <c r="BA223" i="7"/>
  <c r="AZ223" i="7"/>
  <c r="AX223" i="7"/>
  <c r="AM223" i="7"/>
  <c r="AK223" i="7"/>
  <c r="AT223" i="7" s="1"/>
  <c r="B223" i="7"/>
  <c r="BA222" i="7"/>
  <c r="AZ222" i="7"/>
  <c r="AX222" i="7"/>
  <c r="AM222" i="7"/>
  <c r="AK222" i="7"/>
  <c r="AT222" i="7" s="1"/>
  <c r="B222" i="7"/>
  <c r="BA221" i="7"/>
  <c r="AZ221" i="7"/>
  <c r="AX221" i="7"/>
  <c r="AM221" i="7"/>
  <c r="AL221" i="7"/>
  <c r="AK221" i="7"/>
  <c r="AT221" i="7" s="1"/>
  <c r="B221" i="7"/>
  <c r="BA220" i="7"/>
  <c r="AZ220" i="7"/>
  <c r="AX220" i="7"/>
  <c r="AM220" i="7"/>
  <c r="AK220" i="7"/>
  <c r="AT220" i="7" s="1"/>
  <c r="B220" i="7"/>
  <c r="BA219" i="7"/>
  <c r="AZ219" i="7"/>
  <c r="AX219" i="7"/>
  <c r="AM219" i="7"/>
  <c r="AL219" i="7"/>
  <c r="AK219" i="7"/>
  <c r="AT219" i="7" s="1"/>
  <c r="O219" i="7"/>
  <c r="O240" i="7" s="1"/>
  <c r="N219" i="7"/>
  <c r="N240" i="7" s="1"/>
  <c r="B219" i="7"/>
  <c r="BA218" i="7"/>
  <c r="AZ218" i="7"/>
  <c r="AX218" i="7"/>
  <c r="AM218" i="7"/>
  <c r="AK218" i="7"/>
  <c r="AT218" i="7" s="1"/>
  <c r="B218" i="7"/>
  <c r="BA217" i="7"/>
  <c r="AZ217" i="7"/>
  <c r="AX217" i="7"/>
  <c r="AM217" i="7"/>
  <c r="AK217" i="7"/>
  <c r="AT217" i="7" s="1"/>
  <c r="B217" i="7"/>
  <c r="BA216" i="7"/>
  <c r="AZ216" i="7"/>
  <c r="AX216" i="7"/>
  <c r="AM216" i="7"/>
  <c r="AK216" i="7"/>
  <c r="AT216" i="7" s="1"/>
  <c r="B216" i="7"/>
  <c r="BA215" i="7"/>
  <c r="AZ215" i="7"/>
  <c r="AX215" i="7"/>
  <c r="AM215" i="7"/>
  <c r="AK215" i="7"/>
  <c r="AT215" i="7" s="1"/>
  <c r="B215" i="7"/>
  <c r="BA214" i="7"/>
  <c r="AZ214" i="7"/>
  <c r="AX214" i="7"/>
  <c r="AM214" i="7"/>
  <c r="AK214" i="7"/>
  <c r="AT214" i="7" s="1"/>
  <c r="B214" i="7"/>
  <c r="BA213" i="7"/>
  <c r="AZ213" i="7"/>
  <c r="AX213" i="7"/>
  <c r="AM213" i="7"/>
  <c r="AK213" i="7"/>
  <c r="AT213" i="7" s="1"/>
  <c r="B213" i="7"/>
  <c r="BA212" i="7"/>
  <c r="AZ212" i="7"/>
  <c r="AX212" i="7"/>
  <c r="AM212" i="7"/>
  <c r="AK212" i="7"/>
  <c r="AT212" i="7" s="1"/>
  <c r="B212" i="7"/>
  <c r="BA211" i="7"/>
  <c r="AZ211" i="7"/>
  <c r="AX211" i="7"/>
  <c r="AM211" i="7"/>
  <c r="AK211" i="7"/>
  <c r="AT211" i="7" s="1"/>
  <c r="B211" i="7"/>
  <c r="BA210" i="7"/>
  <c r="AZ210" i="7"/>
  <c r="AX210" i="7"/>
  <c r="AM210" i="7"/>
  <c r="AK210" i="7"/>
  <c r="AT210" i="7" s="1"/>
  <c r="B210" i="7"/>
  <c r="BA209" i="7"/>
  <c r="AZ209" i="7"/>
  <c r="AX209" i="7"/>
  <c r="AM209" i="7"/>
  <c r="AK209" i="7"/>
  <c r="AT209" i="7" s="1"/>
  <c r="B209" i="7"/>
  <c r="BA208" i="7"/>
  <c r="AZ208" i="7"/>
  <c r="AX208" i="7"/>
  <c r="AM208" i="7"/>
  <c r="AK208" i="7"/>
  <c r="AT208" i="7" s="1"/>
  <c r="B208" i="7"/>
  <c r="BA207" i="7"/>
  <c r="AZ207" i="7"/>
  <c r="AX207" i="7"/>
  <c r="AM207" i="7"/>
  <c r="AK207" i="7"/>
  <c r="AT207" i="7" s="1"/>
  <c r="B207" i="7"/>
  <c r="BA206" i="7"/>
  <c r="AZ206" i="7"/>
  <c r="AX206" i="7"/>
  <c r="AM206" i="7"/>
  <c r="AK206" i="7"/>
  <c r="AT206" i="7" s="1"/>
  <c r="B206" i="7"/>
  <c r="BA205" i="7"/>
  <c r="AZ205" i="7"/>
  <c r="AX205" i="7"/>
  <c r="AM205" i="7"/>
  <c r="AK205" i="7"/>
  <c r="AT205" i="7" s="1"/>
  <c r="B205" i="7"/>
  <c r="BA204" i="7"/>
  <c r="AZ204" i="7"/>
  <c r="AX204" i="7"/>
  <c r="AM204" i="7"/>
  <c r="AK204" i="7"/>
  <c r="AT204" i="7" s="1"/>
  <c r="B204" i="7"/>
  <c r="BA203" i="7"/>
  <c r="AZ203" i="7"/>
  <c r="AX203" i="7"/>
  <c r="AM203" i="7"/>
  <c r="AK203" i="7"/>
  <c r="AT203" i="7" s="1"/>
  <c r="B203" i="7"/>
  <c r="BA202" i="7"/>
  <c r="AZ202" i="7"/>
  <c r="AX202" i="7"/>
  <c r="AM202" i="7"/>
  <c r="AK202" i="7"/>
  <c r="AT202" i="7" s="1"/>
  <c r="B202" i="7"/>
  <c r="BA201" i="7"/>
  <c r="AZ201" i="7"/>
  <c r="AX201" i="7"/>
  <c r="AM201" i="7"/>
  <c r="AK201" i="7"/>
  <c r="AT201" i="7" s="1"/>
  <c r="B201" i="7"/>
  <c r="BA200" i="7"/>
  <c r="AZ200" i="7"/>
  <c r="AX200" i="7"/>
  <c r="AM200" i="7"/>
  <c r="AK200" i="7"/>
  <c r="AT200" i="7" s="1"/>
  <c r="B200" i="7"/>
  <c r="BA199" i="7"/>
  <c r="AZ199" i="7"/>
  <c r="AX199" i="7"/>
  <c r="AM199" i="7"/>
  <c r="AK199" i="7"/>
  <c r="AT199" i="7" s="1"/>
  <c r="B199" i="7"/>
  <c r="BA198" i="7"/>
  <c r="AZ198" i="7"/>
  <c r="AX198" i="7"/>
  <c r="AM198" i="7"/>
  <c r="AK198" i="7"/>
  <c r="AT198" i="7" s="1"/>
  <c r="B198" i="7"/>
  <c r="BA197" i="7"/>
  <c r="AZ197" i="7"/>
  <c r="AX197" i="7"/>
  <c r="AM197" i="7"/>
  <c r="AK197" i="7"/>
  <c r="AT197" i="7" s="1"/>
  <c r="B197" i="7"/>
  <c r="BA196" i="7"/>
  <c r="AZ196" i="7"/>
  <c r="AX196" i="7"/>
  <c r="AM196" i="7"/>
  <c r="AK196" i="7"/>
  <c r="AT196" i="7" s="1"/>
  <c r="B196" i="7"/>
  <c r="BA195" i="7"/>
  <c r="AZ195" i="7"/>
  <c r="AX195" i="7"/>
  <c r="AM195" i="7"/>
  <c r="AK195" i="7"/>
  <c r="AT195" i="7" s="1"/>
  <c r="B195" i="7"/>
  <c r="BA194" i="7"/>
  <c r="AZ194" i="7"/>
  <c r="AX194" i="7"/>
  <c r="AM194" i="7"/>
  <c r="AK194" i="7"/>
  <c r="AT194" i="7" s="1"/>
  <c r="B194" i="7"/>
  <c r="BA193" i="7"/>
  <c r="AZ193" i="7"/>
  <c r="AX193" i="7"/>
  <c r="AM193" i="7"/>
  <c r="AK193" i="7"/>
  <c r="AT193" i="7" s="1"/>
  <c r="B193" i="7"/>
  <c r="BA192" i="7"/>
  <c r="AZ192" i="7"/>
  <c r="AX192" i="7"/>
  <c r="AM192" i="7"/>
  <c r="AK192" i="7"/>
  <c r="AT192" i="7" s="1"/>
  <c r="B192" i="7"/>
  <c r="BA191" i="7"/>
  <c r="AZ191" i="7"/>
  <c r="AX191" i="7"/>
  <c r="AM191" i="7"/>
  <c r="AK191" i="7"/>
  <c r="AT191" i="7" s="1"/>
  <c r="B191" i="7"/>
  <c r="BA190" i="7"/>
  <c r="AZ190" i="7"/>
  <c r="AX190" i="7"/>
  <c r="AM190" i="7"/>
  <c r="AK190" i="7"/>
  <c r="AT190" i="7" s="1"/>
  <c r="B190" i="7"/>
  <c r="BA189" i="7"/>
  <c r="AZ189" i="7"/>
  <c r="AX189" i="7"/>
  <c r="AM189" i="7"/>
  <c r="AK189" i="7"/>
  <c r="AT189" i="7" s="1"/>
  <c r="B189" i="7"/>
  <c r="BA188" i="7"/>
  <c r="AZ188" i="7"/>
  <c r="AX188" i="7"/>
  <c r="AM188" i="7"/>
  <c r="AK188" i="7"/>
  <c r="AT188" i="7" s="1"/>
  <c r="B188" i="7"/>
  <c r="BA187" i="7"/>
  <c r="AZ187" i="7"/>
  <c r="AX187" i="7"/>
  <c r="AM187" i="7"/>
  <c r="AK187" i="7"/>
  <c r="AT187" i="7" s="1"/>
  <c r="B187" i="7"/>
  <c r="BA186" i="7"/>
  <c r="AZ186" i="7"/>
  <c r="AX186" i="7"/>
  <c r="AM186" i="7"/>
  <c r="AK186" i="7"/>
  <c r="AT186" i="7" s="1"/>
  <c r="B186" i="7"/>
  <c r="BA185" i="7"/>
  <c r="AZ185" i="7"/>
  <c r="AX185" i="7"/>
  <c r="AM185" i="7"/>
  <c r="AK185" i="7"/>
  <c r="AT185" i="7" s="1"/>
  <c r="B185" i="7"/>
  <c r="BA184" i="7"/>
  <c r="AZ184" i="7"/>
  <c r="AX184" i="7"/>
  <c r="AM184" i="7"/>
  <c r="AK184" i="7"/>
  <c r="AL184" i="7" s="1"/>
  <c r="B184" i="7"/>
  <c r="BA183" i="7"/>
  <c r="AZ183" i="7"/>
  <c r="AX183" i="7"/>
  <c r="AM183" i="7"/>
  <c r="AK183" i="7"/>
  <c r="AL183" i="7" s="1"/>
  <c r="B183" i="7"/>
  <c r="BA182" i="7"/>
  <c r="AZ182" i="7"/>
  <c r="AX182" i="7"/>
  <c r="AM182" i="7"/>
  <c r="AK182" i="7"/>
  <c r="AL182" i="7" s="1"/>
  <c r="B182" i="7"/>
  <c r="BA181" i="7"/>
  <c r="AZ181" i="7"/>
  <c r="AX181" i="7"/>
  <c r="AM181" i="7"/>
  <c r="AK181" i="7"/>
  <c r="AL181" i="7" s="1"/>
  <c r="B181" i="7"/>
  <c r="BA180" i="7"/>
  <c r="AZ180" i="7"/>
  <c r="AX180" i="7"/>
  <c r="AM180" i="7"/>
  <c r="AK180" i="7"/>
  <c r="AL180" i="7" s="1"/>
  <c r="B180" i="7"/>
  <c r="BA179" i="7"/>
  <c r="AZ179" i="7"/>
  <c r="AX179" i="7"/>
  <c r="AM179" i="7"/>
  <c r="AK179" i="7"/>
  <c r="AL179" i="7" s="1"/>
  <c r="B179" i="7"/>
  <c r="BA178" i="7"/>
  <c r="AZ178" i="7"/>
  <c r="AX178" i="7"/>
  <c r="AM178" i="7"/>
  <c r="AK178" i="7"/>
  <c r="AL178" i="7" s="1"/>
  <c r="B178" i="7"/>
  <c r="BA177" i="7"/>
  <c r="AZ177" i="7"/>
  <c r="AX177" i="7"/>
  <c r="AM177" i="7"/>
  <c r="AK177" i="7"/>
  <c r="AL177" i="7" s="1"/>
  <c r="B177" i="7"/>
  <c r="BA176" i="7"/>
  <c r="AZ176" i="7"/>
  <c r="AX176" i="7"/>
  <c r="AM176" i="7"/>
  <c r="AK176" i="7"/>
  <c r="AL176" i="7" s="1"/>
  <c r="B176" i="7"/>
  <c r="BA175" i="7"/>
  <c r="AZ175" i="7"/>
  <c r="AX175" i="7"/>
  <c r="AM175" i="7"/>
  <c r="AK175" i="7"/>
  <c r="AL175" i="7" s="1"/>
  <c r="B175" i="7"/>
  <c r="BA174" i="7"/>
  <c r="AZ174" i="7"/>
  <c r="AX174" i="7"/>
  <c r="AM174" i="7"/>
  <c r="AK174" i="7"/>
  <c r="AL174" i="7" s="1"/>
  <c r="B174" i="7"/>
  <c r="BA173" i="7"/>
  <c r="AZ173" i="7"/>
  <c r="AX173" i="7"/>
  <c r="AM173" i="7"/>
  <c r="AK173" i="7"/>
  <c r="AL173" i="7" s="1"/>
  <c r="B173" i="7"/>
  <c r="BA172" i="7"/>
  <c r="AZ172" i="7"/>
  <c r="AX172" i="7"/>
  <c r="AM172" i="7"/>
  <c r="AK172" i="7"/>
  <c r="AL172" i="7" s="1"/>
  <c r="B172" i="7"/>
  <c r="BA171" i="7"/>
  <c r="AZ171" i="7"/>
  <c r="AX171" i="7"/>
  <c r="AM171" i="7"/>
  <c r="AK171" i="7"/>
  <c r="AL171" i="7" s="1"/>
  <c r="B171" i="7"/>
  <c r="BA170" i="7"/>
  <c r="AZ170" i="7"/>
  <c r="AX170" i="7"/>
  <c r="AM170" i="7"/>
  <c r="AK170" i="7"/>
  <c r="AL170" i="7" s="1"/>
  <c r="B170" i="7"/>
  <c r="BA169" i="7"/>
  <c r="AZ169" i="7"/>
  <c r="AX169" i="7"/>
  <c r="AM169" i="7"/>
  <c r="AK169" i="7"/>
  <c r="AL169" i="7" s="1"/>
  <c r="B169" i="7"/>
  <c r="BA168" i="7"/>
  <c r="AZ168" i="7"/>
  <c r="AX168" i="7"/>
  <c r="AM168" i="7"/>
  <c r="AK168" i="7"/>
  <c r="AL168" i="7" s="1"/>
  <c r="B168" i="7"/>
  <c r="BA167" i="7"/>
  <c r="AZ167" i="7"/>
  <c r="AX167" i="7"/>
  <c r="AM167" i="7"/>
  <c r="AK167" i="7"/>
  <c r="AL167" i="7" s="1"/>
  <c r="B167" i="7"/>
  <c r="BA166" i="7"/>
  <c r="AZ166" i="7"/>
  <c r="AX166" i="7"/>
  <c r="AM166" i="7"/>
  <c r="AK166" i="7"/>
  <c r="AL166" i="7" s="1"/>
  <c r="B166" i="7"/>
  <c r="BA165" i="7"/>
  <c r="AZ165" i="7"/>
  <c r="AX165" i="7"/>
  <c r="AM165" i="7"/>
  <c r="AK165" i="7"/>
  <c r="AL165" i="7" s="1"/>
  <c r="B165" i="7"/>
  <c r="BA164" i="7"/>
  <c r="AZ164" i="7"/>
  <c r="AX164" i="7"/>
  <c r="AM164" i="7"/>
  <c r="AK164" i="7"/>
  <c r="AL164" i="7" s="1"/>
  <c r="B164" i="7"/>
  <c r="BA163" i="7"/>
  <c r="AZ163" i="7"/>
  <c r="AX163" i="7"/>
  <c r="AM163" i="7"/>
  <c r="AK163" i="7"/>
  <c r="AL163" i="7" s="1"/>
  <c r="B163" i="7"/>
  <c r="BA162" i="7"/>
  <c r="AZ162" i="7"/>
  <c r="AX162" i="7"/>
  <c r="AM162" i="7"/>
  <c r="AK162" i="7"/>
  <c r="AL162" i="7" s="1"/>
  <c r="B162" i="7"/>
  <c r="BA161" i="7"/>
  <c r="AZ161" i="7"/>
  <c r="AX161" i="7"/>
  <c r="AM161" i="7"/>
  <c r="AK161" i="7"/>
  <c r="AL161" i="7" s="1"/>
  <c r="B161" i="7"/>
  <c r="BA160" i="7"/>
  <c r="AZ160" i="7"/>
  <c r="AX160" i="7"/>
  <c r="AM160" i="7"/>
  <c r="AK160" i="7"/>
  <c r="AL160" i="7" s="1"/>
  <c r="B160" i="7"/>
  <c r="BA159" i="7"/>
  <c r="AZ159" i="7"/>
  <c r="AX159" i="7"/>
  <c r="AM159" i="7"/>
  <c r="AK159" i="7"/>
  <c r="AL159" i="7" s="1"/>
  <c r="B159" i="7"/>
  <c r="BA158" i="7"/>
  <c r="AZ158" i="7"/>
  <c r="AX158" i="7"/>
  <c r="AM158" i="7"/>
  <c r="AK158" i="7"/>
  <c r="AL158" i="7" s="1"/>
  <c r="B158" i="7"/>
  <c r="BA157" i="7"/>
  <c r="AZ157" i="7"/>
  <c r="AX157" i="7"/>
  <c r="AM157" i="7"/>
  <c r="AK157" i="7"/>
  <c r="AL157" i="7" s="1"/>
  <c r="B157" i="7"/>
  <c r="BA156" i="7"/>
  <c r="AZ156" i="7"/>
  <c r="AX156" i="7"/>
  <c r="AM156" i="7"/>
  <c r="AK156" i="7"/>
  <c r="AL156" i="7" s="1"/>
  <c r="B156" i="7"/>
  <c r="BA155" i="7"/>
  <c r="AZ155" i="7"/>
  <c r="AX155" i="7"/>
  <c r="AM155" i="7"/>
  <c r="AK155" i="7"/>
  <c r="AL155" i="7" s="1"/>
  <c r="B155" i="7"/>
  <c r="BA154" i="7"/>
  <c r="AZ154" i="7"/>
  <c r="AX154" i="7"/>
  <c r="AM154" i="7"/>
  <c r="AK154" i="7"/>
  <c r="AL154" i="7" s="1"/>
  <c r="B154" i="7"/>
  <c r="BA153" i="7"/>
  <c r="AZ153" i="7"/>
  <c r="AX153" i="7"/>
  <c r="AM153" i="7"/>
  <c r="AK153" i="7"/>
  <c r="AL153" i="7" s="1"/>
  <c r="B153" i="7"/>
  <c r="BA152" i="7"/>
  <c r="AZ152" i="7"/>
  <c r="AX152" i="7"/>
  <c r="AM152" i="7"/>
  <c r="AK152" i="7"/>
  <c r="AL152" i="7" s="1"/>
  <c r="B152" i="7"/>
  <c r="BA151" i="7"/>
  <c r="AZ151" i="7"/>
  <c r="AX151" i="7"/>
  <c r="AM151" i="7"/>
  <c r="AK151" i="7"/>
  <c r="AL151" i="7" s="1"/>
  <c r="B151" i="7"/>
  <c r="BA150" i="7"/>
  <c r="AZ150" i="7"/>
  <c r="AX150" i="7"/>
  <c r="AM150" i="7"/>
  <c r="AK150" i="7"/>
  <c r="AL150" i="7" s="1"/>
  <c r="B150" i="7"/>
  <c r="BA149" i="7"/>
  <c r="AZ149" i="7"/>
  <c r="AX149" i="7"/>
  <c r="AM149" i="7"/>
  <c r="AK149" i="7"/>
  <c r="AL149" i="7" s="1"/>
  <c r="B149" i="7"/>
  <c r="BA148" i="7"/>
  <c r="AZ148" i="7"/>
  <c r="AX148" i="7"/>
  <c r="AM148" i="7"/>
  <c r="AK148" i="7"/>
  <c r="AL148" i="7" s="1"/>
  <c r="B148" i="7"/>
  <c r="BA147" i="7"/>
  <c r="AZ147" i="7"/>
  <c r="AX147" i="7"/>
  <c r="AM147" i="7"/>
  <c r="AK147" i="7"/>
  <c r="AL147" i="7" s="1"/>
  <c r="B147" i="7"/>
  <c r="BA146" i="7"/>
  <c r="AZ146" i="7"/>
  <c r="AX146" i="7"/>
  <c r="AM146" i="7"/>
  <c r="AK146" i="7"/>
  <c r="AL146" i="7" s="1"/>
  <c r="B146" i="7"/>
  <c r="BA145" i="7"/>
  <c r="AZ145" i="7"/>
  <c r="AX145" i="7"/>
  <c r="AM145" i="7"/>
  <c r="AK145" i="7"/>
  <c r="AL145" i="7" s="1"/>
  <c r="B145" i="7"/>
  <c r="BA144" i="7"/>
  <c r="AZ144" i="7"/>
  <c r="AX144" i="7"/>
  <c r="AM144" i="7"/>
  <c r="AK144" i="7"/>
  <c r="AL144" i="7" s="1"/>
  <c r="B144" i="7"/>
  <c r="BA143" i="7"/>
  <c r="AZ143" i="7"/>
  <c r="AX143" i="7"/>
  <c r="AM143" i="7"/>
  <c r="AK143" i="7"/>
  <c r="AL143" i="7" s="1"/>
  <c r="B143" i="7"/>
  <c r="BA142" i="7"/>
  <c r="AZ142" i="7"/>
  <c r="AX142" i="7"/>
  <c r="AM142" i="7"/>
  <c r="AK142" i="7"/>
  <c r="AL142" i="7" s="1"/>
  <c r="B142" i="7"/>
  <c r="BA141" i="7"/>
  <c r="AZ141" i="7"/>
  <c r="AX141" i="7"/>
  <c r="AM141" i="7"/>
  <c r="AK141" i="7"/>
  <c r="AL141" i="7" s="1"/>
  <c r="B141" i="7"/>
  <c r="BA140" i="7"/>
  <c r="AZ140" i="7"/>
  <c r="AX140" i="7"/>
  <c r="AM140" i="7"/>
  <c r="AK140" i="7"/>
  <c r="AL140" i="7" s="1"/>
  <c r="B140" i="7"/>
  <c r="BA139" i="7"/>
  <c r="AZ139" i="7"/>
  <c r="AX139" i="7"/>
  <c r="AM139" i="7"/>
  <c r="AK139" i="7"/>
  <c r="AL139" i="7" s="1"/>
  <c r="B139" i="7"/>
  <c r="BA138" i="7"/>
  <c r="AZ138" i="7"/>
  <c r="AX138" i="7"/>
  <c r="AM138" i="7"/>
  <c r="AK138" i="7"/>
  <c r="AL138" i="7" s="1"/>
  <c r="B138" i="7"/>
  <c r="BA137" i="7"/>
  <c r="AZ137" i="7"/>
  <c r="AX137" i="7"/>
  <c r="AM137" i="7"/>
  <c r="AK137" i="7"/>
  <c r="AL137" i="7" s="1"/>
  <c r="B137" i="7"/>
  <c r="BA136" i="7"/>
  <c r="AZ136" i="7"/>
  <c r="AX136" i="7"/>
  <c r="AM136" i="7"/>
  <c r="AK136" i="7"/>
  <c r="AL136" i="7" s="1"/>
  <c r="B136" i="7"/>
  <c r="BA135" i="7"/>
  <c r="AZ135" i="7"/>
  <c r="AX135" i="7"/>
  <c r="AM135" i="7"/>
  <c r="AK135" i="7"/>
  <c r="AL135" i="7" s="1"/>
  <c r="B135" i="7"/>
  <c r="BA134" i="7"/>
  <c r="AZ134" i="7"/>
  <c r="AX134" i="7"/>
  <c r="AM134" i="7"/>
  <c r="AK134" i="7"/>
  <c r="AL134" i="7" s="1"/>
  <c r="B134" i="7"/>
  <c r="BA133" i="7"/>
  <c r="AZ133" i="7"/>
  <c r="AX133" i="7"/>
  <c r="AM133" i="7"/>
  <c r="AK133" i="7"/>
  <c r="AL133" i="7" s="1"/>
  <c r="B133" i="7"/>
  <c r="BA132" i="7"/>
  <c r="AZ132" i="7"/>
  <c r="AX132" i="7"/>
  <c r="AM132" i="7"/>
  <c r="AK132" i="7"/>
  <c r="AL132" i="7" s="1"/>
  <c r="B132" i="7"/>
  <c r="BA131" i="7"/>
  <c r="AZ131" i="7"/>
  <c r="AX131" i="7"/>
  <c r="AM131" i="7"/>
  <c r="AK131" i="7"/>
  <c r="AL131" i="7" s="1"/>
  <c r="B131" i="7"/>
  <c r="BA130" i="7"/>
  <c r="AZ130" i="7"/>
  <c r="AX130" i="7"/>
  <c r="AM130" i="7"/>
  <c r="AK130" i="7"/>
  <c r="AL130" i="7" s="1"/>
  <c r="B130" i="7"/>
  <c r="BA129" i="7"/>
  <c r="AZ129" i="7"/>
  <c r="AX129" i="7"/>
  <c r="AM129" i="7"/>
  <c r="AK129" i="7"/>
  <c r="AL129" i="7" s="1"/>
  <c r="B129" i="7"/>
  <c r="BA128" i="7"/>
  <c r="AZ128" i="7"/>
  <c r="AX128" i="7"/>
  <c r="AM128" i="7"/>
  <c r="AK128" i="7"/>
  <c r="AL128" i="7" s="1"/>
  <c r="B128" i="7"/>
  <c r="BA127" i="7"/>
  <c r="AZ127" i="7"/>
  <c r="AX127" i="7"/>
  <c r="AM127" i="7"/>
  <c r="AK127" i="7"/>
  <c r="AL127" i="7" s="1"/>
  <c r="B127" i="7"/>
  <c r="BA126" i="7"/>
  <c r="AZ126" i="7"/>
  <c r="AX126" i="7"/>
  <c r="AM126" i="7"/>
  <c r="AK126" i="7"/>
  <c r="AL126" i="7" s="1"/>
  <c r="M126" i="7"/>
  <c r="B126" i="7"/>
  <c r="BA125" i="7"/>
  <c r="AZ125" i="7"/>
  <c r="AX125" i="7"/>
  <c r="AT125" i="7"/>
  <c r="AM125" i="7"/>
  <c r="AK125" i="7"/>
  <c r="AL125" i="7" s="1"/>
  <c r="B125" i="7"/>
  <c r="BA124" i="7"/>
  <c r="AZ124" i="7"/>
  <c r="AX124" i="7"/>
  <c r="AT124" i="7"/>
  <c r="AM124" i="7"/>
  <c r="AK124" i="7"/>
  <c r="AL124" i="7" s="1"/>
  <c r="B124" i="7"/>
  <c r="BA123" i="7"/>
  <c r="AZ123" i="7"/>
  <c r="AX123" i="7"/>
  <c r="AM123" i="7"/>
  <c r="AK123" i="7"/>
  <c r="B123" i="7"/>
  <c r="BA122" i="7"/>
  <c r="AZ122" i="7"/>
  <c r="AX122" i="7"/>
  <c r="AT122" i="7"/>
  <c r="AM122" i="7"/>
  <c r="AK122" i="7"/>
  <c r="AL122" i="7" s="1"/>
  <c r="B122" i="7"/>
  <c r="BA121" i="7"/>
  <c r="AZ121" i="7"/>
  <c r="AX121" i="7"/>
  <c r="AT121" i="7"/>
  <c r="AM121" i="7"/>
  <c r="AK121" i="7"/>
  <c r="AL121" i="7" s="1"/>
  <c r="B121" i="7"/>
  <c r="BA120" i="7"/>
  <c r="AZ120" i="7"/>
  <c r="AX120" i="7"/>
  <c r="AM120" i="7"/>
  <c r="AK120" i="7"/>
  <c r="AL120" i="7" s="1"/>
  <c r="B120" i="7"/>
  <c r="BA119" i="7"/>
  <c r="AZ119" i="7"/>
  <c r="AX119" i="7"/>
  <c r="AM119" i="7"/>
  <c r="AK119" i="7"/>
  <c r="B119" i="7"/>
  <c r="BA118" i="7"/>
  <c r="AZ118" i="7"/>
  <c r="AX118" i="7"/>
  <c r="AT118" i="7"/>
  <c r="AM118" i="7"/>
  <c r="AK118" i="7"/>
  <c r="AL118" i="7" s="1"/>
  <c r="B118" i="7"/>
  <c r="BA117" i="7"/>
  <c r="AZ117" i="7"/>
  <c r="AX117" i="7"/>
  <c r="AT117" i="7"/>
  <c r="AM117" i="7"/>
  <c r="AK117" i="7"/>
  <c r="AL117" i="7" s="1"/>
  <c r="B117" i="7"/>
  <c r="BA116" i="7"/>
  <c r="AZ116" i="7"/>
  <c r="AX116" i="7"/>
  <c r="AM116" i="7"/>
  <c r="AK116" i="7"/>
  <c r="AL116" i="7" s="1"/>
  <c r="B116" i="7"/>
  <c r="BA115" i="7"/>
  <c r="AZ115" i="7"/>
  <c r="AX115" i="7"/>
  <c r="AM115" i="7"/>
  <c r="AK115" i="7"/>
  <c r="B115" i="7"/>
  <c r="BA114" i="7"/>
  <c r="AZ114" i="7"/>
  <c r="AX114" i="7"/>
  <c r="AM114" i="7"/>
  <c r="AK114" i="7"/>
  <c r="AL114" i="7" s="1"/>
  <c r="B114" i="7"/>
  <c r="BA113" i="7"/>
  <c r="AZ113" i="7"/>
  <c r="AX113" i="7"/>
  <c r="AT113" i="7"/>
  <c r="AM113" i="7"/>
  <c r="AK113" i="7"/>
  <c r="AL113" i="7" s="1"/>
  <c r="B113" i="7"/>
  <c r="BA112" i="7"/>
  <c r="AZ112" i="7"/>
  <c r="AX112" i="7"/>
  <c r="AT112" i="7"/>
  <c r="AM112" i="7"/>
  <c r="AK112" i="7"/>
  <c r="AL112" i="7" s="1"/>
  <c r="B112" i="7"/>
  <c r="BA111" i="7"/>
  <c r="AZ111" i="7"/>
  <c r="AX111" i="7"/>
  <c r="AM111" i="7"/>
  <c r="AK111" i="7"/>
  <c r="B111" i="7"/>
  <c r="BA110" i="7"/>
  <c r="AZ110" i="7"/>
  <c r="AX110" i="7"/>
  <c r="AM110" i="7"/>
  <c r="AK110" i="7"/>
  <c r="AL110" i="7" s="1"/>
  <c r="M110" i="7"/>
  <c r="B110" i="7" s="1"/>
  <c r="BA109" i="7"/>
  <c r="AZ109" i="7"/>
  <c r="AX109" i="7"/>
  <c r="AM109" i="7"/>
  <c r="AK109" i="7"/>
  <c r="AT109" i="7" s="1"/>
  <c r="B109" i="7"/>
  <c r="BA108" i="7"/>
  <c r="AZ108" i="7"/>
  <c r="AX108" i="7"/>
  <c r="AM108" i="7"/>
  <c r="AK108" i="7"/>
  <c r="AT108" i="7" s="1"/>
  <c r="B108" i="7"/>
  <c r="BA107" i="7"/>
  <c r="AZ107" i="7"/>
  <c r="AX107" i="7"/>
  <c r="AM107" i="7"/>
  <c r="AK107" i="7"/>
  <c r="AT107" i="7" s="1"/>
  <c r="B107" i="7"/>
  <c r="BA106" i="7"/>
  <c r="AZ106" i="7"/>
  <c r="AX106" i="7"/>
  <c r="AM106" i="7"/>
  <c r="AK106" i="7"/>
  <c r="AT106" i="7" s="1"/>
  <c r="B106" i="7"/>
  <c r="BA105" i="7"/>
  <c r="AZ105" i="7"/>
  <c r="AX105" i="7"/>
  <c r="AM105" i="7"/>
  <c r="AK105" i="7"/>
  <c r="AT105" i="7" s="1"/>
  <c r="B105" i="7"/>
  <c r="BA104" i="7"/>
  <c r="AZ104" i="7"/>
  <c r="AX104" i="7"/>
  <c r="AM104" i="7"/>
  <c r="AK104" i="7"/>
  <c r="AT104" i="7" s="1"/>
  <c r="B104" i="7"/>
  <c r="BA103" i="7"/>
  <c r="AZ103" i="7"/>
  <c r="AX103" i="7"/>
  <c r="AM103" i="7"/>
  <c r="AK103" i="7"/>
  <c r="AT103" i="7" s="1"/>
  <c r="B103" i="7"/>
  <c r="BA102" i="7"/>
  <c r="AZ102" i="7"/>
  <c r="AX102" i="7"/>
  <c r="AM102" i="7"/>
  <c r="AK102" i="7"/>
  <c r="B102" i="7"/>
  <c r="BA101" i="7"/>
  <c r="AZ101" i="7"/>
  <c r="AX101" i="7"/>
  <c r="AM101" i="7"/>
  <c r="AK101" i="7"/>
  <c r="B101" i="7"/>
  <c r="BA100" i="7"/>
  <c r="AZ100" i="7"/>
  <c r="AX100" i="7"/>
  <c r="AM100" i="7"/>
  <c r="AK100" i="7"/>
  <c r="B100" i="7"/>
  <c r="BA99" i="7"/>
  <c r="AZ99" i="7"/>
  <c r="AX99" i="7"/>
  <c r="AM99" i="7"/>
  <c r="AK99" i="7"/>
  <c r="B99" i="7"/>
  <c r="BA98" i="7"/>
  <c r="AZ98" i="7"/>
  <c r="AX98" i="7"/>
  <c r="AM98" i="7"/>
  <c r="AK98" i="7"/>
  <c r="B98" i="7"/>
  <c r="BA97" i="7"/>
  <c r="AZ97" i="7"/>
  <c r="AX97" i="7"/>
  <c r="AM97" i="7"/>
  <c r="AK97" i="7"/>
  <c r="B97" i="7"/>
  <c r="BA96" i="7"/>
  <c r="AZ96" i="7"/>
  <c r="AX96" i="7"/>
  <c r="AM96" i="7"/>
  <c r="AK96" i="7"/>
  <c r="B96" i="7"/>
  <c r="BA95" i="7"/>
  <c r="AZ95" i="7"/>
  <c r="AX95" i="7"/>
  <c r="AM95" i="7"/>
  <c r="AK95" i="7"/>
  <c r="B95" i="7"/>
  <c r="BA94" i="7"/>
  <c r="AZ94" i="7"/>
  <c r="AX94" i="7"/>
  <c r="AM94" i="7"/>
  <c r="AK94" i="7"/>
  <c r="B94" i="7"/>
  <c r="BA93" i="7"/>
  <c r="AZ93" i="7"/>
  <c r="AX93" i="7"/>
  <c r="AM93" i="7"/>
  <c r="AK93" i="7"/>
  <c r="B93" i="7"/>
  <c r="AT92" i="7"/>
  <c r="AM92" i="7"/>
  <c r="AL92" i="7"/>
  <c r="AK92" i="7"/>
  <c r="B92" i="7"/>
  <c r="AM91" i="7"/>
  <c r="AK91" i="7"/>
  <c r="AL91" i="7" s="1"/>
  <c r="B91" i="7"/>
  <c r="AT90" i="7"/>
  <c r="AM90" i="7"/>
  <c r="AL90" i="7"/>
  <c r="AK90" i="7"/>
  <c r="B90" i="7"/>
  <c r="AM89" i="7"/>
  <c r="AK89" i="7"/>
  <c r="B89" i="7"/>
  <c r="BA88" i="7"/>
  <c r="AZ88" i="7"/>
  <c r="AX88" i="7"/>
  <c r="AM88" i="7"/>
  <c r="AK88" i="7"/>
  <c r="B88" i="7"/>
  <c r="AM87" i="7"/>
  <c r="AK87" i="7"/>
  <c r="AT87" i="7" s="1"/>
  <c r="B87" i="7"/>
  <c r="AM86" i="7"/>
  <c r="AK86" i="7"/>
  <c r="AL86" i="7" s="1"/>
  <c r="B86" i="7"/>
  <c r="BA85" i="7"/>
  <c r="AZ85" i="7"/>
  <c r="AX85" i="7"/>
  <c r="AM85" i="7"/>
  <c r="AK85" i="7"/>
  <c r="AL85" i="7" s="1"/>
  <c r="B85" i="7"/>
  <c r="BA84" i="7"/>
  <c r="AZ84" i="7"/>
  <c r="AX84" i="7"/>
  <c r="AM84" i="7"/>
  <c r="AK84" i="7"/>
  <c r="AL84" i="7" s="1"/>
  <c r="B84" i="7"/>
  <c r="BA83" i="7"/>
  <c r="AZ83" i="7"/>
  <c r="AX83" i="7"/>
  <c r="AM83" i="7"/>
  <c r="AK83" i="7"/>
  <c r="AL83" i="7" s="1"/>
  <c r="B83" i="7"/>
  <c r="BA82" i="7"/>
  <c r="AZ82" i="7"/>
  <c r="AX82" i="7"/>
  <c r="AM82" i="7"/>
  <c r="AK82" i="7"/>
  <c r="AL82" i="7" s="1"/>
  <c r="B82" i="7"/>
  <c r="BA81" i="7"/>
  <c r="AZ81" i="7"/>
  <c r="AX81" i="7"/>
  <c r="AM81" i="7"/>
  <c r="AK81" i="7"/>
  <c r="AL81" i="7" s="1"/>
  <c r="B81" i="7"/>
  <c r="BA80" i="7"/>
  <c r="AZ80" i="7"/>
  <c r="AX80" i="7"/>
  <c r="AM80" i="7"/>
  <c r="AK80" i="7"/>
  <c r="AL80" i="7" s="1"/>
  <c r="B80" i="7"/>
  <c r="BA79" i="7"/>
  <c r="AZ79" i="7"/>
  <c r="AX79" i="7"/>
  <c r="AM79" i="7"/>
  <c r="AK79" i="7"/>
  <c r="AL79" i="7" s="1"/>
  <c r="B79" i="7"/>
  <c r="BA78" i="7"/>
  <c r="AZ78" i="7"/>
  <c r="AX78" i="7"/>
  <c r="AM78" i="7"/>
  <c r="AK78" i="7"/>
  <c r="AL78" i="7" s="1"/>
  <c r="B78" i="7"/>
  <c r="BA77" i="7"/>
  <c r="AZ77" i="7"/>
  <c r="AX77" i="7"/>
  <c r="AM77" i="7"/>
  <c r="AK77" i="7"/>
  <c r="AL77" i="7" s="1"/>
  <c r="B77" i="7"/>
  <c r="BA76" i="7"/>
  <c r="AZ76" i="7"/>
  <c r="AX76" i="7"/>
  <c r="AM76" i="7"/>
  <c r="AK76" i="7"/>
  <c r="AL76" i="7" s="1"/>
  <c r="B76" i="7"/>
  <c r="BA75" i="7"/>
  <c r="AZ75" i="7"/>
  <c r="AX75" i="7"/>
  <c r="AM75" i="7"/>
  <c r="AK75" i="7"/>
  <c r="AL75" i="7" s="1"/>
  <c r="B75" i="7"/>
  <c r="BA74" i="7"/>
  <c r="AZ74" i="7"/>
  <c r="AX74" i="7"/>
  <c r="AK74" i="7"/>
  <c r="B74" i="7"/>
  <c r="BA73" i="7"/>
  <c r="AZ73" i="7"/>
  <c r="AX73" i="7"/>
  <c r="AK73" i="7"/>
  <c r="AL73" i="7" s="1"/>
  <c r="B73" i="7"/>
  <c r="BA72" i="7"/>
  <c r="AZ72" i="7"/>
  <c r="AX72" i="7"/>
  <c r="AM72" i="7"/>
  <c r="AK72" i="7"/>
  <c r="AL72" i="7" s="1"/>
  <c r="B72" i="7"/>
  <c r="BA71" i="7"/>
  <c r="AZ71" i="7"/>
  <c r="AX71" i="7"/>
  <c r="AM71" i="7"/>
  <c r="AK71" i="7"/>
  <c r="AL71" i="7" s="1"/>
  <c r="B71" i="7"/>
  <c r="BA70" i="7"/>
  <c r="AZ70" i="7"/>
  <c r="AX70" i="7"/>
  <c r="AM70" i="7"/>
  <c r="AK70" i="7"/>
  <c r="AL70" i="7" s="1"/>
  <c r="B70" i="7"/>
  <c r="BA69" i="7"/>
  <c r="AZ69" i="7"/>
  <c r="AX69" i="7"/>
  <c r="AM69" i="7"/>
  <c r="AK69" i="7"/>
  <c r="AL69" i="7" s="1"/>
  <c r="B69" i="7"/>
  <c r="BA68" i="7"/>
  <c r="AZ68" i="7"/>
  <c r="AX68" i="7"/>
  <c r="AM68" i="7"/>
  <c r="AK68" i="7"/>
  <c r="AL68" i="7" s="1"/>
  <c r="B68" i="7"/>
  <c r="BA67" i="7"/>
  <c r="AZ67" i="7"/>
  <c r="AX67" i="7"/>
  <c r="AM67" i="7"/>
  <c r="AK67" i="7"/>
  <c r="AL67" i="7" s="1"/>
  <c r="B67" i="7"/>
  <c r="BA66" i="7"/>
  <c r="AZ66" i="7"/>
  <c r="AX66" i="7"/>
  <c r="AM66" i="7"/>
  <c r="AK66" i="7"/>
  <c r="AL66" i="7" s="1"/>
  <c r="B66" i="7"/>
  <c r="BA65" i="7"/>
  <c r="AZ65" i="7"/>
  <c r="AX65" i="7"/>
  <c r="AM65" i="7"/>
  <c r="AK65" i="7"/>
  <c r="AL65" i="7" s="1"/>
  <c r="B65" i="7"/>
  <c r="BA64" i="7"/>
  <c r="AZ64" i="7"/>
  <c r="AX64" i="7"/>
  <c r="AM64" i="7"/>
  <c r="AK64" i="7"/>
  <c r="AL64" i="7" s="1"/>
  <c r="B64" i="7"/>
  <c r="BA63" i="7"/>
  <c r="AZ63" i="7"/>
  <c r="AX63" i="7"/>
  <c r="AM63" i="7"/>
  <c r="AK63" i="7"/>
  <c r="AL63" i="7" s="1"/>
  <c r="B63" i="7"/>
  <c r="BA62" i="7"/>
  <c r="AZ62" i="7"/>
  <c r="AX62" i="7"/>
  <c r="AM62" i="7"/>
  <c r="AK62" i="7"/>
  <c r="AL62" i="7" s="1"/>
  <c r="B62" i="7"/>
  <c r="BA61" i="7"/>
  <c r="AZ61" i="7"/>
  <c r="AX61" i="7"/>
  <c r="AM61" i="7"/>
  <c r="AK61" i="7"/>
  <c r="AL61" i="7" s="1"/>
  <c r="B61" i="7"/>
  <c r="BA60" i="7"/>
  <c r="AZ60" i="7"/>
  <c r="AX60" i="7"/>
  <c r="AM60" i="7"/>
  <c r="AK60" i="7"/>
  <c r="AL60" i="7" s="1"/>
  <c r="B60" i="7"/>
  <c r="BA59" i="7"/>
  <c r="AZ59" i="7"/>
  <c r="AX59" i="7"/>
  <c r="AM59" i="7"/>
  <c r="AK59" i="7"/>
  <c r="AL59" i="7" s="1"/>
  <c r="B59" i="7"/>
  <c r="BA58" i="7"/>
  <c r="AZ58" i="7"/>
  <c r="AX58" i="7"/>
  <c r="AM58" i="7"/>
  <c r="AK58" i="7"/>
  <c r="AL58" i="7" s="1"/>
  <c r="B58" i="7"/>
  <c r="BA57" i="7"/>
  <c r="AZ57" i="7"/>
  <c r="AX57" i="7"/>
  <c r="AM57" i="7"/>
  <c r="AK57" i="7"/>
  <c r="AL57" i="7" s="1"/>
  <c r="B57" i="7"/>
  <c r="BA56" i="7"/>
  <c r="AZ56" i="7"/>
  <c r="AX56" i="7"/>
  <c r="AM56" i="7"/>
  <c r="AK56" i="7"/>
  <c r="AL56" i="7" s="1"/>
  <c r="B56" i="7"/>
  <c r="BA55" i="7"/>
  <c r="AZ55" i="7"/>
  <c r="AX55" i="7"/>
  <c r="AM55" i="7"/>
  <c r="AK55" i="7"/>
  <c r="AL55" i="7" s="1"/>
  <c r="B55" i="7"/>
  <c r="BA54" i="7"/>
  <c r="AZ54" i="7"/>
  <c r="AX54" i="7"/>
  <c r="AM54" i="7"/>
  <c r="AK54" i="7"/>
  <c r="AL54" i="7" s="1"/>
  <c r="B54" i="7"/>
  <c r="BA53" i="7"/>
  <c r="AZ53" i="7"/>
  <c r="AX53" i="7"/>
  <c r="AM53" i="7"/>
  <c r="AK53" i="7"/>
  <c r="AL53" i="7" s="1"/>
  <c r="B53" i="7"/>
  <c r="BA52" i="7"/>
  <c r="AZ52" i="7"/>
  <c r="AX52" i="7"/>
  <c r="AM52" i="7"/>
  <c r="AK52" i="7"/>
  <c r="AL52" i="7" s="1"/>
  <c r="B52" i="7"/>
  <c r="BA51" i="7"/>
  <c r="AZ51" i="7"/>
  <c r="AX51" i="7"/>
  <c r="AM51" i="7"/>
  <c r="AK51" i="7"/>
  <c r="AL51" i="7" s="1"/>
  <c r="B51" i="7"/>
  <c r="BA50" i="7"/>
  <c r="AZ50" i="7"/>
  <c r="AX50" i="7"/>
  <c r="AM50" i="7"/>
  <c r="AK50" i="7"/>
  <c r="AL50" i="7" s="1"/>
  <c r="B50" i="7"/>
  <c r="BA49" i="7"/>
  <c r="AZ49" i="7"/>
  <c r="AX49" i="7"/>
  <c r="AM49" i="7"/>
  <c r="AK49" i="7"/>
  <c r="AL49" i="7" s="1"/>
  <c r="B49" i="7"/>
  <c r="BA48" i="7"/>
  <c r="AZ48" i="7"/>
  <c r="AX48" i="7"/>
  <c r="AM48" i="7"/>
  <c r="AK48" i="7"/>
  <c r="AL48" i="7" s="1"/>
  <c r="B48" i="7"/>
  <c r="BA47" i="7"/>
  <c r="AZ47" i="7"/>
  <c r="AX47" i="7"/>
  <c r="AM47" i="7"/>
  <c r="AK47" i="7"/>
  <c r="AL47" i="7" s="1"/>
  <c r="B47" i="7"/>
  <c r="BA46" i="7"/>
  <c r="AZ46" i="7"/>
  <c r="AX46" i="7"/>
  <c r="AM46" i="7"/>
  <c r="AK46" i="7"/>
  <c r="AL46" i="7" s="1"/>
  <c r="B46" i="7"/>
  <c r="BA45" i="7"/>
  <c r="AZ45" i="7"/>
  <c r="AX45" i="7"/>
  <c r="AM45" i="7"/>
  <c r="AK45" i="7"/>
  <c r="AL45" i="7" s="1"/>
  <c r="B45" i="7"/>
  <c r="BA44" i="7"/>
  <c r="AZ44" i="7"/>
  <c r="AX44" i="7"/>
  <c r="AM44" i="7"/>
  <c r="AK44" i="7"/>
  <c r="AL44" i="7" s="1"/>
  <c r="B44" i="7"/>
  <c r="BA43" i="7"/>
  <c r="AZ43" i="7"/>
  <c r="AX43" i="7"/>
  <c r="AM43" i="7"/>
  <c r="AK43" i="7"/>
  <c r="AL43" i="7" s="1"/>
  <c r="B43" i="7"/>
  <c r="BA42" i="7"/>
  <c r="AZ42" i="7"/>
  <c r="AX42" i="7"/>
  <c r="AM42" i="7"/>
  <c r="AK42" i="7"/>
  <c r="AL42" i="7" s="1"/>
  <c r="B42" i="7"/>
  <c r="BA41" i="7"/>
  <c r="AZ41" i="7"/>
  <c r="AX41" i="7"/>
  <c r="AM41" i="7"/>
  <c r="AK41" i="7"/>
  <c r="AL41" i="7" s="1"/>
  <c r="B41" i="7"/>
  <c r="BA40" i="7"/>
  <c r="AZ40" i="7"/>
  <c r="AX40" i="7"/>
  <c r="AM40" i="7"/>
  <c r="AK40" i="7"/>
  <c r="AL40" i="7" s="1"/>
  <c r="B40" i="7"/>
  <c r="BA39" i="7"/>
  <c r="AZ39" i="7"/>
  <c r="AX39" i="7"/>
  <c r="AM39" i="7"/>
  <c r="AK39" i="7"/>
  <c r="AL39" i="7" s="1"/>
  <c r="B39" i="7"/>
  <c r="BA38" i="7"/>
  <c r="AZ38" i="7"/>
  <c r="AX38" i="7"/>
  <c r="AM38" i="7"/>
  <c r="AK38" i="7"/>
  <c r="AL38" i="7" s="1"/>
  <c r="B38" i="7"/>
  <c r="BA37" i="7"/>
  <c r="AZ37" i="7"/>
  <c r="AX37" i="7"/>
  <c r="AM37" i="7"/>
  <c r="AK37" i="7"/>
  <c r="AL37" i="7" s="1"/>
  <c r="B37" i="7"/>
  <c r="BA36" i="7"/>
  <c r="AZ36" i="7"/>
  <c r="AX36" i="7"/>
  <c r="AM36" i="7"/>
  <c r="AK36" i="7"/>
  <c r="AL36" i="7" s="1"/>
  <c r="B36" i="7"/>
  <c r="BA35" i="7"/>
  <c r="AZ35" i="7"/>
  <c r="AX35" i="7"/>
  <c r="AM35" i="7"/>
  <c r="AK35" i="7"/>
  <c r="AL35" i="7" s="1"/>
  <c r="B35" i="7"/>
  <c r="BA34" i="7"/>
  <c r="AZ34" i="7"/>
  <c r="AX34" i="7"/>
  <c r="AM34" i="7"/>
  <c r="AK34" i="7"/>
  <c r="AL34" i="7" s="1"/>
  <c r="B34" i="7"/>
  <c r="BA33" i="7"/>
  <c r="AZ33" i="7"/>
  <c r="AX33" i="7"/>
  <c r="AM33" i="7"/>
  <c r="AK33" i="7"/>
  <c r="AL33" i="7" s="1"/>
  <c r="B33" i="7"/>
  <c r="BA32" i="7"/>
  <c r="AZ32" i="7"/>
  <c r="AX32" i="7"/>
  <c r="AM32" i="7"/>
  <c r="AK32" i="7"/>
  <c r="AL32" i="7" s="1"/>
  <c r="B32" i="7"/>
  <c r="BA31" i="7"/>
  <c r="AZ31" i="7"/>
  <c r="AX31" i="7"/>
  <c r="AM31" i="7"/>
  <c r="AK31" i="7"/>
  <c r="AL31" i="7" s="1"/>
  <c r="B31" i="7"/>
  <c r="BA30" i="7"/>
  <c r="AZ30" i="7"/>
  <c r="AX30" i="7"/>
  <c r="AM30" i="7"/>
  <c r="AK30" i="7"/>
  <c r="AL30" i="7" s="1"/>
  <c r="B30" i="7"/>
  <c r="BA29" i="7"/>
  <c r="AZ29" i="7"/>
  <c r="AX29" i="7"/>
  <c r="AM29" i="7"/>
  <c r="AK29" i="7"/>
  <c r="AL29" i="7" s="1"/>
  <c r="B29" i="7"/>
  <c r="BA28" i="7"/>
  <c r="AZ28" i="7"/>
  <c r="AX28" i="7"/>
  <c r="AM28" i="7"/>
  <c r="AK28" i="7"/>
  <c r="AL28" i="7" s="1"/>
  <c r="B28" i="7"/>
  <c r="BA27" i="7"/>
  <c r="AZ27" i="7"/>
  <c r="AX27" i="7"/>
  <c r="AM27" i="7"/>
  <c r="AK27" i="7"/>
  <c r="AL27" i="7" s="1"/>
  <c r="B27" i="7"/>
  <c r="BA26" i="7"/>
  <c r="AZ26" i="7"/>
  <c r="AX26" i="7"/>
  <c r="AM26" i="7"/>
  <c r="AK26" i="7"/>
  <c r="AL26" i="7" s="1"/>
  <c r="B26" i="7"/>
  <c r="BA25" i="7"/>
  <c r="AZ25" i="7"/>
  <c r="AX25" i="7"/>
  <c r="AM25" i="7"/>
  <c r="AK25" i="7"/>
  <c r="AL25" i="7" s="1"/>
  <c r="B25" i="7"/>
  <c r="BA24" i="7"/>
  <c r="AZ24" i="7"/>
  <c r="AX24" i="7"/>
  <c r="AM24" i="7"/>
  <c r="AK24" i="7"/>
  <c r="AL24" i="7" s="1"/>
  <c r="B24" i="7"/>
  <c r="BA23" i="7"/>
  <c r="AZ23" i="7"/>
  <c r="AX23" i="7"/>
  <c r="AM23" i="7"/>
  <c r="AK23" i="7"/>
  <c r="AL23" i="7" s="1"/>
  <c r="B23" i="7"/>
  <c r="BA22" i="7"/>
  <c r="AZ22" i="7"/>
  <c r="AX22" i="7"/>
  <c r="AM22" i="7"/>
  <c r="AK22" i="7"/>
  <c r="AL22" i="7" s="1"/>
  <c r="B22" i="7"/>
  <c r="BA21" i="7"/>
  <c r="AZ21" i="7"/>
  <c r="AX21" i="7"/>
  <c r="AM21" i="7"/>
  <c r="AK21" i="7"/>
  <c r="AL21" i="7" s="1"/>
  <c r="B21" i="7"/>
  <c r="BA20" i="7"/>
  <c r="AZ20" i="7"/>
  <c r="AX20" i="7"/>
  <c r="AM20" i="7"/>
  <c r="AK20" i="7"/>
  <c r="AL20" i="7" s="1"/>
  <c r="B20" i="7"/>
  <c r="BA19" i="7"/>
  <c r="AZ19" i="7"/>
  <c r="AX19" i="7"/>
  <c r="AM19" i="7"/>
  <c r="AK19" i="7"/>
  <c r="AL19" i="7" s="1"/>
  <c r="B19" i="7"/>
  <c r="BA18" i="7"/>
  <c r="AZ18" i="7"/>
  <c r="AX18" i="7"/>
  <c r="AM18" i="7"/>
  <c r="AK18" i="7"/>
  <c r="AL18" i="7" s="1"/>
  <c r="B18" i="7"/>
  <c r="BA17" i="7"/>
  <c r="AZ17" i="7"/>
  <c r="AX17" i="7"/>
  <c r="AM17" i="7"/>
  <c r="AK17" i="7"/>
  <c r="AL17" i="7" s="1"/>
  <c r="B17" i="7"/>
  <c r="BA16" i="7"/>
  <c r="AZ16" i="7"/>
  <c r="AX16" i="7"/>
  <c r="AM16" i="7"/>
  <c r="AK16" i="7"/>
  <c r="AL16" i="7" s="1"/>
  <c r="B16" i="7"/>
  <c r="BA15" i="7"/>
  <c r="AZ15" i="7"/>
  <c r="AX15" i="7"/>
  <c r="AM15" i="7"/>
  <c r="AK15" i="7"/>
  <c r="AL15" i="7" s="1"/>
  <c r="B15" i="7"/>
  <c r="BA14" i="7"/>
  <c r="AZ14" i="7"/>
  <c r="AX14" i="7"/>
  <c r="AM14" i="7"/>
  <c r="AK14" i="7"/>
  <c r="AL14" i="7" s="1"/>
  <c r="B14" i="7"/>
  <c r="BA13" i="7"/>
  <c r="AZ13" i="7"/>
  <c r="AX13" i="7"/>
  <c r="AM13" i="7"/>
  <c r="AK13" i="7"/>
  <c r="AL13" i="7" s="1"/>
  <c r="B13" i="7"/>
  <c r="BA12" i="7"/>
  <c r="AZ12" i="7"/>
  <c r="AX12" i="7"/>
  <c r="AM12" i="7"/>
  <c r="AK12" i="7"/>
  <c r="AL12" i="7" s="1"/>
  <c r="B12" i="7"/>
  <c r="BA11" i="7"/>
  <c r="AZ11" i="7"/>
  <c r="AX11" i="7"/>
  <c r="AM11" i="7"/>
  <c r="AK11" i="7"/>
  <c r="AL11" i="7" s="1"/>
  <c r="B11" i="7"/>
  <c r="BA10" i="7"/>
  <c r="AZ10" i="7"/>
  <c r="AX10" i="7"/>
  <c r="AM10" i="7"/>
  <c r="AK10" i="7"/>
  <c r="AL10" i="7" s="1"/>
  <c r="B10" i="7"/>
  <c r="BA9" i="7"/>
  <c r="AZ9" i="7"/>
  <c r="AX9" i="7"/>
  <c r="AM9" i="7"/>
  <c r="AK9" i="7"/>
  <c r="AL9" i="7" s="1"/>
  <c r="B9" i="7"/>
  <c r="BA8" i="7"/>
  <c r="AZ8" i="7"/>
  <c r="AX8" i="7"/>
  <c r="AM8" i="7"/>
  <c r="AK8" i="7"/>
  <c r="AL8" i="7" s="1"/>
  <c r="B8" i="7"/>
  <c r="BA7" i="7"/>
  <c r="AZ7" i="7"/>
  <c r="AX7" i="7"/>
  <c r="AM7" i="7"/>
  <c r="AK7" i="7"/>
  <c r="AL7" i="7" s="1"/>
  <c r="B7" i="7"/>
  <c r="BA6" i="7"/>
  <c r="AZ6" i="7"/>
  <c r="AX6" i="7"/>
  <c r="AM6" i="7"/>
  <c r="AK6" i="7"/>
  <c r="AL6" i="7" s="1"/>
  <c r="B6" i="7"/>
  <c r="BA5" i="7"/>
  <c r="AZ5" i="7"/>
  <c r="AX5" i="7"/>
  <c r="AM5" i="7"/>
  <c r="AK5" i="7"/>
  <c r="AL5" i="7" s="1"/>
  <c r="B5" i="7"/>
  <c r="BA4" i="7"/>
  <c r="AZ4" i="7"/>
  <c r="AX4" i="7"/>
  <c r="AM4" i="7"/>
  <c r="AK4" i="7"/>
  <c r="AL4" i="7" s="1"/>
  <c r="B4" i="7"/>
  <c r="P56" i="6"/>
  <c r="O56" i="6"/>
  <c r="N56" i="6"/>
  <c r="AM53" i="6"/>
  <c r="AK53" i="6"/>
  <c r="AL53" i="6" s="1"/>
  <c r="B53" i="6"/>
  <c r="AT52" i="6"/>
  <c r="AM52" i="6"/>
  <c r="AL52" i="6"/>
  <c r="AK52" i="6"/>
  <c r="B52" i="6"/>
  <c r="AT51" i="6"/>
  <c r="AM51" i="6"/>
  <c r="AK51" i="6"/>
  <c r="AL51" i="6" s="1"/>
  <c r="B51" i="6"/>
  <c r="AT50" i="6"/>
  <c r="AM50" i="6"/>
  <c r="AK50" i="6"/>
  <c r="AL50" i="6" s="1"/>
  <c r="B50" i="6"/>
  <c r="AM49" i="6"/>
  <c r="AK49" i="6"/>
  <c r="AL49" i="6" s="1"/>
  <c r="B49" i="6"/>
  <c r="AM48" i="6"/>
  <c r="AK48" i="6"/>
  <c r="B48" i="6"/>
  <c r="AT47" i="6"/>
  <c r="AM47" i="6"/>
  <c r="AK47" i="6"/>
  <c r="AL47" i="6" s="1"/>
  <c r="B47" i="6"/>
  <c r="AT46" i="6"/>
  <c r="AM46" i="6"/>
  <c r="AK46" i="6"/>
  <c r="AL46" i="6" s="1"/>
  <c r="B46" i="6"/>
  <c r="AT45" i="6"/>
  <c r="AM45" i="6"/>
  <c r="AK45" i="6"/>
  <c r="AL45" i="6" s="1"/>
  <c r="B45" i="6"/>
  <c r="AT44" i="6"/>
  <c r="AM44" i="6"/>
  <c r="AL44" i="6"/>
  <c r="AK44" i="6"/>
  <c r="B44" i="6"/>
  <c r="AT43" i="6"/>
  <c r="AM43" i="6"/>
  <c r="AK43" i="6"/>
  <c r="AL43" i="6" s="1"/>
  <c r="B43" i="6"/>
  <c r="AT42" i="6"/>
  <c r="AM42" i="6"/>
  <c r="AL42" i="6"/>
  <c r="AK42" i="6"/>
  <c r="B42" i="6"/>
  <c r="AT41" i="6"/>
  <c r="AM41" i="6"/>
  <c r="AK41" i="6"/>
  <c r="AL41" i="6" s="1"/>
  <c r="B41" i="6"/>
  <c r="AT40" i="6"/>
  <c r="AM40" i="6"/>
  <c r="AK40" i="6"/>
  <c r="AL40" i="6" s="1"/>
  <c r="B40" i="6"/>
  <c r="AM39" i="6"/>
  <c r="AK39" i="6"/>
  <c r="AL39" i="6" s="1"/>
  <c r="B39" i="6"/>
  <c r="AT38" i="6"/>
  <c r="AM38" i="6"/>
  <c r="AK38" i="6"/>
  <c r="AL38" i="6" s="1"/>
  <c r="B38" i="6"/>
  <c r="AT37" i="6"/>
  <c r="AM37" i="6"/>
  <c r="AL37" i="6"/>
  <c r="AK37" i="6"/>
  <c r="B37" i="6"/>
  <c r="AT36" i="6"/>
  <c r="AM36" i="6"/>
  <c r="AK36" i="6"/>
  <c r="AL36" i="6" s="1"/>
  <c r="B36" i="6"/>
  <c r="AT35" i="6"/>
  <c r="AM35" i="6"/>
  <c r="AK35" i="6"/>
  <c r="AL35" i="6" s="1"/>
  <c r="B35" i="6"/>
  <c r="AT34" i="6"/>
  <c r="AM34" i="6"/>
  <c r="AK34" i="6"/>
  <c r="AL34" i="6" s="1"/>
  <c r="B34" i="6"/>
  <c r="AT33" i="6"/>
  <c r="AM33" i="6"/>
  <c r="AL33" i="6"/>
  <c r="AK33" i="6"/>
  <c r="B33" i="6"/>
  <c r="AT32" i="6"/>
  <c r="AM32" i="6"/>
  <c r="AK32" i="6"/>
  <c r="AL32" i="6" s="1"/>
  <c r="B32" i="6"/>
  <c r="AT31" i="6"/>
  <c r="AM31" i="6"/>
  <c r="AK31" i="6"/>
  <c r="AL31" i="6" s="1"/>
  <c r="B31" i="6"/>
  <c r="AT30" i="6"/>
  <c r="AM30" i="6"/>
  <c r="AK30" i="6"/>
  <c r="AL30" i="6" s="1"/>
  <c r="B30" i="6"/>
  <c r="AT29" i="6"/>
  <c r="AM29" i="6"/>
  <c r="AL29" i="6"/>
  <c r="AK29" i="6"/>
  <c r="B29" i="6"/>
  <c r="AT28" i="6"/>
  <c r="AM28" i="6"/>
  <c r="AK28" i="6"/>
  <c r="AL28" i="6" s="1"/>
  <c r="B28" i="6"/>
  <c r="AT27" i="6"/>
  <c r="AM27" i="6"/>
  <c r="AL27" i="6"/>
  <c r="AK27" i="6"/>
  <c r="B27" i="6"/>
  <c r="AT26" i="6"/>
  <c r="AM26" i="6"/>
  <c r="AK26" i="6"/>
  <c r="AL26" i="6" s="1"/>
  <c r="B26" i="6"/>
  <c r="AT25" i="6"/>
  <c r="AM25" i="6"/>
  <c r="AL25" i="6"/>
  <c r="AK25" i="6"/>
  <c r="B25" i="6"/>
  <c r="AT24" i="6"/>
  <c r="AM24" i="6"/>
  <c r="AK24" i="6"/>
  <c r="AL24" i="6" s="1"/>
  <c r="B24" i="6"/>
  <c r="AT23" i="6"/>
  <c r="AM23" i="6"/>
  <c r="AK23" i="6"/>
  <c r="AL23" i="6" s="1"/>
  <c r="B23" i="6"/>
  <c r="AT22" i="6"/>
  <c r="AM22" i="6"/>
  <c r="AK22" i="6"/>
  <c r="AL22" i="6" s="1"/>
  <c r="B22" i="6"/>
  <c r="AT21" i="6"/>
  <c r="AM21" i="6"/>
  <c r="AK21" i="6"/>
  <c r="AL21" i="6" s="1"/>
  <c r="B21" i="6"/>
  <c r="AT20" i="6"/>
  <c r="AM20" i="6"/>
  <c r="AK20" i="6"/>
  <c r="AL20" i="6" s="1"/>
  <c r="B20" i="6"/>
  <c r="AT19" i="6"/>
  <c r="AQ19" i="6"/>
  <c r="AM19" i="6"/>
  <c r="AK19" i="6"/>
  <c r="AL19" i="6" s="1"/>
  <c r="B19" i="6"/>
  <c r="AT18" i="6"/>
  <c r="AM18" i="6"/>
  <c r="AL18" i="6"/>
  <c r="AK18" i="6"/>
  <c r="B18" i="6"/>
  <c r="AT17" i="6"/>
  <c r="AM17" i="6"/>
  <c r="AK17" i="6"/>
  <c r="AL17" i="6" s="1"/>
  <c r="B17" i="6"/>
  <c r="AT16" i="6"/>
  <c r="AM16" i="6"/>
  <c r="AK16" i="6"/>
  <c r="AL16" i="6" s="1"/>
  <c r="B16" i="6"/>
  <c r="AT15" i="6"/>
  <c r="AM15" i="6"/>
  <c r="AK15" i="6"/>
  <c r="AL15" i="6" s="1"/>
  <c r="B15" i="6"/>
  <c r="AT14" i="6"/>
  <c r="AM14" i="6"/>
  <c r="AK14" i="6"/>
  <c r="AL14" i="6" s="1"/>
  <c r="B14" i="6"/>
  <c r="AT13" i="6"/>
  <c r="AM13" i="6"/>
  <c r="AK13" i="6"/>
  <c r="AL13" i="6" s="1"/>
  <c r="B13" i="6"/>
  <c r="AT12" i="6"/>
  <c r="AM12" i="6"/>
  <c r="AK12" i="6"/>
  <c r="AL12" i="6" s="1"/>
  <c r="B12" i="6"/>
  <c r="AT11" i="6"/>
  <c r="AM11" i="6"/>
  <c r="AK11" i="6"/>
  <c r="AL11" i="6" s="1"/>
  <c r="B11" i="6"/>
  <c r="AT10" i="6"/>
  <c r="AM10" i="6"/>
  <c r="AL10" i="6"/>
  <c r="AK10" i="6"/>
  <c r="B10" i="6"/>
  <c r="AT9" i="6"/>
  <c r="AM9" i="6"/>
  <c r="AK9" i="6"/>
  <c r="AL9" i="6" s="1"/>
  <c r="B9" i="6"/>
  <c r="AT8" i="6"/>
  <c r="AM8" i="6"/>
  <c r="AK8" i="6"/>
  <c r="AL8" i="6" s="1"/>
  <c r="B8" i="6"/>
  <c r="AT7" i="6"/>
  <c r="AM7" i="6"/>
  <c r="AK7" i="6"/>
  <c r="AL7" i="6" s="1"/>
  <c r="B7" i="6"/>
  <c r="AT6" i="6"/>
  <c r="AM6" i="6"/>
  <c r="AL6" i="6"/>
  <c r="AK6" i="6"/>
  <c r="B6" i="6"/>
  <c r="AT5" i="6"/>
  <c r="AM5" i="6"/>
  <c r="AK5" i="6"/>
  <c r="AL5" i="6" s="1"/>
  <c r="B5" i="6"/>
  <c r="AT4" i="6"/>
  <c r="AM4" i="6"/>
  <c r="AK4" i="6"/>
  <c r="AL4" i="6" s="1"/>
  <c r="B4" i="6"/>
  <c r="P540" i="5"/>
  <c r="O540" i="5"/>
  <c r="N540" i="5"/>
  <c r="AT537" i="5"/>
  <c r="AM537" i="5"/>
  <c r="AK537" i="5"/>
  <c r="AL537" i="5" s="1"/>
  <c r="B537" i="5"/>
  <c r="AT536" i="5"/>
  <c r="AM536" i="5"/>
  <c r="AK536" i="5"/>
  <c r="AL536" i="5" s="1"/>
  <c r="B536" i="5"/>
  <c r="AT535" i="5"/>
  <c r="AM535" i="5"/>
  <c r="AL535" i="5"/>
  <c r="AK535" i="5"/>
  <c r="B535" i="5"/>
  <c r="AT534" i="5"/>
  <c r="AM534" i="5"/>
  <c r="AK534" i="5"/>
  <c r="AL534" i="5" s="1"/>
  <c r="B534" i="5"/>
  <c r="AT533" i="5"/>
  <c r="AM533" i="5"/>
  <c r="AK533" i="5"/>
  <c r="AL533" i="5" s="1"/>
  <c r="B533" i="5"/>
  <c r="AT532" i="5"/>
  <c r="AM532" i="5"/>
  <c r="AK532" i="5"/>
  <c r="AL532" i="5" s="1"/>
  <c r="B532" i="5"/>
  <c r="AT531" i="5"/>
  <c r="AM531" i="5"/>
  <c r="AL531" i="5"/>
  <c r="AK531" i="5"/>
  <c r="B531" i="5"/>
  <c r="AT530" i="5"/>
  <c r="AM530" i="5"/>
  <c r="AK530" i="5"/>
  <c r="AL530" i="5" s="1"/>
  <c r="B530" i="5"/>
  <c r="AT529" i="5"/>
  <c r="AM529" i="5"/>
  <c r="AL529" i="5"/>
  <c r="AK529" i="5"/>
  <c r="B529" i="5"/>
  <c r="AT528" i="5"/>
  <c r="AM528" i="5"/>
  <c r="AK528" i="5"/>
  <c r="AL528" i="5" s="1"/>
  <c r="B528" i="5"/>
  <c r="AT527" i="5"/>
  <c r="AM527" i="5"/>
  <c r="AK527" i="5"/>
  <c r="AL527" i="5" s="1"/>
  <c r="B527" i="5"/>
  <c r="AT526" i="5"/>
  <c r="AM526" i="5"/>
  <c r="AK526" i="5"/>
  <c r="AL526" i="5" s="1"/>
  <c r="B526" i="5"/>
  <c r="AT525" i="5"/>
  <c r="AM525" i="5"/>
  <c r="AK525" i="5"/>
  <c r="AL525" i="5" s="1"/>
  <c r="B525" i="5"/>
  <c r="AT524" i="5"/>
  <c r="AM524" i="5"/>
  <c r="AK524" i="5"/>
  <c r="AL524" i="5" s="1"/>
  <c r="B524" i="5"/>
  <c r="AT523" i="5"/>
  <c r="AM523" i="5"/>
  <c r="AL523" i="5"/>
  <c r="AK523" i="5"/>
  <c r="B523" i="5"/>
  <c r="AT522" i="5"/>
  <c r="AM522" i="5"/>
  <c r="AK522" i="5"/>
  <c r="AL522" i="5" s="1"/>
  <c r="B522" i="5"/>
  <c r="AT521" i="5"/>
  <c r="AM521" i="5"/>
  <c r="AL521" i="5"/>
  <c r="AK521" i="5"/>
  <c r="B521" i="5"/>
  <c r="AT520" i="5"/>
  <c r="AM520" i="5"/>
  <c r="AK520" i="5"/>
  <c r="AL520" i="5" s="1"/>
  <c r="B520" i="5"/>
  <c r="AT519" i="5"/>
  <c r="AM519" i="5"/>
  <c r="AK519" i="5"/>
  <c r="AL519" i="5" s="1"/>
  <c r="B519" i="5"/>
  <c r="AT518" i="5"/>
  <c r="AM518" i="5"/>
  <c r="AK518" i="5"/>
  <c r="AL518" i="5" s="1"/>
  <c r="B518" i="5"/>
  <c r="AT517" i="5"/>
  <c r="AM517" i="5"/>
  <c r="AK517" i="5"/>
  <c r="AL517" i="5" s="1"/>
  <c r="B517" i="5"/>
  <c r="AT516" i="5"/>
  <c r="AM516" i="5"/>
  <c r="AK516" i="5"/>
  <c r="AL516" i="5" s="1"/>
  <c r="B516" i="5"/>
  <c r="AT515" i="5"/>
  <c r="AM515" i="5"/>
  <c r="AL515" i="5"/>
  <c r="AK515" i="5"/>
  <c r="B515" i="5"/>
  <c r="AT514" i="5"/>
  <c r="AM514" i="5"/>
  <c r="AK514" i="5"/>
  <c r="AL514" i="5" s="1"/>
  <c r="B514" i="5"/>
  <c r="AM513" i="5"/>
  <c r="AK513" i="5"/>
  <c r="AL513" i="5" s="1"/>
  <c r="B513" i="5"/>
  <c r="AT512" i="5"/>
  <c r="AM512" i="5"/>
  <c r="AL512" i="5"/>
  <c r="AK512" i="5"/>
  <c r="B512" i="5"/>
  <c r="AT511" i="5"/>
  <c r="AM511" i="5"/>
  <c r="AK511" i="5"/>
  <c r="AL511" i="5" s="1"/>
  <c r="B511" i="5"/>
  <c r="AT510" i="5"/>
  <c r="AM510" i="5"/>
  <c r="AL510" i="5"/>
  <c r="AK510" i="5"/>
  <c r="B510" i="5"/>
  <c r="AT509" i="5"/>
  <c r="AM509" i="5"/>
  <c r="AK509" i="5"/>
  <c r="AL509" i="5" s="1"/>
  <c r="B509" i="5"/>
  <c r="AT508" i="5"/>
  <c r="AM508" i="5"/>
  <c r="AK508" i="5"/>
  <c r="AL508" i="5" s="1"/>
  <c r="B508" i="5"/>
  <c r="AT507" i="5"/>
  <c r="AM507" i="5"/>
  <c r="AK507" i="5"/>
  <c r="AL507" i="5" s="1"/>
  <c r="B507" i="5"/>
  <c r="AT506" i="5"/>
  <c r="AM506" i="5"/>
  <c r="AK506" i="5"/>
  <c r="AL506" i="5" s="1"/>
  <c r="B506" i="5"/>
  <c r="AT505" i="5"/>
  <c r="AM505" i="5"/>
  <c r="AK505" i="5"/>
  <c r="AL505" i="5" s="1"/>
  <c r="B505" i="5"/>
  <c r="AT504" i="5"/>
  <c r="AM504" i="5"/>
  <c r="AL504" i="5"/>
  <c r="AK504" i="5"/>
  <c r="B504" i="5"/>
  <c r="AT503" i="5"/>
  <c r="AM503" i="5"/>
  <c r="AK503" i="5"/>
  <c r="AL503" i="5" s="1"/>
  <c r="B503" i="5"/>
  <c r="AT502" i="5"/>
  <c r="AM502" i="5"/>
  <c r="AL502" i="5"/>
  <c r="AK502" i="5"/>
  <c r="B502" i="5"/>
  <c r="AM501" i="5"/>
  <c r="AL501" i="5"/>
  <c r="AK501" i="5"/>
  <c r="B501" i="5"/>
  <c r="AT500" i="5"/>
  <c r="AM500" i="5"/>
  <c r="AK500" i="5"/>
  <c r="AL500" i="5" s="1"/>
  <c r="B500" i="5"/>
  <c r="AT499" i="5"/>
  <c r="AM499" i="5"/>
  <c r="AK499" i="5"/>
  <c r="AL499" i="5" s="1"/>
  <c r="B499" i="5"/>
  <c r="AT498" i="5"/>
  <c r="AM498" i="5"/>
  <c r="AK498" i="5"/>
  <c r="AL498" i="5" s="1"/>
  <c r="B498" i="5"/>
  <c r="AT497" i="5"/>
  <c r="AM497" i="5"/>
  <c r="AK497" i="5"/>
  <c r="AL497" i="5" s="1"/>
  <c r="B497" i="5"/>
  <c r="AT496" i="5"/>
  <c r="AM496" i="5"/>
  <c r="AK496" i="5"/>
  <c r="AL496" i="5" s="1"/>
  <c r="B496" i="5"/>
  <c r="AT495" i="5"/>
  <c r="AM495" i="5"/>
  <c r="AL495" i="5"/>
  <c r="AK495" i="5"/>
  <c r="B495" i="5"/>
  <c r="AT494" i="5"/>
  <c r="AM494" i="5"/>
  <c r="AK494" i="5"/>
  <c r="AL494" i="5" s="1"/>
  <c r="B494" i="5"/>
  <c r="AT493" i="5"/>
  <c r="AM493" i="5"/>
  <c r="AL493" i="5"/>
  <c r="AK493" i="5"/>
  <c r="B493" i="5"/>
  <c r="AT492" i="5"/>
  <c r="AM492" i="5"/>
  <c r="AK492" i="5"/>
  <c r="AL492" i="5" s="1"/>
  <c r="B492" i="5"/>
  <c r="AT491" i="5"/>
  <c r="AM491" i="5"/>
  <c r="AK491" i="5"/>
  <c r="AL491" i="5" s="1"/>
  <c r="B491" i="5"/>
  <c r="AT490" i="5"/>
  <c r="AM490" i="5"/>
  <c r="AK490" i="5"/>
  <c r="AL490" i="5" s="1"/>
  <c r="B490" i="5"/>
  <c r="AT489" i="5"/>
  <c r="AM489" i="5"/>
  <c r="AK489" i="5"/>
  <c r="AL489" i="5" s="1"/>
  <c r="B489" i="5"/>
  <c r="AT488" i="5"/>
  <c r="AM488" i="5"/>
  <c r="AK488" i="5"/>
  <c r="AL488" i="5" s="1"/>
  <c r="B488" i="5"/>
  <c r="AT487" i="5"/>
  <c r="AM487" i="5"/>
  <c r="AL487" i="5"/>
  <c r="AK487" i="5"/>
  <c r="B487" i="5"/>
  <c r="AT486" i="5"/>
  <c r="AM486" i="5"/>
  <c r="AK486" i="5"/>
  <c r="AL486" i="5" s="1"/>
  <c r="B486" i="5"/>
  <c r="AT485" i="5"/>
  <c r="AM485" i="5"/>
  <c r="AL485" i="5"/>
  <c r="AK485" i="5"/>
  <c r="B485" i="5"/>
  <c r="AT484" i="5"/>
  <c r="AM484" i="5"/>
  <c r="AK484" i="5"/>
  <c r="AL484" i="5" s="1"/>
  <c r="B484" i="5"/>
  <c r="AT483" i="5"/>
  <c r="AM483" i="5"/>
  <c r="AK483" i="5"/>
  <c r="AL483" i="5" s="1"/>
  <c r="B483" i="5"/>
  <c r="AT482" i="5"/>
  <c r="AM482" i="5"/>
  <c r="AK482" i="5"/>
  <c r="AL482" i="5" s="1"/>
  <c r="B482" i="5"/>
  <c r="AT481" i="5"/>
  <c r="AM481" i="5"/>
  <c r="AK481" i="5"/>
  <c r="AL481" i="5" s="1"/>
  <c r="B481" i="5"/>
  <c r="AT480" i="5"/>
  <c r="AM480" i="5"/>
  <c r="AK480" i="5"/>
  <c r="AL480" i="5" s="1"/>
  <c r="B480" i="5"/>
  <c r="AT479" i="5"/>
  <c r="AM479" i="5"/>
  <c r="AL479" i="5"/>
  <c r="AK479" i="5"/>
  <c r="B479" i="5"/>
  <c r="AT478" i="5"/>
  <c r="AM478" i="5"/>
  <c r="AK478" i="5"/>
  <c r="AL478" i="5" s="1"/>
  <c r="B478" i="5"/>
  <c r="AT477" i="5"/>
  <c r="AM477" i="5"/>
  <c r="AL477" i="5"/>
  <c r="AK477" i="5"/>
  <c r="B477" i="5"/>
  <c r="AT476" i="5"/>
  <c r="AM476" i="5"/>
  <c r="AK476" i="5"/>
  <c r="AL476" i="5" s="1"/>
  <c r="B476" i="5"/>
  <c r="AT475" i="5"/>
  <c r="AM475" i="5"/>
  <c r="AK475" i="5"/>
  <c r="AL475" i="5" s="1"/>
  <c r="B475" i="5"/>
  <c r="AT474" i="5"/>
  <c r="AM474" i="5"/>
  <c r="AK474" i="5"/>
  <c r="AL474" i="5" s="1"/>
  <c r="B474" i="5"/>
  <c r="AT473" i="5"/>
  <c r="AM473" i="5"/>
  <c r="AK473" i="5"/>
  <c r="AL473" i="5" s="1"/>
  <c r="B473" i="5"/>
  <c r="AT472" i="5"/>
  <c r="AM472" i="5"/>
  <c r="AK472" i="5"/>
  <c r="AL472" i="5" s="1"/>
  <c r="B472" i="5"/>
  <c r="AT471" i="5"/>
  <c r="AM471" i="5"/>
  <c r="AL471" i="5"/>
  <c r="AK471" i="5"/>
  <c r="B471" i="5"/>
  <c r="AT470" i="5"/>
  <c r="AM470" i="5"/>
  <c r="AK470" i="5"/>
  <c r="AL470" i="5" s="1"/>
  <c r="B470" i="5"/>
  <c r="AT469" i="5"/>
  <c r="AM469" i="5"/>
  <c r="AL469" i="5"/>
  <c r="AK469" i="5"/>
  <c r="B469" i="5"/>
  <c r="AT468" i="5"/>
  <c r="AM468" i="5"/>
  <c r="AK468" i="5"/>
  <c r="AL468" i="5" s="1"/>
  <c r="B468" i="5"/>
  <c r="AT467" i="5"/>
  <c r="AM467" i="5"/>
  <c r="AK467" i="5"/>
  <c r="AL467" i="5" s="1"/>
  <c r="B467" i="5"/>
  <c r="AT466" i="5"/>
  <c r="AM466" i="5"/>
  <c r="AK466" i="5"/>
  <c r="AL466" i="5" s="1"/>
  <c r="B466" i="5"/>
  <c r="AT465" i="5"/>
  <c r="AM465" i="5"/>
  <c r="AK465" i="5"/>
  <c r="AL465" i="5" s="1"/>
  <c r="B465" i="5"/>
  <c r="AK464" i="5"/>
  <c r="AL464" i="5" s="1"/>
  <c r="B464" i="5"/>
  <c r="AT463" i="5"/>
  <c r="AM463" i="5"/>
  <c r="AK463" i="5"/>
  <c r="AL463" i="5" s="1"/>
  <c r="B463" i="5"/>
  <c r="AT462" i="5"/>
  <c r="AM462" i="5"/>
  <c r="AK462" i="5"/>
  <c r="AL462" i="5" s="1"/>
  <c r="B462" i="5"/>
  <c r="AT461" i="5"/>
  <c r="AM461" i="5"/>
  <c r="AL461" i="5"/>
  <c r="AK461" i="5"/>
  <c r="B461" i="5"/>
  <c r="AT460" i="5"/>
  <c r="AM460" i="5"/>
  <c r="AK460" i="5"/>
  <c r="AL460" i="5" s="1"/>
  <c r="B460" i="5"/>
  <c r="AT459" i="5"/>
  <c r="AM459" i="5"/>
  <c r="AL459" i="5"/>
  <c r="AK459" i="5"/>
  <c r="B459" i="5"/>
  <c r="AT458" i="5"/>
  <c r="AM458" i="5"/>
  <c r="AK458" i="5"/>
  <c r="AL458" i="5" s="1"/>
  <c r="B458" i="5"/>
  <c r="AT457" i="5"/>
  <c r="AM457" i="5"/>
  <c r="AK457" i="5"/>
  <c r="AL457" i="5" s="1"/>
  <c r="B457" i="5"/>
  <c r="AT456" i="5"/>
  <c r="AM456" i="5"/>
  <c r="AK456" i="5"/>
  <c r="AL456" i="5" s="1"/>
  <c r="B456" i="5"/>
  <c r="AT455" i="5"/>
  <c r="AM455" i="5"/>
  <c r="AK455" i="5"/>
  <c r="AL455" i="5" s="1"/>
  <c r="B455" i="5"/>
  <c r="AT454" i="5"/>
  <c r="AM454" i="5"/>
  <c r="AK454" i="5"/>
  <c r="AL454" i="5" s="1"/>
  <c r="B454" i="5"/>
  <c r="AT453" i="5"/>
  <c r="AM453" i="5"/>
  <c r="AL453" i="5"/>
  <c r="AK453" i="5"/>
  <c r="B453" i="5"/>
  <c r="AT452" i="5"/>
  <c r="AM452" i="5"/>
  <c r="AK452" i="5"/>
  <c r="AL452" i="5" s="1"/>
  <c r="B452" i="5"/>
  <c r="AT451" i="5"/>
  <c r="AM451" i="5"/>
  <c r="AL451" i="5"/>
  <c r="AK451" i="5"/>
  <c r="B451" i="5"/>
  <c r="AT450" i="5"/>
  <c r="AM450" i="5"/>
  <c r="AK450" i="5"/>
  <c r="AL450" i="5" s="1"/>
  <c r="B450" i="5"/>
  <c r="AT449" i="5"/>
  <c r="AM449" i="5"/>
  <c r="AK449" i="5"/>
  <c r="AL449" i="5" s="1"/>
  <c r="B449" i="5"/>
  <c r="AT448" i="5"/>
  <c r="AM448" i="5"/>
  <c r="AK448" i="5"/>
  <c r="AL448" i="5" s="1"/>
  <c r="B448" i="5"/>
  <c r="AT447" i="5"/>
  <c r="AM447" i="5"/>
  <c r="AK447" i="5"/>
  <c r="AL447" i="5" s="1"/>
  <c r="B447" i="5"/>
  <c r="AT446" i="5"/>
  <c r="AM446" i="5"/>
  <c r="AK446" i="5"/>
  <c r="AL446" i="5" s="1"/>
  <c r="B446" i="5"/>
  <c r="AT445" i="5"/>
  <c r="AM445" i="5"/>
  <c r="AL445" i="5"/>
  <c r="AK445" i="5"/>
  <c r="B445" i="5"/>
  <c r="AT444" i="5"/>
  <c r="AM444" i="5"/>
  <c r="AK444" i="5"/>
  <c r="AL444" i="5" s="1"/>
  <c r="B444" i="5"/>
  <c r="AT443" i="5"/>
  <c r="AM443" i="5"/>
  <c r="AL443" i="5"/>
  <c r="AK443" i="5"/>
  <c r="B443" i="5"/>
  <c r="AT442" i="5"/>
  <c r="AM442" i="5"/>
  <c r="AK442" i="5"/>
  <c r="AL442" i="5" s="1"/>
  <c r="B442" i="5"/>
  <c r="AT441" i="5"/>
  <c r="AM441" i="5"/>
  <c r="AK441" i="5"/>
  <c r="AL441" i="5" s="1"/>
  <c r="B441" i="5"/>
  <c r="AM440" i="5"/>
  <c r="AK440" i="5"/>
  <c r="AL440" i="5" s="1"/>
  <c r="B440" i="5"/>
  <c r="AT439" i="5"/>
  <c r="AM439" i="5"/>
  <c r="AK439" i="5"/>
  <c r="AL439" i="5" s="1"/>
  <c r="B439" i="5"/>
  <c r="AT438" i="5"/>
  <c r="AM438" i="5"/>
  <c r="AK438" i="5"/>
  <c r="AL438" i="5" s="1"/>
  <c r="B438" i="5"/>
  <c r="AT437" i="5"/>
  <c r="AM437" i="5"/>
  <c r="AK437" i="5"/>
  <c r="AL437" i="5" s="1"/>
  <c r="B437" i="5"/>
  <c r="AT436" i="5"/>
  <c r="AM436" i="5"/>
  <c r="AK436" i="5"/>
  <c r="AL436" i="5" s="1"/>
  <c r="B436" i="5"/>
  <c r="AT435" i="5"/>
  <c r="AM435" i="5"/>
  <c r="AL435" i="5"/>
  <c r="AK435" i="5"/>
  <c r="B435" i="5"/>
  <c r="AT434" i="5"/>
  <c r="AM434" i="5"/>
  <c r="AK434" i="5"/>
  <c r="AL434" i="5" s="1"/>
  <c r="B434" i="5"/>
  <c r="AM433" i="5"/>
  <c r="AK433" i="5"/>
  <c r="AL433" i="5" s="1"/>
  <c r="B433" i="5"/>
  <c r="AT432" i="5"/>
  <c r="AM432" i="5"/>
  <c r="AL432" i="5"/>
  <c r="AK432" i="5"/>
  <c r="B432" i="5"/>
  <c r="AT431" i="5"/>
  <c r="AM431" i="5"/>
  <c r="AK431" i="5"/>
  <c r="AL431" i="5" s="1"/>
  <c r="B431" i="5"/>
  <c r="AT430" i="5"/>
  <c r="AM430" i="5"/>
  <c r="AL430" i="5"/>
  <c r="AK430" i="5"/>
  <c r="B430" i="5"/>
  <c r="AT429" i="5"/>
  <c r="AM429" i="5"/>
  <c r="AK429" i="5"/>
  <c r="AL429" i="5" s="1"/>
  <c r="B429" i="5"/>
  <c r="AT428" i="5"/>
  <c r="AM428" i="5"/>
  <c r="AK428" i="5"/>
  <c r="AL428" i="5" s="1"/>
  <c r="B428" i="5"/>
  <c r="AT427" i="5"/>
  <c r="AM427" i="5"/>
  <c r="AK427" i="5"/>
  <c r="AL427" i="5" s="1"/>
  <c r="B427" i="5"/>
  <c r="AT426" i="5"/>
  <c r="AM426" i="5"/>
  <c r="AK426" i="5"/>
  <c r="AL426" i="5" s="1"/>
  <c r="B426" i="5"/>
  <c r="AT425" i="5"/>
  <c r="AM425" i="5"/>
  <c r="AK425" i="5"/>
  <c r="AL425" i="5" s="1"/>
  <c r="B425" i="5"/>
  <c r="AT424" i="5"/>
  <c r="AM424" i="5"/>
  <c r="AL424" i="5"/>
  <c r="AK424" i="5"/>
  <c r="B424" i="5"/>
  <c r="AT423" i="5"/>
  <c r="AM423" i="5"/>
  <c r="AK423" i="5"/>
  <c r="AL423" i="5" s="1"/>
  <c r="B423" i="5"/>
  <c r="AM422" i="5"/>
  <c r="AK422" i="5"/>
  <c r="AL422" i="5" s="1"/>
  <c r="B422" i="5"/>
  <c r="AT421" i="5"/>
  <c r="AM421" i="5"/>
  <c r="AL421" i="5"/>
  <c r="AK421" i="5"/>
  <c r="B421" i="5"/>
  <c r="AT420" i="5"/>
  <c r="AM420" i="5"/>
  <c r="AK420" i="5"/>
  <c r="AL420" i="5" s="1"/>
  <c r="B420" i="5"/>
  <c r="AT419" i="5"/>
  <c r="AM419" i="5"/>
  <c r="AL419" i="5"/>
  <c r="AK419" i="5"/>
  <c r="B419" i="5"/>
  <c r="AM418" i="5"/>
  <c r="AL418" i="5"/>
  <c r="AK418" i="5"/>
  <c r="B418" i="5"/>
  <c r="AT417" i="5"/>
  <c r="AM417" i="5"/>
  <c r="AK417" i="5"/>
  <c r="AL417" i="5" s="1"/>
  <c r="B417" i="5"/>
  <c r="AT416" i="5"/>
  <c r="AM416" i="5"/>
  <c r="AK416" i="5"/>
  <c r="AL416" i="5" s="1"/>
  <c r="B416" i="5"/>
  <c r="AT415" i="5"/>
  <c r="AM415" i="5"/>
  <c r="AK415" i="5"/>
  <c r="AL415" i="5" s="1"/>
  <c r="B415" i="5"/>
  <c r="AT414" i="5"/>
  <c r="AM414" i="5"/>
  <c r="AK414" i="5"/>
  <c r="AL414" i="5" s="1"/>
  <c r="B414" i="5"/>
  <c r="AT413" i="5"/>
  <c r="AM413" i="5"/>
  <c r="AK413" i="5"/>
  <c r="AL413" i="5" s="1"/>
  <c r="B413" i="5"/>
  <c r="AT412" i="5"/>
  <c r="AM412" i="5"/>
  <c r="AL412" i="5"/>
  <c r="AK412" i="5"/>
  <c r="B412" i="5"/>
  <c r="AT411" i="5"/>
  <c r="AM411" i="5"/>
  <c r="AK411" i="5"/>
  <c r="AL411" i="5" s="1"/>
  <c r="B411" i="5"/>
  <c r="AT410" i="5"/>
  <c r="AM410" i="5"/>
  <c r="AL410" i="5"/>
  <c r="AK410" i="5"/>
  <c r="B410" i="5"/>
  <c r="AT409" i="5"/>
  <c r="AM409" i="5"/>
  <c r="AK409" i="5"/>
  <c r="AL409" i="5" s="1"/>
  <c r="B409" i="5"/>
  <c r="AT408" i="5"/>
  <c r="AM408" i="5"/>
  <c r="AK408" i="5"/>
  <c r="AL408" i="5" s="1"/>
  <c r="B408" i="5"/>
  <c r="AT407" i="5"/>
  <c r="AM407" i="5"/>
  <c r="AK407" i="5"/>
  <c r="AL407" i="5" s="1"/>
  <c r="B407" i="5"/>
  <c r="AT406" i="5"/>
  <c r="AM406" i="5"/>
  <c r="AK406" i="5"/>
  <c r="AL406" i="5" s="1"/>
  <c r="B406" i="5"/>
  <c r="AT405" i="5"/>
  <c r="AM405" i="5"/>
  <c r="AK405" i="5"/>
  <c r="AL405" i="5" s="1"/>
  <c r="B405" i="5"/>
  <c r="AT404" i="5"/>
  <c r="AM404" i="5"/>
  <c r="AL404" i="5"/>
  <c r="AK404" i="5"/>
  <c r="B404" i="5"/>
  <c r="AT403" i="5"/>
  <c r="AM403" i="5"/>
  <c r="AK403" i="5"/>
  <c r="AL403" i="5" s="1"/>
  <c r="B403" i="5"/>
  <c r="AT402" i="5"/>
  <c r="AM402" i="5"/>
  <c r="AL402" i="5"/>
  <c r="AK402" i="5"/>
  <c r="B402" i="5"/>
  <c r="AT401" i="5"/>
  <c r="AM401" i="5"/>
  <c r="AK401" i="5"/>
  <c r="AL401" i="5" s="1"/>
  <c r="B401" i="5"/>
  <c r="AT400" i="5"/>
  <c r="AM400" i="5"/>
  <c r="AK400" i="5"/>
  <c r="AL400" i="5" s="1"/>
  <c r="B400" i="5"/>
  <c r="AT399" i="5"/>
  <c r="AM399" i="5"/>
  <c r="AK399" i="5"/>
  <c r="AL399" i="5" s="1"/>
  <c r="B399" i="5"/>
  <c r="AT398" i="5"/>
  <c r="AM398" i="5"/>
  <c r="AK398" i="5"/>
  <c r="AL398" i="5" s="1"/>
  <c r="B398" i="5"/>
  <c r="AT397" i="5"/>
  <c r="AM397" i="5"/>
  <c r="AK397" i="5"/>
  <c r="AL397" i="5" s="1"/>
  <c r="B397" i="5"/>
  <c r="AT396" i="5"/>
  <c r="AM396" i="5"/>
  <c r="AL396" i="5"/>
  <c r="AK396" i="5"/>
  <c r="B396" i="5"/>
  <c r="AT395" i="5"/>
  <c r="AM395" i="5"/>
  <c r="AK395" i="5"/>
  <c r="AL395" i="5" s="1"/>
  <c r="B395" i="5"/>
  <c r="AT394" i="5"/>
  <c r="AM394" i="5"/>
  <c r="AL394" i="5"/>
  <c r="AK394" i="5"/>
  <c r="B394" i="5"/>
  <c r="AT393" i="5"/>
  <c r="AM393" i="5"/>
  <c r="AK393" i="5"/>
  <c r="AL393" i="5" s="1"/>
  <c r="B393" i="5"/>
  <c r="AT392" i="5"/>
  <c r="AM392" i="5"/>
  <c r="AK392" i="5"/>
  <c r="AL392" i="5" s="1"/>
  <c r="B392" i="5"/>
  <c r="AT391" i="5"/>
  <c r="AM391" i="5"/>
  <c r="AK391" i="5"/>
  <c r="AL391" i="5" s="1"/>
  <c r="B391" i="5"/>
  <c r="AT390" i="5"/>
  <c r="AM390" i="5"/>
  <c r="AK390" i="5"/>
  <c r="AL390" i="5" s="1"/>
  <c r="B390" i="5"/>
  <c r="AT389" i="5"/>
  <c r="AM389" i="5"/>
  <c r="AK389" i="5"/>
  <c r="AL389" i="5" s="1"/>
  <c r="B389" i="5"/>
  <c r="AT388" i="5"/>
  <c r="AM388" i="5"/>
  <c r="AL388" i="5"/>
  <c r="AK388" i="5"/>
  <c r="B388" i="5"/>
  <c r="AT387" i="5"/>
  <c r="AM387" i="5"/>
  <c r="AK387" i="5"/>
  <c r="AL387" i="5" s="1"/>
  <c r="B387" i="5"/>
  <c r="AT386" i="5"/>
  <c r="AM386" i="5"/>
  <c r="AL386" i="5"/>
  <c r="AK386" i="5"/>
  <c r="B386" i="5"/>
  <c r="AT385" i="5"/>
  <c r="AM385" i="5"/>
  <c r="AK385" i="5"/>
  <c r="AL385" i="5" s="1"/>
  <c r="B385" i="5"/>
  <c r="AT384" i="5"/>
  <c r="AM384" i="5"/>
  <c r="AK384" i="5"/>
  <c r="AL384" i="5" s="1"/>
  <c r="B384" i="5"/>
  <c r="AT383" i="5"/>
  <c r="AM383" i="5"/>
  <c r="AK383" i="5"/>
  <c r="AL383" i="5" s="1"/>
  <c r="B383" i="5"/>
  <c r="AT382" i="5"/>
  <c r="AM382" i="5"/>
  <c r="AK382" i="5"/>
  <c r="AL382" i="5" s="1"/>
  <c r="B382" i="5"/>
  <c r="AT381" i="5"/>
  <c r="AM381" i="5"/>
  <c r="AK381" i="5"/>
  <c r="AL381" i="5" s="1"/>
  <c r="B381" i="5"/>
  <c r="AT380" i="5"/>
  <c r="AM380" i="5"/>
  <c r="AL380" i="5"/>
  <c r="AK380" i="5"/>
  <c r="B380" i="5"/>
  <c r="AT379" i="5"/>
  <c r="AM379" i="5"/>
  <c r="AK379" i="5"/>
  <c r="AL379" i="5" s="1"/>
  <c r="B379" i="5"/>
  <c r="AT378" i="5"/>
  <c r="AM378" i="5"/>
  <c r="AL378" i="5"/>
  <c r="AK378" i="5"/>
  <c r="B378" i="5"/>
  <c r="AT377" i="5"/>
  <c r="AM377" i="5"/>
  <c r="AK377" i="5"/>
  <c r="AL377" i="5" s="1"/>
  <c r="B377" i="5"/>
  <c r="AT376" i="5"/>
  <c r="AM376" i="5"/>
  <c r="AK376" i="5"/>
  <c r="AL376" i="5" s="1"/>
  <c r="B376" i="5"/>
  <c r="AT375" i="5"/>
  <c r="AM375" i="5"/>
  <c r="AK375" i="5"/>
  <c r="AL375" i="5" s="1"/>
  <c r="B375" i="5"/>
  <c r="AT374" i="5"/>
  <c r="AM374" i="5"/>
  <c r="AK374" i="5"/>
  <c r="AL374" i="5" s="1"/>
  <c r="B374" i="5"/>
  <c r="AT373" i="5"/>
  <c r="AM373" i="5"/>
  <c r="AK373" i="5"/>
  <c r="AL373" i="5" s="1"/>
  <c r="B373" i="5"/>
  <c r="AT372" i="5"/>
  <c r="AM372" i="5"/>
  <c r="AL372" i="5"/>
  <c r="AK372" i="5"/>
  <c r="B372" i="5"/>
  <c r="AT371" i="5"/>
  <c r="AM371" i="5"/>
  <c r="AK371" i="5"/>
  <c r="AL371" i="5" s="1"/>
  <c r="B371" i="5"/>
  <c r="AT370" i="5"/>
  <c r="AM370" i="5"/>
  <c r="AL370" i="5"/>
  <c r="AK370" i="5"/>
  <c r="B370" i="5"/>
  <c r="AT369" i="5"/>
  <c r="AM369" i="5"/>
  <c r="AK369" i="5"/>
  <c r="AL369" i="5" s="1"/>
  <c r="B369" i="5"/>
  <c r="AT368" i="5"/>
  <c r="AM368" i="5"/>
  <c r="AK368" i="5"/>
  <c r="AL368" i="5" s="1"/>
  <c r="B368" i="5"/>
  <c r="AT367" i="5"/>
  <c r="AM367" i="5"/>
  <c r="AK367" i="5"/>
  <c r="AL367" i="5" s="1"/>
  <c r="B367" i="5"/>
  <c r="AT366" i="5"/>
  <c r="AM366" i="5"/>
  <c r="AK366" i="5"/>
  <c r="AL366" i="5" s="1"/>
  <c r="B366" i="5"/>
  <c r="AT365" i="5"/>
  <c r="AM365" i="5"/>
  <c r="AK365" i="5"/>
  <c r="AL365" i="5" s="1"/>
  <c r="B365" i="5"/>
  <c r="AT364" i="5"/>
  <c r="AM364" i="5"/>
  <c r="AL364" i="5"/>
  <c r="AK364" i="5"/>
  <c r="B364" i="5"/>
  <c r="AT363" i="5"/>
  <c r="AM363" i="5"/>
  <c r="AK363" i="5"/>
  <c r="AL363" i="5" s="1"/>
  <c r="B363" i="5"/>
  <c r="AT362" i="5"/>
  <c r="AM362" i="5"/>
  <c r="AL362" i="5"/>
  <c r="AK362" i="5"/>
  <c r="B362" i="5"/>
  <c r="AT361" i="5"/>
  <c r="AM361" i="5"/>
  <c r="AK361" i="5"/>
  <c r="AL361" i="5" s="1"/>
  <c r="B361" i="5"/>
  <c r="AT360" i="5"/>
  <c r="AM360" i="5"/>
  <c r="AK360" i="5"/>
  <c r="AL360" i="5" s="1"/>
  <c r="B360" i="5"/>
  <c r="AT359" i="5"/>
  <c r="AM359" i="5"/>
  <c r="AK359" i="5"/>
  <c r="AL359" i="5" s="1"/>
  <c r="B359" i="5"/>
  <c r="AT358" i="5"/>
  <c r="AM358" i="5"/>
  <c r="AK358" i="5"/>
  <c r="AL358" i="5" s="1"/>
  <c r="B358" i="5"/>
  <c r="AT357" i="5"/>
  <c r="AM357" i="5"/>
  <c r="AK357" i="5"/>
  <c r="AL357" i="5" s="1"/>
  <c r="B357" i="5"/>
  <c r="AT356" i="5"/>
  <c r="AM356" i="5"/>
  <c r="AL356" i="5"/>
  <c r="AK356" i="5"/>
  <c r="B356" i="5"/>
  <c r="AT355" i="5"/>
  <c r="AM355" i="5"/>
  <c r="AK355" i="5"/>
  <c r="AL355" i="5" s="1"/>
  <c r="B355" i="5"/>
  <c r="AT354" i="5"/>
  <c r="AM354" i="5"/>
  <c r="AL354" i="5"/>
  <c r="AK354" i="5"/>
  <c r="B354" i="5"/>
  <c r="AT353" i="5"/>
  <c r="AM353" i="5"/>
  <c r="AK353" i="5"/>
  <c r="AL353" i="5" s="1"/>
  <c r="B353" i="5"/>
  <c r="AT352" i="5"/>
  <c r="AM352" i="5"/>
  <c r="AK352" i="5"/>
  <c r="AL352" i="5" s="1"/>
  <c r="B352" i="5"/>
  <c r="AT351" i="5"/>
  <c r="AM351" i="5"/>
  <c r="AK351" i="5"/>
  <c r="AL351" i="5" s="1"/>
  <c r="B351" i="5"/>
  <c r="AT350" i="5"/>
  <c r="AM350" i="5"/>
  <c r="AK350" i="5"/>
  <c r="AL350" i="5" s="1"/>
  <c r="B350" i="5"/>
  <c r="AT349" i="5"/>
  <c r="AM349" i="5"/>
  <c r="AK349" i="5"/>
  <c r="AL349" i="5" s="1"/>
  <c r="B349" i="5"/>
  <c r="AT348" i="5"/>
  <c r="AM348" i="5"/>
  <c r="AL348" i="5"/>
  <c r="AK348" i="5"/>
  <c r="B348" i="5"/>
  <c r="AT347" i="5"/>
  <c r="AM347" i="5"/>
  <c r="AK347" i="5"/>
  <c r="AL347" i="5" s="1"/>
  <c r="B347" i="5"/>
  <c r="AT346" i="5"/>
  <c r="AM346" i="5"/>
  <c r="AL346" i="5"/>
  <c r="AK346" i="5"/>
  <c r="B346" i="5"/>
  <c r="AT345" i="5"/>
  <c r="AM345" i="5"/>
  <c r="AK345" i="5"/>
  <c r="AL345" i="5" s="1"/>
  <c r="B345" i="5"/>
  <c r="AT344" i="5"/>
  <c r="AM344" i="5"/>
  <c r="AK344" i="5"/>
  <c r="AL344" i="5" s="1"/>
  <c r="B344" i="5"/>
  <c r="AT343" i="5"/>
  <c r="AM343" i="5"/>
  <c r="AK343" i="5"/>
  <c r="AL343" i="5" s="1"/>
  <c r="B343" i="5"/>
  <c r="AT342" i="5"/>
  <c r="AM342" i="5"/>
  <c r="AK342" i="5"/>
  <c r="AL342" i="5" s="1"/>
  <c r="B342" i="5"/>
  <c r="AT341" i="5"/>
  <c r="AM341" i="5"/>
  <c r="AK341" i="5"/>
  <c r="AL341" i="5" s="1"/>
  <c r="B341" i="5"/>
  <c r="AT340" i="5"/>
  <c r="AM340" i="5"/>
  <c r="AL340" i="5"/>
  <c r="AK340" i="5"/>
  <c r="B340" i="5"/>
  <c r="AT339" i="5"/>
  <c r="AM339" i="5"/>
  <c r="AK339" i="5"/>
  <c r="AL339" i="5" s="1"/>
  <c r="B339" i="5"/>
  <c r="AT338" i="5"/>
  <c r="AM338" i="5"/>
  <c r="AL338" i="5"/>
  <c r="AK338" i="5"/>
  <c r="B338" i="5"/>
  <c r="AT337" i="5"/>
  <c r="AM337" i="5"/>
  <c r="AK337" i="5"/>
  <c r="AL337" i="5" s="1"/>
  <c r="B337" i="5"/>
  <c r="AT336" i="5"/>
  <c r="AM336" i="5"/>
  <c r="AK336" i="5"/>
  <c r="AL336" i="5" s="1"/>
  <c r="B336" i="5"/>
  <c r="AT335" i="5"/>
  <c r="AM335" i="5"/>
  <c r="AK335" i="5"/>
  <c r="AL335" i="5" s="1"/>
  <c r="B335" i="5"/>
  <c r="AT334" i="5"/>
  <c r="AM334" i="5"/>
  <c r="AK334" i="5"/>
  <c r="AL334" i="5" s="1"/>
  <c r="B334" i="5"/>
  <c r="AT333" i="5"/>
  <c r="AM333" i="5"/>
  <c r="AK333" i="5"/>
  <c r="AL333" i="5" s="1"/>
  <c r="B333" i="5"/>
  <c r="AT332" i="5"/>
  <c r="AM332" i="5"/>
  <c r="AL332" i="5"/>
  <c r="AK332" i="5"/>
  <c r="B332" i="5"/>
  <c r="AT331" i="5"/>
  <c r="AM331" i="5"/>
  <c r="AK331" i="5"/>
  <c r="AL331" i="5" s="1"/>
  <c r="B331" i="5"/>
  <c r="AT330" i="5"/>
  <c r="AM330" i="5"/>
  <c r="AL330" i="5"/>
  <c r="AK330" i="5"/>
  <c r="B330" i="5"/>
  <c r="AT329" i="5"/>
  <c r="AM329" i="5"/>
  <c r="AK329" i="5"/>
  <c r="AL329" i="5" s="1"/>
  <c r="B329" i="5"/>
  <c r="AT328" i="5"/>
  <c r="AM328" i="5"/>
  <c r="AK328" i="5"/>
  <c r="AL328" i="5" s="1"/>
  <c r="B328" i="5"/>
  <c r="AT327" i="5"/>
  <c r="AM327" i="5"/>
  <c r="AK327" i="5"/>
  <c r="AL327" i="5" s="1"/>
  <c r="B327" i="5"/>
  <c r="AT326" i="5"/>
  <c r="AM326" i="5"/>
  <c r="AK326" i="5"/>
  <c r="AL326" i="5" s="1"/>
  <c r="B326" i="5"/>
  <c r="AT325" i="5"/>
  <c r="AM325" i="5"/>
  <c r="AK325" i="5"/>
  <c r="AL325" i="5" s="1"/>
  <c r="B325" i="5"/>
  <c r="AT324" i="5"/>
  <c r="AM324" i="5"/>
  <c r="AL324" i="5"/>
  <c r="AK324" i="5"/>
  <c r="B324" i="5"/>
  <c r="AT323" i="5"/>
  <c r="AM323" i="5"/>
  <c r="AK323" i="5"/>
  <c r="AL323" i="5" s="1"/>
  <c r="B323" i="5"/>
  <c r="AT322" i="5"/>
  <c r="AM322" i="5"/>
  <c r="AL322" i="5"/>
  <c r="AK322" i="5"/>
  <c r="B322" i="5"/>
  <c r="AT321" i="5"/>
  <c r="AM321" i="5"/>
  <c r="AK321" i="5"/>
  <c r="AL321" i="5" s="1"/>
  <c r="B321" i="5"/>
  <c r="AT320" i="5"/>
  <c r="AM320" i="5"/>
  <c r="AK320" i="5"/>
  <c r="AL320" i="5" s="1"/>
  <c r="B320" i="5"/>
  <c r="AT319" i="5"/>
  <c r="AM319" i="5"/>
  <c r="AK319" i="5"/>
  <c r="AL319" i="5" s="1"/>
  <c r="B319" i="5"/>
  <c r="AT318" i="5"/>
  <c r="AM318" i="5"/>
  <c r="AK318" i="5"/>
  <c r="AL318" i="5" s="1"/>
  <c r="B318" i="5"/>
  <c r="AT317" i="5"/>
  <c r="AM317" i="5"/>
  <c r="AK317" i="5"/>
  <c r="AL317" i="5" s="1"/>
  <c r="B317" i="5"/>
  <c r="AT316" i="5"/>
  <c r="AM316" i="5"/>
  <c r="AL316" i="5"/>
  <c r="AK316" i="5"/>
  <c r="B316" i="5"/>
  <c r="AT315" i="5"/>
  <c r="AM315" i="5"/>
  <c r="AK315" i="5"/>
  <c r="AL315" i="5" s="1"/>
  <c r="B315" i="5"/>
  <c r="AT314" i="5"/>
  <c r="AM314" i="5"/>
  <c r="AL314" i="5"/>
  <c r="AK314" i="5"/>
  <c r="B314" i="5"/>
  <c r="AT313" i="5"/>
  <c r="AM313" i="5"/>
  <c r="AK313" i="5"/>
  <c r="AL313" i="5" s="1"/>
  <c r="B313" i="5"/>
  <c r="AT312" i="5"/>
  <c r="AM312" i="5"/>
  <c r="AK312" i="5"/>
  <c r="AL312" i="5" s="1"/>
  <c r="B312" i="5"/>
  <c r="AT311" i="5"/>
  <c r="AM311" i="5"/>
  <c r="AK311" i="5"/>
  <c r="AL311" i="5" s="1"/>
  <c r="B311" i="5"/>
  <c r="AT310" i="5"/>
  <c r="AM310" i="5"/>
  <c r="AK310" i="5"/>
  <c r="AL310" i="5" s="1"/>
  <c r="B310" i="5"/>
  <c r="AT309" i="5"/>
  <c r="AM309" i="5"/>
  <c r="AK309" i="5"/>
  <c r="AL309" i="5" s="1"/>
  <c r="B309" i="5"/>
  <c r="AT308" i="5"/>
  <c r="AM308" i="5"/>
  <c r="AL308" i="5"/>
  <c r="AK308" i="5"/>
  <c r="B308" i="5"/>
  <c r="AT307" i="5"/>
  <c r="AM307" i="5"/>
  <c r="AK307" i="5"/>
  <c r="AL307" i="5" s="1"/>
  <c r="B307" i="5"/>
  <c r="AT306" i="5"/>
  <c r="AM306" i="5"/>
  <c r="AL306" i="5"/>
  <c r="AK306" i="5"/>
  <c r="B306" i="5"/>
  <c r="AT305" i="5"/>
  <c r="AK305" i="5"/>
  <c r="AL305" i="5" s="1"/>
  <c r="B305" i="5"/>
  <c r="AT304" i="5"/>
  <c r="AL304" i="5"/>
  <c r="AK304" i="5"/>
  <c r="AM304" i="5" s="1"/>
  <c r="B304" i="5"/>
  <c r="AT303" i="5"/>
  <c r="AM303" i="5"/>
  <c r="AK303" i="5"/>
  <c r="AL303" i="5" s="1"/>
  <c r="B303" i="5"/>
  <c r="AT302" i="5"/>
  <c r="AM302" i="5"/>
  <c r="AL302" i="5"/>
  <c r="AK302" i="5"/>
  <c r="B302" i="5"/>
  <c r="AT301" i="5"/>
  <c r="AM301" i="5"/>
  <c r="AK301" i="5"/>
  <c r="AL301" i="5" s="1"/>
  <c r="B301" i="5"/>
  <c r="AT300" i="5"/>
  <c r="AM300" i="5"/>
  <c r="AK300" i="5"/>
  <c r="AL300" i="5" s="1"/>
  <c r="B300" i="5"/>
  <c r="AT299" i="5"/>
  <c r="AM299" i="5"/>
  <c r="AK299" i="5"/>
  <c r="AL299" i="5" s="1"/>
  <c r="B299" i="5"/>
  <c r="AT298" i="5"/>
  <c r="AM298" i="5"/>
  <c r="AK298" i="5"/>
  <c r="AL298" i="5" s="1"/>
  <c r="B298" i="5"/>
  <c r="AT297" i="5"/>
  <c r="AM297" i="5"/>
  <c r="AK297" i="5"/>
  <c r="AL297" i="5" s="1"/>
  <c r="B297" i="5"/>
  <c r="AT296" i="5"/>
  <c r="AM296" i="5"/>
  <c r="AL296" i="5"/>
  <c r="AK296" i="5"/>
  <c r="B296" i="5"/>
  <c r="AT295" i="5"/>
  <c r="AM295" i="5"/>
  <c r="AK295" i="5"/>
  <c r="AL295" i="5" s="1"/>
  <c r="B295" i="5"/>
  <c r="AT294" i="5"/>
  <c r="AM294" i="5"/>
  <c r="AL294" i="5"/>
  <c r="AK294" i="5"/>
  <c r="B294" i="5"/>
  <c r="AT293" i="5"/>
  <c r="AM293" i="5"/>
  <c r="AK293" i="5"/>
  <c r="AL293" i="5" s="1"/>
  <c r="B293" i="5"/>
  <c r="AT292" i="5"/>
  <c r="AM292" i="5"/>
  <c r="AK292" i="5"/>
  <c r="AL292" i="5" s="1"/>
  <c r="B292" i="5"/>
  <c r="AT291" i="5"/>
  <c r="AM291" i="5"/>
  <c r="AK291" i="5"/>
  <c r="AL291" i="5" s="1"/>
  <c r="B291" i="5"/>
  <c r="AT290" i="5"/>
  <c r="AM290" i="5"/>
  <c r="AK290" i="5"/>
  <c r="AL290" i="5" s="1"/>
  <c r="B290" i="5"/>
  <c r="AT289" i="5"/>
  <c r="AM289" i="5"/>
  <c r="AK289" i="5"/>
  <c r="AL289" i="5" s="1"/>
  <c r="B289" i="5"/>
  <c r="AT288" i="5"/>
  <c r="AM288" i="5"/>
  <c r="AL288" i="5"/>
  <c r="AK288" i="5"/>
  <c r="M288" i="5"/>
  <c r="B288" i="5" s="1"/>
  <c r="AT287" i="5"/>
  <c r="AM287" i="5"/>
  <c r="AL287" i="5"/>
  <c r="AK287" i="5"/>
  <c r="B287" i="5"/>
  <c r="AT286" i="5"/>
  <c r="AM286" i="5"/>
  <c r="AK286" i="5"/>
  <c r="AL286" i="5" s="1"/>
  <c r="B286" i="5"/>
  <c r="AT285" i="5"/>
  <c r="AM285" i="5"/>
  <c r="AK285" i="5"/>
  <c r="AL285" i="5" s="1"/>
  <c r="B285" i="5"/>
  <c r="AT284" i="5"/>
  <c r="AM284" i="5"/>
  <c r="AK284" i="5"/>
  <c r="AL284" i="5" s="1"/>
  <c r="B284" i="5"/>
  <c r="AT283" i="5"/>
  <c r="AM283" i="5"/>
  <c r="AK283" i="5"/>
  <c r="AL283" i="5" s="1"/>
  <c r="B283" i="5"/>
  <c r="AT282" i="5"/>
  <c r="AM282" i="5"/>
  <c r="AK282" i="5"/>
  <c r="AL282" i="5" s="1"/>
  <c r="B282" i="5"/>
  <c r="AT281" i="5"/>
  <c r="AM281" i="5"/>
  <c r="AL281" i="5"/>
  <c r="AK281" i="5"/>
  <c r="B281" i="5"/>
  <c r="AT280" i="5"/>
  <c r="AM280" i="5"/>
  <c r="AK280" i="5"/>
  <c r="AL280" i="5" s="1"/>
  <c r="B280" i="5"/>
  <c r="AT279" i="5"/>
  <c r="AM279" i="5"/>
  <c r="AL279" i="5"/>
  <c r="AK279" i="5"/>
  <c r="B279" i="5"/>
  <c r="AT278" i="5"/>
  <c r="AM278" i="5"/>
  <c r="AK278" i="5"/>
  <c r="AL278" i="5" s="1"/>
  <c r="B278" i="5"/>
  <c r="AT277" i="5"/>
  <c r="AM277" i="5"/>
  <c r="AK277" i="5"/>
  <c r="AL277" i="5" s="1"/>
  <c r="B277" i="5"/>
  <c r="AT276" i="5"/>
  <c r="AM276" i="5"/>
  <c r="AK276" i="5"/>
  <c r="AL276" i="5" s="1"/>
  <c r="B276" i="5"/>
  <c r="AT275" i="5"/>
  <c r="AM275" i="5"/>
  <c r="AK275" i="5"/>
  <c r="AL275" i="5" s="1"/>
  <c r="B275" i="5"/>
  <c r="AT274" i="5"/>
  <c r="AM274" i="5"/>
  <c r="AK274" i="5"/>
  <c r="AL274" i="5" s="1"/>
  <c r="M274" i="5"/>
  <c r="B274" i="5"/>
  <c r="AT273" i="5"/>
  <c r="AM273" i="5"/>
  <c r="AK273" i="5"/>
  <c r="AL273" i="5" s="1"/>
  <c r="B273" i="5"/>
  <c r="AT272" i="5"/>
  <c r="AM272" i="5"/>
  <c r="AL272" i="5"/>
  <c r="AK272" i="5"/>
  <c r="B272" i="5"/>
  <c r="AT271" i="5"/>
  <c r="AM271" i="5"/>
  <c r="AK271" i="5"/>
  <c r="AL271" i="5" s="1"/>
  <c r="B271" i="5"/>
  <c r="AT270" i="5"/>
  <c r="AM270" i="5"/>
  <c r="AK270" i="5"/>
  <c r="AL270" i="5" s="1"/>
  <c r="B270" i="5"/>
  <c r="AT269" i="5"/>
  <c r="AM269" i="5"/>
  <c r="AK269" i="5"/>
  <c r="AL269" i="5" s="1"/>
  <c r="B269" i="5"/>
  <c r="AT268" i="5"/>
  <c r="AM268" i="5"/>
  <c r="AK268" i="5"/>
  <c r="AL268" i="5" s="1"/>
  <c r="B268" i="5"/>
  <c r="AT267" i="5"/>
  <c r="AM267" i="5"/>
  <c r="AK267" i="5"/>
  <c r="AL267" i="5" s="1"/>
  <c r="B267" i="5"/>
  <c r="AT266" i="5"/>
  <c r="AM266" i="5"/>
  <c r="AL266" i="5"/>
  <c r="AK266" i="5"/>
  <c r="B266" i="5"/>
  <c r="AT265" i="5"/>
  <c r="AM265" i="5"/>
  <c r="AK265" i="5"/>
  <c r="AL265" i="5" s="1"/>
  <c r="B265" i="5"/>
  <c r="AT264" i="5"/>
  <c r="AM264" i="5"/>
  <c r="AL264" i="5"/>
  <c r="AK264" i="5"/>
  <c r="B264" i="5"/>
  <c r="AT263" i="5"/>
  <c r="AM263" i="5"/>
  <c r="AK263" i="5"/>
  <c r="AL263" i="5" s="1"/>
  <c r="B263" i="5"/>
  <c r="AT262" i="5"/>
  <c r="AM262" i="5"/>
  <c r="AK262" i="5"/>
  <c r="AL262" i="5" s="1"/>
  <c r="B262" i="5"/>
  <c r="AT261" i="5"/>
  <c r="AM261" i="5"/>
  <c r="AK261" i="5"/>
  <c r="AL261" i="5" s="1"/>
  <c r="B261" i="5"/>
  <c r="AT260" i="5"/>
  <c r="AM260" i="5"/>
  <c r="AK260" i="5"/>
  <c r="AL260" i="5" s="1"/>
  <c r="B260" i="5"/>
  <c r="AT259" i="5"/>
  <c r="AM259" i="5"/>
  <c r="AK259" i="5"/>
  <c r="AL259" i="5" s="1"/>
  <c r="B259" i="5"/>
  <c r="AT258" i="5"/>
  <c r="AM258" i="5"/>
  <c r="AL258" i="5"/>
  <c r="AK258" i="5"/>
  <c r="B258" i="5"/>
  <c r="AT257" i="5"/>
  <c r="AM257" i="5"/>
  <c r="AK257" i="5"/>
  <c r="AL257" i="5" s="1"/>
  <c r="B257" i="5"/>
  <c r="AT256" i="5"/>
  <c r="AM256" i="5"/>
  <c r="AL256" i="5"/>
  <c r="AK256" i="5"/>
  <c r="B256" i="5"/>
  <c r="AT255" i="5"/>
  <c r="AM255" i="5"/>
  <c r="AK255" i="5"/>
  <c r="AL255" i="5" s="1"/>
  <c r="B255" i="5"/>
  <c r="AT254" i="5"/>
  <c r="AM254" i="5"/>
  <c r="AK254" i="5"/>
  <c r="AL254" i="5" s="1"/>
  <c r="B254" i="5"/>
  <c r="AT253" i="5"/>
  <c r="AM253" i="5"/>
  <c r="AK253" i="5"/>
  <c r="AL253" i="5" s="1"/>
  <c r="B253" i="5"/>
  <c r="AT252" i="5"/>
  <c r="AM252" i="5"/>
  <c r="AK252" i="5"/>
  <c r="AL252" i="5" s="1"/>
  <c r="B252" i="5"/>
  <c r="AT251" i="5"/>
  <c r="AM251" i="5"/>
  <c r="AK251" i="5"/>
  <c r="AL251" i="5" s="1"/>
  <c r="B251" i="5"/>
  <c r="AT250" i="5"/>
  <c r="AM250" i="5"/>
  <c r="AL250" i="5"/>
  <c r="AK250" i="5"/>
  <c r="B250" i="5"/>
  <c r="AT249" i="5"/>
  <c r="AM249" i="5"/>
  <c r="AK249" i="5"/>
  <c r="AL249" i="5" s="1"/>
  <c r="B249" i="5"/>
  <c r="AT248" i="5"/>
  <c r="AM248" i="5"/>
  <c r="AL248" i="5"/>
  <c r="AK248" i="5"/>
  <c r="B248" i="5"/>
  <c r="AT247" i="5"/>
  <c r="AM247" i="5"/>
  <c r="AK247" i="5"/>
  <c r="AL247" i="5" s="1"/>
  <c r="B247" i="5"/>
  <c r="AT246" i="5"/>
  <c r="AM246" i="5"/>
  <c r="AK246" i="5"/>
  <c r="AL246" i="5" s="1"/>
  <c r="B246" i="5"/>
  <c r="AT245" i="5"/>
  <c r="AM245" i="5"/>
  <c r="AK245" i="5"/>
  <c r="AL245" i="5" s="1"/>
  <c r="B245" i="5"/>
  <c r="AT244" i="5"/>
  <c r="AM244" i="5"/>
  <c r="AK244" i="5"/>
  <c r="AL244" i="5" s="1"/>
  <c r="B244" i="5"/>
  <c r="AT243" i="5"/>
  <c r="AM243" i="5"/>
  <c r="AK243" i="5"/>
  <c r="AL243" i="5" s="1"/>
  <c r="B243" i="5"/>
  <c r="AT242" i="5"/>
  <c r="AM242" i="5"/>
  <c r="AL242" i="5"/>
  <c r="AK242" i="5"/>
  <c r="M242" i="5"/>
  <c r="B242" i="5" s="1"/>
  <c r="AT241" i="5"/>
  <c r="AM241" i="5"/>
  <c r="AL241" i="5"/>
  <c r="AK241" i="5"/>
  <c r="B241" i="5"/>
  <c r="AT240" i="5"/>
  <c r="AM240" i="5"/>
  <c r="AK240" i="5"/>
  <c r="AL240" i="5" s="1"/>
  <c r="B240" i="5"/>
  <c r="AT239" i="5"/>
  <c r="AM239" i="5"/>
  <c r="AK239" i="5"/>
  <c r="AL239" i="5" s="1"/>
  <c r="B239" i="5"/>
  <c r="AT238" i="5"/>
  <c r="AM238" i="5"/>
  <c r="AK238" i="5"/>
  <c r="AL238" i="5" s="1"/>
  <c r="B238" i="5"/>
  <c r="AT237" i="5"/>
  <c r="AM237" i="5"/>
  <c r="AK237" i="5"/>
  <c r="AL237" i="5" s="1"/>
  <c r="M237" i="5"/>
  <c r="B237" i="5" s="1"/>
  <c r="AT236" i="5"/>
  <c r="AM236" i="5"/>
  <c r="AL236" i="5"/>
  <c r="AK236" i="5"/>
  <c r="B236" i="5"/>
  <c r="AT235" i="5"/>
  <c r="AM235" i="5"/>
  <c r="AK235" i="5"/>
  <c r="AL235" i="5" s="1"/>
  <c r="B235" i="5"/>
  <c r="AT234" i="5"/>
  <c r="AM234" i="5"/>
  <c r="AL234" i="5"/>
  <c r="AK234" i="5"/>
  <c r="B234" i="5"/>
  <c r="AT233" i="5"/>
  <c r="AM233" i="5"/>
  <c r="AK233" i="5"/>
  <c r="AL233" i="5" s="1"/>
  <c r="B233" i="5"/>
  <c r="AT232" i="5"/>
  <c r="AM232" i="5"/>
  <c r="AK232" i="5"/>
  <c r="AL232" i="5" s="1"/>
  <c r="B232" i="5"/>
  <c r="AT231" i="5"/>
  <c r="AM231" i="5"/>
  <c r="AK231" i="5"/>
  <c r="AL231" i="5" s="1"/>
  <c r="B231" i="5"/>
  <c r="AT230" i="5"/>
  <c r="AM230" i="5"/>
  <c r="AK230" i="5"/>
  <c r="AL230" i="5" s="1"/>
  <c r="B230" i="5"/>
  <c r="AT229" i="5"/>
  <c r="AM229" i="5"/>
  <c r="AK229" i="5"/>
  <c r="AL229" i="5" s="1"/>
  <c r="B229" i="5"/>
  <c r="AT228" i="5"/>
  <c r="AM228" i="5"/>
  <c r="AL228" i="5"/>
  <c r="AK228" i="5"/>
  <c r="B228" i="5"/>
  <c r="AT227" i="5"/>
  <c r="AM227" i="5"/>
  <c r="AK227" i="5"/>
  <c r="AL227" i="5" s="1"/>
  <c r="B227" i="5"/>
  <c r="AT226" i="5"/>
  <c r="AM226" i="5"/>
  <c r="AL226" i="5"/>
  <c r="AK226" i="5"/>
  <c r="B226" i="5"/>
  <c r="AT225" i="5"/>
  <c r="AM225" i="5"/>
  <c r="AK225" i="5"/>
  <c r="AL225" i="5" s="1"/>
  <c r="B225" i="5"/>
  <c r="AT224" i="5"/>
  <c r="AM224" i="5"/>
  <c r="AK224" i="5"/>
  <c r="AL224" i="5" s="1"/>
  <c r="B224" i="5"/>
  <c r="AT223" i="5"/>
  <c r="AM223" i="5"/>
  <c r="AK223" i="5"/>
  <c r="AL223" i="5" s="1"/>
  <c r="B223" i="5"/>
  <c r="AT222" i="5"/>
  <c r="AM222" i="5"/>
  <c r="AK222" i="5"/>
  <c r="AL222" i="5" s="1"/>
  <c r="B222" i="5"/>
  <c r="AT221" i="5"/>
  <c r="AM221" i="5"/>
  <c r="AK221" i="5"/>
  <c r="AL221" i="5" s="1"/>
  <c r="B221" i="5"/>
  <c r="AT220" i="5"/>
  <c r="AM220" i="5"/>
  <c r="AL220" i="5"/>
  <c r="AK220" i="5"/>
  <c r="B220" i="5"/>
  <c r="AT219" i="5"/>
  <c r="AM219" i="5"/>
  <c r="AK219" i="5"/>
  <c r="AL219" i="5" s="1"/>
  <c r="B219" i="5"/>
  <c r="AT218" i="5"/>
  <c r="AM218" i="5"/>
  <c r="AL218" i="5"/>
  <c r="AK218" i="5"/>
  <c r="B218" i="5"/>
  <c r="AT217" i="5"/>
  <c r="AM217" i="5"/>
  <c r="AK217" i="5"/>
  <c r="AL217" i="5" s="1"/>
  <c r="B217" i="5"/>
  <c r="AT216" i="5"/>
  <c r="AM216" i="5"/>
  <c r="AK216" i="5"/>
  <c r="AL216" i="5" s="1"/>
  <c r="B216" i="5"/>
  <c r="AT215" i="5"/>
  <c r="AM215" i="5"/>
  <c r="AK215" i="5"/>
  <c r="AL215" i="5" s="1"/>
  <c r="B215" i="5"/>
  <c r="AT214" i="5"/>
  <c r="AM214" i="5"/>
  <c r="AK214" i="5"/>
  <c r="AL214" i="5" s="1"/>
  <c r="B214" i="5"/>
  <c r="AT213" i="5"/>
  <c r="AM213" i="5"/>
  <c r="AK213" i="5"/>
  <c r="AL213" i="5" s="1"/>
  <c r="B213" i="5"/>
  <c r="AT212" i="5"/>
  <c r="AM212" i="5"/>
  <c r="AL212" i="5"/>
  <c r="AK212" i="5"/>
  <c r="B212" i="5"/>
  <c r="AT211" i="5"/>
  <c r="AM211" i="5"/>
  <c r="AK211" i="5"/>
  <c r="AL211" i="5" s="1"/>
  <c r="B211" i="5"/>
  <c r="AT210" i="5"/>
  <c r="AM210" i="5"/>
  <c r="AL210" i="5"/>
  <c r="AK210" i="5"/>
  <c r="B210" i="5"/>
  <c r="AT209" i="5"/>
  <c r="AM209" i="5"/>
  <c r="AK209" i="5"/>
  <c r="AL209" i="5" s="1"/>
  <c r="B209" i="5"/>
  <c r="AT208" i="5"/>
  <c r="AM208" i="5"/>
  <c r="AK208" i="5"/>
  <c r="AL208" i="5" s="1"/>
  <c r="B208" i="5"/>
  <c r="AT207" i="5"/>
  <c r="AM207" i="5"/>
  <c r="AK207" i="5"/>
  <c r="AL207" i="5" s="1"/>
  <c r="B207" i="5"/>
  <c r="AT206" i="5"/>
  <c r="AM206" i="5"/>
  <c r="AK206" i="5"/>
  <c r="AL206" i="5" s="1"/>
  <c r="B206" i="5"/>
  <c r="AT205" i="5"/>
  <c r="AM205" i="5"/>
  <c r="AK205" i="5"/>
  <c r="AL205" i="5" s="1"/>
  <c r="B205" i="5"/>
  <c r="AT204" i="5"/>
  <c r="AM204" i="5"/>
  <c r="AL204" i="5"/>
  <c r="AK204" i="5"/>
  <c r="B204" i="5"/>
  <c r="AT203" i="5"/>
  <c r="AM203" i="5"/>
  <c r="AK203" i="5"/>
  <c r="AL203" i="5" s="1"/>
  <c r="B203" i="5"/>
  <c r="AT202" i="5"/>
  <c r="AM202" i="5"/>
  <c r="AL202" i="5"/>
  <c r="AK202" i="5"/>
  <c r="B202" i="5"/>
  <c r="AT201" i="5"/>
  <c r="AM201" i="5"/>
  <c r="AK201" i="5"/>
  <c r="AL201" i="5" s="1"/>
  <c r="B201" i="5"/>
  <c r="AT200" i="5"/>
  <c r="AM200" i="5"/>
  <c r="AK200" i="5"/>
  <c r="AL200" i="5" s="1"/>
  <c r="B200" i="5"/>
  <c r="AT199" i="5"/>
  <c r="AM199" i="5"/>
  <c r="AK199" i="5"/>
  <c r="AL199" i="5" s="1"/>
  <c r="B199" i="5"/>
  <c r="AT198" i="5"/>
  <c r="AM198" i="5"/>
  <c r="AK198" i="5"/>
  <c r="AL198" i="5" s="1"/>
  <c r="B198" i="5"/>
  <c r="AT197" i="5"/>
  <c r="AM197" i="5"/>
  <c r="AK197" i="5"/>
  <c r="AL197" i="5" s="1"/>
  <c r="B197" i="5"/>
  <c r="AT196" i="5"/>
  <c r="AM196" i="5"/>
  <c r="AL196" i="5"/>
  <c r="AK196" i="5"/>
  <c r="B196" i="5"/>
  <c r="AT195" i="5"/>
  <c r="AM195" i="5"/>
  <c r="AK195" i="5"/>
  <c r="AL195" i="5" s="1"/>
  <c r="B195" i="5"/>
  <c r="AT194" i="5"/>
  <c r="AM194" i="5"/>
  <c r="AL194" i="5"/>
  <c r="AK194" i="5"/>
  <c r="B194" i="5"/>
  <c r="AT193" i="5"/>
  <c r="AM193" i="5"/>
  <c r="AK193" i="5"/>
  <c r="AL193" i="5" s="1"/>
  <c r="B193" i="5"/>
  <c r="AT192" i="5"/>
  <c r="AM192" i="5"/>
  <c r="AK192" i="5"/>
  <c r="AL192" i="5" s="1"/>
  <c r="B192" i="5"/>
  <c r="AT191" i="5"/>
  <c r="AM191" i="5"/>
  <c r="AK191" i="5"/>
  <c r="AL191" i="5" s="1"/>
  <c r="B191" i="5"/>
  <c r="AT190" i="5"/>
  <c r="AM190" i="5"/>
  <c r="AK190" i="5"/>
  <c r="AL190" i="5" s="1"/>
  <c r="B190" i="5"/>
  <c r="AT189" i="5"/>
  <c r="AM189" i="5"/>
  <c r="AK189" i="5"/>
  <c r="AL189" i="5" s="1"/>
  <c r="B189" i="5"/>
  <c r="AT188" i="5"/>
  <c r="AM188" i="5"/>
  <c r="AL188" i="5"/>
  <c r="AK188" i="5"/>
  <c r="B188" i="5"/>
  <c r="AT187" i="5"/>
  <c r="AM187" i="5"/>
  <c r="AK187" i="5"/>
  <c r="AL187" i="5" s="1"/>
  <c r="B187" i="5"/>
  <c r="AT186" i="5"/>
  <c r="AM186" i="5"/>
  <c r="AL186" i="5"/>
  <c r="AK186" i="5"/>
  <c r="B186" i="5"/>
  <c r="AT185" i="5"/>
  <c r="AM185" i="5"/>
  <c r="AK185" i="5"/>
  <c r="AL185" i="5" s="1"/>
  <c r="B185" i="5"/>
  <c r="AT184" i="5"/>
  <c r="AM184" i="5"/>
  <c r="AK184" i="5"/>
  <c r="AL184" i="5" s="1"/>
  <c r="B184" i="5"/>
  <c r="AT183" i="5"/>
  <c r="AM183" i="5"/>
  <c r="AK183" i="5"/>
  <c r="AL183" i="5" s="1"/>
  <c r="B183" i="5"/>
  <c r="AT182" i="5"/>
  <c r="AM182" i="5"/>
  <c r="AK182" i="5"/>
  <c r="AL182" i="5" s="1"/>
  <c r="B182" i="5"/>
  <c r="AT181" i="5"/>
  <c r="AM181" i="5"/>
  <c r="AK181" i="5"/>
  <c r="AL181" i="5" s="1"/>
  <c r="B181" i="5"/>
  <c r="AT180" i="5"/>
  <c r="AM180" i="5"/>
  <c r="AL180" i="5"/>
  <c r="AK180" i="5"/>
  <c r="B180" i="5"/>
  <c r="AT179" i="5"/>
  <c r="AM179" i="5"/>
  <c r="AK179" i="5"/>
  <c r="AL179" i="5" s="1"/>
  <c r="B179" i="5"/>
  <c r="AT178" i="5"/>
  <c r="AM178" i="5"/>
  <c r="AL178" i="5"/>
  <c r="AK178" i="5"/>
  <c r="B178" i="5"/>
  <c r="AT177" i="5"/>
  <c r="AM177" i="5"/>
  <c r="AK177" i="5"/>
  <c r="AL177" i="5" s="1"/>
  <c r="B177" i="5"/>
  <c r="AT176" i="5"/>
  <c r="AM176" i="5"/>
  <c r="AK176" i="5"/>
  <c r="AL176" i="5" s="1"/>
  <c r="B176" i="5"/>
  <c r="AT175" i="5"/>
  <c r="AM175" i="5"/>
  <c r="AK175" i="5"/>
  <c r="AL175" i="5" s="1"/>
  <c r="B175" i="5"/>
  <c r="AT174" i="5"/>
  <c r="AM174" i="5"/>
  <c r="AK174" i="5"/>
  <c r="AL174" i="5" s="1"/>
  <c r="B174" i="5"/>
  <c r="AT173" i="5"/>
  <c r="AM173" i="5"/>
  <c r="AK173" i="5"/>
  <c r="AL173" i="5" s="1"/>
  <c r="B173" i="5"/>
  <c r="AT172" i="5"/>
  <c r="AM172" i="5"/>
  <c r="AL172" i="5"/>
  <c r="AK172" i="5"/>
  <c r="B172" i="5"/>
  <c r="AT171" i="5"/>
  <c r="AM171" i="5"/>
  <c r="AK171" i="5"/>
  <c r="AL171" i="5" s="1"/>
  <c r="B171" i="5"/>
  <c r="AT170" i="5"/>
  <c r="AM170" i="5"/>
  <c r="AL170" i="5"/>
  <c r="AK170" i="5"/>
  <c r="B170" i="5"/>
  <c r="AT169" i="5"/>
  <c r="AM169" i="5"/>
  <c r="AK169" i="5"/>
  <c r="AL169" i="5" s="1"/>
  <c r="B169" i="5"/>
  <c r="AT168" i="5"/>
  <c r="AM168" i="5"/>
  <c r="AK168" i="5"/>
  <c r="AL168" i="5" s="1"/>
  <c r="B168" i="5"/>
  <c r="AT167" i="5"/>
  <c r="AM167" i="5"/>
  <c r="AK167" i="5"/>
  <c r="AL167" i="5" s="1"/>
  <c r="B167" i="5"/>
  <c r="AT166" i="5"/>
  <c r="AM166" i="5"/>
  <c r="AK166" i="5"/>
  <c r="AL166" i="5" s="1"/>
  <c r="B166" i="5"/>
  <c r="AT165" i="5"/>
  <c r="AM165" i="5"/>
  <c r="AK165" i="5"/>
  <c r="AL165" i="5" s="1"/>
  <c r="B165" i="5"/>
  <c r="AT164" i="5"/>
  <c r="AM164" i="5"/>
  <c r="AL164" i="5"/>
  <c r="AK164" i="5"/>
  <c r="B164" i="5"/>
  <c r="AT163" i="5"/>
  <c r="AM163" i="5"/>
  <c r="AK163" i="5"/>
  <c r="AL163" i="5" s="1"/>
  <c r="B163" i="5"/>
  <c r="AT162" i="5"/>
  <c r="AM162" i="5"/>
  <c r="AL162" i="5"/>
  <c r="AK162" i="5"/>
  <c r="B162" i="5"/>
  <c r="AT161" i="5"/>
  <c r="AM161" i="5"/>
  <c r="AK161" i="5"/>
  <c r="AL161" i="5" s="1"/>
  <c r="B161" i="5"/>
  <c r="AT160" i="5"/>
  <c r="AM160" i="5"/>
  <c r="AK160" i="5"/>
  <c r="AL160" i="5" s="1"/>
  <c r="B160" i="5"/>
  <c r="AT159" i="5"/>
  <c r="AM159" i="5"/>
  <c r="AK159" i="5"/>
  <c r="AL159" i="5" s="1"/>
  <c r="B159" i="5"/>
  <c r="AT158" i="5"/>
  <c r="AM158" i="5"/>
  <c r="AK158" i="5"/>
  <c r="AL158" i="5" s="1"/>
  <c r="B158" i="5"/>
  <c r="AT157" i="5"/>
  <c r="AM157" i="5"/>
  <c r="AK157" i="5"/>
  <c r="AL157" i="5" s="1"/>
  <c r="B157" i="5"/>
  <c r="AT156" i="5"/>
  <c r="AM156" i="5"/>
  <c r="AL156" i="5"/>
  <c r="AK156" i="5"/>
  <c r="B156" i="5"/>
  <c r="AT155" i="5"/>
  <c r="AM155" i="5"/>
  <c r="AK155" i="5"/>
  <c r="AL155" i="5" s="1"/>
  <c r="B155" i="5"/>
  <c r="AT154" i="5"/>
  <c r="AM154" i="5"/>
  <c r="AL154" i="5"/>
  <c r="AK154" i="5"/>
  <c r="B154" i="5"/>
  <c r="AT153" i="5"/>
  <c r="AM153" i="5"/>
  <c r="AK153" i="5"/>
  <c r="AL153" i="5" s="1"/>
  <c r="B153" i="5"/>
  <c r="AT152" i="5"/>
  <c r="AL152" i="5"/>
  <c r="AK152" i="5"/>
  <c r="AM152" i="5" s="1"/>
  <c r="B152" i="5"/>
  <c r="AT151" i="5"/>
  <c r="AM151" i="5"/>
  <c r="AK151" i="5"/>
  <c r="AL151" i="5" s="1"/>
  <c r="B151" i="5"/>
  <c r="AT150" i="5"/>
  <c r="AM150" i="5"/>
  <c r="AK150" i="5"/>
  <c r="AL150" i="5" s="1"/>
  <c r="B150" i="5"/>
  <c r="AT149" i="5"/>
  <c r="AM149" i="5"/>
  <c r="AK149" i="5"/>
  <c r="AL149" i="5" s="1"/>
  <c r="B149" i="5"/>
  <c r="AT148" i="5"/>
  <c r="AM148" i="5"/>
  <c r="AK148" i="5"/>
  <c r="AL148" i="5" s="1"/>
  <c r="B148" i="5"/>
  <c r="AT147" i="5"/>
  <c r="AM147" i="5"/>
  <c r="AK147" i="5"/>
  <c r="AL147" i="5" s="1"/>
  <c r="B147" i="5"/>
  <c r="AT146" i="5"/>
  <c r="AM146" i="5"/>
  <c r="AL146" i="5"/>
  <c r="AK146" i="5"/>
  <c r="B146" i="5"/>
  <c r="AT145" i="5"/>
  <c r="AM145" i="5"/>
  <c r="AK145" i="5"/>
  <c r="AL145" i="5" s="1"/>
  <c r="B145" i="5"/>
  <c r="AT144" i="5"/>
  <c r="AM144" i="5"/>
  <c r="AL144" i="5"/>
  <c r="AK144" i="5"/>
  <c r="B144" i="5"/>
  <c r="AT143" i="5"/>
  <c r="AM143" i="5"/>
  <c r="AK143" i="5"/>
  <c r="AL143" i="5" s="1"/>
  <c r="B143" i="5"/>
  <c r="AT142" i="5"/>
  <c r="AM142" i="5"/>
  <c r="AK142" i="5"/>
  <c r="AL142" i="5" s="1"/>
  <c r="B142" i="5"/>
  <c r="AT141" i="5"/>
  <c r="AM141" i="5"/>
  <c r="AK141" i="5"/>
  <c r="AL141" i="5" s="1"/>
  <c r="B141" i="5"/>
  <c r="AT140" i="5"/>
  <c r="AM140" i="5"/>
  <c r="AK140" i="5"/>
  <c r="AL140" i="5" s="1"/>
  <c r="B140" i="5"/>
  <c r="AT139" i="5"/>
  <c r="AM139" i="5"/>
  <c r="AK139" i="5"/>
  <c r="AL139" i="5" s="1"/>
  <c r="B139" i="5"/>
  <c r="AT138" i="5"/>
  <c r="AM138" i="5"/>
  <c r="AL138" i="5"/>
  <c r="AK138" i="5"/>
  <c r="B138" i="5"/>
  <c r="AT137" i="5"/>
  <c r="AM137" i="5"/>
  <c r="AK137" i="5"/>
  <c r="AL137" i="5" s="1"/>
  <c r="B137" i="5"/>
  <c r="AT136" i="5"/>
  <c r="AM136" i="5"/>
  <c r="AL136" i="5"/>
  <c r="AK136" i="5"/>
  <c r="B136" i="5"/>
  <c r="AT135" i="5"/>
  <c r="AM135" i="5"/>
  <c r="AK135" i="5"/>
  <c r="AL135" i="5" s="1"/>
  <c r="B135" i="5"/>
  <c r="AT134" i="5"/>
  <c r="AK134" i="5"/>
  <c r="AM134" i="5" s="1"/>
  <c r="B134" i="5"/>
  <c r="AT133" i="5"/>
  <c r="AM133" i="5"/>
  <c r="AK133" i="5"/>
  <c r="AL133" i="5" s="1"/>
  <c r="B133" i="5"/>
  <c r="AT132" i="5"/>
  <c r="AM132" i="5"/>
  <c r="AK132" i="5"/>
  <c r="AL132" i="5" s="1"/>
  <c r="B132" i="5"/>
  <c r="AT131" i="5"/>
  <c r="AM131" i="5"/>
  <c r="AK131" i="5"/>
  <c r="AL131" i="5" s="1"/>
  <c r="B131" i="5"/>
  <c r="AT130" i="5"/>
  <c r="AM130" i="5"/>
  <c r="AL130" i="5"/>
  <c r="AK130" i="5"/>
  <c r="B130" i="5"/>
  <c r="AT129" i="5"/>
  <c r="AM129" i="5"/>
  <c r="AK129" i="5"/>
  <c r="AL129" i="5" s="1"/>
  <c r="B129" i="5"/>
  <c r="AT128" i="5"/>
  <c r="AM128" i="5"/>
  <c r="AL128" i="5"/>
  <c r="AK128" i="5"/>
  <c r="B128" i="5"/>
  <c r="AT127" i="5"/>
  <c r="AM127" i="5"/>
  <c r="AK127" i="5"/>
  <c r="AL127" i="5" s="1"/>
  <c r="B127" i="5"/>
  <c r="AT126" i="5"/>
  <c r="AM126" i="5"/>
  <c r="AK126" i="5"/>
  <c r="AL126" i="5" s="1"/>
  <c r="B126" i="5"/>
  <c r="AT125" i="5"/>
  <c r="AM125" i="5"/>
  <c r="AK125" i="5"/>
  <c r="AL125" i="5" s="1"/>
  <c r="B125" i="5"/>
  <c r="AT124" i="5"/>
  <c r="AM124" i="5"/>
  <c r="AK124" i="5"/>
  <c r="AL124" i="5" s="1"/>
  <c r="B124" i="5"/>
  <c r="AT123" i="5"/>
  <c r="AM123" i="5"/>
  <c r="AK123" i="5"/>
  <c r="AL123" i="5" s="1"/>
  <c r="B123" i="5"/>
  <c r="AT122" i="5"/>
  <c r="AM122" i="5"/>
  <c r="AL122" i="5"/>
  <c r="AK122" i="5"/>
  <c r="B122" i="5"/>
  <c r="AT121" i="5"/>
  <c r="AM121" i="5"/>
  <c r="AK121" i="5"/>
  <c r="AL121" i="5" s="1"/>
  <c r="B121" i="5"/>
  <c r="AT120" i="5"/>
  <c r="AM120" i="5"/>
  <c r="AL120" i="5"/>
  <c r="AK120" i="5"/>
  <c r="B120" i="5"/>
  <c r="AT119" i="5"/>
  <c r="AM119" i="5"/>
  <c r="AK119" i="5"/>
  <c r="AL119" i="5" s="1"/>
  <c r="B119" i="5"/>
  <c r="AT118" i="5"/>
  <c r="AM118" i="5"/>
  <c r="AK118" i="5"/>
  <c r="AL118" i="5" s="1"/>
  <c r="B118" i="5"/>
  <c r="AT117" i="5"/>
  <c r="AM117" i="5"/>
  <c r="AK117" i="5"/>
  <c r="AL117" i="5" s="1"/>
  <c r="B117" i="5"/>
  <c r="AT116" i="5"/>
  <c r="AM116" i="5"/>
  <c r="AK116" i="5"/>
  <c r="AL116" i="5" s="1"/>
  <c r="B116" i="5"/>
  <c r="AT115" i="5"/>
  <c r="AM115" i="5"/>
  <c r="AK115" i="5"/>
  <c r="AL115" i="5" s="1"/>
  <c r="B115" i="5"/>
  <c r="AT114" i="5"/>
  <c r="AM114" i="5"/>
  <c r="AL114" i="5"/>
  <c r="AK114" i="5"/>
  <c r="B114" i="5"/>
  <c r="AT113" i="5"/>
  <c r="AK113" i="5"/>
  <c r="AL113" i="5" s="1"/>
  <c r="B113" i="5"/>
  <c r="AT112" i="5"/>
  <c r="AM112" i="5"/>
  <c r="AL112" i="5"/>
  <c r="AK112" i="5"/>
  <c r="B112" i="5"/>
  <c r="AT111" i="5"/>
  <c r="AM111" i="5"/>
  <c r="AK111" i="5"/>
  <c r="AL111" i="5" s="1"/>
  <c r="B111" i="5"/>
  <c r="AT110" i="5"/>
  <c r="AM110" i="5"/>
  <c r="AL110" i="5"/>
  <c r="AK110" i="5"/>
  <c r="B110" i="5"/>
  <c r="AT109" i="5"/>
  <c r="AM109" i="5"/>
  <c r="AK109" i="5"/>
  <c r="AL109" i="5" s="1"/>
  <c r="B109" i="5"/>
  <c r="AT108" i="5"/>
  <c r="AM108" i="5"/>
  <c r="AK108" i="5"/>
  <c r="AL108" i="5" s="1"/>
  <c r="B108" i="5"/>
  <c r="AT107" i="5"/>
  <c r="AM107" i="5"/>
  <c r="AK107" i="5"/>
  <c r="AL107" i="5" s="1"/>
  <c r="B107" i="5"/>
  <c r="AT106" i="5"/>
  <c r="AM106" i="5"/>
  <c r="AK106" i="5"/>
  <c r="AL106" i="5" s="1"/>
  <c r="B106" i="5"/>
  <c r="AT105" i="5"/>
  <c r="AM105" i="5"/>
  <c r="AK105" i="5"/>
  <c r="AL105" i="5" s="1"/>
  <c r="B105" i="5"/>
  <c r="AT104" i="5"/>
  <c r="AM104" i="5"/>
  <c r="AL104" i="5"/>
  <c r="AK104" i="5"/>
  <c r="B104" i="5"/>
  <c r="AT103" i="5"/>
  <c r="AM103" i="5"/>
  <c r="AK103" i="5"/>
  <c r="AL103" i="5" s="1"/>
  <c r="B103" i="5"/>
  <c r="AT102" i="5"/>
  <c r="AM102" i="5"/>
  <c r="AL102" i="5"/>
  <c r="AK102" i="5"/>
  <c r="B102" i="5"/>
  <c r="AT101" i="5"/>
  <c r="AM101" i="5"/>
  <c r="AK101" i="5"/>
  <c r="AL101" i="5" s="1"/>
  <c r="B101" i="5"/>
  <c r="AT100" i="5"/>
  <c r="AM100" i="5"/>
  <c r="AK100" i="5"/>
  <c r="AL100" i="5" s="1"/>
  <c r="B100" i="5"/>
  <c r="AT99" i="5"/>
  <c r="AM99" i="5"/>
  <c r="AK99" i="5"/>
  <c r="AL99" i="5" s="1"/>
  <c r="B99" i="5"/>
  <c r="AT98" i="5"/>
  <c r="AM98" i="5"/>
  <c r="AK98" i="5"/>
  <c r="AL98" i="5" s="1"/>
  <c r="B98" i="5"/>
  <c r="AT97" i="5"/>
  <c r="AM97" i="5"/>
  <c r="AK97" i="5"/>
  <c r="AL97" i="5" s="1"/>
  <c r="B97" i="5"/>
  <c r="AT96" i="5"/>
  <c r="AM96" i="5"/>
  <c r="AL96" i="5"/>
  <c r="AK96" i="5"/>
  <c r="B96" i="5"/>
  <c r="AT95" i="5"/>
  <c r="AM95" i="5"/>
  <c r="AK95" i="5"/>
  <c r="AL95" i="5" s="1"/>
  <c r="B95" i="5"/>
  <c r="AT94" i="5"/>
  <c r="AM94" i="5"/>
  <c r="AL94" i="5"/>
  <c r="AK94" i="5"/>
  <c r="B94" i="5"/>
  <c r="AT93" i="5"/>
  <c r="AM93" i="5"/>
  <c r="AK93" i="5"/>
  <c r="AL93" i="5" s="1"/>
  <c r="B93" i="5"/>
  <c r="AT92" i="5"/>
  <c r="AM92" i="5"/>
  <c r="AK92" i="5"/>
  <c r="AL92" i="5" s="1"/>
  <c r="B92" i="5"/>
  <c r="AT91" i="5"/>
  <c r="AM91" i="5"/>
  <c r="AK91" i="5"/>
  <c r="AL91" i="5" s="1"/>
  <c r="B91" i="5"/>
  <c r="AT90" i="5"/>
  <c r="AM90" i="5"/>
  <c r="AK90" i="5"/>
  <c r="AL90" i="5" s="1"/>
  <c r="B90" i="5"/>
  <c r="AT89" i="5"/>
  <c r="AM89" i="5"/>
  <c r="AK89" i="5"/>
  <c r="AL89" i="5" s="1"/>
  <c r="B89" i="5"/>
  <c r="AT88" i="5"/>
  <c r="AM88" i="5"/>
  <c r="AL88" i="5"/>
  <c r="AK88" i="5"/>
  <c r="B88" i="5"/>
  <c r="AT87" i="5"/>
  <c r="AM87" i="5"/>
  <c r="AK87" i="5"/>
  <c r="AL87" i="5" s="1"/>
  <c r="B87" i="5"/>
  <c r="AT86" i="5"/>
  <c r="AM86" i="5"/>
  <c r="AL86" i="5"/>
  <c r="AK86" i="5"/>
  <c r="B86" i="5"/>
  <c r="AT85" i="5"/>
  <c r="AM85" i="5"/>
  <c r="AK85" i="5"/>
  <c r="AL85" i="5" s="1"/>
  <c r="B85" i="5"/>
  <c r="AT84" i="5"/>
  <c r="AM84" i="5"/>
  <c r="AK84" i="5"/>
  <c r="AL84" i="5" s="1"/>
  <c r="B84" i="5"/>
  <c r="AT83" i="5"/>
  <c r="AM83" i="5"/>
  <c r="AK83" i="5"/>
  <c r="AL83" i="5" s="1"/>
  <c r="B83" i="5"/>
  <c r="AT82" i="5"/>
  <c r="AM82" i="5"/>
  <c r="AK82" i="5"/>
  <c r="AL82" i="5" s="1"/>
  <c r="B82" i="5"/>
  <c r="AT81" i="5"/>
  <c r="AM81" i="5"/>
  <c r="AK81" i="5"/>
  <c r="AL81" i="5" s="1"/>
  <c r="B81" i="5"/>
  <c r="AT80" i="5"/>
  <c r="AM80" i="5"/>
  <c r="AL80" i="5"/>
  <c r="AK80" i="5"/>
  <c r="B80" i="5"/>
  <c r="AT79" i="5"/>
  <c r="AM79" i="5"/>
  <c r="AK79" i="5"/>
  <c r="AL79" i="5" s="1"/>
  <c r="B79" i="5"/>
  <c r="AT78" i="5"/>
  <c r="AM78" i="5"/>
  <c r="AL78" i="5"/>
  <c r="AK78" i="5"/>
  <c r="B78" i="5"/>
  <c r="AT77" i="5"/>
  <c r="AM77" i="5"/>
  <c r="AK77" i="5"/>
  <c r="AL77" i="5" s="1"/>
  <c r="B77" i="5"/>
  <c r="AT76" i="5"/>
  <c r="AM76" i="5"/>
  <c r="AK76" i="5"/>
  <c r="AL76" i="5" s="1"/>
  <c r="B76" i="5"/>
  <c r="AT75" i="5"/>
  <c r="AM75" i="5"/>
  <c r="AK75" i="5"/>
  <c r="AL75" i="5" s="1"/>
  <c r="B75" i="5"/>
  <c r="AT74" i="5"/>
  <c r="AM74" i="5"/>
  <c r="AK74" i="5"/>
  <c r="AL74" i="5" s="1"/>
  <c r="B74" i="5"/>
  <c r="AT73" i="5"/>
  <c r="AM73" i="5"/>
  <c r="AK73" i="5"/>
  <c r="AL73" i="5" s="1"/>
  <c r="B73" i="5"/>
  <c r="AT72" i="5"/>
  <c r="AM72" i="5"/>
  <c r="AL72" i="5"/>
  <c r="AK72" i="5"/>
  <c r="B72" i="5"/>
  <c r="AT71" i="5"/>
  <c r="AM71" i="5"/>
  <c r="AK71" i="5"/>
  <c r="AL71" i="5" s="1"/>
  <c r="B71" i="5"/>
  <c r="AT70" i="5"/>
  <c r="AM70" i="5"/>
  <c r="AL70" i="5"/>
  <c r="AK70" i="5"/>
  <c r="B70" i="5"/>
  <c r="AT69" i="5"/>
  <c r="AM69" i="5"/>
  <c r="AK69" i="5"/>
  <c r="AL69" i="5" s="1"/>
  <c r="B69" i="5"/>
  <c r="AT68" i="5"/>
  <c r="AM68" i="5"/>
  <c r="AK68" i="5"/>
  <c r="AL68" i="5" s="1"/>
  <c r="B68" i="5"/>
  <c r="AT67" i="5"/>
  <c r="AM67" i="5"/>
  <c r="AK67" i="5"/>
  <c r="AL67" i="5" s="1"/>
  <c r="B67" i="5"/>
  <c r="AT66" i="5"/>
  <c r="AM66" i="5"/>
  <c r="AK66" i="5"/>
  <c r="AL66" i="5" s="1"/>
  <c r="B66" i="5"/>
  <c r="AT65" i="5"/>
  <c r="AM65" i="5"/>
  <c r="AK65" i="5"/>
  <c r="AL65" i="5" s="1"/>
  <c r="B65" i="5"/>
  <c r="AT64" i="5"/>
  <c r="AM64" i="5"/>
  <c r="AL64" i="5"/>
  <c r="AK64" i="5"/>
  <c r="B64" i="5"/>
  <c r="AT63" i="5"/>
  <c r="AM63" i="5"/>
  <c r="AK63" i="5"/>
  <c r="AL63" i="5" s="1"/>
  <c r="B63" i="5"/>
  <c r="AT62" i="5"/>
  <c r="AM62" i="5"/>
  <c r="AL62" i="5"/>
  <c r="AK62" i="5"/>
  <c r="B62" i="5"/>
  <c r="AT61" i="5"/>
  <c r="AM61" i="5"/>
  <c r="AK61" i="5"/>
  <c r="AL61" i="5" s="1"/>
  <c r="B61" i="5"/>
  <c r="AT60" i="5"/>
  <c r="AM60" i="5"/>
  <c r="AK60" i="5"/>
  <c r="AL60" i="5" s="1"/>
  <c r="B60" i="5"/>
  <c r="AT59" i="5"/>
  <c r="AM59" i="5"/>
  <c r="AK59" i="5"/>
  <c r="AL59" i="5" s="1"/>
  <c r="B59" i="5"/>
  <c r="AT58" i="5"/>
  <c r="AM58" i="5"/>
  <c r="AK58" i="5"/>
  <c r="AL58" i="5" s="1"/>
  <c r="B58" i="5"/>
  <c r="AT57" i="5"/>
  <c r="AM57" i="5"/>
  <c r="AK57" i="5"/>
  <c r="AL57" i="5" s="1"/>
  <c r="B57" i="5"/>
  <c r="AT56" i="5"/>
  <c r="AM56" i="5"/>
  <c r="AK56" i="5"/>
  <c r="AL56" i="5" s="1"/>
  <c r="B56" i="5"/>
  <c r="AT55" i="5"/>
  <c r="AM55" i="5"/>
  <c r="AL55" i="5"/>
  <c r="AK55" i="5"/>
  <c r="B55" i="5"/>
  <c r="AT54" i="5"/>
  <c r="AM54" i="5"/>
  <c r="AL54" i="5"/>
  <c r="AK54" i="5"/>
  <c r="B54" i="5"/>
  <c r="AT53" i="5"/>
  <c r="AM53" i="5"/>
  <c r="AK53" i="5"/>
  <c r="AL53" i="5" s="1"/>
  <c r="B53" i="5"/>
  <c r="AT52" i="5"/>
  <c r="AM52" i="5"/>
  <c r="AK52" i="5"/>
  <c r="AL52" i="5" s="1"/>
  <c r="B52" i="5"/>
  <c r="AT51" i="5"/>
  <c r="AM51" i="5"/>
  <c r="AK51" i="5"/>
  <c r="AL51" i="5" s="1"/>
  <c r="B51" i="5"/>
  <c r="AT50" i="5"/>
  <c r="AM50" i="5"/>
  <c r="AK50" i="5"/>
  <c r="AL50" i="5" s="1"/>
  <c r="B50" i="5"/>
  <c r="AT49" i="5"/>
  <c r="AM49" i="5"/>
  <c r="AK49" i="5"/>
  <c r="AL49" i="5" s="1"/>
  <c r="B49" i="5"/>
  <c r="AT48" i="5"/>
  <c r="AM48" i="5"/>
  <c r="AK48" i="5"/>
  <c r="AL48" i="5" s="1"/>
  <c r="B48" i="5"/>
  <c r="AT47" i="5"/>
  <c r="AM47" i="5"/>
  <c r="AL47" i="5"/>
  <c r="AK47" i="5"/>
  <c r="B47" i="5"/>
  <c r="AT46" i="5"/>
  <c r="AM46" i="5"/>
  <c r="AL46" i="5"/>
  <c r="AK46" i="5"/>
  <c r="B46" i="5"/>
  <c r="AT45" i="5"/>
  <c r="AM45" i="5"/>
  <c r="AK45" i="5"/>
  <c r="AL45" i="5" s="1"/>
  <c r="B45" i="5"/>
  <c r="AT44" i="5"/>
  <c r="AM44" i="5"/>
  <c r="AK44" i="5"/>
  <c r="AL44" i="5" s="1"/>
  <c r="B44" i="5"/>
  <c r="AT43" i="5"/>
  <c r="AM43" i="5"/>
  <c r="AK43" i="5"/>
  <c r="AL43" i="5" s="1"/>
  <c r="B43" i="5"/>
  <c r="AT42" i="5"/>
  <c r="AM42" i="5"/>
  <c r="AK42" i="5"/>
  <c r="AL42" i="5" s="1"/>
  <c r="B42" i="5"/>
  <c r="AT41" i="5"/>
  <c r="AM41" i="5"/>
  <c r="AK41" i="5"/>
  <c r="AL41" i="5" s="1"/>
  <c r="B41" i="5"/>
  <c r="AT40" i="5"/>
  <c r="AM40" i="5"/>
  <c r="AK40" i="5"/>
  <c r="AL40" i="5" s="1"/>
  <c r="B40" i="5"/>
  <c r="AT39" i="5"/>
  <c r="AM39" i="5"/>
  <c r="AL39" i="5"/>
  <c r="AK39" i="5"/>
  <c r="B39" i="5"/>
  <c r="AT38" i="5"/>
  <c r="AM38" i="5"/>
  <c r="AL38" i="5"/>
  <c r="AK38" i="5"/>
  <c r="B38" i="5"/>
  <c r="AT37" i="5"/>
  <c r="AM37" i="5"/>
  <c r="AK37" i="5"/>
  <c r="AL37" i="5" s="1"/>
  <c r="B37" i="5"/>
  <c r="AT36" i="5"/>
  <c r="AM36" i="5"/>
  <c r="AK36" i="5"/>
  <c r="AL36" i="5" s="1"/>
  <c r="B36" i="5"/>
  <c r="AT35" i="5"/>
  <c r="AM35" i="5"/>
  <c r="AK35" i="5"/>
  <c r="AL35" i="5" s="1"/>
  <c r="B35" i="5"/>
  <c r="AT34" i="5"/>
  <c r="AM34" i="5"/>
  <c r="AK34" i="5"/>
  <c r="AL34" i="5" s="1"/>
  <c r="B34" i="5"/>
  <c r="AT33" i="5"/>
  <c r="AM33" i="5"/>
  <c r="AK33" i="5"/>
  <c r="AL33" i="5" s="1"/>
  <c r="B33" i="5"/>
  <c r="AT32" i="5"/>
  <c r="AM32" i="5"/>
  <c r="AK32" i="5"/>
  <c r="AL32" i="5" s="1"/>
  <c r="B32" i="5"/>
  <c r="AT31" i="5"/>
  <c r="AM31" i="5"/>
  <c r="AL31" i="5"/>
  <c r="AK31" i="5"/>
  <c r="B31" i="5"/>
  <c r="AT30" i="5"/>
  <c r="AM30" i="5"/>
  <c r="AL30" i="5"/>
  <c r="AK30" i="5"/>
  <c r="B30" i="5"/>
  <c r="AT29" i="5"/>
  <c r="AM29" i="5"/>
  <c r="AK29" i="5"/>
  <c r="AL29" i="5" s="1"/>
  <c r="B29" i="5"/>
  <c r="AT28" i="5"/>
  <c r="AM28" i="5"/>
  <c r="AK28" i="5"/>
  <c r="AL28" i="5" s="1"/>
  <c r="B28" i="5"/>
  <c r="AT27" i="5"/>
  <c r="AM27" i="5"/>
  <c r="AK27" i="5"/>
  <c r="AL27" i="5" s="1"/>
  <c r="B27" i="5"/>
  <c r="AT26" i="5"/>
  <c r="AM26" i="5"/>
  <c r="AK26" i="5"/>
  <c r="AL26" i="5" s="1"/>
  <c r="B26" i="5"/>
  <c r="AT25" i="5"/>
  <c r="AM25" i="5"/>
  <c r="AK25" i="5"/>
  <c r="AL25" i="5" s="1"/>
  <c r="B25" i="5"/>
  <c r="AT24" i="5"/>
  <c r="AM24" i="5"/>
  <c r="AK24" i="5"/>
  <c r="AL24" i="5" s="1"/>
  <c r="B24" i="5"/>
  <c r="AT23" i="5"/>
  <c r="AM23" i="5"/>
  <c r="AL23" i="5"/>
  <c r="AK23" i="5"/>
  <c r="B23" i="5"/>
  <c r="AT22" i="5"/>
  <c r="AM22" i="5"/>
  <c r="AL22" i="5"/>
  <c r="AK22" i="5"/>
  <c r="B22" i="5"/>
  <c r="AT21" i="5"/>
  <c r="AM21" i="5"/>
  <c r="AK21" i="5"/>
  <c r="AL21" i="5" s="1"/>
  <c r="B21" i="5"/>
  <c r="AT20" i="5"/>
  <c r="AM20" i="5"/>
  <c r="AK20" i="5"/>
  <c r="AL20" i="5" s="1"/>
  <c r="B20" i="5"/>
  <c r="AT19" i="5"/>
  <c r="AM19" i="5"/>
  <c r="AK19" i="5"/>
  <c r="AL19" i="5" s="1"/>
  <c r="B19" i="5"/>
  <c r="AT18" i="5"/>
  <c r="AM18" i="5"/>
  <c r="AK18" i="5"/>
  <c r="AL18" i="5" s="1"/>
  <c r="B18" i="5"/>
  <c r="AT17" i="5"/>
  <c r="AM17" i="5"/>
  <c r="AK17" i="5"/>
  <c r="AL17" i="5" s="1"/>
  <c r="B17" i="5"/>
  <c r="AT16" i="5"/>
  <c r="AM16" i="5"/>
  <c r="AK16" i="5"/>
  <c r="AL16" i="5" s="1"/>
  <c r="B16" i="5"/>
  <c r="AT15" i="5"/>
  <c r="AM15" i="5"/>
  <c r="AL15" i="5"/>
  <c r="AK15" i="5"/>
  <c r="B15" i="5"/>
  <c r="AT14" i="5"/>
  <c r="AM14" i="5"/>
  <c r="AL14" i="5"/>
  <c r="AK14" i="5"/>
  <c r="B14" i="5"/>
  <c r="AT13" i="5"/>
  <c r="AM13" i="5"/>
  <c r="AK13" i="5"/>
  <c r="AL13" i="5" s="1"/>
  <c r="B13" i="5"/>
  <c r="AT12" i="5"/>
  <c r="AM12" i="5"/>
  <c r="AK12" i="5"/>
  <c r="AL12" i="5" s="1"/>
  <c r="B12" i="5"/>
  <c r="AT11" i="5"/>
  <c r="AM11" i="5"/>
  <c r="AK11" i="5"/>
  <c r="AL11" i="5" s="1"/>
  <c r="B11" i="5"/>
  <c r="AT10" i="5"/>
  <c r="AM10" i="5"/>
  <c r="AK10" i="5"/>
  <c r="AL10" i="5" s="1"/>
  <c r="B10" i="5"/>
  <c r="AT9" i="5"/>
  <c r="AM9" i="5"/>
  <c r="AK9" i="5"/>
  <c r="AL9" i="5" s="1"/>
  <c r="B9" i="5"/>
  <c r="AT8" i="5"/>
  <c r="AM8" i="5"/>
  <c r="AK8" i="5"/>
  <c r="AL8" i="5" s="1"/>
  <c r="B8" i="5"/>
  <c r="AT7" i="5"/>
  <c r="AM7" i="5"/>
  <c r="AK7" i="5"/>
  <c r="AL7" i="5" s="1"/>
  <c r="B7" i="5"/>
  <c r="AT6" i="5"/>
  <c r="AM6" i="5"/>
  <c r="AL6" i="5"/>
  <c r="AK6" i="5"/>
  <c r="B6" i="5"/>
  <c r="AT5" i="5"/>
  <c r="AM5" i="5"/>
  <c r="AK5" i="5"/>
  <c r="AL5" i="5" s="1"/>
  <c r="B5" i="5"/>
  <c r="AT4" i="5"/>
  <c r="AM4" i="5"/>
  <c r="AL4" i="5"/>
  <c r="AK4" i="5"/>
  <c r="B4" i="5"/>
  <c r="J1428" i="4"/>
  <c r="I1428" i="4"/>
  <c r="H1428" i="4"/>
  <c r="G1428" i="4"/>
  <c r="F1428" i="4"/>
  <c r="E1428" i="4"/>
  <c r="D1428" i="4"/>
  <c r="C1428" i="4"/>
  <c r="K1428" i="4" s="1"/>
  <c r="J1427" i="4"/>
  <c r="I1427" i="4"/>
  <c r="H1427" i="4"/>
  <c r="G1427" i="4"/>
  <c r="F1427" i="4"/>
  <c r="E1427" i="4"/>
  <c r="D1427" i="4"/>
  <c r="C1427" i="4"/>
  <c r="K1427" i="4" s="1"/>
  <c r="J1426" i="4"/>
  <c r="I1426" i="4"/>
  <c r="H1426" i="4"/>
  <c r="G1426" i="4"/>
  <c r="F1426" i="4"/>
  <c r="E1426" i="4"/>
  <c r="D1426" i="4"/>
  <c r="C1426" i="4"/>
  <c r="K1426" i="4" s="1"/>
  <c r="J1425" i="4"/>
  <c r="I1425" i="4"/>
  <c r="H1425" i="4"/>
  <c r="G1425" i="4"/>
  <c r="F1425" i="4"/>
  <c r="E1425" i="4"/>
  <c r="D1425" i="4"/>
  <c r="C1425" i="4"/>
  <c r="K1425" i="4" s="1"/>
  <c r="J1424" i="4"/>
  <c r="I1424" i="4"/>
  <c r="H1424" i="4"/>
  <c r="G1424" i="4"/>
  <c r="F1424" i="4"/>
  <c r="E1424" i="4"/>
  <c r="D1424" i="4"/>
  <c r="C1424" i="4"/>
  <c r="K1424" i="4" s="1"/>
  <c r="J1423" i="4"/>
  <c r="I1423" i="4"/>
  <c r="H1423" i="4"/>
  <c r="G1423" i="4"/>
  <c r="F1423" i="4"/>
  <c r="E1423" i="4"/>
  <c r="D1423" i="4"/>
  <c r="C1423" i="4"/>
  <c r="K1423" i="4" s="1"/>
  <c r="J1422" i="4"/>
  <c r="I1422" i="4"/>
  <c r="H1422" i="4"/>
  <c r="G1422" i="4"/>
  <c r="F1422" i="4"/>
  <c r="E1422" i="4"/>
  <c r="D1422" i="4"/>
  <c r="S1421" i="4"/>
  <c r="R1421" i="4"/>
  <c r="Q1421" i="4"/>
  <c r="P1421" i="4"/>
  <c r="J1421" i="4"/>
  <c r="I1421" i="4"/>
  <c r="H1421" i="4"/>
  <c r="G1421" i="4"/>
  <c r="F1421" i="4"/>
  <c r="E1421" i="4"/>
  <c r="D1421" i="4"/>
  <c r="C1421" i="4"/>
  <c r="K1421" i="4" s="1"/>
  <c r="S1420" i="4"/>
  <c r="Q1420" i="4"/>
  <c r="P1420" i="4"/>
  <c r="J1420" i="4"/>
  <c r="I1420" i="4"/>
  <c r="H1420" i="4"/>
  <c r="G1420" i="4"/>
  <c r="F1420" i="4"/>
  <c r="E1420" i="4"/>
  <c r="D1420" i="4"/>
  <c r="C1420" i="4"/>
  <c r="K1420" i="4" s="1"/>
  <c r="S1419" i="4"/>
  <c r="R1419" i="4"/>
  <c r="Q1419" i="4"/>
  <c r="P1419" i="4"/>
  <c r="J1419" i="4"/>
  <c r="I1419" i="4"/>
  <c r="H1419" i="4"/>
  <c r="G1419" i="4"/>
  <c r="F1419" i="4"/>
  <c r="E1419" i="4"/>
  <c r="D1419" i="4"/>
  <c r="C1419" i="4"/>
  <c r="K1419" i="4" s="1"/>
  <c r="S1418" i="4"/>
  <c r="R1418" i="4"/>
  <c r="Q1418" i="4"/>
  <c r="P1418" i="4"/>
  <c r="J1418" i="4"/>
  <c r="I1418" i="4"/>
  <c r="H1418" i="4"/>
  <c r="G1418" i="4"/>
  <c r="F1418" i="4"/>
  <c r="E1418" i="4"/>
  <c r="D1418" i="4"/>
  <c r="C1418" i="4"/>
  <c r="K1418" i="4" s="1"/>
  <c r="S1417" i="4"/>
  <c r="R1417" i="4"/>
  <c r="X1412" i="4" s="1"/>
  <c r="Q1417" i="4"/>
  <c r="P1417" i="4"/>
  <c r="J1417" i="4"/>
  <c r="I1417" i="4"/>
  <c r="H1417" i="4"/>
  <c r="G1417" i="4"/>
  <c r="F1417" i="4"/>
  <c r="E1417" i="4"/>
  <c r="D1417" i="4"/>
  <c r="Y1416" i="4"/>
  <c r="X1416" i="4"/>
  <c r="W1416" i="4"/>
  <c r="V1416" i="4"/>
  <c r="S1416" i="4"/>
  <c r="R1416" i="4"/>
  <c r="Q1416" i="4"/>
  <c r="W1412" i="4" s="1"/>
  <c r="P1416" i="4"/>
  <c r="J1416" i="4"/>
  <c r="I1416" i="4"/>
  <c r="H1416" i="4"/>
  <c r="G1416" i="4"/>
  <c r="F1416" i="4"/>
  <c r="E1416" i="4"/>
  <c r="D1416" i="4"/>
  <c r="C1416" i="4"/>
  <c r="Y1415" i="4"/>
  <c r="W1415" i="4"/>
  <c r="V1415" i="4"/>
  <c r="S1415" i="4"/>
  <c r="R1415" i="4"/>
  <c r="Q1415" i="4"/>
  <c r="J1415" i="4"/>
  <c r="I1415" i="4"/>
  <c r="G1415" i="4"/>
  <c r="F1415" i="4"/>
  <c r="E1415" i="4"/>
  <c r="D1415" i="4"/>
  <c r="C1415" i="4"/>
  <c r="Y1414" i="4"/>
  <c r="X1414" i="4"/>
  <c r="W1414" i="4"/>
  <c r="V1414" i="4"/>
  <c r="S1414" i="4"/>
  <c r="Y1411" i="4" s="1"/>
  <c r="R1414" i="4"/>
  <c r="Q1414" i="4"/>
  <c r="P1414" i="4"/>
  <c r="J1414" i="4"/>
  <c r="J1429" i="4" s="1"/>
  <c r="I1414" i="4"/>
  <c r="I1429" i="4" s="1"/>
  <c r="H1414" i="4"/>
  <c r="G1414" i="4"/>
  <c r="G1429" i="4" s="1"/>
  <c r="F1414" i="4"/>
  <c r="F1429" i="4" s="1"/>
  <c r="E1414" i="4"/>
  <c r="E1429" i="4" s="1"/>
  <c r="D1414" i="4"/>
  <c r="D1429" i="4" s="1"/>
  <c r="C1414" i="4"/>
  <c r="Y1413" i="4"/>
  <c r="X1413" i="4"/>
  <c r="W1413" i="4"/>
  <c r="V1413" i="4"/>
  <c r="S1413" i="4"/>
  <c r="R1413" i="4"/>
  <c r="X1411" i="4" s="1"/>
  <c r="Q1413" i="4"/>
  <c r="W1411" i="4" s="1"/>
  <c r="P1413" i="4"/>
  <c r="Y1412" i="4"/>
  <c r="V1412" i="4"/>
  <c r="Z1412" i="4" s="1"/>
  <c r="S1412" i="4"/>
  <c r="R1412" i="4"/>
  <c r="Q1412" i="4"/>
  <c r="P1412" i="4"/>
  <c r="V1410" i="4" s="1"/>
  <c r="S1411" i="4"/>
  <c r="R1411" i="4"/>
  <c r="Q1411" i="4"/>
  <c r="P1411" i="4"/>
  <c r="X1410" i="4"/>
  <c r="W1410" i="4"/>
  <c r="S1410" i="4"/>
  <c r="Y1409" i="4" s="1"/>
  <c r="R1410" i="4"/>
  <c r="Q1410" i="4"/>
  <c r="P1410" i="4"/>
  <c r="W1409" i="4"/>
  <c r="V1409" i="4"/>
  <c r="S1409" i="4"/>
  <c r="R1409" i="4"/>
  <c r="X1408" i="4" s="1"/>
  <c r="Q1409" i="4"/>
  <c r="P1409" i="4"/>
  <c r="V1408" i="4" s="1"/>
  <c r="Y1408" i="4"/>
  <c r="W1408" i="4"/>
  <c r="S1408" i="4"/>
  <c r="Y1407" i="4" s="1"/>
  <c r="R1408" i="4"/>
  <c r="Q1408" i="4"/>
  <c r="W1407" i="4" s="1"/>
  <c r="P1408" i="4"/>
  <c r="X1407" i="4"/>
  <c r="V1407" i="4"/>
  <c r="Z1407" i="4" s="1"/>
  <c r="S1407" i="4"/>
  <c r="R1407" i="4"/>
  <c r="Q1407" i="4"/>
  <c r="P1407" i="4"/>
  <c r="P1396" i="4" s="1"/>
  <c r="J1407" i="4"/>
  <c r="I1407" i="4"/>
  <c r="H1407" i="4"/>
  <c r="G1407" i="4"/>
  <c r="F1407" i="4"/>
  <c r="E1407" i="4"/>
  <c r="D1407" i="4"/>
  <c r="C1407" i="4"/>
  <c r="K1407" i="4" s="1"/>
  <c r="Y1406" i="4"/>
  <c r="X1406" i="4"/>
  <c r="W1406" i="4"/>
  <c r="W1417" i="4" s="1"/>
  <c r="J1406" i="4"/>
  <c r="I1406" i="4"/>
  <c r="H1406" i="4"/>
  <c r="G1406" i="4"/>
  <c r="F1406" i="4"/>
  <c r="E1406" i="4"/>
  <c r="D1406" i="4"/>
  <c r="C1406" i="4"/>
  <c r="K1406" i="4" s="1"/>
  <c r="J1405" i="4"/>
  <c r="I1405" i="4"/>
  <c r="H1405" i="4"/>
  <c r="G1405" i="4"/>
  <c r="F1405" i="4"/>
  <c r="E1405" i="4"/>
  <c r="D1405" i="4"/>
  <c r="C1405" i="4"/>
  <c r="K1405" i="4" s="1"/>
  <c r="J1404" i="4"/>
  <c r="I1404" i="4"/>
  <c r="H1404" i="4"/>
  <c r="G1404" i="4"/>
  <c r="F1404" i="4"/>
  <c r="E1404" i="4"/>
  <c r="D1404" i="4"/>
  <c r="C1404" i="4"/>
  <c r="K1404" i="4" s="1"/>
  <c r="J1403" i="4"/>
  <c r="I1403" i="4"/>
  <c r="H1403" i="4"/>
  <c r="G1403" i="4"/>
  <c r="F1403" i="4"/>
  <c r="E1403" i="4"/>
  <c r="D1403" i="4"/>
  <c r="C1403" i="4"/>
  <c r="K1403" i="4" s="1"/>
  <c r="J1402" i="4"/>
  <c r="I1402" i="4"/>
  <c r="H1402" i="4"/>
  <c r="G1402" i="4"/>
  <c r="F1402" i="4"/>
  <c r="E1402" i="4"/>
  <c r="D1402" i="4"/>
  <c r="J1401" i="4"/>
  <c r="I1401" i="4"/>
  <c r="H1401" i="4"/>
  <c r="G1401" i="4"/>
  <c r="F1401" i="4"/>
  <c r="E1401" i="4"/>
  <c r="D1401" i="4"/>
  <c r="C1401" i="4"/>
  <c r="K1401" i="4" s="1"/>
  <c r="J1400" i="4"/>
  <c r="I1400" i="4"/>
  <c r="H1400" i="4"/>
  <c r="G1400" i="4"/>
  <c r="F1400" i="4"/>
  <c r="E1400" i="4"/>
  <c r="D1400" i="4"/>
  <c r="Z1399" i="4"/>
  <c r="Y1399" i="4"/>
  <c r="X1399" i="4"/>
  <c r="W1399" i="4"/>
  <c r="V1399" i="4"/>
  <c r="U1399" i="4"/>
  <c r="S1399" i="4"/>
  <c r="R1399" i="4"/>
  <c r="Q1399" i="4"/>
  <c r="P1399" i="4"/>
  <c r="J1399" i="4"/>
  <c r="I1399" i="4"/>
  <c r="H1399" i="4"/>
  <c r="G1399" i="4"/>
  <c r="F1399" i="4"/>
  <c r="E1399" i="4"/>
  <c r="D1399" i="4"/>
  <c r="C1399" i="4"/>
  <c r="K1399" i="4" s="1"/>
  <c r="Z1398" i="4"/>
  <c r="X1398" i="4"/>
  <c r="W1398" i="4"/>
  <c r="V1398" i="4"/>
  <c r="U1398" i="4"/>
  <c r="T1398" i="4"/>
  <c r="R1398" i="4"/>
  <c r="Q1398" i="4"/>
  <c r="P1398" i="4"/>
  <c r="J1398" i="4"/>
  <c r="I1398" i="4"/>
  <c r="G1398" i="4"/>
  <c r="F1398" i="4"/>
  <c r="E1398" i="4"/>
  <c r="D1398" i="4"/>
  <c r="C1398" i="4"/>
  <c r="Z1397" i="4"/>
  <c r="Y1397" i="4"/>
  <c r="X1397" i="4"/>
  <c r="W1397" i="4"/>
  <c r="V1397" i="4"/>
  <c r="U1397" i="4"/>
  <c r="T1397" i="4"/>
  <c r="S1397" i="4"/>
  <c r="R1397" i="4"/>
  <c r="Q1397" i="4"/>
  <c r="AA1397" i="4" s="1"/>
  <c r="P1397" i="4"/>
  <c r="J1397" i="4"/>
  <c r="I1397" i="4"/>
  <c r="I1408" i="4" s="1"/>
  <c r="H1397" i="4"/>
  <c r="G1397" i="4"/>
  <c r="G1408" i="4" s="1"/>
  <c r="F1397" i="4"/>
  <c r="E1397" i="4"/>
  <c r="E1408" i="4" s="1"/>
  <c r="D1397" i="4"/>
  <c r="C1397" i="4"/>
  <c r="Z1396" i="4"/>
  <c r="Z1400" i="4" s="1"/>
  <c r="Y1396" i="4"/>
  <c r="X1396" i="4"/>
  <c r="X1400" i="4" s="1"/>
  <c r="W1396" i="4"/>
  <c r="W1400" i="4" s="1"/>
  <c r="V1396" i="4"/>
  <c r="V1400" i="4" s="1"/>
  <c r="T1396" i="4"/>
  <c r="S1396" i="4"/>
  <c r="R1396" i="4"/>
  <c r="R1400" i="4" s="1"/>
  <c r="Q1396" i="4"/>
  <c r="Q1400" i="4" s="1"/>
  <c r="AM1222" i="4"/>
  <c r="AK1222" i="4"/>
  <c r="AL1222" i="4" s="1"/>
  <c r="B1222" i="4"/>
  <c r="AM1221" i="4"/>
  <c r="AK1221" i="4"/>
  <c r="AL1221" i="4" s="1"/>
  <c r="B1221" i="4"/>
  <c r="AM1220" i="4"/>
  <c r="AK1220" i="4"/>
  <c r="AL1220" i="4" s="1"/>
  <c r="B1220" i="4"/>
  <c r="AM1219" i="4"/>
  <c r="AK1219" i="4"/>
  <c r="AL1219" i="4" s="1"/>
  <c r="B1219" i="4"/>
  <c r="AM1218" i="4"/>
  <c r="AK1218" i="4"/>
  <c r="AL1218" i="4" s="1"/>
  <c r="B1218" i="4"/>
  <c r="AM1217" i="4"/>
  <c r="AK1217" i="4"/>
  <c r="AL1217" i="4" s="1"/>
  <c r="B1217" i="4"/>
  <c r="AM1216" i="4"/>
  <c r="AK1216" i="4"/>
  <c r="AL1216" i="4" s="1"/>
  <c r="B1216" i="4"/>
  <c r="AM1215" i="4"/>
  <c r="AK1215" i="4"/>
  <c r="AL1215" i="4" s="1"/>
  <c r="B1215" i="4"/>
  <c r="AM1214" i="4"/>
  <c r="AK1214" i="4"/>
  <c r="AL1214" i="4" s="1"/>
  <c r="B1214" i="4"/>
  <c r="AM1213" i="4"/>
  <c r="AK1213" i="4"/>
  <c r="AL1213" i="4" s="1"/>
  <c r="B1213" i="4"/>
  <c r="AM1212" i="4"/>
  <c r="AK1212" i="4"/>
  <c r="AL1212" i="4" s="1"/>
  <c r="B1212" i="4"/>
  <c r="AM1211" i="4"/>
  <c r="AK1211" i="4"/>
  <c r="AL1211" i="4" s="1"/>
  <c r="B1211" i="4"/>
  <c r="AM1210" i="4"/>
  <c r="AK1210" i="4"/>
  <c r="AL1210" i="4" s="1"/>
  <c r="B1210" i="4"/>
  <c r="AM1209" i="4"/>
  <c r="AK1209" i="4"/>
  <c r="AL1209" i="4" s="1"/>
  <c r="B1209" i="4"/>
  <c r="AM1208" i="4"/>
  <c r="AK1208" i="4"/>
  <c r="AL1208" i="4" s="1"/>
  <c r="B1208" i="4"/>
  <c r="AM1207" i="4"/>
  <c r="AK1207" i="4"/>
  <c r="AL1207" i="4" s="1"/>
  <c r="B1207" i="4"/>
  <c r="AM1206" i="4"/>
  <c r="AK1206" i="4"/>
  <c r="AL1206" i="4" s="1"/>
  <c r="B1206" i="4"/>
  <c r="AM1205" i="4"/>
  <c r="AK1205" i="4"/>
  <c r="AL1205" i="4" s="1"/>
  <c r="B1205" i="4"/>
  <c r="AM1204" i="4"/>
  <c r="AK1204" i="4"/>
  <c r="AL1204" i="4" s="1"/>
  <c r="B1204" i="4"/>
  <c r="AM1203" i="4"/>
  <c r="AK1203" i="4"/>
  <c r="AL1203" i="4" s="1"/>
  <c r="B1203" i="4"/>
  <c r="AM1202" i="4"/>
  <c r="AK1202" i="4"/>
  <c r="AL1202" i="4" s="1"/>
  <c r="B1202" i="4"/>
  <c r="AM1201" i="4"/>
  <c r="AK1201" i="4"/>
  <c r="AL1201" i="4" s="1"/>
  <c r="B1201" i="4"/>
  <c r="AM1200" i="4"/>
  <c r="AK1200" i="4"/>
  <c r="AL1200" i="4" s="1"/>
  <c r="B1200" i="4"/>
  <c r="AM1199" i="4"/>
  <c r="AK1199" i="4"/>
  <c r="AL1199" i="4" s="1"/>
  <c r="B1199" i="4"/>
  <c r="AM1198" i="4"/>
  <c r="AK1198" i="4"/>
  <c r="AL1198" i="4" s="1"/>
  <c r="B1198" i="4"/>
  <c r="AM1197" i="4"/>
  <c r="AK1197" i="4"/>
  <c r="AL1197" i="4" s="1"/>
  <c r="B1197" i="4"/>
  <c r="AM1196" i="4"/>
  <c r="AK1196" i="4"/>
  <c r="AL1196" i="4" s="1"/>
  <c r="B1196" i="4"/>
  <c r="AM1195" i="4"/>
  <c r="AK1195" i="4"/>
  <c r="AL1195" i="4" s="1"/>
  <c r="B1195" i="4"/>
  <c r="AM1194" i="4"/>
  <c r="AK1194" i="4"/>
  <c r="AL1194" i="4" s="1"/>
  <c r="B1194" i="4"/>
  <c r="AM1193" i="4"/>
  <c r="AK1193" i="4"/>
  <c r="AL1193" i="4" s="1"/>
  <c r="B1193" i="4"/>
  <c r="AM1192" i="4"/>
  <c r="AK1192" i="4"/>
  <c r="AL1192" i="4" s="1"/>
  <c r="B1192" i="4"/>
  <c r="AM1191" i="4"/>
  <c r="AK1191" i="4"/>
  <c r="AL1191" i="4" s="1"/>
  <c r="B1191" i="4"/>
  <c r="AM1190" i="4"/>
  <c r="AK1190" i="4"/>
  <c r="AL1190" i="4" s="1"/>
  <c r="B1190" i="4"/>
  <c r="AM1189" i="4"/>
  <c r="AK1189" i="4"/>
  <c r="AL1189" i="4" s="1"/>
  <c r="B1189" i="4"/>
  <c r="AM1188" i="4"/>
  <c r="AK1188" i="4"/>
  <c r="AL1188" i="4" s="1"/>
  <c r="B1188" i="4"/>
  <c r="AM1187" i="4"/>
  <c r="AK1187" i="4"/>
  <c r="AL1187" i="4" s="1"/>
  <c r="B1187" i="4"/>
  <c r="AM1186" i="4"/>
  <c r="AK1186" i="4"/>
  <c r="AL1186" i="4" s="1"/>
  <c r="B1186" i="4"/>
  <c r="AM1185" i="4"/>
  <c r="AK1185" i="4"/>
  <c r="AL1185" i="4" s="1"/>
  <c r="B1185" i="4"/>
  <c r="AM1184" i="4"/>
  <c r="AK1184" i="4"/>
  <c r="AL1184" i="4" s="1"/>
  <c r="B1184" i="4"/>
  <c r="AM1183" i="4"/>
  <c r="AK1183" i="4"/>
  <c r="AL1183" i="4" s="1"/>
  <c r="B1183" i="4"/>
  <c r="AM1182" i="4"/>
  <c r="AK1182" i="4"/>
  <c r="AL1182" i="4" s="1"/>
  <c r="B1182" i="4"/>
  <c r="AM1181" i="4"/>
  <c r="AK1181" i="4"/>
  <c r="AL1181" i="4" s="1"/>
  <c r="B1181" i="4"/>
  <c r="AM1180" i="4"/>
  <c r="AK1180" i="4"/>
  <c r="AL1180" i="4" s="1"/>
  <c r="B1180" i="4"/>
  <c r="AM1179" i="4"/>
  <c r="AK1179" i="4"/>
  <c r="AL1179" i="4" s="1"/>
  <c r="B1179" i="4"/>
  <c r="AM1178" i="4"/>
  <c r="AK1178" i="4"/>
  <c r="AL1178" i="4" s="1"/>
  <c r="B1178" i="4"/>
  <c r="AM1177" i="4"/>
  <c r="AK1177" i="4"/>
  <c r="AL1177" i="4" s="1"/>
  <c r="B1177" i="4"/>
  <c r="AM1176" i="4"/>
  <c r="AK1176" i="4"/>
  <c r="AL1176" i="4" s="1"/>
  <c r="B1176" i="4"/>
  <c r="AM1175" i="4"/>
  <c r="AK1175" i="4"/>
  <c r="AL1175" i="4" s="1"/>
  <c r="B1175" i="4"/>
  <c r="AM1174" i="4"/>
  <c r="AK1174" i="4"/>
  <c r="AL1174" i="4" s="1"/>
  <c r="B1174" i="4"/>
  <c r="AM1173" i="4"/>
  <c r="AK1173" i="4"/>
  <c r="AL1173" i="4" s="1"/>
  <c r="B1173" i="4"/>
  <c r="AM1172" i="4"/>
  <c r="AK1172" i="4"/>
  <c r="AL1172" i="4" s="1"/>
  <c r="B1172" i="4"/>
  <c r="AM1171" i="4"/>
  <c r="AK1171" i="4"/>
  <c r="AL1171" i="4" s="1"/>
  <c r="B1171" i="4"/>
  <c r="AM1170" i="4"/>
  <c r="AK1170" i="4"/>
  <c r="AL1170" i="4" s="1"/>
  <c r="B1170" i="4"/>
  <c r="AM1169" i="4"/>
  <c r="AK1169" i="4"/>
  <c r="AL1169" i="4" s="1"/>
  <c r="B1169" i="4"/>
  <c r="AM1168" i="4"/>
  <c r="AK1168" i="4"/>
  <c r="AL1168" i="4" s="1"/>
  <c r="B1168" i="4"/>
  <c r="AM1167" i="4"/>
  <c r="AK1167" i="4"/>
  <c r="AL1167" i="4" s="1"/>
  <c r="B1167" i="4"/>
  <c r="AM1166" i="4"/>
  <c r="AK1166" i="4"/>
  <c r="AL1166" i="4" s="1"/>
  <c r="B1166" i="4"/>
  <c r="AM1165" i="4"/>
  <c r="AK1165" i="4"/>
  <c r="AL1165" i="4" s="1"/>
  <c r="B1165" i="4"/>
  <c r="AM1164" i="4"/>
  <c r="AK1164" i="4"/>
  <c r="AL1164" i="4" s="1"/>
  <c r="B1164" i="4"/>
  <c r="AM1163" i="4"/>
  <c r="AK1163" i="4"/>
  <c r="AL1163" i="4" s="1"/>
  <c r="B1163" i="4"/>
  <c r="AM1162" i="4"/>
  <c r="AK1162" i="4"/>
  <c r="AL1162" i="4" s="1"/>
  <c r="B1162" i="4"/>
  <c r="AM1161" i="4"/>
  <c r="AK1161" i="4"/>
  <c r="AL1161" i="4" s="1"/>
  <c r="B1161" i="4"/>
  <c r="AM1160" i="4"/>
  <c r="AK1160" i="4"/>
  <c r="AL1160" i="4" s="1"/>
  <c r="B1160" i="4"/>
  <c r="AM1159" i="4"/>
  <c r="AK1159" i="4"/>
  <c r="AL1159" i="4" s="1"/>
  <c r="B1159" i="4"/>
  <c r="AM1158" i="4"/>
  <c r="AK1158" i="4"/>
  <c r="AL1158" i="4" s="1"/>
  <c r="B1158" i="4"/>
  <c r="AM1157" i="4"/>
  <c r="AK1157" i="4"/>
  <c r="AL1157" i="4" s="1"/>
  <c r="B1157" i="4"/>
  <c r="AM1156" i="4"/>
  <c r="AK1156" i="4"/>
  <c r="AL1156" i="4" s="1"/>
  <c r="B1156" i="4"/>
  <c r="AM1155" i="4"/>
  <c r="AK1155" i="4"/>
  <c r="AL1155" i="4" s="1"/>
  <c r="B1155" i="4"/>
  <c r="AM1154" i="4"/>
  <c r="AK1154" i="4"/>
  <c r="AL1154" i="4" s="1"/>
  <c r="B1154" i="4"/>
  <c r="AM1153" i="4"/>
  <c r="AK1153" i="4"/>
  <c r="AL1153" i="4" s="1"/>
  <c r="B1153" i="4"/>
  <c r="AM1152" i="4"/>
  <c r="AK1152" i="4"/>
  <c r="AL1152" i="4" s="1"/>
  <c r="B1152" i="4"/>
  <c r="AM1151" i="4"/>
  <c r="AK1151" i="4"/>
  <c r="AL1151" i="4" s="1"/>
  <c r="B1151" i="4"/>
  <c r="AM1150" i="4"/>
  <c r="AK1150" i="4"/>
  <c r="AL1150" i="4" s="1"/>
  <c r="B1150" i="4"/>
  <c r="AM1149" i="4"/>
  <c r="AK1149" i="4"/>
  <c r="AL1149" i="4" s="1"/>
  <c r="B1149" i="4"/>
  <c r="AM1148" i="4"/>
  <c r="AK1148" i="4"/>
  <c r="AL1148" i="4" s="1"/>
  <c r="B1148" i="4"/>
  <c r="AM1147" i="4"/>
  <c r="AK1147" i="4"/>
  <c r="AL1147" i="4" s="1"/>
  <c r="B1147" i="4"/>
  <c r="AM1146" i="4"/>
  <c r="AK1146" i="4"/>
  <c r="AL1146" i="4" s="1"/>
  <c r="B1146" i="4"/>
  <c r="AM1145" i="4"/>
  <c r="AK1145" i="4"/>
  <c r="AL1145" i="4" s="1"/>
  <c r="B1145" i="4"/>
  <c r="AM1144" i="4"/>
  <c r="AK1144" i="4"/>
  <c r="AL1144" i="4" s="1"/>
  <c r="B1144" i="4"/>
  <c r="AM1143" i="4"/>
  <c r="AK1143" i="4"/>
  <c r="AL1143" i="4" s="1"/>
  <c r="B1143" i="4"/>
  <c r="AM1142" i="4"/>
  <c r="AK1142" i="4"/>
  <c r="AL1142" i="4" s="1"/>
  <c r="B1142" i="4"/>
  <c r="AM1141" i="4"/>
  <c r="AK1141" i="4"/>
  <c r="AL1141" i="4" s="1"/>
  <c r="B1141" i="4"/>
  <c r="AM1140" i="4"/>
  <c r="AK1140" i="4"/>
  <c r="AL1140" i="4" s="1"/>
  <c r="B1140" i="4"/>
  <c r="AM1139" i="4"/>
  <c r="AK1139" i="4"/>
  <c r="AL1139" i="4" s="1"/>
  <c r="B1139" i="4"/>
  <c r="AM1138" i="4"/>
  <c r="AK1138" i="4"/>
  <c r="AL1138" i="4" s="1"/>
  <c r="B1138" i="4"/>
  <c r="AM1137" i="4"/>
  <c r="AK1137" i="4"/>
  <c r="AL1137" i="4" s="1"/>
  <c r="B1137" i="4"/>
  <c r="AM1136" i="4"/>
  <c r="AK1136" i="4"/>
  <c r="AL1136" i="4" s="1"/>
  <c r="B1136" i="4"/>
  <c r="AM1135" i="4"/>
  <c r="AK1135" i="4"/>
  <c r="AL1135" i="4" s="1"/>
  <c r="B1135" i="4"/>
  <c r="AM1134" i="4"/>
  <c r="AK1134" i="4"/>
  <c r="AL1134" i="4" s="1"/>
  <c r="B1134" i="4"/>
  <c r="AM1133" i="4"/>
  <c r="AK1133" i="4"/>
  <c r="AL1133" i="4" s="1"/>
  <c r="B1133" i="4"/>
  <c r="AM1132" i="4"/>
  <c r="AK1132" i="4"/>
  <c r="AL1132" i="4" s="1"/>
  <c r="B1132" i="4"/>
  <c r="AM1131" i="4"/>
  <c r="AK1131" i="4"/>
  <c r="AL1131" i="4" s="1"/>
  <c r="B1131" i="4"/>
  <c r="AM1130" i="4"/>
  <c r="AK1130" i="4"/>
  <c r="AL1130" i="4" s="1"/>
  <c r="B1130" i="4"/>
  <c r="AM1129" i="4"/>
  <c r="AK1129" i="4"/>
  <c r="AL1129" i="4" s="1"/>
  <c r="B1129" i="4"/>
  <c r="AM1128" i="4"/>
  <c r="AK1128" i="4"/>
  <c r="AL1128" i="4" s="1"/>
  <c r="B1128" i="4"/>
  <c r="AM1127" i="4"/>
  <c r="AK1127" i="4"/>
  <c r="AL1127" i="4" s="1"/>
  <c r="B1127" i="4"/>
  <c r="AM1126" i="4"/>
  <c r="AK1126" i="4"/>
  <c r="AL1126" i="4" s="1"/>
  <c r="B1126" i="4"/>
  <c r="AM1125" i="4"/>
  <c r="AK1125" i="4"/>
  <c r="AL1125" i="4" s="1"/>
  <c r="B1125" i="4"/>
  <c r="AM1124" i="4"/>
  <c r="AK1124" i="4"/>
  <c r="AL1124" i="4" s="1"/>
  <c r="B1124" i="4"/>
  <c r="AM1123" i="4"/>
  <c r="AK1123" i="4"/>
  <c r="AL1123" i="4" s="1"/>
  <c r="B1123" i="4"/>
  <c r="AM1122" i="4"/>
  <c r="AK1122" i="4"/>
  <c r="AL1122" i="4" s="1"/>
  <c r="B1122" i="4"/>
  <c r="AM1121" i="4"/>
  <c r="AK1121" i="4"/>
  <c r="AL1121" i="4" s="1"/>
  <c r="B1121" i="4"/>
  <c r="AM1120" i="4"/>
  <c r="AK1120" i="4"/>
  <c r="AL1120" i="4" s="1"/>
  <c r="B1120" i="4"/>
  <c r="AM1119" i="4"/>
  <c r="AK1119" i="4"/>
  <c r="AL1119" i="4" s="1"/>
  <c r="B1119" i="4"/>
  <c r="AM1118" i="4"/>
  <c r="AK1118" i="4"/>
  <c r="AL1118" i="4" s="1"/>
  <c r="B1118" i="4"/>
  <c r="AM1117" i="4"/>
  <c r="AK1117" i="4"/>
  <c r="AL1117" i="4" s="1"/>
  <c r="B1117" i="4"/>
  <c r="AM1116" i="4"/>
  <c r="AK1116" i="4"/>
  <c r="AL1116" i="4" s="1"/>
  <c r="B1116" i="4"/>
  <c r="AM1115" i="4"/>
  <c r="AK1115" i="4"/>
  <c r="AL1115" i="4" s="1"/>
  <c r="B1115" i="4"/>
  <c r="AM1114" i="4"/>
  <c r="AK1114" i="4"/>
  <c r="AL1114" i="4" s="1"/>
  <c r="B1114" i="4"/>
  <c r="AM1113" i="4"/>
  <c r="AK1113" i="4"/>
  <c r="AL1113" i="4" s="1"/>
  <c r="B1113" i="4"/>
  <c r="AM1112" i="4"/>
  <c r="AK1112" i="4"/>
  <c r="AL1112" i="4" s="1"/>
  <c r="B1112" i="4"/>
  <c r="AM1111" i="4"/>
  <c r="AK1111" i="4"/>
  <c r="AL1111" i="4" s="1"/>
  <c r="B1111" i="4"/>
  <c r="AM1110" i="4"/>
  <c r="AK1110" i="4"/>
  <c r="AL1110" i="4" s="1"/>
  <c r="B1110" i="4"/>
  <c r="AM1109" i="4"/>
  <c r="AK1109" i="4"/>
  <c r="AL1109" i="4" s="1"/>
  <c r="B1109" i="4"/>
  <c r="AM1108" i="4"/>
  <c r="AK1108" i="4"/>
  <c r="AL1108" i="4" s="1"/>
  <c r="B1108" i="4"/>
  <c r="AM1107" i="4"/>
  <c r="AK1107" i="4"/>
  <c r="AL1107" i="4" s="1"/>
  <c r="B1107" i="4"/>
  <c r="AM1106" i="4"/>
  <c r="AK1106" i="4"/>
  <c r="AL1106" i="4" s="1"/>
  <c r="B1106" i="4"/>
  <c r="AM1105" i="4"/>
  <c r="AK1105" i="4"/>
  <c r="AL1105" i="4" s="1"/>
  <c r="B1105" i="4"/>
  <c r="AM1104" i="4"/>
  <c r="AK1104" i="4"/>
  <c r="AL1104" i="4" s="1"/>
  <c r="B1104" i="4"/>
  <c r="AM1103" i="4"/>
  <c r="AK1103" i="4"/>
  <c r="AL1103" i="4" s="1"/>
  <c r="B1103" i="4"/>
  <c r="AM1102" i="4"/>
  <c r="AK1102" i="4"/>
  <c r="AL1102" i="4" s="1"/>
  <c r="B1102" i="4"/>
  <c r="AM1101" i="4"/>
  <c r="AK1101" i="4"/>
  <c r="AL1101" i="4" s="1"/>
  <c r="B1101" i="4"/>
  <c r="AM1100" i="4"/>
  <c r="AK1100" i="4"/>
  <c r="AL1100" i="4" s="1"/>
  <c r="B1100" i="4"/>
  <c r="AM1099" i="4"/>
  <c r="AK1099" i="4"/>
  <c r="AL1099" i="4" s="1"/>
  <c r="B1099" i="4"/>
  <c r="AM1098" i="4"/>
  <c r="AK1098" i="4"/>
  <c r="AL1098" i="4" s="1"/>
  <c r="B1098" i="4"/>
  <c r="AM1097" i="4"/>
  <c r="AK1097" i="4"/>
  <c r="AL1097" i="4" s="1"/>
  <c r="B1097" i="4"/>
  <c r="AM1096" i="4"/>
  <c r="AK1096" i="4"/>
  <c r="AL1096" i="4" s="1"/>
  <c r="B1096" i="4"/>
  <c r="AM1095" i="4"/>
  <c r="AK1095" i="4"/>
  <c r="AL1095" i="4" s="1"/>
  <c r="B1095" i="4"/>
  <c r="AM1094" i="4"/>
  <c r="AK1094" i="4"/>
  <c r="AL1094" i="4" s="1"/>
  <c r="B1094" i="4"/>
  <c r="AM1093" i="4"/>
  <c r="AK1093" i="4"/>
  <c r="AL1093" i="4" s="1"/>
  <c r="B1093" i="4"/>
  <c r="AM1092" i="4"/>
  <c r="AK1092" i="4"/>
  <c r="AL1092" i="4" s="1"/>
  <c r="B1092" i="4"/>
  <c r="AM1091" i="4"/>
  <c r="AK1091" i="4"/>
  <c r="AL1091" i="4" s="1"/>
  <c r="B1091" i="4"/>
  <c r="AM1090" i="4"/>
  <c r="AK1090" i="4"/>
  <c r="AL1090" i="4" s="1"/>
  <c r="B1090" i="4"/>
  <c r="AM1089" i="4"/>
  <c r="AK1089" i="4"/>
  <c r="AL1089" i="4" s="1"/>
  <c r="B1089" i="4"/>
  <c r="AM1088" i="4"/>
  <c r="AK1088" i="4"/>
  <c r="AL1088" i="4" s="1"/>
  <c r="B1088" i="4"/>
  <c r="AM1087" i="4"/>
  <c r="AK1087" i="4"/>
  <c r="AL1087" i="4" s="1"/>
  <c r="B1087" i="4"/>
  <c r="AM1086" i="4"/>
  <c r="AK1086" i="4"/>
  <c r="AL1086" i="4" s="1"/>
  <c r="B1086" i="4"/>
  <c r="AM1085" i="4"/>
  <c r="AK1085" i="4"/>
  <c r="AL1085" i="4" s="1"/>
  <c r="B1085" i="4"/>
  <c r="AM1084" i="4"/>
  <c r="AK1084" i="4"/>
  <c r="AL1084" i="4" s="1"/>
  <c r="B1084" i="4"/>
  <c r="AM1083" i="4"/>
  <c r="AK1083" i="4"/>
  <c r="AL1083" i="4" s="1"/>
  <c r="B1083" i="4"/>
  <c r="AM1082" i="4"/>
  <c r="AK1082" i="4"/>
  <c r="AL1082" i="4" s="1"/>
  <c r="B1082" i="4"/>
  <c r="AM1081" i="4"/>
  <c r="AK1081" i="4"/>
  <c r="AL1081" i="4" s="1"/>
  <c r="B1081" i="4"/>
  <c r="AM1080" i="4"/>
  <c r="AK1080" i="4"/>
  <c r="AL1080" i="4" s="1"/>
  <c r="B1080" i="4"/>
  <c r="AM1079" i="4"/>
  <c r="AK1079" i="4"/>
  <c r="AL1079" i="4" s="1"/>
  <c r="B1079" i="4"/>
  <c r="AM1078" i="4"/>
  <c r="AK1078" i="4"/>
  <c r="AL1078" i="4" s="1"/>
  <c r="B1078" i="4"/>
  <c r="AM1077" i="4"/>
  <c r="AK1077" i="4"/>
  <c r="AL1077" i="4" s="1"/>
  <c r="B1077" i="4"/>
  <c r="AM1076" i="4"/>
  <c r="AK1076" i="4"/>
  <c r="AL1076" i="4" s="1"/>
  <c r="B1076" i="4"/>
  <c r="AM1075" i="4"/>
  <c r="AK1075" i="4"/>
  <c r="AL1075" i="4" s="1"/>
  <c r="B1075" i="4"/>
  <c r="AM1074" i="4"/>
  <c r="AK1074" i="4"/>
  <c r="AL1074" i="4" s="1"/>
  <c r="B1074" i="4"/>
  <c r="AM1073" i="4"/>
  <c r="AK1073" i="4"/>
  <c r="AL1073" i="4" s="1"/>
  <c r="B1073" i="4"/>
  <c r="AM1072" i="4"/>
  <c r="AK1072" i="4"/>
  <c r="AL1072" i="4" s="1"/>
  <c r="B1072" i="4"/>
  <c r="AM1071" i="4"/>
  <c r="AK1071" i="4"/>
  <c r="AL1071" i="4" s="1"/>
  <c r="B1071" i="4"/>
  <c r="AM1070" i="4"/>
  <c r="AK1070" i="4"/>
  <c r="AL1070" i="4" s="1"/>
  <c r="B1070" i="4"/>
  <c r="AM1069" i="4"/>
  <c r="AK1069" i="4"/>
  <c r="AL1069" i="4" s="1"/>
  <c r="B1069" i="4"/>
  <c r="AM1068" i="4"/>
  <c r="AK1068" i="4"/>
  <c r="AL1068" i="4" s="1"/>
  <c r="B1068" i="4"/>
  <c r="AM1067" i="4"/>
  <c r="AK1067" i="4"/>
  <c r="AL1067" i="4" s="1"/>
  <c r="B1067" i="4"/>
  <c r="AM1066" i="4"/>
  <c r="AK1066" i="4"/>
  <c r="AL1066" i="4" s="1"/>
  <c r="B1066" i="4"/>
  <c r="AM1065" i="4"/>
  <c r="AK1065" i="4"/>
  <c r="AL1065" i="4" s="1"/>
  <c r="B1065" i="4"/>
  <c r="AM1064" i="4"/>
  <c r="AK1064" i="4"/>
  <c r="AL1064" i="4" s="1"/>
  <c r="B1064" i="4"/>
  <c r="AM1063" i="4"/>
  <c r="AK1063" i="4"/>
  <c r="AL1063" i="4" s="1"/>
  <c r="B1063" i="4"/>
  <c r="AM1062" i="4"/>
  <c r="AK1062" i="4"/>
  <c r="AL1062" i="4" s="1"/>
  <c r="B1062" i="4"/>
  <c r="AM1061" i="4"/>
  <c r="AK1061" i="4"/>
  <c r="AL1061" i="4" s="1"/>
  <c r="B1061" i="4"/>
  <c r="AM1060" i="4"/>
  <c r="AK1060" i="4"/>
  <c r="AL1060" i="4" s="1"/>
  <c r="B1060" i="4"/>
  <c r="AM1059" i="4"/>
  <c r="AK1059" i="4"/>
  <c r="AL1059" i="4" s="1"/>
  <c r="B1059" i="4"/>
  <c r="AM1058" i="4"/>
  <c r="AK1058" i="4"/>
  <c r="AL1058" i="4" s="1"/>
  <c r="B1058" i="4"/>
  <c r="AM1057" i="4"/>
  <c r="AK1057" i="4"/>
  <c r="AL1057" i="4" s="1"/>
  <c r="B1057" i="4"/>
  <c r="AM1056" i="4"/>
  <c r="AK1056" i="4"/>
  <c r="AL1056" i="4" s="1"/>
  <c r="B1056" i="4"/>
  <c r="AM1055" i="4"/>
  <c r="AK1055" i="4"/>
  <c r="AL1055" i="4" s="1"/>
  <c r="B1055" i="4"/>
  <c r="AM1054" i="4"/>
  <c r="AK1054" i="4"/>
  <c r="AL1054" i="4" s="1"/>
  <c r="B1054" i="4"/>
  <c r="AM1053" i="4"/>
  <c r="AK1053" i="4"/>
  <c r="AL1053" i="4" s="1"/>
  <c r="B1053" i="4"/>
  <c r="AM1052" i="4"/>
  <c r="AK1052" i="4"/>
  <c r="AL1052" i="4" s="1"/>
  <c r="B1052" i="4"/>
  <c r="AM1051" i="4"/>
  <c r="AK1051" i="4"/>
  <c r="AL1051" i="4" s="1"/>
  <c r="B1051" i="4"/>
  <c r="AM1050" i="4"/>
  <c r="AK1050" i="4"/>
  <c r="AL1050" i="4" s="1"/>
  <c r="B1050" i="4"/>
  <c r="AM1049" i="4"/>
  <c r="AK1049" i="4"/>
  <c r="AL1049" i="4" s="1"/>
  <c r="B1049" i="4"/>
  <c r="AM1048" i="4"/>
  <c r="AK1048" i="4"/>
  <c r="AL1048" i="4" s="1"/>
  <c r="B1048" i="4"/>
  <c r="AM1047" i="4"/>
  <c r="AK1047" i="4"/>
  <c r="AL1047" i="4" s="1"/>
  <c r="B1047" i="4"/>
  <c r="AM1046" i="4"/>
  <c r="AK1046" i="4"/>
  <c r="AL1046" i="4" s="1"/>
  <c r="B1046" i="4"/>
  <c r="AM1045" i="4"/>
  <c r="AK1045" i="4"/>
  <c r="AL1045" i="4" s="1"/>
  <c r="B1045" i="4"/>
  <c r="AM1044" i="4"/>
  <c r="AK1044" i="4"/>
  <c r="AL1044" i="4" s="1"/>
  <c r="B1044" i="4"/>
  <c r="AM1043" i="4"/>
  <c r="AK1043" i="4"/>
  <c r="AL1043" i="4" s="1"/>
  <c r="B1043" i="4"/>
  <c r="AM1042" i="4"/>
  <c r="AK1042" i="4"/>
  <c r="AL1042" i="4" s="1"/>
  <c r="B1042" i="4"/>
  <c r="AM1041" i="4"/>
  <c r="AK1041" i="4"/>
  <c r="AL1041" i="4" s="1"/>
  <c r="B1041" i="4"/>
  <c r="AM1040" i="4"/>
  <c r="AK1040" i="4"/>
  <c r="AL1040" i="4" s="1"/>
  <c r="B1040" i="4"/>
  <c r="AM1039" i="4"/>
  <c r="AK1039" i="4"/>
  <c r="AL1039" i="4" s="1"/>
  <c r="B1039" i="4"/>
  <c r="AM1038" i="4"/>
  <c r="AK1038" i="4"/>
  <c r="AL1038" i="4" s="1"/>
  <c r="B1038" i="4"/>
  <c r="AM1037" i="4"/>
  <c r="AK1037" i="4"/>
  <c r="AL1037" i="4" s="1"/>
  <c r="B1037" i="4"/>
  <c r="AM1036" i="4"/>
  <c r="AK1036" i="4"/>
  <c r="AL1036" i="4" s="1"/>
  <c r="B1036" i="4"/>
  <c r="AM1035" i="4"/>
  <c r="AK1035" i="4"/>
  <c r="AL1035" i="4" s="1"/>
  <c r="B1035" i="4"/>
  <c r="AM1034" i="4"/>
  <c r="AK1034" i="4"/>
  <c r="AL1034" i="4" s="1"/>
  <c r="B1034" i="4"/>
  <c r="AM1033" i="4"/>
  <c r="AK1033" i="4"/>
  <c r="AL1033" i="4" s="1"/>
  <c r="B1033" i="4"/>
  <c r="AM1032" i="4"/>
  <c r="AK1032" i="4"/>
  <c r="AL1032" i="4" s="1"/>
  <c r="B1032" i="4"/>
  <c r="AM1031" i="4"/>
  <c r="AK1031" i="4"/>
  <c r="AL1031" i="4" s="1"/>
  <c r="B1031" i="4"/>
  <c r="AM1030" i="4"/>
  <c r="AK1030" i="4"/>
  <c r="AL1030" i="4" s="1"/>
  <c r="B1030" i="4"/>
  <c r="AM1029" i="4"/>
  <c r="AK1029" i="4"/>
  <c r="AL1029" i="4" s="1"/>
  <c r="B1029" i="4"/>
  <c r="AM1028" i="4"/>
  <c r="AK1028" i="4"/>
  <c r="AL1028" i="4" s="1"/>
  <c r="B1028" i="4"/>
  <c r="AM1027" i="4"/>
  <c r="AK1027" i="4"/>
  <c r="AL1027" i="4" s="1"/>
  <c r="B1027" i="4"/>
  <c r="AM1026" i="4"/>
  <c r="AK1026" i="4"/>
  <c r="AL1026" i="4" s="1"/>
  <c r="B1026" i="4"/>
  <c r="AM1025" i="4"/>
  <c r="AK1025" i="4"/>
  <c r="AL1025" i="4" s="1"/>
  <c r="B1025" i="4"/>
  <c r="AM1024" i="4"/>
  <c r="AK1024" i="4"/>
  <c r="AL1024" i="4" s="1"/>
  <c r="B1024" i="4"/>
  <c r="AM1023" i="4"/>
  <c r="AK1023" i="4"/>
  <c r="AL1023" i="4" s="1"/>
  <c r="B1023" i="4"/>
  <c r="AM1022" i="4"/>
  <c r="AK1022" i="4"/>
  <c r="AL1022" i="4" s="1"/>
  <c r="B1022" i="4"/>
  <c r="AM1021" i="4"/>
  <c r="AK1021" i="4"/>
  <c r="AL1021" i="4" s="1"/>
  <c r="B1021" i="4"/>
  <c r="AM1020" i="4"/>
  <c r="AK1020" i="4"/>
  <c r="AL1020" i="4" s="1"/>
  <c r="B1020" i="4"/>
  <c r="AM1019" i="4"/>
  <c r="AK1019" i="4"/>
  <c r="AL1019" i="4" s="1"/>
  <c r="B1019" i="4"/>
  <c r="AM1018" i="4"/>
  <c r="AK1018" i="4"/>
  <c r="AL1018" i="4" s="1"/>
  <c r="B1018" i="4"/>
  <c r="AM1017" i="4"/>
  <c r="AK1017" i="4"/>
  <c r="AL1017" i="4" s="1"/>
  <c r="B1017" i="4"/>
  <c r="AM1016" i="4"/>
  <c r="AK1016" i="4"/>
  <c r="AL1016" i="4" s="1"/>
  <c r="B1016" i="4"/>
  <c r="AM1015" i="4"/>
  <c r="AK1015" i="4"/>
  <c r="AL1015" i="4" s="1"/>
  <c r="B1015" i="4"/>
  <c r="AM1014" i="4"/>
  <c r="AK1014" i="4"/>
  <c r="AL1014" i="4" s="1"/>
  <c r="B1014" i="4"/>
  <c r="AM1013" i="4"/>
  <c r="AK1013" i="4"/>
  <c r="AL1013" i="4" s="1"/>
  <c r="B1013" i="4"/>
  <c r="AM1012" i="4"/>
  <c r="AK1012" i="4"/>
  <c r="AL1012" i="4" s="1"/>
  <c r="B1012" i="4"/>
  <c r="AM1011" i="4"/>
  <c r="AK1011" i="4"/>
  <c r="AL1011" i="4" s="1"/>
  <c r="B1011" i="4"/>
  <c r="AM1010" i="4"/>
  <c r="AK1010" i="4"/>
  <c r="AL1010" i="4" s="1"/>
  <c r="B1010" i="4"/>
  <c r="AM1009" i="4"/>
  <c r="AK1009" i="4"/>
  <c r="AL1009" i="4" s="1"/>
  <c r="B1009" i="4"/>
  <c r="AM1008" i="4"/>
  <c r="AK1008" i="4"/>
  <c r="AL1008" i="4" s="1"/>
  <c r="B1008" i="4"/>
  <c r="AM1007" i="4"/>
  <c r="AK1007" i="4"/>
  <c r="AL1007" i="4" s="1"/>
  <c r="B1007" i="4"/>
  <c r="AM1006" i="4"/>
  <c r="AK1006" i="4"/>
  <c r="AL1006" i="4" s="1"/>
  <c r="B1006" i="4"/>
  <c r="AM1005" i="4"/>
  <c r="AK1005" i="4"/>
  <c r="AL1005" i="4" s="1"/>
  <c r="B1005" i="4"/>
  <c r="AM1004" i="4"/>
  <c r="AK1004" i="4"/>
  <c r="AL1004" i="4" s="1"/>
  <c r="B1004" i="4"/>
  <c r="AM1003" i="4"/>
  <c r="AK1003" i="4"/>
  <c r="AL1003" i="4" s="1"/>
  <c r="B1003" i="4"/>
  <c r="AM1002" i="4"/>
  <c r="AK1002" i="4"/>
  <c r="AL1002" i="4" s="1"/>
  <c r="B1002" i="4"/>
  <c r="AM1001" i="4"/>
  <c r="AK1001" i="4"/>
  <c r="AL1001" i="4" s="1"/>
  <c r="B1001" i="4"/>
  <c r="AM1000" i="4"/>
  <c r="AK1000" i="4"/>
  <c r="AL1000" i="4" s="1"/>
  <c r="B1000" i="4"/>
  <c r="AM999" i="4"/>
  <c r="AK999" i="4"/>
  <c r="AL999" i="4" s="1"/>
  <c r="B999" i="4"/>
  <c r="AM998" i="4"/>
  <c r="AK998" i="4"/>
  <c r="AL998" i="4" s="1"/>
  <c r="B998" i="4"/>
  <c r="AM997" i="4"/>
  <c r="AK997" i="4"/>
  <c r="AL997" i="4" s="1"/>
  <c r="B997" i="4"/>
  <c r="AM996" i="4"/>
  <c r="AK996" i="4"/>
  <c r="AL996" i="4" s="1"/>
  <c r="B996" i="4"/>
  <c r="AM995" i="4"/>
  <c r="AK995" i="4"/>
  <c r="AL995" i="4" s="1"/>
  <c r="B995" i="4"/>
  <c r="AM994" i="4"/>
  <c r="AK994" i="4"/>
  <c r="AL994" i="4" s="1"/>
  <c r="B994" i="4"/>
  <c r="AM993" i="4"/>
  <c r="AK993" i="4"/>
  <c r="AL993" i="4" s="1"/>
  <c r="B993" i="4"/>
  <c r="AM992" i="4"/>
  <c r="AK992" i="4"/>
  <c r="AL992" i="4" s="1"/>
  <c r="B992" i="4"/>
  <c r="AM991" i="4"/>
  <c r="AK991" i="4"/>
  <c r="AL991" i="4" s="1"/>
  <c r="B991" i="4"/>
  <c r="AM990" i="4"/>
  <c r="AK990" i="4"/>
  <c r="AL990" i="4" s="1"/>
  <c r="B990" i="4"/>
  <c r="AM989" i="4"/>
  <c r="AK989" i="4"/>
  <c r="AL989" i="4" s="1"/>
  <c r="B989" i="4"/>
  <c r="AM988" i="4"/>
  <c r="AK988" i="4"/>
  <c r="AL988" i="4" s="1"/>
  <c r="B988" i="4"/>
  <c r="AM987" i="4"/>
  <c r="AK987" i="4"/>
  <c r="AL987" i="4" s="1"/>
  <c r="B987" i="4"/>
  <c r="AM986" i="4"/>
  <c r="AK986" i="4"/>
  <c r="AL986" i="4" s="1"/>
  <c r="B986" i="4"/>
  <c r="AM985" i="4"/>
  <c r="AK985" i="4"/>
  <c r="AL985" i="4" s="1"/>
  <c r="B985" i="4"/>
  <c r="AM984" i="4"/>
  <c r="AK984" i="4"/>
  <c r="AL984" i="4" s="1"/>
  <c r="B984" i="4"/>
  <c r="AM983" i="4"/>
  <c r="AK983" i="4"/>
  <c r="AL983" i="4" s="1"/>
  <c r="B983" i="4"/>
  <c r="AM982" i="4"/>
  <c r="AK982" i="4"/>
  <c r="AL982" i="4" s="1"/>
  <c r="B982" i="4"/>
  <c r="AM981" i="4"/>
  <c r="AK981" i="4"/>
  <c r="AL981" i="4" s="1"/>
  <c r="B981" i="4"/>
  <c r="AM980" i="4"/>
  <c r="AK980" i="4"/>
  <c r="AL980" i="4" s="1"/>
  <c r="B980" i="4"/>
  <c r="AM979" i="4"/>
  <c r="AK979" i="4"/>
  <c r="AL979" i="4" s="1"/>
  <c r="B979" i="4"/>
  <c r="AM978" i="4"/>
  <c r="AK978" i="4"/>
  <c r="AL978" i="4" s="1"/>
  <c r="B978" i="4"/>
  <c r="AM977" i="4"/>
  <c r="AK977" i="4"/>
  <c r="AL977" i="4" s="1"/>
  <c r="B977" i="4"/>
  <c r="AM976" i="4"/>
  <c r="AK976" i="4"/>
  <c r="AL976" i="4" s="1"/>
  <c r="B976" i="4"/>
  <c r="AM975" i="4"/>
  <c r="AK975" i="4"/>
  <c r="AL975" i="4" s="1"/>
  <c r="B975" i="4"/>
  <c r="AM974" i="4"/>
  <c r="AK974" i="4"/>
  <c r="AL974" i="4" s="1"/>
  <c r="B974" i="4"/>
  <c r="AM973" i="4"/>
  <c r="AK973" i="4"/>
  <c r="AL973" i="4" s="1"/>
  <c r="B973" i="4"/>
  <c r="AM972" i="4"/>
  <c r="AK972" i="4"/>
  <c r="AL972" i="4" s="1"/>
  <c r="B972" i="4"/>
  <c r="AM971" i="4"/>
  <c r="AK971" i="4"/>
  <c r="AL971" i="4" s="1"/>
  <c r="B971" i="4"/>
  <c r="AM970" i="4"/>
  <c r="AK970" i="4"/>
  <c r="AL970" i="4" s="1"/>
  <c r="B970" i="4"/>
  <c r="AM969" i="4"/>
  <c r="AK969" i="4"/>
  <c r="AL969" i="4" s="1"/>
  <c r="B969" i="4"/>
  <c r="AM968" i="4"/>
  <c r="AK968" i="4"/>
  <c r="AL968" i="4" s="1"/>
  <c r="B968" i="4"/>
  <c r="AM967" i="4"/>
  <c r="AK967" i="4"/>
  <c r="AL967" i="4" s="1"/>
  <c r="B967" i="4"/>
  <c r="AM966" i="4"/>
  <c r="AK966" i="4"/>
  <c r="AL966" i="4" s="1"/>
  <c r="B966" i="4"/>
  <c r="AM965" i="4"/>
  <c r="AK965" i="4"/>
  <c r="AL965" i="4" s="1"/>
  <c r="B965" i="4"/>
  <c r="AM964" i="4"/>
  <c r="AK964" i="4"/>
  <c r="AL964" i="4" s="1"/>
  <c r="B964" i="4"/>
  <c r="AM963" i="4"/>
  <c r="AK963" i="4"/>
  <c r="AL963" i="4" s="1"/>
  <c r="B963" i="4"/>
  <c r="AM962" i="4"/>
  <c r="AK962" i="4"/>
  <c r="AL962" i="4" s="1"/>
  <c r="B962" i="4"/>
  <c r="AM961" i="4"/>
  <c r="AK961" i="4"/>
  <c r="AL961" i="4" s="1"/>
  <c r="B961" i="4"/>
  <c r="AM960" i="4"/>
  <c r="AK960" i="4"/>
  <c r="AL960" i="4" s="1"/>
  <c r="B960" i="4"/>
  <c r="AM959" i="4"/>
  <c r="AK959" i="4"/>
  <c r="AL959" i="4" s="1"/>
  <c r="B959" i="4"/>
  <c r="AM958" i="4"/>
  <c r="AK958" i="4"/>
  <c r="AL958" i="4" s="1"/>
  <c r="B958" i="4"/>
  <c r="AM957" i="4"/>
  <c r="AK957" i="4"/>
  <c r="AL957" i="4" s="1"/>
  <c r="B957" i="4"/>
  <c r="AM956" i="4"/>
  <c r="AK956" i="4"/>
  <c r="AL956" i="4" s="1"/>
  <c r="B956" i="4"/>
  <c r="AM955" i="4"/>
  <c r="AK955" i="4"/>
  <c r="AL955" i="4" s="1"/>
  <c r="B955" i="4"/>
  <c r="AM954" i="4"/>
  <c r="AK954" i="4"/>
  <c r="AL954" i="4" s="1"/>
  <c r="B954" i="4"/>
  <c r="AM953" i="4"/>
  <c r="AK953" i="4"/>
  <c r="AL953" i="4" s="1"/>
  <c r="B953" i="4"/>
  <c r="AM952" i="4"/>
  <c r="AK952" i="4"/>
  <c r="AL952" i="4" s="1"/>
  <c r="B952" i="4"/>
  <c r="AM951" i="4"/>
  <c r="AK951" i="4"/>
  <c r="AL951" i="4" s="1"/>
  <c r="B951" i="4"/>
  <c r="AM950" i="4"/>
  <c r="AK950" i="4"/>
  <c r="AL950" i="4" s="1"/>
  <c r="B950" i="4"/>
  <c r="AM949" i="4"/>
  <c r="AK949" i="4"/>
  <c r="AL949" i="4" s="1"/>
  <c r="B949" i="4"/>
  <c r="AM948" i="4"/>
  <c r="AK948" i="4"/>
  <c r="AL948" i="4" s="1"/>
  <c r="B948" i="4"/>
  <c r="AM947" i="4"/>
  <c r="AK947" i="4"/>
  <c r="AL947" i="4" s="1"/>
  <c r="B947" i="4"/>
  <c r="AM946" i="4"/>
  <c r="AK946" i="4"/>
  <c r="AL946" i="4" s="1"/>
  <c r="B946" i="4"/>
  <c r="AM945" i="4"/>
  <c r="AK945" i="4"/>
  <c r="AL945" i="4" s="1"/>
  <c r="B945" i="4"/>
  <c r="AM944" i="4"/>
  <c r="AK944" i="4"/>
  <c r="AL944" i="4" s="1"/>
  <c r="B944" i="4"/>
  <c r="AM943" i="4"/>
  <c r="AK943" i="4"/>
  <c r="AL943" i="4" s="1"/>
  <c r="B943" i="4"/>
  <c r="AM942" i="4"/>
  <c r="AK942" i="4"/>
  <c r="AL942" i="4" s="1"/>
  <c r="B942" i="4"/>
  <c r="AM941" i="4"/>
  <c r="AK941" i="4"/>
  <c r="AL941" i="4" s="1"/>
  <c r="B941" i="4"/>
  <c r="AM940" i="4"/>
  <c r="AK940" i="4"/>
  <c r="AL940" i="4" s="1"/>
  <c r="B940" i="4"/>
  <c r="AM939" i="4"/>
  <c r="AK939" i="4"/>
  <c r="AL939" i="4" s="1"/>
  <c r="B939" i="4"/>
  <c r="AM938" i="4"/>
  <c r="AK938" i="4"/>
  <c r="AL938" i="4" s="1"/>
  <c r="B938" i="4"/>
  <c r="AM937" i="4"/>
  <c r="AK937" i="4"/>
  <c r="AL937" i="4" s="1"/>
  <c r="B937" i="4"/>
  <c r="AM936" i="4"/>
  <c r="AK936" i="4"/>
  <c r="AL936" i="4" s="1"/>
  <c r="B936" i="4"/>
  <c r="AM935" i="4"/>
  <c r="AK935" i="4"/>
  <c r="AL935" i="4" s="1"/>
  <c r="B935" i="4"/>
  <c r="AM934" i="4"/>
  <c r="AK934" i="4"/>
  <c r="AL934" i="4" s="1"/>
  <c r="B934" i="4"/>
  <c r="AM933" i="4"/>
  <c r="AK933" i="4"/>
  <c r="AL933" i="4" s="1"/>
  <c r="B933" i="4"/>
  <c r="AM932" i="4"/>
  <c r="AK932" i="4"/>
  <c r="AL932" i="4" s="1"/>
  <c r="B932" i="4"/>
  <c r="AM931" i="4"/>
  <c r="AK931" i="4"/>
  <c r="AL931" i="4" s="1"/>
  <c r="B931" i="4"/>
  <c r="AM930" i="4"/>
  <c r="AK930" i="4"/>
  <c r="AL930" i="4" s="1"/>
  <c r="B930" i="4"/>
  <c r="AM929" i="4"/>
  <c r="AK929" i="4"/>
  <c r="AL929" i="4" s="1"/>
  <c r="B929" i="4"/>
  <c r="AM928" i="4"/>
  <c r="AK928" i="4"/>
  <c r="AL928" i="4" s="1"/>
  <c r="B928" i="4"/>
  <c r="AM927" i="4"/>
  <c r="AK927" i="4"/>
  <c r="AL927" i="4" s="1"/>
  <c r="B927" i="4"/>
  <c r="AM926" i="4"/>
  <c r="AK926" i="4"/>
  <c r="AL926" i="4" s="1"/>
  <c r="B926" i="4"/>
  <c r="AM925" i="4"/>
  <c r="AK925" i="4"/>
  <c r="AL925" i="4" s="1"/>
  <c r="B925" i="4"/>
  <c r="AM924" i="4"/>
  <c r="AK924" i="4"/>
  <c r="AL924" i="4" s="1"/>
  <c r="B924" i="4"/>
  <c r="AM923" i="4"/>
  <c r="AK923" i="4"/>
  <c r="AL923" i="4" s="1"/>
  <c r="B923" i="4"/>
  <c r="AM922" i="4"/>
  <c r="AK922" i="4"/>
  <c r="AL922" i="4" s="1"/>
  <c r="B922" i="4"/>
  <c r="AM921" i="4"/>
  <c r="AK921" i="4"/>
  <c r="AL921" i="4" s="1"/>
  <c r="B921" i="4"/>
  <c r="AM920" i="4"/>
  <c r="AK920" i="4"/>
  <c r="AL920" i="4" s="1"/>
  <c r="B920" i="4"/>
  <c r="AM919" i="4"/>
  <c r="AK919" i="4"/>
  <c r="AL919" i="4" s="1"/>
  <c r="B919" i="4"/>
  <c r="AM918" i="4"/>
  <c r="AK918" i="4"/>
  <c r="AL918" i="4" s="1"/>
  <c r="B918" i="4"/>
  <c r="AM917" i="4"/>
  <c r="AK917" i="4"/>
  <c r="AL917" i="4" s="1"/>
  <c r="B917" i="4"/>
  <c r="AM916" i="4"/>
  <c r="AK916" i="4"/>
  <c r="AL916" i="4" s="1"/>
  <c r="B916" i="4"/>
  <c r="AM915" i="4"/>
  <c r="AK915" i="4"/>
  <c r="AL915" i="4" s="1"/>
  <c r="B915" i="4"/>
  <c r="AM914" i="4"/>
  <c r="AK914" i="4"/>
  <c r="AL914" i="4" s="1"/>
  <c r="B914" i="4"/>
  <c r="AM913" i="4"/>
  <c r="AK913" i="4"/>
  <c r="AL913" i="4" s="1"/>
  <c r="B913" i="4"/>
  <c r="AM912" i="4"/>
  <c r="AK912" i="4"/>
  <c r="AL912" i="4" s="1"/>
  <c r="B912" i="4"/>
  <c r="AM911" i="4"/>
  <c r="AK911" i="4"/>
  <c r="AL911" i="4" s="1"/>
  <c r="B911" i="4"/>
  <c r="AM910" i="4"/>
  <c r="AK910" i="4"/>
  <c r="AL910" i="4" s="1"/>
  <c r="B910" i="4"/>
  <c r="AM909" i="4"/>
  <c r="AK909" i="4"/>
  <c r="AL909" i="4" s="1"/>
  <c r="B909" i="4"/>
  <c r="AM908" i="4"/>
  <c r="AK908" i="4"/>
  <c r="AL908" i="4" s="1"/>
  <c r="B908" i="4"/>
  <c r="AM907" i="4"/>
  <c r="AK907" i="4"/>
  <c r="AL907" i="4" s="1"/>
  <c r="B907" i="4"/>
  <c r="AM906" i="4"/>
  <c r="AK906" i="4"/>
  <c r="AL906" i="4" s="1"/>
  <c r="B906" i="4"/>
  <c r="AM905" i="4"/>
  <c r="AK905" i="4"/>
  <c r="AL905" i="4" s="1"/>
  <c r="B905" i="4"/>
  <c r="AM904" i="4"/>
  <c r="AK904" i="4"/>
  <c r="AL904" i="4" s="1"/>
  <c r="B904" i="4"/>
  <c r="AM903" i="4"/>
  <c r="AK903" i="4"/>
  <c r="AL903" i="4" s="1"/>
  <c r="B903" i="4"/>
  <c r="AM902" i="4"/>
  <c r="AK902" i="4"/>
  <c r="AL902" i="4" s="1"/>
  <c r="B902" i="4"/>
  <c r="AM901" i="4"/>
  <c r="AK901" i="4"/>
  <c r="AL901" i="4" s="1"/>
  <c r="B901" i="4"/>
  <c r="AM900" i="4"/>
  <c r="AK900" i="4"/>
  <c r="AL900" i="4" s="1"/>
  <c r="B900" i="4"/>
  <c r="AM899" i="4"/>
  <c r="AK899" i="4"/>
  <c r="AL899" i="4" s="1"/>
  <c r="B899" i="4"/>
  <c r="AM898" i="4"/>
  <c r="AK898" i="4"/>
  <c r="AL898" i="4" s="1"/>
  <c r="B898" i="4"/>
  <c r="AM897" i="4"/>
  <c r="AK897" i="4"/>
  <c r="AL897" i="4" s="1"/>
  <c r="B897" i="4"/>
  <c r="AM896" i="4"/>
  <c r="AK896" i="4"/>
  <c r="AL896" i="4" s="1"/>
  <c r="B896" i="4"/>
  <c r="AM895" i="4"/>
  <c r="AK895" i="4"/>
  <c r="AL895" i="4" s="1"/>
  <c r="B895" i="4"/>
  <c r="AM894" i="4"/>
  <c r="AK894" i="4"/>
  <c r="AL894" i="4" s="1"/>
  <c r="B894" i="4"/>
  <c r="AM893" i="4"/>
  <c r="AK893" i="4"/>
  <c r="AL893" i="4" s="1"/>
  <c r="B893" i="4"/>
  <c r="AM892" i="4"/>
  <c r="AK892" i="4"/>
  <c r="AL892" i="4" s="1"/>
  <c r="B892" i="4"/>
  <c r="AM891" i="4"/>
  <c r="AK891" i="4"/>
  <c r="AL891" i="4" s="1"/>
  <c r="B891" i="4"/>
  <c r="AM890" i="4"/>
  <c r="AK890" i="4"/>
  <c r="AL890" i="4" s="1"/>
  <c r="B890" i="4"/>
  <c r="AM889" i="4"/>
  <c r="AK889" i="4"/>
  <c r="AL889" i="4" s="1"/>
  <c r="B889" i="4"/>
  <c r="AM888" i="4"/>
  <c r="AK888" i="4"/>
  <c r="AL888" i="4" s="1"/>
  <c r="B888" i="4"/>
  <c r="AM887" i="4"/>
  <c r="AK887" i="4"/>
  <c r="AL887" i="4" s="1"/>
  <c r="B887" i="4"/>
  <c r="AM886" i="4"/>
  <c r="AK886" i="4"/>
  <c r="AL886" i="4" s="1"/>
  <c r="B886" i="4"/>
  <c r="AM885" i="4"/>
  <c r="AK885" i="4"/>
  <c r="AL885" i="4" s="1"/>
  <c r="B885" i="4"/>
  <c r="AM884" i="4"/>
  <c r="AK884" i="4"/>
  <c r="AL884" i="4" s="1"/>
  <c r="B884" i="4"/>
  <c r="AM883" i="4"/>
  <c r="AK883" i="4"/>
  <c r="AL883" i="4" s="1"/>
  <c r="B883" i="4"/>
  <c r="AM882" i="4"/>
  <c r="AK882" i="4"/>
  <c r="AL882" i="4" s="1"/>
  <c r="B882" i="4"/>
  <c r="AM881" i="4"/>
  <c r="AK881" i="4"/>
  <c r="AL881" i="4" s="1"/>
  <c r="B881" i="4"/>
  <c r="AM880" i="4"/>
  <c r="AK880" i="4"/>
  <c r="AL880" i="4" s="1"/>
  <c r="B880" i="4"/>
  <c r="AM879" i="4"/>
  <c r="AK879" i="4"/>
  <c r="AL879" i="4" s="1"/>
  <c r="B879" i="4"/>
  <c r="AM878" i="4"/>
  <c r="AK878" i="4"/>
  <c r="AL878" i="4" s="1"/>
  <c r="B878" i="4"/>
  <c r="AM877" i="4"/>
  <c r="AK877" i="4"/>
  <c r="AL877" i="4" s="1"/>
  <c r="B877" i="4"/>
  <c r="AM876" i="4"/>
  <c r="AK876" i="4"/>
  <c r="AL876" i="4" s="1"/>
  <c r="B876" i="4"/>
  <c r="AM875" i="4"/>
  <c r="AK875" i="4"/>
  <c r="AL875" i="4" s="1"/>
  <c r="B875" i="4"/>
  <c r="AM874" i="4"/>
  <c r="AK874" i="4"/>
  <c r="AL874" i="4" s="1"/>
  <c r="B874" i="4"/>
  <c r="AM873" i="4"/>
  <c r="AK873" i="4"/>
  <c r="AL873" i="4" s="1"/>
  <c r="B873" i="4"/>
  <c r="AM872" i="4"/>
  <c r="AK872" i="4"/>
  <c r="AL872" i="4" s="1"/>
  <c r="B872" i="4"/>
  <c r="AM871" i="4"/>
  <c r="AK871" i="4"/>
  <c r="AL871" i="4" s="1"/>
  <c r="B871" i="4"/>
  <c r="AM870" i="4"/>
  <c r="AK870" i="4"/>
  <c r="AL870" i="4" s="1"/>
  <c r="B870" i="4"/>
  <c r="AM869" i="4"/>
  <c r="AK869" i="4"/>
  <c r="AL869" i="4" s="1"/>
  <c r="B869" i="4"/>
  <c r="AM868" i="4"/>
  <c r="AK868" i="4"/>
  <c r="AL868" i="4" s="1"/>
  <c r="B868" i="4"/>
  <c r="AM867" i="4"/>
  <c r="AK867" i="4"/>
  <c r="AL867" i="4" s="1"/>
  <c r="B867" i="4"/>
  <c r="AM866" i="4"/>
  <c r="AK866" i="4"/>
  <c r="AL866" i="4" s="1"/>
  <c r="B866" i="4"/>
  <c r="AM865" i="4"/>
  <c r="AK865" i="4"/>
  <c r="AL865" i="4" s="1"/>
  <c r="B865" i="4"/>
  <c r="AM864" i="4"/>
  <c r="AK864" i="4"/>
  <c r="AL864" i="4" s="1"/>
  <c r="B864" i="4"/>
  <c r="AM863" i="4"/>
  <c r="AK863" i="4"/>
  <c r="AL863" i="4" s="1"/>
  <c r="B863" i="4"/>
  <c r="AM862" i="4"/>
  <c r="AK862" i="4"/>
  <c r="AL862" i="4" s="1"/>
  <c r="B862" i="4"/>
  <c r="AM861" i="4"/>
  <c r="AK861" i="4"/>
  <c r="AL861" i="4" s="1"/>
  <c r="B861" i="4"/>
  <c r="AM860" i="4"/>
  <c r="AK860" i="4"/>
  <c r="AL860" i="4" s="1"/>
  <c r="B860" i="4"/>
  <c r="AM859" i="4"/>
  <c r="AK859" i="4"/>
  <c r="AL859" i="4" s="1"/>
  <c r="B859" i="4"/>
  <c r="AM858" i="4"/>
  <c r="AK858" i="4"/>
  <c r="AL858" i="4" s="1"/>
  <c r="B858" i="4"/>
  <c r="AM857" i="4"/>
  <c r="AK857" i="4"/>
  <c r="AL857" i="4" s="1"/>
  <c r="B857" i="4"/>
  <c r="AM856" i="4"/>
  <c r="AK856" i="4"/>
  <c r="AL856" i="4" s="1"/>
  <c r="B856" i="4"/>
  <c r="AM855" i="4"/>
  <c r="AK855" i="4"/>
  <c r="AL855" i="4" s="1"/>
  <c r="B855" i="4"/>
  <c r="AM854" i="4"/>
  <c r="AK854" i="4"/>
  <c r="AL854" i="4" s="1"/>
  <c r="B854" i="4"/>
  <c r="AM853" i="4"/>
  <c r="AK853" i="4"/>
  <c r="AL853" i="4" s="1"/>
  <c r="B853" i="4"/>
  <c r="AM852" i="4"/>
  <c r="AK852" i="4"/>
  <c r="AL852" i="4" s="1"/>
  <c r="B852" i="4"/>
  <c r="AM851" i="4"/>
  <c r="AK851" i="4"/>
  <c r="AL851" i="4" s="1"/>
  <c r="B851" i="4"/>
  <c r="AM850" i="4"/>
  <c r="AK850" i="4"/>
  <c r="AL850" i="4" s="1"/>
  <c r="B850" i="4"/>
  <c r="AM849" i="4"/>
  <c r="AK849" i="4"/>
  <c r="AL849" i="4" s="1"/>
  <c r="B849" i="4"/>
  <c r="AM848" i="4"/>
  <c r="AK848" i="4"/>
  <c r="AL848" i="4" s="1"/>
  <c r="B848" i="4"/>
  <c r="AM847" i="4"/>
  <c r="AK847" i="4"/>
  <c r="AL847" i="4" s="1"/>
  <c r="B847" i="4"/>
  <c r="AM846" i="4"/>
  <c r="AK846" i="4"/>
  <c r="AL846" i="4" s="1"/>
  <c r="B846" i="4"/>
  <c r="AM845" i="4"/>
  <c r="AK845" i="4"/>
  <c r="AL845" i="4" s="1"/>
  <c r="B845" i="4"/>
  <c r="AM844" i="4"/>
  <c r="AK844" i="4"/>
  <c r="AL844" i="4" s="1"/>
  <c r="B844" i="4"/>
  <c r="AM843" i="4"/>
  <c r="AK843" i="4"/>
  <c r="AL843" i="4" s="1"/>
  <c r="B843" i="4"/>
  <c r="AM842" i="4"/>
  <c r="AK842" i="4"/>
  <c r="AL842" i="4" s="1"/>
  <c r="B842" i="4"/>
  <c r="AT841" i="4"/>
  <c r="AM841" i="4"/>
  <c r="AK841" i="4"/>
  <c r="AL841" i="4" s="1"/>
  <c r="B841" i="4"/>
  <c r="AT840" i="4"/>
  <c r="AM840" i="4"/>
  <c r="AL840" i="4"/>
  <c r="AK840" i="4"/>
  <c r="B840" i="4"/>
  <c r="AT839" i="4"/>
  <c r="AM839" i="4"/>
  <c r="AK839" i="4"/>
  <c r="AL839" i="4" s="1"/>
  <c r="B839" i="4"/>
  <c r="AT838" i="4"/>
  <c r="AM838" i="4"/>
  <c r="AK838" i="4"/>
  <c r="AL838" i="4" s="1"/>
  <c r="B838" i="4"/>
  <c r="AT837" i="4"/>
  <c r="AM837" i="4"/>
  <c r="AK837" i="4"/>
  <c r="AL837" i="4" s="1"/>
  <c r="B837" i="4"/>
  <c r="AT836" i="4"/>
  <c r="AM836" i="4"/>
  <c r="AK836" i="4"/>
  <c r="AL836" i="4" s="1"/>
  <c r="B836" i="4"/>
  <c r="AT835" i="4"/>
  <c r="AM835" i="4"/>
  <c r="AK835" i="4"/>
  <c r="AL835" i="4" s="1"/>
  <c r="B835" i="4"/>
  <c r="AT834" i="4"/>
  <c r="AM834" i="4"/>
  <c r="AK834" i="4"/>
  <c r="AL834" i="4" s="1"/>
  <c r="B834" i="4"/>
  <c r="AT833" i="4"/>
  <c r="AM833" i="4"/>
  <c r="AK833" i="4"/>
  <c r="AL833" i="4" s="1"/>
  <c r="B833" i="4"/>
  <c r="AT832" i="4"/>
  <c r="AM832" i="4"/>
  <c r="AL832" i="4"/>
  <c r="AK832" i="4"/>
  <c r="B832" i="4"/>
  <c r="AT831" i="4"/>
  <c r="AM831" i="4"/>
  <c r="AK831" i="4"/>
  <c r="AL831" i="4" s="1"/>
  <c r="B831" i="4"/>
  <c r="AT830" i="4"/>
  <c r="AM830" i="4"/>
  <c r="AK830" i="4"/>
  <c r="AL830" i="4" s="1"/>
  <c r="B830" i="4"/>
  <c r="AT829" i="4"/>
  <c r="AM829" i="4"/>
  <c r="AK829" i="4"/>
  <c r="AL829" i="4" s="1"/>
  <c r="B829" i="4"/>
  <c r="AT828" i="4"/>
  <c r="AM828" i="4"/>
  <c r="AK828" i="4"/>
  <c r="AL828" i="4" s="1"/>
  <c r="B828" i="4"/>
  <c r="AT827" i="4"/>
  <c r="AM827" i="4"/>
  <c r="AK827" i="4"/>
  <c r="AL827" i="4" s="1"/>
  <c r="B827" i="4"/>
  <c r="AT826" i="4"/>
  <c r="AM826" i="4"/>
  <c r="AK826" i="4"/>
  <c r="AL826" i="4" s="1"/>
  <c r="B826" i="4"/>
  <c r="AT825" i="4"/>
  <c r="AM825" i="4"/>
  <c r="AK825" i="4"/>
  <c r="AL825" i="4" s="1"/>
  <c r="B825" i="4"/>
  <c r="AT824" i="4"/>
  <c r="AM824" i="4"/>
  <c r="AK824" i="4"/>
  <c r="AL824" i="4" s="1"/>
  <c r="B824" i="4"/>
  <c r="AT823" i="4"/>
  <c r="AM823" i="4"/>
  <c r="AK823" i="4"/>
  <c r="AL823" i="4" s="1"/>
  <c r="B823" i="4"/>
  <c r="AT822" i="4"/>
  <c r="AM822" i="4"/>
  <c r="AK822" i="4"/>
  <c r="AL822" i="4" s="1"/>
  <c r="B822" i="4"/>
  <c r="AT821" i="4"/>
  <c r="AM821" i="4"/>
  <c r="AK821" i="4"/>
  <c r="AL821" i="4" s="1"/>
  <c r="B821" i="4"/>
  <c r="AT820" i="4"/>
  <c r="AM820" i="4"/>
  <c r="AK820" i="4"/>
  <c r="AL820" i="4" s="1"/>
  <c r="B820" i="4"/>
  <c r="AT819" i="4"/>
  <c r="AM819" i="4"/>
  <c r="AK819" i="4"/>
  <c r="AL819" i="4" s="1"/>
  <c r="N819" i="4"/>
  <c r="B819" i="4"/>
  <c r="AT818" i="4"/>
  <c r="AM818" i="4"/>
  <c r="AK818" i="4"/>
  <c r="AL818" i="4" s="1"/>
  <c r="B818" i="4"/>
  <c r="AT817" i="4"/>
  <c r="AM817" i="4"/>
  <c r="AL817" i="4"/>
  <c r="AK817" i="4"/>
  <c r="B817" i="4"/>
  <c r="AT816" i="4"/>
  <c r="AM816" i="4"/>
  <c r="AK816" i="4"/>
  <c r="AL816" i="4" s="1"/>
  <c r="B816" i="4"/>
  <c r="AT815" i="4"/>
  <c r="AM815" i="4"/>
  <c r="AK815" i="4"/>
  <c r="AL815" i="4" s="1"/>
  <c r="B815" i="4"/>
  <c r="AT814" i="4"/>
  <c r="AM814" i="4"/>
  <c r="AK814" i="4"/>
  <c r="AL814" i="4" s="1"/>
  <c r="B814" i="4"/>
  <c r="AT813" i="4"/>
  <c r="AM813" i="4"/>
  <c r="AK813" i="4"/>
  <c r="AL813" i="4" s="1"/>
  <c r="B813" i="4"/>
  <c r="AT812" i="4"/>
  <c r="AM812" i="4"/>
  <c r="AK812" i="4"/>
  <c r="AL812" i="4" s="1"/>
  <c r="B812" i="4"/>
  <c r="AT811" i="4"/>
  <c r="AM811" i="4"/>
  <c r="AK811" i="4"/>
  <c r="AL811" i="4" s="1"/>
  <c r="B811" i="4"/>
  <c r="AT810" i="4"/>
  <c r="AM810" i="4"/>
  <c r="AK810" i="4"/>
  <c r="AL810" i="4" s="1"/>
  <c r="B810" i="4"/>
  <c r="AT809" i="4"/>
  <c r="AM809" i="4"/>
  <c r="AL809" i="4"/>
  <c r="AK809" i="4"/>
  <c r="B809" i="4"/>
  <c r="AT808" i="4"/>
  <c r="AM808" i="4"/>
  <c r="AK808" i="4"/>
  <c r="AL808" i="4" s="1"/>
  <c r="B808" i="4"/>
  <c r="AT807" i="4"/>
  <c r="AM807" i="4"/>
  <c r="AK807" i="4"/>
  <c r="AL807" i="4" s="1"/>
  <c r="B807" i="4"/>
  <c r="AT806" i="4"/>
  <c r="AM806" i="4"/>
  <c r="AK806" i="4"/>
  <c r="AL806" i="4" s="1"/>
  <c r="B806" i="4"/>
  <c r="AT805" i="4"/>
  <c r="AM805" i="4"/>
  <c r="AK805" i="4"/>
  <c r="AL805" i="4" s="1"/>
  <c r="B805" i="4"/>
  <c r="AT804" i="4"/>
  <c r="AM804" i="4"/>
  <c r="AK804" i="4"/>
  <c r="AL804" i="4" s="1"/>
  <c r="B804" i="4"/>
  <c r="AT803" i="4"/>
  <c r="AM803" i="4"/>
  <c r="AK803" i="4"/>
  <c r="AL803" i="4" s="1"/>
  <c r="B803" i="4"/>
  <c r="AT802" i="4"/>
  <c r="AM802" i="4"/>
  <c r="AK802" i="4"/>
  <c r="AL802" i="4" s="1"/>
  <c r="B802" i="4"/>
  <c r="AT801" i="4"/>
  <c r="AM801" i="4"/>
  <c r="AK801" i="4"/>
  <c r="AL801" i="4" s="1"/>
  <c r="N801" i="4"/>
  <c r="C1422" i="4" s="1"/>
  <c r="B801" i="4"/>
  <c r="AT800" i="4"/>
  <c r="AM800" i="4"/>
  <c r="AK800" i="4"/>
  <c r="AL800" i="4" s="1"/>
  <c r="B800" i="4"/>
  <c r="AT799" i="4"/>
  <c r="AM799" i="4"/>
  <c r="AK799" i="4"/>
  <c r="AL799" i="4" s="1"/>
  <c r="B799" i="4"/>
  <c r="AT798" i="4"/>
  <c r="AM798" i="4"/>
  <c r="AK798" i="4"/>
  <c r="AL798" i="4" s="1"/>
  <c r="B798" i="4"/>
  <c r="AT797" i="4"/>
  <c r="AM797" i="4"/>
  <c r="AK797" i="4"/>
  <c r="AL797" i="4" s="1"/>
  <c r="B797" i="4"/>
  <c r="AT796" i="4"/>
  <c r="AM796" i="4"/>
  <c r="AL796" i="4"/>
  <c r="AK796" i="4"/>
  <c r="B796" i="4"/>
  <c r="AT795" i="4"/>
  <c r="AM795" i="4"/>
  <c r="AK795" i="4"/>
  <c r="AL795" i="4" s="1"/>
  <c r="B795" i="4"/>
  <c r="AT794" i="4"/>
  <c r="AM794" i="4"/>
  <c r="AK794" i="4"/>
  <c r="AL794" i="4" s="1"/>
  <c r="B794" i="4"/>
  <c r="AT793" i="4"/>
  <c r="AM793" i="4"/>
  <c r="AK793" i="4"/>
  <c r="AL793" i="4" s="1"/>
  <c r="B793" i="4"/>
  <c r="AT792" i="4"/>
  <c r="AM792" i="4"/>
  <c r="AK792" i="4"/>
  <c r="AL792" i="4" s="1"/>
  <c r="B792" i="4"/>
  <c r="AT791" i="4"/>
  <c r="AM791" i="4"/>
  <c r="AK791" i="4"/>
  <c r="AL791" i="4" s="1"/>
  <c r="B791" i="4"/>
  <c r="AT790" i="4"/>
  <c r="AM790" i="4"/>
  <c r="AK790" i="4"/>
  <c r="AL790" i="4" s="1"/>
  <c r="B790" i="4"/>
  <c r="AT789" i="4"/>
  <c r="AM789" i="4"/>
  <c r="AK789" i="4"/>
  <c r="AL789" i="4" s="1"/>
  <c r="B789" i="4"/>
  <c r="AT788" i="4"/>
  <c r="AM788" i="4"/>
  <c r="AL788" i="4"/>
  <c r="AK788" i="4"/>
  <c r="B788" i="4"/>
  <c r="AT787" i="4"/>
  <c r="AM787" i="4"/>
  <c r="AK787" i="4"/>
  <c r="AL787" i="4" s="1"/>
  <c r="B787" i="4"/>
  <c r="AT786" i="4"/>
  <c r="AM786" i="4"/>
  <c r="AK786" i="4"/>
  <c r="AL786" i="4" s="1"/>
  <c r="B786" i="4"/>
  <c r="AT785" i="4"/>
  <c r="AM785" i="4"/>
  <c r="AK785" i="4"/>
  <c r="AL785" i="4" s="1"/>
  <c r="B785" i="4"/>
  <c r="AT784" i="4"/>
  <c r="AM784" i="4"/>
  <c r="AK784" i="4"/>
  <c r="AL784" i="4" s="1"/>
  <c r="B784" i="4"/>
  <c r="AT783" i="4"/>
  <c r="AM783" i="4"/>
  <c r="AK783" i="4"/>
  <c r="AL783" i="4" s="1"/>
  <c r="B783" i="4"/>
  <c r="AT782" i="4"/>
  <c r="AM782" i="4"/>
  <c r="AK782" i="4"/>
  <c r="AL782" i="4" s="1"/>
  <c r="B782" i="4"/>
  <c r="AT781" i="4"/>
  <c r="AM781" i="4"/>
  <c r="AK781" i="4"/>
  <c r="AL781" i="4" s="1"/>
  <c r="B781" i="4"/>
  <c r="AT780" i="4"/>
  <c r="AM780" i="4"/>
  <c r="AK780" i="4"/>
  <c r="AL780" i="4" s="1"/>
  <c r="B780" i="4"/>
  <c r="AT779" i="4"/>
  <c r="AM779" i="4"/>
  <c r="AK779" i="4"/>
  <c r="AL779" i="4" s="1"/>
  <c r="B779" i="4"/>
  <c r="AT778" i="4"/>
  <c r="AM778" i="4"/>
  <c r="AK778" i="4"/>
  <c r="AL778" i="4" s="1"/>
  <c r="B778" i="4"/>
  <c r="AT777" i="4"/>
  <c r="AM777" i="4"/>
  <c r="AK777" i="4"/>
  <c r="AL777" i="4" s="1"/>
  <c r="B777" i="4"/>
  <c r="AT776" i="4"/>
  <c r="AM776" i="4"/>
  <c r="AK776" i="4"/>
  <c r="AL776" i="4" s="1"/>
  <c r="B776" i="4"/>
  <c r="AT775" i="4"/>
  <c r="AM775" i="4"/>
  <c r="AK775" i="4"/>
  <c r="AL775" i="4" s="1"/>
  <c r="B775" i="4"/>
  <c r="AT774" i="4"/>
  <c r="AM774" i="4"/>
  <c r="AK774" i="4"/>
  <c r="AL774" i="4" s="1"/>
  <c r="B774" i="4"/>
  <c r="AT773" i="4"/>
  <c r="AM773" i="4"/>
  <c r="AK773" i="4"/>
  <c r="AL773" i="4" s="1"/>
  <c r="B773" i="4"/>
  <c r="AT772" i="4"/>
  <c r="AM772" i="4"/>
  <c r="AK772" i="4"/>
  <c r="AL772" i="4" s="1"/>
  <c r="B772" i="4"/>
  <c r="AT771" i="4"/>
  <c r="AM771" i="4"/>
  <c r="AK771" i="4"/>
  <c r="AL771" i="4" s="1"/>
  <c r="B771" i="4"/>
  <c r="AT770" i="4"/>
  <c r="AM770" i="4"/>
  <c r="AK770" i="4"/>
  <c r="AL770" i="4" s="1"/>
  <c r="B770" i="4"/>
  <c r="AT769" i="4"/>
  <c r="AM769" i="4"/>
  <c r="AK769" i="4"/>
  <c r="AL769" i="4" s="1"/>
  <c r="B769" i="4"/>
  <c r="AT768" i="4"/>
  <c r="AM768" i="4"/>
  <c r="AK768" i="4"/>
  <c r="AL768" i="4" s="1"/>
  <c r="B768" i="4"/>
  <c r="AT767" i="4"/>
  <c r="AM767" i="4"/>
  <c r="AK767" i="4"/>
  <c r="AL767" i="4" s="1"/>
  <c r="B767" i="4"/>
  <c r="AT766" i="4"/>
  <c r="AM766" i="4"/>
  <c r="AK766" i="4"/>
  <c r="AL766" i="4" s="1"/>
  <c r="B766" i="4"/>
  <c r="AT765" i="4"/>
  <c r="AM765" i="4"/>
  <c r="AK765" i="4"/>
  <c r="AL765" i="4" s="1"/>
  <c r="B765" i="4"/>
  <c r="AT764" i="4"/>
  <c r="AM764" i="4"/>
  <c r="AL764" i="4"/>
  <c r="AK764" i="4"/>
  <c r="B764" i="4"/>
  <c r="AT763" i="4"/>
  <c r="AM763" i="4"/>
  <c r="AK763" i="4"/>
  <c r="AL763" i="4" s="1"/>
  <c r="B763" i="4"/>
  <c r="AT762" i="4"/>
  <c r="AM762" i="4"/>
  <c r="AK762" i="4"/>
  <c r="AL762" i="4" s="1"/>
  <c r="B762" i="4"/>
  <c r="AT761" i="4"/>
  <c r="AM761" i="4"/>
  <c r="AK761" i="4"/>
  <c r="AL761" i="4" s="1"/>
  <c r="B761" i="4"/>
  <c r="AT760" i="4"/>
  <c r="AM760" i="4"/>
  <c r="AK760" i="4"/>
  <c r="AL760" i="4" s="1"/>
  <c r="B760" i="4"/>
  <c r="AT759" i="4"/>
  <c r="AM759" i="4"/>
  <c r="AK759" i="4"/>
  <c r="AL759" i="4" s="1"/>
  <c r="B759" i="4"/>
  <c r="AT758" i="4"/>
  <c r="AM758" i="4"/>
  <c r="AK758" i="4"/>
  <c r="AL758" i="4" s="1"/>
  <c r="B758" i="4"/>
  <c r="AT757" i="4"/>
  <c r="AM757" i="4"/>
  <c r="AK757" i="4"/>
  <c r="AL757" i="4" s="1"/>
  <c r="B757" i="4"/>
  <c r="AT756" i="4"/>
  <c r="AM756" i="4"/>
  <c r="AL756" i="4"/>
  <c r="AK756" i="4"/>
  <c r="B756" i="4"/>
  <c r="AT755" i="4"/>
  <c r="AM755" i="4"/>
  <c r="AK755" i="4"/>
  <c r="AL755" i="4" s="1"/>
  <c r="B755" i="4"/>
  <c r="AT754" i="4"/>
  <c r="AM754" i="4"/>
  <c r="AK754" i="4"/>
  <c r="AL754" i="4" s="1"/>
  <c r="B754" i="4"/>
  <c r="AT753" i="4"/>
  <c r="AM753" i="4"/>
  <c r="AK753" i="4"/>
  <c r="AL753" i="4" s="1"/>
  <c r="B753" i="4"/>
  <c r="AT752" i="4"/>
  <c r="AM752" i="4"/>
  <c r="AK752" i="4"/>
  <c r="AL752" i="4" s="1"/>
  <c r="B752" i="4"/>
  <c r="AT751" i="4"/>
  <c r="AM751" i="4"/>
  <c r="AK751" i="4"/>
  <c r="AL751" i="4" s="1"/>
  <c r="B751" i="4"/>
  <c r="AT750" i="4"/>
  <c r="AM750" i="4"/>
  <c r="AK750" i="4"/>
  <c r="AL750" i="4" s="1"/>
  <c r="B750" i="4"/>
  <c r="AT749" i="4"/>
  <c r="AM749" i="4"/>
  <c r="AK749" i="4"/>
  <c r="AL749" i="4" s="1"/>
  <c r="B749" i="4"/>
  <c r="AT748" i="4"/>
  <c r="AM748" i="4"/>
  <c r="AK748" i="4"/>
  <c r="AL748" i="4" s="1"/>
  <c r="B748" i="4"/>
  <c r="AT747" i="4"/>
  <c r="AM747" i="4"/>
  <c r="AK747" i="4"/>
  <c r="AL747" i="4" s="1"/>
  <c r="B747" i="4"/>
  <c r="AT746" i="4"/>
  <c r="AM746" i="4"/>
  <c r="AK746" i="4"/>
  <c r="AL746" i="4" s="1"/>
  <c r="B746" i="4"/>
  <c r="AT745" i="4"/>
  <c r="AM745" i="4"/>
  <c r="AK745" i="4"/>
  <c r="AL745" i="4" s="1"/>
  <c r="B745" i="4"/>
  <c r="AT744" i="4"/>
  <c r="AM744" i="4"/>
  <c r="AK744" i="4"/>
  <c r="AL744" i="4" s="1"/>
  <c r="B744" i="4"/>
  <c r="AT743" i="4"/>
  <c r="AK743" i="4"/>
  <c r="AL743" i="4" s="1"/>
  <c r="B743" i="4"/>
  <c r="AT742" i="4"/>
  <c r="AM742" i="4"/>
  <c r="AK742" i="4"/>
  <c r="AL742" i="4" s="1"/>
  <c r="B742" i="4"/>
  <c r="AT741" i="4"/>
  <c r="AM741" i="4"/>
  <c r="AK741" i="4"/>
  <c r="AL741" i="4" s="1"/>
  <c r="B741" i="4"/>
  <c r="AT740" i="4"/>
  <c r="AM740" i="4"/>
  <c r="AK740" i="4"/>
  <c r="AL740" i="4" s="1"/>
  <c r="B740" i="4"/>
  <c r="AT739" i="4"/>
  <c r="AM739" i="4"/>
  <c r="AK739" i="4"/>
  <c r="AL739" i="4" s="1"/>
  <c r="B739" i="4"/>
  <c r="AT738" i="4"/>
  <c r="AM738" i="4"/>
  <c r="AK738" i="4"/>
  <c r="AL738" i="4" s="1"/>
  <c r="B738" i="4"/>
  <c r="AT737" i="4"/>
  <c r="AM737" i="4"/>
  <c r="AK737" i="4"/>
  <c r="AL737" i="4" s="1"/>
  <c r="B737" i="4"/>
  <c r="AT736" i="4"/>
  <c r="AM736" i="4"/>
  <c r="AK736" i="4"/>
  <c r="AL736" i="4" s="1"/>
  <c r="B736" i="4"/>
  <c r="AT735" i="4"/>
  <c r="AM735" i="4"/>
  <c r="AK735" i="4"/>
  <c r="AL735" i="4" s="1"/>
  <c r="B735" i="4"/>
  <c r="AT734" i="4"/>
  <c r="AM734" i="4"/>
  <c r="AK734" i="4"/>
  <c r="AL734" i="4" s="1"/>
  <c r="B734" i="4"/>
  <c r="AT733" i="4"/>
  <c r="AM733" i="4"/>
  <c r="AK733" i="4"/>
  <c r="AL733" i="4" s="1"/>
  <c r="B733" i="4"/>
  <c r="AT732" i="4"/>
  <c r="AM732" i="4"/>
  <c r="AK732" i="4"/>
  <c r="AL732" i="4" s="1"/>
  <c r="B732" i="4"/>
  <c r="AT731" i="4"/>
  <c r="AM731" i="4"/>
  <c r="AK731" i="4"/>
  <c r="AL731" i="4" s="1"/>
  <c r="B731" i="4"/>
  <c r="AT730" i="4"/>
  <c r="AM730" i="4"/>
  <c r="AK730" i="4"/>
  <c r="AL730" i="4" s="1"/>
  <c r="B730" i="4"/>
  <c r="AT729" i="4"/>
  <c r="AM729" i="4"/>
  <c r="AK729" i="4"/>
  <c r="AL729" i="4" s="1"/>
  <c r="B729" i="4"/>
  <c r="AT728" i="4"/>
  <c r="AM728" i="4"/>
  <c r="AK728" i="4"/>
  <c r="AL728" i="4" s="1"/>
  <c r="B728" i="4"/>
  <c r="AT727" i="4"/>
  <c r="AM727" i="4"/>
  <c r="AK727" i="4"/>
  <c r="AL727" i="4" s="1"/>
  <c r="B727" i="4"/>
  <c r="AT726" i="4"/>
  <c r="AM726" i="4"/>
  <c r="AK726" i="4"/>
  <c r="AL726" i="4" s="1"/>
  <c r="B726" i="4"/>
  <c r="AT725" i="4"/>
  <c r="AM725" i="4"/>
  <c r="AK725" i="4"/>
  <c r="AL725" i="4" s="1"/>
  <c r="B725" i="4"/>
  <c r="AT724" i="4"/>
  <c r="AM724" i="4"/>
  <c r="AL724" i="4"/>
  <c r="AK724" i="4"/>
  <c r="B724" i="4"/>
  <c r="AT723" i="4"/>
  <c r="AM723" i="4"/>
  <c r="AK723" i="4"/>
  <c r="AL723" i="4" s="1"/>
  <c r="B723" i="4"/>
  <c r="AT722" i="4"/>
  <c r="AM722" i="4"/>
  <c r="AK722" i="4"/>
  <c r="AL722" i="4" s="1"/>
  <c r="B722" i="4"/>
  <c r="AT721" i="4"/>
  <c r="AM721" i="4"/>
  <c r="AK721" i="4"/>
  <c r="AL721" i="4" s="1"/>
  <c r="B721" i="4"/>
  <c r="AT720" i="4"/>
  <c r="AM720" i="4"/>
  <c r="AK720" i="4"/>
  <c r="AL720" i="4" s="1"/>
  <c r="B720" i="4"/>
  <c r="AM719" i="4"/>
  <c r="AK719" i="4"/>
  <c r="B719" i="4"/>
  <c r="AT718" i="4"/>
  <c r="AM718" i="4"/>
  <c r="AK718" i="4"/>
  <c r="AL718" i="4" s="1"/>
  <c r="B718" i="4"/>
  <c r="AT717" i="4"/>
  <c r="AM717" i="4"/>
  <c r="AK717" i="4"/>
  <c r="AL717" i="4" s="1"/>
  <c r="B717" i="4"/>
  <c r="AT716" i="4"/>
  <c r="AM716" i="4"/>
  <c r="AK716" i="4"/>
  <c r="AL716" i="4" s="1"/>
  <c r="B716" i="4"/>
  <c r="AT715" i="4"/>
  <c r="AM715" i="4"/>
  <c r="AK715" i="4"/>
  <c r="AL715" i="4" s="1"/>
  <c r="B715" i="4"/>
  <c r="AT714" i="4"/>
  <c r="AM714" i="4"/>
  <c r="AL714" i="4"/>
  <c r="AK714" i="4"/>
  <c r="B714" i="4"/>
  <c r="AT713" i="4"/>
  <c r="AM713" i="4"/>
  <c r="AK713" i="4"/>
  <c r="AL713" i="4" s="1"/>
  <c r="B713" i="4"/>
  <c r="AT712" i="4"/>
  <c r="AM712" i="4"/>
  <c r="AK712" i="4"/>
  <c r="AL712" i="4" s="1"/>
  <c r="B712" i="4"/>
  <c r="AT711" i="4"/>
  <c r="AM711" i="4"/>
  <c r="AK711" i="4"/>
  <c r="AL711" i="4" s="1"/>
  <c r="B711" i="4"/>
  <c r="AT710" i="4"/>
  <c r="AM710" i="4"/>
  <c r="AK710" i="4"/>
  <c r="AL710" i="4" s="1"/>
  <c r="B710" i="4"/>
  <c r="AM709" i="4"/>
  <c r="AK709" i="4"/>
  <c r="B709" i="4"/>
  <c r="AT708" i="4"/>
  <c r="AM708" i="4"/>
  <c r="AK708" i="4"/>
  <c r="AL708" i="4" s="1"/>
  <c r="B708" i="4"/>
  <c r="AT707" i="4"/>
  <c r="AM707" i="4"/>
  <c r="AK707" i="4"/>
  <c r="AL707" i="4" s="1"/>
  <c r="B707" i="4"/>
  <c r="AT706" i="4"/>
  <c r="AM706" i="4"/>
  <c r="AK706" i="4"/>
  <c r="AL706" i="4" s="1"/>
  <c r="B706" i="4"/>
  <c r="AT705" i="4"/>
  <c r="AM705" i="4"/>
  <c r="AK705" i="4"/>
  <c r="AL705" i="4" s="1"/>
  <c r="B705" i="4"/>
  <c r="AT704" i="4"/>
  <c r="AM704" i="4"/>
  <c r="AL704" i="4"/>
  <c r="AK704" i="4"/>
  <c r="B704" i="4"/>
  <c r="AT703" i="4"/>
  <c r="AM703" i="4"/>
  <c r="AK703" i="4"/>
  <c r="AL703" i="4" s="1"/>
  <c r="B703" i="4"/>
  <c r="AT702" i="4"/>
  <c r="AL702" i="4"/>
  <c r="AK702" i="4"/>
  <c r="AM702" i="4" s="1"/>
  <c r="B702" i="4"/>
  <c r="AT701" i="4"/>
  <c r="AM701" i="4"/>
  <c r="AK701" i="4"/>
  <c r="AL701" i="4" s="1"/>
  <c r="N701" i="4"/>
  <c r="B701" i="4"/>
  <c r="AT700" i="4"/>
  <c r="AM700" i="4"/>
  <c r="AK700" i="4"/>
  <c r="AL700" i="4" s="1"/>
  <c r="B700" i="4"/>
  <c r="AT699" i="4"/>
  <c r="AM699" i="4"/>
  <c r="AK699" i="4"/>
  <c r="AL699" i="4" s="1"/>
  <c r="B699" i="4"/>
  <c r="AT698" i="4"/>
  <c r="AM698" i="4"/>
  <c r="AK698" i="4"/>
  <c r="AL698" i="4" s="1"/>
  <c r="B698" i="4"/>
  <c r="AT697" i="4"/>
  <c r="AM697" i="4"/>
  <c r="AK697" i="4"/>
  <c r="AL697" i="4" s="1"/>
  <c r="B697" i="4"/>
  <c r="AT696" i="4"/>
  <c r="AK696" i="4"/>
  <c r="AL696" i="4" s="1"/>
  <c r="B696" i="4"/>
  <c r="AT695" i="4"/>
  <c r="AM695" i="4"/>
  <c r="AK695" i="4"/>
  <c r="AL695" i="4" s="1"/>
  <c r="B695" i="4"/>
  <c r="AT694" i="4"/>
  <c r="AK694" i="4"/>
  <c r="AL694" i="4" s="1"/>
  <c r="B694" i="4"/>
  <c r="AT693" i="4"/>
  <c r="AM693" i="4"/>
  <c r="AK693" i="4"/>
  <c r="AL693" i="4" s="1"/>
  <c r="B693" i="4"/>
  <c r="AT692" i="4"/>
  <c r="AM692" i="4"/>
  <c r="AK692" i="4"/>
  <c r="AL692" i="4" s="1"/>
  <c r="B692" i="4"/>
  <c r="AT691" i="4"/>
  <c r="AM691" i="4"/>
  <c r="AL691" i="4"/>
  <c r="AK691" i="4"/>
  <c r="B691" i="4"/>
  <c r="AT690" i="4"/>
  <c r="AM690" i="4"/>
  <c r="AK690" i="4"/>
  <c r="AL690" i="4" s="1"/>
  <c r="B690" i="4"/>
  <c r="AT689" i="4"/>
  <c r="AM689" i="4"/>
  <c r="AK689" i="4"/>
  <c r="AL689" i="4" s="1"/>
  <c r="B689" i="4"/>
  <c r="AT688" i="4"/>
  <c r="AM688" i="4"/>
  <c r="AK688" i="4"/>
  <c r="AL688" i="4" s="1"/>
  <c r="B688" i="4"/>
  <c r="AT687" i="4"/>
  <c r="AK687" i="4"/>
  <c r="AM687" i="4" s="1"/>
  <c r="B687" i="4"/>
  <c r="AT686" i="4"/>
  <c r="AM686" i="4"/>
  <c r="AK686" i="4"/>
  <c r="AL686" i="4" s="1"/>
  <c r="B686" i="4"/>
  <c r="AT685" i="4"/>
  <c r="AM685" i="4"/>
  <c r="AK685" i="4"/>
  <c r="AL685" i="4" s="1"/>
  <c r="B685" i="4"/>
  <c r="AT684" i="4"/>
  <c r="AM684" i="4"/>
  <c r="AK684" i="4"/>
  <c r="AL684" i="4" s="1"/>
  <c r="B684" i="4"/>
  <c r="AT683" i="4"/>
  <c r="AM683" i="4"/>
  <c r="AK683" i="4"/>
  <c r="AL683" i="4" s="1"/>
  <c r="B683" i="4"/>
  <c r="AT682" i="4"/>
  <c r="AM682" i="4"/>
  <c r="AK682" i="4"/>
  <c r="AL682" i="4" s="1"/>
  <c r="B682" i="4"/>
  <c r="AT681" i="4"/>
  <c r="AM681" i="4"/>
  <c r="AL681" i="4"/>
  <c r="AK681" i="4"/>
  <c r="B681" i="4"/>
  <c r="AT680" i="4"/>
  <c r="AM680" i="4"/>
  <c r="AK680" i="4"/>
  <c r="AL680" i="4" s="1"/>
  <c r="B680" i="4"/>
  <c r="AT679" i="4"/>
  <c r="AM679" i="4"/>
  <c r="AK679" i="4"/>
  <c r="AL679" i="4" s="1"/>
  <c r="B679" i="4"/>
  <c r="AT678" i="4"/>
  <c r="AM678" i="4"/>
  <c r="AK678" i="4"/>
  <c r="AL678" i="4" s="1"/>
  <c r="B678" i="4"/>
  <c r="AT677" i="4"/>
  <c r="AM677" i="4"/>
  <c r="AK677" i="4"/>
  <c r="AL677" i="4" s="1"/>
  <c r="B677" i="4"/>
  <c r="AT676" i="4"/>
  <c r="AM676" i="4"/>
  <c r="AK676" i="4"/>
  <c r="AL676" i="4" s="1"/>
  <c r="B676" i="4"/>
  <c r="AT675" i="4"/>
  <c r="AM675" i="4"/>
  <c r="AK675" i="4"/>
  <c r="AL675" i="4" s="1"/>
  <c r="B675" i="4"/>
  <c r="AT674" i="4"/>
  <c r="AM674" i="4"/>
  <c r="AK674" i="4"/>
  <c r="AL674" i="4" s="1"/>
  <c r="B674" i="4"/>
  <c r="AT673" i="4"/>
  <c r="AM673" i="4"/>
  <c r="AL673" i="4"/>
  <c r="AK673" i="4"/>
  <c r="B673" i="4"/>
  <c r="AT672" i="4"/>
  <c r="AM672" i="4"/>
  <c r="AK672" i="4"/>
  <c r="AL672" i="4" s="1"/>
  <c r="B672" i="4"/>
  <c r="AT671" i="4"/>
  <c r="AM671" i="4"/>
  <c r="AK671" i="4"/>
  <c r="AL671" i="4" s="1"/>
  <c r="B671" i="4"/>
  <c r="AT670" i="4"/>
  <c r="AM670" i="4"/>
  <c r="AK670" i="4"/>
  <c r="AL670" i="4" s="1"/>
  <c r="B670" i="4"/>
  <c r="AT669" i="4"/>
  <c r="AM669" i="4"/>
  <c r="AK669" i="4"/>
  <c r="AL669" i="4" s="1"/>
  <c r="B669" i="4"/>
  <c r="AT668" i="4"/>
  <c r="AM668" i="4"/>
  <c r="AK668" i="4"/>
  <c r="AL668" i="4" s="1"/>
  <c r="B668" i="4"/>
  <c r="AT667" i="4"/>
  <c r="AM667" i="4"/>
  <c r="AK667" i="4"/>
  <c r="AL667" i="4" s="1"/>
  <c r="B667" i="4"/>
  <c r="AT666" i="4"/>
  <c r="AM666" i="4"/>
  <c r="AK666" i="4"/>
  <c r="AL666" i="4" s="1"/>
  <c r="B666" i="4"/>
  <c r="AT665" i="4"/>
  <c r="AM665" i="4"/>
  <c r="AK665" i="4"/>
  <c r="AL665" i="4" s="1"/>
  <c r="B665" i="4"/>
  <c r="AT664" i="4"/>
  <c r="AM664" i="4"/>
  <c r="AK664" i="4"/>
  <c r="AL664" i="4" s="1"/>
  <c r="B664" i="4"/>
  <c r="AT663" i="4"/>
  <c r="AM663" i="4"/>
  <c r="AK663" i="4"/>
  <c r="AL663" i="4" s="1"/>
  <c r="B663" i="4"/>
  <c r="AT662" i="4"/>
  <c r="AM662" i="4"/>
  <c r="AK662" i="4"/>
  <c r="AL662" i="4" s="1"/>
  <c r="B662" i="4"/>
  <c r="AT661" i="4"/>
  <c r="AM661" i="4"/>
  <c r="AK661" i="4"/>
  <c r="AL661" i="4" s="1"/>
  <c r="B661" i="4"/>
  <c r="AT660" i="4"/>
  <c r="AK660" i="4"/>
  <c r="AL660" i="4" s="1"/>
  <c r="B660" i="4"/>
  <c r="AT659" i="4"/>
  <c r="AM659" i="4"/>
  <c r="AK659" i="4"/>
  <c r="AL659" i="4" s="1"/>
  <c r="B659" i="4"/>
  <c r="AT658" i="4"/>
  <c r="AM658" i="4"/>
  <c r="AK658" i="4"/>
  <c r="AL658" i="4" s="1"/>
  <c r="B658" i="4"/>
  <c r="AT657" i="4"/>
  <c r="AM657" i="4"/>
  <c r="AK657" i="4"/>
  <c r="AL657" i="4" s="1"/>
  <c r="B657" i="4"/>
  <c r="AT656" i="4"/>
  <c r="AM656" i="4"/>
  <c r="AK656" i="4"/>
  <c r="AL656" i="4" s="1"/>
  <c r="B656" i="4"/>
  <c r="AT655" i="4"/>
  <c r="AM655" i="4"/>
  <c r="AK655" i="4"/>
  <c r="AL655" i="4" s="1"/>
  <c r="B655" i="4"/>
  <c r="AT654" i="4"/>
  <c r="AM654" i="4"/>
  <c r="AK654" i="4"/>
  <c r="AL654" i="4" s="1"/>
  <c r="B654" i="4"/>
  <c r="AT653" i="4"/>
  <c r="AM653" i="4"/>
  <c r="AK653" i="4"/>
  <c r="AL653" i="4" s="1"/>
  <c r="B653" i="4"/>
  <c r="AT652" i="4"/>
  <c r="AM652" i="4"/>
  <c r="AK652" i="4"/>
  <c r="AL652" i="4" s="1"/>
  <c r="B652" i="4"/>
  <c r="AT651" i="4"/>
  <c r="AM651" i="4"/>
  <c r="AK651" i="4"/>
  <c r="AL651" i="4" s="1"/>
  <c r="B651" i="4"/>
  <c r="AT650" i="4"/>
  <c r="AM650" i="4"/>
  <c r="AK650" i="4"/>
  <c r="AL650" i="4" s="1"/>
  <c r="B650" i="4"/>
  <c r="AT649" i="4"/>
  <c r="AM649" i="4"/>
  <c r="AK649" i="4"/>
  <c r="AL649" i="4" s="1"/>
  <c r="B649" i="4"/>
  <c r="AT648" i="4"/>
  <c r="AM648" i="4"/>
  <c r="AK648" i="4"/>
  <c r="AL648" i="4" s="1"/>
  <c r="B648" i="4"/>
  <c r="AT647" i="4"/>
  <c r="AM647" i="4"/>
  <c r="AK647" i="4"/>
  <c r="AL647" i="4" s="1"/>
  <c r="B647" i="4"/>
  <c r="AT646" i="4"/>
  <c r="AM646" i="4"/>
  <c r="AK646" i="4"/>
  <c r="AL646" i="4" s="1"/>
  <c r="B646" i="4"/>
  <c r="AT645" i="4"/>
  <c r="AM645" i="4"/>
  <c r="AK645" i="4"/>
  <c r="AL645" i="4" s="1"/>
  <c r="B645" i="4"/>
  <c r="AT644" i="4"/>
  <c r="AM644" i="4"/>
  <c r="AK644" i="4"/>
  <c r="AL644" i="4" s="1"/>
  <c r="B644" i="4"/>
  <c r="AT643" i="4"/>
  <c r="AM643" i="4"/>
  <c r="AK643" i="4"/>
  <c r="AL643" i="4" s="1"/>
  <c r="B643" i="4"/>
  <c r="AT642" i="4"/>
  <c r="AM642" i="4"/>
  <c r="AK642" i="4"/>
  <c r="AL642" i="4" s="1"/>
  <c r="B642" i="4"/>
  <c r="AT641" i="4"/>
  <c r="AM641" i="4"/>
  <c r="AK641" i="4"/>
  <c r="AL641" i="4" s="1"/>
  <c r="B641" i="4"/>
  <c r="AT640" i="4"/>
  <c r="AM640" i="4"/>
  <c r="AK640" i="4"/>
  <c r="AL640" i="4" s="1"/>
  <c r="B640" i="4"/>
  <c r="AT639" i="4"/>
  <c r="AM639" i="4"/>
  <c r="AL639" i="4"/>
  <c r="AK639" i="4"/>
  <c r="B639" i="4"/>
  <c r="AT638" i="4"/>
  <c r="AM638" i="4"/>
  <c r="AK638" i="4"/>
  <c r="AL638" i="4" s="1"/>
  <c r="B638" i="4"/>
  <c r="AT637" i="4"/>
  <c r="AM637" i="4"/>
  <c r="AK637" i="4"/>
  <c r="AL637" i="4" s="1"/>
  <c r="B637" i="4"/>
  <c r="AT636" i="4"/>
  <c r="AM636" i="4"/>
  <c r="AK636" i="4"/>
  <c r="AL636" i="4" s="1"/>
  <c r="B636" i="4"/>
  <c r="AT635" i="4"/>
  <c r="AM635" i="4"/>
  <c r="AK635" i="4"/>
  <c r="AL635" i="4" s="1"/>
  <c r="B635" i="4"/>
  <c r="AT634" i="4"/>
  <c r="AM634" i="4"/>
  <c r="AK634" i="4"/>
  <c r="AL634" i="4" s="1"/>
  <c r="B634" i="4"/>
  <c r="AT633" i="4"/>
  <c r="AM633" i="4"/>
  <c r="AK633" i="4"/>
  <c r="AL633" i="4" s="1"/>
  <c r="B633" i="4"/>
  <c r="AT632" i="4"/>
  <c r="AM632" i="4"/>
  <c r="AK632" i="4"/>
  <c r="AL632" i="4" s="1"/>
  <c r="B632" i="4"/>
  <c r="AT631" i="4"/>
  <c r="AM631" i="4"/>
  <c r="AL631" i="4"/>
  <c r="AK631" i="4"/>
  <c r="B631" i="4"/>
  <c r="AT630" i="4"/>
  <c r="AM630" i="4"/>
  <c r="AK630" i="4"/>
  <c r="AL630" i="4" s="1"/>
  <c r="B630" i="4"/>
  <c r="AT629" i="4"/>
  <c r="AM629" i="4"/>
  <c r="AK629" i="4"/>
  <c r="AL629" i="4" s="1"/>
  <c r="B629" i="4"/>
  <c r="AT628" i="4"/>
  <c r="AM628" i="4"/>
  <c r="AK628" i="4"/>
  <c r="AL628" i="4" s="1"/>
  <c r="B628" i="4"/>
  <c r="AT627" i="4"/>
  <c r="AM627" i="4"/>
  <c r="AK627" i="4"/>
  <c r="AL627" i="4" s="1"/>
  <c r="B627" i="4"/>
  <c r="AT626" i="4"/>
  <c r="AM626" i="4"/>
  <c r="AK626" i="4"/>
  <c r="AL626" i="4" s="1"/>
  <c r="B626" i="4"/>
  <c r="AT625" i="4"/>
  <c r="AM625" i="4"/>
  <c r="AK625" i="4"/>
  <c r="AL625" i="4" s="1"/>
  <c r="B625" i="4"/>
  <c r="AT624" i="4"/>
  <c r="AM624" i="4"/>
  <c r="AK624" i="4"/>
  <c r="AL624" i="4" s="1"/>
  <c r="B624" i="4"/>
  <c r="AT623" i="4"/>
  <c r="AM623" i="4"/>
  <c r="AK623" i="4"/>
  <c r="AL623" i="4" s="1"/>
  <c r="B623" i="4"/>
  <c r="AT622" i="4"/>
  <c r="AM622" i="4"/>
  <c r="AK622" i="4"/>
  <c r="AL622" i="4" s="1"/>
  <c r="B622" i="4"/>
  <c r="AT621" i="4"/>
  <c r="AM621" i="4"/>
  <c r="AK621" i="4"/>
  <c r="AL621" i="4" s="1"/>
  <c r="B621" i="4"/>
  <c r="AT620" i="4"/>
  <c r="AM620" i="4"/>
  <c r="AK620" i="4"/>
  <c r="AL620" i="4" s="1"/>
  <c r="B620" i="4"/>
  <c r="AT619" i="4"/>
  <c r="AM619" i="4"/>
  <c r="AK619" i="4"/>
  <c r="AL619" i="4" s="1"/>
  <c r="B619" i="4"/>
  <c r="AT618" i="4"/>
  <c r="AM618" i="4"/>
  <c r="AK618" i="4"/>
  <c r="AL618" i="4" s="1"/>
  <c r="B618" i="4"/>
  <c r="AT617" i="4"/>
  <c r="AM617" i="4"/>
  <c r="AK617" i="4"/>
  <c r="AL617" i="4" s="1"/>
  <c r="B617" i="4"/>
  <c r="AT616" i="4"/>
  <c r="AM616" i="4"/>
  <c r="AK616" i="4"/>
  <c r="AL616" i="4" s="1"/>
  <c r="B616" i="4"/>
  <c r="AT615" i="4"/>
  <c r="AM615" i="4"/>
  <c r="AK615" i="4"/>
  <c r="AL615" i="4" s="1"/>
  <c r="B615" i="4"/>
  <c r="AT614" i="4"/>
  <c r="AM614" i="4"/>
  <c r="AK614" i="4"/>
  <c r="AL614" i="4" s="1"/>
  <c r="B614" i="4"/>
  <c r="AT613" i="4"/>
  <c r="AM613" i="4"/>
  <c r="AK613" i="4"/>
  <c r="AL613" i="4" s="1"/>
  <c r="B613" i="4"/>
  <c r="AT612" i="4"/>
  <c r="AM612" i="4"/>
  <c r="AK612" i="4"/>
  <c r="AL612" i="4" s="1"/>
  <c r="B612" i="4"/>
  <c r="AT611" i="4"/>
  <c r="AM611" i="4"/>
  <c r="AK611" i="4"/>
  <c r="AL611" i="4" s="1"/>
  <c r="B611" i="4"/>
  <c r="AT610" i="4"/>
  <c r="AM610" i="4"/>
  <c r="AK610" i="4"/>
  <c r="AL610" i="4" s="1"/>
  <c r="B610" i="4"/>
  <c r="AT609" i="4"/>
  <c r="AM609" i="4"/>
  <c r="AK609" i="4"/>
  <c r="AL609" i="4" s="1"/>
  <c r="B609" i="4"/>
  <c r="AT608" i="4"/>
  <c r="AM608" i="4"/>
  <c r="AK608" i="4"/>
  <c r="AL608" i="4" s="1"/>
  <c r="B608" i="4"/>
  <c r="AT607" i="4"/>
  <c r="AM607" i="4"/>
  <c r="AL607" i="4"/>
  <c r="AK607" i="4"/>
  <c r="B607" i="4"/>
  <c r="AT606" i="4"/>
  <c r="AM606" i="4"/>
  <c r="AK606" i="4"/>
  <c r="AL606" i="4" s="1"/>
  <c r="B606" i="4"/>
  <c r="AT605" i="4"/>
  <c r="AM605" i="4"/>
  <c r="AK605" i="4"/>
  <c r="AL605" i="4" s="1"/>
  <c r="B605" i="4"/>
  <c r="AT604" i="4"/>
  <c r="AM604" i="4"/>
  <c r="AK604" i="4"/>
  <c r="AL604" i="4" s="1"/>
  <c r="B604" i="4"/>
  <c r="AT603" i="4"/>
  <c r="AM603" i="4"/>
  <c r="AK603" i="4"/>
  <c r="AL603" i="4" s="1"/>
  <c r="B603" i="4"/>
  <c r="AT602" i="4"/>
  <c r="AM602" i="4"/>
  <c r="AK602" i="4"/>
  <c r="AL602" i="4" s="1"/>
  <c r="B602" i="4"/>
  <c r="AT601" i="4"/>
  <c r="AM601" i="4"/>
  <c r="AK601" i="4"/>
  <c r="AL601" i="4" s="1"/>
  <c r="B601" i="4"/>
  <c r="AT600" i="4"/>
  <c r="AM600" i="4"/>
  <c r="AK600" i="4"/>
  <c r="AL600" i="4" s="1"/>
  <c r="B600" i="4"/>
  <c r="AT599" i="4"/>
  <c r="AM599" i="4"/>
  <c r="AL599" i="4"/>
  <c r="AK599" i="4"/>
  <c r="B599" i="4"/>
  <c r="AT598" i="4"/>
  <c r="AM598" i="4"/>
  <c r="AK598" i="4"/>
  <c r="AL598" i="4" s="1"/>
  <c r="B598" i="4"/>
  <c r="AT597" i="4"/>
  <c r="AM597" i="4"/>
  <c r="AK597" i="4"/>
  <c r="AL597" i="4" s="1"/>
  <c r="B597" i="4"/>
  <c r="AT596" i="4"/>
  <c r="AM596" i="4"/>
  <c r="AK596" i="4"/>
  <c r="AL596" i="4" s="1"/>
  <c r="B596" i="4"/>
  <c r="AT595" i="4"/>
  <c r="AM595" i="4"/>
  <c r="AK595" i="4"/>
  <c r="AL595" i="4" s="1"/>
  <c r="B595" i="4"/>
  <c r="AT594" i="4"/>
  <c r="AM594" i="4"/>
  <c r="AK594" i="4"/>
  <c r="AL594" i="4" s="1"/>
  <c r="B594" i="4"/>
  <c r="AT593" i="4"/>
  <c r="AM593" i="4"/>
  <c r="AK593" i="4"/>
  <c r="AL593" i="4" s="1"/>
  <c r="B593" i="4"/>
  <c r="AT592" i="4"/>
  <c r="AM592" i="4"/>
  <c r="AK592" i="4"/>
  <c r="AL592" i="4" s="1"/>
  <c r="B592" i="4"/>
  <c r="AT591" i="4"/>
  <c r="AM591" i="4"/>
  <c r="AK591" i="4"/>
  <c r="AL591" i="4" s="1"/>
  <c r="B591" i="4"/>
  <c r="AT590" i="4"/>
  <c r="AM590" i="4"/>
  <c r="AK590" i="4"/>
  <c r="AL590" i="4" s="1"/>
  <c r="B590" i="4"/>
  <c r="AT589" i="4"/>
  <c r="AM589" i="4"/>
  <c r="AK589" i="4"/>
  <c r="AL589" i="4" s="1"/>
  <c r="B589" i="4"/>
  <c r="AT588" i="4"/>
  <c r="AM588" i="4"/>
  <c r="AK588" i="4"/>
  <c r="AL588" i="4" s="1"/>
  <c r="B588" i="4"/>
  <c r="AT587" i="4"/>
  <c r="AM587" i="4"/>
  <c r="AK587" i="4"/>
  <c r="AL587" i="4" s="1"/>
  <c r="B587" i="4"/>
  <c r="AT586" i="4"/>
  <c r="AM586" i="4"/>
  <c r="AK586" i="4"/>
  <c r="AL586" i="4" s="1"/>
  <c r="B586" i="4"/>
  <c r="AT585" i="4"/>
  <c r="AM585" i="4"/>
  <c r="AK585" i="4"/>
  <c r="AL585" i="4" s="1"/>
  <c r="B585" i="4"/>
  <c r="AT584" i="4"/>
  <c r="AM584" i="4"/>
  <c r="AK584" i="4"/>
  <c r="AL584" i="4" s="1"/>
  <c r="B584" i="4"/>
  <c r="AT583" i="4"/>
  <c r="AM583" i="4"/>
  <c r="AK583" i="4"/>
  <c r="AL583" i="4" s="1"/>
  <c r="B583" i="4"/>
  <c r="AT582" i="4"/>
  <c r="AM582" i="4"/>
  <c r="AK582" i="4"/>
  <c r="AL582" i="4" s="1"/>
  <c r="B582" i="4"/>
  <c r="AT581" i="4"/>
  <c r="AM581" i="4"/>
  <c r="AK581" i="4"/>
  <c r="AL581" i="4" s="1"/>
  <c r="B581" i="4"/>
  <c r="AT580" i="4"/>
  <c r="AM580" i="4"/>
  <c r="AK580" i="4"/>
  <c r="AL580" i="4" s="1"/>
  <c r="B580" i="4"/>
  <c r="AT579" i="4"/>
  <c r="AM579" i="4"/>
  <c r="AK579" i="4"/>
  <c r="AL579" i="4" s="1"/>
  <c r="B579" i="4"/>
  <c r="AT578" i="4"/>
  <c r="AM578" i="4"/>
  <c r="AK578" i="4"/>
  <c r="AL578" i="4" s="1"/>
  <c r="B578" i="4"/>
  <c r="AT577" i="4"/>
  <c r="AM577" i="4"/>
  <c r="AK577" i="4"/>
  <c r="AL577" i="4" s="1"/>
  <c r="B577" i="4"/>
  <c r="AT576" i="4"/>
  <c r="AM576" i="4"/>
  <c r="AK576" i="4"/>
  <c r="AL576" i="4" s="1"/>
  <c r="B576" i="4"/>
  <c r="AT575" i="4"/>
  <c r="AM575" i="4"/>
  <c r="AL575" i="4"/>
  <c r="AK575" i="4"/>
  <c r="B575" i="4"/>
  <c r="AT574" i="4"/>
  <c r="AM574" i="4"/>
  <c r="AK574" i="4"/>
  <c r="AL574" i="4" s="1"/>
  <c r="B574" i="4"/>
  <c r="AT573" i="4"/>
  <c r="AM573" i="4"/>
  <c r="AK573" i="4"/>
  <c r="AL573" i="4" s="1"/>
  <c r="B573" i="4"/>
  <c r="AT572" i="4"/>
  <c r="AM572" i="4"/>
  <c r="AK572" i="4"/>
  <c r="AL572" i="4" s="1"/>
  <c r="B572" i="4"/>
  <c r="AT571" i="4"/>
  <c r="AM571" i="4"/>
  <c r="AK571" i="4"/>
  <c r="AL571" i="4" s="1"/>
  <c r="B571" i="4"/>
  <c r="AT570" i="4"/>
  <c r="AM570" i="4"/>
  <c r="AK570" i="4"/>
  <c r="AL570" i="4" s="1"/>
  <c r="B570" i="4"/>
  <c r="AT569" i="4"/>
  <c r="AM569" i="4"/>
  <c r="AL569" i="4"/>
  <c r="AK569" i="4"/>
  <c r="B569" i="4"/>
  <c r="AT568" i="4"/>
  <c r="AM568" i="4"/>
  <c r="AK568" i="4"/>
  <c r="AL568" i="4" s="1"/>
  <c r="B568" i="4"/>
  <c r="AT567" i="4"/>
  <c r="AM567" i="4"/>
  <c r="AK567" i="4"/>
  <c r="AL567" i="4" s="1"/>
  <c r="B567" i="4"/>
  <c r="AT566" i="4"/>
  <c r="AM566" i="4"/>
  <c r="AK566" i="4"/>
  <c r="AL566" i="4" s="1"/>
  <c r="B566" i="4"/>
  <c r="AT565" i="4"/>
  <c r="AM565" i="4"/>
  <c r="AK565" i="4"/>
  <c r="AL565" i="4" s="1"/>
  <c r="B565" i="4"/>
  <c r="AT564" i="4"/>
  <c r="AM564" i="4"/>
  <c r="AK564" i="4"/>
  <c r="AL564" i="4" s="1"/>
  <c r="B564" i="4"/>
  <c r="AT563" i="4"/>
  <c r="AM563" i="4"/>
  <c r="AK563" i="4"/>
  <c r="AL563" i="4" s="1"/>
  <c r="B563" i="4"/>
  <c r="AT562" i="4"/>
  <c r="AM562" i="4"/>
  <c r="AK562" i="4"/>
  <c r="AL562" i="4" s="1"/>
  <c r="B562" i="4"/>
  <c r="AT561" i="4"/>
  <c r="AM561" i="4"/>
  <c r="AK561" i="4"/>
  <c r="AL561" i="4" s="1"/>
  <c r="B561" i="4"/>
  <c r="AT560" i="4"/>
  <c r="AM560" i="4"/>
  <c r="AK560" i="4"/>
  <c r="AL560" i="4" s="1"/>
  <c r="B560" i="4"/>
  <c r="AT559" i="4"/>
  <c r="AM559" i="4"/>
  <c r="AK559" i="4"/>
  <c r="AL559" i="4" s="1"/>
  <c r="B559" i="4"/>
  <c r="AT558" i="4"/>
  <c r="AM558" i="4"/>
  <c r="AK558" i="4"/>
  <c r="AL558" i="4" s="1"/>
  <c r="B558" i="4"/>
  <c r="AT557" i="4"/>
  <c r="AM557" i="4"/>
  <c r="AK557" i="4"/>
  <c r="AL557" i="4" s="1"/>
  <c r="B557" i="4"/>
  <c r="AT556" i="4"/>
  <c r="AM556" i="4"/>
  <c r="AK556" i="4"/>
  <c r="AL556" i="4" s="1"/>
  <c r="B556" i="4"/>
  <c r="AT555" i="4"/>
  <c r="AM555" i="4"/>
  <c r="AK555" i="4"/>
  <c r="AL555" i="4" s="1"/>
  <c r="B555" i="4"/>
  <c r="AT554" i="4"/>
  <c r="AM554" i="4"/>
  <c r="AK554" i="4"/>
  <c r="AL554" i="4" s="1"/>
  <c r="B554" i="4"/>
  <c r="AT553" i="4"/>
  <c r="AM553" i="4"/>
  <c r="AK553" i="4"/>
  <c r="AL553" i="4" s="1"/>
  <c r="B553" i="4"/>
  <c r="AT552" i="4"/>
  <c r="AM552" i="4"/>
  <c r="AK552" i="4"/>
  <c r="AL552" i="4" s="1"/>
  <c r="B552" i="4"/>
  <c r="AT551" i="4"/>
  <c r="AM551" i="4"/>
  <c r="AK551" i="4"/>
  <c r="AL551" i="4" s="1"/>
  <c r="B551" i="4"/>
  <c r="AT550" i="4"/>
  <c r="AM550" i="4"/>
  <c r="AK550" i="4"/>
  <c r="AL550" i="4" s="1"/>
  <c r="B550" i="4"/>
  <c r="AT549" i="4"/>
  <c r="AM549" i="4"/>
  <c r="AK549" i="4"/>
  <c r="AL549" i="4" s="1"/>
  <c r="B549" i="4"/>
  <c r="AT548" i="4"/>
  <c r="AM548" i="4"/>
  <c r="AK548" i="4"/>
  <c r="AL548" i="4" s="1"/>
  <c r="B548" i="4"/>
  <c r="AT547" i="4"/>
  <c r="AM547" i="4"/>
  <c r="AK547" i="4"/>
  <c r="AL547" i="4" s="1"/>
  <c r="B547" i="4"/>
  <c r="AT546" i="4"/>
  <c r="AM546" i="4"/>
  <c r="AK546" i="4"/>
  <c r="AL546" i="4" s="1"/>
  <c r="B546" i="4"/>
  <c r="AT545" i="4"/>
  <c r="AM545" i="4"/>
  <c r="AK545" i="4"/>
  <c r="AL545" i="4" s="1"/>
  <c r="B545" i="4"/>
  <c r="AT544" i="4"/>
  <c r="AM544" i="4"/>
  <c r="AK544" i="4"/>
  <c r="AL544" i="4" s="1"/>
  <c r="B544" i="4"/>
  <c r="AT543" i="4"/>
  <c r="AM543" i="4"/>
  <c r="AL543" i="4"/>
  <c r="AK543" i="4"/>
  <c r="B543" i="4"/>
  <c r="AT542" i="4"/>
  <c r="AM542" i="4"/>
  <c r="AK542" i="4"/>
  <c r="AL542" i="4" s="1"/>
  <c r="B542" i="4"/>
  <c r="AT541" i="4"/>
  <c r="AM541" i="4"/>
  <c r="AK541" i="4"/>
  <c r="AL541" i="4" s="1"/>
  <c r="B541" i="4"/>
  <c r="AT540" i="4"/>
  <c r="AM540" i="4"/>
  <c r="AK540" i="4"/>
  <c r="AL540" i="4" s="1"/>
  <c r="B540" i="4"/>
  <c r="AT539" i="4"/>
  <c r="AM539" i="4"/>
  <c r="AK539" i="4"/>
  <c r="AL539" i="4" s="1"/>
  <c r="B539" i="4"/>
  <c r="AT538" i="4"/>
  <c r="AM538" i="4"/>
  <c r="AK538" i="4"/>
  <c r="AL538" i="4" s="1"/>
  <c r="B538" i="4"/>
  <c r="AT537" i="4"/>
  <c r="AM537" i="4"/>
  <c r="AL537" i="4"/>
  <c r="AK537" i="4"/>
  <c r="B537" i="4"/>
  <c r="AT536" i="4"/>
  <c r="AM536" i="4"/>
  <c r="AK536" i="4"/>
  <c r="AL536" i="4" s="1"/>
  <c r="B536" i="4"/>
  <c r="AT535" i="4"/>
  <c r="AM535" i="4"/>
  <c r="AK535" i="4"/>
  <c r="AL535" i="4" s="1"/>
  <c r="B535" i="4"/>
  <c r="AT534" i="4"/>
  <c r="AM534" i="4"/>
  <c r="AK534" i="4"/>
  <c r="AL534" i="4" s="1"/>
  <c r="B534" i="4"/>
  <c r="AT533" i="4"/>
  <c r="AM533" i="4"/>
  <c r="AK533" i="4"/>
  <c r="AL533" i="4" s="1"/>
  <c r="B533" i="4"/>
  <c r="AT532" i="4"/>
  <c r="AM532" i="4"/>
  <c r="AK532" i="4"/>
  <c r="AL532" i="4" s="1"/>
  <c r="B532" i="4"/>
  <c r="AT531" i="4"/>
  <c r="AM531" i="4"/>
  <c r="AK531" i="4"/>
  <c r="AL531" i="4" s="1"/>
  <c r="B531" i="4"/>
  <c r="AT530" i="4"/>
  <c r="AM530" i="4"/>
  <c r="AK530" i="4"/>
  <c r="AL530" i="4" s="1"/>
  <c r="B530" i="4"/>
  <c r="AT529" i="4"/>
  <c r="AM529" i="4"/>
  <c r="AK529" i="4"/>
  <c r="AL529" i="4" s="1"/>
  <c r="B529" i="4"/>
  <c r="AT528" i="4"/>
  <c r="AM528" i="4"/>
  <c r="AK528" i="4"/>
  <c r="AL528" i="4" s="1"/>
  <c r="B528" i="4"/>
  <c r="AT527" i="4"/>
  <c r="AM527" i="4"/>
  <c r="AK527" i="4"/>
  <c r="AL527" i="4" s="1"/>
  <c r="B527" i="4"/>
  <c r="AT526" i="4"/>
  <c r="AM526" i="4"/>
  <c r="AK526" i="4"/>
  <c r="AL526" i="4" s="1"/>
  <c r="B526" i="4"/>
  <c r="AT525" i="4"/>
  <c r="AM525" i="4"/>
  <c r="AK525" i="4"/>
  <c r="AL525" i="4" s="1"/>
  <c r="B525" i="4"/>
  <c r="AT524" i="4"/>
  <c r="AM524" i="4"/>
  <c r="AK524" i="4"/>
  <c r="AL524" i="4" s="1"/>
  <c r="B524" i="4"/>
  <c r="AT523" i="4"/>
  <c r="AM523" i="4"/>
  <c r="AK523" i="4"/>
  <c r="AL523" i="4" s="1"/>
  <c r="B523" i="4"/>
  <c r="AT522" i="4"/>
  <c r="AM522" i="4"/>
  <c r="AK522" i="4"/>
  <c r="AL522" i="4" s="1"/>
  <c r="B522" i="4"/>
  <c r="AT521" i="4"/>
  <c r="AM521" i="4"/>
  <c r="AK521" i="4"/>
  <c r="AL521" i="4" s="1"/>
  <c r="B521" i="4"/>
  <c r="AT520" i="4"/>
  <c r="AM520" i="4"/>
  <c r="AK520" i="4"/>
  <c r="AL520" i="4" s="1"/>
  <c r="B520" i="4"/>
  <c r="AT519" i="4"/>
  <c r="AM519" i="4"/>
  <c r="AK519" i="4"/>
  <c r="AL519" i="4" s="1"/>
  <c r="B519" i="4"/>
  <c r="AT518" i="4"/>
  <c r="AM518" i="4"/>
  <c r="AK518" i="4"/>
  <c r="AL518" i="4" s="1"/>
  <c r="B518" i="4"/>
  <c r="AT517" i="4"/>
  <c r="AM517" i="4"/>
  <c r="AK517" i="4"/>
  <c r="AL517" i="4" s="1"/>
  <c r="B517" i="4"/>
  <c r="AT516" i="4"/>
  <c r="AM516" i="4"/>
  <c r="AK516" i="4"/>
  <c r="AL516" i="4" s="1"/>
  <c r="B516" i="4"/>
  <c r="AT515" i="4"/>
  <c r="AM515" i="4"/>
  <c r="AK515" i="4"/>
  <c r="AL515" i="4" s="1"/>
  <c r="B515" i="4"/>
  <c r="AT514" i="4"/>
  <c r="AM514" i="4"/>
  <c r="AK514" i="4"/>
  <c r="AL514" i="4" s="1"/>
  <c r="B514" i="4"/>
  <c r="AT513" i="4"/>
  <c r="AM513" i="4"/>
  <c r="AK513" i="4"/>
  <c r="AL513" i="4" s="1"/>
  <c r="B513" i="4"/>
  <c r="AT512" i="4"/>
  <c r="AM512" i="4"/>
  <c r="AK512" i="4"/>
  <c r="AL512" i="4" s="1"/>
  <c r="B512" i="4"/>
  <c r="AT511" i="4"/>
  <c r="AM511" i="4"/>
  <c r="AL511" i="4"/>
  <c r="AK511" i="4"/>
  <c r="B511" i="4"/>
  <c r="AT510" i="4"/>
  <c r="AM510" i="4"/>
  <c r="AK510" i="4"/>
  <c r="AL510" i="4" s="1"/>
  <c r="B510" i="4"/>
  <c r="AT509" i="4"/>
  <c r="AM509" i="4"/>
  <c r="AK509" i="4"/>
  <c r="AL509" i="4" s="1"/>
  <c r="B509" i="4"/>
  <c r="AT508" i="4"/>
  <c r="AM508" i="4"/>
  <c r="AK508" i="4"/>
  <c r="AL508" i="4" s="1"/>
  <c r="B508" i="4"/>
  <c r="AT507" i="4"/>
  <c r="AM507" i="4"/>
  <c r="AK507" i="4"/>
  <c r="AL507" i="4" s="1"/>
  <c r="B507" i="4"/>
  <c r="AT506" i="4"/>
  <c r="AM506" i="4"/>
  <c r="AK506" i="4"/>
  <c r="AL506" i="4" s="1"/>
  <c r="B506" i="4"/>
  <c r="AT505" i="4"/>
  <c r="AM505" i="4"/>
  <c r="AL505" i="4"/>
  <c r="AK505" i="4"/>
  <c r="B505" i="4"/>
  <c r="AT504" i="4"/>
  <c r="AM504" i="4"/>
  <c r="AK504" i="4"/>
  <c r="AL504" i="4" s="1"/>
  <c r="B504" i="4"/>
  <c r="AT503" i="4"/>
  <c r="AM503" i="4"/>
  <c r="AK503" i="4"/>
  <c r="AL503" i="4" s="1"/>
  <c r="B503" i="4"/>
  <c r="AT502" i="4"/>
  <c r="AM502" i="4"/>
  <c r="AK502" i="4"/>
  <c r="AL502" i="4" s="1"/>
  <c r="B502" i="4"/>
  <c r="AT501" i="4"/>
  <c r="AM501" i="4"/>
  <c r="AK501" i="4"/>
  <c r="AL501" i="4" s="1"/>
  <c r="B501" i="4"/>
  <c r="AT500" i="4"/>
  <c r="AM500" i="4"/>
  <c r="AK500" i="4"/>
  <c r="AL500" i="4" s="1"/>
  <c r="B500" i="4"/>
  <c r="AT499" i="4"/>
  <c r="AK499" i="4"/>
  <c r="AM499" i="4" s="1"/>
  <c r="B499" i="4"/>
  <c r="AM498" i="4"/>
  <c r="AK498" i="4"/>
  <c r="AT498" i="4" s="1"/>
  <c r="B498" i="4"/>
  <c r="AT497" i="4"/>
  <c r="AM497" i="4"/>
  <c r="AK497" i="4"/>
  <c r="AL497" i="4" s="1"/>
  <c r="B497" i="4"/>
  <c r="AT496" i="4"/>
  <c r="AM496" i="4"/>
  <c r="AK496" i="4"/>
  <c r="AL496" i="4" s="1"/>
  <c r="B496" i="4"/>
  <c r="AT495" i="4"/>
  <c r="AM495" i="4"/>
  <c r="AK495" i="4"/>
  <c r="AL495" i="4" s="1"/>
  <c r="B495" i="4"/>
  <c r="AT494" i="4"/>
  <c r="AM494" i="4"/>
  <c r="AL494" i="4"/>
  <c r="AK494" i="4"/>
  <c r="B494" i="4"/>
  <c r="AT493" i="4"/>
  <c r="AM493" i="4"/>
  <c r="AK493" i="4"/>
  <c r="AL493" i="4" s="1"/>
  <c r="B493" i="4"/>
  <c r="AT492" i="4"/>
  <c r="AM492" i="4"/>
  <c r="AK492" i="4"/>
  <c r="AL492" i="4" s="1"/>
  <c r="B492" i="4"/>
  <c r="AT491" i="4"/>
  <c r="AM491" i="4"/>
  <c r="AK491" i="4"/>
  <c r="AL491" i="4" s="1"/>
  <c r="B491" i="4"/>
  <c r="AT490" i="4"/>
  <c r="AM490" i="4"/>
  <c r="AK490" i="4"/>
  <c r="AL490" i="4" s="1"/>
  <c r="B490" i="4"/>
  <c r="AT489" i="4"/>
  <c r="AM489" i="4"/>
  <c r="AK489" i="4"/>
  <c r="AL489" i="4" s="1"/>
  <c r="B489" i="4"/>
  <c r="AT488" i="4"/>
  <c r="AM488" i="4"/>
  <c r="AK488" i="4"/>
  <c r="AL488" i="4" s="1"/>
  <c r="B488" i="4"/>
  <c r="AT487" i="4"/>
  <c r="AM487" i="4"/>
  <c r="AK487" i="4"/>
  <c r="AL487" i="4" s="1"/>
  <c r="B487" i="4"/>
  <c r="AT486" i="4"/>
  <c r="AM486" i="4"/>
  <c r="AK486" i="4"/>
  <c r="AL486" i="4" s="1"/>
  <c r="B486" i="4"/>
  <c r="AT485" i="4"/>
  <c r="AM485" i="4"/>
  <c r="AL485" i="4"/>
  <c r="AK485" i="4"/>
  <c r="B485" i="4"/>
  <c r="AT484" i="4"/>
  <c r="AM484" i="4"/>
  <c r="AK484" i="4"/>
  <c r="AL484" i="4" s="1"/>
  <c r="B484" i="4"/>
  <c r="AT483" i="4"/>
  <c r="AM483" i="4"/>
  <c r="AK483" i="4"/>
  <c r="AL483" i="4" s="1"/>
  <c r="B483" i="4"/>
  <c r="AT482" i="4"/>
  <c r="AM482" i="4"/>
  <c r="AK482" i="4"/>
  <c r="AL482" i="4" s="1"/>
  <c r="B482" i="4"/>
  <c r="AT481" i="4"/>
  <c r="AM481" i="4"/>
  <c r="AK481" i="4"/>
  <c r="AL481" i="4" s="1"/>
  <c r="B481" i="4"/>
  <c r="AT480" i="4"/>
  <c r="AM480" i="4"/>
  <c r="AK480" i="4"/>
  <c r="AL480" i="4" s="1"/>
  <c r="B480" i="4"/>
  <c r="AT479" i="4"/>
  <c r="AM479" i="4"/>
  <c r="AK479" i="4"/>
  <c r="AL479" i="4" s="1"/>
  <c r="B479" i="4"/>
  <c r="AT478" i="4"/>
  <c r="AM478" i="4"/>
  <c r="AK478" i="4"/>
  <c r="AL478" i="4" s="1"/>
  <c r="B478" i="4"/>
  <c r="AT477" i="4"/>
  <c r="AM477" i="4"/>
  <c r="AK477" i="4"/>
  <c r="AL477" i="4" s="1"/>
  <c r="B477" i="4"/>
  <c r="AT476" i="4"/>
  <c r="AM476" i="4"/>
  <c r="AK476" i="4"/>
  <c r="AL476" i="4" s="1"/>
  <c r="B476" i="4"/>
  <c r="AT475" i="4"/>
  <c r="AM475" i="4"/>
  <c r="AK475" i="4"/>
  <c r="AL475" i="4" s="1"/>
  <c r="B475" i="4"/>
  <c r="AT474" i="4"/>
  <c r="AM474" i="4"/>
  <c r="AK474" i="4"/>
  <c r="AL474" i="4" s="1"/>
  <c r="B474" i="4"/>
  <c r="AT473" i="4"/>
  <c r="AM473" i="4"/>
  <c r="AK473" i="4"/>
  <c r="AL473" i="4" s="1"/>
  <c r="B473" i="4"/>
  <c r="AT472" i="4"/>
  <c r="AM472" i="4"/>
  <c r="AK472" i="4"/>
  <c r="AL472" i="4" s="1"/>
  <c r="B472" i="4"/>
  <c r="AT471" i="4"/>
  <c r="AM471" i="4"/>
  <c r="AK471" i="4"/>
  <c r="AL471" i="4" s="1"/>
  <c r="B471" i="4"/>
  <c r="AT470" i="4"/>
  <c r="AM470" i="4"/>
  <c r="AK470" i="4"/>
  <c r="AL470" i="4" s="1"/>
  <c r="B470" i="4"/>
  <c r="AT469" i="4"/>
  <c r="AM469" i="4"/>
  <c r="AK469" i="4"/>
  <c r="AL469" i="4" s="1"/>
  <c r="B469" i="4"/>
  <c r="AT468" i="4"/>
  <c r="AM468" i="4"/>
  <c r="AK468" i="4"/>
  <c r="AL468" i="4" s="1"/>
  <c r="B468" i="4"/>
  <c r="AT467" i="4"/>
  <c r="AM467" i="4"/>
  <c r="AK467" i="4"/>
  <c r="AL467" i="4" s="1"/>
  <c r="B467" i="4"/>
  <c r="AT466" i="4"/>
  <c r="AM466" i="4"/>
  <c r="AK466" i="4"/>
  <c r="AL466" i="4" s="1"/>
  <c r="N466" i="4"/>
  <c r="B466" i="4"/>
  <c r="AT465" i="4"/>
  <c r="AK465" i="4"/>
  <c r="AL465" i="4" s="1"/>
  <c r="B465" i="4"/>
  <c r="AT464" i="4"/>
  <c r="AK464" i="4"/>
  <c r="AM464" i="4" s="1"/>
  <c r="B464" i="4"/>
  <c r="AT463" i="4"/>
  <c r="AM463" i="4"/>
  <c r="AK463" i="4"/>
  <c r="AL463" i="4" s="1"/>
  <c r="B463" i="4"/>
  <c r="AT462" i="4"/>
  <c r="AM462" i="4"/>
  <c r="AK462" i="4"/>
  <c r="AL462" i="4" s="1"/>
  <c r="B462" i="4"/>
  <c r="AT461" i="4"/>
  <c r="AM461" i="4"/>
  <c r="AK461" i="4"/>
  <c r="AL461" i="4" s="1"/>
  <c r="B461" i="4"/>
  <c r="AT460" i="4"/>
  <c r="AM460" i="4"/>
  <c r="AK460" i="4"/>
  <c r="AL460" i="4" s="1"/>
  <c r="B460" i="4"/>
  <c r="AT459" i="4"/>
  <c r="AM459" i="4"/>
  <c r="AK459" i="4"/>
  <c r="AL459" i="4" s="1"/>
  <c r="B459" i="4"/>
  <c r="AT458" i="4"/>
  <c r="AM458" i="4"/>
  <c r="AK458" i="4"/>
  <c r="AL458" i="4" s="1"/>
  <c r="B458" i="4"/>
  <c r="AT457" i="4"/>
  <c r="AM457" i="4"/>
  <c r="AK457" i="4"/>
  <c r="AL457" i="4" s="1"/>
  <c r="B457" i="4"/>
  <c r="AT456" i="4"/>
  <c r="AM456" i="4"/>
  <c r="AK456" i="4"/>
  <c r="AL456" i="4" s="1"/>
  <c r="B456" i="4"/>
  <c r="AT455" i="4"/>
  <c r="AM455" i="4"/>
  <c r="AK455" i="4"/>
  <c r="AL455" i="4" s="1"/>
  <c r="B455" i="4"/>
  <c r="AT454" i="4"/>
  <c r="AM454" i="4"/>
  <c r="AK454" i="4"/>
  <c r="AL454" i="4" s="1"/>
  <c r="B454" i="4"/>
  <c r="AT453" i="4"/>
  <c r="AM453" i="4"/>
  <c r="AK453" i="4"/>
  <c r="AL453" i="4" s="1"/>
  <c r="B453" i="4"/>
  <c r="AT452" i="4"/>
  <c r="AM452" i="4"/>
  <c r="AK452" i="4"/>
  <c r="AL452" i="4" s="1"/>
  <c r="B452" i="4"/>
  <c r="AT451" i="4"/>
  <c r="AM451" i="4"/>
  <c r="AL451" i="4"/>
  <c r="AK451" i="4"/>
  <c r="B451" i="4"/>
  <c r="AT450" i="4"/>
  <c r="AM450" i="4"/>
  <c r="AK450" i="4"/>
  <c r="AL450" i="4" s="1"/>
  <c r="B450" i="4"/>
  <c r="AT449" i="4"/>
  <c r="AM449" i="4"/>
  <c r="AK449" i="4"/>
  <c r="AL449" i="4" s="1"/>
  <c r="B449" i="4"/>
  <c r="AT448" i="4"/>
  <c r="AM448" i="4"/>
  <c r="AK448" i="4"/>
  <c r="AL448" i="4" s="1"/>
  <c r="B448" i="4"/>
  <c r="AT447" i="4"/>
  <c r="AM447" i="4"/>
  <c r="AK447" i="4"/>
  <c r="AL447" i="4" s="1"/>
  <c r="B447" i="4"/>
  <c r="AT446" i="4"/>
  <c r="AM446" i="4"/>
  <c r="AK446" i="4"/>
  <c r="AL446" i="4" s="1"/>
  <c r="B446" i="4"/>
  <c r="AT445" i="4"/>
  <c r="AM445" i="4"/>
  <c r="AK445" i="4"/>
  <c r="AL445" i="4" s="1"/>
  <c r="B445" i="4"/>
  <c r="AT444" i="4"/>
  <c r="AM444" i="4"/>
  <c r="AK444" i="4"/>
  <c r="AL444" i="4" s="1"/>
  <c r="B444" i="4"/>
  <c r="AT443" i="4"/>
  <c r="AM443" i="4"/>
  <c r="AK443" i="4"/>
  <c r="AL443" i="4" s="1"/>
  <c r="B443" i="4"/>
  <c r="AT442" i="4"/>
  <c r="AM442" i="4"/>
  <c r="AL442" i="4"/>
  <c r="AK442" i="4"/>
  <c r="B442" i="4"/>
  <c r="AT441" i="4"/>
  <c r="AM441" i="4"/>
  <c r="AK441" i="4"/>
  <c r="AL441" i="4" s="1"/>
  <c r="B441" i="4"/>
  <c r="AT440" i="4"/>
  <c r="AM440" i="4"/>
  <c r="AK440" i="4"/>
  <c r="AL440" i="4" s="1"/>
  <c r="B440" i="4"/>
  <c r="AT439" i="4"/>
  <c r="AM439" i="4"/>
  <c r="AK439" i="4"/>
  <c r="AL439" i="4" s="1"/>
  <c r="B439" i="4"/>
  <c r="AT438" i="4"/>
  <c r="AM438" i="4"/>
  <c r="AK438" i="4"/>
  <c r="AL438" i="4" s="1"/>
  <c r="N438" i="4"/>
  <c r="P1415" i="4" s="1"/>
  <c r="B438" i="4"/>
  <c r="AT437" i="4"/>
  <c r="AM437" i="4"/>
  <c r="AK437" i="4"/>
  <c r="AL437" i="4" s="1"/>
  <c r="B437" i="4"/>
  <c r="AT436" i="4"/>
  <c r="AM436" i="4"/>
  <c r="AK436" i="4"/>
  <c r="AL436" i="4" s="1"/>
  <c r="B436" i="4"/>
  <c r="AT435" i="4"/>
  <c r="AM435" i="4"/>
  <c r="AK435" i="4"/>
  <c r="AL435" i="4" s="1"/>
  <c r="B435" i="4"/>
  <c r="AT434" i="4"/>
  <c r="AM434" i="4"/>
  <c r="AK434" i="4"/>
  <c r="AL434" i="4" s="1"/>
  <c r="B434" i="4"/>
  <c r="AT433" i="4"/>
  <c r="AM433" i="4"/>
  <c r="AK433" i="4"/>
  <c r="AL433" i="4" s="1"/>
  <c r="B433" i="4"/>
  <c r="AT432" i="4"/>
  <c r="AM432" i="4"/>
  <c r="AK432" i="4"/>
  <c r="AL432" i="4" s="1"/>
  <c r="B432" i="4"/>
  <c r="AM431" i="4"/>
  <c r="AK431" i="4"/>
  <c r="AL431" i="4" s="1"/>
  <c r="B431" i="4"/>
  <c r="AT430" i="4"/>
  <c r="AM430" i="4"/>
  <c r="AK430" i="4"/>
  <c r="AL430" i="4" s="1"/>
  <c r="B430" i="4"/>
  <c r="AM429" i="4"/>
  <c r="AK429" i="4"/>
  <c r="AL429" i="4" s="1"/>
  <c r="B429" i="4"/>
  <c r="AM428" i="4"/>
  <c r="AK428" i="4"/>
  <c r="AT428" i="4" s="1"/>
  <c r="B428" i="4"/>
  <c r="AT427" i="4"/>
  <c r="AM427" i="4"/>
  <c r="AK427" i="4"/>
  <c r="AL427" i="4" s="1"/>
  <c r="B427" i="4"/>
  <c r="AM426" i="4"/>
  <c r="AK426" i="4"/>
  <c r="B426" i="4"/>
  <c r="AM425" i="4"/>
  <c r="AL425" i="4"/>
  <c r="AK425" i="4"/>
  <c r="AT425" i="4" s="1"/>
  <c r="B425" i="4"/>
  <c r="AM424" i="4"/>
  <c r="AL424" i="4"/>
  <c r="AK424" i="4"/>
  <c r="AT424" i="4" s="1"/>
  <c r="B424" i="4"/>
  <c r="AT423" i="4"/>
  <c r="AM423" i="4"/>
  <c r="AK423" i="4"/>
  <c r="AL423" i="4" s="1"/>
  <c r="B423" i="4"/>
  <c r="AT422" i="4"/>
  <c r="AM422" i="4"/>
  <c r="AK422" i="4"/>
  <c r="AL422" i="4" s="1"/>
  <c r="B422" i="4"/>
  <c r="AT421" i="4"/>
  <c r="AM421" i="4"/>
  <c r="AK421" i="4"/>
  <c r="AL421" i="4" s="1"/>
  <c r="B421" i="4"/>
  <c r="AT420" i="4"/>
  <c r="AK420" i="4"/>
  <c r="B420" i="4"/>
  <c r="AT419" i="4"/>
  <c r="AM419" i="4"/>
  <c r="AK419" i="4"/>
  <c r="AL419" i="4" s="1"/>
  <c r="B419" i="4"/>
  <c r="AT418" i="4"/>
  <c r="AM418" i="4"/>
  <c r="AK418" i="4"/>
  <c r="AL418" i="4" s="1"/>
  <c r="B418" i="4"/>
  <c r="AT417" i="4"/>
  <c r="AK417" i="4"/>
  <c r="AM417" i="4" s="1"/>
  <c r="B417" i="4"/>
  <c r="AT416" i="4"/>
  <c r="AM416" i="4"/>
  <c r="AL416" i="4"/>
  <c r="AK416" i="4"/>
  <c r="B416" i="4"/>
  <c r="AT415" i="4"/>
  <c r="AM415" i="4"/>
  <c r="AK415" i="4"/>
  <c r="AL415" i="4" s="1"/>
  <c r="B415" i="4"/>
  <c r="AM414" i="4"/>
  <c r="AK414" i="4"/>
  <c r="AL414" i="4" s="1"/>
  <c r="B414" i="4"/>
  <c r="AT413" i="4"/>
  <c r="AM413" i="4"/>
  <c r="AK413" i="4"/>
  <c r="AL413" i="4" s="1"/>
  <c r="B413" i="4"/>
  <c r="AT412" i="4"/>
  <c r="AM412" i="4"/>
  <c r="AK412" i="4"/>
  <c r="AL412" i="4" s="1"/>
  <c r="B412" i="4"/>
  <c r="AT411" i="4"/>
  <c r="AM411" i="4"/>
  <c r="AL411" i="4"/>
  <c r="AK411" i="4"/>
  <c r="B411" i="4"/>
  <c r="AT410" i="4"/>
  <c r="AM410" i="4"/>
  <c r="AK410" i="4"/>
  <c r="AL410" i="4" s="1"/>
  <c r="B410" i="4"/>
  <c r="AT409" i="4"/>
  <c r="AL409" i="4"/>
  <c r="AK409" i="4"/>
  <c r="AM409" i="4" s="1"/>
  <c r="B409" i="4"/>
  <c r="AT408" i="4"/>
  <c r="AM408" i="4"/>
  <c r="AK408" i="4"/>
  <c r="AL408" i="4" s="1"/>
  <c r="B408" i="4"/>
  <c r="AT407" i="4"/>
  <c r="AM407" i="4"/>
  <c r="AK407" i="4"/>
  <c r="AL407" i="4" s="1"/>
  <c r="B407" i="4"/>
  <c r="AT406" i="4"/>
  <c r="AM406" i="4"/>
  <c r="AK406" i="4"/>
  <c r="AL406" i="4" s="1"/>
  <c r="B406" i="4"/>
  <c r="AT405" i="4"/>
  <c r="AK405" i="4"/>
  <c r="B405" i="4"/>
  <c r="AT404" i="4"/>
  <c r="AM404" i="4"/>
  <c r="AK404" i="4"/>
  <c r="AL404" i="4" s="1"/>
  <c r="B404" i="4"/>
  <c r="AT403" i="4"/>
  <c r="AM403" i="4"/>
  <c r="AL403" i="4"/>
  <c r="AK403" i="4"/>
  <c r="B403" i="4"/>
  <c r="AT402" i="4"/>
  <c r="AM402" i="4"/>
  <c r="AK402" i="4"/>
  <c r="AL402" i="4" s="1"/>
  <c r="B402" i="4"/>
  <c r="AM401" i="4"/>
  <c r="AK401" i="4"/>
  <c r="AL401" i="4" s="1"/>
  <c r="B401" i="4"/>
  <c r="AM400" i="4"/>
  <c r="AK400" i="4"/>
  <c r="AT400" i="4" s="1"/>
  <c r="B400" i="4"/>
  <c r="AT399" i="4"/>
  <c r="AM399" i="4"/>
  <c r="AK399" i="4"/>
  <c r="AL399" i="4" s="1"/>
  <c r="B399" i="4"/>
  <c r="AT398" i="4"/>
  <c r="AM398" i="4"/>
  <c r="AK398" i="4"/>
  <c r="AL398" i="4" s="1"/>
  <c r="B398" i="4"/>
  <c r="AT397" i="4"/>
  <c r="AM397" i="4"/>
  <c r="AK397" i="4"/>
  <c r="AL397" i="4" s="1"/>
  <c r="B397" i="4"/>
  <c r="AT396" i="4"/>
  <c r="AM396" i="4"/>
  <c r="AL396" i="4"/>
  <c r="AK396" i="4"/>
  <c r="B396" i="4"/>
  <c r="AT395" i="4"/>
  <c r="AM395" i="4"/>
  <c r="AK395" i="4"/>
  <c r="AL395" i="4" s="1"/>
  <c r="B395" i="4"/>
  <c r="AT394" i="4"/>
  <c r="AM394" i="4"/>
  <c r="AK394" i="4"/>
  <c r="AL394" i="4" s="1"/>
  <c r="B394" i="4"/>
  <c r="AT393" i="4"/>
  <c r="AM393" i="4"/>
  <c r="AK393" i="4"/>
  <c r="AL393" i="4" s="1"/>
  <c r="B393" i="4"/>
  <c r="AT392" i="4"/>
  <c r="AM392" i="4"/>
  <c r="AK392" i="4"/>
  <c r="AL392" i="4" s="1"/>
  <c r="B392" i="4"/>
  <c r="AT391" i="4"/>
  <c r="AM391" i="4"/>
  <c r="AL391" i="4"/>
  <c r="AK391" i="4"/>
  <c r="B391" i="4"/>
  <c r="AT390" i="4"/>
  <c r="AM390" i="4"/>
  <c r="AK390" i="4"/>
  <c r="AL390" i="4" s="1"/>
  <c r="B390" i="4"/>
  <c r="AT389" i="4"/>
  <c r="AM389" i="4"/>
  <c r="AK389" i="4"/>
  <c r="AL389" i="4" s="1"/>
  <c r="B389" i="4"/>
  <c r="AT388" i="4"/>
  <c r="AK388" i="4"/>
  <c r="B388" i="4"/>
  <c r="AT387" i="4"/>
  <c r="AM387" i="4"/>
  <c r="AL387" i="4"/>
  <c r="AK387" i="4"/>
  <c r="B387" i="4"/>
  <c r="AT386" i="4"/>
  <c r="AM386" i="4"/>
  <c r="AK386" i="4"/>
  <c r="AL386" i="4" s="1"/>
  <c r="B386" i="4"/>
  <c r="AT385" i="4"/>
  <c r="AM385" i="4"/>
  <c r="AK385" i="4"/>
  <c r="AL385" i="4" s="1"/>
  <c r="B385" i="4"/>
  <c r="AT384" i="4"/>
  <c r="AM384" i="4"/>
  <c r="AK384" i="4"/>
  <c r="AL384" i="4" s="1"/>
  <c r="B384" i="4"/>
  <c r="AT383" i="4"/>
  <c r="AM383" i="4"/>
  <c r="AK383" i="4"/>
  <c r="AL383" i="4" s="1"/>
  <c r="B383" i="4"/>
  <c r="AT382" i="4"/>
  <c r="AM382" i="4"/>
  <c r="AK382" i="4"/>
  <c r="AL382" i="4" s="1"/>
  <c r="B382" i="4"/>
  <c r="AT381" i="4"/>
  <c r="AK381" i="4"/>
  <c r="B381" i="4"/>
  <c r="AT380" i="4"/>
  <c r="AM380" i="4"/>
  <c r="AK380" i="4"/>
  <c r="AL380" i="4" s="1"/>
  <c r="B380" i="4"/>
  <c r="AT379" i="4"/>
  <c r="AM379" i="4"/>
  <c r="AK379" i="4"/>
  <c r="AL379" i="4" s="1"/>
  <c r="M379" i="4"/>
  <c r="B379" i="4"/>
  <c r="AT378" i="4"/>
  <c r="AM378" i="4"/>
  <c r="AK378" i="4"/>
  <c r="AL378" i="4" s="1"/>
  <c r="M378" i="4"/>
  <c r="B378" i="4" s="1"/>
  <c r="AT377" i="4"/>
  <c r="AM377" i="4"/>
  <c r="AK377" i="4"/>
  <c r="AL377" i="4" s="1"/>
  <c r="B377" i="4"/>
  <c r="AT376" i="4"/>
  <c r="AM376" i="4"/>
  <c r="AK376" i="4"/>
  <c r="AL376" i="4" s="1"/>
  <c r="B376" i="4"/>
  <c r="AT375" i="4"/>
  <c r="AM375" i="4"/>
  <c r="AK375" i="4"/>
  <c r="AL375" i="4" s="1"/>
  <c r="B375" i="4"/>
  <c r="AT374" i="4"/>
  <c r="AM374" i="4"/>
  <c r="AK374" i="4"/>
  <c r="AL374" i="4" s="1"/>
  <c r="B374" i="4"/>
  <c r="AT373" i="4"/>
  <c r="AM373" i="4"/>
  <c r="AK373" i="4"/>
  <c r="AL373" i="4" s="1"/>
  <c r="B373" i="4"/>
  <c r="AT372" i="4"/>
  <c r="AM372" i="4"/>
  <c r="AK372" i="4"/>
  <c r="AL372" i="4" s="1"/>
  <c r="B372" i="4"/>
  <c r="AT371" i="4"/>
  <c r="AK371" i="4"/>
  <c r="AM371" i="4" s="1"/>
  <c r="B371" i="4"/>
  <c r="AT370" i="4"/>
  <c r="AM370" i="4"/>
  <c r="AK370" i="4"/>
  <c r="AL370" i="4" s="1"/>
  <c r="B370" i="4"/>
  <c r="AT369" i="4"/>
  <c r="AM369" i="4"/>
  <c r="AK369" i="4"/>
  <c r="AL369" i="4" s="1"/>
  <c r="B369" i="4"/>
  <c r="AT368" i="4"/>
  <c r="AM368" i="4"/>
  <c r="AL368" i="4"/>
  <c r="AK368" i="4"/>
  <c r="B368" i="4"/>
  <c r="AT367" i="4"/>
  <c r="AM367" i="4"/>
  <c r="AK367" i="4"/>
  <c r="AL367" i="4" s="1"/>
  <c r="B367" i="4"/>
  <c r="AT366" i="4"/>
  <c r="AM366" i="4"/>
  <c r="AK366" i="4"/>
  <c r="AL366" i="4" s="1"/>
  <c r="B366" i="4"/>
  <c r="AT365" i="4"/>
  <c r="AM365" i="4"/>
  <c r="AK365" i="4"/>
  <c r="AL365" i="4" s="1"/>
  <c r="B365" i="4"/>
  <c r="AT364" i="4"/>
  <c r="AM364" i="4"/>
  <c r="AK364" i="4"/>
  <c r="AL364" i="4" s="1"/>
  <c r="B364" i="4"/>
  <c r="AT363" i="4"/>
  <c r="AM363" i="4"/>
  <c r="AL363" i="4"/>
  <c r="AK363" i="4"/>
  <c r="B363" i="4"/>
  <c r="AT362" i="4"/>
  <c r="AM362" i="4"/>
  <c r="AK362" i="4"/>
  <c r="AL362" i="4" s="1"/>
  <c r="B362" i="4"/>
  <c r="AT361" i="4"/>
  <c r="AM361" i="4"/>
  <c r="AK361" i="4"/>
  <c r="AL361" i="4" s="1"/>
  <c r="B361" i="4"/>
  <c r="AT360" i="4"/>
  <c r="AM360" i="4"/>
  <c r="AK360" i="4"/>
  <c r="AL360" i="4" s="1"/>
  <c r="B360" i="4"/>
  <c r="AT359" i="4"/>
  <c r="AM359" i="4"/>
  <c r="AK359" i="4"/>
  <c r="AL359" i="4" s="1"/>
  <c r="B359" i="4"/>
  <c r="AT358" i="4"/>
  <c r="AM358" i="4"/>
  <c r="AK358" i="4"/>
  <c r="AL358" i="4" s="1"/>
  <c r="B358" i="4"/>
  <c r="AT357" i="4"/>
  <c r="AM357" i="4"/>
  <c r="AK357" i="4"/>
  <c r="AL357" i="4" s="1"/>
  <c r="B357" i="4"/>
  <c r="AT356" i="4"/>
  <c r="AM356" i="4"/>
  <c r="AK356" i="4"/>
  <c r="AL356" i="4" s="1"/>
  <c r="B356" i="4"/>
  <c r="AT355" i="4"/>
  <c r="AM355" i="4"/>
  <c r="AK355" i="4"/>
  <c r="AL355" i="4" s="1"/>
  <c r="B355" i="4"/>
  <c r="AT354" i="4"/>
  <c r="AM354" i="4"/>
  <c r="AK354" i="4"/>
  <c r="AL354" i="4" s="1"/>
  <c r="B354" i="4"/>
  <c r="AT353" i="4"/>
  <c r="AM353" i="4"/>
  <c r="AK353" i="4"/>
  <c r="AL353" i="4" s="1"/>
  <c r="B353" i="4"/>
  <c r="AT352" i="4"/>
  <c r="AM352" i="4"/>
  <c r="AL352" i="4"/>
  <c r="AK352" i="4"/>
  <c r="B352" i="4"/>
  <c r="AT351" i="4"/>
  <c r="AM351" i="4"/>
  <c r="AK351" i="4"/>
  <c r="AL351" i="4" s="1"/>
  <c r="B351" i="4"/>
  <c r="AT350" i="4"/>
  <c r="AM350" i="4"/>
  <c r="AK350" i="4"/>
  <c r="AL350" i="4" s="1"/>
  <c r="B350" i="4"/>
  <c r="AT349" i="4"/>
  <c r="AM349" i="4"/>
  <c r="AK349" i="4"/>
  <c r="AL349" i="4" s="1"/>
  <c r="B349" i="4"/>
  <c r="AT348" i="4"/>
  <c r="AM348" i="4"/>
  <c r="AK348" i="4"/>
  <c r="AL348" i="4" s="1"/>
  <c r="B348" i="4"/>
  <c r="AT347" i="4"/>
  <c r="AM347" i="4"/>
  <c r="AL347" i="4"/>
  <c r="AK347" i="4"/>
  <c r="B347" i="4"/>
  <c r="AT346" i="4"/>
  <c r="AM346" i="4"/>
  <c r="AK346" i="4"/>
  <c r="AL346" i="4" s="1"/>
  <c r="B346" i="4"/>
  <c r="AT345" i="4"/>
  <c r="AM345" i="4"/>
  <c r="AK345" i="4"/>
  <c r="AL345" i="4" s="1"/>
  <c r="B345" i="4"/>
  <c r="AT344" i="4"/>
  <c r="AM344" i="4"/>
  <c r="AK344" i="4"/>
  <c r="AL344" i="4" s="1"/>
  <c r="B344" i="4"/>
  <c r="AT343" i="4"/>
  <c r="AM343" i="4"/>
  <c r="AK343" i="4"/>
  <c r="AL343" i="4" s="1"/>
  <c r="B343" i="4"/>
  <c r="AT342" i="4"/>
  <c r="AM342" i="4"/>
  <c r="AK342" i="4"/>
  <c r="AL342" i="4" s="1"/>
  <c r="B342" i="4"/>
  <c r="AT341" i="4"/>
  <c r="AM341" i="4"/>
  <c r="AK341" i="4"/>
  <c r="AL341" i="4" s="1"/>
  <c r="B341" i="4"/>
  <c r="AT340" i="4"/>
  <c r="AM340" i="4"/>
  <c r="AK340" i="4"/>
  <c r="AL340" i="4" s="1"/>
  <c r="B340" i="4"/>
  <c r="AT339" i="4"/>
  <c r="AM339" i="4"/>
  <c r="AK339" i="4"/>
  <c r="AL339" i="4" s="1"/>
  <c r="B339" i="4"/>
  <c r="AT338" i="4"/>
  <c r="AM338" i="4"/>
  <c r="AK338" i="4"/>
  <c r="AL338" i="4" s="1"/>
  <c r="B338" i="4"/>
  <c r="AT337" i="4"/>
  <c r="AM337" i="4"/>
  <c r="AK337" i="4"/>
  <c r="AL337" i="4" s="1"/>
  <c r="B337" i="4"/>
  <c r="AT336" i="4"/>
  <c r="AM336" i="4"/>
  <c r="AL336" i="4"/>
  <c r="AK336" i="4"/>
  <c r="B336" i="4"/>
  <c r="AT335" i="4"/>
  <c r="AM335" i="4"/>
  <c r="AK335" i="4"/>
  <c r="AL335" i="4" s="1"/>
  <c r="B335" i="4"/>
  <c r="AT334" i="4"/>
  <c r="AM334" i="4"/>
  <c r="AK334" i="4"/>
  <c r="AL334" i="4" s="1"/>
  <c r="B334" i="4"/>
  <c r="AT333" i="4"/>
  <c r="AM333" i="4"/>
  <c r="AK333" i="4"/>
  <c r="AL333" i="4" s="1"/>
  <c r="B333" i="4"/>
  <c r="AT332" i="4"/>
  <c r="AK332" i="4"/>
  <c r="AM332" i="4" s="1"/>
  <c r="B332" i="4"/>
  <c r="AT331" i="4"/>
  <c r="AK331" i="4"/>
  <c r="AM331" i="4" s="1"/>
  <c r="B331" i="4"/>
  <c r="AT330" i="4"/>
  <c r="AK330" i="4"/>
  <c r="AL330" i="4" s="1"/>
  <c r="B330" i="4"/>
  <c r="AT329" i="4"/>
  <c r="AK329" i="4"/>
  <c r="B329" i="4"/>
  <c r="AT328" i="4"/>
  <c r="AM328" i="4"/>
  <c r="AK328" i="4"/>
  <c r="AL328" i="4" s="1"/>
  <c r="B328" i="4"/>
  <c r="AT327" i="4"/>
  <c r="AM327" i="4"/>
  <c r="AK327" i="4"/>
  <c r="AL327" i="4" s="1"/>
  <c r="B327" i="4"/>
  <c r="AT326" i="4"/>
  <c r="AM326" i="4"/>
  <c r="AK326" i="4"/>
  <c r="AL326" i="4" s="1"/>
  <c r="B326" i="4"/>
  <c r="AT325" i="4"/>
  <c r="AM325" i="4"/>
  <c r="AK325" i="4"/>
  <c r="AL325" i="4" s="1"/>
  <c r="B325" i="4"/>
  <c r="AT324" i="4"/>
  <c r="AM324" i="4"/>
  <c r="AK324" i="4"/>
  <c r="AL324" i="4" s="1"/>
  <c r="B324" i="4"/>
  <c r="AT323" i="4"/>
  <c r="AM323" i="4"/>
  <c r="AK323" i="4"/>
  <c r="AL323" i="4" s="1"/>
  <c r="B323" i="4"/>
  <c r="AT322" i="4"/>
  <c r="AK322" i="4"/>
  <c r="AL322" i="4" s="1"/>
  <c r="B322" i="4"/>
  <c r="AT321" i="4"/>
  <c r="AK321" i="4"/>
  <c r="B321" i="4"/>
  <c r="AT320" i="4"/>
  <c r="AM320" i="4"/>
  <c r="AK320" i="4"/>
  <c r="AL320" i="4" s="1"/>
  <c r="B320" i="4"/>
  <c r="AT319" i="4"/>
  <c r="AM319" i="4"/>
  <c r="AK319" i="4"/>
  <c r="AL319" i="4" s="1"/>
  <c r="B319" i="4"/>
  <c r="AT318" i="4"/>
  <c r="AM318" i="4"/>
  <c r="AK318" i="4"/>
  <c r="AL318" i="4" s="1"/>
  <c r="N318" i="4"/>
  <c r="B318" i="4"/>
  <c r="AT317" i="4"/>
  <c r="AM317" i="4"/>
  <c r="AL317" i="4"/>
  <c r="AK317" i="4"/>
  <c r="B317" i="4"/>
  <c r="AT316" i="4"/>
  <c r="AM316" i="4"/>
  <c r="AL316" i="4"/>
  <c r="AK316" i="4"/>
  <c r="B316" i="4"/>
  <c r="AT315" i="4"/>
  <c r="AM315" i="4"/>
  <c r="AK315" i="4"/>
  <c r="AL315" i="4" s="1"/>
  <c r="B315" i="4"/>
  <c r="AT314" i="4"/>
  <c r="AM314" i="4"/>
  <c r="AK314" i="4"/>
  <c r="AL314" i="4" s="1"/>
  <c r="B314" i="4"/>
  <c r="AT313" i="4"/>
  <c r="AM313" i="4"/>
  <c r="AK313" i="4"/>
  <c r="AL313" i="4" s="1"/>
  <c r="B313" i="4"/>
  <c r="AT312" i="4"/>
  <c r="AM312" i="4"/>
  <c r="AK312" i="4"/>
  <c r="AL312" i="4" s="1"/>
  <c r="B312" i="4"/>
  <c r="AT311" i="4"/>
  <c r="AM311" i="4"/>
  <c r="AK311" i="4"/>
  <c r="AL311" i="4" s="1"/>
  <c r="B311" i="4"/>
  <c r="AT310" i="4"/>
  <c r="AM310" i="4"/>
  <c r="AK310" i="4"/>
  <c r="AL310" i="4" s="1"/>
  <c r="B310" i="4"/>
  <c r="AT309" i="4"/>
  <c r="AM309" i="4"/>
  <c r="AK309" i="4"/>
  <c r="AL309" i="4" s="1"/>
  <c r="B309" i="4"/>
  <c r="AT308" i="4"/>
  <c r="AM308" i="4"/>
  <c r="AK308" i="4"/>
  <c r="AL308" i="4" s="1"/>
  <c r="B308" i="4"/>
  <c r="AT307" i="4"/>
  <c r="AM307" i="4"/>
  <c r="AK307" i="4"/>
  <c r="AL307" i="4" s="1"/>
  <c r="B307" i="4"/>
  <c r="AT306" i="4"/>
  <c r="AM306" i="4"/>
  <c r="AK306" i="4"/>
  <c r="AL306" i="4" s="1"/>
  <c r="B306" i="4"/>
  <c r="AT305" i="4"/>
  <c r="AM305" i="4"/>
  <c r="AK305" i="4"/>
  <c r="AL305" i="4" s="1"/>
  <c r="B305" i="4"/>
  <c r="AT304" i="4"/>
  <c r="AM304" i="4"/>
  <c r="AK304" i="4"/>
  <c r="AL304" i="4" s="1"/>
  <c r="B304" i="4"/>
  <c r="AT303" i="4"/>
  <c r="AM303" i="4"/>
  <c r="AK303" i="4"/>
  <c r="AL303" i="4" s="1"/>
  <c r="B303" i="4"/>
  <c r="AT302" i="4"/>
  <c r="AM302" i="4"/>
  <c r="AK302" i="4"/>
  <c r="AL302" i="4" s="1"/>
  <c r="B302" i="4"/>
  <c r="AT301" i="4"/>
  <c r="AM301" i="4"/>
  <c r="AL301" i="4"/>
  <c r="AK301" i="4"/>
  <c r="B301" i="4"/>
  <c r="AT300" i="4"/>
  <c r="AM300" i="4"/>
  <c r="AL300" i="4"/>
  <c r="AK300" i="4"/>
  <c r="B300" i="4"/>
  <c r="AT299" i="4"/>
  <c r="AM299" i="4"/>
  <c r="AK299" i="4"/>
  <c r="AL299" i="4" s="1"/>
  <c r="B299" i="4"/>
  <c r="AT298" i="4"/>
  <c r="AM298" i="4"/>
  <c r="AK298" i="4"/>
  <c r="AL298" i="4" s="1"/>
  <c r="B298" i="4"/>
  <c r="AT297" i="4"/>
  <c r="AM297" i="4"/>
  <c r="AK297" i="4"/>
  <c r="AL297" i="4" s="1"/>
  <c r="B297" i="4"/>
  <c r="AT296" i="4"/>
  <c r="AM296" i="4"/>
  <c r="AK296" i="4"/>
  <c r="AL296" i="4" s="1"/>
  <c r="B296" i="4"/>
  <c r="AT295" i="4"/>
  <c r="AM295" i="4"/>
  <c r="AK295" i="4"/>
  <c r="AL295" i="4" s="1"/>
  <c r="B295" i="4"/>
  <c r="AT294" i="4"/>
  <c r="AM294" i="4"/>
  <c r="AK294" i="4"/>
  <c r="AL294" i="4" s="1"/>
  <c r="B294" i="4"/>
  <c r="AT293" i="4"/>
  <c r="AM293" i="4"/>
  <c r="AK293" i="4"/>
  <c r="AL293" i="4" s="1"/>
  <c r="B293" i="4"/>
  <c r="AT292" i="4"/>
  <c r="AM292" i="4"/>
  <c r="AK292" i="4"/>
  <c r="AL292" i="4" s="1"/>
  <c r="B292" i="4"/>
  <c r="AT291" i="4"/>
  <c r="AM291" i="4"/>
  <c r="AK291" i="4"/>
  <c r="AL291" i="4" s="1"/>
  <c r="B291" i="4"/>
  <c r="AT290" i="4"/>
  <c r="AM290" i="4"/>
  <c r="AK290" i="4"/>
  <c r="AL290" i="4" s="1"/>
  <c r="B290" i="4"/>
  <c r="AT289" i="4"/>
  <c r="AM289" i="4"/>
  <c r="AK289" i="4"/>
  <c r="AL289" i="4" s="1"/>
  <c r="B289" i="4"/>
  <c r="AT288" i="4"/>
  <c r="AK288" i="4"/>
  <c r="AM288" i="4" s="1"/>
  <c r="B288" i="4"/>
  <c r="AT287" i="4"/>
  <c r="AK287" i="4"/>
  <c r="B287" i="4"/>
  <c r="AT286" i="4"/>
  <c r="AK286" i="4"/>
  <c r="AM286" i="4" s="1"/>
  <c r="B286" i="4"/>
  <c r="AT285" i="4"/>
  <c r="AK285" i="4"/>
  <c r="AM285" i="4" s="1"/>
  <c r="B285" i="4"/>
  <c r="AT284" i="4"/>
  <c r="AL284" i="4"/>
  <c r="AK284" i="4"/>
  <c r="AM284" i="4" s="1"/>
  <c r="B284" i="4"/>
  <c r="AT283" i="4"/>
  <c r="AK283" i="4"/>
  <c r="B283" i="4"/>
  <c r="AT282" i="4"/>
  <c r="AQ282" i="4"/>
  <c r="AM282" i="4"/>
  <c r="AL282" i="4"/>
  <c r="AK282" i="4"/>
  <c r="B282" i="4"/>
  <c r="AT281" i="4"/>
  <c r="AQ281" i="4"/>
  <c r="AM281" i="4"/>
  <c r="AK281" i="4"/>
  <c r="AL281" i="4" s="1"/>
  <c r="B281" i="4"/>
  <c r="AT280" i="4"/>
  <c r="AQ280" i="4"/>
  <c r="AM280" i="4"/>
  <c r="AL280" i="4"/>
  <c r="AK280" i="4"/>
  <c r="B280" i="4"/>
  <c r="AT279" i="4"/>
  <c r="AQ279" i="4"/>
  <c r="AM279" i="4"/>
  <c r="AK279" i="4"/>
  <c r="AL279" i="4" s="1"/>
  <c r="B279" i="4"/>
  <c r="AQ278" i="4"/>
  <c r="AM278" i="4"/>
  <c r="AK278" i="4"/>
  <c r="AT278" i="4" s="1"/>
  <c r="B278" i="4"/>
  <c r="AT277" i="4"/>
  <c r="AQ277" i="4"/>
  <c r="AM277" i="4"/>
  <c r="AK277" i="4"/>
  <c r="AL277" i="4" s="1"/>
  <c r="B277" i="4"/>
  <c r="AT276" i="4"/>
  <c r="AQ276" i="4"/>
  <c r="AM276" i="4"/>
  <c r="AL276" i="4"/>
  <c r="AK276" i="4"/>
  <c r="B276" i="4"/>
  <c r="AT275" i="4"/>
  <c r="AQ275" i="4"/>
  <c r="AM275" i="4"/>
  <c r="AK275" i="4"/>
  <c r="AL275" i="4" s="1"/>
  <c r="B275" i="4"/>
  <c r="AT274" i="4"/>
  <c r="AQ274" i="4"/>
  <c r="AK274" i="4"/>
  <c r="AM274" i="4" s="1"/>
  <c r="B274" i="4"/>
  <c r="AT273" i="4"/>
  <c r="AQ273" i="4"/>
  <c r="AM273" i="4"/>
  <c r="AK273" i="4"/>
  <c r="AL273" i="4" s="1"/>
  <c r="B273" i="4"/>
  <c r="AT272" i="4"/>
  <c r="AQ272" i="4"/>
  <c r="AM272" i="4"/>
  <c r="AK272" i="4"/>
  <c r="AL272" i="4" s="1"/>
  <c r="B272" i="4"/>
  <c r="AT271" i="4"/>
  <c r="AQ271" i="4"/>
  <c r="AM271" i="4"/>
  <c r="AK271" i="4"/>
  <c r="AL271" i="4" s="1"/>
  <c r="B271" i="4"/>
  <c r="AT270" i="4"/>
  <c r="AQ270" i="4"/>
  <c r="AK270" i="4"/>
  <c r="AL270" i="4" s="1"/>
  <c r="B270" i="4"/>
  <c r="AT269" i="4"/>
  <c r="AQ269" i="4"/>
  <c r="AM269" i="4"/>
  <c r="AK269" i="4"/>
  <c r="AL269" i="4" s="1"/>
  <c r="B269" i="4"/>
  <c r="AT268" i="4"/>
  <c r="AQ268" i="4"/>
  <c r="AM268" i="4"/>
  <c r="AL268" i="4"/>
  <c r="AK268" i="4"/>
  <c r="B268" i="4"/>
  <c r="AT267" i="4"/>
  <c r="AQ267" i="4"/>
  <c r="AM267" i="4"/>
  <c r="AK267" i="4"/>
  <c r="AL267" i="4" s="1"/>
  <c r="B267" i="4"/>
  <c r="AT266" i="4"/>
  <c r="AQ266" i="4"/>
  <c r="AM266" i="4"/>
  <c r="AL266" i="4"/>
  <c r="AK266" i="4"/>
  <c r="B266" i="4"/>
  <c r="AT265" i="4"/>
  <c r="AQ265" i="4"/>
  <c r="AM265" i="4"/>
  <c r="AK265" i="4"/>
  <c r="AL265" i="4" s="1"/>
  <c r="B265" i="4"/>
  <c r="AT264" i="4"/>
  <c r="AQ264" i="4"/>
  <c r="AM264" i="4"/>
  <c r="AK264" i="4"/>
  <c r="AL264" i="4" s="1"/>
  <c r="B264" i="4"/>
  <c r="AT263" i="4"/>
  <c r="AQ263" i="4"/>
  <c r="AM263" i="4"/>
  <c r="AK263" i="4"/>
  <c r="AL263" i="4" s="1"/>
  <c r="B263" i="4"/>
  <c r="AT262" i="4"/>
  <c r="AQ262" i="4"/>
  <c r="AM262" i="4"/>
  <c r="AK262" i="4"/>
  <c r="AL262" i="4" s="1"/>
  <c r="B262" i="4"/>
  <c r="AT261" i="4"/>
  <c r="AQ261" i="4"/>
  <c r="AM261" i="4"/>
  <c r="AK261" i="4"/>
  <c r="AL261" i="4" s="1"/>
  <c r="B261" i="4"/>
  <c r="AT260" i="4"/>
  <c r="AQ260" i="4"/>
  <c r="AM260" i="4"/>
  <c r="AK260" i="4"/>
  <c r="AL260" i="4" s="1"/>
  <c r="B260" i="4"/>
  <c r="AT259" i="4"/>
  <c r="AQ259" i="4"/>
  <c r="AM259" i="4"/>
  <c r="AK259" i="4"/>
  <c r="AL259" i="4" s="1"/>
  <c r="B259" i="4"/>
  <c r="AT258" i="4"/>
  <c r="AQ258" i="4"/>
  <c r="AM258" i="4"/>
  <c r="AK258" i="4"/>
  <c r="AL258" i="4" s="1"/>
  <c r="B258" i="4"/>
  <c r="AT257" i="4"/>
  <c r="AM257" i="4"/>
  <c r="AK257" i="4"/>
  <c r="AL257" i="4" s="1"/>
  <c r="B257" i="4"/>
  <c r="AT256" i="4"/>
  <c r="AM256" i="4"/>
  <c r="AK256" i="4"/>
  <c r="AL256" i="4" s="1"/>
  <c r="B256" i="4"/>
  <c r="AT255" i="4"/>
  <c r="AM255" i="4"/>
  <c r="AK255" i="4"/>
  <c r="AL255" i="4" s="1"/>
  <c r="B255" i="4"/>
  <c r="AT254" i="4"/>
  <c r="AM254" i="4"/>
  <c r="AK254" i="4"/>
  <c r="AL254" i="4" s="1"/>
  <c r="B254" i="4"/>
  <c r="AT253" i="4"/>
  <c r="AM253" i="4"/>
  <c r="AK253" i="4"/>
  <c r="AL253" i="4" s="1"/>
  <c r="B253" i="4"/>
  <c r="AT252" i="4"/>
  <c r="AM252" i="4"/>
  <c r="AK252" i="4"/>
  <c r="AL252" i="4" s="1"/>
  <c r="B252" i="4"/>
  <c r="AT251" i="4"/>
  <c r="AM251" i="4"/>
  <c r="AK251" i="4"/>
  <c r="AL251" i="4" s="1"/>
  <c r="B251" i="4"/>
  <c r="AT250" i="4"/>
  <c r="AM250" i="4"/>
  <c r="AL250" i="4"/>
  <c r="AK250" i="4"/>
  <c r="B250" i="4"/>
  <c r="AT249" i="4"/>
  <c r="AM249" i="4"/>
  <c r="AL249" i="4"/>
  <c r="AK249" i="4"/>
  <c r="B249" i="4"/>
  <c r="AT248" i="4"/>
  <c r="AM248" i="4"/>
  <c r="AK248" i="4"/>
  <c r="AL248" i="4" s="1"/>
  <c r="B248" i="4"/>
  <c r="AT247" i="4"/>
  <c r="AM247" i="4"/>
  <c r="AK247" i="4"/>
  <c r="AL247" i="4" s="1"/>
  <c r="B247" i="4"/>
  <c r="AT246" i="4"/>
  <c r="AM246" i="4"/>
  <c r="AK246" i="4"/>
  <c r="AL246" i="4" s="1"/>
  <c r="B246" i="4"/>
  <c r="AT245" i="4"/>
  <c r="AM245" i="4"/>
  <c r="AK245" i="4"/>
  <c r="AL245" i="4" s="1"/>
  <c r="B245" i="4"/>
  <c r="AT244" i="4"/>
  <c r="AM244" i="4"/>
  <c r="AK244" i="4"/>
  <c r="AL244" i="4" s="1"/>
  <c r="B244" i="4"/>
  <c r="AT243" i="4"/>
  <c r="AM243" i="4"/>
  <c r="AK243" i="4"/>
  <c r="AL243" i="4" s="1"/>
  <c r="B243" i="4"/>
  <c r="AT242" i="4"/>
  <c r="AM242" i="4"/>
  <c r="AK242" i="4"/>
  <c r="AL242" i="4" s="1"/>
  <c r="B242" i="4"/>
  <c r="AT241" i="4"/>
  <c r="AM241" i="4"/>
  <c r="AK241" i="4"/>
  <c r="AL241" i="4" s="1"/>
  <c r="B241" i="4"/>
  <c r="AT240" i="4"/>
  <c r="AM240" i="4"/>
  <c r="AK240" i="4"/>
  <c r="AL240" i="4" s="1"/>
  <c r="B240" i="4"/>
  <c r="AT239" i="4"/>
  <c r="AM239" i="4"/>
  <c r="AK239" i="4"/>
  <c r="AL239" i="4" s="1"/>
  <c r="B239" i="4"/>
  <c r="AT238" i="4"/>
  <c r="AM238" i="4"/>
  <c r="AK238" i="4"/>
  <c r="AL238" i="4" s="1"/>
  <c r="B238" i="4"/>
  <c r="AT237" i="4"/>
  <c r="AM237" i="4"/>
  <c r="AL237" i="4"/>
  <c r="AK237" i="4"/>
  <c r="B237" i="4"/>
  <c r="AT236" i="4"/>
  <c r="AM236" i="4"/>
  <c r="AK236" i="4"/>
  <c r="AL236" i="4" s="1"/>
  <c r="B236" i="4"/>
  <c r="AT235" i="4"/>
  <c r="AM235" i="4"/>
  <c r="AK235" i="4"/>
  <c r="AL235" i="4" s="1"/>
  <c r="B235" i="4"/>
  <c r="AT234" i="4"/>
  <c r="AM234" i="4"/>
  <c r="AL234" i="4"/>
  <c r="AK234" i="4"/>
  <c r="B234" i="4"/>
  <c r="AT233" i="4"/>
  <c r="AM233" i="4"/>
  <c r="AK233" i="4"/>
  <c r="AL233" i="4" s="1"/>
  <c r="B233" i="4"/>
  <c r="AT232" i="4"/>
  <c r="AM232" i="4"/>
  <c r="AK232" i="4"/>
  <c r="AL232" i="4" s="1"/>
  <c r="B232" i="4"/>
  <c r="AT231" i="4"/>
  <c r="AM231" i="4"/>
  <c r="AK231" i="4"/>
  <c r="AL231" i="4" s="1"/>
  <c r="B231" i="4"/>
  <c r="AT230" i="4"/>
  <c r="AM230" i="4"/>
  <c r="AK230" i="4"/>
  <c r="AL230" i="4" s="1"/>
  <c r="B230" i="4"/>
  <c r="AT229" i="4"/>
  <c r="AM229" i="4"/>
  <c r="AK229" i="4"/>
  <c r="AL229" i="4" s="1"/>
  <c r="B229" i="4"/>
  <c r="AT228" i="4"/>
  <c r="AM228" i="4"/>
  <c r="AK228" i="4"/>
  <c r="AL228" i="4" s="1"/>
  <c r="B228" i="4"/>
  <c r="AT227" i="4"/>
  <c r="AM227" i="4"/>
  <c r="AK227" i="4"/>
  <c r="AL227" i="4" s="1"/>
  <c r="B227" i="4"/>
  <c r="AT226" i="4"/>
  <c r="AM226" i="4"/>
  <c r="AK226" i="4"/>
  <c r="AL226" i="4" s="1"/>
  <c r="B226" i="4"/>
  <c r="AT225" i="4"/>
  <c r="AK225" i="4"/>
  <c r="AM225" i="4" s="1"/>
  <c r="B225" i="4"/>
  <c r="AT224" i="4"/>
  <c r="AK224" i="4"/>
  <c r="B224" i="4"/>
  <c r="AT223" i="4"/>
  <c r="AM223" i="4"/>
  <c r="AK223" i="4"/>
  <c r="AL223" i="4" s="1"/>
  <c r="B223" i="4"/>
  <c r="AT222" i="4"/>
  <c r="AM222" i="4"/>
  <c r="AK222" i="4"/>
  <c r="AL222" i="4" s="1"/>
  <c r="B222" i="4"/>
  <c r="AT221" i="4"/>
  <c r="AM221" i="4"/>
  <c r="AK221" i="4"/>
  <c r="AL221" i="4" s="1"/>
  <c r="B221" i="4"/>
  <c r="AT220" i="4"/>
  <c r="AM220" i="4"/>
  <c r="AK220" i="4"/>
  <c r="AL220" i="4" s="1"/>
  <c r="B220" i="4"/>
  <c r="AT219" i="4"/>
  <c r="AM219" i="4"/>
  <c r="AK219" i="4"/>
  <c r="AL219" i="4" s="1"/>
  <c r="B219" i="4"/>
  <c r="AT218" i="4"/>
  <c r="AM218" i="4"/>
  <c r="AK218" i="4"/>
  <c r="AL218" i="4" s="1"/>
  <c r="B218" i="4"/>
  <c r="AT217" i="4"/>
  <c r="AM217" i="4"/>
  <c r="AK217" i="4"/>
  <c r="AL217" i="4" s="1"/>
  <c r="B217" i="4"/>
  <c r="AT216" i="4"/>
  <c r="AM216" i="4"/>
  <c r="AK216" i="4"/>
  <c r="AL216" i="4" s="1"/>
  <c r="B216" i="4"/>
  <c r="AT215" i="4"/>
  <c r="AM215" i="4"/>
  <c r="AK215" i="4"/>
  <c r="AL215" i="4" s="1"/>
  <c r="B215" i="4"/>
  <c r="AT214" i="4"/>
  <c r="AM214" i="4"/>
  <c r="AL214" i="4"/>
  <c r="AK214" i="4"/>
  <c r="B214" i="4"/>
  <c r="AT213" i="4"/>
  <c r="AM213" i="4"/>
  <c r="AL213" i="4"/>
  <c r="AK213" i="4"/>
  <c r="B213" i="4"/>
  <c r="AT212" i="4"/>
  <c r="AM212" i="4"/>
  <c r="AK212" i="4"/>
  <c r="AL212" i="4" s="1"/>
  <c r="B212" i="4"/>
  <c r="AT211" i="4"/>
  <c r="AM211" i="4"/>
  <c r="AK211" i="4"/>
  <c r="AL211" i="4" s="1"/>
  <c r="B211" i="4"/>
  <c r="AT210" i="4"/>
  <c r="AM210" i="4"/>
  <c r="AK210" i="4"/>
  <c r="AL210" i="4" s="1"/>
  <c r="B210" i="4"/>
  <c r="AT209" i="4"/>
  <c r="AM209" i="4"/>
  <c r="AK209" i="4"/>
  <c r="AL209" i="4" s="1"/>
  <c r="B209" i="4"/>
  <c r="AT208" i="4"/>
  <c r="AM208" i="4"/>
  <c r="AK208" i="4"/>
  <c r="AL208" i="4" s="1"/>
  <c r="B208" i="4"/>
  <c r="AT207" i="4"/>
  <c r="AK207" i="4"/>
  <c r="AM207" i="4" s="1"/>
  <c r="B207" i="4"/>
  <c r="AT206" i="4"/>
  <c r="AM206" i="4"/>
  <c r="AK206" i="4"/>
  <c r="AL206" i="4" s="1"/>
  <c r="B206" i="4"/>
  <c r="AT205" i="4"/>
  <c r="AM205" i="4"/>
  <c r="AK205" i="4"/>
  <c r="AL205" i="4" s="1"/>
  <c r="B205" i="4"/>
  <c r="AT204" i="4"/>
  <c r="AM204" i="4"/>
  <c r="AK204" i="4"/>
  <c r="AL204" i="4" s="1"/>
  <c r="B204" i="4"/>
  <c r="AT203" i="4"/>
  <c r="AM203" i="4"/>
  <c r="AL203" i="4"/>
  <c r="AK203" i="4"/>
  <c r="B203" i="4"/>
  <c r="AT202" i="4"/>
  <c r="AM202" i="4"/>
  <c r="AK202" i="4"/>
  <c r="AL202" i="4" s="1"/>
  <c r="B202" i="4"/>
  <c r="AT201" i="4"/>
  <c r="AM201" i="4"/>
  <c r="AK201" i="4"/>
  <c r="AL201" i="4" s="1"/>
  <c r="B201" i="4"/>
  <c r="AT200" i="4"/>
  <c r="AM200" i="4"/>
  <c r="AK200" i="4"/>
  <c r="AL200" i="4" s="1"/>
  <c r="B200" i="4"/>
  <c r="AT199" i="4"/>
  <c r="AM199" i="4"/>
  <c r="AK199" i="4"/>
  <c r="AL199" i="4" s="1"/>
  <c r="B199" i="4"/>
  <c r="AT198" i="4"/>
  <c r="AM198" i="4"/>
  <c r="AK198" i="4"/>
  <c r="AL198" i="4" s="1"/>
  <c r="B198" i="4"/>
  <c r="AT197" i="4"/>
  <c r="AM197" i="4"/>
  <c r="AK197" i="4"/>
  <c r="AL197" i="4" s="1"/>
  <c r="B197" i="4"/>
  <c r="AT196" i="4"/>
  <c r="AM196" i="4"/>
  <c r="AK196" i="4"/>
  <c r="AL196" i="4" s="1"/>
  <c r="B196" i="4"/>
  <c r="AT195" i="4"/>
  <c r="AM195" i="4"/>
  <c r="AK195" i="4"/>
  <c r="AL195" i="4" s="1"/>
  <c r="B195" i="4"/>
  <c r="AT194" i="4"/>
  <c r="AM194" i="4"/>
  <c r="AK194" i="4"/>
  <c r="AL194" i="4" s="1"/>
  <c r="B194" i="4"/>
  <c r="AT193" i="4"/>
  <c r="AM193" i="4"/>
  <c r="AK193" i="4"/>
  <c r="AL193" i="4" s="1"/>
  <c r="B193" i="4"/>
  <c r="AT192" i="4"/>
  <c r="AM192" i="4"/>
  <c r="AK192" i="4"/>
  <c r="AL192" i="4" s="1"/>
  <c r="B192" i="4"/>
  <c r="AT191" i="4"/>
  <c r="AM191" i="4"/>
  <c r="AK191" i="4"/>
  <c r="AL191" i="4" s="1"/>
  <c r="B191" i="4"/>
  <c r="AT190" i="4"/>
  <c r="AM190" i="4"/>
  <c r="AK190" i="4"/>
  <c r="AL190" i="4" s="1"/>
  <c r="B190" i="4"/>
  <c r="AT189" i="4"/>
  <c r="AM189" i="4"/>
  <c r="AK189" i="4"/>
  <c r="AL189" i="4" s="1"/>
  <c r="B189" i="4"/>
  <c r="AT188" i="4"/>
  <c r="AM188" i="4"/>
  <c r="AK188" i="4"/>
  <c r="AL188" i="4" s="1"/>
  <c r="B188" i="4"/>
  <c r="AT187" i="4"/>
  <c r="AM187" i="4"/>
  <c r="AK187" i="4"/>
  <c r="AL187" i="4" s="1"/>
  <c r="B187" i="4"/>
  <c r="AT186" i="4"/>
  <c r="AM186" i="4"/>
  <c r="AK186" i="4"/>
  <c r="AL186" i="4" s="1"/>
  <c r="B186" i="4"/>
  <c r="AT185" i="4"/>
  <c r="AM185" i="4"/>
  <c r="AK185" i="4"/>
  <c r="AL185" i="4" s="1"/>
  <c r="B185" i="4"/>
  <c r="AT184" i="4"/>
  <c r="AM184" i="4"/>
  <c r="AK184" i="4"/>
  <c r="AL184" i="4" s="1"/>
  <c r="B184" i="4"/>
  <c r="AT183" i="4"/>
  <c r="AM183" i="4"/>
  <c r="AL183" i="4"/>
  <c r="AK183" i="4"/>
  <c r="B183" i="4"/>
  <c r="AT182" i="4"/>
  <c r="AM182" i="4"/>
  <c r="AK182" i="4"/>
  <c r="AL182" i="4" s="1"/>
  <c r="B182" i="4"/>
  <c r="AT181" i="4"/>
  <c r="AM181" i="4"/>
  <c r="AK181" i="4"/>
  <c r="AL181" i="4" s="1"/>
  <c r="B181" i="4"/>
  <c r="AT180" i="4"/>
  <c r="AM180" i="4"/>
  <c r="AK180" i="4"/>
  <c r="AL180" i="4" s="1"/>
  <c r="B180" i="4"/>
  <c r="AT179" i="4"/>
  <c r="AM179" i="4"/>
  <c r="AK179" i="4"/>
  <c r="AL179" i="4" s="1"/>
  <c r="B179" i="4"/>
  <c r="AT178" i="4"/>
  <c r="AM178" i="4"/>
  <c r="AK178" i="4"/>
  <c r="AL178" i="4" s="1"/>
  <c r="B178" i="4"/>
  <c r="AT177" i="4"/>
  <c r="AM177" i="4"/>
  <c r="AK177" i="4"/>
  <c r="AL177" i="4" s="1"/>
  <c r="B177" i="4"/>
  <c r="AT176" i="4"/>
  <c r="AM176" i="4"/>
  <c r="AK176" i="4"/>
  <c r="AL176" i="4" s="1"/>
  <c r="B176" i="4"/>
  <c r="AT175" i="4"/>
  <c r="AM175" i="4"/>
  <c r="AK175" i="4"/>
  <c r="AL175" i="4" s="1"/>
  <c r="B175" i="4"/>
  <c r="AT174" i="4"/>
  <c r="AK174" i="4"/>
  <c r="AL174" i="4" s="1"/>
  <c r="B174" i="4"/>
  <c r="AT173" i="4"/>
  <c r="AK173" i="4"/>
  <c r="AL173" i="4" s="1"/>
  <c r="B173" i="4"/>
  <c r="AT172" i="4"/>
  <c r="AM172" i="4"/>
  <c r="AK172" i="4"/>
  <c r="AL172" i="4" s="1"/>
  <c r="B172" i="4"/>
  <c r="AT171" i="4"/>
  <c r="AM171" i="4"/>
  <c r="AK171" i="4"/>
  <c r="AL171" i="4" s="1"/>
  <c r="B171" i="4"/>
  <c r="AM170" i="4"/>
  <c r="AK170" i="4"/>
  <c r="AT170" i="4" s="1"/>
  <c r="B170" i="4"/>
  <c r="AT169" i="4"/>
  <c r="AM169" i="4"/>
  <c r="AK169" i="4"/>
  <c r="AL169" i="4" s="1"/>
  <c r="B169" i="4"/>
  <c r="AT168" i="4"/>
  <c r="AM168" i="4"/>
  <c r="AK168" i="4"/>
  <c r="AL168" i="4" s="1"/>
  <c r="B168" i="4"/>
  <c r="AT167" i="4"/>
  <c r="AM167" i="4"/>
  <c r="AK167" i="4"/>
  <c r="AL167" i="4" s="1"/>
  <c r="B167" i="4"/>
  <c r="AT166" i="4"/>
  <c r="AM166" i="4"/>
  <c r="AK166" i="4"/>
  <c r="AL166" i="4" s="1"/>
  <c r="B166" i="4"/>
  <c r="AT165" i="4"/>
  <c r="AM165" i="4"/>
  <c r="AK165" i="4"/>
  <c r="AL165" i="4" s="1"/>
  <c r="B165" i="4"/>
  <c r="AT164" i="4"/>
  <c r="AM164" i="4"/>
  <c r="AK164" i="4"/>
  <c r="AL164" i="4" s="1"/>
  <c r="B164" i="4"/>
  <c r="AT163" i="4"/>
  <c r="AM163" i="4"/>
  <c r="AK163" i="4"/>
  <c r="AL163" i="4" s="1"/>
  <c r="B163" i="4"/>
  <c r="AT162" i="4"/>
  <c r="AM162" i="4"/>
  <c r="AK162" i="4"/>
  <c r="AL162" i="4" s="1"/>
  <c r="B162" i="4"/>
  <c r="AT161" i="4"/>
  <c r="AK161" i="4"/>
  <c r="AL161" i="4" s="1"/>
  <c r="B161" i="4"/>
  <c r="AT160" i="4"/>
  <c r="AM160" i="4"/>
  <c r="AK160" i="4"/>
  <c r="AL160" i="4" s="1"/>
  <c r="B160" i="4"/>
  <c r="AT159" i="4"/>
  <c r="AM159" i="4"/>
  <c r="AK159" i="4"/>
  <c r="AL159" i="4" s="1"/>
  <c r="B159" i="4"/>
  <c r="AT158" i="4"/>
  <c r="AM158" i="4"/>
  <c r="AK158" i="4"/>
  <c r="AL158" i="4" s="1"/>
  <c r="B158" i="4"/>
  <c r="AT157" i="4"/>
  <c r="AM157" i="4"/>
  <c r="AK157" i="4"/>
  <c r="AL157" i="4" s="1"/>
  <c r="B157" i="4"/>
  <c r="AT156" i="4"/>
  <c r="AM156" i="4"/>
  <c r="AK156" i="4"/>
  <c r="AL156" i="4" s="1"/>
  <c r="B156" i="4"/>
  <c r="AT155" i="4"/>
  <c r="AM155" i="4"/>
  <c r="AK155" i="4"/>
  <c r="AL155" i="4" s="1"/>
  <c r="B155" i="4"/>
  <c r="AT154" i="4"/>
  <c r="AM154" i="4"/>
  <c r="AK154" i="4"/>
  <c r="AL154" i="4" s="1"/>
  <c r="B154" i="4"/>
  <c r="AT153" i="4"/>
  <c r="AM153" i="4"/>
  <c r="AK153" i="4"/>
  <c r="AL153" i="4" s="1"/>
  <c r="B153" i="4"/>
  <c r="AT152" i="4"/>
  <c r="AM152" i="4"/>
  <c r="AK152" i="4"/>
  <c r="AL152" i="4" s="1"/>
  <c r="B152" i="4"/>
  <c r="AT151" i="4"/>
  <c r="AM151" i="4"/>
  <c r="AK151" i="4"/>
  <c r="AL151" i="4" s="1"/>
  <c r="B151" i="4"/>
  <c r="AT150" i="4"/>
  <c r="AK150" i="4"/>
  <c r="AL150" i="4" s="1"/>
  <c r="B150" i="4"/>
  <c r="AM149" i="4"/>
  <c r="AK149" i="4"/>
  <c r="AL149" i="4" s="1"/>
  <c r="B149" i="4"/>
  <c r="AK148" i="4"/>
  <c r="AM148" i="4" s="1"/>
  <c r="B148" i="4"/>
  <c r="AT147" i="4"/>
  <c r="AM147" i="4"/>
  <c r="AL147" i="4"/>
  <c r="AK147" i="4"/>
  <c r="B147" i="4"/>
  <c r="AT146" i="4"/>
  <c r="AM146" i="4"/>
  <c r="AK146" i="4"/>
  <c r="AL146" i="4" s="1"/>
  <c r="B146" i="4"/>
  <c r="AT145" i="4"/>
  <c r="AK145" i="4"/>
  <c r="AL145" i="4" s="1"/>
  <c r="B145" i="4"/>
  <c r="AT144" i="4"/>
  <c r="AK144" i="4"/>
  <c r="AM144" i="4" s="1"/>
  <c r="B144" i="4"/>
  <c r="AT143" i="4"/>
  <c r="AK143" i="4"/>
  <c r="AM143" i="4" s="1"/>
  <c r="B143" i="4"/>
  <c r="AT142" i="4"/>
  <c r="AK142" i="4"/>
  <c r="AL142" i="4" s="1"/>
  <c r="B142" i="4"/>
  <c r="AT141" i="4"/>
  <c r="AM141" i="4"/>
  <c r="AK141" i="4"/>
  <c r="AL141" i="4" s="1"/>
  <c r="B141" i="4"/>
  <c r="AT140" i="4"/>
  <c r="AM140" i="4"/>
  <c r="AK140" i="4"/>
  <c r="AL140" i="4" s="1"/>
  <c r="B140" i="4"/>
  <c r="AT139" i="4"/>
  <c r="AM139" i="4"/>
  <c r="AL139" i="4"/>
  <c r="AK139" i="4"/>
  <c r="B139" i="4"/>
  <c r="AT138" i="4"/>
  <c r="AM138" i="4"/>
  <c r="AK138" i="4"/>
  <c r="AL138" i="4" s="1"/>
  <c r="B138" i="4"/>
  <c r="AT137" i="4"/>
  <c r="AM137" i="4"/>
  <c r="AK137" i="4"/>
  <c r="AL137" i="4" s="1"/>
  <c r="B137" i="4"/>
  <c r="AT136" i="4"/>
  <c r="AM136" i="4"/>
  <c r="AK136" i="4"/>
  <c r="AL136" i="4" s="1"/>
  <c r="B136" i="4"/>
  <c r="AT135" i="4"/>
  <c r="AM135" i="4"/>
  <c r="AK135" i="4"/>
  <c r="AL135" i="4" s="1"/>
  <c r="B135" i="4"/>
  <c r="AT134" i="4"/>
  <c r="AM134" i="4"/>
  <c r="AK134" i="4"/>
  <c r="AL134" i="4" s="1"/>
  <c r="B134" i="4"/>
  <c r="AT133" i="4"/>
  <c r="AM133" i="4"/>
  <c r="AK133" i="4"/>
  <c r="AL133" i="4" s="1"/>
  <c r="B133" i="4"/>
  <c r="AT132" i="4"/>
  <c r="AM132" i="4"/>
  <c r="AK132" i="4"/>
  <c r="AL132" i="4" s="1"/>
  <c r="B132" i="4"/>
  <c r="AT131" i="4"/>
  <c r="AM131" i="4"/>
  <c r="AK131" i="4"/>
  <c r="AL131" i="4" s="1"/>
  <c r="B131" i="4"/>
  <c r="AT130" i="4"/>
  <c r="AM130" i="4"/>
  <c r="AK130" i="4"/>
  <c r="AL130" i="4" s="1"/>
  <c r="B130" i="4"/>
  <c r="AT129" i="4"/>
  <c r="AM129" i="4"/>
  <c r="AK129" i="4"/>
  <c r="AL129" i="4" s="1"/>
  <c r="B129" i="4"/>
  <c r="AT128" i="4"/>
  <c r="AM128" i="4"/>
  <c r="AK128" i="4"/>
  <c r="AL128" i="4" s="1"/>
  <c r="B128" i="4"/>
  <c r="AT127" i="4"/>
  <c r="AM127" i="4"/>
  <c r="AL127" i="4"/>
  <c r="AK127" i="4"/>
  <c r="B127" i="4"/>
  <c r="AT126" i="4"/>
  <c r="AM126" i="4"/>
  <c r="AK126" i="4"/>
  <c r="AL126" i="4" s="1"/>
  <c r="B126" i="4"/>
  <c r="AT125" i="4"/>
  <c r="AM125" i="4"/>
  <c r="AK125" i="4"/>
  <c r="AL125" i="4" s="1"/>
  <c r="B125" i="4"/>
  <c r="AT124" i="4"/>
  <c r="AM124" i="4"/>
  <c r="AK124" i="4"/>
  <c r="AL124" i="4" s="1"/>
  <c r="B124" i="4"/>
  <c r="AT123" i="4"/>
  <c r="AM123" i="4"/>
  <c r="AK123" i="4"/>
  <c r="AL123" i="4" s="1"/>
  <c r="B123" i="4"/>
  <c r="AT122" i="4"/>
  <c r="AM122" i="4"/>
  <c r="AK122" i="4"/>
  <c r="AL122" i="4" s="1"/>
  <c r="B122" i="4"/>
  <c r="AM121" i="4"/>
  <c r="AK121" i="4"/>
  <c r="AL121" i="4" s="1"/>
  <c r="B121" i="4"/>
  <c r="AM120" i="4"/>
  <c r="AK120" i="4"/>
  <c r="AL120" i="4" s="1"/>
  <c r="B120" i="4"/>
  <c r="AT119" i="4"/>
  <c r="AM119" i="4"/>
  <c r="AK119" i="4"/>
  <c r="AL119" i="4" s="1"/>
  <c r="B119" i="4"/>
  <c r="AT118" i="4"/>
  <c r="AM118" i="4"/>
  <c r="AK118" i="4"/>
  <c r="AL118" i="4" s="1"/>
  <c r="B118" i="4"/>
  <c r="AT117" i="4"/>
  <c r="AK117" i="4"/>
  <c r="AL117" i="4" s="1"/>
  <c r="B117" i="4"/>
  <c r="AT116" i="4"/>
  <c r="AK116" i="4"/>
  <c r="AM116" i="4" s="1"/>
  <c r="B116" i="4"/>
  <c r="AT115" i="4"/>
  <c r="AL115" i="4"/>
  <c r="AK115" i="4"/>
  <c r="AM115" i="4" s="1"/>
  <c r="B115" i="4"/>
  <c r="AT114" i="4"/>
  <c r="AM114" i="4"/>
  <c r="AK114" i="4"/>
  <c r="AL114" i="4" s="1"/>
  <c r="B114" i="4"/>
  <c r="AT113" i="4"/>
  <c r="AK113" i="4"/>
  <c r="AL113" i="4" s="1"/>
  <c r="B113" i="4"/>
  <c r="AT112" i="4"/>
  <c r="AK112" i="4"/>
  <c r="AM112" i="4" s="1"/>
  <c r="B112" i="4"/>
  <c r="AT111" i="4"/>
  <c r="AK111" i="4"/>
  <c r="AM111" i="4" s="1"/>
  <c r="B111" i="4"/>
  <c r="AT110" i="4"/>
  <c r="AK110" i="4"/>
  <c r="AL110" i="4" s="1"/>
  <c r="B110" i="4"/>
  <c r="AT109" i="4"/>
  <c r="AM109" i="4"/>
  <c r="AK109" i="4"/>
  <c r="AL109" i="4" s="1"/>
  <c r="B109" i="4"/>
  <c r="AT108" i="4"/>
  <c r="AM108" i="4"/>
  <c r="AK108" i="4"/>
  <c r="AL108" i="4" s="1"/>
  <c r="B108" i="4"/>
  <c r="AT107" i="4"/>
  <c r="AM107" i="4"/>
  <c r="AL107" i="4"/>
  <c r="AK107" i="4"/>
  <c r="B107" i="4"/>
  <c r="AT106" i="4"/>
  <c r="AM106" i="4"/>
  <c r="AK106" i="4"/>
  <c r="AL106" i="4" s="1"/>
  <c r="B106" i="4"/>
  <c r="AT105" i="4"/>
  <c r="AM105" i="4"/>
  <c r="AK105" i="4"/>
  <c r="AL105" i="4" s="1"/>
  <c r="B105" i="4"/>
  <c r="AT104" i="4"/>
  <c r="AM104" i="4"/>
  <c r="AK104" i="4"/>
  <c r="AL104" i="4" s="1"/>
  <c r="B104" i="4"/>
  <c r="AT103" i="4"/>
  <c r="AM103" i="4"/>
  <c r="AK103" i="4"/>
  <c r="AL103" i="4" s="1"/>
  <c r="B103" i="4"/>
  <c r="AT102" i="4"/>
  <c r="AM102" i="4"/>
  <c r="AK102" i="4"/>
  <c r="AL102" i="4" s="1"/>
  <c r="B102" i="4"/>
  <c r="AT101" i="4"/>
  <c r="AM101" i="4"/>
  <c r="AK101" i="4"/>
  <c r="AL101" i="4" s="1"/>
  <c r="B101" i="4"/>
  <c r="AT100" i="4"/>
  <c r="AM100" i="4"/>
  <c r="AK100" i="4"/>
  <c r="AL100" i="4" s="1"/>
  <c r="B100" i="4"/>
  <c r="AT99" i="4"/>
  <c r="AM99" i="4"/>
  <c r="AK99" i="4"/>
  <c r="AL99" i="4" s="1"/>
  <c r="B99" i="4"/>
  <c r="AT98" i="4"/>
  <c r="AM98" i="4"/>
  <c r="AK98" i="4"/>
  <c r="AL98" i="4" s="1"/>
  <c r="B98" i="4"/>
  <c r="AT97" i="4"/>
  <c r="AM97" i="4"/>
  <c r="AK97" i="4"/>
  <c r="AL97" i="4" s="1"/>
  <c r="B97" i="4"/>
  <c r="AT96" i="4"/>
  <c r="AM96" i="4"/>
  <c r="AK96" i="4"/>
  <c r="AL96" i="4" s="1"/>
  <c r="B96" i="4"/>
  <c r="AT95" i="4"/>
  <c r="AM95" i="4"/>
  <c r="AK95" i="4"/>
  <c r="AL95" i="4" s="1"/>
  <c r="B95" i="4"/>
  <c r="AT94" i="4"/>
  <c r="AM94" i="4"/>
  <c r="AK94" i="4"/>
  <c r="AL94" i="4" s="1"/>
  <c r="B94" i="4"/>
  <c r="AT93" i="4"/>
  <c r="AM93" i="4"/>
  <c r="AK93" i="4"/>
  <c r="AL93" i="4" s="1"/>
  <c r="B93" i="4"/>
  <c r="AT92" i="4"/>
  <c r="AM92" i="4"/>
  <c r="AK92" i="4"/>
  <c r="AL92" i="4" s="1"/>
  <c r="B92" i="4"/>
  <c r="AT91" i="4"/>
  <c r="AM91" i="4"/>
  <c r="AL91" i="4"/>
  <c r="AK91" i="4"/>
  <c r="B91" i="4"/>
  <c r="AT90" i="4"/>
  <c r="AM90" i="4"/>
  <c r="AK90" i="4"/>
  <c r="AL90" i="4" s="1"/>
  <c r="B90" i="4"/>
  <c r="AT89" i="4"/>
  <c r="AM89" i="4"/>
  <c r="AK89" i="4"/>
  <c r="AL89" i="4" s="1"/>
  <c r="N89" i="4"/>
  <c r="B89" i="4"/>
  <c r="AT88" i="4"/>
  <c r="AM88" i="4"/>
  <c r="AK88" i="4"/>
  <c r="AL88" i="4" s="1"/>
  <c r="B88" i="4"/>
  <c r="AT87" i="4"/>
  <c r="AK87" i="4"/>
  <c r="AL87" i="4" s="1"/>
  <c r="B87" i="4"/>
  <c r="AT86" i="4"/>
  <c r="AM86" i="4"/>
  <c r="AK86" i="4"/>
  <c r="AL86" i="4" s="1"/>
  <c r="B86" i="4"/>
  <c r="AT85" i="4"/>
  <c r="AM85" i="4"/>
  <c r="AL85" i="4"/>
  <c r="AK85" i="4"/>
  <c r="B85" i="4"/>
  <c r="AT84" i="4"/>
  <c r="AM84" i="4"/>
  <c r="AK84" i="4"/>
  <c r="AL84" i="4" s="1"/>
  <c r="N84" i="4"/>
  <c r="R1420" i="4" s="1"/>
  <c r="B84" i="4"/>
  <c r="AT83" i="4"/>
  <c r="AM83" i="4"/>
  <c r="AK83" i="4"/>
  <c r="AL83" i="4" s="1"/>
  <c r="B83" i="4"/>
  <c r="AT82" i="4"/>
  <c r="AM82" i="4"/>
  <c r="AL82" i="4"/>
  <c r="AK82" i="4"/>
  <c r="M82" i="4"/>
  <c r="B82" i="4"/>
  <c r="AT81" i="4"/>
  <c r="AM81" i="4"/>
  <c r="AK81" i="4"/>
  <c r="AL81" i="4" s="1"/>
  <c r="B81" i="4"/>
  <c r="AT80" i="4"/>
  <c r="AM80" i="4"/>
  <c r="AK80" i="4"/>
  <c r="AL80" i="4" s="1"/>
  <c r="B80" i="4"/>
  <c r="AT79" i="4"/>
  <c r="AM79" i="4"/>
  <c r="AK79" i="4"/>
  <c r="AL79" i="4" s="1"/>
  <c r="B79" i="4"/>
  <c r="AT78" i="4"/>
  <c r="AM78" i="4"/>
  <c r="AK78" i="4"/>
  <c r="AL78" i="4" s="1"/>
  <c r="B78" i="4"/>
  <c r="AT77" i="4"/>
  <c r="AM77" i="4"/>
  <c r="AK77" i="4"/>
  <c r="AL77" i="4" s="1"/>
  <c r="B77" i="4"/>
  <c r="AT76" i="4"/>
  <c r="AM76" i="4"/>
  <c r="AK76" i="4"/>
  <c r="AL76" i="4" s="1"/>
  <c r="B76" i="4"/>
  <c r="AT75" i="4"/>
  <c r="AM75" i="4"/>
  <c r="AK75" i="4"/>
  <c r="AL75" i="4" s="1"/>
  <c r="B75" i="4"/>
  <c r="AT74" i="4"/>
  <c r="AM74" i="4"/>
  <c r="AK74" i="4"/>
  <c r="AL74" i="4" s="1"/>
  <c r="B74" i="4"/>
  <c r="AT73" i="4"/>
  <c r="AM73" i="4"/>
  <c r="AK73" i="4"/>
  <c r="AL73" i="4" s="1"/>
  <c r="B73" i="4"/>
  <c r="AM72" i="4"/>
  <c r="AK72" i="4"/>
  <c r="AT72" i="4" s="1"/>
  <c r="B72" i="4"/>
  <c r="AT71" i="4"/>
  <c r="AM71" i="4"/>
  <c r="AK71" i="4"/>
  <c r="AL71" i="4" s="1"/>
  <c r="B71" i="4"/>
  <c r="AT70" i="4"/>
  <c r="AM70" i="4"/>
  <c r="AK70" i="4"/>
  <c r="AL70" i="4" s="1"/>
  <c r="B70" i="4"/>
  <c r="AT69" i="4"/>
  <c r="AM69" i="4"/>
  <c r="AK69" i="4"/>
  <c r="AL69" i="4" s="1"/>
  <c r="B69" i="4"/>
  <c r="AT68" i="4"/>
  <c r="AM68" i="4"/>
  <c r="AL68" i="4"/>
  <c r="AK68" i="4"/>
  <c r="B68" i="4"/>
  <c r="AT67" i="4"/>
  <c r="AM67" i="4"/>
  <c r="AK67" i="4"/>
  <c r="AL67" i="4" s="1"/>
  <c r="B67" i="4"/>
  <c r="AT66" i="4"/>
  <c r="AM66" i="4"/>
  <c r="AK66" i="4"/>
  <c r="AL66" i="4" s="1"/>
  <c r="B66" i="4"/>
  <c r="AT65" i="4"/>
  <c r="AM65" i="4"/>
  <c r="AK65" i="4"/>
  <c r="AL65" i="4" s="1"/>
  <c r="B65" i="4"/>
  <c r="AT64" i="4"/>
  <c r="AM64" i="4"/>
  <c r="AK64" i="4"/>
  <c r="AL64" i="4" s="1"/>
  <c r="B64" i="4"/>
  <c r="AT63" i="4"/>
  <c r="AM63" i="4"/>
  <c r="AK63" i="4"/>
  <c r="AL63" i="4" s="1"/>
  <c r="B63" i="4"/>
  <c r="AT62" i="4"/>
  <c r="AM62" i="4"/>
  <c r="AL62" i="4"/>
  <c r="AK62" i="4"/>
  <c r="B62" i="4"/>
  <c r="AT61" i="4"/>
  <c r="AM61" i="4"/>
  <c r="AK61" i="4"/>
  <c r="AL61" i="4" s="1"/>
  <c r="B61" i="4"/>
  <c r="AT60" i="4"/>
  <c r="AM60" i="4"/>
  <c r="AK60" i="4"/>
  <c r="AL60" i="4" s="1"/>
  <c r="B60" i="4"/>
  <c r="AT59" i="4"/>
  <c r="AM59" i="4"/>
  <c r="AK59" i="4"/>
  <c r="AL59" i="4" s="1"/>
  <c r="B59" i="4"/>
  <c r="AT58" i="4"/>
  <c r="AK58" i="4"/>
  <c r="AL58" i="4" s="1"/>
  <c r="B58" i="4"/>
  <c r="AT57" i="4"/>
  <c r="AK57" i="4"/>
  <c r="AM57" i="4" s="1"/>
  <c r="B57" i="4"/>
  <c r="AT56" i="4"/>
  <c r="AS56" i="4"/>
  <c r="AQ56" i="4"/>
  <c r="AM56" i="4"/>
  <c r="AL56" i="4"/>
  <c r="AK56" i="4"/>
  <c r="B56" i="4"/>
  <c r="AT55" i="4"/>
  <c r="AS55" i="4"/>
  <c r="AQ55" i="4"/>
  <c r="AM55" i="4"/>
  <c r="AK55" i="4"/>
  <c r="AL55" i="4" s="1"/>
  <c r="M55" i="4"/>
  <c r="B55" i="4"/>
  <c r="AT54" i="4"/>
  <c r="AM54" i="4"/>
  <c r="AK54" i="4"/>
  <c r="AL54" i="4" s="1"/>
  <c r="B54" i="4"/>
  <c r="AT53" i="4"/>
  <c r="AM53" i="4"/>
  <c r="AL53" i="4"/>
  <c r="AK53" i="4"/>
  <c r="B53" i="4"/>
  <c r="AT52" i="4"/>
  <c r="AM52" i="4"/>
  <c r="AL52" i="4"/>
  <c r="AK52" i="4"/>
  <c r="B52" i="4"/>
  <c r="AT51" i="4"/>
  <c r="AM51" i="4"/>
  <c r="AK51" i="4"/>
  <c r="AL51" i="4" s="1"/>
  <c r="B51" i="4"/>
  <c r="AT50" i="4"/>
  <c r="AM50" i="4"/>
  <c r="AK50" i="4"/>
  <c r="AL50" i="4" s="1"/>
  <c r="B50" i="4"/>
  <c r="AT49" i="4"/>
  <c r="AM49" i="4"/>
  <c r="AK49" i="4"/>
  <c r="AL49" i="4" s="1"/>
  <c r="B49" i="4"/>
  <c r="AT48" i="4"/>
  <c r="AM48" i="4"/>
  <c r="AK48" i="4"/>
  <c r="AL48" i="4" s="1"/>
  <c r="B48" i="4"/>
  <c r="AT47" i="4"/>
  <c r="AK47" i="4"/>
  <c r="AM47" i="4" s="1"/>
  <c r="B47" i="4"/>
  <c r="AT46" i="4"/>
  <c r="AK46" i="4"/>
  <c r="AM46" i="4" s="1"/>
  <c r="B46" i="4"/>
  <c r="AT45" i="4"/>
  <c r="AM45" i="4"/>
  <c r="AK45" i="4"/>
  <c r="AL45" i="4" s="1"/>
  <c r="B45" i="4"/>
  <c r="AT44" i="4"/>
  <c r="AM44" i="4"/>
  <c r="AK44" i="4"/>
  <c r="AL44" i="4" s="1"/>
  <c r="B44" i="4"/>
  <c r="AT43" i="4"/>
  <c r="AM43" i="4"/>
  <c r="AK43" i="4"/>
  <c r="AL43" i="4" s="1"/>
  <c r="B43" i="4"/>
  <c r="AM42" i="4"/>
  <c r="AK42" i="4"/>
  <c r="AT42" i="4" s="1"/>
  <c r="B42" i="4"/>
  <c r="AT41" i="4"/>
  <c r="AM41" i="4"/>
  <c r="AK41" i="4"/>
  <c r="AL41" i="4" s="1"/>
  <c r="B41" i="4"/>
  <c r="AT40" i="4"/>
  <c r="AK40" i="4"/>
  <c r="AL40" i="4" s="1"/>
  <c r="B40" i="4"/>
  <c r="AT39" i="4"/>
  <c r="AM39" i="4"/>
  <c r="AK39" i="4"/>
  <c r="AL39" i="4" s="1"/>
  <c r="B39" i="4"/>
  <c r="AT38" i="4"/>
  <c r="AM38" i="4"/>
  <c r="AK38" i="4"/>
  <c r="AL38" i="4" s="1"/>
  <c r="B38" i="4"/>
  <c r="AT37" i="4"/>
  <c r="AM37" i="4"/>
  <c r="AK37" i="4"/>
  <c r="AL37" i="4" s="1"/>
  <c r="B37" i="4"/>
  <c r="AT36" i="4"/>
  <c r="AK36" i="4"/>
  <c r="AM36" i="4" s="1"/>
  <c r="B36" i="4"/>
  <c r="AK35" i="4"/>
  <c r="AL35" i="4" s="1"/>
  <c r="B35" i="4"/>
  <c r="AT34" i="4"/>
  <c r="AM34" i="4"/>
  <c r="AK34" i="4"/>
  <c r="AL34" i="4" s="1"/>
  <c r="B34" i="4"/>
  <c r="AT33" i="4"/>
  <c r="AK33" i="4"/>
  <c r="AM33" i="4" s="1"/>
  <c r="B33" i="4"/>
  <c r="AT32" i="4"/>
  <c r="AK32" i="4"/>
  <c r="AM32" i="4" s="1"/>
  <c r="B32" i="4"/>
  <c r="AT31" i="4"/>
  <c r="AK31" i="4"/>
  <c r="AM31" i="4" s="1"/>
  <c r="B31" i="4"/>
  <c r="AT30" i="4"/>
  <c r="AK30" i="4"/>
  <c r="AM30" i="4" s="1"/>
  <c r="B30" i="4"/>
  <c r="AT29" i="4"/>
  <c r="AK29" i="4"/>
  <c r="AM29" i="4" s="1"/>
  <c r="N29" i="4"/>
  <c r="C1417" i="4" s="1"/>
  <c r="B29" i="4"/>
  <c r="AT28" i="4"/>
  <c r="AM28" i="4"/>
  <c r="AK28" i="4"/>
  <c r="AL28" i="4" s="1"/>
  <c r="B28" i="4"/>
  <c r="AT27" i="4"/>
  <c r="AM27" i="4"/>
  <c r="AK27" i="4"/>
  <c r="AL27" i="4" s="1"/>
  <c r="B27" i="4"/>
  <c r="AT26" i="4"/>
  <c r="AM26" i="4"/>
  <c r="AK26" i="4"/>
  <c r="AL26" i="4" s="1"/>
  <c r="B26" i="4"/>
  <c r="AT25" i="4"/>
  <c r="AM25" i="4"/>
  <c r="AK25" i="4"/>
  <c r="AL25" i="4" s="1"/>
  <c r="B25" i="4"/>
  <c r="AT24" i="4"/>
  <c r="AM24" i="4"/>
  <c r="AK24" i="4"/>
  <c r="AL24" i="4" s="1"/>
  <c r="B24" i="4"/>
  <c r="AT23" i="4"/>
  <c r="AM23" i="4"/>
  <c r="AK23" i="4"/>
  <c r="AL23" i="4" s="1"/>
  <c r="B23" i="4"/>
  <c r="AT22" i="4"/>
  <c r="AK22" i="4"/>
  <c r="AM22" i="4" s="1"/>
  <c r="B22" i="4"/>
  <c r="AT21" i="4"/>
  <c r="AM21" i="4"/>
  <c r="AK21" i="4"/>
  <c r="AL21" i="4" s="1"/>
  <c r="B21" i="4"/>
  <c r="AT20" i="4"/>
  <c r="AM20" i="4"/>
  <c r="AL20" i="4"/>
  <c r="AK20" i="4"/>
  <c r="B20" i="4"/>
  <c r="AT19" i="4"/>
  <c r="AM19" i="4"/>
  <c r="AK19" i="4"/>
  <c r="AL19" i="4" s="1"/>
  <c r="B19" i="4"/>
  <c r="AT18" i="4"/>
  <c r="AL18" i="4"/>
  <c r="AK18" i="4"/>
  <c r="AM18" i="4" s="1"/>
  <c r="B18" i="4"/>
  <c r="AT17" i="4"/>
  <c r="AM17" i="4"/>
  <c r="AK17" i="4"/>
  <c r="AL17" i="4" s="1"/>
  <c r="B17" i="4"/>
  <c r="AT16" i="4"/>
  <c r="AK16" i="4"/>
  <c r="AM16" i="4" s="1"/>
  <c r="B16" i="4"/>
  <c r="AT15" i="4"/>
  <c r="AK15" i="4"/>
  <c r="AM15" i="4" s="1"/>
  <c r="B15" i="4"/>
  <c r="AT14" i="4"/>
  <c r="AL14" i="4"/>
  <c r="AK14" i="4"/>
  <c r="AM14" i="4" s="1"/>
  <c r="N14" i="4"/>
  <c r="B14" i="4"/>
  <c r="AT13" i="4"/>
  <c r="AK13" i="4"/>
  <c r="AL13" i="4" s="1"/>
  <c r="B13" i="4"/>
  <c r="AT12" i="4"/>
  <c r="AK12" i="4"/>
  <c r="AM12" i="4" s="1"/>
  <c r="B12" i="4"/>
  <c r="AT11" i="4"/>
  <c r="AK11" i="4"/>
  <c r="AM11" i="4" s="1"/>
  <c r="B11" i="4"/>
  <c r="AT10" i="4"/>
  <c r="AM10" i="4"/>
  <c r="AK10" i="4"/>
  <c r="AL10" i="4" s="1"/>
  <c r="B10" i="4"/>
  <c r="AT9" i="4"/>
  <c r="AK9" i="4"/>
  <c r="AL9" i="4" s="1"/>
  <c r="B9" i="4"/>
  <c r="AT8" i="4"/>
  <c r="AK8" i="4"/>
  <c r="AM8" i="4" s="1"/>
  <c r="B8" i="4"/>
  <c r="AT7" i="4"/>
  <c r="AM7" i="4"/>
  <c r="AK7" i="4"/>
  <c r="AL7" i="4" s="1"/>
  <c r="B7" i="4"/>
  <c r="AT6" i="4"/>
  <c r="AM6" i="4"/>
  <c r="AK6" i="4"/>
  <c r="AL6" i="4" s="1"/>
  <c r="B6" i="4"/>
  <c r="AT5" i="4"/>
  <c r="AM5" i="4"/>
  <c r="AK5" i="4"/>
  <c r="AL5" i="4" s="1"/>
  <c r="B5" i="4"/>
  <c r="B2" i="4"/>
  <c r="B18" i="3"/>
  <c r="B17" i="3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E14" i="2"/>
  <c r="F14" i="2" s="1"/>
  <c r="G14" i="2" s="1"/>
  <c r="H14" i="2" s="1"/>
  <c r="I14" i="2" s="1"/>
  <c r="J14" i="2" s="1"/>
  <c r="K14" i="2" s="1"/>
  <c r="L14" i="2" s="1"/>
  <c r="M14" i="2" s="1"/>
  <c r="N14" i="2" s="1"/>
  <c r="O14" i="2" s="1"/>
  <c r="P14" i="2" s="1"/>
  <c r="Q14" i="2" s="1"/>
  <c r="R14" i="2" s="1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AD14" i="2" s="1"/>
  <c r="AE14" i="2" s="1"/>
  <c r="AF14" i="2" s="1"/>
  <c r="AG14" i="2" s="1"/>
  <c r="AH14" i="2" s="1"/>
  <c r="AI14" i="2" s="1"/>
  <c r="AJ13" i="2"/>
  <c r="AJ12" i="2"/>
  <c r="AJ11" i="2"/>
  <c r="AJ10" i="2"/>
  <c r="AJ9" i="2"/>
  <c r="AJ8" i="2"/>
  <c r="AJ7" i="2"/>
  <c r="AJ6" i="2"/>
  <c r="AJ5" i="2"/>
  <c r="AJ4" i="2"/>
  <c r="AJ3" i="2"/>
  <c r="AJ2" i="2"/>
  <c r="J76" i="1"/>
  <c r="I76" i="1"/>
  <c r="H76" i="1"/>
  <c r="G76" i="1"/>
  <c r="F76" i="1"/>
  <c r="E76" i="1"/>
  <c r="D76" i="1"/>
  <c r="C76" i="1"/>
  <c r="B76" i="1"/>
  <c r="B77" i="1" s="1"/>
  <c r="H67" i="1"/>
  <c r="G67" i="1"/>
  <c r="F67" i="1"/>
  <c r="E67" i="1"/>
  <c r="D67" i="1"/>
  <c r="C67" i="1"/>
  <c r="B67" i="1"/>
  <c r="I66" i="1"/>
  <c r="I65" i="1"/>
  <c r="I64" i="1"/>
  <c r="I63" i="1"/>
  <c r="I62" i="1"/>
  <c r="I61" i="1"/>
  <c r="I60" i="1"/>
  <c r="I59" i="1"/>
  <c r="I58" i="1"/>
  <c r="I57" i="1"/>
  <c r="I67" i="1" s="1"/>
  <c r="I56" i="1"/>
  <c r="I49" i="1"/>
  <c r="H49" i="1"/>
  <c r="F49" i="1"/>
  <c r="D49" i="1"/>
  <c r="B49" i="1"/>
  <c r="E48" i="1"/>
  <c r="G46" i="1"/>
  <c r="G49" i="1" s="1"/>
  <c r="C46" i="1"/>
  <c r="C49" i="1" s="1"/>
  <c r="E45" i="1"/>
  <c r="E43" i="1"/>
  <c r="E42" i="1"/>
  <c r="E49" i="1" s="1"/>
  <c r="E41" i="1"/>
  <c r="B30" i="1"/>
  <c r="F29" i="1"/>
  <c r="E29" i="1"/>
  <c r="D29" i="1"/>
  <c r="C29" i="1"/>
  <c r="B29" i="1"/>
  <c r="E28" i="1"/>
  <c r="D28" i="1"/>
  <c r="B28" i="1"/>
  <c r="E27" i="1"/>
  <c r="D27" i="1"/>
  <c r="B27" i="1"/>
  <c r="B26" i="1"/>
  <c r="B24" i="1"/>
  <c r="B23" i="1"/>
  <c r="B22" i="1"/>
  <c r="AP36" i="9" l="1"/>
  <c r="AO36" i="9"/>
  <c r="AW36" i="9"/>
  <c r="AO115" i="9"/>
  <c r="AP115" i="9"/>
  <c r="AO128" i="9"/>
  <c r="AW128" i="9"/>
  <c r="AP167" i="9"/>
  <c r="AO167" i="9"/>
  <c r="AP190" i="9"/>
  <c r="AO190" i="9"/>
  <c r="AS5" i="11"/>
  <c r="AT5" i="11"/>
  <c r="BA48" i="11"/>
  <c r="AS48" i="11"/>
  <c r="AS65" i="11"/>
  <c r="BA65" i="11"/>
  <c r="AT123" i="11"/>
  <c r="AS123" i="11"/>
  <c r="AS140" i="11"/>
  <c r="AT140" i="11"/>
  <c r="BA169" i="11"/>
  <c r="AS169" i="11"/>
  <c r="AS189" i="11"/>
  <c r="AT189" i="11"/>
  <c r="AS197" i="11"/>
  <c r="BA197" i="11"/>
  <c r="AS239" i="11"/>
  <c r="BA239" i="11"/>
  <c r="AT239" i="11"/>
  <c r="AS264" i="11"/>
  <c r="BA264" i="11"/>
  <c r="AS37" i="12"/>
  <c r="BA37" i="12"/>
  <c r="AT37" i="12"/>
  <c r="AQ160" i="15"/>
  <c r="AP160" i="15"/>
  <c r="B160" i="15"/>
  <c r="AX160" i="15"/>
  <c r="AQ179" i="15"/>
  <c r="AP179" i="15"/>
  <c r="B179" i="15"/>
  <c r="AX59" i="16"/>
  <c r="AQ59" i="16"/>
  <c r="B59" i="16"/>
  <c r="AP59" i="16"/>
  <c r="AM35" i="4"/>
  <c r="AL36" i="4"/>
  <c r="AL47" i="4"/>
  <c r="AM142" i="4"/>
  <c r="AL143" i="4"/>
  <c r="AL288" i="4"/>
  <c r="AL331" i="4"/>
  <c r="AL371" i="4"/>
  <c r="AL48" i="6"/>
  <c r="AT48" i="6"/>
  <c r="AM73" i="7"/>
  <c r="AL87" i="7"/>
  <c r="AL123" i="7"/>
  <c r="AT123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23" i="7"/>
  <c r="AT225" i="7"/>
  <c r="AL225" i="7"/>
  <c r="AP10" i="9"/>
  <c r="AO10" i="9"/>
  <c r="AO30" i="9"/>
  <c r="AO31" i="9"/>
  <c r="AW31" i="9"/>
  <c r="AW33" i="9"/>
  <c r="AO33" i="9"/>
  <c r="AO39" i="9"/>
  <c r="AP39" i="9"/>
  <c r="AO59" i="9"/>
  <c r="AW92" i="9"/>
  <c r="AO92" i="9"/>
  <c r="AO110" i="9"/>
  <c r="AW110" i="9"/>
  <c r="AO114" i="9"/>
  <c r="AP128" i="9"/>
  <c r="AP142" i="9"/>
  <c r="AO142" i="9"/>
  <c r="AW142" i="9"/>
  <c r="AO166" i="9"/>
  <c r="AP166" i="9"/>
  <c r="AO230" i="9"/>
  <c r="AP230" i="9"/>
  <c r="AO260" i="9"/>
  <c r="AW260" i="9"/>
  <c r="AW261" i="9"/>
  <c r="AO261" i="9"/>
  <c r="AO289" i="9"/>
  <c r="AW18" i="10"/>
  <c r="AO18" i="10"/>
  <c r="AW39" i="10"/>
  <c r="AO39" i="10"/>
  <c r="AW58" i="10"/>
  <c r="AO58" i="10"/>
  <c r="BA5" i="11"/>
  <c r="AT21" i="11"/>
  <c r="AS21" i="11"/>
  <c r="BA21" i="11"/>
  <c r="BA161" i="11"/>
  <c r="AS161" i="11"/>
  <c r="BA165" i="11"/>
  <c r="AT165" i="11"/>
  <c r="AS165" i="11"/>
  <c r="BA168" i="11"/>
  <c r="AS168" i="11"/>
  <c r="AS176" i="11"/>
  <c r="BA176" i="11"/>
  <c r="AT176" i="11"/>
  <c r="BA189" i="11"/>
  <c r="BA209" i="11"/>
  <c r="AS209" i="11"/>
  <c r="AS220" i="11"/>
  <c r="BA220" i="11"/>
  <c r="AS263" i="11"/>
  <c r="BA263" i="11"/>
  <c r="AT53" i="12"/>
  <c r="AS53" i="12"/>
  <c r="BA53" i="12"/>
  <c r="BA71" i="12"/>
  <c r="AS71" i="12"/>
  <c r="AP26" i="15"/>
  <c r="B26" i="15"/>
  <c r="BA42" i="12"/>
  <c r="AT42" i="12"/>
  <c r="AS42" i="12"/>
  <c r="AT59" i="12"/>
  <c r="BA59" i="12"/>
  <c r="AS59" i="12"/>
  <c r="B62" i="15"/>
  <c r="AX62" i="15"/>
  <c r="AP62" i="15"/>
  <c r="AM13" i="4"/>
  <c r="AL16" i="4"/>
  <c r="AT35" i="4"/>
  <c r="AM58" i="4"/>
  <c r="AM270" i="4"/>
  <c r="AL274" i="4"/>
  <c r="AT429" i="4"/>
  <c r="AT431" i="4"/>
  <c r="AL134" i="5"/>
  <c r="AM464" i="5"/>
  <c r="AT114" i="7"/>
  <c r="AL119" i="7"/>
  <c r="AT119" i="7"/>
  <c r="AT120" i="7"/>
  <c r="AW10" i="9"/>
  <c r="AO13" i="9"/>
  <c r="AP18" i="9"/>
  <c r="AW18" i="9"/>
  <c r="AO19" i="9"/>
  <c r="AW19" i="9"/>
  <c r="AW22" i="9"/>
  <c r="AO38" i="9"/>
  <c r="AP55" i="9"/>
  <c r="AW55" i="9"/>
  <c r="AO78" i="9"/>
  <c r="AP83" i="9"/>
  <c r="AO83" i="9"/>
  <c r="AW83" i="9"/>
  <c r="AP92" i="9"/>
  <c r="AP94" i="9"/>
  <c r="AW94" i="9"/>
  <c r="AO94" i="9"/>
  <c r="AP103" i="9"/>
  <c r="AW103" i="9"/>
  <c r="AP110" i="9"/>
  <c r="AW117" i="9"/>
  <c r="AP117" i="9"/>
  <c r="AW132" i="9"/>
  <c r="AP139" i="9"/>
  <c r="AW139" i="9"/>
  <c r="AO139" i="9"/>
  <c r="AP182" i="9"/>
  <c r="AO182" i="9"/>
  <c r="AO245" i="9"/>
  <c r="AP245" i="9"/>
  <c r="AW255" i="9"/>
  <c r="AP255" i="9"/>
  <c r="AO287" i="9"/>
  <c r="AO12" i="10"/>
  <c r="AO47" i="10"/>
  <c r="AO48" i="10"/>
  <c r="AW48" i="10"/>
  <c r="AP100" i="10"/>
  <c r="AO100" i="10"/>
  <c r="AW100" i="10"/>
  <c r="AS160" i="11"/>
  <c r="BA160" i="11"/>
  <c r="AS167" i="11"/>
  <c r="BA167" i="11"/>
  <c r="AS199" i="11"/>
  <c r="BA199" i="11"/>
  <c r="AS214" i="11"/>
  <c r="BA214" i="11"/>
  <c r="AL111" i="7"/>
  <c r="AT111" i="7"/>
  <c r="AP180" i="9"/>
  <c r="AO180" i="9"/>
  <c r="AP215" i="9"/>
  <c r="AO215" i="9"/>
  <c r="AO234" i="9"/>
  <c r="AP234" i="9"/>
  <c r="AW4" i="10"/>
  <c r="AO4" i="10"/>
  <c r="AW51" i="10"/>
  <c r="AO51" i="10"/>
  <c r="AM9" i="4"/>
  <c r="AL11" i="4"/>
  <c r="AL31" i="4"/>
  <c r="AT121" i="4"/>
  <c r="AT149" i="4"/>
  <c r="AT110" i="7"/>
  <c r="AL115" i="7"/>
  <c r="AT115" i="7"/>
  <c r="AT116" i="7"/>
  <c r="AM35" i="8"/>
  <c r="AL35" i="8"/>
  <c r="AT35" i="8"/>
  <c r="AP5" i="9"/>
  <c r="AW5" i="9"/>
  <c r="AO6" i="9"/>
  <c r="AW6" i="9"/>
  <c r="AP13" i="9"/>
  <c r="AO18" i="9"/>
  <c r="AW38" i="9"/>
  <c r="AW78" i="9"/>
  <c r="AW80" i="9"/>
  <c r="AO80" i="9"/>
  <c r="AO177" i="9"/>
  <c r="AP177" i="9"/>
  <c r="AO181" i="9"/>
  <c r="AP181" i="9"/>
  <c r="AP184" i="9"/>
  <c r="AO184" i="9"/>
  <c r="AP188" i="9"/>
  <c r="AO188" i="9"/>
  <c r="AO213" i="9"/>
  <c r="AW213" i="9"/>
  <c r="AP213" i="9"/>
  <c r="AP232" i="9"/>
  <c r="AO232" i="9"/>
  <c r="AO274" i="9"/>
  <c r="AP274" i="9"/>
  <c r="AO297" i="9"/>
  <c r="AP297" i="9"/>
  <c r="AO23" i="10"/>
  <c r="AW23" i="10"/>
  <c r="AO44" i="10"/>
  <c r="AW44" i="10"/>
  <c r="AW45" i="10"/>
  <c r="AO45" i="10"/>
  <c r="AO55" i="10"/>
  <c r="AW55" i="10"/>
  <c r="BA51" i="11"/>
  <c r="AS51" i="11"/>
  <c r="AT61" i="11"/>
  <c r="AS61" i="11"/>
  <c r="AS77" i="11"/>
  <c r="AT77" i="11"/>
  <c r="AS159" i="11"/>
  <c r="BA159" i="11"/>
  <c r="AS198" i="11"/>
  <c r="BA198" i="11"/>
  <c r="B38" i="15"/>
  <c r="AP38" i="15"/>
  <c r="AO174" i="9"/>
  <c r="AP174" i="9"/>
  <c r="AP239" i="9"/>
  <c r="AO239" i="9"/>
  <c r="AP282" i="9"/>
  <c r="AO282" i="9"/>
  <c r="AS87" i="11"/>
  <c r="AT87" i="11"/>
  <c r="AS99" i="11"/>
  <c r="AT99" i="11"/>
  <c r="BA99" i="11"/>
  <c r="AS110" i="11"/>
  <c r="AT110" i="11"/>
  <c r="AS132" i="11"/>
  <c r="AT132" i="11"/>
  <c r="AS185" i="11"/>
  <c r="BA185" i="11"/>
  <c r="BA211" i="11"/>
  <c r="AS211" i="11"/>
  <c r="AS229" i="11"/>
  <c r="AT229" i="11"/>
  <c r="BA229" i="11"/>
  <c r="AS262" i="11"/>
  <c r="BA262" i="11"/>
  <c r="BA41" i="12"/>
  <c r="AT41" i="12"/>
  <c r="AS41" i="12"/>
  <c r="AL74" i="7"/>
  <c r="AM74" i="7"/>
  <c r="AO11" i="9"/>
  <c r="AP11" i="9"/>
  <c r="AP24" i="9"/>
  <c r="AO24" i="9"/>
  <c r="AP50" i="9"/>
  <c r="AO50" i="9"/>
  <c r="AP93" i="9"/>
  <c r="AP108" i="9"/>
  <c r="AP112" i="9"/>
  <c r="AO112" i="9"/>
  <c r="AO124" i="9"/>
  <c r="AP130" i="9"/>
  <c r="AO130" i="9"/>
  <c r="AO155" i="9"/>
  <c r="AP158" i="9"/>
  <c r="AO163" i="9"/>
  <c r="AO173" i="9"/>
  <c r="AP178" i="9"/>
  <c r="AO178" i="9"/>
  <c r="AP185" i="9"/>
  <c r="AO186" i="9"/>
  <c r="AP189" i="9"/>
  <c r="AO219" i="9"/>
  <c r="AP226" i="9"/>
  <c r="AW239" i="9"/>
  <c r="AP243" i="9"/>
  <c r="AW243" i="9"/>
  <c r="AP248" i="9"/>
  <c r="AW282" i="9"/>
  <c r="AO5" i="10"/>
  <c r="AO16" i="10"/>
  <c r="AO31" i="10"/>
  <c r="AO37" i="10"/>
  <c r="AO49" i="10"/>
  <c r="AO56" i="10"/>
  <c r="AO64" i="10"/>
  <c r="AT14" i="11"/>
  <c r="AS14" i="11"/>
  <c r="AT37" i="11"/>
  <c r="AS37" i="11"/>
  <c r="BA62" i="11"/>
  <c r="AT62" i="11"/>
  <c r="AT66" i="11"/>
  <c r="AS66" i="11"/>
  <c r="AS129" i="11"/>
  <c r="AT129" i="11"/>
  <c r="AT145" i="11"/>
  <c r="AS145" i="11"/>
  <c r="BA154" i="11"/>
  <c r="AS154" i="11"/>
  <c r="AS170" i="11"/>
  <c r="BA170" i="11"/>
  <c r="AS191" i="11"/>
  <c r="BA191" i="11"/>
  <c r="AT191" i="11"/>
  <c r="AT45" i="12"/>
  <c r="BA45" i="12"/>
  <c r="AS45" i="12"/>
  <c r="AT11" i="11"/>
  <c r="BA11" i="11"/>
  <c r="BA15" i="11"/>
  <c r="BA24" i="11"/>
  <c r="AS29" i="11"/>
  <c r="AT29" i="11"/>
  <c r="BA44" i="11"/>
  <c r="BA58" i="11"/>
  <c r="AT58" i="11"/>
  <c r="AS58" i="11"/>
  <c r="AS71" i="11"/>
  <c r="AT71" i="11"/>
  <c r="BA105" i="11"/>
  <c r="AT121" i="11"/>
  <c r="AS121" i="11"/>
  <c r="AS149" i="11"/>
  <c r="AT149" i="11"/>
  <c r="AS164" i="11"/>
  <c r="BA164" i="11"/>
  <c r="AS181" i="11"/>
  <c r="BA181" i="11"/>
  <c r="BA183" i="11"/>
  <c r="AS186" i="11"/>
  <c r="BA186" i="11"/>
  <c r="BA187" i="11"/>
  <c r="AS187" i="11"/>
  <c r="AS190" i="11"/>
  <c r="BA190" i="11"/>
  <c r="AS212" i="11"/>
  <c r="AT212" i="11"/>
  <c r="BA235" i="11"/>
  <c r="AS238" i="11"/>
  <c r="BA238" i="11"/>
  <c r="BA17" i="12"/>
  <c r="AT17" i="12"/>
  <c r="AS24" i="12"/>
  <c r="BA24" i="12"/>
  <c r="BA25" i="12"/>
  <c r="AS28" i="12"/>
  <c r="AT28" i="12"/>
  <c r="BA28" i="12"/>
  <c r="BA79" i="12"/>
  <c r="B10" i="15"/>
  <c r="B44" i="15"/>
  <c r="AX84" i="15"/>
  <c r="AP84" i="15"/>
  <c r="B84" i="15"/>
  <c r="AP117" i="15"/>
  <c r="B117" i="15"/>
  <c r="B122" i="15"/>
  <c r="AP122" i="15"/>
  <c r="AP178" i="15"/>
  <c r="AQ178" i="15"/>
  <c r="B178" i="15"/>
  <c r="AX178" i="15"/>
  <c r="BA237" i="11"/>
  <c r="AS237" i="11"/>
  <c r="AS252" i="11"/>
  <c r="BA252" i="11"/>
  <c r="AS256" i="11"/>
  <c r="BA256" i="11"/>
  <c r="AS281" i="11"/>
  <c r="AT281" i="11"/>
  <c r="AS44" i="12"/>
  <c r="BA44" i="12"/>
  <c r="AT44" i="12"/>
  <c r="BA61" i="12"/>
  <c r="AS61" i="12"/>
  <c r="BA75" i="12"/>
  <c r="AS75" i="12"/>
  <c r="AP92" i="15"/>
  <c r="B92" i="15"/>
  <c r="AP131" i="15"/>
  <c r="B131" i="15"/>
  <c r="B138" i="15"/>
  <c r="AP138" i="15"/>
  <c r="AQ214" i="15"/>
  <c r="AX214" i="15"/>
  <c r="AP214" i="15"/>
  <c r="B214" i="15"/>
  <c r="AX216" i="15"/>
  <c r="AP216" i="15"/>
  <c r="B216" i="15"/>
  <c r="AQ216" i="15"/>
  <c r="AT9" i="11"/>
  <c r="AS9" i="11"/>
  <c r="AT26" i="11"/>
  <c r="AS26" i="11"/>
  <c r="AT30" i="11"/>
  <c r="BA30" i="11"/>
  <c r="AS45" i="11"/>
  <c r="AT45" i="11"/>
  <c r="AT59" i="11"/>
  <c r="BA59" i="11"/>
  <c r="AT72" i="11"/>
  <c r="AS72" i="11"/>
  <c r="AS131" i="11"/>
  <c r="AT131" i="11"/>
  <c r="AS136" i="11"/>
  <c r="AT136" i="11"/>
  <c r="AS142" i="11"/>
  <c r="AT142" i="11"/>
  <c r="BA162" i="11"/>
  <c r="AS162" i="11"/>
  <c r="BA196" i="11"/>
  <c r="AS196" i="11"/>
  <c r="AS207" i="11"/>
  <c r="AT207" i="11"/>
  <c r="AT222" i="11"/>
  <c r="AS223" i="11"/>
  <c r="BA236" i="11"/>
  <c r="AS236" i="11"/>
  <c r="AT256" i="11"/>
  <c r="AS4" i="12"/>
  <c r="BA4" i="12"/>
  <c r="AS5" i="12"/>
  <c r="BA26" i="12"/>
  <c r="AS26" i="12"/>
  <c r="AS29" i="12"/>
  <c r="BA29" i="12"/>
  <c r="AT49" i="12"/>
  <c r="AS57" i="12"/>
  <c r="AT57" i="12"/>
  <c r="AT61" i="12"/>
  <c r="AT63" i="12"/>
  <c r="BA63" i="12"/>
  <c r="AT69" i="12"/>
  <c r="BA69" i="12"/>
  <c r="AS69" i="12"/>
  <c r="AP15" i="15"/>
  <c r="B15" i="15"/>
  <c r="B113" i="15"/>
  <c r="AP113" i="15"/>
  <c r="AX161" i="15"/>
  <c r="AP161" i="15"/>
  <c r="B161" i="15"/>
  <c r="AP203" i="15"/>
  <c r="B203" i="15"/>
  <c r="AX209" i="15"/>
  <c r="AQ209" i="15"/>
  <c r="AP212" i="15"/>
  <c r="B212" i="15"/>
  <c r="AQ212" i="15"/>
  <c r="AX212" i="15"/>
  <c r="AS63" i="11"/>
  <c r="AT63" i="11"/>
  <c r="AS98" i="11"/>
  <c r="AT98" i="11"/>
  <c r="AS182" i="11"/>
  <c r="BA182" i="11"/>
  <c r="BA213" i="11"/>
  <c r="AS213" i="11"/>
  <c r="AT254" i="11"/>
  <c r="AS254" i="11"/>
  <c r="BA257" i="11"/>
  <c r="AT257" i="11"/>
  <c r="AT27" i="12"/>
  <c r="AS27" i="12"/>
  <c r="AT39" i="12"/>
  <c r="BA39" i="12"/>
  <c r="AT43" i="12"/>
  <c r="BA43" i="12"/>
  <c r="AT76" i="12"/>
  <c r="AS76" i="12"/>
  <c r="B22" i="15"/>
  <c r="AP23" i="15"/>
  <c r="B23" i="15"/>
  <c r="B51" i="15"/>
  <c r="AQ51" i="15"/>
  <c r="B63" i="15"/>
  <c r="AP63" i="15"/>
  <c r="B67" i="15"/>
  <c r="B85" i="15"/>
  <c r="AP85" i="15"/>
  <c r="AX101" i="15"/>
  <c r="B107" i="15"/>
  <c r="AX107" i="15"/>
  <c r="B127" i="15"/>
  <c r="AX155" i="15"/>
  <c r="AP155" i="15"/>
  <c r="AP173" i="15"/>
  <c r="B173" i="15"/>
  <c r="AP192" i="15"/>
  <c r="AQ192" i="15"/>
  <c r="AP197" i="15"/>
  <c r="AX197" i="15"/>
  <c r="AX211" i="15"/>
  <c r="AP211" i="15"/>
  <c r="B211" i="15"/>
  <c r="AP223" i="15"/>
  <c r="B223" i="15"/>
  <c r="AX240" i="15"/>
  <c r="AP240" i="15"/>
  <c r="B240" i="15"/>
  <c r="AX10" i="16"/>
  <c r="AP10" i="16"/>
  <c r="AX19" i="16"/>
  <c r="AP19" i="16"/>
  <c r="B19" i="16"/>
  <c r="AQ19" i="16"/>
  <c r="AP50" i="15"/>
  <c r="B50" i="15"/>
  <c r="B140" i="15"/>
  <c r="AP140" i="15"/>
  <c r="AX154" i="15"/>
  <c r="AP154" i="15"/>
  <c r="AQ164" i="15"/>
  <c r="AP164" i="15"/>
  <c r="B164" i="15"/>
  <c r="AX165" i="15"/>
  <c r="AP165" i="15"/>
  <c r="B165" i="15"/>
  <c r="AX205" i="15"/>
  <c r="AQ205" i="15"/>
  <c r="AQ228" i="15"/>
  <c r="AP228" i="15"/>
  <c r="AX238" i="15"/>
  <c r="AP238" i="15"/>
  <c r="AQ68" i="16"/>
  <c r="B68" i="16"/>
  <c r="AX68" i="16"/>
  <c r="AP68" i="16"/>
  <c r="AP60" i="15"/>
  <c r="B60" i="15"/>
  <c r="AP64" i="15"/>
  <c r="AP100" i="15"/>
  <c r="AP101" i="15"/>
  <c r="AP116" i="15"/>
  <c r="B116" i="15"/>
  <c r="AP124" i="15"/>
  <c r="AX157" i="15"/>
  <c r="AP157" i="15"/>
  <c r="AX164" i="15"/>
  <c r="AQ168" i="15"/>
  <c r="AP168" i="15"/>
  <c r="B168" i="15"/>
  <c r="AP169" i="15"/>
  <c r="B169" i="15"/>
  <c r="AP177" i="15"/>
  <c r="B177" i="15"/>
  <c r="AP194" i="15"/>
  <c r="B194" i="15"/>
  <c r="AX194" i="15"/>
  <c r="AP204" i="15"/>
  <c r="AX204" i="15"/>
  <c r="AX221" i="15"/>
  <c r="AQ221" i="15"/>
  <c r="AP233" i="15"/>
  <c r="AQ233" i="15"/>
  <c r="AX233" i="15"/>
  <c r="B17" i="16"/>
  <c r="AP17" i="16"/>
  <c r="AQ199" i="15"/>
  <c r="AP199" i="15"/>
  <c r="B199" i="15"/>
  <c r="AX217" i="15"/>
  <c r="AQ217" i="15"/>
  <c r="AX234" i="15"/>
  <c r="AP234" i="15"/>
  <c r="AX15" i="16"/>
  <c r="AP15" i="16"/>
  <c r="B15" i="16"/>
  <c r="AQ124" i="16"/>
  <c r="AX124" i="16"/>
  <c r="AQ160" i="16"/>
  <c r="B160" i="16"/>
  <c r="AQ161" i="16"/>
  <c r="AX161" i="16"/>
  <c r="AX166" i="16"/>
  <c r="AQ166" i="16"/>
  <c r="B166" i="16"/>
  <c r="AM35" i="18"/>
  <c r="AL39" i="18"/>
  <c r="AM39" i="18"/>
  <c r="AX91" i="16"/>
  <c r="AQ91" i="16"/>
  <c r="AX96" i="16"/>
  <c r="AQ96" i="16"/>
  <c r="B96" i="16"/>
  <c r="AP108" i="16"/>
  <c r="B108" i="16"/>
  <c r="AP130" i="16"/>
  <c r="AQ130" i="16"/>
  <c r="AQ150" i="16"/>
  <c r="B150" i="16"/>
  <c r="AQ151" i="16"/>
  <c r="AX151" i="16"/>
  <c r="AP159" i="16"/>
  <c r="B159" i="16"/>
  <c r="AP160" i="16"/>
  <c r="AP166" i="16"/>
  <c r="AQ168" i="16"/>
  <c r="B168" i="16"/>
  <c r="AP168" i="16"/>
  <c r="AL23" i="18"/>
  <c r="AM23" i="18"/>
  <c r="AQ206" i="15"/>
  <c r="AX206" i="15"/>
  <c r="AQ208" i="15"/>
  <c r="AP220" i="15"/>
  <c r="B220" i="15"/>
  <c r="AX224" i="15"/>
  <c r="B227" i="15"/>
  <c r="AX230" i="15"/>
  <c r="AP86" i="16"/>
  <c r="B89" i="16"/>
  <c r="AQ89" i="16"/>
  <c r="AP91" i="16"/>
  <c r="AP96" i="16"/>
  <c r="AQ108" i="16"/>
  <c r="AP111" i="16"/>
  <c r="AX111" i="16"/>
  <c r="B111" i="16"/>
  <c r="B113" i="16"/>
  <c r="AX113" i="16"/>
  <c r="AP117" i="16"/>
  <c r="AQ117" i="16"/>
  <c r="B129" i="16"/>
  <c r="AQ129" i="16"/>
  <c r="AX130" i="16"/>
  <c r="AP132" i="16"/>
  <c r="AX132" i="16"/>
  <c r="B132" i="16"/>
  <c r="B134" i="16"/>
  <c r="AX134" i="16"/>
  <c r="AP138" i="16"/>
  <c r="AQ138" i="16"/>
  <c r="AP150" i="16"/>
  <c r="B152" i="16"/>
  <c r="AX152" i="16"/>
  <c r="AX160" i="16"/>
  <c r="AX84" i="16"/>
  <c r="AQ84" i="16"/>
  <c r="B84" i="16"/>
  <c r="B86" i="16"/>
  <c r="AQ86" i="16"/>
  <c r="AX94" i="16"/>
  <c r="AQ94" i="16"/>
  <c r="B94" i="16"/>
  <c r="AX95" i="16"/>
  <c r="AQ98" i="16"/>
  <c r="B98" i="16"/>
  <c r="AQ111" i="16"/>
  <c r="AX117" i="16"/>
  <c r="AQ122" i="16"/>
  <c r="AQ132" i="16"/>
  <c r="AX138" i="16"/>
  <c r="B142" i="16"/>
  <c r="AP143" i="16"/>
  <c r="B143" i="16"/>
  <c r="AQ144" i="16"/>
  <c r="AX147" i="16"/>
  <c r="AP148" i="16"/>
  <c r="AX149" i="16"/>
  <c r="AX150" i="16"/>
  <c r="AQ167" i="16"/>
  <c r="AX167" i="16"/>
  <c r="AT246" i="16"/>
  <c r="AM51" i="18"/>
  <c r="AL96" i="18"/>
  <c r="AL124" i="18"/>
  <c r="AM124" i="18"/>
  <c r="AL22" i="4"/>
  <c r="AL29" i="4"/>
  <c r="AL32" i="4"/>
  <c r="AL72" i="4"/>
  <c r="AM87" i="4"/>
  <c r="AM110" i="4"/>
  <c r="AL111" i="4"/>
  <c r="AM174" i="4"/>
  <c r="AL225" i="4"/>
  <c r="AL285" i="4"/>
  <c r="AL332" i="4"/>
  <c r="AL498" i="4"/>
  <c r="AL499" i="4"/>
  <c r="AM743" i="4"/>
  <c r="AL33" i="4"/>
  <c r="AM40" i="4"/>
  <c r="AM150" i="4"/>
  <c r="AL278" i="4"/>
  <c r="AT401" i="4"/>
  <c r="AL417" i="4"/>
  <c r="AL687" i="4"/>
  <c r="AT89" i="7"/>
  <c r="AL89" i="7"/>
  <c r="AT93" i="7"/>
  <c r="AL93" i="7"/>
  <c r="AT95" i="7"/>
  <c r="AL95" i="7"/>
  <c r="AT97" i="7"/>
  <c r="AL97" i="7"/>
  <c r="AT99" i="7"/>
  <c r="AL99" i="7"/>
  <c r="AT101" i="7"/>
  <c r="AL101" i="7"/>
  <c r="AM113" i="5"/>
  <c r="AM305" i="5"/>
  <c r="AT88" i="7"/>
  <c r="AL88" i="7"/>
  <c r="AT94" i="7"/>
  <c r="AL94" i="7"/>
  <c r="AT96" i="7"/>
  <c r="AL96" i="7"/>
  <c r="AT98" i="7"/>
  <c r="AL98" i="7"/>
  <c r="AT100" i="7"/>
  <c r="AL100" i="7"/>
  <c r="AT102" i="7"/>
  <c r="AL102" i="7"/>
  <c r="AT52" i="8"/>
  <c r="AL52" i="8"/>
  <c r="AL62" i="8"/>
  <c r="AT62" i="8"/>
  <c r="AO28" i="9"/>
  <c r="AW28" i="9"/>
  <c r="AW57" i="9"/>
  <c r="AO57" i="9"/>
  <c r="AW77" i="9"/>
  <c r="AO77" i="9"/>
  <c r="AO79" i="9"/>
  <c r="AW79" i="9"/>
  <c r="AW87" i="9"/>
  <c r="AO87" i="9"/>
  <c r="AW89" i="9"/>
  <c r="AO89" i="9"/>
  <c r="AW91" i="9"/>
  <c r="AO91" i="9"/>
  <c r="AW97" i="9"/>
  <c r="AO97" i="9"/>
  <c r="AW104" i="9"/>
  <c r="AP104" i="9"/>
  <c r="AO104" i="9"/>
  <c r="AW116" i="9"/>
  <c r="AO116" i="9"/>
  <c r="AW119" i="9"/>
  <c r="AO119" i="9"/>
  <c r="AW121" i="9"/>
  <c r="AO121" i="9"/>
  <c r="AP140" i="9"/>
  <c r="AO140" i="9"/>
  <c r="AW145" i="9"/>
  <c r="AO145" i="9"/>
  <c r="AW147" i="9"/>
  <c r="AO147" i="9"/>
  <c r="AW149" i="9"/>
  <c r="AO149" i="9"/>
  <c r="AW151" i="9"/>
  <c r="AO151" i="9"/>
  <c r="AW153" i="9"/>
  <c r="AO153" i="9"/>
  <c r="AW159" i="9"/>
  <c r="AO159" i="9"/>
  <c r="AW161" i="9"/>
  <c r="AO161" i="9"/>
  <c r="AW164" i="9"/>
  <c r="AP164" i="9"/>
  <c r="AO164" i="9"/>
  <c r="AP187" i="9"/>
  <c r="AO187" i="9"/>
  <c r="AP244" i="9"/>
  <c r="AO244" i="9"/>
  <c r="AT27" i="11"/>
  <c r="AS27" i="11"/>
  <c r="BA46" i="11"/>
  <c r="AT46" i="11"/>
  <c r="AS46" i="11"/>
  <c r="AS68" i="11"/>
  <c r="BA68" i="11"/>
  <c r="AT68" i="11"/>
  <c r="AT111" i="11"/>
  <c r="AS111" i="11"/>
  <c r="AT125" i="11"/>
  <c r="AS125" i="11"/>
  <c r="AT128" i="11"/>
  <c r="AS128" i="11"/>
  <c r="BA166" i="11"/>
  <c r="AT166" i="11"/>
  <c r="AS166" i="11"/>
  <c r="AT440" i="5"/>
  <c r="AT464" i="5"/>
  <c r="AT49" i="6"/>
  <c r="AT53" i="6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91" i="7"/>
  <c r="AL103" i="7"/>
  <c r="AL104" i="7"/>
  <c r="AL105" i="7"/>
  <c r="AL106" i="7"/>
  <c r="AL107" i="7"/>
  <c r="AL108" i="7"/>
  <c r="AL109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L222" i="7"/>
  <c r="AL226" i="7"/>
  <c r="AM36" i="8"/>
  <c r="AM52" i="8"/>
  <c r="N304" i="9"/>
  <c r="O304" i="9"/>
  <c r="AW12" i="9"/>
  <c r="AO12" i="9"/>
  <c r="AP63" i="9"/>
  <c r="AW67" i="9"/>
  <c r="AO67" i="9"/>
  <c r="AO68" i="9"/>
  <c r="AW68" i="9"/>
  <c r="AW69" i="9"/>
  <c r="AO69" i="9"/>
  <c r="AO70" i="9"/>
  <c r="AW70" i="9"/>
  <c r="AW71" i="9"/>
  <c r="AO71" i="9"/>
  <c r="AO72" i="9"/>
  <c r="AW72" i="9"/>
  <c r="AW73" i="9"/>
  <c r="AO73" i="9"/>
  <c r="AO75" i="9"/>
  <c r="AW75" i="9"/>
  <c r="AP77" i="9"/>
  <c r="AP79" i="9"/>
  <c r="AW84" i="9"/>
  <c r="AP84" i="9"/>
  <c r="AO84" i="9"/>
  <c r="AW113" i="9"/>
  <c r="AP113" i="9"/>
  <c r="AO113" i="9"/>
  <c r="AW135" i="9"/>
  <c r="AO135" i="9"/>
  <c r="AW137" i="9"/>
  <c r="AO137" i="9"/>
  <c r="AW143" i="9"/>
  <c r="AP143" i="9"/>
  <c r="AO143" i="9"/>
  <c r="AW175" i="9"/>
  <c r="AO175" i="9"/>
  <c r="AP179" i="9"/>
  <c r="AO179" i="9"/>
  <c r="AW183" i="9"/>
  <c r="AP183" i="9"/>
  <c r="AO183" i="9"/>
  <c r="AW218" i="9"/>
  <c r="AO218" i="9"/>
  <c r="AW240" i="9"/>
  <c r="AP240" i="9"/>
  <c r="AO240" i="9"/>
  <c r="AW254" i="9"/>
  <c r="AO254" i="9"/>
  <c r="AW257" i="9"/>
  <c r="AO257" i="9"/>
  <c r="AP264" i="9"/>
  <c r="AO264" i="9"/>
  <c r="AW11" i="10"/>
  <c r="AO11" i="10"/>
  <c r="AW15" i="10"/>
  <c r="AO15" i="10"/>
  <c r="AW19" i="10"/>
  <c r="AO19" i="10"/>
  <c r="O116" i="10"/>
  <c r="AW29" i="10"/>
  <c r="AO29" i="10"/>
  <c r="AW38" i="10"/>
  <c r="AO38" i="10"/>
  <c r="AW42" i="10"/>
  <c r="AO42" i="10"/>
  <c r="AW50" i="10"/>
  <c r="AO50" i="10"/>
  <c r="AW53" i="10"/>
  <c r="AO53" i="10"/>
  <c r="AW59" i="10"/>
  <c r="AO59" i="10"/>
  <c r="AW63" i="10"/>
  <c r="AO63" i="10"/>
  <c r="AW103" i="10"/>
  <c r="AO103" i="10"/>
  <c r="BA20" i="11"/>
  <c r="AT20" i="11"/>
  <c r="AS20" i="11"/>
  <c r="BA23" i="11"/>
  <c r="AT23" i="11"/>
  <c r="AS23" i="11"/>
  <c r="AT40" i="11"/>
  <c r="AS40" i="11"/>
  <c r="BA43" i="11"/>
  <c r="AT43" i="11"/>
  <c r="AS43" i="11"/>
  <c r="AS56" i="11"/>
  <c r="BA56" i="11"/>
  <c r="AT56" i="11"/>
  <c r="AT64" i="11"/>
  <c r="AS64" i="11"/>
  <c r="AS86" i="11"/>
  <c r="BA86" i="11"/>
  <c r="BA108" i="11"/>
  <c r="AT108" i="11"/>
  <c r="AS108" i="11"/>
  <c r="AT124" i="11"/>
  <c r="AS124" i="11"/>
  <c r="BA150" i="11"/>
  <c r="AS150" i="11"/>
  <c r="AT28" i="8"/>
  <c r="AL28" i="8"/>
  <c r="AO4" i="9"/>
  <c r="AW4" i="9"/>
  <c r="AW14" i="9"/>
  <c r="AO14" i="9"/>
  <c r="AO15" i="9"/>
  <c r="AW15" i="9"/>
  <c r="AW16" i="9"/>
  <c r="AO16" i="9"/>
  <c r="AO17" i="9"/>
  <c r="AW17" i="9"/>
  <c r="AW37" i="9"/>
  <c r="AO37" i="9"/>
  <c r="AW52" i="9"/>
  <c r="AO52" i="9"/>
  <c r="AO53" i="9"/>
  <c r="AW53" i="9"/>
  <c r="AW54" i="9"/>
  <c r="AO54" i="9"/>
  <c r="AO82" i="9"/>
  <c r="AW82" i="9"/>
  <c r="AW127" i="9"/>
  <c r="AO127" i="9"/>
  <c r="AW172" i="9"/>
  <c r="AP172" i="9"/>
  <c r="AO172" i="9"/>
  <c r="AW198" i="9"/>
  <c r="AO198" i="9"/>
  <c r="AW200" i="9"/>
  <c r="AO200" i="9"/>
  <c r="AW202" i="9"/>
  <c r="AO202" i="9"/>
  <c r="AW204" i="9"/>
  <c r="AO204" i="9"/>
  <c r="AW206" i="9"/>
  <c r="AO206" i="9"/>
  <c r="AW225" i="9"/>
  <c r="AO225" i="9"/>
  <c r="AP229" i="9"/>
  <c r="AO229" i="9"/>
  <c r="AW244" i="9"/>
  <c r="AW266" i="9"/>
  <c r="AO266" i="9"/>
  <c r="AP285" i="9"/>
  <c r="AO285" i="9"/>
  <c r="AW290" i="9"/>
  <c r="AP290" i="9"/>
  <c r="AO290" i="9"/>
  <c r="AW70" i="10"/>
  <c r="AO70" i="10"/>
  <c r="AW84" i="10"/>
  <c r="AO84" i="10"/>
  <c r="AW86" i="10"/>
  <c r="AO86" i="10"/>
  <c r="AW89" i="10"/>
  <c r="AO89" i="10"/>
  <c r="AW93" i="10"/>
  <c r="AO93" i="10"/>
  <c r="AW97" i="10"/>
  <c r="AO97" i="10"/>
  <c r="O286" i="11"/>
  <c r="AT16" i="11"/>
  <c r="AS16" i="11"/>
  <c r="AT67" i="11"/>
  <c r="BA67" i="11"/>
  <c r="AS67" i="11"/>
  <c r="AT82" i="11"/>
  <c r="AS82" i="11"/>
  <c r="BA85" i="11"/>
  <c r="AS85" i="11"/>
  <c r="BA97" i="11"/>
  <c r="AT97" i="11"/>
  <c r="AS97" i="11"/>
  <c r="AT133" i="11"/>
  <c r="AS133" i="11"/>
  <c r="AL220" i="7"/>
  <c r="AL224" i="7"/>
  <c r="AL228" i="7"/>
  <c r="AO7" i="9"/>
  <c r="AW7" i="9"/>
  <c r="AW8" i="9"/>
  <c r="AO8" i="9"/>
  <c r="AO9" i="9"/>
  <c r="AW9" i="9"/>
  <c r="AO20" i="9"/>
  <c r="AW20" i="9"/>
  <c r="AW21" i="9"/>
  <c r="AO21" i="9"/>
  <c r="AO23" i="9"/>
  <c r="AW23" i="9"/>
  <c r="AW32" i="9"/>
  <c r="AO32" i="9"/>
  <c r="AO35" i="9"/>
  <c r="AW35" i="9"/>
  <c r="AW40" i="9"/>
  <c r="AO40" i="9"/>
  <c r="AO41" i="9"/>
  <c r="AW41" i="9"/>
  <c r="AW42" i="9"/>
  <c r="AO42" i="9"/>
  <c r="AO43" i="9"/>
  <c r="AW43" i="9"/>
  <c r="AW44" i="9"/>
  <c r="AO44" i="9"/>
  <c r="AO45" i="9"/>
  <c r="AW45" i="9"/>
  <c r="AW46" i="9"/>
  <c r="AO46" i="9"/>
  <c r="AO47" i="9"/>
  <c r="AW47" i="9"/>
  <c r="AW48" i="9"/>
  <c r="AO48" i="9"/>
  <c r="AO49" i="9"/>
  <c r="AW49" i="9"/>
  <c r="AW95" i="9"/>
  <c r="AP95" i="9"/>
  <c r="AO95" i="9"/>
  <c r="AW109" i="9"/>
  <c r="AP109" i="9"/>
  <c r="AO109" i="9"/>
  <c r="AW125" i="9"/>
  <c r="AP125" i="9"/>
  <c r="AO125" i="9"/>
  <c r="AP156" i="9"/>
  <c r="AO156" i="9"/>
  <c r="AP191" i="9"/>
  <c r="AO191" i="9"/>
  <c r="AW193" i="9"/>
  <c r="AO193" i="9"/>
  <c r="AW196" i="9"/>
  <c r="AP196" i="9"/>
  <c r="AO196" i="9"/>
  <c r="AW212" i="9"/>
  <c r="AP212" i="9"/>
  <c r="AO212" i="9"/>
  <c r="AW223" i="9"/>
  <c r="AP223" i="9"/>
  <c r="AO223" i="9"/>
  <c r="AW236" i="9"/>
  <c r="AP236" i="9"/>
  <c r="AO236" i="9"/>
  <c r="AW270" i="9"/>
  <c r="AO270" i="9"/>
  <c r="AW275" i="9"/>
  <c r="AO275" i="9"/>
  <c r="AW278" i="9"/>
  <c r="AO278" i="9"/>
  <c r="AW280" i="9"/>
  <c r="AO280" i="9"/>
  <c r="BA12" i="11"/>
  <c r="AT12" i="11"/>
  <c r="AS12" i="11"/>
  <c r="BA31" i="11"/>
  <c r="AT31" i="11"/>
  <c r="AS31" i="11"/>
  <c r="AT55" i="11"/>
  <c r="BA55" i="11"/>
  <c r="AS55" i="11"/>
  <c r="BA78" i="11"/>
  <c r="AT78" i="11"/>
  <c r="AS78" i="11"/>
  <c r="AT112" i="11"/>
  <c r="AS112" i="11"/>
  <c r="BA115" i="11"/>
  <c r="AT115" i="11"/>
  <c r="AS115" i="11"/>
  <c r="AT143" i="11"/>
  <c r="AS143" i="11"/>
  <c r="BA143" i="11"/>
  <c r="AT175" i="11"/>
  <c r="AS175" i="11"/>
  <c r="BA177" i="11"/>
  <c r="AT177" i="11"/>
  <c r="AT208" i="11"/>
  <c r="AS208" i="11"/>
  <c r="AT216" i="11"/>
  <c r="AS216" i="11"/>
  <c r="AT219" i="11"/>
  <c r="AS219" i="11"/>
  <c r="BA230" i="11"/>
  <c r="AT230" i="11"/>
  <c r="AT277" i="11"/>
  <c r="AS277" i="11"/>
  <c r="BA6" i="12"/>
  <c r="AT6" i="12"/>
  <c r="BA77" i="12"/>
  <c r="AS77" i="12"/>
  <c r="AS78" i="12"/>
  <c r="BA78" i="12"/>
  <c r="AT78" i="12"/>
  <c r="AP9" i="15"/>
  <c r="B9" i="15"/>
  <c r="AP12" i="15"/>
  <c r="B12" i="15"/>
  <c r="AP17" i="15"/>
  <c r="B17" i="15"/>
  <c r="AP20" i="15"/>
  <c r="B20" i="15"/>
  <c r="AP25" i="15"/>
  <c r="B25" i="15"/>
  <c r="AP28" i="15"/>
  <c r="B28" i="15"/>
  <c r="AP144" i="15"/>
  <c r="B144" i="15"/>
  <c r="AX187" i="15"/>
  <c r="AP187" i="15"/>
  <c r="B187" i="15"/>
  <c r="AQ187" i="15"/>
  <c r="D426" i="15"/>
  <c r="E426" i="15" s="1"/>
  <c r="G426" i="15"/>
  <c r="D442" i="15"/>
  <c r="E442" i="15" s="1"/>
  <c r="G442" i="15"/>
  <c r="D458" i="15"/>
  <c r="E458" i="15" s="1"/>
  <c r="G458" i="15"/>
  <c r="D474" i="15"/>
  <c r="E474" i="15" s="1"/>
  <c r="G474" i="15"/>
  <c r="D398" i="16"/>
  <c r="E398" i="16" s="1"/>
  <c r="G398" i="16"/>
  <c r="AL26" i="18"/>
  <c r="AM26" i="18"/>
  <c r="AW86" i="9"/>
  <c r="AW88" i="9"/>
  <c r="AW90" i="9"/>
  <c r="AW93" i="9"/>
  <c r="AW99" i="9"/>
  <c r="AW102" i="9"/>
  <c r="AW108" i="9"/>
  <c r="AW111" i="9"/>
  <c r="AW115" i="9"/>
  <c r="AW118" i="9"/>
  <c r="AW120" i="9"/>
  <c r="AW123" i="9"/>
  <c r="AW126" i="9"/>
  <c r="AW129" i="9"/>
  <c r="AW136" i="9"/>
  <c r="AW138" i="9"/>
  <c r="AW144" i="9"/>
  <c r="AW146" i="9"/>
  <c r="AW148" i="9"/>
  <c r="AW150" i="9"/>
  <c r="AW152" i="9"/>
  <c r="AW154" i="9"/>
  <c r="AW160" i="9"/>
  <c r="AW162" i="9"/>
  <c r="AW174" i="9"/>
  <c r="AW189" i="9"/>
  <c r="AW192" i="9"/>
  <c r="AW194" i="9"/>
  <c r="AW197" i="9"/>
  <c r="AW199" i="9"/>
  <c r="AW201" i="9"/>
  <c r="AW203" i="9"/>
  <c r="AW205" i="9"/>
  <c r="AW208" i="9"/>
  <c r="AW210" i="9"/>
  <c r="AW214" i="9"/>
  <c r="AW224" i="9"/>
  <c r="AW231" i="9"/>
  <c r="AW234" i="9"/>
  <c r="AW238" i="9"/>
  <c r="AW245" i="9"/>
  <c r="AW253" i="9"/>
  <c r="AW256" i="9"/>
  <c r="AW258" i="9"/>
  <c r="AW267" i="9"/>
  <c r="AW269" i="9"/>
  <c r="AW277" i="9"/>
  <c r="AW279" i="9"/>
  <c r="AW281" i="9"/>
  <c r="AW286" i="9"/>
  <c r="AW13" i="10"/>
  <c r="AW17" i="10"/>
  <c r="AW21" i="10"/>
  <c r="AW24" i="10"/>
  <c r="AW27" i="10"/>
  <c r="AW30" i="10"/>
  <c r="AW33" i="10"/>
  <c r="AW36" i="10"/>
  <c r="AW40" i="10"/>
  <c r="AW46" i="10"/>
  <c r="AW52" i="10"/>
  <c r="AW57" i="10"/>
  <c r="AW61" i="10"/>
  <c r="AW65" i="10"/>
  <c r="AW68" i="10"/>
  <c r="AW72" i="10"/>
  <c r="AW77" i="10"/>
  <c r="AW80" i="10"/>
  <c r="AW85" i="10"/>
  <c r="AW88" i="10"/>
  <c r="AW91" i="10"/>
  <c r="AW95" i="10"/>
  <c r="AW99" i="10"/>
  <c r="BA18" i="11"/>
  <c r="BA29" i="11"/>
  <c r="BA33" i="11"/>
  <c r="BA36" i="11"/>
  <c r="BA42" i="11"/>
  <c r="BA45" i="11"/>
  <c r="BA47" i="11"/>
  <c r="AT48" i="11"/>
  <c r="BA49" i="11"/>
  <c r="BA63" i="11"/>
  <c r="BA71" i="11"/>
  <c r="BA76" i="11"/>
  <c r="BA77" i="11"/>
  <c r="BA81" i="11"/>
  <c r="AT81" i="11"/>
  <c r="AT103" i="11"/>
  <c r="AS103" i="11"/>
  <c r="AT117" i="11"/>
  <c r="AS117" i="11"/>
  <c r="AT146" i="11"/>
  <c r="AS146" i="11"/>
  <c r="BA153" i="11"/>
  <c r="BA163" i="11"/>
  <c r="BA174" i="11"/>
  <c r="AT174" i="11"/>
  <c r="BA175" i="11"/>
  <c r="AS177" i="11"/>
  <c r="BA178" i="11"/>
  <c r="BA188" i="11"/>
  <c r="BA194" i="11"/>
  <c r="AS203" i="11"/>
  <c r="BA208" i="11"/>
  <c r="BA216" i="11"/>
  <c r="AS218" i="11"/>
  <c r="BA219" i="11"/>
  <c r="AT224" i="11"/>
  <c r="AS224" i="11"/>
  <c r="BA226" i="11"/>
  <c r="AT226" i="11"/>
  <c r="AS230" i="11"/>
  <c r="AT255" i="11"/>
  <c r="AS255" i="11"/>
  <c r="BA270" i="11"/>
  <c r="AS6" i="12"/>
  <c r="AS16" i="12"/>
  <c r="BA16" i="12"/>
  <c r="BA18" i="12"/>
  <c r="AT18" i="12"/>
  <c r="AS18" i="12"/>
  <c r="AS20" i="12"/>
  <c r="BA20" i="12"/>
  <c r="AT20" i="12"/>
  <c r="AS32" i="12"/>
  <c r="BA32" i="12"/>
  <c r="BA34" i="12"/>
  <c r="AT34" i="12"/>
  <c r="AS34" i="12"/>
  <c r="AS36" i="12"/>
  <c r="BA36" i="12"/>
  <c r="AT36" i="12"/>
  <c r="AS48" i="12"/>
  <c r="BA48" i="12"/>
  <c r="BA50" i="12"/>
  <c r="AT50" i="12"/>
  <c r="AS50" i="12"/>
  <c r="AS52" i="12"/>
  <c r="BA52" i="12"/>
  <c r="AT52" i="12"/>
  <c r="AS58" i="12"/>
  <c r="BA58" i="12"/>
  <c r="AT58" i="12"/>
  <c r="AP68" i="15"/>
  <c r="B68" i="15"/>
  <c r="AP69" i="15"/>
  <c r="B69" i="15"/>
  <c r="AQ69" i="15"/>
  <c r="AP91" i="15"/>
  <c r="B91" i="15"/>
  <c r="AQ91" i="15"/>
  <c r="AP118" i="15"/>
  <c r="B118" i="15"/>
  <c r="AP119" i="15"/>
  <c r="B119" i="15"/>
  <c r="AQ186" i="15"/>
  <c r="AP186" i="15"/>
  <c r="B186" i="15"/>
  <c r="AX186" i="15"/>
  <c r="BA4" i="11"/>
  <c r="AT90" i="11"/>
  <c r="AS90" i="11"/>
  <c r="AT155" i="11"/>
  <c r="AS155" i="11"/>
  <c r="BA172" i="11"/>
  <c r="AT242" i="11"/>
  <c r="AS242" i="11"/>
  <c r="BA273" i="11"/>
  <c r="AT273" i="11"/>
  <c r="AT15" i="12"/>
  <c r="BA15" i="12"/>
  <c r="AT31" i="12"/>
  <c r="BA31" i="12"/>
  <c r="AT47" i="12"/>
  <c r="BA47" i="12"/>
  <c r="BA56" i="12"/>
  <c r="AS56" i="12"/>
  <c r="AT56" i="12"/>
  <c r="BA80" i="12"/>
  <c r="AS80" i="12"/>
  <c r="AS81" i="12"/>
  <c r="BA81" i="12"/>
  <c r="AP8" i="15"/>
  <c r="B8" i="15"/>
  <c r="AP13" i="15"/>
  <c r="B13" i="15"/>
  <c r="AP16" i="15"/>
  <c r="B16" i="15"/>
  <c r="AP21" i="15"/>
  <c r="B21" i="15"/>
  <c r="AP24" i="15"/>
  <c r="B24" i="15"/>
  <c r="AP29" i="15"/>
  <c r="B29" i="15"/>
  <c r="AX79" i="15"/>
  <c r="AP79" i="15"/>
  <c r="B79" i="15"/>
  <c r="AP96" i="15"/>
  <c r="B96" i="15"/>
  <c r="AX96" i="15"/>
  <c r="AP171" i="15"/>
  <c r="B171" i="15"/>
  <c r="AP175" i="15"/>
  <c r="B175" i="15"/>
  <c r="AP185" i="15"/>
  <c r="B185" i="15"/>
  <c r="AQ185" i="15"/>
  <c r="AX185" i="15"/>
  <c r="AT52" i="11"/>
  <c r="AS62" i="11"/>
  <c r="AT65" i="11"/>
  <c r="BA90" i="11"/>
  <c r="Q286" i="11"/>
  <c r="AT116" i="11"/>
  <c r="AS116" i="11"/>
  <c r="AS118" i="11"/>
  <c r="AT122" i="11"/>
  <c r="AS122" i="11"/>
  <c r="AS130" i="11"/>
  <c r="AS135" i="11"/>
  <c r="AS148" i="11"/>
  <c r="BA155" i="11"/>
  <c r="AS158" i="11"/>
  <c r="AS184" i="11"/>
  <c r="AS200" i="11"/>
  <c r="AS206" i="11"/>
  <c r="AS228" i="11"/>
  <c r="AT231" i="11"/>
  <c r="AS231" i="11"/>
  <c r="AS241" i="11"/>
  <c r="BA242" i="11"/>
  <c r="AS245" i="11"/>
  <c r="AT249" i="11"/>
  <c r="AS249" i="11"/>
  <c r="AS261" i="11"/>
  <c r="AT266" i="11"/>
  <c r="AS266" i="11"/>
  <c r="BA268" i="11"/>
  <c r="AS273" i="11"/>
  <c r="AT7" i="12"/>
  <c r="AS7" i="12"/>
  <c r="BA14" i="12"/>
  <c r="AT14" i="12"/>
  <c r="AS15" i="12"/>
  <c r="AT19" i="12"/>
  <c r="BA19" i="12"/>
  <c r="AS19" i="12"/>
  <c r="BA30" i="12"/>
  <c r="AT30" i="12"/>
  <c r="AS31" i="12"/>
  <c r="AT35" i="12"/>
  <c r="BA35" i="12"/>
  <c r="AS35" i="12"/>
  <c r="BA46" i="12"/>
  <c r="AT46" i="12"/>
  <c r="AS47" i="12"/>
  <c r="AT51" i="12"/>
  <c r="BA51" i="12"/>
  <c r="AS51" i="12"/>
  <c r="BA60" i="12"/>
  <c r="AS60" i="12"/>
  <c r="AS62" i="12"/>
  <c r="BA62" i="12"/>
  <c r="BA70" i="12"/>
  <c r="AS70" i="12"/>
  <c r="AS72" i="12"/>
  <c r="BA72" i="12"/>
  <c r="BA74" i="12"/>
  <c r="AS74" i="12"/>
  <c r="AT81" i="12"/>
  <c r="AP78" i="15"/>
  <c r="AX78" i="15"/>
  <c r="B78" i="15"/>
  <c r="AP115" i="15"/>
  <c r="B115" i="15"/>
  <c r="AP146" i="15"/>
  <c r="B146" i="15"/>
  <c r="AP172" i="15"/>
  <c r="B172" i="15"/>
  <c r="AP176" i="15"/>
  <c r="B176" i="15"/>
  <c r="AP181" i="15"/>
  <c r="AQ181" i="15"/>
  <c r="AQ182" i="15"/>
  <c r="AP182" i="15"/>
  <c r="B182" i="15"/>
  <c r="AX183" i="15"/>
  <c r="AP183" i="15"/>
  <c r="B183" i="15"/>
  <c r="AP195" i="15"/>
  <c r="B195" i="15"/>
  <c r="AQ195" i="15"/>
  <c r="AQ196" i="15"/>
  <c r="AP196" i="15"/>
  <c r="B196" i="15"/>
  <c r="D422" i="15"/>
  <c r="E422" i="15" s="1"/>
  <c r="G422" i="15" s="1"/>
  <c r="D438" i="15"/>
  <c r="E438" i="15" s="1"/>
  <c r="D454" i="15"/>
  <c r="E454" i="15" s="1"/>
  <c r="D470" i="15"/>
  <c r="E470" i="15" s="1"/>
  <c r="AX14" i="16"/>
  <c r="AQ14" i="16"/>
  <c r="AP14" i="16"/>
  <c r="B14" i="16"/>
  <c r="B65" i="16"/>
  <c r="AP65" i="16"/>
  <c r="BA207" i="11"/>
  <c r="BA271" i="11"/>
  <c r="AS54" i="12"/>
  <c r="BA54" i="12"/>
  <c r="O84" i="12"/>
  <c r="AX82" i="15"/>
  <c r="AP82" i="15"/>
  <c r="B82" i="15"/>
  <c r="AP83" i="15"/>
  <c r="AX83" i="15"/>
  <c r="AP86" i="15"/>
  <c r="B86" i="15"/>
  <c r="AX86" i="15"/>
  <c r="AP156" i="15"/>
  <c r="B156" i="15"/>
  <c r="AQ156" i="15"/>
  <c r="AX181" i="15"/>
  <c r="AX182" i="15"/>
  <c r="AQ183" i="15"/>
  <c r="AX193" i="15"/>
  <c r="AP193" i="15"/>
  <c r="AX195" i="15"/>
  <c r="AX196" i="15"/>
  <c r="AX226" i="15"/>
  <c r="AQ226" i="15"/>
  <c r="AP226" i="15"/>
  <c r="B226" i="15"/>
  <c r="D434" i="15"/>
  <c r="E434" i="15" s="1"/>
  <c r="G434" i="15"/>
  <c r="D450" i="15"/>
  <c r="E450" i="15" s="1"/>
  <c r="G450" i="15"/>
  <c r="D466" i="15"/>
  <c r="E466" i="15" s="1"/>
  <c r="G466" i="15"/>
  <c r="AT8" i="12"/>
  <c r="AS22" i="12"/>
  <c r="AS23" i="12"/>
  <c r="AT24" i="12"/>
  <c r="AS38" i="12"/>
  <c r="AS39" i="12"/>
  <c r="AT40" i="12"/>
  <c r="AT54" i="12"/>
  <c r="BA64" i="12"/>
  <c r="AS64" i="12"/>
  <c r="AS66" i="12"/>
  <c r="BA66" i="12"/>
  <c r="BA67" i="12"/>
  <c r="AS67" i="12"/>
  <c r="AP42" i="15"/>
  <c r="B42" i="15"/>
  <c r="AX42" i="15"/>
  <c r="AX43" i="15"/>
  <c r="AP43" i="15"/>
  <c r="AP44" i="15"/>
  <c r="AX44" i="15"/>
  <c r="AX65" i="15"/>
  <c r="AP65" i="15"/>
  <c r="B65" i="15"/>
  <c r="AP66" i="15"/>
  <c r="AX66" i="15"/>
  <c r="AX73" i="15"/>
  <c r="AP73" i="15"/>
  <c r="B73" i="15"/>
  <c r="AQ92" i="15"/>
  <c r="AP111" i="15"/>
  <c r="AX111" i="15"/>
  <c r="AP142" i="15"/>
  <c r="B142" i="15"/>
  <c r="AP150" i="15"/>
  <c r="B150" i="15"/>
  <c r="AX150" i="15"/>
  <c r="AX151" i="15"/>
  <c r="AP151" i="15"/>
  <c r="AX156" i="15"/>
  <c r="B181" i="15"/>
  <c r="AP189" i="15"/>
  <c r="B189" i="15"/>
  <c r="AQ189" i="15"/>
  <c r="AQ190" i="15"/>
  <c r="AP190" i="15"/>
  <c r="B190" i="15"/>
  <c r="AX191" i="15"/>
  <c r="AP191" i="15"/>
  <c r="B191" i="15"/>
  <c r="AQ193" i="15"/>
  <c r="AX202" i="15"/>
  <c r="AP202" i="15"/>
  <c r="B202" i="15"/>
  <c r="AQ222" i="15"/>
  <c r="AP222" i="15"/>
  <c r="B222" i="15"/>
  <c r="AX222" i="15"/>
  <c r="D430" i="15"/>
  <c r="E430" i="15" s="1"/>
  <c r="D446" i="15"/>
  <c r="E446" i="15" s="1"/>
  <c r="G446" i="15"/>
  <c r="D462" i="15"/>
  <c r="E462" i="15" s="1"/>
  <c r="D478" i="15"/>
  <c r="E478" i="15" s="1"/>
  <c r="G478" i="15"/>
  <c r="B46" i="15"/>
  <c r="O243" i="15"/>
  <c r="O246" i="15" s="1"/>
  <c r="AQ152" i="15"/>
  <c r="B152" i="15"/>
  <c r="B157" i="15"/>
  <c r="AQ157" i="15"/>
  <c r="AQ161" i="15"/>
  <c r="AQ165" i="15"/>
  <c r="AX179" i="15"/>
  <c r="B192" i="15"/>
  <c r="AX192" i="15"/>
  <c r="AP198" i="15"/>
  <c r="B198" i="15"/>
  <c r="AX199" i="15"/>
  <c r="AQ207" i="15"/>
  <c r="AQ211" i="15"/>
  <c r="AQ215" i="15"/>
  <c r="AQ219" i="15"/>
  <c r="AX223" i="15"/>
  <c r="AQ223" i="15"/>
  <c r="AX237" i="15"/>
  <c r="B237" i="15"/>
  <c r="AP237" i="15"/>
  <c r="G424" i="15"/>
  <c r="G425" i="15"/>
  <c r="G428" i="15"/>
  <c r="G429" i="15"/>
  <c r="G432" i="15"/>
  <c r="G433" i="15"/>
  <c r="G436" i="15"/>
  <c r="G437" i="15"/>
  <c r="G440" i="15"/>
  <c r="G441" i="15"/>
  <c r="G444" i="15"/>
  <c r="G445" i="15"/>
  <c r="G448" i="15"/>
  <c r="G449" i="15"/>
  <c r="G453" i="15"/>
  <c r="G457" i="15"/>
  <c r="G461" i="15"/>
  <c r="G465" i="15"/>
  <c r="G469" i="15"/>
  <c r="G473" i="15"/>
  <c r="G477" i="15"/>
  <c r="AX116" i="16"/>
  <c r="AQ116" i="16"/>
  <c r="B116" i="16"/>
  <c r="AP116" i="16"/>
  <c r="AX137" i="16"/>
  <c r="AQ137" i="16"/>
  <c r="B137" i="16"/>
  <c r="AP137" i="16"/>
  <c r="AX156" i="16"/>
  <c r="AQ156" i="16"/>
  <c r="B156" i="16"/>
  <c r="AP156" i="16"/>
  <c r="AX169" i="16"/>
  <c r="AP169" i="16"/>
  <c r="B171" i="16"/>
  <c r="AP171" i="16"/>
  <c r="AX171" i="16"/>
  <c r="D416" i="17"/>
  <c r="E416" i="17" s="1"/>
  <c r="G416" i="17"/>
  <c r="AP201" i="15"/>
  <c r="B201" i="15"/>
  <c r="AX229" i="15"/>
  <c r="B229" i="15"/>
  <c r="AP229" i="15"/>
  <c r="AX239" i="15"/>
  <c r="B239" i="15"/>
  <c r="AP239" i="15"/>
  <c r="E421" i="15"/>
  <c r="B70" i="16"/>
  <c r="AP70" i="16"/>
  <c r="AQ154" i="15"/>
  <c r="B154" i="15"/>
  <c r="AP159" i="15"/>
  <c r="B159" i="15"/>
  <c r="AP163" i="15"/>
  <c r="B163" i="15"/>
  <c r="AP167" i="15"/>
  <c r="B167" i="15"/>
  <c r="AQ201" i="15"/>
  <c r="B204" i="15"/>
  <c r="AP205" i="15"/>
  <c r="B205" i="15"/>
  <c r="AP209" i="15"/>
  <c r="B209" i="15"/>
  <c r="AP213" i="15"/>
  <c r="B213" i="15"/>
  <c r="AP217" i="15"/>
  <c r="B217" i="15"/>
  <c r="AP221" i="15"/>
  <c r="B221" i="15"/>
  <c r="G489" i="15"/>
  <c r="AX9" i="16"/>
  <c r="AQ9" i="16"/>
  <c r="B9" i="16"/>
  <c r="AP9" i="16"/>
  <c r="D406" i="16"/>
  <c r="E406" i="16" s="1"/>
  <c r="B228" i="15"/>
  <c r="B234" i="15"/>
  <c r="B242" i="15"/>
  <c r="G423" i="15"/>
  <c r="G427" i="15"/>
  <c r="G431" i="15"/>
  <c r="G435" i="15"/>
  <c r="G439" i="15"/>
  <c r="G443" i="15"/>
  <c r="G447" i="15"/>
  <c r="G451" i="15"/>
  <c r="G455" i="15"/>
  <c r="G459" i="15"/>
  <c r="G463" i="15"/>
  <c r="G467" i="15"/>
  <c r="G471" i="15"/>
  <c r="G475" i="15"/>
  <c r="G479" i="15"/>
  <c r="G480" i="15"/>
  <c r="AX11" i="16"/>
  <c r="AQ11" i="16"/>
  <c r="B11" i="16"/>
  <c r="AQ16" i="16"/>
  <c r="B16" i="16"/>
  <c r="AP16" i="16"/>
  <c r="AQ54" i="16"/>
  <c r="AP54" i="16"/>
  <c r="AX56" i="16"/>
  <c r="AQ56" i="16"/>
  <c r="B56" i="16"/>
  <c r="AX79" i="16"/>
  <c r="AQ79" i="16"/>
  <c r="B79" i="16"/>
  <c r="AP79" i="16"/>
  <c r="AX106" i="16"/>
  <c r="AP106" i="16"/>
  <c r="B106" i="16"/>
  <c r="AX114" i="16"/>
  <c r="AQ114" i="16"/>
  <c r="B114" i="16"/>
  <c r="AP114" i="16"/>
  <c r="AX123" i="16"/>
  <c r="B123" i="16"/>
  <c r="AP123" i="16"/>
  <c r="AX135" i="16"/>
  <c r="AQ135" i="16"/>
  <c r="B135" i="16"/>
  <c r="AP135" i="16"/>
  <c r="AX140" i="16"/>
  <c r="AQ140" i="16"/>
  <c r="B140" i="16"/>
  <c r="AP140" i="16"/>
  <c r="AX145" i="16"/>
  <c r="AQ145" i="16"/>
  <c r="B145" i="16"/>
  <c r="AP145" i="16"/>
  <c r="AX154" i="16"/>
  <c r="AQ154" i="16"/>
  <c r="AP154" i="16"/>
  <c r="G401" i="16"/>
  <c r="AW8" i="17"/>
  <c r="AP8" i="17"/>
  <c r="B8" i="17"/>
  <c r="AO8" i="17"/>
  <c r="B37" i="17"/>
  <c r="AO37" i="17"/>
  <c r="AW37" i="17"/>
  <c r="D435" i="17"/>
  <c r="E435" i="17" s="1"/>
  <c r="G435" i="17"/>
  <c r="B225" i="15"/>
  <c r="AP225" i="15"/>
  <c r="D479" i="15"/>
  <c r="E479" i="15" s="1"/>
  <c r="G483" i="15"/>
  <c r="G486" i="15"/>
  <c r="AP11" i="16"/>
  <c r="AX16" i="16"/>
  <c r="AQ18" i="16"/>
  <c r="B18" i="16"/>
  <c r="AP18" i="16"/>
  <c r="AX53" i="16"/>
  <c r="AQ53" i="16"/>
  <c r="AX54" i="16"/>
  <c r="AP56" i="16"/>
  <c r="AX61" i="16"/>
  <c r="AQ61" i="16"/>
  <c r="B61" i="16"/>
  <c r="AP69" i="16"/>
  <c r="B87" i="16"/>
  <c r="AP87" i="16"/>
  <c r="AX112" i="16"/>
  <c r="AQ112" i="16"/>
  <c r="B112" i="16"/>
  <c r="AP112" i="16"/>
  <c r="AX133" i="16"/>
  <c r="AQ133" i="16"/>
  <c r="B133" i="16"/>
  <c r="AP133" i="16"/>
  <c r="G381" i="16"/>
  <c r="G389" i="16"/>
  <c r="AP35" i="17"/>
  <c r="B35" i="17"/>
  <c r="AO35" i="17"/>
  <c r="AW35" i="17"/>
  <c r="D415" i="17"/>
  <c r="E415" i="17" s="1"/>
  <c r="G421" i="15"/>
  <c r="G487" i="15"/>
  <c r="G488" i="15"/>
  <c r="AQ13" i="16"/>
  <c r="B13" i="16"/>
  <c r="AP13" i="16"/>
  <c r="AQ58" i="16"/>
  <c r="AP58" i="16"/>
  <c r="B58" i="16"/>
  <c r="AX63" i="16"/>
  <c r="AQ63" i="16"/>
  <c r="B63" i="16"/>
  <c r="AX67" i="16"/>
  <c r="B67" i="16"/>
  <c r="AX71" i="16"/>
  <c r="AQ71" i="16"/>
  <c r="B71" i="16"/>
  <c r="AX74" i="16"/>
  <c r="AQ74" i="16"/>
  <c r="B74" i="16"/>
  <c r="AX118" i="16"/>
  <c r="B118" i="16"/>
  <c r="AP118" i="16"/>
  <c r="AX131" i="16"/>
  <c r="AQ131" i="16"/>
  <c r="B131" i="16"/>
  <c r="AP131" i="16"/>
  <c r="B139" i="16"/>
  <c r="AP139" i="16"/>
  <c r="C400" i="16"/>
  <c r="F400" i="16"/>
  <c r="AX158" i="16"/>
  <c r="AQ158" i="16"/>
  <c r="B158" i="16"/>
  <c r="AP158" i="16"/>
  <c r="G382" i="16"/>
  <c r="G385" i="16"/>
  <c r="G394" i="16"/>
  <c r="G410" i="16"/>
  <c r="B7" i="17"/>
  <c r="AO7" i="17"/>
  <c r="AW9" i="17"/>
  <c r="AO9" i="17"/>
  <c r="G104" i="17"/>
  <c r="G108" i="17"/>
  <c r="G112" i="17"/>
  <c r="G116" i="17"/>
  <c r="G120" i="17"/>
  <c r="G414" i="17"/>
  <c r="AL42" i="18"/>
  <c r="AM42" i="18"/>
  <c r="AM116" i="18"/>
  <c r="AL116" i="18"/>
  <c r="O172" i="16"/>
  <c r="O179" i="16" s="1"/>
  <c r="G383" i="16"/>
  <c r="G387" i="16"/>
  <c r="G391" i="16"/>
  <c r="G395" i="16"/>
  <c r="G403" i="16"/>
  <c r="G407" i="16"/>
  <c r="G411" i="16"/>
  <c r="AW12" i="17"/>
  <c r="AO12" i="17"/>
  <c r="G111" i="17"/>
  <c r="G419" i="17"/>
  <c r="AM11" i="18"/>
  <c r="AL11" i="18"/>
  <c r="AM13" i="18"/>
  <c r="AL13" i="18"/>
  <c r="AL18" i="18"/>
  <c r="AM18" i="18"/>
  <c r="AL30" i="18"/>
  <c r="AM30" i="18"/>
  <c r="AL46" i="18"/>
  <c r="AM46" i="18"/>
  <c r="AL54" i="18"/>
  <c r="AM54" i="18"/>
  <c r="AL62" i="18"/>
  <c r="AM62" i="18"/>
  <c r="AM103" i="18"/>
  <c r="AL103" i="18"/>
  <c r="B76" i="16"/>
  <c r="AP76" i="16"/>
  <c r="B82" i="16"/>
  <c r="AP82" i="16"/>
  <c r="AP85" i="16"/>
  <c r="B88" i="16"/>
  <c r="AP88" i="16"/>
  <c r="AP90" i="16"/>
  <c r="AP93" i="16"/>
  <c r="AP95" i="16"/>
  <c r="AP97" i="16"/>
  <c r="AP99" i="16"/>
  <c r="AP101" i="16"/>
  <c r="AP107" i="16"/>
  <c r="B109" i="16"/>
  <c r="AP119" i="16"/>
  <c r="AP121" i="16"/>
  <c r="AP124" i="16"/>
  <c r="AP126" i="16"/>
  <c r="AP128" i="16"/>
  <c r="B147" i="16"/>
  <c r="AP147" i="16"/>
  <c r="AP149" i="16"/>
  <c r="AP151" i="16"/>
  <c r="AP153" i="16"/>
  <c r="AP161" i="16"/>
  <c r="AP163" i="16"/>
  <c r="AP165" i="16"/>
  <c r="AP167" i="16"/>
  <c r="AL246" i="16"/>
  <c r="D379" i="16"/>
  <c r="G380" i="16"/>
  <c r="G388" i="16"/>
  <c r="G392" i="16"/>
  <c r="G404" i="16"/>
  <c r="C115" i="17"/>
  <c r="C429" i="17"/>
  <c r="F115" i="17"/>
  <c r="F429" i="17"/>
  <c r="D412" i="17"/>
  <c r="G426" i="17"/>
  <c r="AL34" i="18"/>
  <c r="AM34" i="18"/>
  <c r="AL50" i="18"/>
  <c r="AM50" i="18"/>
  <c r="AL74" i="18"/>
  <c r="AM74" i="18"/>
  <c r="B85" i="16"/>
  <c r="B95" i="16"/>
  <c r="B97" i="16"/>
  <c r="B101" i="16"/>
  <c r="B105" i="16"/>
  <c r="B107" i="16"/>
  <c r="B110" i="16"/>
  <c r="B119" i="16"/>
  <c r="B121" i="16"/>
  <c r="B124" i="16"/>
  <c r="B126" i="16"/>
  <c r="B128" i="16"/>
  <c r="B130" i="16"/>
  <c r="B149" i="16"/>
  <c r="B151" i="16"/>
  <c r="B153" i="16"/>
  <c r="B161" i="16"/>
  <c r="B163" i="16"/>
  <c r="B167" i="16"/>
  <c r="AO11" i="17"/>
  <c r="G99" i="17"/>
  <c r="G105" i="17"/>
  <c r="G107" i="17"/>
  <c r="G113" i="17"/>
  <c r="G117" i="17"/>
  <c r="G119" i="17"/>
  <c r="G125" i="17"/>
  <c r="G129" i="17"/>
  <c r="G422" i="17"/>
  <c r="G427" i="17"/>
  <c r="G430" i="17"/>
  <c r="G439" i="17"/>
  <c r="AM6" i="18"/>
  <c r="AL6" i="18"/>
  <c r="AM12" i="18"/>
  <c r="AL12" i="18"/>
  <c r="AL38" i="18"/>
  <c r="AM38" i="18"/>
  <c r="G420" i="17"/>
  <c r="G424" i="17"/>
  <c r="G428" i="17"/>
  <c r="G436" i="17"/>
  <c r="G440" i="17"/>
  <c r="AM105" i="18"/>
  <c r="AL105" i="18"/>
  <c r="AM107" i="18"/>
  <c r="AL107" i="18"/>
  <c r="AM109" i="18"/>
  <c r="AL109" i="18"/>
  <c r="AM118" i="18"/>
  <c r="AL118" i="18"/>
  <c r="AM120" i="18"/>
  <c r="AL120" i="18"/>
  <c r="G102" i="17"/>
  <c r="G106" i="17"/>
  <c r="G110" i="17"/>
  <c r="G114" i="17"/>
  <c r="G118" i="17"/>
  <c r="G122" i="17"/>
  <c r="G126" i="17"/>
  <c r="G130" i="17"/>
  <c r="G413" i="17"/>
  <c r="G421" i="17"/>
  <c r="G425" i="17"/>
  <c r="G433" i="17"/>
  <c r="G437" i="17"/>
  <c r="G441" i="17"/>
  <c r="AL7" i="18"/>
  <c r="AL8" i="18"/>
  <c r="AL9" i="18"/>
  <c r="AL10" i="18"/>
  <c r="AM17" i="18"/>
  <c r="AM21" i="18"/>
  <c r="AM25" i="18"/>
  <c r="AM29" i="18"/>
  <c r="AM33" i="18"/>
  <c r="AM37" i="18"/>
  <c r="AM41" i="18"/>
  <c r="AM45" i="18"/>
  <c r="AM49" i="18"/>
  <c r="AM61" i="18"/>
  <c r="AM65" i="18"/>
  <c r="AM98" i="18"/>
  <c r="AL98" i="18"/>
  <c r="AT105" i="18"/>
  <c r="D98" i="17"/>
  <c r="AM16" i="18"/>
  <c r="AM20" i="18"/>
  <c r="AM24" i="18"/>
  <c r="AM28" i="18"/>
  <c r="AM32" i="18"/>
  <c r="AM36" i="18"/>
  <c r="AM40" i="18"/>
  <c r="AM44" i="18"/>
  <c r="AM48" i="18"/>
  <c r="AM56" i="18"/>
  <c r="AM60" i="18"/>
  <c r="AM64" i="18"/>
  <c r="AM106" i="18"/>
  <c r="AL106" i="18"/>
  <c r="AM108" i="18"/>
  <c r="AL108" i="18"/>
  <c r="AM114" i="18"/>
  <c r="AL114" i="18"/>
  <c r="AM119" i="18"/>
  <c r="AL119" i="18"/>
  <c r="AL8" i="4"/>
  <c r="AL12" i="4"/>
  <c r="AL15" i="4"/>
  <c r="AL30" i="4"/>
  <c r="AL42" i="4"/>
  <c r="AL46" i="4"/>
  <c r="AL57" i="4"/>
  <c r="AM113" i="4"/>
  <c r="AM117" i="4"/>
  <c r="AT120" i="4"/>
  <c r="AM145" i="4"/>
  <c r="AT148" i="4"/>
  <c r="AM161" i="4"/>
  <c r="AL170" i="4"/>
  <c r="AM173" i="4"/>
  <c r="AL207" i="4"/>
  <c r="AL283" i="4"/>
  <c r="AM283" i="4"/>
  <c r="AM329" i="4"/>
  <c r="AL329" i="4"/>
  <c r="K1417" i="4"/>
  <c r="C1400" i="4"/>
  <c r="AL287" i="4"/>
  <c r="AM287" i="4"/>
  <c r="AM381" i="4"/>
  <c r="AL381" i="4"/>
  <c r="AM405" i="4"/>
  <c r="AL405" i="4"/>
  <c r="AM420" i="4"/>
  <c r="AL420" i="4"/>
  <c r="AL426" i="4"/>
  <c r="AT426" i="4"/>
  <c r="H1415" i="4"/>
  <c r="H1398" i="4" s="1"/>
  <c r="H1408" i="4" s="1"/>
  <c r="N1225" i="4"/>
  <c r="AL112" i="4"/>
  <c r="AL116" i="4"/>
  <c r="AL144" i="4"/>
  <c r="AL148" i="4"/>
  <c r="AL286" i="4"/>
  <c r="AM321" i="4"/>
  <c r="AL321" i="4"/>
  <c r="X1415" i="4"/>
  <c r="Y1398" i="4"/>
  <c r="AL224" i="4"/>
  <c r="AM224" i="4"/>
  <c r="AM388" i="4"/>
  <c r="AL388" i="4"/>
  <c r="AM322" i="4"/>
  <c r="AM330" i="4"/>
  <c r="AT414" i="4"/>
  <c r="AL709" i="4"/>
  <c r="AT709" i="4"/>
  <c r="AT719" i="4"/>
  <c r="AL719" i="4"/>
  <c r="K1422" i="4"/>
  <c r="C1402" i="4"/>
  <c r="K1402" i="4" s="1"/>
  <c r="P1400" i="4"/>
  <c r="V1411" i="4"/>
  <c r="Z1411" i="4" s="1"/>
  <c r="U1396" i="4"/>
  <c r="U1400" i="4" s="1"/>
  <c r="AM660" i="4"/>
  <c r="AM694" i="4"/>
  <c r="AL400" i="4"/>
  <c r="AL428" i="4"/>
  <c r="AL464" i="4"/>
  <c r="AM465" i="4"/>
  <c r="AM696" i="4"/>
  <c r="AA1399" i="4"/>
  <c r="Y1400" i="4"/>
  <c r="D1408" i="4"/>
  <c r="K1398" i="4"/>
  <c r="Y1410" i="4"/>
  <c r="T1399" i="4"/>
  <c r="T1400" i="4" s="1"/>
  <c r="Z1415" i="4"/>
  <c r="P1422" i="4"/>
  <c r="V1406" i="4"/>
  <c r="X1409" i="4"/>
  <c r="Z1409" i="4" s="1"/>
  <c r="S1398" i="4"/>
  <c r="S1400" i="4" s="1"/>
  <c r="K1415" i="4"/>
  <c r="F1408" i="4"/>
  <c r="J1408" i="4"/>
  <c r="K1397" i="4"/>
  <c r="Z1408" i="4"/>
  <c r="Y1417" i="4"/>
  <c r="R1422" i="4"/>
  <c r="Z1413" i="4"/>
  <c r="H1429" i="4"/>
  <c r="Z1414" i="4"/>
  <c r="S1422" i="4"/>
  <c r="X1417" i="4"/>
  <c r="Q1422" i="4"/>
  <c r="Z1410" i="4"/>
  <c r="C1429" i="4"/>
  <c r="K1414" i="4"/>
  <c r="K1416" i="4"/>
  <c r="Z1416" i="4"/>
  <c r="B50" i="1"/>
  <c r="E496" i="15" l="1"/>
  <c r="F405" i="16"/>
  <c r="C396" i="16"/>
  <c r="D396" i="16"/>
  <c r="E396" i="16" s="1"/>
  <c r="C438" i="17"/>
  <c r="C127" i="17"/>
  <c r="F438" i="17"/>
  <c r="F127" i="17"/>
  <c r="E136" i="17"/>
  <c r="F390" i="16"/>
  <c r="C390" i="16"/>
  <c r="C417" i="17"/>
  <c r="F417" i="17"/>
  <c r="E98" i="17"/>
  <c r="D429" i="17"/>
  <c r="E429" i="17" s="1"/>
  <c r="G429" i="17"/>
  <c r="C405" i="16"/>
  <c r="G406" i="16"/>
  <c r="G454" i="15"/>
  <c r="O247" i="15"/>
  <c r="D400" i="16"/>
  <c r="E400" i="16" s="1"/>
  <c r="O178" i="16"/>
  <c r="C432" i="17"/>
  <c r="C121" i="17"/>
  <c r="F432" i="17"/>
  <c r="F121" i="17"/>
  <c r="E379" i="16"/>
  <c r="C397" i="16"/>
  <c r="F397" i="16"/>
  <c r="F402" i="16"/>
  <c r="C402" i="16"/>
  <c r="C384" i="16"/>
  <c r="F384" i="16"/>
  <c r="G415" i="17"/>
  <c r="C393" i="16"/>
  <c r="F393" i="16"/>
  <c r="F396" i="16"/>
  <c r="C399" i="16"/>
  <c r="F399" i="16"/>
  <c r="G470" i="15"/>
  <c r="G438" i="15"/>
  <c r="D115" i="17"/>
  <c r="E115" i="17" s="1"/>
  <c r="E412" i="17"/>
  <c r="C131" i="17"/>
  <c r="C408" i="16"/>
  <c r="F408" i="16"/>
  <c r="G462" i="15"/>
  <c r="G430" i="15"/>
  <c r="C485" i="15"/>
  <c r="F485" i="15"/>
  <c r="F491" i="15" s="1"/>
  <c r="AI1414" i="4"/>
  <c r="AQ1401" i="4"/>
  <c r="K1429" i="4"/>
  <c r="V1417" i="4"/>
  <c r="Z1417" i="4" s="1"/>
  <c r="Z1406" i="4"/>
  <c r="AF1417" i="4"/>
  <c r="AJ1420" i="4"/>
  <c r="AQ1425" i="4"/>
  <c r="K1408" i="4"/>
  <c r="AF1410" i="4"/>
  <c r="AA1398" i="4"/>
  <c r="AA1396" i="4"/>
  <c r="K1400" i="4"/>
  <c r="AL1398" i="4"/>
  <c r="AE1398" i="4"/>
  <c r="C1408" i="4"/>
  <c r="AT1404" i="4" s="1"/>
  <c r="AI1400" i="4"/>
  <c r="AL1399" i="4"/>
  <c r="AO1398" i="4"/>
  <c r="AF1411" i="4"/>
  <c r="AM1423" i="4"/>
  <c r="AF1408" i="4"/>
  <c r="AQ1423" i="4"/>
  <c r="AM1405" i="4"/>
  <c r="AI1411" i="4"/>
  <c r="AJ1423" i="4"/>
  <c r="AI1408" i="4"/>
  <c r="F131" i="17" l="1"/>
  <c r="F442" i="17"/>
  <c r="D408" i="16"/>
  <c r="E408" i="16" s="1"/>
  <c r="D384" i="16"/>
  <c r="C412" i="16"/>
  <c r="D397" i="16"/>
  <c r="E397" i="16" s="1"/>
  <c r="G400" i="16"/>
  <c r="D417" i="17"/>
  <c r="C442" i="17"/>
  <c r="G396" i="16"/>
  <c r="D485" i="15"/>
  <c r="C491" i="15"/>
  <c r="F412" i="16"/>
  <c r="D438" i="17"/>
  <c r="E438" i="17" s="1"/>
  <c r="G393" i="16"/>
  <c r="D393" i="16"/>
  <c r="E393" i="16" s="1"/>
  <c r="D402" i="16"/>
  <c r="E402" i="16" s="1"/>
  <c r="G402" i="16"/>
  <c r="D121" i="17"/>
  <c r="E121" i="17" s="1"/>
  <c r="E131" i="17" s="1"/>
  <c r="G98" i="17"/>
  <c r="D390" i="16"/>
  <c r="E390" i="16" s="1"/>
  <c r="G390" i="16" s="1"/>
  <c r="G412" i="17"/>
  <c r="G115" i="17"/>
  <c r="D399" i="16"/>
  <c r="E399" i="16" s="1"/>
  <c r="D432" i="17"/>
  <c r="E432" i="17" s="1"/>
  <c r="D405" i="16"/>
  <c r="E405" i="16" s="1"/>
  <c r="G405" i="16" s="1"/>
  <c r="D127" i="17"/>
  <c r="E127" i="17" s="1"/>
  <c r="G127" i="17" s="1"/>
  <c r="G379" i="16"/>
  <c r="AK1423" i="4"/>
  <c r="AL1423" i="4" s="1"/>
  <c r="AG1408" i="4"/>
  <c r="AH1408" i="4" s="1"/>
  <c r="AM1399" i="4"/>
  <c r="AN1399" i="4" s="1"/>
  <c r="AM1398" i="4"/>
  <c r="AK1420" i="4"/>
  <c r="AL1420" i="4" s="1"/>
  <c r="AR1401" i="4"/>
  <c r="AR1425" i="4"/>
  <c r="AS1425" i="4" s="1"/>
  <c r="AG1417" i="4"/>
  <c r="AH1417" i="4" s="1"/>
  <c r="AF1405" i="4"/>
  <c r="AT1403" i="4"/>
  <c r="AG1410" i="4"/>
  <c r="AH1410" i="4" s="1"/>
  <c r="AN1405" i="4"/>
  <c r="AO1405" i="4" s="1"/>
  <c r="AJ1411" i="4"/>
  <c r="AG1411" i="4"/>
  <c r="AH1411" i="4" s="1"/>
  <c r="AF1414" i="4"/>
  <c r="AP1410" i="4"/>
  <c r="AJ1430" i="4"/>
  <c r="AQ1424" i="4"/>
  <c r="AJ1419" i="4"/>
  <c r="AM1409" i="4"/>
  <c r="AM1430" i="4"/>
  <c r="AT1424" i="4"/>
  <c r="AM1419" i="4"/>
  <c r="AJ1435" i="4"/>
  <c r="AJ1429" i="4"/>
  <c r="AM1424" i="4"/>
  <c r="AQ1418" i="4"/>
  <c r="AJ1434" i="4"/>
  <c r="AT1426" i="4"/>
  <c r="AJ1422" i="4"/>
  <c r="AJ1418" i="4"/>
  <c r="AM1407" i="4"/>
  <c r="AF1409" i="4"/>
  <c r="AM1403" i="4"/>
  <c r="AM1410" i="4"/>
  <c r="AJ1402" i="4"/>
  <c r="AH1398" i="4"/>
  <c r="AM1422" i="4"/>
  <c r="AM1418" i="4"/>
  <c r="AJ1436" i="4"/>
  <c r="AQ1429" i="4"/>
  <c r="AJ1424" i="4"/>
  <c r="AM1417" i="4"/>
  <c r="AM1432" i="4"/>
  <c r="AM1428" i="4"/>
  <c r="AQ1422" i="4"/>
  <c r="AP1417" i="4"/>
  <c r="AM1431" i="4"/>
  <c r="AJ1426" i="4"/>
  <c r="AM1421" i="4"/>
  <c r="AI1413" i="4"/>
  <c r="AM1406" i="4"/>
  <c r="AP1408" i="4"/>
  <c r="AP1400" i="4"/>
  <c r="AP1407" i="4"/>
  <c r="AM1401" i="4"/>
  <c r="AF1413" i="4"/>
  <c r="AM1434" i="4"/>
  <c r="AJ1427" i="4"/>
  <c r="AQ1420" i="4"/>
  <c r="AF1415" i="4"/>
  <c r="AM1433" i="4"/>
  <c r="AJ1428" i="4"/>
  <c r="AQ1421" i="4"/>
  <c r="AF1416" i="4"/>
  <c r="AJ1431" i="4"/>
  <c r="AQ1426" i="4"/>
  <c r="AT1421" i="4"/>
  <c r="AI1416" i="4"/>
  <c r="AM1429" i="4"/>
  <c r="AM1425" i="4"/>
  <c r="AQ1419" i="4"/>
  <c r="AI1410" i="4"/>
  <c r="AI1412" i="4"/>
  <c r="AF1407" i="4"/>
  <c r="AF1400" i="4"/>
  <c r="AI1407" i="4"/>
  <c r="AO1399" i="4"/>
  <c r="AI1409" i="4"/>
  <c r="AM1402" i="4"/>
  <c r="AJ1401" i="4"/>
  <c r="AT1402" i="4"/>
  <c r="AP1406" i="4"/>
  <c r="AM1400" i="4"/>
  <c r="AM1404" i="4"/>
  <c r="AI1406" i="4"/>
  <c r="AF1406" i="4"/>
  <c r="AJ1403" i="4"/>
  <c r="AM1420" i="4"/>
  <c r="AI1417" i="4"/>
  <c r="AJ1433" i="4"/>
  <c r="AM1426" i="4"/>
  <c r="AT1419" i="4"/>
  <c r="AF1412" i="4"/>
  <c r="AJ1432" i="4"/>
  <c r="AM1427" i="4"/>
  <c r="AT1420" i="4"/>
  <c r="AM1436" i="4"/>
  <c r="AT1429" i="4"/>
  <c r="AJ1425" i="4"/>
  <c r="AJ1421" i="4"/>
  <c r="AM1435" i="4"/>
  <c r="AQ1427" i="4"/>
  <c r="AT1422" i="4"/>
  <c r="AT1418" i="4"/>
  <c r="AM1408" i="4"/>
  <c r="AP1409" i="4"/>
  <c r="AJ1404" i="4"/>
  <c r="AI1415" i="4"/>
  <c r="AE1399" i="4"/>
  <c r="AH1399" i="4"/>
  <c r="AP1405" i="4"/>
  <c r="AQ1405" i="4" s="1"/>
  <c r="AQ1402" i="4"/>
  <c r="AQ1428" i="4"/>
  <c r="AT1425" i="4"/>
  <c r="AQ1404" i="4"/>
  <c r="AI1405" i="4"/>
  <c r="AR1423" i="4"/>
  <c r="AS1423" i="4" s="1"/>
  <c r="AF1398" i="4"/>
  <c r="AG1398" i="4" s="1"/>
  <c r="AT1427" i="4"/>
  <c r="AQ1403" i="4"/>
  <c r="AT1428" i="4"/>
  <c r="AT1423" i="4"/>
  <c r="AT1401" i="4"/>
  <c r="AP1411" i="4" s="1"/>
  <c r="G121" i="17" l="1"/>
  <c r="D131" i="17"/>
  <c r="G131" i="17" s="1"/>
  <c r="E384" i="16"/>
  <c r="E412" i="16" s="1"/>
  <c r="G412" i="16" s="1"/>
  <c r="D412" i="16"/>
  <c r="G399" i="16"/>
  <c r="E485" i="15"/>
  <c r="D491" i="15"/>
  <c r="G397" i="16"/>
  <c r="AU1423" i="4"/>
  <c r="G438" i="17"/>
  <c r="E417" i="17"/>
  <c r="E442" i="17" s="1"/>
  <c r="D442" i="17"/>
  <c r="G408" i="16"/>
  <c r="G432" i="17"/>
  <c r="AR1403" i="4"/>
  <c r="AS1403" i="4" s="1"/>
  <c r="AR1427" i="4"/>
  <c r="AS1427" i="4" s="1"/>
  <c r="AR1428" i="4"/>
  <c r="AS1428" i="4" s="1"/>
  <c r="AG1412" i="4"/>
  <c r="AH1412" i="4" s="1"/>
  <c r="AI1398" i="4"/>
  <c r="AR1402" i="4"/>
  <c r="AS1402" i="4" s="1"/>
  <c r="AT1430" i="4"/>
  <c r="AK1421" i="4"/>
  <c r="AL1421" i="4" s="1"/>
  <c r="AN1421" i="4" s="1"/>
  <c r="AK1401" i="4"/>
  <c r="AG1416" i="4"/>
  <c r="AH1416" i="4" s="1"/>
  <c r="AG1415" i="4"/>
  <c r="AH1415" i="4" s="1"/>
  <c r="AG1413" i="4"/>
  <c r="AH1413" i="4" s="1"/>
  <c r="AK1426" i="4"/>
  <c r="AL1426" i="4" s="1"/>
  <c r="AN1426" i="4"/>
  <c r="AR1429" i="4"/>
  <c r="AS1429" i="4" s="1"/>
  <c r="AG1409" i="4"/>
  <c r="AH1409" i="4" s="1"/>
  <c r="AK1429" i="4"/>
  <c r="AL1429" i="4" s="1"/>
  <c r="AK1430" i="4"/>
  <c r="AL1430" i="4" s="1"/>
  <c r="AN1398" i="4"/>
  <c r="AJ1408" i="4"/>
  <c r="AR1404" i="4"/>
  <c r="AS1404" i="4" s="1"/>
  <c r="AK1404" i="4"/>
  <c r="AL1404" i="4" s="1"/>
  <c r="AK1425" i="4"/>
  <c r="AL1425" i="4" s="1"/>
  <c r="AN1425" i="4" s="1"/>
  <c r="AK1403" i="4"/>
  <c r="AL1403" i="4" s="1"/>
  <c r="AN1403" i="4"/>
  <c r="AN1400" i="4"/>
  <c r="AO1400" i="4" s="1"/>
  <c r="AG1400" i="4"/>
  <c r="AH1400" i="4" s="1"/>
  <c r="AR1419" i="4"/>
  <c r="AS1419" i="4" s="1"/>
  <c r="AR1421" i="4"/>
  <c r="AS1421" i="4" s="1"/>
  <c r="AR1420" i="4"/>
  <c r="AS1420" i="4" s="1"/>
  <c r="AN1406" i="4"/>
  <c r="AO1406" i="4" s="1"/>
  <c r="AK1436" i="4"/>
  <c r="AL1436" i="4" s="1"/>
  <c r="AK1402" i="4"/>
  <c r="AL1402" i="4" s="1"/>
  <c r="AQ1407" i="4"/>
  <c r="AN1407" i="4"/>
  <c r="AO1407" i="4" s="1"/>
  <c r="AK1434" i="4"/>
  <c r="AL1434" i="4" s="1"/>
  <c r="AN1434" i="4"/>
  <c r="AK1435" i="4"/>
  <c r="AL1435" i="4" s="1"/>
  <c r="AN1409" i="4"/>
  <c r="AO1409" i="4" s="1"/>
  <c r="AU1425" i="4"/>
  <c r="AN1420" i="4"/>
  <c r="AK1432" i="4"/>
  <c r="AL1432" i="4" s="1"/>
  <c r="AN1432" i="4"/>
  <c r="AK1433" i="4"/>
  <c r="AL1433" i="4" s="1"/>
  <c r="AG1406" i="4"/>
  <c r="AH1406" i="4" s="1"/>
  <c r="AJ1406" i="4"/>
  <c r="AG1407" i="4"/>
  <c r="AH1407" i="4" s="1"/>
  <c r="AR1426" i="4"/>
  <c r="AS1426" i="4" s="1"/>
  <c r="AU1426" i="4"/>
  <c r="AK1428" i="4"/>
  <c r="AL1428" i="4" s="1"/>
  <c r="AK1427" i="4"/>
  <c r="AL1427" i="4" s="1"/>
  <c r="AN1417" i="4"/>
  <c r="AO1417" i="4" s="1"/>
  <c r="AN1410" i="4"/>
  <c r="AO1410" i="4" s="1"/>
  <c r="AQ1410" i="4"/>
  <c r="AK1418" i="4"/>
  <c r="AL1418" i="4" s="1"/>
  <c r="AR1418" i="4"/>
  <c r="AN1419" i="4"/>
  <c r="AK1419" i="4"/>
  <c r="AL1419" i="4" s="1"/>
  <c r="AG1414" i="4"/>
  <c r="AH1414" i="4" s="1"/>
  <c r="AG1405" i="4"/>
  <c r="AH1405" i="4" s="1"/>
  <c r="AF1399" i="4"/>
  <c r="AG1399" i="4" s="1"/>
  <c r="AQ1408" i="4"/>
  <c r="AN1408" i="4"/>
  <c r="AO1408" i="4" s="1"/>
  <c r="AK1431" i="4"/>
  <c r="AL1431" i="4" s="1"/>
  <c r="AN1431" i="4"/>
  <c r="AR1422" i="4"/>
  <c r="AS1422" i="4" s="1"/>
  <c r="AK1424" i="4"/>
  <c r="AL1424" i="4" s="1"/>
  <c r="AN1424" i="4"/>
  <c r="AK1422" i="4"/>
  <c r="AL1422" i="4" s="1"/>
  <c r="AR1424" i="4"/>
  <c r="AS1424" i="4" s="1"/>
  <c r="AJ1410" i="4"/>
  <c r="AJ1417" i="4"/>
  <c r="AS1401" i="4"/>
  <c r="AP1398" i="4"/>
  <c r="AP1399" i="4"/>
  <c r="AN1423" i="4"/>
  <c r="AU1404" i="4" l="1"/>
  <c r="G442" i="17"/>
  <c r="AN1411" i="4"/>
  <c r="AU1421" i="4"/>
  <c r="AN1433" i="4"/>
  <c r="E491" i="15"/>
  <c r="G491" i="15" s="1"/>
  <c r="G485" i="15"/>
  <c r="AU1420" i="4"/>
  <c r="AJ1409" i="4"/>
  <c r="G384" i="16"/>
  <c r="G417" i="17"/>
  <c r="AU1427" i="4"/>
  <c r="AO1411" i="4"/>
  <c r="AU1401" i="4"/>
  <c r="AN1430" i="4"/>
  <c r="AJ1415" i="4"/>
  <c r="AK1437" i="4"/>
  <c r="AL1401" i="4"/>
  <c r="AU1402" i="4"/>
  <c r="AJ1412" i="4"/>
  <c r="AU1424" i="4"/>
  <c r="AI1399" i="4"/>
  <c r="AJ1414" i="4"/>
  <c r="AS1418" i="4"/>
  <c r="AR1430" i="4"/>
  <c r="AN1427" i="4"/>
  <c r="AQ1409" i="4"/>
  <c r="AN1402" i="4"/>
  <c r="AQ1406" i="4"/>
  <c r="AJ1400" i="4"/>
  <c r="AN1404" i="4"/>
  <c r="AN1429" i="4"/>
  <c r="AU1429" i="4"/>
  <c r="AJ1413" i="4"/>
  <c r="AJ1416" i="4"/>
  <c r="AN1422" i="4"/>
  <c r="AU1422" i="4"/>
  <c r="AJ1405" i="4"/>
  <c r="AN1418" i="4"/>
  <c r="AQ1417" i="4"/>
  <c r="AQ1430" i="4" s="1"/>
  <c r="AN1428" i="4"/>
  <c r="AJ1407" i="4"/>
  <c r="AN1435" i="4"/>
  <c r="AN1436" i="4"/>
  <c r="AU1419" i="4"/>
  <c r="AQ1400" i="4"/>
  <c r="AM1411" i="4" s="1"/>
  <c r="AM1437" i="4" s="1"/>
  <c r="AU1428" i="4"/>
  <c r="AU1403" i="4"/>
  <c r="AL1437" i="4" l="1"/>
  <c r="AN1401" i="4"/>
  <c r="AQ1411" i="4"/>
  <c r="AJ1437" i="4"/>
  <c r="AS1430" i="4"/>
  <c r="AU1418" i="4"/>
  <c r="AU1430" i="4" s="1"/>
  <c r="AN1437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F72" authorId="0" shapeId="0" xr:uid="{72529B96-9442-4647-92A6-D75B9EEF825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G72" authorId="0" shapeId="0" xr:uid="{31A6BE35-2F60-4D0B-A778-DCA93B89FB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E26" authorId="0" shapeId="0" xr:uid="{35236C4D-90B3-4ACA-AB71-88765125089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F26" authorId="0" shapeId="0" xr:uid="{E05039ED-8B77-401F-B793-B5B00813CB0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G26" authorId="0" shapeId="0" xr:uid="{78DE54D8-8604-498F-AE26-72BF628E651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H26" authorId="0" shapeId="0" xr:uid="{96EA2B88-160E-4A51-91DD-A95D9C081B1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+ 1479.390 MT (456) + 1946.545 MT (459) + 1524.580 MT (462)</t>
        </r>
      </text>
    </comment>
    <comment ref="I26" authorId="0" shapeId="0" xr:uid="{9167E9A1-5130-4772-A07A-9C18978CC2F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J26" authorId="0" shapeId="0" xr:uid="{D07AFFD1-0DB0-4DD1-A688-100F2B775A8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K26" authorId="0" shapeId="0" xr:uid="{842845F4-991A-4574-8BDF-408D98B7AD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L26" authorId="0" shapeId="0" xr:uid="{26AB0148-5AAA-4278-9545-F986B89E48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M26" authorId="0" shapeId="0" xr:uid="{59F1B5C1-0C18-44E8-AD3C-65F1DBDF962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N26" authorId="0" shapeId="0" xr:uid="{86EBD44A-16DF-4D86-AF40-D7AA8D9ACAE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O26" authorId="0" shapeId="0" xr:uid="{D2AB5129-7463-4ADB-9EC5-F6C4E4032AF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107.245 MT (451) + 992.935 MT (456) + 1946.545 MT (459) + 1374.650 MT (462)</t>
        </r>
      </text>
    </comment>
    <comment ref="P26" authorId="0" shapeId="0" xr:uid="{A4EC410F-100A-4360-825E-2EF2816BB74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 992.935 MT (456) + 1946.545 MT (459) + 1374.650 MT (462)</t>
        </r>
      </text>
    </comment>
    <comment ref="Q26" authorId="0" shapeId="0" xr:uid="{41775E44-2433-4B89-957C-130EC8F7A6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R26" authorId="0" shapeId="0" xr:uid="{CD578117-03D9-48A9-9290-9ED6CB50FE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S26" authorId="0" shapeId="0" xr:uid="{EAB7E466-5634-40B9-950D-17DE0FFBEE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972.135 MT (456) + 1946.545 MT (459) + 980.370 MT (462)</t>
        </r>
      </text>
    </comment>
    <comment ref="T26" authorId="0" shapeId="0" xr:uid="{4DFDF6C4-3286-464B-8DE1-08D31D3A822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U26" authorId="0" shapeId="0" xr:uid="{0BE1CCAF-B60C-442B-B52F-49A2507EF72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V26" authorId="0" shapeId="0" xr:uid="{BE820BDE-7434-4E1F-849F-81F5FD81D70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W26" authorId="0" shapeId="0" xr:uid="{3F91869A-BB47-410F-8261-D07591220BB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X26" authorId="0" shapeId="0" xr:uid="{55F01AE3-2B3B-4F64-84AF-C3F37CBA65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Y26" authorId="0" shapeId="0" xr:uid="{B6BF06FB-E8A6-4E38-8B13-3C98FC65A48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762.420 MT (456) + 1946.545 MT (459) + 770.320 MT (462)</t>
        </r>
      </text>
    </comment>
    <comment ref="Z26" authorId="0" shapeId="0" xr:uid="{13E76792-8F09-4498-A43B-CDDDDA90F27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</t>
        </r>
      </text>
    </comment>
    <comment ref="AA26" authorId="0" shapeId="0" xr:uid="{73878F84-69F9-4D75-87A7-C733ED118AB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</t>
        </r>
      </text>
    </comment>
    <comment ref="AB26" authorId="0" shapeId="0" xr:uid="{1DE51181-1D93-4333-A457-03A90AF8CBA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516.955 MT (456) + 1946.545 MT (459) + 604.475 MT (462) + 2848.775 MT (465)</t>
        </r>
      </text>
    </comment>
    <comment ref="AC26" authorId="0" shapeId="0" xr:uid="{EF42C90C-313A-472A-814F-1AA7ACF967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D26" authorId="0" shapeId="0" xr:uid="{461169E3-55A4-45DB-94E3-25E72742972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E26" authorId="0" shapeId="0" xr:uid="{60BDF0FB-265B-492A-A0DC-DE66A6CD3F4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F26" authorId="0" shapeId="0" xr:uid="{784D591D-B547-4F6F-8F01-A44E64B33ED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G26" authorId="0" shapeId="0" xr:uid="{A34BEFDF-279B-4445-A61F-16DC2A9CAFD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1946.545 MT (459) + 604.475 MT (462) + 2848.775 MT (465)</t>
        </r>
      </text>
    </comment>
    <comment ref="AH26" authorId="0" shapeId="0" xr:uid="{C98E8C55-AA60-4B57-9B91-B4E4913ED7A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AI26" authorId="0" shapeId="0" xr:uid="{465A53E8-1F12-4D3B-9252-A35E96EC0F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1489.070 MT (459) + 604.475 MT (462) + 2848.775 MT (465)</t>
        </r>
      </text>
    </comment>
    <comment ref="AB28" authorId="0" shapeId="0" xr:uid="{2F5AC48C-2A37-4AF6-8940-B8F30A9CA0B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C28" authorId="0" shapeId="0" xr:uid="{50D2C7E0-4787-4807-9AE3-7EA5688D285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D28" authorId="0" shapeId="0" xr:uid="{67CD8235-4772-47D9-B5ED-C3CB173458A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E28" authorId="0" shapeId="0" xr:uid="{CC677EC0-1BD0-4F15-A343-FFBB64AD876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F28" authorId="0" shapeId="0" xr:uid="{DAA52979-C012-41CB-9242-16589857DE0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G28" authorId="0" shapeId="0" xr:uid="{DAA640A7-A204-477D-9BFF-438D3BA457F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103.070 MT (165)
</t>
        </r>
      </text>
    </comment>
    <comment ref="AH28" authorId="0" shapeId="0" xr:uid="{E279B0C9-EFC8-4F3E-A74A-0115DF807DE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  <comment ref="AI28" authorId="0" shapeId="0" xr:uid="{AD60ABEB-B3E2-4FBC-8FAB-1E9EA6E5F85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AT WAREHOUSE SBY 41.495 MT (465)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N11" authorId="0" shapeId="0" xr:uid="{CFA0C28F-B5DE-40AC-B557-5C453754285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PACK 15.04.2021
2.860
</t>
        </r>
      </text>
    </comment>
    <comment ref="N144" authorId="0" shapeId="0" xr:uid="{484B7D23-6A82-4BFF-B4F9-3FB7218B390F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+SPOOL BESI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96" authorId="0" shapeId="0" xr:uid="{0A57E002-0E9C-46CB-92FD-6110FF1BFD2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  <comment ref="O304" authorId="0" shapeId="0" xr:uid="{6702C860-3418-4887-973D-9DC09C2BB0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DIGABUNG JADI SATU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24" authorId="0" shapeId="0" xr:uid="{0A092A2A-C169-4790-B741-941454C21A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+LEADER STRIP
</t>
        </r>
      </text>
    </comment>
    <comment ref="P70" authorId="0" shapeId="0" xr:uid="{DB064D26-B231-4BBB-B687-FF4FD25785B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
</t>
        </r>
      </text>
    </comment>
    <comment ref="P123" authorId="0" shapeId="0" xr:uid="{469C8D2E-FF11-42FC-8F4B-2304909B176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HOLE, PINCING</t>
        </r>
      </text>
    </comment>
    <comment ref="O215" authorId="0" shapeId="0" xr:uid="{97866D0A-BC5C-46A9-B4B9-2A49CECABC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P67" authorId="0" shapeId="0" xr:uid="{ED79270A-38C3-49F0-B8EE-F47BC892D15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4" authorId="0" shapeId="0" xr:uid="{89CEB29B-01D3-41B3-A79E-AC95CDC69CC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" authorId="0" shapeId="0" xr:uid="{7DE9E693-27B2-4D49-908F-23EE934AC98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9" authorId="0" shapeId="0" xr:uid="{5B73B082-8CF7-4E6C-9C7E-82C57AEA2FB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1" authorId="0" shapeId="0" xr:uid="{B9460A3C-8321-4104-AAB0-74E1B8DDE7A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" authorId="0" shapeId="0" xr:uid="{FC33485F-322C-4A93-BA05-ADFFE74E81C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5" authorId="0" shapeId="0" xr:uid="{8A42A94E-0019-4609-9F90-91503679FAB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" authorId="0" shapeId="0" xr:uid="{0B63B46E-C4C0-4D53-BED9-D42ADB8072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Q23" authorId="0" shapeId="0" xr:uid="{A8FBF94D-4B74-49F5-BB72-AD463B93F13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47" authorId="0" shapeId="0" xr:uid="{D9A5F11F-99B9-4AF3-8A28-45FA5F4A387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49" authorId="0" shapeId="0" xr:uid="{313B2FEB-9AEF-4C9F-B0A4-AA0D0F3550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1" authorId="0" shapeId="0" xr:uid="{E86BBC30-0CDA-45C7-B93D-ACECB85BBAB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52" authorId="0" shapeId="0" xr:uid="{D4951D70-99E6-47B4-8E56-50ECD30D28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3" authorId="0" shapeId="0" xr:uid="{9A2B4698-E258-41E6-B1DE-961218BBB0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54" authorId="0" shapeId="0" xr:uid="{078EAE2E-3354-4531-BA48-274377D8C1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-A8
</t>
        </r>
      </text>
    </comment>
    <comment ref="Q58" authorId="0" shapeId="0" xr:uid="{EA42AC63-1555-47BA-A331-2EFE1E4577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60" authorId="0" shapeId="0" xr:uid="{4181901E-465D-4C9D-A1B4-A951ABAAD50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+SPOOL BESI
</t>
        </r>
      </text>
    </comment>
    <comment ref="Q60" authorId="0" shapeId="0" xr:uid="{54C05137-CA3F-4913-B763-A6328B86039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61" authorId="0" shapeId="0" xr:uid="{BE072B16-BF6C-44F1-B973-57E4B9D4FC2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-B26
</t>
        </r>
      </text>
    </comment>
    <comment ref="Q62" authorId="0" shapeId="0" xr:uid="{B6604BF3-E9FA-456F-A031-2F75B12045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-B18
</t>
        </r>
      </text>
    </comment>
    <comment ref="Q63" authorId="0" shapeId="0" xr:uid="{8AA7BCFC-3422-472E-9886-48266371ED7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64" authorId="0" shapeId="0" xr:uid="{211B1D24-5CBB-4919-B77E-71D1EDA5B95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</t>
        </r>
      </text>
    </comment>
    <comment ref="Q65" authorId="0" shapeId="0" xr:uid="{B805E18D-798D-4FBC-A569-BEA644E6F14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66" authorId="0" shapeId="0" xr:uid="{B1033765-93ED-4480-A4F2-8077922FFC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-B2.5.1
</t>
        </r>
      </text>
    </comment>
    <comment ref="Q67" authorId="0" shapeId="0" xr:uid="{04676B18-4B11-4E20-B1E9-7DA44A7D7E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71" authorId="0" shapeId="0" xr:uid="{18B56BBF-973B-408F-B99C-42D042D9FF6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75" authorId="0" shapeId="0" xr:uid="{6911964A-9328-4D7E-ABFB-171510357C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80" authorId="0" shapeId="0" xr:uid="{1BE144AC-228E-45EE-8083-23EC42FBDE9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90" authorId="0" shapeId="0" xr:uid="{48980B1F-89F7-4A02-8281-83DF33CE15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01" authorId="0" shapeId="0" xr:uid="{0DAB7610-A2E5-4CD0-AC08-F15BBF5CB5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03" authorId="0" shapeId="0" xr:uid="{1DDB3A13-6EEE-486D-9E7B-DD1C9E06D0B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05" authorId="0" shapeId="0" xr:uid="{3AF01B92-8470-4739-94B4-B88F44E9C0A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-B6
</t>
        </r>
      </text>
    </comment>
    <comment ref="Q108" authorId="0" shapeId="0" xr:uid="{CEBBC173-8D38-4B6B-B023-9F51ADEA0CF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11" authorId="0" shapeId="0" xr:uid="{ED6794B1-1349-4632-96D3-BC64E170EF2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17" authorId="0" shapeId="0" xr:uid="{4D6256D3-FFFB-4988-B169-BF0FE5408FD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18" authorId="0" shapeId="0" xr:uid="{0B19DCD0-3010-4662-AA70-3F22C4F310E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Q121" authorId="0" shapeId="0" xr:uid="{0B609C77-A5A2-489B-BFB3-24AE9225067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123" authorId="0" shapeId="0" xr:uid="{AE6F9AB4-6253-4B01-A629-E66E9E6140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29" authorId="0" shapeId="0" xr:uid="{C39D81E6-633C-4218-8483-8EE9801DA13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0" authorId="0" shapeId="0" xr:uid="{9BF2AEA6-1187-4A31-9389-DBF4C826E3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1" authorId="0" shapeId="0" xr:uid="{5C8F3BA2-EB99-47A4-BE67-4E2D9ED1BDC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3" authorId="0" shapeId="0" xr:uid="{08405C38-D3C0-4B61-A7BE-D246CC6708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36" authorId="0" shapeId="0" xr:uid="{19ECDB5D-167A-4185-87C6-9CFB133A813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7" authorId="0" shapeId="0" xr:uid="{C78344DC-096E-497B-A9F5-590B1553915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8" authorId="0" shapeId="0" xr:uid="{D66C5568-890A-42C0-92C1-C53BFE66B15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39" authorId="0" shapeId="0" xr:uid="{9504F94A-5208-440D-976C-E0AD0ECF99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0" authorId="0" shapeId="0" xr:uid="{3D27491A-5C2E-4C8A-9F23-0CA8BB9D1E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1" authorId="0" shapeId="0" xr:uid="{219B0C97-F9A4-4129-A6F0-48574F77B55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2" authorId="0" shapeId="0" xr:uid="{2FA4925F-5106-4D92-B836-60A20A9C2A8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43" authorId="0" shapeId="0" xr:uid="{45E7DF70-26EF-48DD-A2D6-F8E04F47912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Q144" authorId="0" shapeId="0" xr:uid="{2A5775A7-AC30-4C86-A7A9-75A6DB47D4D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Q145" authorId="0" shapeId="0" xr:uid="{4FF4E29A-0F91-40CA-8F1C-C11D5B59312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50" authorId="0" shapeId="0" xr:uid="{AF79667B-70C0-4636-BD03-4FF28644611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53" authorId="0" shapeId="0" xr:uid="{BE601B19-7E48-44CE-9655-FF9E61E93E9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Q154" authorId="0" shapeId="0" xr:uid="{195A3890-B0BC-44F3-9114-F486F4200B5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58" authorId="0" shapeId="0" xr:uid="{82144CE7-17EC-4D6A-B0E7-C42097F482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59" authorId="0" shapeId="0" xr:uid="{C0D0549F-D131-4C06-914D-167DBDBC299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Q160" authorId="0" shapeId="0" xr:uid="{DBB39477-02BA-4962-82B3-CF7938889A3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162" authorId="0" shapeId="0" xr:uid="{B752F1E2-6E84-4C3F-AB18-D785D421E16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-B22
</t>
        </r>
      </text>
    </comment>
    <comment ref="Q163" authorId="0" shapeId="0" xr:uid="{59E443D4-3BDF-4C36-9DF2-89523F06FDD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6" authorId="0" shapeId="0" xr:uid="{9B55CE78-9FCC-4364-A919-497E04561B9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7" authorId="0" shapeId="0" xr:uid="{F7954753-0788-4ACC-9EB4-961490540A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Q168" authorId="0" shapeId="0" xr:uid="{0B79AA04-163E-43EF-885A-7CC4D5A83A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69" authorId="0" shapeId="0" xr:uid="{5912D7B3-CB97-41DD-A071-5104CF83EB4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70" authorId="0" shapeId="0" xr:uid="{09CF9966-C7E0-4455-BA80-5334B44B22C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172" authorId="0" shapeId="0" xr:uid="{6BFD1297-685D-44E4-91D0-EFF3A938188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173" authorId="0" shapeId="0" xr:uid="{7EE2053D-CAEF-4859-AE3A-19A465D185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Q177" authorId="0" shapeId="0" xr:uid="{F9ED5F80-5143-48F2-9A62-75D9ED4B75E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180" authorId="0" shapeId="0" xr:uid="{E12365D7-9F70-4438-BCEF-217FDD12842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182" authorId="0" shapeId="0" xr:uid="{6DD56751-8B2B-4A8F-A49E-F823C69B2C0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183" authorId="0" shapeId="0" xr:uid="{12DA87DF-1B11-4F21-BE46-433203F156C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86" authorId="0" shapeId="0" xr:uid="{BF8154A1-2AA5-4955-8EC2-BC6B11DDA1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187" authorId="0" shapeId="0" xr:uid="{72EBBD0F-BE4E-4FB6-A0D3-9E77C1C6B9C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B3
</t>
        </r>
      </text>
    </comment>
    <comment ref="Q189" authorId="0" shapeId="0" xr:uid="{F2C11EB1-2DD2-4AE9-9952-C0B1B2D9C61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Q192" authorId="0" shapeId="0" xr:uid="{1B8AD2DD-3308-48B5-922D-A742AE44557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Q197" authorId="0" shapeId="0" xr:uid="{7F658B2C-5BAB-4465-84C7-47DAD94832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00" authorId="0" shapeId="0" xr:uid="{3447C0F6-D3D9-4150-8155-FC3CC04FEB7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Q202" authorId="0" shapeId="0" xr:uid="{223E1667-472C-44FD-A93D-63779D9B171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-A2.3
</t>
        </r>
      </text>
    </comment>
    <comment ref="Q208" authorId="0" shapeId="0" xr:uid="{9E8CF72D-0F89-4A8F-91C6-C0CA329792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09" authorId="0" shapeId="0" xr:uid="{290B024B-C4F2-41ED-A5DE-6857675EDDF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10" authorId="0" shapeId="0" xr:uid="{814140F8-5694-436B-A7B8-6132B913971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Q211" authorId="0" shapeId="0" xr:uid="{2FB1C392-AA9D-4508-8956-EDE0B6B8C1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212" authorId="0" shapeId="0" xr:uid="{4EB2A17B-D1F0-4C6A-B461-9CEBA40FB4E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3" authorId="0" shapeId="0" xr:uid="{E8829D90-FFB7-4653-924A-7619425E23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15" authorId="0" shapeId="0" xr:uid="{79EFA202-3E0E-4C9B-89F8-1AFD537043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A2.3
</t>
        </r>
      </text>
    </comment>
    <comment ref="Q219" authorId="0" shapeId="0" xr:uid="{F2EFCBE1-E84A-4D37-BAE0-CFD31348DE3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220" authorId="0" shapeId="0" xr:uid="{7B73465A-9ABC-4372-9397-48593FAEED0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-B4
</t>
        </r>
      </text>
    </comment>
    <comment ref="Q222" authorId="0" shapeId="0" xr:uid="{1D143515-38C7-43C3-8324-3A47165995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4" authorId="0" shapeId="0" xr:uid="{EBDDA28C-9DA5-4EF3-8565-F46D5CA9411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7" authorId="0" shapeId="0" xr:uid="{10338381-AB3E-42D6-AFE5-D731771121E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Q228" authorId="0" shapeId="0" xr:uid="{97CC27DD-A64C-4C59-ADE4-B13C2A0D1BB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
</t>
        </r>
      </text>
    </comment>
    <comment ref="Q231" authorId="0" shapeId="0" xr:uid="{60E8C056-933F-4DA7-916F-4570F7AC411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-B1.1
</t>
        </r>
      </text>
    </comment>
    <comment ref="Q232" authorId="0" shapeId="0" xr:uid="{0ED2A833-B040-4F5B-B333-7055D432C25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Q233" authorId="0" shapeId="0" xr:uid="{B12A9CD3-0D25-4F62-863A-53F6E97413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Q235" authorId="0" shapeId="0" xr:uid="{A55F4A75-871A-4676-A38C-CED7A804D5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-A1.2
</t>
        </r>
      </text>
    </comment>
    <comment ref="Q238" authorId="0" shapeId="0" xr:uid="{F98450C8-4DD5-4581-AF1B-8C8380ED171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A3.2
</t>
        </r>
      </text>
    </comment>
    <comment ref="Q239" authorId="0" shapeId="0" xr:uid="{99BAF837-D161-4BB8-A629-20A2B652629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A2.2
</t>
        </r>
      </text>
    </comment>
    <comment ref="Q240" authorId="0" shapeId="0" xr:uid="{32A96B8E-FAC0-4B98-9AB1-A61E4D762E5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242" authorId="0" shapeId="0" xr:uid="{C4FFE2F6-F279-403C-967B-674B331737C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Q248" authorId="0" shapeId="0" xr:uid="{04F76E7E-AD2D-4F25-A668-1D3B96472E2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0" authorId="0" shapeId="0" xr:uid="{199A1134-F3E8-4E5F-B651-AAB76A9B514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1" authorId="0" shapeId="0" xr:uid="{1139A38B-4648-450F-9DE3-E1679D27060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257" authorId="0" shapeId="0" xr:uid="{4E63C2C9-1BF0-432C-89B7-5D4266C64AB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58" authorId="0" shapeId="0" xr:uid="{0A44C31E-CD3E-47D9-89EF-D1C13D77221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263" authorId="0" shapeId="0" xr:uid="{F0D8CF65-C353-4C55-BCE0-DDC503CFB80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Q265" authorId="0" shapeId="0" xr:uid="{DDE89072-247D-44B6-97CB-13D99C87CE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Q269" authorId="0" shapeId="0" xr:uid="{FCF0D9CC-883A-484F-A8F5-10F675F73E4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Q270" authorId="0" shapeId="0" xr:uid="{BFF88682-E26C-4A36-B4B4-D9C7AECFB4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2" authorId="0" shapeId="0" xr:uid="{26ABCF17-F179-400A-BB85-D1A791FA2B7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3" authorId="0" shapeId="0" xr:uid="{088FDA69-B94F-4D4C-841B-72E2D0EC82B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Q274" authorId="0" shapeId="0" xr:uid="{893B3FA9-E13C-4FB8-8C88-2F2525410E91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-A
</t>
        </r>
      </text>
    </comment>
    <comment ref="Q280" authorId="0" shapeId="0" xr:uid="{D009F044-782D-4ACF-BAC9-F31F21526C21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-C
</t>
        </r>
      </text>
    </comment>
    <comment ref="Q282" authorId="0" shapeId="0" xr:uid="{9D64B969-5F88-4965-8E78-A30D0BB095D3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-B
</t>
        </r>
      </text>
    </comment>
    <comment ref="Q283" authorId="0" shapeId="0" xr:uid="{B9F1BB08-C8CA-4390-903E-80D2D3D46C84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-B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Q74" authorId="0" shapeId="0" xr:uid="{84A9AB17-ED68-441B-A7DA-310B8950D45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Q75" authorId="0" shapeId="0" xr:uid="{6DABE7CA-9DBA-4B23-9C3E-B18FABBF41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G29" authorId="0" shapeId="0" xr:uid="{9536FC4F-1926-4524-8B45-CFE243D7B2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RUSAK TEPI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122" authorId="0" shapeId="0" xr:uid="{2E192590-4EEC-442E-AF66-23EB597AA5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123" authorId="0" shapeId="0" xr:uid="{40595E9A-5F2B-45EB-933C-6DB6D015DA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-A+-C
</t>
        </r>
      </text>
    </comment>
    <comment ref="G244" authorId="0" shapeId="0" xr:uid="{D57D01F1-5D3E-498F-AB47-EE7A9E5DA3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belum ketemu</t>
        </r>
      </text>
    </comment>
    <comment ref="O245" authorId="0" shapeId="0" xr:uid="{3AACC901-A785-4FF8-9B6D-9496B95180F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246" authorId="0" shapeId="0" xr:uid="{981DEFA7-9B3E-412D-B9E3-314737218C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O6" authorId="0" shapeId="0" xr:uid="{2FFD4C33-A598-4DCA-998E-FBF89AD29D0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" authorId="0" shapeId="0" xr:uid="{04416C97-4E45-4BB5-9B52-B6E22212AAC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8" authorId="0" shapeId="0" xr:uid="{445A9F2C-E922-4CAE-AFD4-4AA067AD1C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" authorId="0" shapeId="0" xr:uid="{F2409FC6-36A0-4BC9-AC4A-47D291D9D8A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0" authorId="0" shapeId="0" xr:uid="{FFA00097-D524-4E62-A2DE-0062E26CDEB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1" authorId="0" shapeId="0" xr:uid="{C43BF01C-E881-4A84-A2AD-F3A628EF1C7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" authorId="0" shapeId="0" xr:uid="{820838B6-D196-4FC9-8D6B-43C39729497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O13" authorId="0" shapeId="0" xr:uid="{B1B90D2E-0C3B-49C2-B256-CAE7D689ECC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4" authorId="0" shapeId="0" xr:uid="{7F2DDF50-DD3A-4865-9FA3-A2A4B09FAAD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
</t>
        </r>
      </text>
    </comment>
    <comment ref="O15" authorId="0" shapeId="0" xr:uid="{E764EE84-B078-4C76-9553-54092E47633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6" authorId="0" shapeId="0" xr:uid="{2149929C-216E-450C-BDA6-304B8454FE9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7" authorId="0" shapeId="0" xr:uid="{3A9BD7B9-C51D-41D0-B527-A745796C1EF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18" authorId="0" shapeId="0" xr:uid="{F32695C0-F8A4-4CFE-A7C8-31AEB76C95C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9" authorId="0" shapeId="0" xr:uid="{9928A0E9-6D8E-4678-8BF7-11D09ED7028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20" authorId="0" shapeId="0" xr:uid="{06248AD9-30ED-40DA-8DED-56C9F255F31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-A8
</t>
        </r>
      </text>
    </comment>
    <comment ref="O21" authorId="0" shapeId="0" xr:uid="{916A12DF-2010-461E-8CFD-A227563D9B2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22" authorId="0" shapeId="0" xr:uid="{BEA9451E-E8C4-4483-B50D-A6DAAFDD56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23" authorId="0" shapeId="0" xr:uid="{4C997945-C557-46D8-AAE8-BF19E8FFD33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-B26
</t>
        </r>
      </text>
    </comment>
    <comment ref="O24" authorId="0" shapeId="0" xr:uid="{3A0373B4-20E5-49BD-98C5-98CCD54FF2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-B18
</t>
        </r>
      </text>
    </comment>
    <comment ref="O25" authorId="0" shapeId="0" xr:uid="{42D0B3B9-5A10-426F-A6FC-426B20E0BDD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26" authorId="0" shapeId="0" xr:uid="{0B6B6684-D4B5-4275-A2D9-E728F1A120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HOLE, PINCING</t>
        </r>
      </text>
    </comment>
    <comment ref="O27" authorId="0" shapeId="0" xr:uid="{D6A5DE1B-332C-4C7D-8D7F-B6F87652267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</t>
        </r>
      </text>
    </comment>
    <comment ref="O28" authorId="0" shapeId="0" xr:uid="{F369644E-6FA6-43A1-85DC-BF8EBB34DB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29" authorId="0" shapeId="0" xr:uid="{53199976-21BA-40DE-ABD3-79764674EEB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-B2.5.1
</t>
        </r>
      </text>
    </comment>
    <comment ref="O30" authorId="0" shapeId="0" xr:uid="{F8857DD2-26B4-4165-9A40-91E4CDE9E76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31" authorId="0" shapeId="0" xr:uid="{E8DD3315-D79C-4BF5-960C-DE82F62A3C5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2" authorId="0" shapeId="0" xr:uid="{A33AEBDE-355D-45E3-8BC3-9FC07E2FB1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33" authorId="0" shapeId="0" xr:uid="{C315C1D8-CEDB-4A54-9786-6C95F189FE4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34" authorId="0" shapeId="0" xr:uid="{10E96341-4FAF-470D-871E-A28C37D0432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35" authorId="0" shapeId="0" xr:uid="{8377C441-C9D0-46B8-BFF7-99A9996D92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6" authorId="0" shapeId="0" xr:uid="{33338D71-838E-4BBA-8A2D-CF0D7AEF754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37" authorId="0" shapeId="0" xr:uid="{371B68A6-717D-4989-97A7-E6E99FE52BD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-B6
</t>
        </r>
      </text>
    </comment>
    <comment ref="O38" authorId="0" shapeId="0" xr:uid="{9389EBC9-FEC7-4DD6-B357-1A9837C3A51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39" authorId="0" shapeId="0" xr:uid="{E4D6F3A3-2372-423F-8D30-4973EADA12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0" authorId="0" shapeId="0" xr:uid="{9124DE2B-A8C5-4C47-B5B7-B3AC1CA9D0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41" authorId="0" shapeId="0" xr:uid="{01B774A3-3CB0-4642-B3EC-FB4C2A68A5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2" authorId="0" shapeId="0" xr:uid="{B5F1BB63-4DD1-442A-86EE-E1A35ADC6AE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3" authorId="0" shapeId="0" xr:uid="{7E4DBAB6-F40A-45F9-9943-D4512AEADA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4" authorId="0" shapeId="0" xr:uid="{412922A3-A000-4ADD-A58E-CC33A15B160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-A+D
</t>
        </r>
      </text>
    </comment>
    <comment ref="O45" authorId="0" shapeId="0" xr:uid="{EF8A515A-ACD3-4A89-BA23-DAD39753124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46" authorId="0" shapeId="0" xr:uid="{A7C6F6A1-F12F-47D8-B7B5-7AA4A4306E1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47" authorId="0" shapeId="0" xr:uid="{B3B32980-13C1-4044-8E03-08CB0DFE65D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48" authorId="0" shapeId="0" xr:uid="{D6FFD0C4-8F73-4012-974F-9ED514FE833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49" authorId="0" shapeId="0" xr:uid="{C4F6765D-07DE-4F4D-AF4B-0CCFFF5B0FC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0" authorId="0" shapeId="0" xr:uid="{85E433AD-02BE-420A-8707-37485A829F1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51" authorId="0" shapeId="0" xr:uid="{54234ACA-FBD7-40C4-B264-BE53F5248A0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2" authorId="0" shapeId="0" xr:uid="{F96E768E-E699-4FEF-A138-78C1C805ECE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3" authorId="0" shapeId="0" xr:uid="{A1A7D846-7A9D-4D53-97E3-4439B55916A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4" authorId="0" shapeId="0" xr:uid="{BD0C28B8-426E-42EC-8D97-0A48417CFE8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5" authorId="0" shapeId="0" xr:uid="{FAE11565-A40C-4C0F-A493-75AD6CC843A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6" authorId="0" shapeId="0" xr:uid="{60573A44-8246-442A-888C-8C6E622A2B8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59" authorId="0" shapeId="0" xr:uid="{5DAD0727-24B8-4313-A790-5E0F0C7F67C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0" authorId="0" shapeId="0" xr:uid="{E01D86F7-F1A7-4079-9141-249DDC122DF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1" authorId="0" shapeId="0" xr:uid="{E5FD9381-C061-46B6-AD6B-5C45D84D63F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2" authorId="0" shapeId="0" xr:uid="{9207AE60-88BC-416D-94ED-DB87C8F5766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A1+A2+D
</t>
        </r>
      </text>
    </comment>
    <comment ref="O63" authorId="0" shapeId="0" xr:uid="{B67A97B7-DFFD-4A9E-900C-724445A0DDF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O64" authorId="0" shapeId="0" xr:uid="{FAE3A795-E46C-4CEC-9AA9-AAC90CF602C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-A1+A3
</t>
        </r>
      </text>
    </comment>
    <comment ref="O65" authorId="0" shapeId="0" xr:uid="{8574ACFD-DA19-4580-9620-653643F5CCC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66" authorId="0" shapeId="0" xr:uid="{FE60B54C-BC89-48E3-B692-9345CA552FB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7" authorId="0" shapeId="0" xr:uid="{E937BCCC-8F50-49AE-8332-068068E5BBE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O68" authorId="0" shapeId="0" xr:uid="{887113C6-4C27-4CA2-91B0-F4E8CF5E3A3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69" authorId="0" shapeId="0" xr:uid="{2017C39B-EE42-4754-B1A4-B48DA5B4546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70" authorId="0" shapeId="0" xr:uid="{216957CD-EAA2-496C-B7F4-3691F4A8C03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O71" authorId="0" shapeId="0" xr:uid="{B0D25617-9D59-437F-8821-9B298E208FC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72" authorId="0" shapeId="0" xr:uid="{60EA03BD-4F3A-46C0-B78D-32DFE66A08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-B22
</t>
        </r>
      </text>
    </comment>
    <comment ref="O73" authorId="0" shapeId="0" xr:uid="{4AD684BA-A4F4-4ED8-956D-51F949154BA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4" authorId="0" shapeId="0" xr:uid="{7AB6282F-BC95-45EA-BE36-F49DCB2616F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5" authorId="0" shapeId="0" xr:uid="{BBCEE7F4-BAD3-4EF1-ACCB-C5577991A3D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O76" authorId="0" shapeId="0" xr:uid="{CD1381F2-86E0-4599-8589-E5E4427A6D4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-A1.1+A1.3
</t>
        </r>
      </text>
    </comment>
    <comment ref="O77" authorId="0" shapeId="0" xr:uid="{B2A0BBD8-D1B0-41FD-B3E3-79A791CF665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78" authorId="0" shapeId="0" xr:uid="{90BE44B4-1A51-4F49-AA26-DA4D7D0DB1F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79" authorId="0" shapeId="0" xr:uid="{9BFB0426-15C3-4397-902B-CB77BDBF289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80" authorId="0" shapeId="0" xr:uid="{FDDAD5B7-96C2-421B-97BB-D3BDF9E4C8B3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
</t>
        </r>
      </text>
    </comment>
    <comment ref="O81" authorId="0" shapeId="0" xr:uid="{23FDD99B-B5D4-4C78-B5CA-B5D4BCA7EB3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82" authorId="0" shapeId="0" xr:uid="{85949038-592E-4577-8F3F-7DA65BA3534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-A7
</t>
        </r>
      </text>
    </comment>
    <comment ref="O83" authorId="0" shapeId="0" xr:uid="{8CA761C9-A6C6-4CA9-B589-62AD59DF0EF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84" authorId="0" shapeId="0" xr:uid="{4DF7E2AA-3837-4026-9AB2-8C74A2BF81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85" authorId="0" shapeId="0" xr:uid="{483D39F5-18FA-4A35-B1E0-DE06BFC8796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86" authorId="0" shapeId="0" xr:uid="{C890010B-1144-4E27-B098-81FCF46466F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87" authorId="0" shapeId="0" xr:uid="{7C705239-F985-4CA1-B539-A28FCB82E83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88" authorId="0" shapeId="0" xr:uid="{20047358-AE63-440D-9281-77F6BD3649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B3
</t>
        </r>
      </text>
    </comment>
    <comment ref="O89" authorId="0" shapeId="0" xr:uid="{4DF852C0-63EF-466B-A0F1-A5DBB39E4B0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-A4
</t>
        </r>
      </text>
    </comment>
    <comment ref="O90" authorId="0" shapeId="0" xr:uid="{A6EE09EE-7B07-44A9-A677-00FD347AE3E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-B3
</t>
        </r>
      </text>
    </comment>
    <comment ref="O91" authorId="0" shapeId="0" xr:uid="{75AB1542-356F-411D-B51E-7148685046D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2" authorId="0" shapeId="0" xr:uid="{4C505785-9BAD-4BAA-85D7-251E30C252C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O93" authorId="0" shapeId="0" xr:uid="{A34D724A-37E6-49CE-B8B5-F7274F23B521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-A2.3
</t>
        </r>
      </text>
    </comment>
    <comment ref="O94" authorId="0" shapeId="0" xr:uid="{D5D99047-8F4D-4E71-A2FD-BB8AFA417CAB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5" authorId="0" shapeId="0" xr:uid="{DF032C47-2732-47BD-B1D3-3D5C0B66D95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6" authorId="0" shapeId="0" xr:uid="{DABA3E2E-9BA2-47A7-9CBB-FED63C9A538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97" authorId="0" shapeId="0" xr:uid="{F508EBDE-8045-4778-92C2-8DC4B81E988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98" authorId="0" shapeId="0" xr:uid="{F638003D-975C-4E2C-8A1C-A2170B71A87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99" authorId="0" shapeId="0" xr:uid="{CEAE0441-CD50-492A-A0A2-FAE7F2129E5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00" authorId="0" shapeId="0" xr:uid="{03EC232F-7F28-4170-8078-677FC4DEACE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-A3
</t>
        </r>
      </text>
    </comment>
    <comment ref="O101" authorId="0" shapeId="0" xr:uid="{A7A87C43-FCB5-4B02-B009-4022E1E952DE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02" authorId="0" shapeId="0" xr:uid="{7C35991D-1580-4D53-88B8-5A29367CE19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A2.3
</t>
        </r>
      </text>
    </comment>
    <comment ref="O103" authorId="0" shapeId="0" xr:uid="{E62C6FC2-E8B1-4D8F-9258-50021FE4ACDD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04" authorId="0" shapeId="0" xr:uid="{0C9B3809-1452-4700-A263-CB7DD81AAB8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-B4
</t>
        </r>
      </text>
    </comment>
    <comment ref="O105" authorId="0" shapeId="0" xr:uid="{3DBF1AE6-16EE-40B8-9BFB-B86E1670AAA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6" authorId="0" shapeId="0" xr:uid="{1557C950-7103-4C77-8244-601917010FB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7" authorId="0" shapeId="0" xr:uid="{E8C47CAC-53A9-4C94-BAF4-98DFB62B364A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
</t>
        </r>
      </text>
    </comment>
    <comment ref="O108" authorId="0" shapeId="0" xr:uid="{A672340C-9812-4547-AB01-19916AFE4FA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D
</t>
        </r>
      </text>
    </comment>
    <comment ref="O109" authorId="0" shapeId="0" xr:uid="{CABAA050-7CFB-4AA4-9254-8F34453F137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-B1.1
</t>
        </r>
      </text>
    </comment>
    <comment ref="O110" authorId="0" shapeId="0" xr:uid="{D985DA13-F2C4-43AB-AB1D-D513A5ED314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-A1.1
</t>
        </r>
      </text>
    </comment>
    <comment ref="O111" authorId="0" shapeId="0" xr:uid="{8E06C75D-A99F-4F7E-8A45-01166D5F14E5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C</t>
        </r>
      </text>
    </comment>
    <comment ref="O112" authorId="0" shapeId="0" xr:uid="{FEE0FE1E-08C5-4F0E-888D-AD54FD13F5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-A1.2
</t>
        </r>
      </text>
    </comment>
    <comment ref="O113" authorId="0" shapeId="0" xr:uid="{B73955F3-8291-4DB9-94CF-332522EF83A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A3.2
</t>
        </r>
      </text>
    </comment>
    <comment ref="O114" authorId="0" shapeId="0" xr:uid="{5F436836-6C99-461E-86D0-AFD19881434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A2.2
</t>
        </r>
      </text>
    </comment>
    <comment ref="O115" authorId="0" shapeId="0" xr:uid="{3A338E5D-454B-4E61-93A9-DEDF5B6F6F0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116" authorId="0" shapeId="0" xr:uid="{0F0A5EC4-2C5A-4C4A-BB65-E5410B73146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-B2
</t>
        </r>
      </text>
    </comment>
    <comment ref="O117" authorId="0" shapeId="0" xr:uid="{02F4A121-03E5-44E9-BA31-AE19E3396884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18" authorId="0" shapeId="0" xr:uid="{CA55D1B3-2A76-443F-8223-286835AB0302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19" authorId="0" shapeId="0" xr:uid="{FA0C8CAC-8C62-426D-AE0B-5FA7B403BD7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20" authorId="0" shapeId="0" xr:uid="{B2C9B9E5-C8FC-45D8-85E4-8540AA5171F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1" authorId="0" shapeId="0" xr:uid="{BE3401BE-DEE1-4552-8D88-F2B2270F5607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-A2
</t>
        </r>
      </text>
    </comment>
    <comment ref="O122" authorId="0" shapeId="0" xr:uid="{4C74A81E-37B5-401C-BF4E-255C87A929B6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-D
</t>
        </r>
      </text>
    </comment>
    <comment ref="O123" authorId="0" shapeId="0" xr:uid="{ACB2E6AD-BAB8-4382-B27B-A0556C01069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A2
</t>
        </r>
      </text>
    </comment>
    <comment ref="O124" authorId="0" shapeId="0" xr:uid="{BA1FEAFC-7465-468D-8008-3A22C14A98FF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-A
</t>
        </r>
      </text>
    </comment>
    <comment ref="O125" authorId="0" shapeId="0" xr:uid="{07279B8E-3287-437B-BD94-29A038405EA8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6" authorId="0" shapeId="0" xr:uid="{F34430D9-765E-4F04-ADE2-F10A83FDF289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7" authorId="0" shapeId="0" xr:uid="{CFC1E00F-B2D7-41C9-B769-C46695562E4C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-C
</t>
        </r>
      </text>
    </comment>
    <comment ref="O128" authorId="0" shapeId="0" xr:uid="{1335840D-4969-4AB4-9BE2-F71A5430241B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-A
</t>
        </r>
      </text>
    </comment>
    <comment ref="O129" authorId="0" shapeId="0" xr:uid="{FC1EB9EC-302E-468C-8EB2-29E415B93635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-C
</t>
        </r>
      </text>
    </comment>
    <comment ref="O130" authorId="0" shapeId="0" xr:uid="{9EED2123-ED2F-42C2-8CCF-C694094ABEC2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-B
</t>
        </r>
      </text>
    </comment>
    <comment ref="O131" authorId="0" shapeId="0" xr:uid="{7C4E382F-7C17-4F79-9402-D449992F59EF}">
      <text>
        <r>
          <rPr>
            <b/>
            <sz val="9"/>
            <color indexed="81"/>
            <rFont val="Tahoma"/>
            <charset val="1"/>
          </rPr>
          <t>acer:</t>
        </r>
        <r>
          <rPr>
            <sz val="9"/>
            <color indexed="81"/>
            <rFont val="Tahoma"/>
            <charset val="1"/>
          </rPr>
          <t xml:space="preserve">
-B
</t>
        </r>
      </text>
    </comment>
  </commentList>
</comments>
</file>

<file path=xl/sharedStrings.xml><?xml version="1.0" encoding="utf-8"?>
<sst xmlns="http://schemas.openxmlformats.org/spreadsheetml/2006/main" count="45637" uniqueCount="7050">
  <si>
    <t>DAILY PRODUCTION REPORT</t>
  </si>
  <si>
    <t>IMR-PPIC-FR13</t>
  </si>
  <si>
    <t>For Date</t>
  </si>
  <si>
    <t>UNIT = MT</t>
  </si>
  <si>
    <t>DAILY MACHINE PRODUCTION</t>
  </si>
  <si>
    <t>MACHINE</t>
  </si>
  <si>
    <t>Prime</t>
  </si>
  <si>
    <t>Second</t>
  </si>
  <si>
    <t>Baby Coil</t>
  </si>
  <si>
    <t>SCRAP SHEET</t>
  </si>
  <si>
    <t>SCRAP SS/TRIM'</t>
  </si>
  <si>
    <t>CPL</t>
  </si>
  <si>
    <t>CLN</t>
  </si>
  <si>
    <t>MILL</t>
  </si>
  <si>
    <t>REROLLING</t>
  </si>
  <si>
    <t>MILL 2</t>
  </si>
  <si>
    <t>BAL</t>
  </si>
  <si>
    <t>BAL 2</t>
  </si>
  <si>
    <t>SLT</t>
  </si>
  <si>
    <t>SLT 2</t>
  </si>
  <si>
    <t>TLL</t>
  </si>
  <si>
    <t>CTL</t>
  </si>
  <si>
    <t>ACCUMULATION FOR THIS MONTH</t>
  </si>
  <si>
    <t>TOTAL</t>
  </si>
  <si>
    <t>REPORT FINISH GOOD</t>
  </si>
  <si>
    <t>GRADE</t>
  </si>
  <si>
    <t>FG COIL</t>
  </si>
  <si>
    <t>KW2 COIL</t>
  </si>
  <si>
    <t>FG SHEET (PRIME)</t>
  </si>
  <si>
    <t>FG SHEET (KW 2)</t>
  </si>
  <si>
    <t>PREV Cumulative</t>
  </si>
  <si>
    <t>prev Cumulative</t>
  </si>
  <si>
    <t>J1</t>
  </si>
  <si>
    <t>J2</t>
  </si>
  <si>
    <t>J3</t>
  </si>
  <si>
    <t>J4</t>
  </si>
  <si>
    <t>304/L</t>
  </si>
  <si>
    <t>316/L</t>
  </si>
  <si>
    <t>409L</t>
  </si>
  <si>
    <t>Total</t>
  </si>
  <si>
    <t xml:space="preserve">WIP </t>
  </si>
  <si>
    <t>Wait Multi</t>
  </si>
  <si>
    <t>Hold QC</t>
  </si>
  <si>
    <t>RR
(with allocated)</t>
  </si>
  <si>
    <t>Stock RR</t>
  </si>
  <si>
    <t>Stock Without Customer</t>
  </si>
  <si>
    <t/>
  </si>
  <si>
    <t>RAW MATERIAL ON PLANT</t>
  </si>
  <si>
    <t>RM</t>
  </si>
  <si>
    <t>HRAP (1D)</t>
  </si>
  <si>
    <t>CRAP (FH)</t>
  </si>
  <si>
    <t>2B+BA+2D</t>
  </si>
  <si>
    <t>2B (RUST/DENT)</t>
  </si>
  <si>
    <t>Subtotal</t>
  </si>
  <si>
    <t>DATE</t>
  </si>
  <si>
    <t>PREV</t>
  </si>
  <si>
    <t>OFF - NEW YEAR</t>
  </si>
  <si>
    <t>ROLLING</t>
  </si>
  <si>
    <t>RE-ROLLING</t>
  </si>
  <si>
    <t>BA LINE</t>
  </si>
  <si>
    <t>BA LINE 2</t>
  </si>
  <si>
    <t xml:space="preserve">BABY COIL </t>
  </si>
  <si>
    <t>Total BBY</t>
  </si>
  <si>
    <t>FG</t>
  </si>
  <si>
    <t>PRIME</t>
  </si>
  <si>
    <t>KW2 SHEET</t>
  </si>
  <si>
    <t>TARGET</t>
  </si>
  <si>
    <t>WIP</t>
  </si>
  <si>
    <t>HOLD SLT</t>
  </si>
  <si>
    <t>1D</t>
  </si>
  <si>
    <t>FH</t>
  </si>
  <si>
    <t>2B+BA</t>
  </si>
  <si>
    <t>DATA RM + WIP</t>
  </si>
  <si>
    <t>IMR-PPIC-FR11</t>
  </si>
  <si>
    <t>ITEM CODE</t>
  </si>
  <si>
    <t>POSITION</t>
  </si>
  <si>
    <t>Supplier Coil No.</t>
  </si>
  <si>
    <t>IMR Coil No.</t>
  </si>
  <si>
    <t>Grade</t>
  </si>
  <si>
    <t>Finish</t>
  </si>
  <si>
    <t>From Thick 
(mm)</t>
  </si>
  <si>
    <t>To Thick</t>
  </si>
  <si>
    <t>ACT THICK MIN</t>
  </si>
  <si>
    <t>ACT THICK MAX</t>
  </si>
  <si>
    <t>Width
(mm)</t>
  </si>
  <si>
    <t>Weight 
(MT)</t>
  </si>
  <si>
    <t>ACT Finish</t>
  </si>
  <si>
    <t>SC</t>
  </si>
  <si>
    <t>CUSTOMER NAME</t>
  </si>
  <si>
    <t>first customer</t>
  </si>
  <si>
    <t>REMARK QC</t>
  </si>
  <si>
    <t>REMARK PPC</t>
  </si>
  <si>
    <t>FH / 1D</t>
  </si>
  <si>
    <t>Supplier</t>
  </si>
  <si>
    <t>Invoice</t>
  </si>
  <si>
    <t>Date Invoice</t>
  </si>
  <si>
    <t>Date Incoming</t>
  </si>
  <si>
    <t xml:space="preserve">TODAY </t>
  </si>
  <si>
    <t>RM Aging</t>
  </si>
  <si>
    <t>BAL Aging</t>
  </si>
  <si>
    <t>Container No.</t>
  </si>
  <si>
    <t>Heat No.</t>
  </si>
  <si>
    <t>Net Weight Incoming
(MT)</t>
  </si>
  <si>
    <t>Gross Weight Incoming
(MT)</t>
  </si>
  <si>
    <t>NETT WEIGHT IMR</t>
  </si>
  <si>
    <t>GROSS WEIGHT IMR</t>
  </si>
  <si>
    <t>FH Aging</t>
  </si>
  <si>
    <t>LOT</t>
  </si>
  <si>
    <t>REMARKKK INCOMING</t>
  </si>
  <si>
    <t>20.11.2019</t>
  </si>
  <si>
    <t>COMPARE 02.02.20</t>
  </si>
  <si>
    <t>24.11.2021</t>
  </si>
  <si>
    <t>L190810A066-5</t>
  </si>
  <si>
    <t>GU302960A</t>
  </si>
  <si>
    <t>2B</t>
  </si>
  <si>
    <t>STOCK</t>
  </si>
  <si>
    <t>COIL DENT</t>
  </si>
  <si>
    <t>Dent Pitting (Random) 4-5 Dots</t>
  </si>
  <si>
    <t>5/4/2020, 19.07.2020, 30.09.2020</t>
  </si>
  <si>
    <t>GUANGDONG GUANGXIN GOLDTEC HOLDINGS CO, LTD</t>
  </si>
  <si>
    <t>GXGJ-IMR-1912-PL</t>
  </si>
  <si>
    <t>EITU0098185/EMCUXR9278</t>
  </si>
  <si>
    <t>190731L13-5</t>
  </si>
  <si>
    <t>NET PL</t>
  </si>
  <si>
    <t>OK</t>
  </si>
  <si>
    <t>C09</t>
  </si>
  <si>
    <t>ZG400025</t>
  </si>
  <si>
    <t>NO.1</t>
  </si>
  <si>
    <t>GULUNG ULANG</t>
  </si>
  <si>
    <t>ARS TECHNOLOGIES</t>
  </si>
  <si>
    <t>ZGSHFTZ-SB/EX160701</t>
  </si>
  <si>
    <t>CAIU2985269</t>
  </si>
  <si>
    <t>ZG400026</t>
  </si>
  <si>
    <t>N1806010209-2</t>
  </si>
  <si>
    <t>GI360020D</t>
  </si>
  <si>
    <t>316L</t>
  </si>
  <si>
    <t>DAI ICHI</t>
  </si>
  <si>
    <t>CEK SLT 22.07.22</t>
  </si>
  <si>
    <t>2/24/2020, 03.03.2020</t>
  </si>
  <si>
    <t>2/24/2020, 01.03.2020, 03.03.2020</t>
  </si>
  <si>
    <t>2/29/2020, 02.03.2020</t>
  </si>
  <si>
    <t>3/2/2020, 04.03.2020, 22.07.2022</t>
  </si>
  <si>
    <t>PT INDONESIA GUANG CHING NICKEL AND STAINLESS STEEL INDUSTRY</t>
  </si>
  <si>
    <t>GCNS18/12001-ARC</t>
  </si>
  <si>
    <t>Y180206A03-4</t>
  </si>
  <si>
    <t>C10</t>
  </si>
  <si>
    <t>STOCK NO CUST</t>
  </si>
  <si>
    <t>K1906252410B</t>
  </si>
  <si>
    <t>GU250017</t>
  </si>
  <si>
    <t>METALUTAMA</t>
  </si>
  <si>
    <t>12/12/2019, 05.02.2020</t>
  </si>
  <si>
    <t>GXGJ-IMR-1908-PL</t>
  </si>
  <si>
    <t>EGHU3573945</t>
  </si>
  <si>
    <t>N190624AQ082-03</t>
  </si>
  <si>
    <t>A04</t>
  </si>
  <si>
    <t>RM SLT</t>
  </si>
  <si>
    <t>SF19071173</t>
  </si>
  <si>
    <t>HJ202815</t>
  </si>
  <si>
    <t>BA</t>
  </si>
  <si>
    <t>CHECK INCOMING COIL 24.03.2021 - OK BA, FULL WIDTH COIL ORDER</t>
  </si>
  <si>
    <t>HENAN JINHUI INTERNATIONAL TRADE Co. Ltd</t>
  </si>
  <si>
    <t>JHJ19-0059</t>
  </si>
  <si>
    <t>H19-07B236-1</t>
  </si>
  <si>
    <t>C01</t>
  </si>
  <si>
    <t>87S076535-2</t>
  </si>
  <si>
    <t>GU400077D</t>
  </si>
  <si>
    <t>ex cahaya citra</t>
  </si>
  <si>
    <t>FG 20.01.20 - Transfer WIP</t>
  </si>
  <si>
    <t>GXGJ-IMR-1818-PL</t>
  </si>
  <si>
    <t>TCLU3869655</t>
  </si>
  <si>
    <t>LZ147600</t>
  </si>
  <si>
    <t>WHITE FINISH, UNANNEALED FINISH, NET PL</t>
  </si>
  <si>
    <t>STOCK PRIME - transfer to FG 19.07.2019</t>
  </si>
  <si>
    <t>RE SLT</t>
  </si>
  <si>
    <t>88S086001B-2</t>
  </si>
  <si>
    <t>HK400085</t>
  </si>
  <si>
    <t>2BB</t>
  </si>
  <si>
    <t>HAINAN KONKA MATERIAL TECHNOLOGY CO, .LTD</t>
  </si>
  <si>
    <t>HK-TN20180801</t>
  </si>
  <si>
    <t>OOLU1158636</t>
  </si>
  <si>
    <t>N1912030225-1</t>
  </si>
  <si>
    <t>LTI-TS303872A</t>
  </si>
  <si>
    <t>304L</t>
  </si>
  <si>
    <t>STOCK MULTI</t>
  </si>
  <si>
    <t>MELI</t>
  </si>
  <si>
    <t>BUTEK KUSAM,,,SCRACTH SLIP ACAK SEBAR    (QC 31.10.2020) NOT OKE MELI 23.08.2021</t>
  </si>
  <si>
    <t>6/10/2020, 28.07.2020</t>
  </si>
  <si>
    <t>6/10/2020, 30.07.2020</t>
  </si>
  <si>
    <t>6/15/2020, 29.09.2020</t>
  </si>
  <si>
    <t>7/22/2020, 23.08.2021</t>
  </si>
  <si>
    <t>PT. INDONESIA TSINGSHAN STAINLESS STEEL</t>
  </si>
  <si>
    <t>ITSS19/12001-ARC</t>
  </si>
  <si>
    <t>Y190819D11-2</t>
  </si>
  <si>
    <t>COMPARE QC 17.07.2020</t>
  </si>
  <si>
    <t>BARU</t>
  </si>
  <si>
    <t>N2001140237-1</t>
  </si>
  <si>
    <t>TI-TS203366A2</t>
  </si>
  <si>
    <t>HOME ZONE</t>
  </si>
  <si>
    <t>8/9/2020, 11.08.2020, 21.12.2020</t>
  </si>
  <si>
    <t>8/9/2020, 11.08.2020, , 21.12.2020</t>
  </si>
  <si>
    <t>8/9/2020, 28.09.2020, 22.12.2020</t>
  </si>
  <si>
    <t>8/10/2020, 18.02.2021</t>
  </si>
  <si>
    <t>ITSS19/12003-ARC</t>
  </si>
  <si>
    <t>Y191019D09-4</t>
  </si>
  <si>
    <t>K2009073612B</t>
  </si>
  <si>
    <t>XG203585C</t>
  </si>
  <si>
    <t>M/S VAISHNAV EXPORTS</t>
  </si>
  <si>
    <t>LEPAS SPOOL BESI</t>
  </si>
  <si>
    <t>6/17/2021, 19.10.2021</t>
  </si>
  <si>
    <t>XIAMEN GREAT CORPORATION</t>
  </si>
  <si>
    <t>XGC-IMR20200707-3</t>
  </si>
  <si>
    <t>CMAU3066650</t>
  </si>
  <si>
    <t>N200906AR071-01</t>
  </si>
  <si>
    <t>C08</t>
  </si>
  <si>
    <t>K2012050114B</t>
  </si>
  <si>
    <t>XG203903A</t>
  </si>
  <si>
    <t>STOCK DOMESTIK</t>
  </si>
  <si>
    <t>KUNAL HOUSEWARES</t>
  </si>
  <si>
    <t>GOSONG</t>
  </si>
  <si>
    <t>2/27/2021, 15.03.2021</t>
  </si>
  <si>
    <t>2/28/2021, 20.03.2021</t>
  </si>
  <si>
    <t>3/2/2021, 25.030.2021</t>
  </si>
  <si>
    <t>3/15/2021, 26.03.2021</t>
  </si>
  <si>
    <t>XGC-IMR20201116-2</t>
  </si>
  <si>
    <t>EITU0116843</t>
  </si>
  <si>
    <t>N201201AR14</t>
  </si>
  <si>
    <t>C16</t>
  </si>
  <si>
    <t>K2012050149B</t>
  </si>
  <si>
    <t>XG203936B</t>
  </si>
  <si>
    <t>KIMFU</t>
  </si>
  <si>
    <t>RR ORDER PPIC</t>
  </si>
  <si>
    <t>2/7/2021, 19.02.2021, 22.02.2021, 04.03.2021, 27.03.2021</t>
  </si>
  <si>
    <t>2/7/2021, 19.02.2021, 28.03.2021</t>
  </si>
  <si>
    <t>2/11/2021, 20.02.2021</t>
  </si>
  <si>
    <t>2/20/2021, 02.11.2021</t>
  </si>
  <si>
    <t>TEMU3927527</t>
  </si>
  <si>
    <t>N201201AQ08</t>
  </si>
  <si>
    <t>C17</t>
  </si>
  <si>
    <t>K2012040408B</t>
  </si>
  <si>
    <t>XG203968B</t>
  </si>
  <si>
    <t>ACT MINUS</t>
  </si>
  <si>
    <t>2/24/2021, 25.03.2021</t>
  </si>
  <si>
    <t>2/25/2021, 27.03.2021</t>
  </si>
  <si>
    <t>3/24/2021, 02.11.2021</t>
  </si>
  <si>
    <t>EITU0036120</t>
  </si>
  <si>
    <t>N201202PA01</t>
  </si>
  <si>
    <t>K2012221022B</t>
  </si>
  <si>
    <t>EM240048</t>
  </si>
  <si>
    <t>ENRICHMENT METALS &amp; INDUSTRIAL LTD</t>
  </si>
  <si>
    <t>INV-IMR20201224</t>
  </si>
  <si>
    <t>TEMU0655359</t>
  </si>
  <si>
    <t>N201201220AQ15</t>
  </si>
  <si>
    <t>K2012221012A</t>
  </si>
  <si>
    <t>EM240049</t>
  </si>
  <si>
    <t>N201201221AQ08</t>
  </si>
  <si>
    <t>K2012250334A</t>
  </si>
  <si>
    <t>EM240050</t>
  </si>
  <si>
    <t>EITU0361183</t>
  </si>
  <si>
    <t>N201201221AR07</t>
  </si>
  <si>
    <t>K2012221012B</t>
  </si>
  <si>
    <t>EM240051B</t>
  </si>
  <si>
    <t>MASPION LOGAM</t>
  </si>
  <si>
    <t>5/19/2022, 22.05.2022</t>
  </si>
  <si>
    <t>5/19/2022, 23.05.2022</t>
  </si>
  <si>
    <t>K2012203617B</t>
  </si>
  <si>
    <t>EM250021</t>
  </si>
  <si>
    <t>INV-IMR20210112</t>
  </si>
  <si>
    <t>BMOU2861329</t>
  </si>
  <si>
    <t>N201220AT10</t>
  </si>
  <si>
    <t>K2012203609B</t>
  </si>
  <si>
    <t>EM250022</t>
  </si>
  <si>
    <t>N201220AT03</t>
  </si>
  <si>
    <t>K2012203616B</t>
  </si>
  <si>
    <t>EM250023</t>
  </si>
  <si>
    <t>N201220AT05</t>
  </si>
  <si>
    <t>K2012181647B</t>
  </si>
  <si>
    <t>EM250024</t>
  </si>
  <si>
    <t>GLDU5744182</t>
  </si>
  <si>
    <t>N201218AQ06</t>
  </si>
  <si>
    <t>K2012203547B</t>
  </si>
  <si>
    <t>EM250025</t>
  </si>
  <si>
    <t>N201220AQ01</t>
  </si>
  <si>
    <t>K2012203601B</t>
  </si>
  <si>
    <t>EM250026</t>
  </si>
  <si>
    <t>N201220AT01</t>
  </si>
  <si>
    <t>K2012050127B</t>
  </si>
  <si>
    <t>EM204052B</t>
  </si>
  <si>
    <t>3/25/2021, 27.03.2021</t>
  </si>
  <si>
    <t>ERM-IMR20201211-2</t>
  </si>
  <si>
    <t>EGHU3281178</t>
  </si>
  <si>
    <t>N201201AQ10</t>
  </si>
  <si>
    <t>C15</t>
  </si>
  <si>
    <t>K2103030704A</t>
  </si>
  <si>
    <t>EM204220B</t>
  </si>
  <si>
    <t>TRIAL MILL 2</t>
  </si>
  <si>
    <t>CITRA MASINDO</t>
  </si>
  <si>
    <t>10/18/2022, 09.11.2022, 11.11.2022</t>
  </si>
  <si>
    <t>6/5/2021, 07.11.2022, 10.11.2022</t>
  </si>
  <si>
    <t>9/6/2021, 07.11.2022</t>
  </si>
  <si>
    <t>TEMU0200088</t>
  </si>
  <si>
    <t>N210228AT08</t>
  </si>
  <si>
    <t>D14</t>
  </si>
  <si>
    <t>K2103040118B</t>
  </si>
  <si>
    <t>EM204239B</t>
  </si>
  <si>
    <t>KEYUR KITCHENWARE</t>
  </si>
  <si>
    <t>6/19/2021, 25.06.2021, 13.12.2021, 11.11.2022</t>
  </si>
  <si>
    <t>6/19/2021, 25.10.2021, 14.12.2021</t>
  </si>
  <si>
    <t>6/25/2021, 10.12.2021, 16.12.2021</t>
  </si>
  <si>
    <t>10/23/2021, 16.12.2021</t>
  </si>
  <si>
    <t>SEGU2887573</t>
  </si>
  <si>
    <t>N210301AR03</t>
  </si>
  <si>
    <t>B09</t>
  </si>
  <si>
    <t>K2103221704B</t>
  </si>
  <si>
    <t>GU310015</t>
  </si>
  <si>
    <t>STOCK OK RR</t>
  </si>
  <si>
    <t>BNM</t>
  </si>
  <si>
    <t>HOLD - FLEX PUTIH</t>
  </si>
  <si>
    <t>GXGJ-IMR-2106/2107-PL</t>
  </si>
  <si>
    <t>EGSU3039770</t>
  </si>
  <si>
    <t>N210317AY05</t>
  </si>
  <si>
    <t>K2104053518A</t>
  </si>
  <si>
    <t>GU204404</t>
  </si>
  <si>
    <t xml:space="preserve">HOLD - SCRACTH </t>
  </si>
  <si>
    <t>6/29/2021, 25.10.2021</t>
  </si>
  <si>
    <t>6/30/2021, 08.11.2021</t>
  </si>
  <si>
    <t>6/30/2021, 08.06.2022</t>
  </si>
  <si>
    <t>GXGJ-IMR-2103-PL-2</t>
  </si>
  <si>
    <t>N210403AT13</t>
  </si>
  <si>
    <t>B08</t>
  </si>
  <si>
    <t>K2104053528B</t>
  </si>
  <si>
    <t>GU204459</t>
  </si>
  <si>
    <t>GXGJ-IMR-2104-PL</t>
  </si>
  <si>
    <t>EITU0530616</t>
  </si>
  <si>
    <t>N210404AR06</t>
  </si>
  <si>
    <t>K2104044612B</t>
  </si>
  <si>
    <t>GU204488C</t>
  </si>
  <si>
    <t>8/18/2021, 19.10.2022</t>
  </si>
  <si>
    <t>10/19/2022, 09.11.2022</t>
  </si>
  <si>
    <t>11/29/2021, 07.11.2022</t>
  </si>
  <si>
    <t>EITU3042298</t>
  </si>
  <si>
    <t>N210404AT04</t>
  </si>
  <si>
    <t>K2104093416B</t>
  </si>
  <si>
    <t>EM204522</t>
  </si>
  <si>
    <t>SUPRA TERATAI</t>
  </si>
  <si>
    <t>OVERTHICKNESS</t>
  </si>
  <si>
    <t>SEGU2558665</t>
  </si>
  <si>
    <t>N210403AT11</t>
  </si>
  <si>
    <t>K2105205404A</t>
  </si>
  <si>
    <t>HK204568</t>
  </si>
  <si>
    <t>HAINAN KONKA MATERIAL TECHNOLOGY</t>
  </si>
  <si>
    <t>IMTU3058213</t>
  </si>
  <si>
    <t>N210516AS05</t>
  </si>
  <si>
    <t>K2105205401A</t>
  </si>
  <si>
    <t>HK204570</t>
  </si>
  <si>
    <t>N210516AT12</t>
  </si>
  <si>
    <t>K2105190513B</t>
  </si>
  <si>
    <t>HK204579</t>
  </si>
  <si>
    <t>EGHU3841246</t>
  </si>
  <si>
    <t>N210516AQ07</t>
  </si>
  <si>
    <t>K2104044635B</t>
  </si>
  <si>
    <t>HK204616</t>
  </si>
  <si>
    <t>TRIYUDA</t>
  </si>
  <si>
    <t>REPAIR MATERIAL TELESCOPE 7 SHIFTING</t>
  </si>
  <si>
    <t>11/15/2021, 29.11.2021, 30.11.2021, 04.12.2021, 20.10.2022</t>
  </si>
  <si>
    <t>11/15/2021, 04.12.2021</t>
  </si>
  <si>
    <t>11/17/2021, 28.01.2022</t>
  </si>
  <si>
    <t>EISU2262062</t>
  </si>
  <si>
    <t>N210403AQ14</t>
  </si>
  <si>
    <t>D13</t>
  </si>
  <si>
    <t>K2105205347A</t>
  </si>
  <si>
    <t>HK204619</t>
  </si>
  <si>
    <t>EMCU3915235</t>
  </si>
  <si>
    <t>N210516AQ16</t>
  </si>
  <si>
    <t>K2105282421B</t>
  </si>
  <si>
    <t>EM204680</t>
  </si>
  <si>
    <t>EITU0126559</t>
  </si>
  <si>
    <t>N210527AR06</t>
  </si>
  <si>
    <t>K2105282419A</t>
  </si>
  <si>
    <t>EM204681</t>
  </si>
  <si>
    <t>EGSU3081213</t>
  </si>
  <si>
    <t>N210527AS09</t>
  </si>
  <si>
    <t>K2105265308AB</t>
  </si>
  <si>
    <t>EM204684</t>
  </si>
  <si>
    <t>EGHU3608379</t>
  </si>
  <si>
    <t>N210516AR16</t>
  </si>
  <si>
    <t>K2105265308BA</t>
  </si>
  <si>
    <t>EM204685</t>
  </si>
  <si>
    <t>EITU0501270</t>
  </si>
  <si>
    <t>K2105282509B</t>
  </si>
  <si>
    <t>EM204690A</t>
  </si>
  <si>
    <t>STOCK KW 2</t>
  </si>
  <si>
    <t>HOLD QC - KW 2</t>
  </si>
  <si>
    <t>8/22/2021, 07.04.2022</t>
  </si>
  <si>
    <t>8/22/2021, 08.04.2022</t>
  </si>
  <si>
    <t>9/22/2021, 17.04.2022</t>
  </si>
  <si>
    <t>4/6/2022, 30.06.2022</t>
  </si>
  <si>
    <t>EMCU39182424</t>
  </si>
  <si>
    <t>N210527AQ09</t>
  </si>
  <si>
    <t>D12</t>
  </si>
  <si>
    <t>EM204690B</t>
  </si>
  <si>
    <t>TARIK MUNDUR - MATERIAL CRACK</t>
  </si>
  <si>
    <t>4/6/2022, 21.05.2022</t>
  </si>
  <si>
    <t>K2105290114AA</t>
  </si>
  <si>
    <t>EM204695</t>
  </si>
  <si>
    <t>N210527AQ10</t>
  </si>
  <si>
    <t>K2105282322B</t>
  </si>
  <si>
    <t>EM204706</t>
  </si>
  <si>
    <t>DRYU2974537</t>
  </si>
  <si>
    <t>N210527AS10</t>
  </si>
  <si>
    <t>K2105085317B</t>
  </si>
  <si>
    <t>EM204710</t>
  </si>
  <si>
    <t>EGHU3390604</t>
  </si>
  <si>
    <t>N210507AQ02</t>
  </si>
  <si>
    <t>K2105265217AA</t>
  </si>
  <si>
    <t>EM204711</t>
  </si>
  <si>
    <t>EITU0561108</t>
  </si>
  <si>
    <t>N210525AS02</t>
  </si>
  <si>
    <t>K2105265217AB</t>
  </si>
  <si>
    <t>EM204712</t>
  </si>
  <si>
    <t>DRYU2961801</t>
  </si>
  <si>
    <t>K2105265217BB</t>
  </si>
  <si>
    <t>EM204714</t>
  </si>
  <si>
    <t>TCLU3613067</t>
  </si>
  <si>
    <t>K2105282441B</t>
  </si>
  <si>
    <t>EM204716</t>
  </si>
  <si>
    <t>N210524AR17</t>
  </si>
  <si>
    <t>IM709</t>
  </si>
  <si>
    <t>LM410583A+B</t>
  </si>
  <si>
    <t>CV PELANGI JAYA</t>
  </si>
  <si>
    <t>SLT 25.12.21-RUST</t>
  </si>
  <si>
    <t>LEO METALS LIMITED</t>
  </si>
  <si>
    <t>210621IM073</t>
  </si>
  <si>
    <t>SGRU2114328</t>
  </si>
  <si>
    <t>C5113</t>
  </si>
  <si>
    <t>LM410583C</t>
  </si>
  <si>
    <t>MUNDUR SLT 25.12.21-RUST</t>
  </si>
  <si>
    <t>K2106030114A</t>
  </si>
  <si>
    <t>EM204735</t>
  </si>
  <si>
    <t>KUNAL</t>
  </si>
  <si>
    <t xml:space="preserve">CHECK SLT - SCRACTH </t>
  </si>
  <si>
    <t>8/22/2021, 22.10.2021</t>
  </si>
  <si>
    <t>DRYU2684477</t>
  </si>
  <si>
    <t>N210602AR13</t>
  </si>
  <si>
    <t>A08</t>
  </si>
  <si>
    <t>K2106084019A</t>
  </si>
  <si>
    <t>EM204736</t>
  </si>
  <si>
    <t>CHECK COIL - NOT OKE</t>
  </si>
  <si>
    <t>N210608AS02</t>
  </si>
  <si>
    <t>B14</t>
  </si>
  <si>
    <t>K2106084008A</t>
  </si>
  <si>
    <t>EM204737</t>
  </si>
  <si>
    <t>DRYU2987236</t>
  </si>
  <si>
    <t>N210607AT14</t>
  </si>
  <si>
    <t>K2106083943B</t>
  </si>
  <si>
    <t>EM204738</t>
  </si>
  <si>
    <t>N210608AT04</t>
  </si>
  <si>
    <t>K2105282516B</t>
  </si>
  <si>
    <t>EM204739</t>
  </si>
  <si>
    <t>EGHU3700058</t>
  </si>
  <si>
    <t>N210525AR05</t>
  </si>
  <si>
    <t>K2106123303A</t>
  </si>
  <si>
    <t>EM204740</t>
  </si>
  <si>
    <t>N210607AQ11</t>
  </si>
  <si>
    <t>K2106084106A</t>
  </si>
  <si>
    <t>EM204741</t>
  </si>
  <si>
    <t>EITU0602151</t>
  </si>
  <si>
    <t>N210608AQ07</t>
  </si>
  <si>
    <t>K2106030114B</t>
  </si>
  <si>
    <t>EM204742</t>
  </si>
  <si>
    <t>K2106123303B</t>
  </si>
  <si>
    <t>EM204743</t>
  </si>
  <si>
    <t>CHECK SLT - RUST - TUNGGU KEPUTUSAN</t>
  </si>
  <si>
    <t>BMOU1087603</t>
  </si>
  <si>
    <t>K2105205438AB</t>
  </si>
  <si>
    <t>EM204745</t>
  </si>
  <si>
    <t>N210516AR06</t>
  </si>
  <si>
    <t>K2105205438B</t>
  </si>
  <si>
    <t>EM204747</t>
  </si>
  <si>
    <t>N210524AR18</t>
  </si>
  <si>
    <t>K2106123448B</t>
  </si>
  <si>
    <t>EM204748</t>
  </si>
  <si>
    <t>N210602AQ04</t>
  </si>
  <si>
    <t>K2106083943AA</t>
  </si>
  <si>
    <t>EM204749</t>
  </si>
  <si>
    <t>K2106083943AB</t>
  </si>
  <si>
    <t>EM204750</t>
  </si>
  <si>
    <t>K2105265231A</t>
  </si>
  <si>
    <t>EM204751</t>
  </si>
  <si>
    <t>N210516AQ10</t>
  </si>
  <si>
    <t>K2105265313B</t>
  </si>
  <si>
    <t>EM204752</t>
  </si>
  <si>
    <t>10/22/2022, 23.10.2022</t>
  </si>
  <si>
    <t>N210524AT11</t>
  </si>
  <si>
    <t>K2105265209A</t>
  </si>
  <si>
    <t>EM204753</t>
  </si>
  <si>
    <t>N210525AQ04</t>
  </si>
  <si>
    <t>K2105265209B</t>
  </si>
  <si>
    <t>EM204754</t>
  </si>
  <si>
    <t>K2105265313A</t>
  </si>
  <si>
    <t>EM204755</t>
  </si>
  <si>
    <t>K2105265230A</t>
  </si>
  <si>
    <t>EM204756</t>
  </si>
  <si>
    <t>K2105254217A</t>
  </si>
  <si>
    <t>EM204757</t>
  </si>
  <si>
    <t>N210525AQ06</t>
  </si>
  <si>
    <t>K2105254217B</t>
  </si>
  <si>
    <t>EM204758</t>
  </si>
  <si>
    <t>RM SLT RUST</t>
  </si>
  <si>
    <t>K2105263301A</t>
  </si>
  <si>
    <t>EM204759</t>
  </si>
  <si>
    <t>COIL RUST</t>
  </si>
  <si>
    <t>FUTURA</t>
  </si>
  <si>
    <t>MATERIAL RUST</t>
  </si>
  <si>
    <t>K2105205348AA</t>
  </si>
  <si>
    <t>EM204761</t>
  </si>
  <si>
    <t>N210516AS10</t>
  </si>
  <si>
    <t>K2105205348AB</t>
  </si>
  <si>
    <t>EM204762</t>
  </si>
  <si>
    <t>IM812</t>
  </si>
  <si>
    <t>LM410625A3</t>
  </si>
  <si>
    <t>210628IM08-1</t>
  </si>
  <si>
    <t>TEMU2736022</t>
  </si>
  <si>
    <t>I2131</t>
  </si>
  <si>
    <t>IM821</t>
  </si>
  <si>
    <t>LM410630</t>
  </si>
  <si>
    <t>CMAU1116052</t>
  </si>
  <si>
    <t>A7299</t>
  </si>
  <si>
    <t>IM822</t>
  </si>
  <si>
    <t>LM410631</t>
  </si>
  <si>
    <t>G3966</t>
  </si>
  <si>
    <t>IM823</t>
  </si>
  <si>
    <t>LM410632</t>
  </si>
  <si>
    <t>H6970</t>
  </si>
  <si>
    <t>K2106123418A</t>
  </si>
  <si>
    <t>EM204766</t>
  </si>
  <si>
    <t>IMTU3046188</t>
  </si>
  <si>
    <t>N210527AR16</t>
  </si>
  <si>
    <t>K2106170128B</t>
  </si>
  <si>
    <t>EM204767</t>
  </si>
  <si>
    <t>EISU2208056</t>
  </si>
  <si>
    <t>N210616AT09</t>
  </si>
  <si>
    <t>K2106083906A</t>
  </si>
  <si>
    <t>EM204769</t>
  </si>
  <si>
    <t>EITU0386290</t>
  </si>
  <si>
    <t>N210607AQ15</t>
  </si>
  <si>
    <t>K2106170128A</t>
  </si>
  <si>
    <t>EM204770</t>
  </si>
  <si>
    <t>EITU0533195</t>
  </si>
  <si>
    <t>K2106170110B</t>
  </si>
  <si>
    <t>EM204772</t>
  </si>
  <si>
    <t>DRYU2366840</t>
  </si>
  <si>
    <t>N210616AT11</t>
  </si>
  <si>
    <t>K2106084011B</t>
  </si>
  <si>
    <t>EM204773</t>
  </si>
  <si>
    <t>N210607AR16</t>
  </si>
  <si>
    <t>K2106170239B</t>
  </si>
  <si>
    <t>EM204774</t>
  </si>
  <si>
    <t>EISU2029370</t>
  </si>
  <si>
    <t>N210616AT14</t>
  </si>
  <si>
    <t>K2106123403B</t>
  </si>
  <si>
    <t>EM204775</t>
  </si>
  <si>
    <t>EITU0594077</t>
  </si>
  <si>
    <t>N210527AT14</t>
  </si>
  <si>
    <t>K2106084011A</t>
  </si>
  <si>
    <t>EM204778</t>
  </si>
  <si>
    <t>EGHU3383800</t>
  </si>
  <si>
    <t>K2106123404B</t>
  </si>
  <si>
    <t>EM204779</t>
  </si>
  <si>
    <t>TCLU3507511</t>
  </si>
  <si>
    <t>N210608AQ05</t>
  </si>
  <si>
    <t>K2106123317A</t>
  </si>
  <si>
    <t>EM204781</t>
  </si>
  <si>
    <t>N210608AR05</t>
  </si>
  <si>
    <t>K2106083929A</t>
  </si>
  <si>
    <t>EM204782</t>
  </si>
  <si>
    <t>EITU0386406</t>
  </si>
  <si>
    <t>N210607AT11</t>
  </si>
  <si>
    <t>K2105282516A</t>
  </si>
  <si>
    <t>EM204783</t>
  </si>
  <si>
    <t>TEMU3956886</t>
  </si>
  <si>
    <t>K2106123422A</t>
  </si>
  <si>
    <t>EM204786</t>
  </si>
  <si>
    <t>N210602AQ05</t>
  </si>
  <si>
    <t>K2106123418B</t>
  </si>
  <si>
    <t>EM204787</t>
  </si>
  <si>
    <t>K2106123412B</t>
  </si>
  <si>
    <t>EM204788</t>
  </si>
  <si>
    <t>N210602AS11</t>
  </si>
  <si>
    <t>K2106083909B</t>
  </si>
  <si>
    <t>EM204789</t>
  </si>
  <si>
    <t>N210607AQ12</t>
  </si>
  <si>
    <t>K2106030231AB</t>
  </si>
  <si>
    <t>EM204790</t>
  </si>
  <si>
    <t>N210602AT05</t>
  </si>
  <si>
    <t>K2106123315AB</t>
  </si>
  <si>
    <t>EM204792</t>
  </si>
  <si>
    <t>K2106123304AB</t>
  </si>
  <si>
    <t>EM204795</t>
  </si>
  <si>
    <t>EITU0221290</t>
  </si>
  <si>
    <t>N210608AT05</t>
  </si>
  <si>
    <t>K2106123304AA</t>
  </si>
  <si>
    <t>EM204796</t>
  </si>
  <si>
    <t>K2106030116AB</t>
  </si>
  <si>
    <t>EM204799</t>
  </si>
  <si>
    <t>K2106123408AB</t>
  </si>
  <si>
    <t>EM204800</t>
  </si>
  <si>
    <t>MINUS WIDHT 728</t>
  </si>
  <si>
    <t>9/26/2021, 29.09.2021</t>
  </si>
  <si>
    <t>N210602AT07</t>
  </si>
  <si>
    <t>K2106030116AA</t>
  </si>
  <si>
    <t>EM204801</t>
  </si>
  <si>
    <t>C11</t>
  </si>
  <si>
    <t>N2105040260-1</t>
  </si>
  <si>
    <t>TI-GI305500B</t>
  </si>
  <si>
    <t>304/304L</t>
  </si>
  <si>
    <t>HYUNDAI CORP</t>
  </si>
  <si>
    <t>SLT 21.10 - OK MULTI</t>
  </si>
  <si>
    <t>8/30/2021, 14.09.2021, 16.09.2021</t>
  </si>
  <si>
    <t>8/30/2021, 14.09.2021, 18.09.2021</t>
  </si>
  <si>
    <t>9/1/2021, 15.09.2021, 19.09.2021</t>
  </si>
  <si>
    <t>GCNS21/WC05004-ARC</t>
  </si>
  <si>
    <t>Y210424C49-1</t>
  </si>
  <si>
    <t>C07</t>
  </si>
  <si>
    <t>N2105300647-1</t>
  </si>
  <si>
    <t>TI-GI305566B</t>
  </si>
  <si>
    <t>VIVAAN METALS</t>
  </si>
  <si>
    <t>THICK VARIASI METER 1300-1530 THICK 0.33-0.36mm</t>
  </si>
  <si>
    <t>9/4/2021, 15.09.2021, 21.09.2021</t>
  </si>
  <si>
    <t>9/4/2021, 16.09.2021, 22.09.2021</t>
  </si>
  <si>
    <t>9/7/2021, 17.09.2021, 23.09.2021</t>
  </si>
  <si>
    <t>GCNS21/WC05003-ARC</t>
  </si>
  <si>
    <t>Y210524F46-2</t>
  </si>
  <si>
    <t>C06</t>
  </si>
  <si>
    <t>N2105150113-1</t>
  </si>
  <si>
    <t>TI-GI305669C</t>
  </si>
  <si>
    <t>SK NETWORKS</t>
  </si>
  <si>
    <t>OK STOCK DOMESTIC - BERCAK ROLL MARK</t>
  </si>
  <si>
    <t>9/10/2021, 13.09.2021</t>
  </si>
  <si>
    <t>9/12/2021, 15.09.2021</t>
  </si>
  <si>
    <t>9/12/2021, 27.10.2021</t>
  </si>
  <si>
    <t>Y210427C47-4</t>
  </si>
  <si>
    <t>D15</t>
  </si>
  <si>
    <t>N2107020103-1</t>
  </si>
  <si>
    <t>LTI-GI306068A</t>
  </si>
  <si>
    <t>NENAVA METAL</t>
  </si>
  <si>
    <t>MATERIAL PINCHING</t>
  </si>
  <si>
    <t>11/13/2021, 06.01.2022</t>
  </si>
  <si>
    <t>11/13/2021, 07.01.2022</t>
  </si>
  <si>
    <t>GCNS21/WC05017-ARC</t>
  </si>
  <si>
    <t>Y210625D07-5</t>
  </si>
  <si>
    <t>N2107010253-1</t>
  </si>
  <si>
    <t>LTI-GI306072B</t>
  </si>
  <si>
    <t>11/14/2021, 07.01.2022</t>
  </si>
  <si>
    <t>1/5/2022, 16.01.2022</t>
  </si>
  <si>
    <t>Y210514C50-5</t>
  </si>
  <si>
    <t>N2108040109-2</t>
  </si>
  <si>
    <t>LTI-GI306549C</t>
  </si>
  <si>
    <t>GLOMET ALLOYS</t>
  </si>
  <si>
    <t>SCRACTH. OK MULTI BY QC</t>
  </si>
  <si>
    <t>12/20/2021, 22.03.2022</t>
  </si>
  <si>
    <t>1/7/2022, 27.03.2022</t>
  </si>
  <si>
    <t>3/28/2022, 22.09.2022</t>
  </si>
  <si>
    <t>GCNS21/WC07004-ARC</t>
  </si>
  <si>
    <t>Y210705C48-1</t>
  </si>
  <si>
    <t>N2109080402-1</t>
  </si>
  <si>
    <t>LTI-GI306601D</t>
  </si>
  <si>
    <t>ISO TOPS</t>
  </si>
  <si>
    <t>LAMINASI</t>
  </si>
  <si>
    <t>ARRIVE AT IMR 07.03.22</t>
  </si>
  <si>
    <t>Y210829D09-2</t>
  </si>
  <si>
    <t>N2109010126-2</t>
  </si>
  <si>
    <t>LTI-GI306626B</t>
  </si>
  <si>
    <t>3/5/2022, 08.03.2022</t>
  </si>
  <si>
    <t>3/7/2022, 09.03.2022</t>
  </si>
  <si>
    <t>ARRIVE AT IMR 05.03.22</t>
  </si>
  <si>
    <t>Y210726D50-6</t>
  </si>
  <si>
    <t>K2112142449B</t>
  </si>
  <si>
    <t>EM204812</t>
  </si>
  <si>
    <t>INV-IMR20220111A</t>
  </si>
  <si>
    <t>TGBU2570950</t>
  </si>
  <si>
    <t>N211214AW03</t>
  </si>
  <si>
    <t>K2201060226B</t>
  </si>
  <si>
    <t>EM204813</t>
  </si>
  <si>
    <t>BEAU2885959</t>
  </si>
  <si>
    <t>N211229AR17</t>
  </si>
  <si>
    <t>K2201140249B</t>
  </si>
  <si>
    <t>EM204814</t>
  </si>
  <si>
    <t>TLLU3248044</t>
  </si>
  <si>
    <t>N220112AX11</t>
  </si>
  <si>
    <t>K2201140214A</t>
  </si>
  <si>
    <t>EM204815</t>
  </si>
  <si>
    <t>CICU8412401</t>
  </si>
  <si>
    <t>N220112AY06</t>
  </si>
  <si>
    <t>K2201140214B</t>
  </si>
  <si>
    <t>EM204816</t>
  </si>
  <si>
    <t>SEGU3458510</t>
  </si>
  <si>
    <t>K2201012916A</t>
  </si>
  <si>
    <t>EM204817</t>
  </si>
  <si>
    <t>TLLU3237327</t>
  </si>
  <si>
    <t>N211229AQ11</t>
  </si>
  <si>
    <t>K2201012916B</t>
  </si>
  <si>
    <t>EM204818</t>
  </si>
  <si>
    <t>K2201300146B</t>
  </si>
  <si>
    <t>EM204820</t>
  </si>
  <si>
    <t>TLLU3126241</t>
  </si>
  <si>
    <t>N211222AS06</t>
  </si>
  <si>
    <t>K2201300122A</t>
  </si>
  <si>
    <t>EM204821</t>
  </si>
  <si>
    <t>N220112AX04</t>
  </si>
  <si>
    <t>K2201300122B</t>
  </si>
  <si>
    <t>EM204822</t>
  </si>
  <si>
    <t>TGBU3151069</t>
  </si>
  <si>
    <t>K2201300208A</t>
  </si>
  <si>
    <t>EM204823</t>
  </si>
  <si>
    <t>K2201300208B</t>
  </si>
  <si>
    <t>EM204824</t>
  </si>
  <si>
    <t>K2201300149A</t>
  </si>
  <si>
    <t>EM204825</t>
  </si>
  <si>
    <t>N211218AR17</t>
  </si>
  <si>
    <t>K2201300209A</t>
  </si>
  <si>
    <t>EM204827</t>
  </si>
  <si>
    <t>N211214AV02</t>
  </si>
  <si>
    <t>K2201300209B</t>
  </si>
  <si>
    <t>EM204828</t>
  </si>
  <si>
    <t>K2201140247BA</t>
  </si>
  <si>
    <t>EM204831</t>
  </si>
  <si>
    <t>K2201140249AB</t>
  </si>
  <si>
    <t>EM204834</t>
  </si>
  <si>
    <t>K2201300135B</t>
  </si>
  <si>
    <t>EM204835</t>
  </si>
  <si>
    <t>FTAU1228660</t>
  </si>
  <si>
    <t>K2201300124AA</t>
  </si>
  <si>
    <t>EM204837</t>
  </si>
  <si>
    <t>SEGU3449000</t>
  </si>
  <si>
    <t>N220112AX12</t>
  </si>
  <si>
    <t>K2201300124BB</t>
  </si>
  <si>
    <t>EM204840</t>
  </si>
  <si>
    <t>K2201300116A</t>
  </si>
  <si>
    <t>EM204841</t>
  </si>
  <si>
    <t>N220112AY12</t>
  </si>
  <si>
    <t>K2201300116B</t>
  </si>
  <si>
    <t>EM204842</t>
  </si>
  <si>
    <t>TEMU5750322</t>
  </si>
  <si>
    <t>K2201300148A</t>
  </si>
  <si>
    <t>EM204843</t>
  </si>
  <si>
    <t>N211222AR07</t>
  </si>
  <si>
    <t>K2201300148B</t>
  </si>
  <si>
    <t>EM204844</t>
  </si>
  <si>
    <t>N2111030154-1</t>
  </si>
  <si>
    <t>LTI-GI307133D</t>
  </si>
  <si>
    <t>SACHIN STEEL</t>
  </si>
  <si>
    <t>HOLD - DENT</t>
  </si>
  <si>
    <t>5/13/2022, 15.07.2022</t>
  </si>
  <si>
    <t>5/13/2022, 22.07.2022</t>
  </si>
  <si>
    <t>5/14/2022, 22.07.2022</t>
  </si>
  <si>
    <t>7/15/2022, 26.07.2022, 26.07.2022</t>
  </si>
  <si>
    <t>ARRIVE AT IMR 12.05.22</t>
  </si>
  <si>
    <t>GCNS21/WC10005-ARC</t>
  </si>
  <si>
    <t>Y210830C07-1</t>
  </si>
  <si>
    <t>N2111030152-2</t>
  </si>
  <si>
    <t>LTI-GI307146A2</t>
  </si>
  <si>
    <t>TBS METAL</t>
  </si>
  <si>
    <t>HOLD - ROLL MARK Z MILL</t>
  </si>
  <si>
    <t>5/17/2022, 16.06.2022</t>
  </si>
  <si>
    <t>5/18/2022, 23.06.2022</t>
  </si>
  <si>
    <t>6/4/2022, 24.06.2022, 20.09.2022</t>
  </si>
  <si>
    <t>ARRIVE AT IMR 14.05.22</t>
  </si>
  <si>
    <t>Y210830C08-1</t>
  </si>
  <si>
    <t>N2111030174-2</t>
  </si>
  <si>
    <t>LTI-GI307166B</t>
  </si>
  <si>
    <t>5/24/2022, 26.07.2022, 03.12.2022</t>
  </si>
  <si>
    <t>6/27/2022, 11.09.2022</t>
  </si>
  <si>
    <t>7/8/2022, 12.09.2022, 01.12.2022</t>
  </si>
  <si>
    <t>ARRIVE AT IMR 20.05.22</t>
  </si>
  <si>
    <t>Y210825C46-1</t>
  </si>
  <si>
    <t>RR</t>
  </si>
  <si>
    <t>STOCK RR</t>
  </si>
  <si>
    <t>N2111030172-1</t>
  </si>
  <si>
    <t>LTI-GI307167A</t>
  </si>
  <si>
    <t>SANTOSH STEEL</t>
  </si>
  <si>
    <t>22.07.22 HOLD QC - FLEK PUTIH + SLIP. OK RR BY QC</t>
  </si>
  <si>
    <t>5/23/2022, 14.07.2022</t>
  </si>
  <si>
    <t>5/23/2022, 15.07.2022</t>
  </si>
  <si>
    <t>6/6/2022, 22.07.2022</t>
  </si>
  <si>
    <t>Y210925C46-1</t>
  </si>
  <si>
    <t>LTI-GI307167B</t>
  </si>
  <si>
    <t>INDIAN STOCK 1</t>
  </si>
  <si>
    <t>CEK SLT 25.07 - OK STOCK MULTI BY QC</t>
  </si>
  <si>
    <t>6/6/2022, 17.07.2022</t>
  </si>
  <si>
    <t>K2201300211B</t>
  </si>
  <si>
    <t>GU204846A</t>
  </si>
  <si>
    <t>5/18/2022, 23.10.2022</t>
  </si>
  <si>
    <t>10/25/2022, 14.11.2022, 17.11.2022</t>
  </si>
  <si>
    <t>5/24/2022, 12.11.2022, 14.11.2022</t>
  </si>
  <si>
    <t>7/5/2022, 13.11.2022</t>
  </si>
  <si>
    <t>GXGJ-IMR-2201-1-PL</t>
  </si>
  <si>
    <t>TRHU3830103</t>
  </si>
  <si>
    <t>GU204846B</t>
  </si>
  <si>
    <t>5/24/2022, 12.11.2022</t>
  </si>
  <si>
    <t>K2201300129A</t>
  </si>
  <si>
    <t>GU204853</t>
  </si>
  <si>
    <t>CCLU2955650</t>
  </si>
  <si>
    <t>N220112AX06</t>
  </si>
  <si>
    <t>K2201300134A</t>
  </si>
  <si>
    <t>GU204855</t>
  </si>
  <si>
    <t>JASMINDO</t>
  </si>
  <si>
    <t>OOLU1575706</t>
  </si>
  <si>
    <t>K2112300303A</t>
  </si>
  <si>
    <t>GU204859</t>
  </si>
  <si>
    <t>OOLU0150456</t>
  </si>
  <si>
    <t>N211229AQ13</t>
  </si>
  <si>
    <t>K2201300117A</t>
  </si>
  <si>
    <t>GU204867</t>
  </si>
  <si>
    <t>TRHU3690193</t>
  </si>
  <si>
    <t>N220112AY13</t>
  </si>
  <si>
    <t>K2201300117B</t>
  </si>
  <si>
    <t>GU204868</t>
  </si>
  <si>
    <t>K2201300128BB</t>
  </si>
  <si>
    <t>EM204870</t>
  </si>
  <si>
    <t>INV-IMR20220111B</t>
  </si>
  <si>
    <t>K2203025239A</t>
  </si>
  <si>
    <t>EM204873</t>
  </si>
  <si>
    <t>N220301AQ10</t>
  </si>
  <si>
    <t>K2203073836B</t>
  </si>
  <si>
    <t>EM204877</t>
  </si>
  <si>
    <t>N220307AQ06</t>
  </si>
  <si>
    <t>K2203073836D</t>
  </si>
  <si>
    <t>EM204879</t>
  </si>
  <si>
    <t>K2203073841BB</t>
  </si>
  <si>
    <t>EM204883</t>
  </si>
  <si>
    <t>N220307AR07</t>
  </si>
  <si>
    <t>K2203073841BA</t>
  </si>
  <si>
    <t>EM204884</t>
  </si>
  <si>
    <t>K2203073833A</t>
  </si>
  <si>
    <t>EM204893</t>
  </si>
  <si>
    <t>N220307AV04</t>
  </si>
  <si>
    <t>WAIT MULTI</t>
  </si>
  <si>
    <t>K2203073833B</t>
  </si>
  <si>
    <t>EM204894B</t>
  </si>
  <si>
    <t>K2203070225A</t>
  </si>
  <si>
    <t>EM204898</t>
  </si>
  <si>
    <t>N220307AR01</t>
  </si>
  <si>
    <t>K2203073922B</t>
  </si>
  <si>
    <t>EM204899</t>
  </si>
  <si>
    <t>N220302AQ01</t>
  </si>
  <si>
    <t>K2203116513B</t>
  </si>
  <si>
    <t>EM204900</t>
  </si>
  <si>
    <t>N220311AT06</t>
  </si>
  <si>
    <t>K2203122021B</t>
  </si>
  <si>
    <t>EM204905</t>
  </si>
  <si>
    <t>N220311AR12</t>
  </si>
  <si>
    <t>K2203122040A</t>
  </si>
  <si>
    <t>EM204907</t>
  </si>
  <si>
    <t>N220311AT14</t>
  </si>
  <si>
    <t>K2203173641A</t>
  </si>
  <si>
    <t>GU204930</t>
  </si>
  <si>
    <t>GXGJ-IMR-2202-2-PL</t>
  </si>
  <si>
    <t>CSNU1885068</t>
  </si>
  <si>
    <t>N220307AV06</t>
  </si>
  <si>
    <t>K2203173641B</t>
  </si>
  <si>
    <t>GU204931</t>
  </si>
  <si>
    <t>CSNU1352449</t>
  </si>
  <si>
    <t>K2201300142A</t>
  </si>
  <si>
    <t>GU204938</t>
  </si>
  <si>
    <t>CBHU5858458</t>
  </si>
  <si>
    <t>N220112AX09</t>
  </si>
  <si>
    <t>K2201300142B</t>
  </si>
  <si>
    <t>GU204939</t>
  </si>
  <si>
    <t>K2112304405A</t>
  </si>
  <si>
    <t>GU204942</t>
  </si>
  <si>
    <t>CSNU165D248</t>
  </si>
  <si>
    <t>N211230AV02</t>
  </si>
  <si>
    <t>K2112304405B</t>
  </si>
  <si>
    <t>GU204943</t>
  </si>
  <si>
    <t>CBHU3974037</t>
  </si>
  <si>
    <t>K2201300120B</t>
  </si>
  <si>
    <t>GU204945</t>
  </si>
  <si>
    <t>TCLU6948167</t>
  </si>
  <si>
    <t>K2201300141A</t>
  </si>
  <si>
    <t>GU204946</t>
  </si>
  <si>
    <t>10/23/2022, 31.10.2022</t>
  </si>
  <si>
    <t>7/7/2022, 30.10.2022</t>
  </si>
  <si>
    <t>K2203173730A</t>
  </si>
  <si>
    <t>GU204954</t>
  </si>
  <si>
    <t>N220316AR15</t>
  </si>
  <si>
    <t>K2203173727B</t>
  </si>
  <si>
    <t>GU204959</t>
  </si>
  <si>
    <t>OOLU1507574</t>
  </si>
  <si>
    <t>N220306AR18</t>
  </si>
  <si>
    <t>K2203173745A</t>
  </si>
  <si>
    <t>GU204962</t>
  </si>
  <si>
    <t>GXGJ-IMR-2202-1-PL</t>
  </si>
  <si>
    <t>CSLU1575912</t>
  </si>
  <si>
    <t>N220316AQ15</t>
  </si>
  <si>
    <t>K2203173745B</t>
  </si>
  <si>
    <t>GU204963</t>
  </si>
  <si>
    <t>K2204041706A</t>
  </si>
  <si>
    <t>GU204972</t>
  </si>
  <si>
    <t>BMOU105453</t>
  </si>
  <si>
    <t>N220403AR11</t>
  </si>
  <si>
    <t>K2203122109A</t>
  </si>
  <si>
    <t>GU204974</t>
  </si>
  <si>
    <t>FCIU5217196</t>
  </si>
  <si>
    <t>N220311AR16</t>
  </si>
  <si>
    <t>K2203122109B</t>
  </si>
  <si>
    <t>GU204975</t>
  </si>
  <si>
    <t>K2203122047A</t>
  </si>
  <si>
    <t>GU204976</t>
  </si>
  <si>
    <t>OOLU0698394</t>
  </si>
  <si>
    <t>N220311AR19</t>
  </si>
  <si>
    <t>K2203122047B</t>
  </si>
  <si>
    <t>GU204977</t>
  </si>
  <si>
    <t>CBHU4488750</t>
  </si>
  <si>
    <t>K2204041719A</t>
  </si>
  <si>
    <t>GU204980</t>
  </si>
  <si>
    <t>GLDU5602172</t>
  </si>
  <si>
    <t>N220404AR01</t>
  </si>
  <si>
    <t>K2204041719B</t>
  </si>
  <si>
    <t>GU204981</t>
  </si>
  <si>
    <t>MAGU216214</t>
  </si>
  <si>
    <t>K2204041715B</t>
  </si>
  <si>
    <t>GU204983</t>
  </si>
  <si>
    <t>K2203122113B</t>
  </si>
  <si>
    <t>EM204984</t>
  </si>
  <si>
    <t>INV-IMR20220119</t>
  </si>
  <si>
    <t>TCKU3523114</t>
  </si>
  <si>
    <t>N220311AQ12</t>
  </si>
  <si>
    <t>K2203116437B</t>
  </si>
  <si>
    <t>EM204985</t>
  </si>
  <si>
    <t>CBHU4054769</t>
  </si>
  <si>
    <t>N220311AQ11</t>
  </si>
  <si>
    <t>K2203122126B</t>
  </si>
  <si>
    <t>EM204987</t>
  </si>
  <si>
    <t>FCIU4919177</t>
  </si>
  <si>
    <t>N220311AQ15</t>
  </si>
  <si>
    <t>K2203116424A</t>
  </si>
  <si>
    <t>EM204990</t>
  </si>
  <si>
    <t>K2203122121A</t>
  </si>
  <si>
    <t>EM204992</t>
  </si>
  <si>
    <t>TGBU3289485</t>
  </si>
  <si>
    <t>K2201300118AB</t>
  </si>
  <si>
    <t>EM204995</t>
  </si>
  <si>
    <t>CSNU1949291</t>
  </si>
  <si>
    <t>N220112AY14</t>
  </si>
  <si>
    <t>K2201300118BB</t>
  </si>
  <si>
    <t>EM204997</t>
  </si>
  <si>
    <t>K2204170124AA</t>
  </si>
  <si>
    <t>EM204999</t>
  </si>
  <si>
    <t>CSNU1351144</t>
  </si>
  <si>
    <t>N220416AV09</t>
  </si>
  <si>
    <t>K2204170109AB</t>
  </si>
  <si>
    <t>EM205002</t>
  </si>
  <si>
    <t>TRHU3182588</t>
  </si>
  <si>
    <t>N220416AW12</t>
  </si>
  <si>
    <t>K2204170109BA</t>
  </si>
  <si>
    <t>EM205003</t>
  </si>
  <si>
    <t>CCLU3556119</t>
  </si>
  <si>
    <t>K2205031330B</t>
  </si>
  <si>
    <t>EM205010</t>
  </si>
  <si>
    <t>N220502AT16</t>
  </si>
  <si>
    <t>K2205031345BA</t>
  </si>
  <si>
    <t>EM205013</t>
  </si>
  <si>
    <t>TLLU3115484</t>
  </si>
  <si>
    <t>N220502AT13</t>
  </si>
  <si>
    <t>K2205031345BB</t>
  </si>
  <si>
    <t>EM205015</t>
  </si>
  <si>
    <t>CSNU1925710</t>
  </si>
  <si>
    <t>K2205031443AB</t>
  </si>
  <si>
    <t>EM205018</t>
  </si>
  <si>
    <t>N220502AQ12</t>
  </si>
  <si>
    <t>K2205031443BB</t>
  </si>
  <si>
    <t>EM205019</t>
  </si>
  <si>
    <t>K2205031520AA</t>
  </si>
  <si>
    <t>EM205020</t>
  </si>
  <si>
    <t>N220502AQ10</t>
  </si>
  <si>
    <t>K2205031520BA</t>
  </si>
  <si>
    <t>EM205021</t>
  </si>
  <si>
    <t>K2205031520AB</t>
  </si>
  <si>
    <t>EM205022</t>
  </si>
  <si>
    <t>K2205031520BB</t>
  </si>
  <si>
    <t>EM205023</t>
  </si>
  <si>
    <t>K2205031514B</t>
  </si>
  <si>
    <t>EM205027</t>
  </si>
  <si>
    <t>N220502AT10</t>
  </si>
  <si>
    <t>N2203130210-2</t>
  </si>
  <si>
    <t>TI-GI307460A</t>
  </si>
  <si>
    <t>THE MAITRI METALS</t>
  </si>
  <si>
    <t>7/31/2022, 30.09.2022</t>
  </si>
  <si>
    <t>8/3/2022, 17.09.2022</t>
  </si>
  <si>
    <t>ARRIVE AT IMR 25.07.22</t>
  </si>
  <si>
    <t>GCNS22/WC02010-ARC</t>
  </si>
  <si>
    <t>Y220307D04-4</t>
  </si>
  <si>
    <t>K2205031431B</t>
  </si>
  <si>
    <t>GU205031</t>
  </si>
  <si>
    <t>GXGJ-IMR-2203-PL</t>
  </si>
  <si>
    <t>CAIU3550471</t>
  </si>
  <si>
    <t>N220502AQ13</t>
  </si>
  <si>
    <t>K2205031504A</t>
  </si>
  <si>
    <t>GU205032</t>
  </si>
  <si>
    <t>UETU2559263</t>
  </si>
  <si>
    <t>N220502AR10</t>
  </si>
  <si>
    <t>K2205082105A</t>
  </si>
  <si>
    <t>GU205036</t>
  </si>
  <si>
    <t>CBHU5934938</t>
  </si>
  <si>
    <t>N220508AV10</t>
  </si>
  <si>
    <t>K2205082045B</t>
  </si>
  <si>
    <t>GU205039</t>
  </si>
  <si>
    <t>N220508AV06</t>
  </si>
  <si>
    <t>K2205082117A</t>
  </si>
  <si>
    <t>GU205040</t>
  </si>
  <si>
    <t>SEGU3035571</t>
  </si>
  <si>
    <t>K2205082117B</t>
  </si>
  <si>
    <t>GU205041</t>
  </si>
  <si>
    <t>CSNU1862817</t>
  </si>
  <si>
    <t>K2205082012B</t>
  </si>
  <si>
    <t>GU205043</t>
  </si>
  <si>
    <t>BSIU2589896</t>
  </si>
  <si>
    <t>N220508AR03</t>
  </si>
  <si>
    <t>K2205082143A</t>
  </si>
  <si>
    <t>GU205044</t>
  </si>
  <si>
    <t>N220508AQ14</t>
  </si>
  <si>
    <t>K2205094442A</t>
  </si>
  <si>
    <t>GU205046</t>
  </si>
  <si>
    <t>FCIU4955620</t>
  </si>
  <si>
    <t>N220508AR06</t>
  </si>
  <si>
    <t>K2205094442B</t>
  </si>
  <si>
    <t>GU205047</t>
  </si>
  <si>
    <t>FTAU147320</t>
  </si>
  <si>
    <t>K2205094438A</t>
  </si>
  <si>
    <t>GU205048</t>
  </si>
  <si>
    <t>CSLU1673550</t>
  </si>
  <si>
    <t>N220508AQ06</t>
  </si>
  <si>
    <t>K2205094438B</t>
  </si>
  <si>
    <t>GU205049</t>
  </si>
  <si>
    <t>K2205082008A</t>
  </si>
  <si>
    <t>GU205050</t>
  </si>
  <si>
    <t>CCLU3969935</t>
  </si>
  <si>
    <t>N220508AQ03</t>
  </si>
  <si>
    <t>K2205082008B</t>
  </si>
  <si>
    <t>GU205051</t>
  </si>
  <si>
    <t>CBHU5817314</t>
  </si>
  <si>
    <t>K2205220102A</t>
  </si>
  <si>
    <t>GU205052</t>
  </si>
  <si>
    <t>TEMU3410961</t>
  </si>
  <si>
    <t>N220520AR10</t>
  </si>
  <si>
    <t>K2205220102B</t>
  </si>
  <si>
    <t>GU205053</t>
  </si>
  <si>
    <t>TLLU3061979</t>
  </si>
  <si>
    <t>N2112270941-1</t>
  </si>
  <si>
    <t>LTI-GI307533C</t>
  </si>
  <si>
    <t>JAYAMAS MEDICA</t>
  </si>
  <si>
    <t>HOLD QC - DENT PITTING</t>
  </si>
  <si>
    <t>ARRIVE AT IMR 08.08.22</t>
  </si>
  <si>
    <t>GCNS22/WC03006-ARC</t>
  </si>
  <si>
    <t>Y211224B23-4</t>
  </si>
  <si>
    <t>N2201100431-1</t>
  </si>
  <si>
    <t>LTI-GI307561</t>
  </si>
  <si>
    <t>TBS STOCK</t>
  </si>
  <si>
    <t>POTONG SAMPLE FOR COMPLAIN. BY MANAGEMNT OK DIVERT STOCK 0.40 mm</t>
  </si>
  <si>
    <t>8/4/2022, 10.08.2022</t>
  </si>
  <si>
    <t>8/10/2022, 08.09.2022, 28.09.2022</t>
  </si>
  <si>
    <t>ARRIVE AT IMR 02.08.22</t>
  </si>
  <si>
    <t>Y211127C30-5</t>
  </si>
  <si>
    <t>K2205215407A</t>
  </si>
  <si>
    <t>FF205071</t>
  </si>
  <si>
    <t>FOSHAN FIRSTGRADE TRADING CO.,LTD</t>
  </si>
  <si>
    <t>INV-IMR20220422</t>
  </si>
  <si>
    <t>N220516AQ13</t>
  </si>
  <si>
    <t>K2205215407B</t>
  </si>
  <si>
    <t>FF205072</t>
  </si>
  <si>
    <t>K2205213732A</t>
  </si>
  <si>
    <t>FF205073</t>
  </si>
  <si>
    <t>K2205213732B</t>
  </si>
  <si>
    <t>FF205074</t>
  </si>
  <si>
    <t>K2205213721A</t>
  </si>
  <si>
    <t>FF205075</t>
  </si>
  <si>
    <t>N220520AR07</t>
  </si>
  <si>
    <t>K2205213721B</t>
  </si>
  <si>
    <t>FF205076</t>
  </si>
  <si>
    <t>K2205213806A</t>
  </si>
  <si>
    <t>FF205077</t>
  </si>
  <si>
    <t>N220520AR09</t>
  </si>
  <si>
    <t>K2205213806B</t>
  </si>
  <si>
    <t>FF205078</t>
  </si>
  <si>
    <t>K2205213714A</t>
  </si>
  <si>
    <t>FF205079</t>
  </si>
  <si>
    <t>N220520AT02</t>
  </si>
  <si>
    <t>K2205213714B</t>
  </si>
  <si>
    <t>FF205080</t>
  </si>
  <si>
    <t>K2205213718B</t>
  </si>
  <si>
    <t>FF205082</t>
  </si>
  <si>
    <t>N220520AR06</t>
  </si>
  <si>
    <t>K2205215440B</t>
  </si>
  <si>
    <t>FF205083</t>
  </si>
  <si>
    <t>N220515AQ19</t>
  </si>
  <si>
    <t>K2205215447A</t>
  </si>
  <si>
    <t>FF205084</t>
  </si>
  <si>
    <t>N220520AQ04</t>
  </si>
  <si>
    <t>K2205215447B</t>
  </si>
  <si>
    <t>FF205085</t>
  </si>
  <si>
    <t>K2205215425A</t>
  </si>
  <si>
    <t>FF205086</t>
  </si>
  <si>
    <t>N220520AR12</t>
  </si>
  <si>
    <t>K2205215425B</t>
  </si>
  <si>
    <t>FF205087</t>
  </si>
  <si>
    <t>K2205215432BB</t>
  </si>
  <si>
    <t>FF205088</t>
  </si>
  <si>
    <t>N220520AX06</t>
  </si>
  <si>
    <t>K2205215432AB</t>
  </si>
  <si>
    <t>FF205089</t>
  </si>
  <si>
    <t>K2205215432BA</t>
  </si>
  <si>
    <t>FF205090</t>
  </si>
  <si>
    <t>K2205215432AA</t>
  </si>
  <si>
    <t>FF205091</t>
  </si>
  <si>
    <t>K2205215438AB</t>
  </si>
  <si>
    <t>FF205092</t>
  </si>
  <si>
    <t>N220516AR11</t>
  </si>
  <si>
    <t>K2205215438AA</t>
  </si>
  <si>
    <t>FF205093</t>
  </si>
  <si>
    <t>K2205215438BA</t>
  </si>
  <si>
    <t>FF205094</t>
  </si>
  <si>
    <t>K2205215438BB</t>
  </si>
  <si>
    <t>FF205095</t>
  </si>
  <si>
    <t>K2205215417AA</t>
  </si>
  <si>
    <t>FF205096</t>
  </si>
  <si>
    <t>N220520AT05</t>
  </si>
  <si>
    <t>K2205215417AB</t>
  </si>
  <si>
    <t>FF205097</t>
  </si>
  <si>
    <t>K2205215417BA</t>
  </si>
  <si>
    <t>FF205098</t>
  </si>
  <si>
    <t>K2205215415B</t>
  </si>
  <si>
    <t>FF205101</t>
  </si>
  <si>
    <t>N220519AQ16</t>
  </si>
  <si>
    <t>KH2205241101A</t>
  </si>
  <si>
    <t>FF205102</t>
  </si>
  <si>
    <t>N220516AQ11</t>
  </si>
  <si>
    <t>KH2205241101B</t>
  </si>
  <si>
    <t>FF205103</t>
  </si>
  <si>
    <t>K2206042226A</t>
  </si>
  <si>
    <t>FF205104</t>
  </si>
  <si>
    <t>N220603AR15</t>
  </si>
  <si>
    <t>K2206042226B</t>
  </si>
  <si>
    <t>FF205105</t>
  </si>
  <si>
    <t>K2206024202D</t>
  </si>
  <si>
    <t>EM205106</t>
  </si>
  <si>
    <t>INV-IMR20220303A</t>
  </si>
  <si>
    <t>K2206054214A</t>
  </si>
  <si>
    <t>EM205107</t>
  </si>
  <si>
    <t>N220603AQ02</t>
  </si>
  <si>
    <t>K2206054214B</t>
  </si>
  <si>
    <t>EM205108</t>
  </si>
  <si>
    <t>REPAIR GULUNG ULANG - MATERIAL JATUH</t>
  </si>
  <si>
    <t>K2206054214C</t>
  </si>
  <si>
    <t>EM205109</t>
  </si>
  <si>
    <t>K2206054214D</t>
  </si>
  <si>
    <t>EM205110</t>
  </si>
  <si>
    <t>K2206054237A</t>
  </si>
  <si>
    <t>EM205111</t>
  </si>
  <si>
    <t>N220603AR17</t>
  </si>
  <si>
    <t>K2206054237B</t>
  </si>
  <si>
    <t>EM205112</t>
  </si>
  <si>
    <t>K2206054237C</t>
  </si>
  <si>
    <t>EM205113</t>
  </si>
  <si>
    <t>K2206143517A</t>
  </si>
  <si>
    <t>EM205114</t>
  </si>
  <si>
    <t>N220614AR04</t>
  </si>
  <si>
    <t>K2205031443C</t>
  </si>
  <si>
    <t>EM205116</t>
  </si>
  <si>
    <t>K2206042204B</t>
  </si>
  <si>
    <t>EM205118</t>
  </si>
  <si>
    <t>N220604AQ03</t>
  </si>
  <si>
    <t>K2206094118A</t>
  </si>
  <si>
    <t>EM205120</t>
  </si>
  <si>
    <t>N220608AT01</t>
  </si>
  <si>
    <t>K2206094118B</t>
  </si>
  <si>
    <t>EM205121B</t>
  </si>
  <si>
    <t>CHECK - ROLL MARK</t>
  </si>
  <si>
    <t>K2206094132B</t>
  </si>
  <si>
    <t>EM205122</t>
  </si>
  <si>
    <t>N220608AR14</t>
  </si>
  <si>
    <t>K2206024202A</t>
  </si>
  <si>
    <t>EM205123</t>
  </si>
  <si>
    <t>K2206084412A</t>
  </si>
  <si>
    <t>EM205126</t>
  </si>
  <si>
    <t>K2206084349B</t>
  </si>
  <si>
    <t>EM205129C</t>
  </si>
  <si>
    <t>N220604AR06</t>
  </si>
  <si>
    <t>K2206054234A</t>
  </si>
  <si>
    <t>EM205132</t>
  </si>
  <si>
    <t>N220603AR02</t>
  </si>
  <si>
    <t>K2206054234B</t>
  </si>
  <si>
    <t>EM205133</t>
  </si>
  <si>
    <t>K2206024227A</t>
  </si>
  <si>
    <t>EM205134</t>
  </si>
  <si>
    <t>N220416AV07</t>
  </si>
  <si>
    <t>K2206024227B</t>
  </si>
  <si>
    <t>EM205135</t>
  </si>
  <si>
    <t>K2206243536A</t>
  </si>
  <si>
    <t>EM205137</t>
  </si>
  <si>
    <t>N220624AR01</t>
  </si>
  <si>
    <t>K2206206505B</t>
  </si>
  <si>
    <t>EM205139</t>
  </si>
  <si>
    <t>N220620AV05</t>
  </si>
  <si>
    <t>K2206024208B</t>
  </si>
  <si>
    <t>EM205140</t>
  </si>
  <si>
    <t>K2205161201B</t>
  </si>
  <si>
    <t>EM205141</t>
  </si>
  <si>
    <t>N220516AW09</t>
  </si>
  <si>
    <t>N2201100443-1</t>
  </si>
  <si>
    <t>LTI-GI307631B</t>
  </si>
  <si>
    <t>ICPPL</t>
  </si>
  <si>
    <t>9/3/2022, 20.09.2022</t>
  </si>
  <si>
    <t>9/3/2022, 29.09.2022</t>
  </si>
  <si>
    <t>9/5/2022, 05.10.2022</t>
  </si>
  <si>
    <t>ARRIVE AT IMR 24.08.22</t>
  </si>
  <si>
    <t>GCNS22/WC04007-ARC</t>
  </si>
  <si>
    <t>Y211129C29-1</t>
  </si>
  <si>
    <t>N2201140622-1</t>
  </si>
  <si>
    <t>LTI-GI307643B</t>
  </si>
  <si>
    <t>9/3/2022, 05.11.2022</t>
  </si>
  <si>
    <t>9/14/2022, 25.10.2022</t>
  </si>
  <si>
    <t>Y211116B29-1</t>
  </si>
  <si>
    <t>N2201140616-2</t>
  </si>
  <si>
    <t>LTI-GI307672B</t>
  </si>
  <si>
    <t>OK RR BY QC</t>
  </si>
  <si>
    <t>9/6/2022, 23.11.2022</t>
  </si>
  <si>
    <t>9/10/2022, 04.12.2022</t>
  </si>
  <si>
    <t>9/12/2022, 05.12.2022</t>
  </si>
  <si>
    <t>Y211103D05-1</t>
  </si>
  <si>
    <t>N2201100509-1</t>
  </si>
  <si>
    <t>LTI-GI307693C3</t>
  </si>
  <si>
    <t>9/6/2022, 01.11.2022, 08.11.2022, 09.11.2022</t>
  </si>
  <si>
    <t>9/6/2022, 05.11.2022, 08.11.2022, 09.11.2022</t>
  </si>
  <si>
    <t>9/12/2022, 07.11.2022, 09.11.2022</t>
  </si>
  <si>
    <t>9/13/2022, 31.10.2022, 11.11.2022</t>
  </si>
  <si>
    <t>ARRIVE AT IMR 03.09.22</t>
  </si>
  <si>
    <t>Y211106C09-4</t>
  </si>
  <si>
    <t>RR ALLOCATED</t>
  </si>
  <si>
    <t>LTI-GI307693C</t>
  </si>
  <si>
    <t>JEIL INDUSTRIAL</t>
  </si>
  <si>
    <t>9/6/2022, 05.11.2022, 08.11.2022</t>
  </si>
  <si>
    <t>9/13/2022, 31.10.2022</t>
  </si>
  <si>
    <t>N2203170415-1</t>
  </si>
  <si>
    <t>LTI-GI307797</t>
  </si>
  <si>
    <t>ARRIVE AT IMR 18.08.22</t>
  </si>
  <si>
    <t>Y220115A11-5</t>
  </si>
  <si>
    <t>K2207110206A</t>
  </si>
  <si>
    <t>EM205145</t>
  </si>
  <si>
    <t>INV-IMR20220303B</t>
  </si>
  <si>
    <t>DFSU1235889</t>
  </si>
  <si>
    <t>N220708AQ16</t>
  </si>
  <si>
    <t>K2207110206B</t>
  </si>
  <si>
    <t>EM205146</t>
  </si>
  <si>
    <t>TEMU2779554</t>
  </si>
  <si>
    <t>K2207110249B</t>
  </si>
  <si>
    <t>EM205148</t>
  </si>
  <si>
    <t>UETU2558668</t>
  </si>
  <si>
    <t>N220708AT03</t>
  </si>
  <si>
    <t>K2207110247A</t>
  </si>
  <si>
    <t>EM205149</t>
  </si>
  <si>
    <t>CSNU1536657</t>
  </si>
  <si>
    <t>N220708AR08</t>
  </si>
  <si>
    <t>K2207110247B</t>
  </si>
  <si>
    <t>EM205150</t>
  </si>
  <si>
    <t>TEMU3094816</t>
  </si>
  <si>
    <t>K2206243513B</t>
  </si>
  <si>
    <t>EM205151</t>
  </si>
  <si>
    <t>N220624AV06</t>
  </si>
  <si>
    <t>K2206243604A</t>
  </si>
  <si>
    <t>EM205152</t>
  </si>
  <si>
    <t>DFSU1079847</t>
  </si>
  <si>
    <t>N220620AQ02</t>
  </si>
  <si>
    <t>K2206243614A</t>
  </si>
  <si>
    <t>EM205154</t>
  </si>
  <si>
    <t>CSLU2315519</t>
  </si>
  <si>
    <t>N220619AT14</t>
  </si>
  <si>
    <t>K2206243614B</t>
  </si>
  <si>
    <t>EM205155</t>
  </si>
  <si>
    <t>K2206243514B</t>
  </si>
  <si>
    <t>EM205156</t>
  </si>
  <si>
    <t>OOLU2195439</t>
  </si>
  <si>
    <t>N220624AR06</t>
  </si>
  <si>
    <t>K2206243517A</t>
  </si>
  <si>
    <t>EM205158</t>
  </si>
  <si>
    <t>UETU2318760</t>
  </si>
  <si>
    <t>N220619AQ15</t>
  </si>
  <si>
    <t>K2206243517B</t>
  </si>
  <si>
    <t>EM205159</t>
  </si>
  <si>
    <t>CBHU4249122</t>
  </si>
  <si>
    <t>K2206251503A</t>
  </si>
  <si>
    <t>EM205160</t>
  </si>
  <si>
    <t>DFSU1790140</t>
  </si>
  <si>
    <t>N220614AR06</t>
  </si>
  <si>
    <t>KH2205241103B</t>
  </si>
  <si>
    <t>EM205161</t>
  </si>
  <si>
    <t>N220516AQ05</t>
  </si>
  <si>
    <t>K2206251404A</t>
  </si>
  <si>
    <t>EM205162</t>
  </si>
  <si>
    <t>N220623AR16</t>
  </si>
  <si>
    <t>K2206251404B</t>
  </si>
  <si>
    <t>EM205163</t>
  </si>
  <si>
    <t>K2206251404C</t>
  </si>
  <si>
    <t>EM205164</t>
  </si>
  <si>
    <t>K2206251404D</t>
  </si>
  <si>
    <t>EM205165</t>
  </si>
  <si>
    <t>K2207110235A</t>
  </si>
  <si>
    <t>EM205166</t>
  </si>
  <si>
    <t>FCIU5527036</t>
  </si>
  <si>
    <t>N220708AR09</t>
  </si>
  <si>
    <t>K2207110235B</t>
  </si>
  <si>
    <t>EM205167</t>
  </si>
  <si>
    <t>K2207110235C</t>
  </si>
  <si>
    <t>EM205168</t>
  </si>
  <si>
    <t>K2207110235D</t>
  </si>
  <si>
    <t>EM205169</t>
  </si>
  <si>
    <t>K2207033306A</t>
  </si>
  <si>
    <t>EM205170</t>
  </si>
  <si>
    <t>N220624AT05</t>
  </si>
  <si>
    <t>K2207033306B</t>
  </si>
  <si>
    <t>EM205171</t>
  </si>
  <si>
    <t>K2206251202A</t>
  </si>
  <si>
    <t>EM205172</t>
  </si>
  <si>
    <t>N220624AV05</t>
  </si>
  <si>
    <t>K2206251202B</t>
  </si>
  <si>
    <t>EM205173</t>
  </si>
  <si>
    <t>K2206251202C</t>
  </si>
  <si>
    <t>EM205174</t>
  </si>
  <si>
    <t>K2206251202D</t>
  </si>
  <si>
    <t>EM205175</t>
  </si>
  <si>
    <t>K2206054237D</t>
  </si>
  <si>
    <t>EM205176</t>
  </si>
  <si>
    <t>K2207092002A</t>
  </si>
  <si>
    <t>GU205178C</t>
  </si>
  <si>
    <t>GXGJ-IMR-2205-PL</t>
  </si>
  <si>
    <t>EITU3032330</t>
  </si>
  <si>
    <t>N220708AQ11</t>
  </si>
  <si>
    <t>K2207092001A</t>
  </si>
  <si>
    <t>GU205180</t>
  </si>
  <si>
    <t>N220708AT11</t>
  </si>
  <si>
    <t>K2207092001B</t>
  </si>
  <si>
    <t>GU205181</t>
  </si>
  <si>
    <t>EGHU3721831</t>
  </si>
  <si>
    <t>N2208060617</t>
  </si>
  <si>
    <t>TI-GI307818A1</t>
  </si>
  <si>
    <t>SHAH FOILS</t>
  </si>
  <si>
    <t>ARRIVE AT IMR 30.12.22</t>
  </si>
  <si>
    <t>GCNS22/WC07008-ARC</t>
  </si>
  <si>
    <t>Y220802A22-1</t>
  </si>
  <si>
    <t>TI-GI307818A2</t>
  </si>
  <si>
    <t>TI-GI307818B</t>
  </si>
  <si>
    <t>HOLD  - BOTTOM SCRATH</t>
  </si>
  <si>
    <t>1/2/2023, 28.01.2023</t>
  </si>
  <si>
    <t>N2208060510</t>
  </si>
  <si>
    <t>TI-GI307820</t>
  </si>
  <si>
    <t>ARRIVE AT IMR  12.01.23</t>
  </si>
  <si>
    <t>Y220803B24-3</t>
  </si>
  <si>
    <t>N2208060508</t>
  </si>
  <si>
    <t>TI-GI307821</t>
  </si>
  <si>
    <t>Y220803B26-1</t>
  </si>
  <si>
    <t>N2208060511</t>
  </si>
  <si>
    <t>TI-GI307822</t>
  </si>
  <si>
    <t>Y220803B51-5</t>
  </si>
  <si>
    <t>N2208060507</t>
  </si>
  <si>
    <t>TI-GI307825</t>
  </si>
  <si>
    <t>Y220731C65-3</t>
  </si>
  <si>
    <t>N2208050123</t>
  </si>
  <si>
    <t>TI-GI307826</t>
  </si>
  <si>
    <t>Y220722D06-3</t>
  </si>
  <si>
    <t>N2208110781</t>
  </si>
  <si>
    <t>GI360311A</t>
  </si>
  <si>
    <t>INOX IMPORTERS</t>
  </si>
  <si>
    <t>11/3/2022, 07.12.2022</t>
  </si>
  <si>
    <t>12/6/2022, 25.01.2023</t>
  </si>
  <si>
    <t>11/3/2022, 12.01.2023, 29.01.2023</t>
  </si>
  <si>
    <t>ARRIVE AT IMR 17.10.22</t>
  </si>
  <si>
    <t>Y220804A03-3</t>
  </si>
  <si>
    <t>N2205230815-1</t>
  </si>
  <si>
    <t>TI-GI307868B</t>
  </si>
  <si>
    <t>ARRIVE AT IMR 09.09.22</t>
  </si>
  <si>
    <t>GCNS22/WC07005-ARC</t>
  </si>
  <si>
    <t>Y220307D16-1</t>
  </si>
  <si>
    <t>N2204190721-2</t>
  </si>
  <si>
    <t>LTI-GI307748B</t>
  </si>
  <si>
    <t>Y220328C21-5</t>
  </si>
  <si>
    <t>N2204130311-2</t>
  </si>
  <si>
    <t>LTI-GI307985A1</t>
  </si>
  <si>
    <t>SKM STEEL</t>
  </si>
  <si>
    <t>9/19/2022, 06.12.2022</t>
  </si>
  <si>
    <t>9/19/2022, 10.12.2022</t>
  </si>
  <si>
    <t>9/30/2022, 20.12.2022</t>
  </si>
  <si>
    <t>ARRIVE AT IMR 14.09.22</t>
  </si>
  <si>
    <t>GCNS22/WC07004-ARC</t>
  </si>
  <si>
    <t>Y220129D16-3</t>
  </si>
  <si>
    <t>QLZ21K06378A</t>
  </si>
  <si>
    <t>LTI-GI306842A</t>
  </si>
  <si>
    <t>ARRIVE AT IMR 29.06.22 - RETUR MATERIAL ASURANSI EX WEBCO</t>
  </si>
  <si>
    <t>PT INDONESIA RUIPU NICKEL AND CHROME ALLOY</t>
  </si>
  <si>
    <t>IRNC21/CC08006-ARC</t>
  </si>
  <si>
    <t>Y211005C42-4</t>
  </si>
  <si>
    <t>K2208022414B</t>
  </si>
  <si>
    <t>FF205182</t>
  </si>
  <si>
    <t>INV-IMR20220531</t>
  </si>
  <si>
    <t>TEMU5541678</t>
  </si>
  <si>
    <t>N220802AR04</t>
  </si>
  <si>
    <t>K2208022415B</t>
  </si>
  <si>
    <t>FF205183</t>
  </si>
  <si>
    <t>N220802AQ05</t>
  </si>
  <si>
    <t>K2208022407B</t>
  </si>
  <si>
    <t>FF205184</t>
  </si>
  <si>
    <t>CMAU2160194</t>
  </si>
  <si>
    <t>N220801AQ15</t>
  </si>
  <si>
    <t>K2208022410B</t>
  </si>
  <si>
    <t>FF205185</t>
  </si>
  <si>
    <t>CMAU1458456</t>
  </si>
  <si>
    <t>N220802AQ04</t>
  </si>
  <si>
    <t>K2208022423B</t>
  </si>
  <si>
    <t>FF205186</t>
  </si>
  <si>
    <t>TRLU3842463</t>
  </si>
  <si>
    <t>N220802AR06</t>
  </si>
  <si>
    <t>K2208040606B</t>
  </si>
  <si>
    <t>FF205187</t>
  </si>
  <si>
    <t>APZU3258528</t>
  </si>
  <si>
    <t>N220801AQ10</t>
  </si>
  <si>
    <t>K2208022424B</t>
  </si>
  <si>
    <t>FF205188</t>
  </si>
  <si>
    <t>TEMU5178500</t>
  </si>
  <si>
    <t>K2207252107B</t>
  </si>
  <si>
    <t>FF205189</t>
  </si>
  <si>
    <t>N220724AQ14</t>
  </si>
  <si>
    <t>K2206243539B</t>
  </si>
  <si>
    <t>FF205190</t>
  </si>
  <si>
    <t>N220624AQ02</t>
  </si>
  <si>
    <t>K2206143508B</t>
  </si>
  <si>
    <t>FF205191</t>
  </si>
  <si>
    <t>TTNU1154122</t>
  </si>
  <si>
    <t>N220614AV06</t>
  </si>
  <si>
    <t>K2207033303AA</t>
  </si>
  <si>
    <t>FF205192</t>
  </si>
  <si>
    <t>K2207033303AB</t>
  </si>
  <si>
    <t>FF205193</t>
  </si>
  <si>
    <t>K2207033303BA</t>
  </si>
  <si>
    <t>FF205194</t>
  </si>
  <si>
    <t>TCKU3562770</t>
  </si>
  <si>
    <t>K2207033303BB</t>
  </si>
  <si>
    <t>FF205195</t>
  </si>
  <si>
    <t>TEMU0949991</t>
  </si>
  <si>
    <t>K2208022445AA</t>
  </si>
  <si>
    <t>FF205196</t>
  </si>
  <si>
    <t>N220801AQ16</t>
  </si>
  <si>
    <t>K2208022445AB</t>
  </si>
  <si>
    <t>FF205197</t>
  </si>
  <si>
    <t>CMAU0942450</t>
  </si>
  <si>
    <t>K2208022445BA</t>
  </si>
  <si>
    <t>FF205198</t>
  </si>
  <si>
    <t>CMAU0820215</t>
  </si>
  <si>
    <t>K2208022445BB</t>
  </si>
  <si>
    <t>FF205199</t>
  </si>
  <si>
    <t>GESU1351914</t>
  </si>
  <si>
    <t>K2208121619B</t>
  </si>
  <si>
    <t>FF205200</t>
  </si>
  <si>
    <t>N220811AQ03</t>
  </si>
  <si>
    <t>K220812310AA</t>
  </si>
  <si>
    <t>FF205201</t>
  </si>
  <si>
    <t>N220811AT04</t>
  </si>
  <si>
    <t>K2208121310AB</t>
  </si>
  <si>
    <t>FF205202</t>
  </si>
  <si>
    <t>K2208121310BA</t>
  </si>
  <si>
    <t>FF205203</t>
  </si>
  <si>
    <t>K2208121310BB</t>
  </si>
  <si>
    <t>FF205204</t>
  </si>
  <si>
    <t>K2208206801A</t>
  </si>
  <si>
    <t>FF205205</t>
  </si>
  <si>
    <t>N220811AT06</t>
  </si>
  <si>
    <t>K2208206801B</t>
  </si>
  <si>
    <t>FF205206</t>
  </si>
  <si>
    <t>K2206084317B</t>
  </si>
  <si>
    <t>FF205207</t>
  </si>
  <si>
    <t>N220608AT02</t>
  </si>
  <si>
    <t>K2207252147B</t>
  </si>
  <si>
    <t>FF205208</t>
  </si>
  <si>
    <t>N220724AT14</t>
  </si>
  <si>
    <t>K2206243547B</t>
  </si>
  <si>
    <t>FF205209</t>
  </si>
  <si>
    <t>N220620AR05</t>
  </si>
  <si>
    <t>K2206251505B</t>
  </si>
  <si>
    <t>FF205210</t>
  </si>
  <si>
    <t>N220613AQ15</t>
  </si>
  <si>
    <t>K2207252247B</t>
  </si>
  <si>
    <t>FF205211</t>
  </si>
  <si>
    <t>N220724AQ18</t>
  </si>
  <si>
    <t>K2207250124B</t>
  </si>
  <si>
    <t>FF205212</t>
  </si>
  <si>
    <t>N220724AR14</t>
  </si>
  <si>
    <t>K2207250124A</t>
  </si>
  <si>
    <t>FF205213</t>
  </si>
  <si>
    <t>K2206206612B</t>
  </si>
  <si>
    <t>FF205214</t>
  </si>
  <si>
    <t>N220620AR03</t>
  </si>
  <si>
    <t>K2208022333B</t>
  </si>
  <si>
    <t>FF205215</t>
  </si>
  <si>
    <t>N220801AQ11</t>
  </si>
  <si>
    <t>K2206024212B</t>
  </si>
  <si>
    <t>FF205217</t>
  </si>
  <si>
    <t>N220516AT10</t>
  </si>
  <si>
    <t>N2208300210</t>
  </si>
  <si>
    <t>LTI-GI308034A</t>
  </si>
  <si>
    <t>TBS METALS</t>
  </si>
  <si>
    <t>ARRIVE AT IMR 05.01.23</t>
  </si>
  <si>
    <t>GCNS22/WC08009-ARC</t>
  </si>
  <si>
    <t>Y220627C20-1</t>
  </si>
  <si>
    <t>LTI-GI308034B</t>
  </si>
  <si>
    <t>N2208300311</t>
  </si>
  <si>
    <t>LTI-GI308035A</t>
  </si>
  <si>
    <t>SKM STEELS</t>
  </si>
  <si>
    <t>Y220626C14-3</t>
  </si>
  <si>
    <t>N2208300213</t>
  </si>
  <si>
    <t>LTI-GI308037A</t>
  </si>
  <si>
    <t>Y220626C01-2</t>
  </si>
  <si>
    <t>LTI-GI308037B</t>
  </si>
  <si>
    <t>N2208300312</t>
  </si>
  <si>
    <t>LTI-GI308038A</t>
  </si>
  <si>
    <t>Y220627D11-2</t>
  </si>
  <si>
    <t>N2208300307</t>
  </si>
  <si>
    <t>LTI-GI308039B</t>
  </si>
  <si>
    <t>SKM STEEL+THE MAITRI</t>
  </si>
  <si>
    <t>Y220626D05-6</t>
  </si>
  <si>
    <t>N2208300215</t>
  </si>
  <si>
    <t>LTI-GI308042A</t>
  </si>
  <si>
    <t>Y220506D54-6</t>
  </si>
  <si>
    <t>LTI-GI308042B</t>
  </si>
  <si>
    <t>N2208300308</t>
  </si>
  <si>
    <t>LTI-GI308043A</t>
  </si>
  <si>
    <t>Y220626D03-1</t>
  </si>
  <si>
    <t>LTI-GI308043B</t>
  </si>
  <si>
    <t>N2208300212</t>
  </si>
  <si>
    <t>LTI-GI308044A</t>
  </si>
  <si>
    <t>THE MAITRI METALS+SKM STAINLESS</t>
  </si>
  <si>
    <t>Y220626D07-3</t>
  </si>
  <si>
    <t>LTI-GI308044B3</t>
  </si>
  <si>
    <t>STOCK OKRR</t>
  </si>
  <si>
    <t>NEMINATH IMPEX</t>
  </si>
  <si>
    <t>N2208300305</t>
  </si>
  <si>
    <t>LTI-GI308045A</t>
  </si>
  <si>
    <t>Y220627D06-6</t>
  </si>
  <si>
    <t>N2208300301</t>
  </si>
  <si>
    <t>LTI-GI308046A2</t>
  </si>
  <si>
    <t>RAMDEV IMPEX</t>
  </si>
  <si>
    <t>1/9/2023, 28.01.2023</t>
  </si>
  <si>
    <t>Y220627D06-2</t>
  </si>
  <si>
    <t>LTI-GI308046B</t>
  </si>
  <si>
    <t>RAMDEV IMPEX+THE MAITRI METALS</t>
  </si>
  <si>
    <t>N2208300304</t>
  </si>
  <si>
    <t>LTI-GI308047A</t>
  </si>
  <si>
    <t>Y220627D07-4</t>
  </si>
  <si>
    <t>LTI-GI308047B1</t>
  </si>
  <si>
    <t>STOCK BABY COIL</t>
  </si>
  <si>
    <t>PUTUS DARI MILL</t>
  </si>
  <si>
    <t>LTI-GI308047B2</t>
  </si>
  <si>
    <t>N2208300302</t>
  </si>
  <si>
    <t>LTI-GI308048B2</t>
  </si>
  <si>
    <t>Y220627D06-5</t>
  </si>
  <si>
    <t>N2208300303</t>
  </si>
  <si>
    <t>LTI-GI308049A</t>
  </si>
  <si>
    <t>Y220627D13-3</t>
  </si>
  <si>
    <t>LTI-GI308049B</t>
  </si>
  <si>
    <t>N2208300306</t>
  </si>
  <si>
    <t>LTI-GI308050A</t>
  </si>
  <si>
    <t>Y220424C07-2</t>
  </si>
  <si>
    <t>LTI-GI308050B</t>
  </si>
  <si>
    <t>N2208300315</t>
  </si>
  <si>
    <t>LTI-GI308051A</t>
  </si>
  <si>
    <t>RAMDEV IMPEX+TBS METAL</t>
  </si>
  <si>
    <t>Y220626C23-5</t>
  </si>
  <si>
    <t>N2208300310</t>
  </si>
  <si>
    <t>LTI-GI308052B1</t>
  </si>
  <si>
    <t>Y220628D04-1</t>
  </si>
  <si>
    <t>N2207290317</t>
  </si>
  <si>
    <t>LTI-GI308054B</t>
  </si>
  <si>
    <t>Y220611A08-1</t>
  </si>
  <si>
    <t>N2206260122</t>
  </si>
  <si>
    <t>LTI-GI308055A</t>
  </si>
  <si>
    <t>Y220520E52-6</t>
  </si>
  <si>
    <t>N2208210605-1</t>
  </si>
  <si>
    <t>TI-GI308855B</t>
  </si>
  <si>
    <t>GCNS22/WC1007-ARC</t>
  </si>
  <si>
    <t>Y220713E50-1</t>
  </si>
  <si>
    <t>N2208300136</t>
  </si>
  <si>
    <t>LTI-GI308056A1</t>
  </si>
  <si>
    <t>Y220316A30-4</t>
  </si>
  <si>
    <t>LTI-GI308056A2</t>
  </si>
  <si>
    <t>N2111090250-1</t>
  </si>
  <si>
    <t>TI-GI308061</t>
  </si>
  <si>
    <t>SUNCITY SHEETS</t>
  </si>
  <si>
    <t>ARRIVE AT IMR 25.01.23</t>
  </si>
  <si>
    <t>GCNS22/WC07022-ARC</t>
  </si>
  <si>
    <t>Y211029C02-2</t>
  </si>
  <si>
    <t>N2111090250-2</t>
  </si>
  <si>
    <t>TI-GI308062</t>
  </si>
  <si>
    <t>N2111090101-1</t>
  </si>
  <si>
    <t>TI-GI308063</t>
  </si>
  <si>
    <t>Y211027D14-2</t>
  </si>
  <si>
    <t>N2111090101-2</t>
  </si>
  <si>
    <t>TI-GI308064</t>
  </si>
  <si>
    <t>N2203170709-1</t>
  </si>
  <si>
    <t>LTI-GI308067</t>
  </si>
  <si>
    <t>ARRIVE AT IMR 16.01.23</t>
  </si>
  <si>
    <t>Y220106D10-1</t>
  </si>
  <si>
    <t>N2203170709-2</t>
  </si>
  <si>
    <t>LTI-GI308068B</t>
  </si>
  <si>
    <t>ARRIVE AT IMR 03.12.22</t>
  </si>
  <si>
    <t>N2204200140-1</t>
  </si>
  <si>
    <t>LTI-GI308069</t>
  </si>
  <si>
    <t>Y220321E46-1</t>
  </si>
  <si>
    <t>N2205040409-1</t>
  </si>
  <si>
    <t>LTI-GI308071A</t>
  </si>
  <si>
    <t>Y220428D52-5</t>
  </si>
  <si>
    <t>LTI-GI308071B</t>
  </si>
  <si>
    <t>N2204290307-1</t>
  </si>
  <si>
    <t>TI-GI308073</t>
  </si>
  <si>
    <t>ARRIVE AT IMR 12.12.22</t>
  </si>
  <si>
    <t>Y220426C47-5</t>
  </si>
  <si>
    <t>N2204290307-2</t>
  </si>
  <si>
    <t>TI-GI308074</t>
  </si>
  <si>
    <t>N2203170714-1</t>
  </si>
  <si>
    <t>LTI-GI308075</t>
  </si>
  <si>
    <t>Y220225D50-1</t>
  </si>
  <si>
    <t>N2203190321-1</t>
  </si>
  <si>
    <t>LTI-GI308087</t>
  </si>
  <si>
    <t>Y211030C07-4</t>
  </si>
  <si>
    <t>N2201100529-1</t>
  </si>
  <si>
    <t>LTI-GI308093</t>
  </si>
  <si>
    <t>SHREE ASHAPURA</t>
  </si>
  <si>
    <t>Y211104D26-5</t>
  </si>
  <si>
    <t>N2204200113-1</t>
  </si>
  <si>
    <t>LTI-GI308095</t>
  </si>
  <si>
    <t>Y220311C22-1</t>
  </si>
  <si>
    <t>N2204200113-2</t>
  </si>
  <si>
    <t>LTI-GI308096</t>
  </si>
  <si>
    <t>N2204200126-1</t>
  </si>
  <si>
    <t>LTI-GI308097</t>
  </si>
  <si>
    <t>Y220322E41-5</t>
  </si>
  <si>
    <t>N2204190702-1</t>
  </si>
  <si>
    <t>TI-GI308099B</t>
  </si>
  <si>
    <t>ARRIVE AT IMR 21.01.23</t>
  </si>
  <si>
    <t>Y220119D20-6</t>
  </si>
  <si>
    <t>N2204200114-1</t>
  </si>
  <si>
    <t>LTI-GI308103</t>
  </si>
  <si>
    <t>Y220311C22-6</t>
  </si>
  <si>
    <t>N2204200114-2</t>
  </si>
  <si>
    <t>LTI-GI308104</t>
  </si>
  <si>
    <t>N2208110408-2</t>
  </si>
  <si>
    <t>GI360352A</t>
  </si>
  <si>
    <t>ARRIVE AT IMR 18.10.22</t>
  </si>
  <si>
    <t>GCNS22/WC08001-ARC</t>
  </si>
  <si>
    <t>Y220630D08-6</t>
  </si>
  <si>
    <t>N2207050634-2</t>
  </si>
  <si>
    <t>LTI-GI308310</t>
  </si>
  <si>
    <t>GCNS22/WC0989-ARC</t>
  </si>
  <si>
    <t>Y220702C42-7</t>
  </si>
  <si>
    <t>N2205240504-2</t>
  </si>
  <si>
    <t>LTI-GI308314</t>
  </si>
  <si>
    <t>Y220428D48-1</t>
  </si>
  <si>
    <t>N2207050635-2</t>
  </si>
  <si>
    <t>LTI-GI308316</t>
  </si>
  <si>
    <t>Y220702D42-6</t>
  </si>
  <si>
    <t>N2207230229-2</t>
  </si>
  <si>
    <t>TI-GI308318</t>
  </si>
  <si>
    <t>Y220719D40-6</t>
  </si>
  <si>
    <t>N2205190155-1</t>
  </si>
  <si>
    <t>LTI-GI308319</t>
  </si>
  <si>
    <t>Y220513A43-1</t>
  </si>
  <si>
    <t>N2207230409-1</t>
  </si>
  <si>
    <t>LTI-GI308321</t>
  </si>
  <si>
    <t>Y220712E27-2</t>
  </si>
  <si>
    <t>N2207230416-1</t>
  </si>
  <si>
    <t>LTI-GI308323</t>
  </si>
  <si>
    <t>Y220719D49-6</t>
  </si>
  <si>
    <t>N2207230413-1</t>
  </si>
  <si>
    <t>LTI-GI308325</t>
  </si>
  <si>
    <t>Y220719D51-5</t>
  </si>
  <si>
    <t>N2206260135-1</t>
  </si>
  <si>
    <t>LTI-GI308327</t>
  </si>
  <si>
    <t>Y220518A03-1</t>
  </si>
  <si>
    <t>N2205250940-1</t>
  </si>
  <si>
    <t>LTI-GI308329</t>
  </si>
  <si>
    <t>Y220410A11-1</t>
  </si>
  <si>
    <t>N2207180504-2</t>
  </si>
  <si>
    <t>LTI-GI308336A</t>
  </si>
  <si>
    <t>PUTUS MILL 2</t>
  </si>
  <si>
    <t>Y220712F24-4</t>
  </si>
  <si>
    <t>N2207300402-1</t>
  </si>
  <si>
    <t>LTI-GI308337</t>
  </si>
  <si>
    <t>Y220719D42-5</t>
  </si>
  <si>
    <t>N2207300402-2</t>
  </si>
  <si>
    <t>LTI-GI308338</t>
  </si>
  <si>
    <t>N2205250942-2</t>
  </si>
  <si>
    <t>LTI-GI308344</t>
  </si>
  <si>
    <t>Y220408A09-1</t>
  </si>
  <si>
    <t>N2206260133-1</t>
  </si>
  <si>
    <t>LTI-GI308345</t>
  </si>
  <si>
    <t>Y220516A14-3</t>
  </si>
  <si>
    <t>N2206260133-2</t>
  </si>
  <si>
    <t>LTI-GI308346</t>
  </si>
  <si>
    <t>1/20/2023, 23.01.2023</t>
  </si>
  <si>
    <t>N2203040934-1</t>
  </si>
  <si>
    <t>LTI-GI308347B</t>
  </si>
  <si>
    <t>Y220218E04-6</t>
  </si>
  <si>
    <t>LTI-GI308347A</t>
  </si>
  <si>
    <t>N2205250937-1</t>
  </si>
  <si>
    <t>LTI-GI308349A</t>
  </si>
  <si>
    <t>Y220411A25-5</t>
  </si>
  <si>
    <t>LTI-GI308349B</t>
  </si>
  <si>
    <t>N2205250937-2</t>
  </si>
  <si>
    <t>LTI-GI308350</t>
  </si>
  <si>
    <t>N2207230407-1</t>
  </si>
  <si>
    <t>LTI-GI308351</t>
  </si>
  <si>
    <t>Y220712E49-4</t>
  </si>
  <si>
    <t>N2208210610-1</t>
  </si>
  <si>
    <t>TI-GI308355</t>
  </si>
  <si>
    <t>Y220730C06-6</t>
  </si>
  <si>
    <t>N2208210610-2</t>
  </si>
  <si>
    <t>TI-GI308356</t>
  </si>
  <si>
    <t>N2207050637-1</t>
  </si>
  <si>
    <t>LTI-GI308357</t>
  </si>
  <si>
    <t>Y220702D40-2</t>
  </si>
  <si>
    <t>N2207050637-2</t>
  </si>
  <si>
    <t>LTI-GI308358</t>
  </si>
  <si>
    <t>N2205250939-2</t>
  </si>
  <si>
    <t>LTI-GI308364</t>
  </si>
  <si>
    <t>Y220411A07-1</t>
  </si>
  <si>
    <t>N2207290346-1</t>
  </si>
  <si>
    <t>LTI-GI308365</t>
  </si>
  <si>
    <t>Y220613A31-6</t>
  </si>
  <si>
    <t>N2207290346-2</t>
  </si>
  <si>
    <t>LTI-GI308366</t>
  </si>
  <si>
    <t>N2207050606-2</t>
  </si>
  <si>
    <t>LTI-GI308368</t>
  </si>
  <si>
    <t>Y220701C50-4</t>
  </si>
  <si>
    <t>N2205190156-1</t>
  </si>
  <si>
    <t>LTI-GI308369</t>
  </si>
  <si>
    <t>Y220513B41-5</t>
  </si>
  <si>
    <t>N2205190156-2</t>
  </si>
  <si>
    <t>LTI-GI308370</t>
  </si>
  <si>
    <t>N2207050517-1</t>
  </si>
  <si>
    <t>LTI-GI308373</t>
  </si>
  <si>
    <t>Y220625C52-1</t>
  </si>
  <si>
    <t>N2207050517-2</t>
  </si>
  <si>
    <t>LTI-GI308374</t>
  </si>
  <si>
    <t>N2205250934-1</t>
  </si>
  <si>
    <t>LTI-GI308375</t>
  </si>
  <si>
    <t>Y220418C06-1</t>
  </si>
  <si>
    <t>N2205250934-2</t>
  </si>
  <si>
    <t>LTI-GI308376</t>
  </si>
  <si>
    <t>N2206240356-1</t>
  </si>
  <si>
    <t>LTI-GI308379</t>
  </si>
  <si>
    <t>Y220601C45-1</t>
  </si>
  <si>
    <t>N2206240356-2</t>
  </si>
  <si>
    <t>LTI-GI308380</t>
  </si>
  <si>
    <t>N2206180253-1</t>
  </si>
  <si>
    <t>LTI-GI308381</t>
  </si>
  <si>
    <t>Y220519A20-2</t>
  </si>
  <si>
    <t>N2202030646-1</t>
  </si>
  <si>
    <t>TI-GI308383</t>
  </si>
  <si>
    <t>Y220124D10-5</t>
  </si>
  <si>
    <t>N2204200103-1</t>
  </si>
  <si>
    <t>LTI-GI308385</t>
  </si>
  <si>
    <t>Y220311C22-4</t>
  </si>
  <si>
    <t>N2208210616-1</t>
  </si>
  <si>
    <t>TI-GI308387</t>
  </si>
  <si>
    <t>Y220711A05-5</t>
  </si>
  <si>
    <t>N2208210616-2</t>
  </si>
  <si>
    <t>TI-GI308388</t>
  </si>
  <si>
    <t>N2203110428-1</t>
  </si>
  <si>
    <t>LTI-GI308393C</t>
  </si>
  <si>
    <t>1/17/2023, 18.01.2023</t>
  </si>
  <si>
    <t>Y220225C20-3</t>
  </si>
  <si>
    <t>N2203110428-2</t>
  </si>
  <si>
    <t>LTI-GI308394A</t>
  </si>
  <si>
    <t>LTI-GI308394B</t>
  </si>
  <si>
    <t>N2206080638-1</t>
  </si>
  <si>
    <t>TI-GI308395</t>
  </si>
  <si>
    <t>Y220524C21-2</t>
  </si>
  <si>
    <t>N2205250945-2</t>
  </si>
  <si>
    <t>LTI-GI308400</t>
  </si>
  <si>
    <t>Y220409A04-6</t>
  </si>
  <si>
    <t>N2206070739-1</t>
  </si>
  <si>
    <t>LTI-GI308403</t>
  </si>
  <si>
    <t>Y220531D53-2</t>
  </si>
  <si>
    <t>N2206070739-2</t>
  </si>
  <si>
    <t>LTI-GI308404</t>
  </si>
  <si>
    <t>N2203180202-1</t>
  </si>
  <si>
    <t>LTI-GI308407</t>
  </si>
  <si>
    <t>Y220119D26-1</t>
  </si>
  <si>
    <t>N2208290362-1</t>
  </si>
  <si>
    <t>TI-GI308417B</t>
  </si>
  <si>
    <t>ARRIVE AT IMR 28.10.22</t>
  </si>
  <si>
    <t>Y220620D51-4</t>
  </si>
  <si>
    <t>K2208153101B</t>
  </si>
  <si>
    <t>FF205259</t>
  </si>
  <si>
    <t>INV-IMR20220603</t>
  </si>
  <si>
    <t>TRHU1640254</t>
  </si>
  <si>
    <t>N220810AR13</t>
  </si>
  <si>
    <t>K2208206802B</t>
  </si>
  <si>
    <t>FF205260</t>
  </si>
  <si>
    <t>N220810AR12</t>
  </si>
  <si>
    <t>K2208251228B</t>
  </si>
  <si>
    <t>FF205261</t>
  </si>
  <si>
    <t>WBPU2002542</t>
  </si>
  <si>
    <t>N220818AQ02</t>
  </si>
  <si>
    <t>K2208303129B</t>
  </si>
  <si>
    <t>FF205262</t>
  </si>
  <si>
    <t>N220818AQ01</t>
  </si>
  <si>
    <t>K22082908118</t>
  </si>
  <si>
    <t>FF205263</t>
  </si>
  <si>
    <t>CSNU1708252</t>
  </si>
  <si>
    <t>N220818AR05</t>
  </si>
  <si>
    <t>K2209075747A</t>
  </si>
  <si>
    <t>FF205264</t>
  </si>
  <si>
    <t>DFSU1051114</t>
  </si>
  <si>
    <t>N220907AQ11</t>
  </si>
  <si>
    <t>K2209075747B</t>
  </si>
  <si>
    <t>FF205265</t>
  </si>
  <si>
    <t>K2209075804B</t>
  </si>
  <si>
    <t>FF205266</t>
  </si>
  <si>
    <t>N220907AR13</t>
  </si>
  <si>
    <t>K2208153102A</t>
  </si>
  <si>
    <t>FF205267</t>
  </si>
  <si>
    <t>N220810AQ13</t>
  </si>
  <si>
    <t>K2208153102B</t>
  </si>
  <si>
    <t>FF205268</t>
  </si>
  <si>
    <t>K2208153102C</t>
  </si>
  <si>
    <t>FF205269</t>
  </si>
  <si>
    <t>K2208153102D</t>
  </si>
  <si>
    <t>FF205270</t>
  </si>
  <si>
    <t>K2209075802B</t>
  </si>
  <si>
    <t>FF205271</t>
  </si>
  <si>
    <t>UETU2557321</t>
  </si>
  <si>
    <t>N220907AR09</t>
  </si>
  <si>
    <t>K2208115247AA</t>
  </si>
  <si>
    <t>FF205272</t>
  </si>
  <si>
    <t>OOLU1657743</t>
  </si>
  <si>
    <t>K2208115247AB</t>
  </si>
  <si>
    <t>FF205273</t>
  </si>
  <si>
    <t>TRHU2926854</t>
  </si>
  <si>
    <t>K2208115247BA</t>
  </si>
  <si>
    <t>FF205274</t>
  </si>
  <si>
    <t>OOLU0275598</t>
  </si>
  <si>
    <t>K2208115247BB</t>
  </si>
  <si>
    <t>FF205275</t>
  </si>
  <si>
    <t>FCIU5056764</t>
  </si>
  <si>
    <t>K2209075814AA</t>
  </si>
  <si>
    <t>FF205276</t>
  </si>
  <si>
    <t>N220907AQ14</t>
  </si>
  <si>
    <t>K2209075814AB</t>
  </si>
  <si>
    <t>FF205277</t>
  </si>
  <si>
    <t>DFSU1044331</t>
  </si>
  <si>
    <t>K2209075814BA</t>
  </si>
  <si>
    <t>FF205278</t>
  </si>
  <si>
    <t>K2209075814BB</t>
  </si>
  <si>
    <t>FF205279</t>
  </si>
  <si>
    <t>K2209075738A</t>
  </si>
  <si>
    <t>FF205280</t>
  </si>
  <si>
    <t>N220903AW04</t>
  </si>
  <si>
    <t>K2209075738B</t>
  </si>
  <si>
    <t>FF205281</t>
  </si>
  <si>
    <t>K2209075827A</t>
  </si>
  <si>
    <t>FF205282</t>
  </si>
  <si>
    <t>N220907AR17</t>
  </si>
  <si>
    <t>K2209075816A</t>
  </si>
  <si>
    <t>FF205284</t>
  </si>
  <si>
    <t>FF205285</t>
  </si>
  <si>
    <t>K2209093608A</t>
  </si>
  <si>
    <t>FF205286C</t>
  </si>
  <si>
    <t>N220907AR18</t>
  </si>
  <si>
    <t>K2209075209A</t>
  </si>
  <si>
    <t>FF205288</t>
  </si>
  <si>
    <t>N220905AX11</t>
  </si>
  <si>
    <t>K2209075209B</t>
  </si>
  <si>
    <t>FF205289</t>
  </si>
  <si>
    <t>N2207290345-1</t>
  </si>
  <si>
    <t>LTI-GI308433</t>
  </si>
  <si>
    <t>AT WAREHOUSE SBY 15.11.22</t>
  </si>
  <si>
    <t>Y220615A20-6</t>
  </si>
  <si>
    <t>N2207290345-2</t>
  </si>
  <si>
    <t>LTI-GI308434</t>
  </si>
  <si>
    <t>N2208210615-1</t>
  </si>
  <si>
    <t>TI-GI308435</t>
  </si>
  <si>
    <t>GCNS22/WC0991-ARC</t>
  </si>
  <si>
    <t>Y220728C22-6</t>
  </si>
  <si>
    <t>N2208210615-2</t>
  </si>
  <si>
    <t>TI-GI308436</t>
  </si>
  <si>
    <t>N2207290340-1</t>
  </si>
  <si>
    <t>LTI-GI308437</t>
  </si>
  <si>
    <t>Y220620C15-2</t>
  </si>
  <si>
    <t>N2207290340-2</t>
  </si>
  <si>
    <t>LTI-GI308438</t>
  </si>
  <si>
    <t>N2207290335-1</t>
  </si>
  <si>
    <t>LTI-GI308439</t>
  </si>
  <si>
    <t>ARRIVE AT IMR 30.01.22</t>
  </si>
  <si>
    <t>Y220617E41-1</t>
  </si>
  <si>
    <t>N2207290335-2</t>
  </si>
  <si>
    <t>LTI-GI308440</t>
  </si>
  <si>
    <t>N2207290328-1</t>
  </si>
  <si>
    <t>LTI-GI308441</t>
  </si>
  <si>
    <t>Y220620C29-3</t>
  </si>
  <si>
    <t>N2207290328-2</t>
  </si>
  <si>
    <t>LTI-GI308442</t>
  </si>
  <si>
    <t>N2207230401-1</t>
  </si>
  <si>
    <t>LTI-GI308443</t>
  </si>
  <si>
    <t>Y220712E27-5</t>
  </si>
  <si>
    <t>N2207230401-2</t>
  </si>
  <si>
    <t>LTI-GI308444</t>
  </si>
  <si>
    <t>N2207290339-1</t>
  </si>
  <si>
    <t>LTI-GI308445</t>
  </si>
  <si>
    <t>Y220616F31-1</t>
  </si>
  <si>
    <t>N2207290339-2</t>
  </si>
  <si>
    <t>LTI-GI308446</t>
  </si>
  <si>
    <t>N2204030410-1</t>
  </si>
  <si>
    <t>TI-GI308447</t>
  </si>
  <si>
    <t>Y220328D07-4</t>
  </si>
  <si>
    <t>N2204030410-2</t>
  </si>
  <si>
    <t>TI-GI308448</t>
  </si>
  <si>
    <t>N2207290352-1</t>
  </si>
  <si>
    <t>LTI-GI308449</t>
  </si>
  <si>
    <t>Y220615E40-1</t>
  </si>
  <si>
    <t>N2207290352-2</t>
  </si>
  <si>
    <t>LTI-GI308450</t>
  </si>
  <si>
    <t>N2207290350-1</t>
  </si>
  <si>
    <t>LTI-GI308451</t>
  </si>
  <si>
    <t>Y220614A09-1</t>
  </si>
  <si>
    <t>N2207290350-2</t>
  </si>
  <si>
    <t>LTI-GI308452</t>
  </si>
  <si>
    <t>N2208210623-1</t>
  </si>
  <si>
    <t>TI-GI308453</t>
  </si>
  <si>
    <t>Y220731C24-1</t>
  </si>
  <si>
    <t>N2208210623-2</t>
  </si>
  <si>
    <t>TI-GI308454</t>
  </si>
  <si>
    <t>N2207230405-1</t>
  </si>
  <si>
    <t>LTI-GI308455</t>
  </si>
  <si>
    <t>Y220712E49-2</t>
  </si>
  <si>
    <t>N2207290353-1</t>
  </si>
  <si>
    <t>LTI-GI308457</t>
  </si>
  <si>
    <t>Y220626C11-2</t>
  </si>
  <si>
    <t>N2207290353-2</t>
  </si>
  <si>
    <t>LTI-GI308458</t>
  </si>
  <si>
    <t>N2204030413-1</t>
  </si>
  <si>
    <t>TI-GI308459</t>
  </si>
  <si>
    <t>Y220322C12-5</t>
  </si>
  <si>
    <t>N2204030413-2</t>
  </si>
  <si>
    <t>TI-GI308460</t>
  </si>
  <si>
    <t>N2204090723-1</t>
  </si>
  <si>
    <t>TI-GI308461</t>
  </si>
  <si>
    <t>Y220406A45-3</t>
  </si>
  <si>
    <t>N2204090723-2</t>
  </si>
  <si>
    <t>TI-GI308462</t>
  </si>
  <si>
    <t>N2207290349-1</t>
  </si>
  <si>
    <t>LTI-GI308463</t>
  </si>
  <si>
    <t>Y220613A12-1</t>
  </si>
  <si>
    <t>N2207290349-2</t>
  </si>
  <si>
    <t>LTI-GI308464</t>
  </si>
  <si>
    <t>N2207050729-1</t>
  </si>
  <si>
    <t>TI-GI308465</t>
  </si>
  <si>
    <t>Y220625D54-3</t>
  </si>
  <si>
    <t>N2207050729-2</t>
  </si>
  <si>
    <t>TI-GI308466</t>
  </si>
  <si>
    <t>N2207230403-2</t>
  </si>
  <si>
    <t>LTI-GI308468</t>
  </si>
  <si>
    <t>Y220712F22-3</t>
  </si>
  <si>
    <t>N2207290356-1</t>
  </si>
  <si>
    <t>LTI-GI308469</t>
  </si>
  <si>
    <t>Y220629C22-1</t>
  </si>
  <si>
    <t>N2207290356-2</t>
  </si>
  <si>
    <t>LTI-GI308470</t>
  </si>
  <si>
    <t>N2207180515-1</t>
  </si>
  <si>
    <t>LTI-GI308471</t>
  </si>
  <si>
    <t>Y220712E25-1</t>
  </si>
  <si>
    <t>N2207180515-2</t>
  </si>
  <si>
    <t>LTI-GI308472</t>
  </si>
  <si>
    <t>N2207290344-1</t>
  </si>
  <si>
    <t>LTI-GI308473</t>
  </si>
  <si>
    <t>Y220615E43-1</t>
  </si>
  <si>
    <t>N2207290344-2</t>
  </si>
  <si>
    <t>LTI-GI308474</t>
  </si>
  <si>
    <t>N2207290336-1</t>
  </si>
  <si>
    <t>LTI-GI308475</t>
  </si>
  <si>
    <t>Y220615E45-1</t>
  </si>
  <si>
    <t>N2207290336-2</t>
  </si>
  <si>
    <t>LTI-GI308476</t>
  </si>
  <si>
    <t>N2207050527-1</t>
  </si>
  <si>
    <t>LTI-GI308477</t>
  </si>
  <si>
    <t>Y220701C51-4</t>
  </si>
  <si>
    <t>N2207050527-2</t>
  </si>
  <si>
    <t>LTI-GI308478</t>
  </si>
  <si>
    <t>N2206260653-1</t>
  </si>
  <si>
    <t>LTI-GI308479</t>
  </si>
  <si>
    <t>Y220616F24-1</t>
  </si>
  <si>
    <t>N2206260653-2</t>
  </si>
  <si>
    <t>LTI-GI308480</t>
  </si>
  <si>
    <t>N2209080122-1</t>
  </si>
  <si>
    <t>LTI-GI308481</t>
  </si>
  <si>
    <t>Y220828C42-4</t>
  </si>
  <si>
    <t>N2209080122-2</t>
  </si>
  <si>
    <t>LTI-GI308482</t>
  </si>
  <si>
    <t>N2201100609-1</t>
  </si>
  <si>
    <t>TI-GI308483</t>
  </si>
  <si>
    <t>Y211217E40-1</t>
  </si>
  <si>
    <t>N2201100609-2</t>
  </si>
  <si>
    <t>TI-GI308484</t>
  </si>
  <si>
    <t>N2207290327-1</t>
  </si>
  <si>
    <t>LTI-GI308485</t>
  </si>
  <si>
    <t>Y220616E45-1</t>
  </si>
  <si>
    <t>N2207290327-2</t>
  </si>
  <si>
    <t>LTI-GI308486</t>
  </si>
  <si>
    <t>N2206260130-1</t>
  </si>
  <si>
    <t>LTI-GI308487</t>
  </si>
  <si>
    <t>Y220516A12-7</t>
  </si>
  <si>
    <t>N2206260130-2</t>
  </si>
  <si>
    <t>LTI-GI308488</t>
  </si>
  <si>
    <t>N2208210620-1</t>
  </si>
  <si>
    <t>TI-GI308489</t>
  </si>
  <si>
    <t>Y220727C26-1</t>
  </si>
  <si>
    <t>N2208210620-2</t>
  </si>
  <si>
    <t>TI-GI308490</t>
  </si>
  <si>
    <t>N2203180217-1</t>
  </si>
  <si>
    <t>LTI-GI308491</t>
  </si>
  <si>
    <t>Y220203C21-1</t>
  </si>
  <si>
    <t>N2203180217-2</t>
  </si>
  <si>
    <t>LTI-GI308492</t>
  </si>
  <si>
    <t>N2208210617-1</t>
  </si>
  <si>
    <t>TI-GI308493</t>
  </si>
  <si>
    <t>Y220709A06-1</t>
  </si>
  <si>
    <t>N2208210617-2</t>
  </si>
  <si>
    <t>TI-GI308494</t>
  </si>
  <si>
    <t>N2207290334-1</t>
  </si>
  <si>
    <t>LTI-GI308495</t>
  </si>
  <si>
    <t>Y220617E53-1</t>
  </si>
  <si>
    <t>N2207290334-2</t>
  </si>
  <si>
    <t>LTI-GI308496</t>
  </si>
  <si>
    <t>N2208210618-1</t>
  </si>
  <si>
    <t>TI-GI308497</t>
  </si>
  <si>
    <t>Y220709A16-1</t>
  </si>
  <si>
    <t>N2208210618-2</t>
  </si>
  <si>
    <t>TI-GI308498</t>
  </si>
  <si>
    <t>N2203180215-1</t>
  </si>
  <si>
    <t>LTI-GI308499</t>
  </si>
  <si>
    <t>Y220213A02-1</t>
  </si>
  <si>
    <t>N2203180215-2</t>
  </si>
  <si>
    <t>LTI-GI308500</t>
  </si>
  <si>
    <t>N2207290343-1</t>
  </si>
  <si>
    <t>LTI-GI308501</t>
  </si>
  <si>
    <t>Y220616E50-1</t>
  </si>
  <si>
    <t>N2207290343-2</t>
  </si>
  <si>
    <t>LTI-GI308502</t>
  </si>
  <si>
    <t>N2208210626-1</t>
  </si>
  <si>
    <t>TI-GI308503</t>
  </si>
  <si>
    <t>Y220730C26-1</t>
  </si>
  <si>
    <t>N2208210626-2</t>
  </si>
  <si>
    <t>TI-GI308504</t>
  </si>
  <si>
    <t>N2207290329-1</t>
  </si>
  <si>
    <t>LTI-GI308505</t>
  </si>
  <si>
    <t>Y220619C02-4</t>
  </si>
  <si>
    <t>N2207290329-2</t>
  </si>
  <si>
    <t>LTI-GI308506</t>
  </si>
  <si>
    <t>N2207050542-1</t>
  </si>
  <si>
    <t>LTI-GI308507</t>
  </si>
  <si>
    <t>Y220625D50-2</t>
  </si>
  <si>
    <t>N2207050542-2</t>
  </si>
  <si>
    <t>LTI-GI308508</t>
  </si>
  <si>
    <t>N2207290342-1</t>
  </si>
  <si>
    <t>LTI-GI308509</t>
  </si>
  <si>
    <t>Y220616F30-6</t>
  </si>
  <si>
    <t>N2207290342-2</t>
  </si>
  <si>
    <t>LTI-GI308510</t>
  </si>
  <si>
    <t>N2207290338-1</t>
  </si>
  <si>
    <t>LTI-GI308511</t>
  </si>
  <si>
    <t>Y220617E46-7</t>
  </si>
  <si>
    <t>N2207290338-2</t>
  </si>
  <si>
    <t>LTI-GI308512</t>
  </si>
  <si>
    <t>N2204030411-1</t>
  </si>
  <si>
    <t>TI-GI308513</t>
  </si>
  <si>
    <t>Y220328D02-6</t>
  </si>
  <si>
    <t>N2204030411-2</t>
  </si>
  <si>
    <t>TI-GI308514</t>
  </si>
  <si>
    <t>N2207180503-1</t>
  </si>
  <si>
    <t>LTI-GI308515</t>
  </si>
  <si>
    <t>Y220712E24-4</t>
  </si>
  <si>
    <t>N2207290347-1</t>
  </si>
  <si>
    <t>LTI-GI308517</t>
  </si>
  <si>
    <t>Y220614B28-6</t>
  </si>
  <si>
    <t>N2207290347-2</t>
  </si>
  <si>
    <t>LTI-GI308518</t>
  </si>
  <si>
    <t>N2208210625-1</t>
  </si>
  <si>
    <t>TI-GI308519</t>
  </si>
  <si>
    <t>Y220809E40-1</t>
  </si>
  <si>
    <t>N2208210625-2</t>
  </si>
  <si>
    <t>TI-GI308520</t>
  </si>
  <si>
    <t>N2207290330-1</t>
  </si>
  <si>
    <t>LTI-GI308521</t>
  </si>
  <si>
    <t>Y220615E50-4</t>
  </si>
  <si>
    <t>N2207290330-2</t>
  </si>
  <si>
    <t>LTI-GI308522</t>
  </si>
  <si>
    <t>N2207230410-1</t>
  </si>
  <si>
    <t>LTI-GI308523</t>
  </si>
  <si>
    <t>Y220719C32-4</t>
  </si>
  <si>
    <t>N2207230410-2</t>
  </si>
  <si>
    <t>LTI-GI308524</t>
  </si>
  <si>
    <t>N2202180136-1</t>
  </si>
  <si>
    <t>LTI-GI308525</t>
  </si>
  <si>
    <t>Y220211B27-6</t>
  </si>
  <si>
    <t>N2202180136-2</t>
  </si>
  <si>
    <t>LTI-GI308526</t>
  </si>
  <si>
    <t>N2204030221-1</t>
  </si>
  <si>
    <t>TI-GI308527</t>
  </si>
  <si>
    <t>Y220328D05-7</t>
  </si>
  <si>
    <t>N2204030221-2</t>
  </si>
  <si>
    <t>TI-GI308528</t>
  </si>
  <si>
    <t>N2208210633-1</t>
  </si>
  <si>
    <t>LTI-GI308529</t>
  </si>
  <si>
    <t>Y220807E46-1</t>
  </si>
  <si>
    <t>N2208210633-2</t>
  </si>
  <si>
    <t>LTI-GI308530</t>
  </si>
  <si>
    <t>N2208210624-1</t>
  </si>
  <si>
    <t>TI-GI308531</t>
  </si>
  <si>
    <t>Y220729C10-1</t>
  </si>
  <si>
    <t>N2208210624-2</t>
  </si>
  <si>
    <t>TI-GI308532</t>
  </si>
  <si>
    <t>N2204090728-1</t>
  </si>
  <si>
    <t>TI-GI308533</t>
  </si>
  <si>
    <t>Y220401C41-1</t>
  </si>
  <si>
    <t>N2204090728-2</t>
  </si>
  <si>
    <t>TI-GI308534</t>
  </si>
  <si>
    <t>N2207290341-1</t>
  </si>
  <si>
    <t>LTI-GI308535</t>
  </si>
  <si>
    <t>Y220618E44-3</t>
  </si>
  <si>
    <t>N2207290341-2</t>
  </si>
  <si>
    <t>LTI-GI308536</t>
  </si>
  <si>
    <t>N2207230406-1</t>
  </si>
  <si>
    <t>LTI-GI308537</t>
  </si>
  <si>
    <t>Y220712E24-2</t>
  </si>
  <si>
    <t>N2207230406-2</t>
  </si>
  <si>
    <t>LTI-GI308538</t>
  </si>
  <si>
    <t>N2204030412-1</t>
  </si>
  <si>
    <t>TI-GI308539</t>
  </si>
  <si>
    <t>Y220328D07-5</t>
  </si>
  <si>
    <t>N2204030412-2</t>
  </si>
  <si>
    <t>TI-GI308540</t>
  </si>
  <si>
    <t>N2204200102-1</t>
  </si>
  <si>
    <t>TI-GI308541</t>
  </si>
  <si>
    <t>Y220311C22-2</t>
  </si>
  <si>
    <t>N2204200102-2</t>
  </si>
  <si>
    <t>TI-GI308542</t>
  </si>
  <si>
    <t>N2208210627-1</t>
  </si>
  <si>
    <t>TI-GI308543</t>
  </si>
  <si>
    <t>Y220728C23-1</t>
  </si>
  <si>
    <t>N2208210627-2</t>
  </si>
  <si>
    <t>TI-GI308544</t>
  </si>
  <si>
    <t>N2208210628-1</t>
  </si>
  <si>
    <t>TI-GI308545</t>
  </si>
  <si>
    <t>Y220808E45-1</t>
  </si>
  <si>
    <t>N2208210628-2</t>
  </si>
  <si>
    <t>TI-GI308546</t>
  </si>
  <si>
    <t>N2206270201-1</t>
  </si>
  <si>
    <t>LTI-GI308547</t>
  </si>
  <si>
    <t>Y220616E28-5</t>
  </si>
  <si>
    <t>N2206270201-2</t>
  </si>
  <si>
    <t>LTI-GI308548</t>
  </si>
  <si>
    <t>N2208210622-1</t>
  </si>
  <si>
    <t>TI-GI308549</t>
  </si>
  <si>
    <t>Y220801C01-1</t>
  </si>
  <si>
    <t>N2208210622-2</t>
  </si>
  <si>
    <t>TI-GI308550</t>
  </si>
  <si>
    <t>N2208210621-1</t>
  </si>
  <si>
    <t>TI-GI308551</t>
  </si>
  <si>
    <t>Y220715C20-1</t>
  </si>
  <si>
    <t>N2208210621-2</t>
  </si>
  <si>
    <t>TI-GI308552</t>
  </si>
  <si>
    <t>N2208210631-1</t>
  </si>
  <si>
    <t>LTI-GI308553</t>
  </si>
  <si>
    <t>Y220729C20-1</t>
  </si>
  <si>
    <t>N2208210631-2</t>
  </si>
  <si>
    <t>LTI-GI308554</t>
  </si>
  <si>
    <t>N2205110602-1</t>
  </si>
  <si>
    <t>LTI-GI308555</t>
  </si>
  <si>
    <t>Y220506D45-5</t>
  </si>
  <si>
    <t>N2205110602-2</t>
  </si>
  <si>
    <t>LTI-GI308556</t>
  </si>
  <si>
    <t>N2208210602-1</t>
  </si>
  <si>
    <t>TI-GI308557</t>
  </si>
  <si>
    <t>Y220716C25-1</t>
  </si>
  <si>
    <t>N2208210602-2</t>
  </si>
  <si>
    <t>TI-GI308558</t>
  </si>
  <si>
    <t>N2208210601-1</t>
  </si>
  <si>
    <t>TI-GI308559</t>
  </si>
  <si>
    <t>Y220707A01-1</t>
  </si>
  <si>
    <t>N2208210601-2</t>
  </si>
  <si>
    <t>TI-GI308560</t>
  </si>
  <si>
    <t>NH2207290357-1</t>
  </si>
  <si>
    <t>TI-GI308561</t>
  </si>
  <si>
    <t>Y220518A09-5</t>
  </si>
  <si>
    <t>NH2207290357-2</t>
  </si>
  <si>
    <t>TI-GI308562</t>
  </si>
  <si>
    <t>N2204090730-1</t>
  </si>
  <si>
    <t>TI-GI308563</t>
  </si>
  <si>
    <t>Y220406A43-6</t>
  </si>
  <si>
    <t>N2204090730-2</t>
  </si>
  <si>
    <t>TI-GI308564</t>
  </si>
  <si>
    <t>N2207290354-1</t>
  </si>
  <si>
    <t>LTI-GI308565</t>
  </si>
  <si>
    <t>Y220615E44-6</t>
  </si>
  <si>
    <t>N2207290354-2</t>
  </si>
  <si>
    <t>LTI-GI308566</t>
  </si>
  <si>
    <t>N2208210632-1</t>
  </si>
  <si>
    <t>LTI-GI308567</t>
  </si>
  <si>
    <t>Y220714E35-1</t>
  </si>
  <si>
    <t>N2208210632-2</t>
  </si>
  <si>
    <t>LTI-GI308568</t>
  </si>
  <si>
    <t>N2203230561-1</t>
  </si>
  <si>
    <t>LTI-GI308569</t>
  </si>
  <si>
    <t>Y220317F08-4</t>
  </si>
  <si>
    <t>N2203230561-2</t>
  </si>
  <si>
    <t>LTI-GI308570</t>
  </si>
  <si>
    <t>N2207290351-1</t>
  </si>
  <si>
    <t>LTI-GI308575</t>
  </si>
  <si>
    <t>Y220613A02-1</t>
  </si>
  <si>
    <t>N2207290351-2</t>
  </si>
  <si>
    <t>LTI-GI308576</t>
  </si>
  <si>
    <t>N2207290355-1</t>
  </si>
  <si>
    <t>LTI-GI308577</t>
  </si>
  <si>
    <t>Y220626C26-1</t>
  </si>
  <si>
    <t>N2207290355-2</t>
  </si>
  <si>
    <t>LTI-GI308578</t>
  </si>
  <si>
    <t>N2207230306-1</t>
  </si>
  <si>
    <t>TI-GI308581</t>
  </si>
  <si>
    <t>Y220718D55-5</t>
  </si>
  <si>
    <t>N2207230306-2</t>
  </si>
  <si>
    <t>TI-GI308582</t>
  </si>
  <si>
    <t>N2207300636-1</t>
  </si>
  <si>
    <t>LTI-GI308585</t>
  </si>
  <si>
    <t>Y220719D49-1</t>
  </si>
  <si>
    <t>N2207300636-2</t>
  </si>
  <si>
    <t>LTI-GI308586</t>
  </si>
  <si>
    <t>N2208070258-1</t>
  </si>
  <si>
    <t>TI-GI308587</t>
  </si>
  <si>
    <t>Y220801D03-7</t>
  </si>
  <si>
    <t>N2208070258-2</t>
  </si>
  <si>
    <t>TI-GI308588</t>
  </si>
  <si>
    <t>N2207290337-1</t>
  </si>
  <si>
    <t>LTI-GI308591</t>
  </si>
  <si>
    <t>Y220616E44-6</t>
  </si>
  <si>
    <t>N2207290337-2</t>
  </si>
  <si>
    <t>LTI-GI308592</t>
  </si>
  <si>
    <t>N2204090727-1</t>
  </si>
  <si>
    <t>TI-GI308593</t>
  </si>
  <si>
    <t>Y220401C41-2</t>
  </si>
  <si>
    <t>N2204090727-2</t>
  </si>
  <si>
    <t>TI-GI308594</t>
  </si>
  <si>
    <t>N2207290332-1</t>
  </si>
  <si>
    <t>LTI-GI308599</t>
  </si>
  <si>
    <t>Y220620C24-1</t>
  </si>
  <si>
    <t>N2207290332-2</t>
  </si>
  <si>
    <t>LTI-GI308600</t>
  </si>
  <si>
    <t>N2203180201-1</t>
  </si>
  <si>
    <t>LTI-GI308601</t>
  </si>
  <si>
    <t>Y220121D23-1</t>
  </si>
  <si>
    <t>N2203180201-2</t>
  </si>
  <si>
    <t>LTI-GI308602</t>
  </si>
  <si>
    <t>N2204090726-1</t>
  </si>
  <si>
    <t>TI-GI308605</t>
  </si>
  <si>
    <t>Y220401C42-3</t>
  </si>
  <si>
    <t>N2204090726-2</t>
  </si>
  <si>
    <t>TI-GI308606</t>
  </si>
  <si>
    <t>N2207290348-1</t>
  </si>
  <si>
    <t>LTI-GI308609</t>
  </si>
  <si>
    <t>Y220627C40-6</t>
  </si>
  <si>
    <t>N2207290333-1</t>
  </si>
  <si>
    <t>LTI-GI308611</t>
  </si>
  <si>
    <t>Y220618C20-1</t>
  </si>
  <si>
    <t>N2207290333-2</t>
  </si>
  <si>
    <t>LTI-GI308612</t>
  </si>
  <si>
    <t>N2204030108-1</t>
  </si>
  <si>
    <t>TI-GI308639A</t>
  </si>
  <si>
    <t>SHAH FOILS+NEMINATH</t>
  </si>
  <si>
    <t>1/10/2023, 10.01.2023</t>
  </si>
  <si>
    <t>GCNS22/WC07018-ARC</t>
  </si>
  <si>
    <t>Y220330D45-1</t>
  </si>
  <si>
    <t>N2209150350-1</t>
  </si>
  <si>
    <t>LTI-GI308741</t>
  </si>
  <si>
    <t>Y220828C42-3</t>
  </si>
  <si>
    <t>N2209150350-2</t>
  </si>
  <si>
    <t>LTI-GI308742</t>
  </si>
  <si>
    <t>N2209150341-1</t>
  </si>
  <si>
    <t>TI-GI308743</t>
  </si>
  <si>
    <t>Y220912F02-5</t>
  </si>
  <si>
    <t>N2209150341-2</t>
  </si>
  <si>
    <t>TI-GI308744</t>
  </si>
  <si>
    <t>N2209150351-1</t>
  </si>
  <si>
    <t>LTI-GI308745</t>
  </si>
  <si>
    <t>Y220712F24-3</t>
  </si>
  <si>
    <t>N2209150351-2</t>
  </si>
  <si>
    <t>LTI-GI308746</t>
  </si>
  <si>
    <t>N2210010218-2</t>
  </si>
  <si>
    <t>LTI-GI308750</t>
  </si>
  <si>
    <t>Y220924C32-1</t>
  </si>
  <si>
    <t>N2207230316-1</t>
  </si>
  <si>
    <t>TI-GI308753</t>
  </si>
  <si>
    <t>Y220701C49-2</t>
  </si>
  <si>
    <t>N2207230316-2</t>
  </si>
  <si>
    <t>TI-GI308754</t>
  </si>
  <si>
    <t>N2210010316-1</t>
  </si>
  <si>
    <t>LTI-GI308755</t>
  </si>
  <si>
    <t>Y220924C12-7</t>
  </si>
  <si>
    <t>N2210010316-2</t>
  </si>
  <si>
    <t>LTI-GI308756</t>
  </si>
  <si>
    <t>N2209080137-1</t>
  </si>
  <si>
    <t>LTI-GI308757</t>
  </si>
  <si>
    <t>Y220828C43-1</t>
  </si>
  <si>
    <t>N2209080137-2</t>
  </si>
  <si>
    <t>LTI-GI308758</t>
  </si>
  <si>
    <t>N2210010275-1</t>
  </si>
  <si>
    <t>LTI-GI308761</t>
  </si>
  <si>
    <t>Y220912F01-2</t>
  </si>
  <si>
    <t>N2210010275-2</t>
  </si>
  <si>
    <t>LTI-GI308762</t>
  </si>
  <si>
    <t>N2207100215-1</t>
  </si>
  <si>
    <t>LTI-GI308763</t>
  </si>
  <si>
    <t>Y220601D46-5</t>
  </si>
  <si>
    <t>N2207100215-2</t>
  </si>
  <si>
    <t>LTI-GI308764</t>
  </si>
  <si>
    <t>N2207230219-1</t>
  </si>
  <si>
    <t>TI-GI308765</t>
  </si>
  <si>
    <t>Y220718D54-6</t>
  </si>
  <si>
    <t>N2207230219-2</t>
  </si>
  <si>
    <t>TI-GI308766</t>
  </si>
  <si>
    <t>N2207230320-1</t>
  </si>
  <si>
    <t>TI-GI308771</t>
  </si>
  <si>
    <t>Y220718D51-3</t>
  </si>
  <si>
    <t>N2207230320-2</t>
  </si>
  <si>
    <t>TI-GI308772</t>
  </si>
  <si>
    <t>N2210010303-1</t>
  </si>
  <si>
    <t>LTI-GI308773</t>
  </si>
  <si>
    <t>Y220924C30-8</t>
  </si>
  <si>
    <t>N2210010303-2</t>
  </si>
  <si>
    <t>LTI-GI308774</t>
  </si>
  <si>
    <t>N2209280448-1</t>
  </si>
  <si>
    <t>TI-GI308805</t>
  </si>
  <si>
    <t>Y220923C23-4</t>
  </si>
  <si>
    <t>N2209280450-1</t>
  </si>
  <si>
    <t>TI-GI308811</t>
  </si>
  <si>
    <t>Y220923C04-6</t>
  </si>
  <si>
    <t>N2209300460-1</t>
  </si>
  <si>
    <t>TI-GI308817</t>
  </si>
  <si>
    <t>Y220928C03-4</t>
  </si>
  <si>
    <t>N2209150209-2</t>
  </si>
  <si>
    <t>LTI-GI308826</t>
  </si>
  <si>
    <t>1/14/2023, 26.01.2023</t>
  </si>
  <si>
    <t>Y220907F01-2</t>
  </si>
  <si>
    <t>N2207050602-1</t>
  </si>
  <si>
    <t>LTI-GI308843</t>
  </si>
  <si>
    <t>Y220702D41-5</t>
  </si>
  <si>
    <t>N2207050602-2</t>
  </si>
  <si>
    <t>LTI-GI308844</t>
  </si>
  <si>
    <t>N2207050515-1</t>
  </si>
  <si>
    <t>LTI-GI308845</t>
  </si>
  <si>
    <t>Y220702D40-6</t>
  </si>
  <si>
    <t>N2207050515-2</t>
  </si>
  <si>
    <t>LTI-GI308846</t>
  </si>
  <si>
    <t>N2207050514-1</t>
  </si>
  <si>
    <t>LTI-GI308847</t>
  </si>
  <si>
    <t>Y220702C40-6</t>
  </si>
  <si>
    <t>N2207050514-2</t>
  </si>
  <si>
    <t>LTI-GI308848</t>
  </si>
  <si>
    <t>N2210130539</t>
  </si>
  <si>
    <t>GI360380B1</t>
  </si>
  <si>
    <t>RIPPLE+FLEX PUTIH</t>
  </si>
  <si>
    <t>ARRIVE AT IMR 15.11.22</t>
  </si>
  <si>
    <t>Y221002B33-4</t>
  </si>
  <si>
    <t>N2210130538</t>
  </si>
  <si>
    <t>GI360385B</t>
  </si>
  <si>
    <t>Y221002A24-5</t>
  </si>
  <si>
    <t>N2210130603</t>
  </si>
  <si>
    <t>GI360397A</t>
  </si>
  <si>
    <t>11/20/2022, 06.12.2022</t>
  </si>
  <si>
    <t>12/2/2022, 22.01.2022</t>
  </si>
  <si>
    <t>12/5/2022, 07.12.2022, 29.01.2023</t>
  </si>
  <si>
    <t>Y221004B23-6</t>
  </si>
  <si>
    <t>K2209084612A</t>
  </si>
  <si>
    <t>GU205290</t>
  </si>
  <si>
    <t>GXGJ-IMR-2204-PL</t>
  </si>
  <si>
    <t>OOLU1761608</t>
  </si>
  <si>
    <t>N220907AQ13</t>
  </si>
  <si>
    <t>K2209084612B</t>
  </si>
  <si>
    <t>GU205291</t>
  </si>
  <si>
    <t>OOLU1791990</t>
  </si>
  <si>
    <t>K2209084617A</t>
  </si>
  <si>
    <t>GU205292</t>
  </si>
  <si>
    <t>OOLU0312053</t>
  </si>
  <si>
    <t>N220902AR16</t>
  </si>
  <si>
    <t>K2209084617B</t>
  </si>
  <si>
    <t>GU205293</t>
  </si>
  <si>
    <t>OOLU130130</t>
  </si>
  <si>
    <t>K2209093616A</t>
  </si>
  <si>
    <t>GU205294A</t>
  </si>
  <si>
    <t>UETU2506896</t>
  </si>
  <si>
    <t>N220907AV10</t>
  </si>
  <si>
    <t>GU205294B</t>
  </si>
  <si>
    <t>K2209093616B</t>
  </si>
  <si>
    <t>GU205295</t>
  </si>
  <si>
    <t>CSNU1744265</t>
  </si>
  <si>
    <t>K2209075710A</t>
  </si>
  <si>
    <t>GU205296</t>
  </si>
  <si>
    <t>N220907AQ10</t>
  </si>
  <si>
    <t>K2209075710B</t>
  </si>
  <si>
    <t>GU205297</t>
  </si>
  <si>
    <t>OOLU0178601</t>
  </si>
  <si>
    <t>K2209213902A</t>
  </si>
  <si>
    <t>GU205298</t>
  </si>
  <si>
    <t>N220920AQ13</t>
  </si>
  <si>
    <t>K2209203028A</t>
  </si>
  <si>
    <t>GU205300</t>
  </si>
  <si>
    <t>OOLU447275</t>
  </si>
  <si>
    <t>N220920AR11</t>
  </si>
  <si>
    <t>K2209242410A</t>
  </si>
  <si>
    <t>GU205302</t>
  </si>
  <si>
    <t>TRHU3830989</t>
  </si>
  <si>
    <t>N220924AV03</t>
  </si>
  <si>
    <t>K2209250625A</t>
  </si>
  <si>
    <t>GU205304</t>
  </si>
  <si>
    <t>SEGU1528007</t>
  </si>
  <si>
    <t>N220907AQ20</t>
  </si>
  <si>
    <t>K2209250625B</t>
  </si>
  <si>
    <t>GU205305</t>
  </si>
  <si>
    <t>K2209242415A</t>
  </si>
  <si>
    <t>GU205306</t>
  </si>
  <si>
    <t>N220923AR20</t>
  </si>
  <si>
    <t>K2209242415B</t>
  </si>
  <si>
    <t>GU205307</t>
  </si>
  <si>
    <t>K2209242524A</t>
  </si>
  <si>
    <t>GU205308</t>
  </si>
  <si>
    <t>N220923AQ19</t>
  </si>
  <si>
    <t>K2209242524B</t>
  </si>
  <si>
    <t>GU205309A</t>
  </si>
  <si>
    <t>GU205309B</t>
  </si>
  <si>
    <t>N2206260126-1</t>
  </si>
  <si>
    <t>LTI-GI308849</t>
  </si>
  <si>
    <t>ALLIED FERROMET</t>
  </si>
  <si>
    <t>Y220520E48-1</t>
  </si>
  <si>
    <t>N2206260126-2</t>
  </si>
  <si>
    <t>LTI-GI308850</t>
  </si>
  <si>
    <t>ARRIVE AT IMR 13.01.23</t>
  </si>
  <si>
    <t>N2207120157-2</t>
  </si>
  <si>
    <t>LTI-GI308852</t>
  </si>
  <si>
    <t>SKM STAINLESS+MAFTON</t>
  </si>
  <si>
    <t>Y220627C12-2</t>
  </si>
  <si>
    <t>N2208210605-2</t>
  </si>
  <si>
    <t>TI-GI308856</t>
  </si>
  <si>
    <t>N2206260125-1</t>
  </si>
  <si>
    <t>LTI-GI308859</t>
  </si>
  <si>
    <t>Y220521E48-2</t>
  </si>
  <si>
    <t>N2206260125-2</t>
  </si>
  <si>
    <t>LTI-GI308860</t>
  </si>
  <si>
    <t>N2205110360-1</t>
  </si>
  <si>
    <t>TI-GI308861</t>
  </si>
  <si>
    <t>Y220508D51-3</t>
  </si>
  <si>
    <t>N2209300410-1</t>
  </si>
  <si>
    <t>TI-GI308865</t>
  </si>
  <si>
    <t>Y220928C01-3</t>
  </si>
  <si>
    <t>N2209300410-2</t>
  </si>
  <si>
    <t>TI-GI308866</t>
  </si>
  <si>
    <t>N2208300138-2</t>
  </si>
  <si>
    <t>LTI-GI308868A</t>
  </si>
  <si>
    <t>ARRIVE AT IMR 19.12.22</t>
  </si>
  <si>
    <t>Y220228D14-6</t>
  </si>
  <si>
    <t>N2209290817-1</t>
  </si>
  <si>
    <t>TI-GI308869</t>
  </si>
  <si>
    <t>Y220824D03-1</t>
  </si>
  <si>
    <t>N2209290817-2</t>
  </si>
  <si>
    <t>TI-GI308870</t>
  </si>
  <si>
    <t>N2203130206-1</t>
  </si>
  <si>
    <t>TI-GI308871B</t>
  </si>
  <si>
    <t>ARRIVE AT IMR 22.12.22</t>
  </si>
  <si>
    <t>Y220307C06-5</t>
  </si>
  <si>
    <t>N2203130206-2</t>
  </si>
  <si>
    <t>TI-GI308872B</t>
  </si>
  <si>
    <t>N2208160436-1</t>
  </si>
  <si>
    <t>TI-GI308873</t>
  </si>
  <si>
    <t>Y220804B48-1</t>
  </si>
  <si>
    <t>N2208160436-2</t>
  </si>
  <si>
    <t>TI-GI308874</t>
  </si>
  <si>
    <t>TBS METALS+SHREE</t>
  </si>
  <si>
    <t>N2208210604-1</t>
  </si>
  <si>
    <t>TI-GI308875</t>
  </si>
  <si>
    <t>Y220712E40-1</t>
  </si>
  <si>
    <t>N2208210604-2</t>
  </si>
  <si>
    <t>TI-GI308876</t>
  </si>
  <si>
    <t>N2208170448-1</t>
  </si>
  <si>
    <t>TI-GI308877</t>
  </si>
  <si>
    <t>Y220813D28-4</t>
  </si>
  <si>
    <t>N2208170448-2</t>
  </si>
  <si>
    <t>TI-GI308878</t>
  </si>
  <si>
    <t>N2209290338-1</t>
  </si>
  <si>
    <t>TI-GI308881</t>
  </si>
  <si>
    <t>Y220906A30-1</t>
  </si>
  <si>
    <t>N2209290338-2</t>
  </si>
  <si>
    <t>TI-GI308882</t>
  </si>
  <si>
    <t>N2209290518-1</t>
  </si>
  <si>
    <t>LTI-GI308889</t>
  </si>
  <si>
    <t>Y220925C25-4</t>
  </si>
  <si>
    <t>N2209290518-2</t>
  </si>
  <si>
    <t>LTI-GI308890</t>
  </si>
  <si>
    <t>N2209290529-2</t>
  </si>
  <si>
    <t>LTI-GI308894A</t>
  </si>
  <si>
    <t>Y220925C06-5</t>
  </si>
  <si>
    <t>N2209280455-1</t>
  </si>
  <si>
    <t>TI-GI308897</t>
  </si>
  <si>
    <t>Y220923C24-1</t>
  </si>
  <si>
    <t>N2209280455-2</t>
  </si>
  <si>
    <t>TI-GI308898</t>
  </si>
  <si>
    <t>N2209290533-2</t>
  </si>
  <si>
    <t>LTI-GI308900B</t>
  </si>
  <si>
    <t>Y220925C22-6</t>
  </si>
  <si>
    <t>N2209220430-1</t>
  </si>
  <si>
    <t>LTI-GI308901</t>
  </si>
  <si>
    <t>AT WAREHOUSE SBY 19.12.22</t>
  </si>
  <si>
    <t>Y220712F20-1</t>
  </si>
  <si>
    <t>N2209220430-2</t>
  </si>
  <si>
    <t>LTI-GI308902</t>
  </si>
  <si>
    <t>N2209220426-1</t>
  </si>
  <si>
    <t>LTI-GI308905</t>
  </si>
  <si>
    <t>Y220627D42-4</t>
  </si>
  <si>
    <t>N2209220426-2</t>
  </si>
  <si>
    <t>LTI-GI308906</t>
  </si>
  <si>
    <t>N2209290520-2</t>
  </si>
  <si>
    <t>LTI-GI308908B</t>
  </si>
  <si>
    <t>1/24/2023, 25.01.2023</t>
  </si>
  <si>
    <t>Y220925C50-6</t>
  </si>
  <si>
    <t>N2209230205-1</t>
  </si>
  <si>
    <t>LTI-GI308909</t>
  </si>
  <si>
    <t>Y220909E42-1</t>
  </si>
  <si>
    <t>N2209230205-2</t>
  </si>
  <si>
    <t>LTI-GI308910</t>
  </si>
  <si>
    <t>N2209280578-1</t>
  </si>
  <si>
    <t>LTI-GI308911</t>
  </si>
  <si>
    <t>Y220925C27-1</t>
  </si>
  <si>
    <t>N2209280578-2</t>
  </si>
  <si>
    <t>LTI-GI308912</t>
  </si>
  <si>
    <t>N2209280462-1</t>
  </si>
  <si>
    <t>TI-GI308913B</t>
  </si>
  <si>
    <t>OS NABRAK</t>
  </si>
  <si>
    <t>Y220923C24-5</t>
  </si>
  <si>
    <t>N2209280462-2</t>
  </si>
  <si>
    <t>TI-GI308914B</t>
  </si>
  <si>
    <t>HOLD - MINUS THICK</t>
  </si>
  <si>
    <t>N2207180526-1</t>
  </si>
  <si>
    <t>LTI-GI308915</t>
  </si>
  <si>
    <t>Y220625C41-1</t>
  </si>
  <si>
    <t>N2207180526-2</t>
  </si>
  <si>
    <t>LTI-GI308916</t>
  </si>
  <si>
    <t>N2207230216-1</t>
  </si>
  <si>
    <t>TI-GI308919</t>
  </si>
  <si>
    <t>Y220531D47-7</t>
  </si>
  <si>
    <t>N2207230216-2</t>
  </si>
  <si>
    <t>TI-GI308920</t>
  </si>
  <si>
    <t>N2207240430-1</t>
  </si>
  <si>
    <t>TI-GI308921</t>
  </si>
  <si>
    <t>Y220710B51-1</t>
  </si>
  <si>
    <t>N2209150344-1</t>
  </si>
  <si>
    <t>LTI-GI308923</t>
  </si>
  <si>
    <t>Y220607D40-1</t>
  </si>
  <si>
    <t>N2209150344-2</t>
  </si>
  <si>
    <t>LTI-GI308924</t>
  </si>
  <si>
    <t>N2207180609-1</t>
  </si>
  <si>
    <t>LTI-GI308925</t>
  </si>
  <si>
    <t>Y220616F22-1</t>
  </si>
  <si>
    <t>N2207180609-2</t>
  </si>
  <si>
    <t>LTI-GI308926</t>
  </si>
  <si>
    <t>N2209290521-2</t>
  </si>
  <si>
    <t>LTI-GI308928</t>
  </si>
  <si>
    <t>Y220924D52-6</t>
  </si>
  <si>
    <t>N2209230202-1</t>
  </si>
  <si>
    <t>TI-GI308929</t>
  </si>
  <si>
    <t>Y220910E43-1</t>
  </si>
  <si>
    <t>N2209230202-2</t>
  </si>
  <si>
    <t>TI-GI308930</t>
  </si>
  <si>
    <t>N2209220428-1</t>
  </si>
  <si>
    <t>LTI-GI308931</t>
  </si>
  <si>
    <t>Y220828C40-1</t>
  </si>
  <si>
    <t>N2209220428-2</t>
  </si>
  <si>
    <t>LTI-GI308932</t>
  </si>
  <si>
    <t>N2209220421-1</t>
  </si>
  <si>
    <t>TI-GI308933</t>
  </si>
  <si>
    <t>Y220820C30-1</t>
  </si>
  <si>
    <t>N2209220421-2</t>
  </si>
  <si>
    <t>TI-GI308934</t>
  </si>
  <si>
    <t>N2207180608-1</t>
  </si>
  <si>
    <t>LTI-GI308937</t>
  </si>
  <si>
    <t>Y220520E15-1</t>
  </si>
  <si>
    <t>N2207180608-2</t>
  </si>
  <si>
    <t>LTI-GI308938</t>
  </si>
  <si>
    <t>N2209280471-2</t>
  </si>
  <si>
    <t>TI-GI308940</t>
  </si>
  <si>
    <t>THE MAITRI METALS+RAMDEV IMPEX</t>
  </si>
  <si>
    <t>Y220924C22-3</t>
  </si>
  <si>
    <t>N2203170702-1</t>
  </si>
  <si>
    <t>TI-GI308941</t>
  </si>
  <si>
    <t>Y220210B20-1</t>
  </si>
  <si>
    <t>N2203170702-2</t>
  </si>
  <si>
    <t>TI-GI308942</t>
  </si>
  <si>
    <t>N2209290519-1</t>
  </si>
  <si>
    <t>LTI-GI308943</t>
  </si>
  <si>
    <t>Y220925C50-1</t>
  </si>
  <si>
    <t>N2209290519-2</t>
  </si>
  <si>
    <t>LTI-GI308944</t>
  </si>
  <si>
    <t>N2207180524-1</t>
  </si>
  <si>
    <t>LTI-GI308945</t>
  </si>
  <si>
    <t>Y220524C33-1</t>
  </si>
  <si>
    <t>N2207180524-2</t>
  </si>
  <si>
    <t>LTI-GI308946</t>
  </si>
  <si>
    <t>N2209290537-2</t>
  </si>
  <si>
    <t>LTI-GI308948</t>
  </si>
  <si>
    <t>Y220925C12-4</t>
  </si>
  <si>
    <t>N2206230932-1</t>
  </si>
  <si>
    <t>LTI-GI308949</t>
  </si>
  <si>
    <t>Y220605D54-5</t>
  </si>
  <si>
    <t>N2209280502-2</t>
  </si>
  <si>
    <t>TI-GI308952</t>
  </si>
  <si>
    <t>Y220924C04-2</t>
  </si>
  <si>
    <t>N2202030121-1</t>
  </si>
  <si>
    <t>LTI-GI308955</t>
  </si>
  <si>
    <t>Y220123D04-3</t>
  </si>
  <si>
    <t>N2208160444-1</t>
  </si>
  <si>
    <t>TI-GI308957</t>
  </si>
  <si>
    <t>Y220804B48-4</t>
  </si>
  <si>
    <t>N2209300447-1</t>
  </si>
  <si>
    <t>TI-GI308959</t>
  </si>
  <si>
    <t>Y220928C02-6</t>
  </si>
  <si>
    <t>N2209300450-2</t>
  </si>
  <si>
    <t>TI-GI308962</t>
  </si>
  <si>
    <t>Y220927C34-4</t>
  </si>
  <si>
    <t>N2201210201-1</t>
  </si>
  <si>
    <t>LTI-GI308963</t>
  </si>
  <si>
    <t>NEMINATH IMPEX+TBS METALS</t>
  </si>
  <si>
    <t>Y220115B04-1</t>
  </si>
  <si>
    <t>N2201210201-2</t>
  </si>
  <si>
    <t>LTI-GI308964</t>
  </si>
  <si>
    <t>N2207240431-2</t>
  </si>
  <si>
    <t>TI-GI308968</t>
  </si>
  <si>
    <t>Y220710A47-2</t>
  </si>
  <si>
    <t>N2209290923-1</t>
  </si>
  <si>
    <t>LTI-GI308969</t>
  </si>
  <si>
    <t>Y220923C01-5</t>
  </si>
  <si>
    <t>N2209280456-1</t>
  </si>
  <si>
    <t>TI-GI308971</t>
  </si>
  <si>
    <t>Y220923C04-1</t>
  </si>
  <si>
    <t>N2209280456-2</t>
  </si>
  <si>
    <t>TI-GI308972</t>
  </si>
  <si>
    <t>N2208160403-1</t>
  </si>
  <si>
    <t>TI-GI308973</t>
  </si>
  <si>
    <t>Y220804B48-5</t>
  </si>
  <si>
    <t>N2208160403-2</t>
  </si>
  <si>
    <t>TI-GI308974</t>
  </si>
  <si>
    <t>N2112150318-1</t>
  </si>
  <si>
    <t>LTI-GI308977</t>
  </si>
  <si>
    <t>Y211208D07-2</t>
  </si>
  <si>
    <t>N2112150318-2</t>
  </si>
  <si>
    <t>LTI-GI308978</t>
  </si>
  <si>
    <t>N2209300448-1</t>
  </si>
  <si>
    <t>TI-GI308979D</t>
  </si>
  <si>
    <t>Y220928C21-3</t>
  </si>
  <si>
    <t>N2209300448-2</t>
  </si>
  <si>
    <t>TI-GI308980</t>
  </si>
  <si>
    <t>N2206260124-1</t>
  </si>
  <si>
    <t>LTI-GI308983</t>
  </si>
  <si>
    <t>Y220520E43-2</t>
  </si>
  <si>
    <t>N2206260124-2</t>
  </si>
  <si>
    <t>LTI-GI308984</t>
  </si>
  <si>
    <t>N2209230174-2</t>
  </si>
  <si>
    <t>LTI-GI308986B</t>
  </si>
  <si>
    <t>Y220716D14-6</t>
  </si>
  <si>
    <t>N2207180610-1</t>
  </si>
  <si>
    <t>LTI-GI308987</t>
  </si>
  <si>
    <t>Y220601D42-1</t>
  </si>
  <si>
    <t>N2207180610-2</t>
  </si>
  <si>
    <t>LTI-GI308988</t>
  </si>
  <si>
    <t>N2207180607-1</t>
  </si>
  <si>
    <t>LTI-GI308991</t>
  </si>
  <si>
    <t>Y220601C51-5</t>
  </si>
  <si>
    <t>N2207180607-2</t>
  </si>
  <si>
    <t>LTI-GI308992</t>
  </si>
  <si>
    <t>N2209280402-1</t>
  </si>
  <si>
    <t>LTI-GI308993</t>
  </si>
  <si>
    <t>Y220925C10-2</t>
  </si>
  <si>
    <t>N2209280402-2</t>
  </si>
  <si>
    <t>LTI-GI308994</t>
  </si>
  <si>
    <t>N2210190442-2</t>
  </si>
  <si>
    <t>LTI-GI308996</t>
  </si>
  <si>
    <t>Y221015D42-1</t>
  </si>
  <si>
    <t>N2207180525-1</t>
  </si>
  <si>
    <t>LTI-GI308997</t>
  </si>
  <si>
    <t>Y220607C46-1</t>
  </si>
  <si>
    <t>N2207180525-2</t>
  </si>
  <si>
    <t>LTI-GI308998</t>
  </si>
  <si>
    <t>N2207180527-1</t>
  </si>
  <si>
    <t>LTI-GI309001</t>
  </si>
  <si>
    <t>Y220513A46-5</t>
  </si>
  <si>
    <t>N2207180527-2</t>
  </si>
  <si>
    <t>LTI-GI309002</t>
  </si>
  <si>
    <t>N2209280577-1</t>
  </si>
  <si>
    <t>LTI-GI309003</t>
  </si>
  <si>
    <t>Y220925C28-1</t>
  </si>
  <si>
    <t>N2209280577-2</t>
  </si>
  <si>
    <t>LTI-GI309004</t>
  </si>
  <si>
    <t>N2210190443-1</t>
  </si>
  <si>
    <t>LTI-GI309005</t>
  </si>
  <si>
    <t>Y221015C62-2</t>
  </si>
  <si>
    <t>N2210190443-2</t>
  </si>
  <si>
    <t>LTI-GI309006</t>
  </si>
  <si>
    <t>N2207230273-1</t>
  </si>
  <si>
    <t>TI-GI309007</t>
  </si>
  <si>
    <t>Y220531D47-1</t>
  </si>
  <si>
    <t>N2207230273-2</t>
  </si>
  <si>
    <t>TI-GI309008</t>
  </si>
  <si>
    <t>N2209290526-2</t>
  </si>
  <si>
    <t>LTI-GI309010</t>
  </si>
  <si>
    <t>Y220925C06-4</t>
  </si>
  <si>
    <t>N2208250154-1</t>
  </si>
  <si>
    <t>TI-GI309011</t>
  </si>
  <si>
    <t>Y220820C32-2</t>
  </si>
  <si>
    <t>N2208250154-2</t>
  </si>
  <si>
    <t>TI-GI309012</t>
  </si>
  <si>
    <t>N2209290604-1</t>
  </si>
  <si>
    <t>TI-GI309013</t>
  </si>
  <si>
    <t>Y220925C11-1</t>
  </si>
  <si>
    <t>N2209290604-2</t>
  </si>
  <si>
    <t>TI-GI309014</t>
  </si>
  <si>
    <t>N2209280401-1</t>
  </si>
  <si>
    <t>LTI-GI309015</t>
  </si>
  <si>
    <t>Y220925C10-7</t>
  </si>
  <si>
    <t>N2209280401-2</t>
  </si>
  <si>
    <t>LTI-GI309016</t>
  </si>
  <si>
    <t>N2209280564-1</t>
  </si>
  <si>
    <t>LTI-GI309017</t>
  </si>
  <si>
    <t>Y220925C28-3</t>
  </si>
  <si>
    <t>N2209280564-2</t>
  </si>
  <si>
    <t>LTI-GI309018</t>
  </si>
  <si>
    <t>N2209230189-1</t>
  </si>
  <si>
    <t>TI-GI309021</t>
  </si>
  <si>
    <t>Y220828C20-6</t>
  </si>
  <si>
    <t>N2209230189-2</t>
  </si>
  <si>
    <t>TI-GI309022</t>
  </si>
  <si>
    <t>N2209280548-1</t>
  </si>
  <si>
    <t>TI-GI309023</t>
  </si>
  <si>
    <t>Y220925C31-1</t>
  </si>
  <si>
    <t>N2209280548-2</t>
  </si>
  <si>
    <t>TI-GI309024</t>
  </si>
  <si>
    <t>N2209280551-1</t>
  </si>
  <si>
    <t>TI-GI309027</t>
  </si>
  <si>
    <t>Y220925C31-6</t>
  </si>
  <si>
    <t>N2209280551-2</t>
  </si>
  <si>
    <t>TI-GI309028</t>
  </si>
  <si>
    <t>N2209280587-1</t>
  </si>
  <si>
    <t>TI-GI309033</t>
  </si>
  <si>
    <t>Y220925C30-4</t>
  </si>
  <si>
    <t>N2209280587-2</t>
  </si>
  <si>
    <t>TI-GI309034</t>
  </si>
  <si>
    <t>N2208160443-1</t>
  </si>
  <si>
    <t>TI-GI309035</t>
  </si>
  <si>
    <t>Y220802A60-1</t>
  </si>
  <si>
    <t>N2208160443-2</t>
  </si>
  <si>
    <t>TI-GI309036</t>
  </si>
  <si>
    <t>N2209290525-1</t>
  </si>
  <si>
    <t>LTI-GI309037</t>
  </si>
  <si>
    <t>Y220925C06-2</t>
  </si>
  <si>
    <t>N2209290525-2</t>
  </si>
  <si>
    <t>LTI-GI309038</t>
  </si>
  <si>
    <t>N2207050201-1</t>
  </si>
  <si>
    <t>LTI-GI309039</t>
  </si>
  <si>
    <t>Y220625C47-4</t>
  </si>
  <si>
    <t>N2207050201-2</t>
  </si>
  <si>
    <t>LTI-GI309040</t>
  </si>
  <si>
    <t>K2210232508BA</t>
  </si>
  <si>
    <t>EM205310</t>
  </si>
  <si>
    <t>INV-IMR20220812</t>
  </si>
  <si>
    <t>BEAU2713501</t>
  </si>
  <si>
    <t>N221021AR15</t>
  </si>
  <si>
    <t>COIL TDK DI BUNGKUS</t>
  </si>
  <si>
    <t>DITIMBANG ULANG SEMUA</t>
  </si>
  <si>
    <t>K2210232508BB</t>
  </si>
  <si>
    <t>EM205311</t>
  </si>
  <si>
    <t>BEAU2904299</t>
  </si>
  <si>
    <t>KH2210282701B</t>
  </si>
  <si>
    <t>EM205312</t>
  </si>
  <si>
    <t>SITU2861725</t>
  </si>
  <si>
    <t>N221021AR18</t>
  </si>
  <si>
    <t>COIL DI BUNGKUS</t>
  </si>
  <si>
    <t>K2210024205B</t>
  </si>
  <si>
    <t>EM205313</t>
  </si>
  <si>
    <t>FTAU1230918</t>
  </si>
  <si>
    <t>N220925AY10</t>
  </si>
  <si>
    <t>K2210075602A</t>
  </si>
  <si>
    <t>EM205314</t>
  </si>
  <si>
    <t>N220925AX09</t>
  </si>
  <si>
    <t>K2210075602B</t>
  </si>
  <si>
    <t>EM205315</t>
  </si>
  <si>
    <t>K2211070327A</t>
  </si>
  <si>
    <t>EM205316</t>
  </si>
  <si>
    <t>N221106AR19</t>
  </si>
  <si>
    <t>K2211070327B</t>
  </si>
  <si>
    <t>EM205317</t>
  </si>
  <si>
    <t>K2211171917B</t>
  </si>
  <si>
    <t>EM205319</t>
  </si>
  <si>
    <t>N221117AR09</t>
  </si>
  <si>
    <t>K2211171831A</t>
  </si>
  <si>
    <t>EM205320</t>
  </si>
  <si>
    <t>TGBU3149190</t>
  </si>
  <si>
    <t>N221116AR10</t>
  </si>
  <si>
    <t>K2211171831B</t>
  </si>
  <si>
    <t>EM205321</t>
  </si>
  <si>
    <t>K2211171810AA</t>
  </si>
  <si>
    <t>EM205322</t>
  </si>
  <si>
    <t>N221117AW05</t>
  </si>
  <si>
    <t>K2211171810AB</t>
  </si>
  <si>
    <t>EM205323</t>
  </si>
  <si>
    <t>K2211171810BA</t>
  </si>
  <si>
    <t>EM205324</t>
  </si>
  <si>
    <t>K2211171810BB</t>
  </si>
  <si>
    <t>EM205325</t>
  </si>
  <si>
    <t>BEAU2892217</t>
  </si>
  <si>
    <t>K2211070417A</t>
  </si>
  <si>
    <t>EM205326</t>
  </si>
  <si>
    <t>N221015AQ04</t>
  </si>
  <si>
    <t>K2211070417B</t>
  </si>
  <si>
    <t>EM205327</t>
  </si>
  <si>
    <t>K2211070350A</t>
  </si>
  <si>
    <t>GU205328</t>
  </si>
  <si>
    <t>GXGJ-IMR-2206-PL</t>
  </si>
  <si>
    <t>CSLU1573524</t>
  </si>
  <si>
    <t>N221106AS16</t>
  </si>
  <si>
    <t>K2211070350B</t>
  </si>
  <si>
    <t>GU205329</t>
  </si>
  <si>
    <t>K2211070307A</t>
  </si>
  <si>
    <t>GU205330</t>
  </si>
  <si>
    <t>TCKU2702429</t>
  </si>
  <si>
    <t>N221106AQ10</t>
  </si>
  <si>
    <t>K2211070307B</t>
  </si>
  <si>
    <t>GU205331</t>
  </si>
  <si>
    <t>K2211171847A</t>
  </si>
  <si>
    <t>GU205332</t>
  </si>
  <si>
    <t>CSLU1971512</t>
  </si>
  <si>
    <t>N221117AR08</t>
  </si>
  <si>
    <t>K2211171847B</t>
  </si>
  <si>
    <t>GU205333</t>
  </si>
  <si>
    <t>DFSU1071091</t>
  </si>
  <si>
    <t>K2211171908A</t>
  </si>
  <si>
    <t>GU205334</t>
  </si>
  <si>
    <t>OOLU1342303</t>
  </si>
  <si>
    <t>N221117AQ04</t>
  </si>
  <si>
    <t>K2211171908B</t>
  </si>
  <si>
    <t>GU205335</t>
  </si>
  <si>
    <t>K2211171848A</t>
  </si>
  <si>
    <t>GU205336</t>
  </si>
  <si>
    <t>N221117AR07</t>
  </si>
  <si>
    <t>K2211171848B</t>
  </si>
  <si>
    <t>GU205337</t>
  </si>
  <si>
    <t>K2211171927A</t>
  </si>
  <si>
    <t>GU205338</t>
  </si>
  <si>
    <t>BMOU2493340</t>
  </si>
  <si>
    <t>N221117AW07</t>
  </si>
  <si>
    <t>K2211171927B</t>
  </si>
  <si>
    <t>GU205339</t>
  </si>
  <si>
    <t>K2211171807A</t>
  </si>
  <si>
    <t>GU205340</t>
  </si>
  <si>
    <t>CSLU1989722</t>
  </si>
  <si>
    <t>N221117AR06</t>
  </si>
  <si>
    <t>K2211171807B</t>
  </si>
  <si>
    <t>GU205341</t>
  </si>
  <si>
    <t>N2211080574-1</t>
  </si>
  <si>
    <t>LTI-GI309043</t>
  </si>
  <si>
    <t>AT WAREHOUSE SBY 24.01.23</t>
  </si>
  <si>
    <t>GCNS22/WC1119-ARC</t>
  </si>
  <si>
    <t>Y221028C14-7</t>
  </si>
  <si>
    <t>N2211080574-2</t>
  </si>
  <si>
    <t>LTI-GI309044</t>
  </si>
  <si>
    <t>N2211080577-1</t>
  </si>
  <si>
    <t>LTI-GI309045</t>
  </si>
  <si>
    <t>Y221028C51-2</t>
  </si>
  <si>
    <t>N2211080577-2</t>
  </si>
  <si>
    <t>LTI-GI309046</t>
  </si>
  <si>
    <t>N2209230204-1</t>
  </si>
  <si>
    <t>LTI-GI309047</t>
  </si>
  <si>
    <t>Y220910E52-1</t>
  </si>
  <si>
    <t>N2209230204-2</t>
  </si>
  <si>
    <t>LTI-GI309048</t>
  </si>
  <si>
    <t>N2210130179-1</t>
  </si>
  <si>
    <t>LTI-GI309049</t>
  </si>
  <si>
    <t>Y220924C32-5</t>
  </si>
  <si>
    <t>N2210130179-2</t>
  </si>
  <si>
    <t>LTI-GI309050</t>
  </si>
  <si>
    <t>N2211080551-1</t>
  </si>
  <si>
    <t>LTI-GI309051</t>
  </si>
  <si>
    <t>Y221028C51-1</t>
  </si>
  <si>
    <t>N2211080551-2</t>
  </si>
  <si>
    <t>LTI-GI309052</t>
  </si>
  <si>
    <t>N2211080580-1</t>
  </si>
  <si>
    <t>LTI-GI309053</t>
  </si>
  <si>
    <t>Y221028C31-4</t>
  </si>
  <si>
    <t>N2211080580-2</t>
  </si>
  <si>
    <t>LTI-GI309054</t>
  </si>
  <si>
    <t>N2210130142-1</t>
  </si>
  <si>
    <t>LTI-GI309055</t>
  </si>
  <si>
    <t>Y220912E01-2</t>
  </si>
  <si>
    <t>N2210130142-2</t>
  </si>
  <si>
    <t>LTI-GI309056</t>
  </si>
  <si>
    <t>N2209150322-1</t>
  </si>
  <si>
    <t>TI-GI309057</t>
  </si>
  <si>
    <t>Y220719D48-1</t>
  </si>
  <si>
    <t>N2209150322-2</t>
  </si>
  <si>
    <t>TI-GI309058</t>
  </si>
  <si>
    <t>N2211080573-1</t>
  </si>
  <si>
    <t>LTI-GI309059</t>
  </si>
  <si>
    <t>Y221028C14-2</t>
  </si>
  <si>
    <t>N2211080573-2</t>
  </si>
  <si>
    <t>LTI-GI309060</t>
  </si>
  <si>
    <t>N2210130103-1</t>
  </si>
  <si>
    <t>LTI-GI309061</t>
  </si>
  <si>
    <t>Y220925C29-5</t>
  </si>
  <si>
    <t>N2210130103-2</t>
  </si>
  <si>
    <t>LTI-GI309062</t>
  </si>
  <si>
    <t>N2211080559-1</t>
  </si>
  <si>
    <t>LTI-GI309063</t>
  </si>
  <si>
    <t>Y221028C34-2</t>
  </si>
  <si>
    <t>N2211080559-2</t>
  </si>
  <si>
    <t>LTI-GI309064</t>
  </si>
  <si>
    <t>N2210130104-1</t>
  </si>
  <si>
    <t>LTI-GI309065</t>
  </si>
  <si>
    <t>Y220924C32-4</t>
  </si>
  <si>
    <t>N2210130104-2</t>
  </si>
  <si>
    <t>LTI-GI309066</t>
  </si>
  <si>
    <t>N2211080560-1</t>
  </si>
  <si>
    <t>LTI-GI309067</t>
  </si>
  <si>
    <t>Y221028C34-6</t>
  </si>
  <si>
    <t>N2211080560-2</t>
  </si>
  <si>
    <t>LTI-GI309068</t>
  </si>
  <si>
    <t>N2211080550-1</t>
  </si>
  <si>
    <t>LTI-GI309069</t>
  </si>
  <si>
    <t>Y221028C31-7</t>
  </si>
  <si>
    <t>N2211080550-2</t>
  </si>
  <si>
    <t>LTI-GI309070</t>
  </si>
  <si>
    <t>N2211080576-1</t>
  </si>
  <si>
    <t>LTI-GI309071</t>
  </si>
  <si>
    <t>Y221028C33-5</t>
  </si>
  <si>
    <t>N2211080576-2</t>
  </si>
  <si>
    <t>LTI-GI309072</t>
  </si>
  <si>
    <t>N2211080571-1</t>
  </si>
  <si>
    <t>LTI-GI309073</t>
  </si>
  <si>
    <t>Y221028C33-3</t>
  </si>
  <si>
    <t>N2211080571-2</t>
  </si>
  <si>
    <t>LTI-GI309074</t>
  </si>
  <si>
    <t>N2210010206-1</t>
  </si>
  <si>
    <t>LTI-GI309075</t>
  </si>
  <si>
    <t>Y220330C07-1</t>
  </si>
  <si>
    <t>N2210010206-2</t>
  </si>
  <si>
    <t>LTI-GI309076</t>
  </si>
  <si>
    <t>N2208210608-1</t>
  </si>
  <si>
    <t>LTI-GI309077</t>
  </si>
  <si>
    <t>Y220809E46-1</t>
  </si>
  <si>
    <t>N2208210608-2</t>
  </si>
  <si>
    <t>LTI-GI309078</t>
  </si>
  <si>
    <t>N2205240353-1</t>
  </si>
  <si>
    <t>TI-GI309079</t>
  </si>
  <si>
    <t>Y220508C46-6</t>
  </si>
  <si>
    <t>N2205240353-2</t>
  </si>
  <si>
    <t>TI-GI309080</t>
  </si>
  <si>
    <t>N2209230184-1</t>
  </si>
  <si>
    <t>TI-GI309081</t>
  </si>
  <si>
    <t>Y220828C22-1</t>
  </si>
  <si>
    <t>N2209230184-2</t>
  </si>
  <si>
    <t>TI-GI309082</t>
  </si>
  <si>
    <t>N2211080581-1</t>
  </si>
  <si>
    <t>LTI-GI309083</t>
  </si>
  <si>
    <t>Y221028C14-6</t>
  </si>
  <si>
    <t>N2211080581-2</t>
  </si>
  <si>
    <t>LTI-GI309084</t>
  </si>
  <si>
    <t>N2211080570-1</t>
  </si>
  <si>
    <t>LTI-GI309085</t>
  </si>
  <si>
    <t>Y221028C33-4</t>
  </si>
  <si>
    <t>N2211080570-2</t>
  </si>
  <si>
    <t>LTI-GI309086</t>
  </si>
  <si>
    <t>N2211080575-1</t>
  </si>
  <si>
    <t>LTI-GI309087</t>
  </si>
  <si>
    <t>Y221028C13-6</t>
  </si>
  <si>
    <t>N2211080575-2</t>
  </si>
  <si>
    <t>LTI-GI309088</t>
  </si>
  <si>
    <t>N2211080572-1</t>
  </si>
  <si>
    <t>LTI-GI309089</t>
  </si>
  <si>
    <t>Y221028C14-5</t>
  </si>
  <si>
    <t>N2211080572-2</t>
  </si>
  <si>
    <t>LTI-GI309090</t>
  </si>
  <si>
    <t>N2209230185-1</t>
  </si>
  <si>
    <t>TI-GI309091</t>
  </si>
  <si>
    <t>Y220830C05-1</t>
  </si>
  <si>
    <t>N2209230185-2</t>
  </si>
  <si>
    <t>TI-GI309092</t>
  </si>
  <si>
    <t>N2209230181-1</t>
  </si>
  <si>
    <t>TI-GI309093</t>
  </si>
  <si>
    <t>Y220911E51-1</t>
  </si>
  <si>
    <t>N2209230181-2</t>
  </si>
  <si>
    <t>TI-GI309094</t>
  </si>
  <si>
    <t>N2211080552-1</t>
  </si>
  <si>
    <t>LTI-GI309095</t>
  </si>
  <si>
    <t>Y221028C32-6</t>
  </si>
  <si>
    <t>N2211080552-2</t>
  </si>
  <si>
    <t>LTI-GI309096</t>
  </si>
  <si>
    <t>N2209230178-1</t>
  </si>
  <si>
    <t>TI-GI309097</t>
  </si>
  <si>
    <t>Y220810F09-1</t>
  </si>
  <si>
    <t>N2209230178-2</t>
  </si>
  <si>
    <t>TI-GI309098</t>
  </si>
  <si>
    <t>N2211080554-1</t>
  </si>
  <si>
    <t>LTI-GI309099</t>
  </si>
  <si>
    <t>Y221028C30-4</t>
  </si>
  <si>
    <t>N2211080554-2</t>
  </si>
  <si>
    <t>LTI-GI309100</t>
  </si>
  <si>
    <t>N2211080553-1</t>
  </si>
  <si>
    <t>LTI-GI309101</t>
  </si>
  <si>
    <t>Y221028C14-4</t>
  </si>
  <si>
    <t>N2211080553-2</t>
  </si>
  <si>
    <t>LTI-GI309102</t>
  </si>
  <si>
    <t>N2209220420-1</t>
  </si>
  <si>
    <t>TI-GI309103</t>
  </si>
  <si>
    <t>Y220701C48-1</t>
  </si>
  <si>
    <t>N2209220420-2</t>
  </si>
  <si>
    <t>TI-GI309104</t>
  </si>
  <si>
    <t>N2207230223-1</t>
  </si>
  <si>
    <t>TI-GI309105</t>
  </si>
  <si>
    <t>Y220719C20-4</t>
  </si>
  <si>
    <t>N2207230223-2</t>
  </si>
  <si>
    <t>TI-GI309106</t>
  </si>
  <si>
    <t>N2207120156-1</t>
  </si>
  <si>
    <t>LTI-GI309107</t>
  </si>
  <si>
    <t>Y220627C02-2</t>
  </si>
  <si>
    <t>N2207120156-2</t>
  </si>
  <si>
    <t>LTI-GI309108</t>
  </si>
  <si>
    <t>N2209230180-1</t>
  </si>
  <si>
    <t>TI-GI309109</t>
  </si>
  <si>
    <t>Y220829C30-1</t>
  </si>
  <si>
    <t>N2209230180-2</t>
  </si>
  <si>
    <t>TI-GI309110</t>
  </si>
  <si>
    <t>N2209220425-1</t>
  </si>
  <si>
    <t>TI-GI309111</t>
  </si>
  <si>
    <t>Y220820C34-6</t>
  </si>
  <si>
    <t>N2209220425-2</t>
  </si>
  <si>
    <t>TI-GI309112</t>
  </si>
  <si>
    <t>N2211080578-1</t>
  </si>
  <si>
    <t>LTI-GI309113</t>
  </si>
  <si>
    <t>Y221028C13-2</t>
  </si>
  <si>
    <t>N2211080578-2</t>
  </si>
  <si>
    <t>LTI-GI309114</t>
  </si>
  <si>
    <t>N2207230308-1</t>
  </si>
  <si>
    <t>TI-GI309115</t>
  </si>
  <si>
    <t>Y220626D53-5</t>
  </si>
  <si>
    <t>N2207230308-2</t>
  </si>
  <si>
    <t>TI-GI309116</t>
  </si>
  <si>
    <t>N2207230328-1</t>
  </si>
  <si>
    <t>TI-GI309117</t>
  </si>
  <si>
    <t>Y220718C52-3</t>
  </si>
  <si>
    <t>N2207230328-2</t>
  </si>
  <si>
    <t>TI-GI309118</t>
  </si>
  <si>
    <t>N2207230226-1</t>
  </si>
  <si>
    <t>TI-GI309119</t>
  </si>
  <si>
    <t>Y220718C33-8</t>
  </si>
  <si>
    <t>N2207230226-2</t>
  </si>
  <si>
    <t>TI-GI309120</t>
  </si>
  <si>
    <t>N2211010340-1</t>
  </si>
  <si>
    <t>LTI-GI309121</t>
  </si>
  <si>
    <t>Y221026C74-2</t>
  </si>
  <si>
    <t>N2211010340-2</t>
  </si>
  <si>
    <t>LTI-GI309122</t>
  </si>
  <si>
    <t>N2211030541-1</t>
  </si>
  <si>
    <t>TI-GI309123</t>
  </si>
  <si>
    <t>Y221028C68-4</t>
  </si>
  <si>
    <t>N2211030541-2</t>
  </si>
  <si>
    <t>TI-GI309124</t>
  </si>
  <si>
    <t>N2210130177-1</t>
  </si>
  <si>
    <t>LTI-GI309125</t>
  </si>
  <si>
    <t>Y220912F01-4</t>
  </si>
  <si>
    <t>N2210130177-2</t>
  </si>
  <si>
    <t>LTI-GI309126</t>
  </si>
  <si>
    <t>N2211030582-1</t>
  </si>
  <si>
    <t>TI-GI309127</t>
  </si>
  <si>
    <t>Y221028C70-5</t>
  </si>
  <si>
    <t>N2211030582-2</t>
  </si>
  <si>
    <t>TI-GI309128</t>
  </si>
  <si>
    <t>N2210130141-1</t>
  </si>
  <si>
    <t>LTI-GI309129</t>
  </si>
  <si>
    <t>Y220924C13-1</t>
  </si>
  <si>
    <t>N2210130141-2</t>
  </si>
  <si>
    <t>LTI-GI309130</t>
  </si>
  <si>
    <t>N2210130180-1</t>
  </si>
  <si>
    <t>LTI-GI309131</t>
  </si>
  <si>
    <t>Y220924C32-6</t>
  </si>
  <si>
    <t>N2210130180-2</t>
  </si>
  <si>
    <t>LTI-GI309132</t>
  </si>
  <si>
    <t>N2210130140-1</t>
  </si>
  <si>
    <t>LTI-GI309133</t>
  </si>
  <si>
    <t>Y220924C13-6</t>
  </si>
  <si>
    <t>N2210130140-2</t>
  </si>
  <si>
    <t>LTI-GI309134</t>
  </si>
  <si>
    <t>N2207230329-1</t>
  </si>
  <si>
    <t>TI-GI309135</t>
  </si>
  <si>
    <t>Y220718C52-4</t>
  </si>
  <si>
    <t>N2207230329-2</t>
  </si>
  <si>
    <t>TI-GI309136</t>
  </si>
  <si>
    <t>N2211010369-1</t>
  </si>
  <si>
    <t>LTI-GI309137</t>
  </si>
  <si>
    <t>Y221026C69-4</t>
  </si>
  <si>
    <t>N2211010369-2</t>
  </si>
  <si>
    <t>LTI-GI309138</t>
  </si>
  <si>
    <t>N2211030507-1</t>
  </si>
  <si>
    <t>TI-GI309139</t>
  </si>
  <si>
    <t>Y221028C64-5</t>
  </si>
  <si>
    <t>N2211030507-2</t>
  </si>
  <si>
    <t>TI-GI309140</t>
  </si>
  <si>
    <t>N2210130178-1</t>
  </si>
  <si>
    <t>LTI-GI309141</t>
  </si>
  <si>
    <t>Y220924D49-5</t>
  </si>
  <si>
    <t>N2210130178-2</t>
  </si>
  <si>
    <t>LTI-GI309142</t>
  </si>
  <si>
    <t>N2211030583-1</t>
  </si>
  <si>
    <t>TI-GI309143</t>
  </si>
  <si>
    <t>Y221028C70-4</t>
  </si>
  <si>
    <t>N2211030583-2</t>
  </si>
  <si>
    <t>TI-GI309144</t>
  </si>
  <si>
    <t>N2209280545-1</t>
  </si>
  <si>
    <t>TI-GI309145</t>
  </si>
  <si>
    <t>Y220925C11-7</t>
  </si>
  <si>
    <t>N2209280545-2</t>
  </si>
  <si>
    <t>TI-GI309146</t>
  </si>
  <si>
    <t>N2210010312-1</t>
  </si>
  <si>
    <t>LTI-GI309147</t>
  </si>
  <si>
    <t>Y220924C30-1</t>
  </si>
  <si>
    <t>N2210010312-2</t>
  </si>
  <si>
    <t>LTI-GI309148</t>
  </si>
  <si>
    <t>N2210130139-1</t>
  </si>
  <si>
    <t>LTI-GI309149</t>
  </si>
  <si>
    <t>Y220924D49-3</t>
  </si>
  <si>
    <t>N2210130139-2</t>
  </si>
  <si>
    <t>LTI-GI309150</t>
  </si>
  <si>
    <t>N2209110242-1</t>
  </si>
  <si>
    <t>TI-GI309151</t>
  </si>
  <si>
    <t>Y220906B42-3</t>
  </si>
  <si>
    <t>N2209110242-2</t>
  </si>
  <si>
    <t>TI-GI309152</t>
  </si>
  <si>
    <t>N2207230309-1</t>
  </si>
  <si>
    <t>TI-GI309153</t>
  </si>
  <si>
    <t>Y220626C53-9</t>
  </si>
  <si>
    <t>N2207230309-2</t>
  </si>
  <si>
    <t>TI-GI309154</t>
  </si>
  <si>
    <t>N2209300418-1</t>
  </si>
  <si>
    <t>TI-GI309155</t>
  </si>
  <si>
    <t>Y220927C34-3</t>
  </si>
  <si>
    <t>N2209300418-2</t>
  </si>
  <si>
    <t>TI-GI309156</t>
  </si>
  <si>
    <t>N2210120586-1</t>
  </si>
  <si>
    <t>TI-GI309157</t>
  </si>
  <si>
    <t>ARRIVE AT IMR 24.01.23</t>
  </si>
  <si>
    <t>Y220929C05-2</t>
  </si>
  <si>
    <t>N2210120586-2</t>
  </si>
  <si>
    <t>TI-GI309158</t>
  </si>
  <si>
    <t>N2210120544-1</t>
  </si>
  <si>
    <t>TI-GI309159</t>
  </si>
  <si>
    <t>Y220929D03-5</t>
  </si>
  <si>
    <t>N2210120544-2</t>
  </si>
  <si>
    <t>TI-GI309160</t>
  </si>
  <si>
    <t>N2209110103-1</t>
  </si>
  <si>
    <t>TI-GI309161</t>
  </si>
  <si>
    <t>Y220907A21-2</t>
  </si>
  <si>
    <t>N2209110103-2</t>
  </si>
  <si>
    <t>TI-GI309162</t>
  </si>
  <si>
    <t>N2209230171-1</t>
  </si>
  <si>
    <t>LTI-GI309163</t>
  </si>
  <si>
    <t>Y220831C20-1</t>
  </si>
  <si>
    <t>N2209230171-2</t>
  </si>
  <si>
    <t>LTI-GI309164</t>
  </si>
  <si>
    <t>N2205240203-1</t>
  </si>
  <si>
    <t>LTI-GI309165</t>
  </si>
  <si>
    <t>Y220515A49-1</t>
  </si>
  <si>
    <t>N2205240203-2</t>
  </si>
  <si>
    <t>LTI-GI309166</t>
  </si>
  <si>
    <t>N2211250267-1</t>
  </si>
  <si>
    <t>TI-GI309167</t>
  </si>
  <si>
    <t>Y221108E20-1</t>
  </si>
  <si>
    <t>N2211250267-2</t>
  </si>
  <si>
    <t>TI-GI309168</t>
  </si>
  <si>
    <t>N2211250257-1</t>
  </si>
  <si>
    <t>TI-GI309169</t>
  </si>
  <si>
    <t>Y220921C41-5</t>
  </si>
  <si>
    <t>N2211250257-2</t>
  </si>
  <si>
    <t>TI-GI309170</t>
  </si>
  <si>
    <t>N2211250258-1</t>
  </si>
  <si>
    <t>TI-GI309171</t>
  </si>
  <si>
    <t>Y221016C01-5</t>
  </si>
  <si>
    <t>N2211250258-2</t>
  </si>
  <si>
    <t>TI-GI309172</t>
  </si>
  <si>
    <t>N2211250240-1</t>
  </si>
  <si>
    <t>TI-GI309173</t>
  </si>
  <si>
    <t>Y221020C10-1</t>
  </si>
  <si>
    <t>N2211250240-2</t>
  </si>
  <si>
    <t>TI-GI309174</t>
  </si>
  <si>
    <t>N2211250239-1</t>
  </si>
  <si>
    <t>TI-GI309175</t>
  </si>
  <si>
    <t>Y220919C46-1</t>
  </si>
  <si>
    <t>N2211250239-2</t>
  </si>
  <si>
    <t>TI-GI309176</t>
  </si>
  <si>
    <t>N2211240150-1</t>
  </si>
  <si>
    <t>TI-GI309177</t>
  </si>
  <si>
    <t>Y221113C55-5</t>
  </si>
  <si>
    <t>N2211240150-2</t>
  </si>
  <si>
    <t>TI-GI309178</t>
  </si>
  <si>
    <t>N2211250266-1</t>
  </si>
  <si>
    <t>TI-GI309179</t>
  </si>
  <si>
    <t>Y221107F20-1</t>
  </si>
  <si>
    <t>N2211250266-2</t>
  </si>
  <si>
    <t>TI-GI309180</t>
  </si>
  <si>
    <t>N2211250263-1</t>
  </si>
  <si>
    <t>TI-GI309181</t>
  </si>
  <si>
    <t>Y221107E26-5</t>
  </si>
  <si>
    <t>N2211250263-2</t>
  </si>
  <si>
    <t>TI-GI309182</t>
  </si>
  <si>
    <t>N2211250249-1</t>
  </si>
  <si>
    <t>LTI-GI309183</t>
  </si>
  <si>
    <t>Y221019C15-1</t>
  </si>
  <si>
    <t>N2211250249-2</t>
  </si>
  <si>
    <t>LTI-GI309184</t>
  </si>
  <si>
    <t>N2211240141-1</t>
  </si>
  <si>
    <t>LTI-GI309185</t>
  </si>
  <si>
    <t>Y221029C20-1</t>
  </si>
  <si>
    <t>N2211240141-2</t>
  </si>
  <si>
    <t>LTI-GI309186</t>
  </si>
  <si>
    <t>N2211240138-1</t>
  </si>
  <si>
    <t>TI-GI309187</t>
  </si>
  <si>
    <t>Y221113D45-1</t>
  </si>
  <si>
    <t>N2211240138-2</t>
  </si>
  <si>
    <t>TI-GI309188</t>
  </si>
  <si>
    <t>N2211250242-1</t>
  </si>
  <si>
    <t>TI-GI309189</t>
  </si>
  <si>
    <t>Y221008F29-1</t>
  </si>
  <si>
    <t>N2211250242-2</t>
  </si>
  <si>
    <t>TI-GI309190</t>
  </si>
  <si>
    <t>N2211250247-1</t>
  </si>
  <si>
    <t>LTI-GI309191</t>
  </si>
  <si>
    <t>Y221007F21-1</t>
  </si>
  <si>
    <t>N2211250247-2</t>
  </si>
  <si>
    <t>LTI-GI309192</t>
  </si>
  <si>
    <t>N2211240140-1</t>
  </si>
  <si>
    <t>LTI-GI309193</t>
  </si>
  <si>
    <t>Y221028C25-1</t>
  </si>
  <si>
    <t>N2211240140-2</t>
  </si>
  <si>
    <t>LTI-GI309194</t>
  </si>
  <si>
    <t>N2211240131-1</t>
  </si>
  <si>
    <t>TI-GI309195</t>
  </si>
  <si>
    <t>Y221022C63-1</t>
  </si>
  <si>
    <t>N2211240131-2</t>
  </si>
  <si>
    <t>TI-GI309196</t>
  </si>
  <si>
    <t>N2211250238-1</t>
  </si>
  <si>
    <t>TI-GI309197</t>
  </si>
  <si>
    <t>Y220920C28-1</t>
  </si>
  <si>
    <t>N2211250238-2</t>
  </si>
  <si>
    <t>TI-GI309198</t>
  </si>
  <si>
    <t>N2211250262-1</t>
  </si>
  <si>
    <t>TI-GI309199</t>
  </si>
  <si>
    <t>Y221009F24-5</t>
  </si>
  <si>
    <t>N2211250262-2</t>
  </si>
  <si>
    <t>TI-GI309200</t>
  </si>
  <si>
    <t>N2211240123-1</t>
  </si>
  <si>
    <t>TI-GI309201</t>
  </si>
  <si>
    <t>Y221101C70-5</t>
  </si>
  <si>
    <t>N2211240123-2</t>
  </si>
  <si>
    <t>TI-GI309202</t>
  </si>
  <si>
    <t>N2211240137-1</t>
  </si>
  <si>
    <t>TI-GI309203</t>
  </si>
  <si>
    <t>Y221114D43-1</t>
  </si>
  <si>
    <t>N2211240137-2</t>
  </si>
  <si>
    <t>TI-GI309204</t>
  </si>
  <si>
    <t>N2211250268-1</t>
  </si>
  <si>
    <t>TI-GI309205</t>
  </si>
  <si>
    <t>Y221101D01-1</t>
  </si>
  <si>
    <t>N2211250268-2</t>
  </si>
  <si>
    <t>TI-GI309206</t>
  </si>
  <si>
    <t>N2211240133-1</t>
  </si>
  <si>
    <t>TI-GI309207</t>
  </si>
  <si>
    <t>Y221029C64-1</t>
  </si>
  <si>
    <t>N2211240133-2</t>
  </si>
  <si>
    <t>TI-GI309208</t>
  </si>
  <si>
    <t>N2211250264-1</t>
  </si>
  <si>
    <t>TI-GI309209</t>
  </si>
  <si>
    <t>Y221020D04-2</t>
  </si>
  <si>
    <t>N2211250264-2</t>
  </si>
  <si>
    <t>TI-GI309210</t>
  </si>
  <si>
    <t>N2211240134-1</t>
  </si>
  <si>
    <t>TI-GI309211</t>
  </si>
  <si>
    <t>Y221017C74-1</t>
  </si>
  <si>
    <t>N2211240134-2</t>
  </si>
  <si>
    <t>TI-GI309212</t>
  </si>
  <si>
    <t>N2211240117-1</t>
  </si>
  <si>
    <t>TI-GI309213</t>
  </si>
  <si>
    <t>Y221018C70-1</t>
  </si>
  <si>
    <t>N2211240117-2</t>
  </si>
  <si>
    <t>TI-GI309214</t>
  </si>
  <si>
    <t>N2211250243-1</t>
  </si>
  <si>
    <t>TI-GI309215</t>
  </si>
  <si>
    <t>Y220913C20-1</t>
  </si>
  <si>
    <t>N2211250243-2</t>
  </si>
  <si>
    <t>TI-GI309216</t>
  </si>
  <si>
    <t>N2211240130-1</t>
  </si>
  <si>
    <t>TI-GI309217</t>
  </si>
  <si>
    <t>Y221020C72-1</t>
  </si>
  <si>
    <t>N2211240130-2</t>
  </si>
  <si>
    <t>TI-GI309218</t>
  </si>
  <si>
    <t>N2211240127-1</t>
  </si>
  <si>
    <t>TI-GI309219</t>
  </si>
  <si>
    <t>Y221020C62-1</t>
  </si>
  <si>
    <t>N2211240127-2</t>
  </si>
  <si>
    <t>TI-GI309220</t>
  </si>
  <si>
    <t>N2211240132-1</t>
  </si>
  <si>
    <t>TI-GI309221</t>
  </si>
  <si>
    <t>Y220906A42-1</t>
  </si>
  <si>
    <t>N2211240132-2</t>
  </si>
  <si>
    <t>TI-GI309222</t>
  </si>
  <si>
    <t>N2211250252-1</t>
  </si>
  <si>
    <t>LTI-GI309223</t>
  </si>
  <si>
    <t>Y221021C02-1</t>
  </si>
  <si>
    <t>N2211250252-2</t>
  </si>
  <si>
    <t>LTI-GI309224</t>
  </si>
  <si>
    <t>N2211240126-1</t>
  </si>
  <si>
    <t>TI-GI309225</t>
  </si>
  <si>
    <t>Y221019C66-1</t>
  </si>
  <si>
    <t>N2211240126-2</t>
  </si>
  <si>
    <t>TI-GI309226</t>
  </si>
  <si>
    <t>N2211240139-1</t>
  </si>
  <si>
    <t>TI-GI309227</t>
  </si>
  <si>
    <t>Y221017C65-1</t>
  </si>
  <si>
    <t>N2211240139-2</t>
  </si>
  <si>
    <t>TI-GI309228</t>
  </si>
  <si>
    <t>N2211250245-1</t>
  </si>
  <si>
    <t>TI-GI309229</t>
  </si>
  <si>
    <t>Y221015D06-1</t>
  </si>
  <si>
    <t>N2211250245-2</t>
  </si>
  <si>
    <t>TI-GI309230</t>
  </si>
  <si>
    <t>N2211250244-1</t>
  </si>
  <si>
    <t>TI-GI309231</t>
  </si>
  <si>
    <t>Y221009F25-1</t>
  </si>
  <si>
    <t>N2211250244-2</t>
  </si>
  <si>
    <t>TI-GI309232</t>
  </si>
  <si>
    <t>N2211240121-1</t>
  </si>
  <si>
    <t>TI-GI309233</t>
  </si>
  <si>
    <t>Y221019C64-5</t>
  </si>
  <si>
    <t>N2211240121-2</t>
  </si>
  <si>
    <t>TI-GI309234</t>
  </si>
  <si>
    <t>N2211240118-1</t>
  </si>
  <si>
    <t>TI-GI309235</t>
  </si>
  <si>
    <t>Y221020C61-5</t>
  </si>
  <si>
    <t>N2211240118-2</t>
  </si>
  <si>
    <t>TI-GI309236</t>
  </si>
  <si>
    <t>N2211240122-1</t>
  </si>
  <si>
    <t>TI-GI309237</t>
  </si>
  <si>
    <t>Y221020D40-4</t>
  </si>
  <si>
    <t>N2211240122-2</t>
  </si>
  <si>
    <t>TI-GI309238</t>
  </si>
  <si>
    <t>N2211250251-1</t>
  </si>
  <si>
    <t>LTI-GI309239</t>
  </si>
  <si>
    <t>Y221031D06-1</t>
  </si>
  <si>
    <t>N2211250251-2</t>
  </si>
  <si>
    <t>LTI-GI309240</t>
  </si>
  <si>
    <t>N2211250246-1</t>
  </si>
  <si>
    <t>TI-GI309241</t>
  </si>
  <si>
    <t>Y221014D12-1</t>
  </si>
  <si>
    <t>N2211250246-2</t>
  </si>
  <si>
    <t>TI-GI309242</t>
  </si>
  <si>
    <t>N2211250241-1</t>
  </si>
  <si>
    <t>TI-GI309243</t>
  </si>
  <si>
    <t>Y220921C22-1</t>
  </si>
  <si>
    <t>N2211250241-2</t>
  </si>
  <si>
    <t>TI-GI309244</t>
  </si>
  <si>
    <t>N2211220110-1</t>
  </si>
  <si>
    <t>LTI-GI309245</t>
  </si>
  <si>
    <t>Y221026C20-1</t>
  </si>
  <si>
    <t>N2211220110-2</t>
  </si>
  <si>
    <t>LTI-GI309246</t>
  </si>
  <si>
    <t>N2211240135-1</t>
  </si>
  <si>
    <t>TI-GI309247</t>
  </si>
  <si>
    <t>Y220908F01-1</t>
  </si>
  <si>
    <t>N2211240135-2</t>
  </si>
  <si>
    <t>TI-GI309248</t>
  </si>
  <si>
    <t>N2211240120-1</t>
  </si>
  <si>
    <t>TI-GI309249</t>
  </si>
  <si>
    <t>Y221022C62-5</t>
  </si>
  <si>
    <t>N2211240120-2</t>
  </si>
  <si>
    <t>TI-GI309250</t>
  </si>
  <si>
    <t>N2211250250-1</t>
  </si>
  <si>
    <t>LTI-GI309251</t>
  </si>
  <si>
    <t>Y220913D30-1</t>
  </si>
  <si>
    <t>N2211250250-2</t>
  </si>
  <si>
    <t>LTI-GI309252</t>
  </si>
  <si>
    <t>N2205250809-1</t>
  </si>
  <si>
    <t>LTI-GI309253</t>
  </si>
  <si>
    <t>Y220410A09-6</t>
  </si>
  <si>
    <t>N2205250809-2</t>
  </si>
  <si>
    <t>LTI-GI309254</t>
  </si>
  <si>
    <t>N2211250261-1</t>
  </si>
  <si>
    <t>TI-GI309255</t>
  </si>
  <si>
    <t>Y221009F33-2</t>
  </si>
  <si>
    <t>N2211250261-2</t>
  </si>
  <si>
    <t>TI-GI309256</t>
  </si>
  <si>
    <t>N2211240151-1</t>
  </si>
  <si>
    <t>TI-GI309257</t>
  </si>
  <si>
    <t>Y221017C15-5</t>
  </si>
  <si>
    <t>N2211240151-2</t>
  </si>
  <si>
    <t>TI-GI309258</t>
  </si>
  <si>
    <t>N2211250256-1</t>
  </si>
  <si>
    <t>TI-GI309259</t>
  </si>
  <si>
    <t>Y221020D09-5</t>
  </si>
  <si>
    <t>N2211250256-2</t>
  </si>
  <si>
    <t>TI-GI309260</t>
  </si>
  <si>
    <t>N2211240125-1</t>
  </si>
  <si>
    <t>TI-GI309261</t>
  </si>
  <si>
    <t>Y221021D47-1</t>
  </si>
  <si>
    <t>N2211240125-2</t>
  </si>
  <si>
    <t>TI-GI309262</t>
  </si>
  <si>
    <t>N2211220117-1</t>
  </si>
  <si>
    <t>LTI-GI309263</t>
  </si>
  <si>
    <t>Y221015D45-1</t>
  </si>
  <si>
    <t>N2211220117-2</t>
  </si>
  <si>
    <t>LTI-GI309264</t>
  </si>
  <si>
    <t>N2211220112-1</t>
  </si>
  <si>
    <t>LTI-GI309265</t>
  </si>
  <si>
    <t>Y221021D42-1</t>
  </si>
  <si>
    <t>N2211220112-2</t>
  </si>
  <si>
    <t>LTI-GI309266</t>
  </si>
  <si>
    <t>N2211250253-1</t>
  </si>
  <si>
    <t>LTI-GI309267</t>
  </si>
  <si>
    <t>Y220912F43-6</t>
  </si>
  <si>
    <t>N2211250253-2</t>
  </si>
  <si>
    <t>LTI-GI309268</t>
  </si>
  <si>
    <t>N2211220115-1</t>
  </si>
  <si>
    <t>LTI-GI309269</t>
  </si>
  <si>
    <t>Y221010E64-4</t>
  </si>
  <si>
    <t>N2211220115-2</t>
  </si>
  <si>
    <t>LTI-GI309270</t>
  </si>
  <si>
    <t>N2211220116-1</t>
  </si>
  <si>
    <t>LTI-GI309271</t>
  </si>
  <si>
    <t>Y221014C70-1</t>
  </si>
  <si>
    <t>N2211220116-2</t>
  </si>
  <si>
    <t>LTI-GI309272</t>
  </si>
  <si>
    <t>N2211220111-1</t>
  </si>
  <si>
    <t>LTI-GI309273</t>
  </si>
  <si>
    <t>Y221101A60-1</t>
  </si>
  <si>
    <t>N2211220111-2</t>
  </si>
  <si>
    <t>LTI-GI309274</t>
  </si>
  <si>
    <t>N2211220118-1</t>
  </si>
  <si>
    <t>LTI-GI309275</t>
  </si>
  <si>
    <t>Y221009E72-1</t>
  </si>
  <si>
    <t>N2211220118-2</t>
  </si>
  <si>
    <t>LTI-GI309276</t>
  </si>
  <si>
    <t>N2211250235-1</t>
  </si>
  <si>
    <t>LTI-GI309277</t>
  </si>
  <si>
    <t>Y221022C01-1</t>
  </si>
  <si>
    <t>N2211250235-2</t>
  </si>
  <si>
    <t>LTI-GI309278</t>
  </si>
  <si>
    <t>N2211220152-1</t>
  </si>
  <si>
    <t>TI-GI309279</t>
  </si>
  <si>
    <t>Y221016D48-1</t>
  </si>
  <si>
    <t>N2211220152-2</t>
  </si>
  <si>
    <t>TI-GI309280</t>
  </si>
  <si>
    <t>N2211220121-1</t>
  </si>
  <si>
    <t>LTI-GI309281</t>
  </si>
  <si>
    <t>Y220929D08-5</t>
  </si>
  <si>
    <t>N2211220121-2</t>
  </si>
  <si>
    <t>LTI-GI309282</t>
  </si>
  <si>
    <t>N2211250231-1</t>
  </si>
  <si>
    <t>LTI-GI309283</t>
  </si>
  <si>
    <t>Y221017C05-1</t>
  </si>
  <si>
    <t>N2211250231-2</t>
  </si>
  <si>
    <t>LTI-GI309284</t>
  </si>
  <si>
    <t>N2211220119-1</t>
  </si>
  <si>
    <t>LTI-GI309285</t>
  </si>
  <si>
    <t>Y220930A01-1</t>
  </si>
  <si>
    <t>N2211220119-2</t>
  </si>
  <si>
    <t>LTI-GI309286</t>
  </si>
  <si>
    <t>N2211250259-1</t>
  </si>
  <si>
    <t>TI-GI309287</t>
  </si>
  <si>
    <t>Y220920C21-5</t>
  </si>
  <si>
    <t>N2211250259-2</t>
  </si>
  <si>
    <t>TI-GI309288</t>
  </si>
  <si>
    <t>N2211250236-1</t>
  </si>
  <si>
    <t>LTI-GI309289</t>
  </si>
  <si>
    <t>Y221021C12-5</t>
  </si>
  <si>
    <t>N2211250236-2</t>
  </si>
  <si>
    <t>LTI-GI309290</t>
  </si>
  <si>
    <t>N2211250224-1</t>
  </si>
  <si>
    <t>LTI-GI309291</t>
  </si>
  <si>
    <t>Y220914C27-2</t>
  </si>
  <si>
    <t>N2211250224-2</t>
  </si>
  <si>
    <t>LTI-GI309292</t>
  </si>
  <si>
    <t>N2211250223-1</t>
  </si>
  <si>
    <t>LTI-GI309293</t>
  </si>
  <si>
    <t>Y220914D26-5</t>
  </si>
  <si>
    <t>N2211250223-2</t>
  </si>
  <si>
    <t>LTI-GI309294</t>
  </si>
  <si>
    <t>N2211240119-1</t>
  </si>
  <si>
    <t>TI-GI309295</t>
  </si>
  <si>
    <t>Y221029C74-5</t>
  </si>
  <si>
    <t>N2211240119-2</t>
  </si>
  <si>
    <t>TI-GI309296</t>
  </si>
  <si>
    <t>N2209100852-1</t>
  </si>
  <si>
    <t>TI-GI309297</t>
  </si>
  <si>
    <t>Y220907A21-3</t>
  </si>
  <si>
    <t>N2209100852-2</t>
  </si>
  <si>
    <t>TI-GI309298</t>
  </si>
  <si>
    <t>N2209110138-1</t>
  </si>
  <si>
    <t>TI-GI309299</t>
  </si>
  <si>
    <t>Y220907A43-5</t>
  </si>
  <si>
    <t>N2209110138-2</t>
  </si>
  <si>
    <t>TI-GI309300</t>
  </si>
  <si>
    <t>N2211250232-1</t>
  </si>
  <si>
    <t>LTI-GI309301</t>
  </si>
  <si>
    <t>Y220921C28-1</t>
  </si>
  <si>
    <t>N2211250232-2</t>
  </si>
  <si>
    <t>LTI-GI309302</t>
  </si>
  <si>
    <t>N2211220108-1</t>
  </si>
  <si>
    <t>LTI-GI309303</t>
  </si>
  <si>
    <t>Y221021C49-5</t>
  </si>
  <si>
    <t>N2211220108-2</t>
  </si>
  <si>
    <t>LTI-GI309304</t>
  </si>
  <si>
    <t>N2211220151-1</t>
  </si>
  <si>
    <t>TI-GI309305</t>
  </si>
  <si>
    <t>Y221026C29-6</t>
  </si>
  <si>
    <t>N2211220151-2</t>
  </si>
  <si>
    <t>TI-GI309306</t>
  </si>
  <si>
    <t>N2211250230-1</t>
  </si>
  <si>
    <t>LTI-GI309307</t>
  </si>
  <si>
    <t>Y220914C27-1</t>
  </si>
  <si>
    <t>N2211250230-2</t>
  </si>
  <si>
    <t>LTI-GI309308</t>
  </si>
  <si>
    <t>N2209100828-1</t>
  </si>
  <si>
    <t>TI-GI309309</t>
  </si>
  <si>
    <t>Y220907A24-3</t>
  </si>
  <si>
    <t>N2209100828-2</t>
  </si>
  <si>
    <t>TI-GI309310</t>
  </si>
  <si>
    <t>N2209110104-1</t>
  </si>
  <si>
    <t>TI-GI309311</t>
  </si>
  <si>
    <t>Y220906A32-3</t>
  </si>
  <si>
    <t>N2209110104-2</t>
  </si>
  <si>
    <t>TI-GI309312</t>
  </si>
  <si>
    <t>N2211250225-1</t>
  </si>
  <si>
    <t>LTI-GI309313</t>
  </si>
  <si>
    <t>Y220914D26-6</t>
  </si>
  <si>
    <t>N2211250225-2</t>
  </si>
  <si>
    <t>LTI-GI309314</t>
  </si>
  <si>
    <t>N2209100824-1</t>
  </si>
  <si>
    <t>TI-GI309315</t>
  </si>
  <si>
    <t>Y220906A12-1</t>
  </si>
  <si>
    <t>N2209100824-2</t>
  </si>
  <si>
    <t>TI-GI309316</t>
  </si>
  <si>
    <t>N2211220155-1</t>
  </si>
  <si>
    <t>TI-GI309317</t>
  </si>
  <si>
    <t>Y221017C63-5</t>
  </si>
  <si>
    <t>N2211220155-2</t>
  </si>
  <si>
    <t>TI-GI309318</t>
  </si>
  <si>
    <t>N2211250226-1</t>
  </si>
  <si>
    <t>LTI-GI309319</t>
  </si>
  <si>
    <t>Y220922C20-6</t>
  </si>
  <si>
    <t>N2211250226-2</t>
  </si>
  <si>
    <t>LTI-GI309320</t>
  </si>
  <si>
    <t>N2211230408-1</t>
  </si>
  <si>
    <t>LTI-GI309321</t>
  </si>
  <si>
    <t>Y220924C16-1</t>
  </si>
  <si>
    <t>N2211230408-2</t>
  </si>
  <si>
    <t>LTI-GI309322</t>
  </si>
  <si>
    <t>N2211250228-1</t>
  </si>
  <si>
    <t>LTI-GI309323</t>
  </si>
  <si>
    <t>Y220921C33-3</t>
  </si>
  <si>
    <t>N2211250228-2</t>
  </si>
  <si>
    <t>LTI-GI309324</t>
  </si>
  <si>
    <t>N2211220154-1</t>
  </si>
  <si>
    <t>TI-GI309325</t>
  </si>
  <si>
    <t>Y221027C29-1</t>
  </si>
  <si>
    <t>N2211220154-2</t>
  </si>
  <si>
    <t>TI-GI309326</t>
  </si>
  <si>
    <t>N2211250221-1</t>
  </si>
  <si>
    <t>LTI-GI309327</t>
  </si>
  <si>
    <t>Y220914D26-1</t>
  </si>
  <si>
    <t>N2211250221-2</t>
  </si>
  <si>
    <t>LTI-GI309328</t>
  </si>
  <si>
    <t>N2211220109-1</t>
  </si>
  <si>
    <t>LTI-GI309329</t>
  </si>
  <si>
    <t>Y221031C01-6</t>
  </si>
  <si>
    <t>N2211220109-2</t>
  </si>
  <si>
    <t>LTI-GI309330</t>
  </si>
  <si>
    <t>N2211220107-1</t>
  </si>
  <si>
    <t>LTI-GI309331</t>
  </si>
  <si>
    <t>Y221102A43-5</t>
  </si>
  <si>
    <t>N2211220107-2</t>
  </si>
  <si>
    <t>LTI-GI309332</t>
  </si>
  <si>
    <t>N2210130476-1</t>
  </si>
  <si>
    <t>GI360400</t>
  </si>
  <si>
    <t>GCNS22/WC1129-ARC</t>
  </si>
  <si>
    <t>Y221001A30-7</t>
  </si>
  <si>
    <t>N2210130476-2</t>
  </si>
  <si>
    <t>GI360401</t>
  </si>
  <si>
    <t>N2206170857-1</t>
  </si>
  <si>
    <t>GI360402</t>
  </si>
  <si>
    <t>Y220605C31-1</t>
  </si>
  <si>
    <t>N2206170857-2</t>
  </si>
  <si>
    <t>GI360403</t>
  </si>
  <si>
    <t>N2210130349-1</t>
  </si>
  <si>
    <t>GI360404</t>
  </si>
  <si>
    <t>ARRIVE AT IMR 30.01.23</t>
  </si>
  <si>
    <t>Y221001B21-5</t>
  </si>
  <si>
    <t>N2210130349-2</t>
  </si>
  <si>
    <t>GI360405</t>
  </si>
  <si>
    <t>N2210130348-1</t>
  </si>
  <si>
    <t>GI360406</t>
  </si>
  <si>
    <t>Y220930B30-2</t>
  </si>
  <si>
    <t>N2210130348-2</t>
  </si>
  <si>
    <t>GI360407</t>
  </si>
  <si>
    <t>N2209120240-1</t>
  </si>
  <si>
    <t>GI360408</t>
  </si>
  <si>
    <t>Y220906A07-3</t>
  </si>
  <si>
    <t>N2209120240-2</t>
  </si>
  <si>
    <t>GI360409</t>
  </si>
  <si>
    <t>K2211280715A</t>
  </si>
  <si>
    <t>GU205342</t>
  </si>
  <si>
    <t>GXGJ-IMR-2207-PL</t>
  </si>
  <si>
    <t>CSNU1213119</t>
  </si>
  <si>
    <t>N221127AQ07</t>
  </si>
  <si>
    <t>K2211280715B</t>
  </si>
  <si>
    <t>GU205343</t>
  </si>
  <si>
    <t>00LU1735086</t>
  </si>
  <si>
    <t>K2211280709A</t>
  </si>
  <si>
    <t>GU205344</t>
  </si>
  <si>
    <t>00LU2966541</t>
  </si>
  <si>
    <t>N221127AQ09</t>
  </si>
  <si>
    <t>K2211280709B</t>
  </si>
  <si>
    <t>GU205345</t>
  </si>
  <si>
    <t>00LU0571898</t>
  </si>
  <si>
    <t>K2211280648A</t>
  </si>
  <si>
    <t>GU205346</t>
  </si>
  <si>
    <t>GLDU5672077</t>
  </si>
  <si>
    <t>N221127AQ08</t>
  </si>
  <si>
    <t>K2211280648B</t>
  </si>
  <si>
    <t>GU205347</t>
  </si>
  <si>
    <t>CBHU4280914</t>
  </si>
  <si>
    <t>K2212012823A</t>
  </si>
  <si>
    <t>GU205348</t>
  </si>
  <si>
    <t>CSNU1185378</t>
  </si>
  <si>
    <t>N221127AR08</t>
  </si>
  <si>
    <t>K2212012823B</t>
  </si>
  <si>
    <t>GU205349</t>
  </si>
  <si>
    <t>TGBU2317710</t>
  </si>
  <si>
    <t>K2212067826A</t>
  </si>
  <si>
    <t>GU205350</t>
  </si>
  <si>
    <t>CSNU1163321</t>
  </si>
  <si>
    <t>N221206AV04</t>
  </si>
  <si>
    <t>K2212067826B</t>
  </si>
  <si>
    <t>GU205351</t>
  </si>
  <si>
    <t>K2212067833A</t>
  </si>
  <si>
    <t>GU205352</t>
  </si>
  <si>
    <t>BSIU2824172</t>
  </si>
  <si>
    <t>N221206AR06</t>
  </si>
  <si>
    <t>K2212067833B</t>
  </si>
  <si>
    <t>GU205353</t>
  </si>
  <si>
    <t>00LU1705796</t>
  </si>
  <si>
    <t>K2212067824A</t>
  </si>
  <si>
    <t>GU205354</t>
  </si>
  <si>
    <t>BSIU2826236</t>
  </si>
  <si>
    <t>N221206AR08</t>
  </si>
  <si>
    <t>K2212067824B</t>
  </si>
  <si>
    <t>GU205355</t>
  </si>
  <si>
    <t>TLLU2683155</t>
  </si>
  <si>
    <t>K2211270607A</t>
  </si>
  <si>
    <t>GU205356</t>
  </si>
  <si>
    <t>N221116AQ09</t>
  </si>
  <si>
    <t>K2211270607B</t>
  </si>
  <si>
    <t>GU205357</t>
  </si>
  <si>
    <t>K2211270606A</t>
  </si>
  <si>
    <t>GU205358</t>
  </si>
  <si>
    <t>00LU1349355</t>
  </si>
  <si>
    <t>N221117AR03</t>
  </si>
  <si>
    <t>K2211270606B</t>
  </si>
  <si>
    <t>GU205359</t>
  </si>
  <si>
    <t>K2211270601A</t>
  </si>
  <si>
    <t>GU205360</t>
  </si>
  <si>
    <t>K2211270601B</t>
  </si>
  <si>
    <t>GU205361</t>
  </si>
  <si>
    <t>K2212067720A</t>
  </si>
  <si>
    <t>GU205362</t>
  </si>
  <si>
    <t>TEMU3038638</t>
  </si>
  <si>
    <t>N221206AR04</t>
  </si>
  <si>
    <t>K2212067720B</t>
  </si>
  <si>
    <t>GU205363</t>
  </si>
  <si>
    <t>CSLU2302240</t>
  </si>
  <si>
    <t>K2212067741A</t>
  </si>
  <si>
    <t>GU205364</t>
  </si>
  <si>
    <t>CSLU2108430</t>
  </si>
  <si>
    <t>N221206AQ07</t>
  </si>
  <si>
    <t>K2212067741B</t>
  </si>
  <si>
    <t>GU205365</t>
  </si>
  <si>
    <t>K2212067827A</t>
  </si>
  <si>
    <t>GU205366</t>
  </si>
  <si>
    <t>UETU2362401</t>
  </si>
  <si>
    <t>K2212067827B</t>
  </si>
  <si>
    <t>GU205367</t>
  </si>
  <si>
    <t>00LU013120</t>
  </si>
  <si>
    <t>GU205368</t>
  </si>
  <si>
    <t>N221205AR19</t>
  </si>
  <si>
    <t>K2212067825B</t>
  </si>
  <si>
    <t>GU205369</t>
  </si>
  <si>
    <t>FC1U549860</t>
  </si>
  <si>
    <t>K2212067841A</t>
  </si>
  <si>
    <t>GU205370</t>
  </si>
  <si>
    <t>N221206AR07</t>
  </si>
  <si>
    <t>K2212067841B</t>
  </si>
  <si>
    <t>GU205371</t>
  </si>
  <si>
    <t>FTAU1578570</t>
  </si>
  <si>
    <t>K2212067821A</t>
  </si>
  <si>
    <t>GU205372</t>
  </si>
  <si>
    <t>TEMU3574029</t>
  </si>
  <si>
    <t>K2212067821B</t>
  </si>
  <si>
    <t>GU205373</t>
  </si>
  <si>
    <t>00LU1548125</t>
  </si>
  <si>
    <t>K2212067744A</t>
  </si>
  <si>
    <t>GU205374</t>
  </si>
  <si>
    <t>FCIU5079477</t>
  </si>
  <si>
    <t>N221206AR05</t>
  </si>
  <si>
    <t>K2212067744B</t>
  </si>
  <si>
    <t>GU205375</t>
  </si>
  <si>
    <t>K2212067719A</t>
  </si>
  <si>
    <t>GU205376</t>
  </si>
  <si>
    <t>N221206AQ04</t>
  </si>
  <si>
    <t>K2212067719B</t>
  </si>
  <si>
    <t>GU205377</t>
  </si>
  <si>
    <t>K2212067814A</t>
  </si>
  <si>
    <t>GU205378</t>
  </si>
  <si>
    <t>N221205AQ19</t>
  </si>
  <si>
    <t>K2212067814B</t>
  </si>
  <si>
    <t>GU205379</t>
  </si>
  <si>
    <t>K2212067811A</t>
  </si>
  <si>
    <t>GU205380</t>
  </si>
  <si>
    <t>N221206AQ01</t>
  </si>
  <si>
    <t>K2212067811B</t>
  </si>
  <si>
    <t>GU205381</t>
  </si>
  <si>
    <t>DFSU1122645</t>
  </si>
  <si>
    <t>K2212067722A</t>
  </si>
  <si>
    <t>GU205382</t>
  </si>
  <si>
    <t>K2212067722B</t>
  </si>
  <si>
    <t>GU205383</t>
  </si>
  <si>
    <t>K2212067730A</t>
  </si>
  <si>
    <t>GU205384</t>
  </si>
  <si>
    <t>K2212067730B</t>
  </si>
  <si>
    <t>GU205385</t>
  </si>
  <si>
    <t>CSNU</t>
  </si>
  <si>
    <t>K2212067817A</t>
  </si>
  <si>
    <t>GU205386</t>
  </si>
  <si>
    <t>K2212067817B</t>
  </si>
  <si>
    <t>GU205387</t>
  </si>
  <si>
    <t>K2212067742A</t>
  </si>
  <si>
    <t>GU205388</t>
  </si>
  <si>
    <t>K2212067742B</t>
  </si>
  <si>
    <t>GU205389</t>
  </si>
  <si>
    <t>K2212067836A</t>
  </si>
  <si>
    <t>GU205390</t>
  </si>
  <si>
    <t>N221206AQ05</t>
  </si>
  <si>
    <t>K2212067836B</t>
  </si>
  <si>
    <t>GU205391</t>
  </si>
  <si>
    <t>SUBTOTAL</t>
  </si>
  <si>
    <t>409/L</t>
  </si>
  <si>
    <t>RM Incoming</t>
  </si>
  <si>
    <t xml:space="preserve">WIP FH </t>
  </si>
  <si>
    <t>Stock No Cust</t>
  </si>
  <si>
    <t>Stock KW2</t>
  </si>
  <si>
    <t>Tonnes</t>
  </si>
  <si>
    <t>FH/2B/1D</t>
  </si>
  <si>
    <t>Aged 0-30 Days</t>
  </si>
  <si>
    <t>Aged 31-60 Days</t>
  </si>
  <si>
    <t>Aged 61-90 Days</t>
  </si>
  <si>
    <t>Aged More 91 Days</t>
  </si>
  <si>
    <t>Aged More 90 Days</t>
  </si>
  <si>
    <t>2B (RUST)</t>
  </si>
  <si>
    <t>FORMULA</t>
  </si>
  <si>
    <t>2B (RUST + DENT)</t>
  </si>
  <si>
    <t>J3 - SD</t>
  </si>
  <si>
    <t>WIP 2B</t>
  </si>
  <si>
    <t xml:space="preserve"> </t>
  </si>
  <si>
    <t>IMR-PPIC-FR12</t>
  </si>
  <si>
    <t>lot</t>
  </si>
  <si>
    <t>NEXT PROSES</t>
  </si>
  <si>
    <t xml:space="preserve">From Thick 
(mm)
</t>
  </si>
  <si>
    <t>Act Thick Min</t>
  </si>
  <si>
    <t>Act Thick Max</t>
  </si>
  <si>
    <t>Output Weight</t>
  </si>
  <si>
    <t>SCRAP</t>
  </si>
  <si>
    <t>PROSES CPL</t>
  </si>
  <si>
    <t>PROSES CLN</t>
  </si>
  <si>
    <t>PROSES MILL</t>
  </si>
  <si>
    <t>PROSES MILL 2</t>
  </si>
  <si>
    <t>PROSES BAL</t>
  </si>
  <si>
    <t>PROSES BAL 2</t>
  </si>
  <si>
    <t>PROSES SLT</t>
  </si>
  <si>
    <t>PROSES SLT 2</t>
  </si>
  <si>
    <t>PROSES TLL</t>
  </si>
  <si>
    <t>PROSES CTL</t>
  </si>
  <si>
    <t>Date Roll</t>
  </si>
  <si>
    <t>TODAY</t>
  </si>
  <si>
    <t>WIP Aging</t>
  </si>
  <si>
    <t>NET Weight Incoming
(MT)</t>
  </si>
  <si>
    <t>GROSS Incoming</t>
  </si>
  <si>
    <t>NET IMR</t>
  </si>
  <si>
    <t>GROSS IMR</t>
  </si>
  <si>
    <t>CPL 02.01 - MILL</t>
  </si>
  <si>
    <t>N2210130402</t>
  </si>
  <si>
    <t>GI360369B</t>
  </si>
  <si>
    <t>Y220930A31-1</t>
  </si>
  <si>
    <t>RE CPL 02.01 - BAL</t>
  </si>
  <si>
    <t>N2210130345</t>
  </si>
  <si>
    <t>GI360375A</t>
  </si>
  <si>
    <t>Y221001A20-2</t>
  </si>
  <si>
    <t>N2210130327</t>
  </si>
  <si>
    <t>GI360372B</t>
  </si>
  <si>
    <t>Y221001B21-4</t>
  </si>
  <si>
    <t>N2210130346</t>
  </si>
  <si>
    <t>GI360374A</t>
  </si>
  <si>
    <t>Y221001A20-5</t>
  </si>
  <si>
    <t>N2210130401</t>
  </si>
  <si>
    <t>GI360378A</t>
  </si>
  <si>
    <t>Y221001A20-4</t>
  </si>
  <si>
    <t>N2210130328</t>
  </si>
  <si>
    <t>GI360365B</t>
  </si>
  <si>
    <t>Y220930B27-1</t>
  </si>
  <si>
    <t>GI360378B</t>
  </si>
  <si>
    <t>N2210130325</t>
  </si>
  <si>
    <t>GI360370B</t>
  </si>
  <si>
    <t>Y220930A32-6</t>
  </si>
  <si>
    <t>N2210130326</t>
  </si>
  <si>
    <t>GI360366A</t>
  </si>
  <si>
    <t>Y220930A32-5</t>
  </si>
  <si>
    <t>GI360370A</t>
  </si>
  <si>
    <t>N2210130403</t>
  </si>
  <si>
    <t>GI360368B</t>
  </si>
  <si>
    <t>Y220930B31-6</t>
  </si>
  <si>
    <t>GI360366B</t>
  </si>
  <si>
    <t>GI360368A</t>
  </si>
  <si>
    <t>N2210130313</t>
  </si>
  <si>
    <t>GI360373B</t>
  </si>
  <si>
    <t>Y220930B32-6</t>
  </si>
  <si>
    <t>RE CPL 03.01 - BAL</t>
  </si>
  <si>
    <t>CPL 03.01 - MILL</t>
  </si>
  <si>
    <t>N2208290442-1</t>
  </si>
  <si>
    <t>LTI-GI308733</t>
  </si>
  <si>
    <t>Y220804A64-3</t>
  </si>
  <si>
    <t>TI-GI308639</t>
  </si>
  <si>
    <t>N2208290440-1</t>
  </si>
  <si>
    <t>LTI-GI308727</t>
  </si>
  <si>
    <t>Y220804B53-2</t>
  </si>
  <si>
    <t>N2209300429-1</t>
  </si>
  <si>
    <t>TI-GI308837</t>
  </si>
  <si>
    <t>Y220928C29-3</t>
  </si>
  <si>
    <t>N2209280454-1</t>
  </si>
  <si>
    <t>TI-GI308965</t>
  </si>
  <si>
    <t>Y220923C24-4</t>
  </si>
  <si>
    <t>TI-GI307818A</t>
  </si>
  <si>
    <t>N2208290440-2</t>
  </si>
  <si>
    <t>LTI-GI308728</t>
  </si>
  <si>
    <t>N2208300313-2</t>
  </si>
  <si>
    <t>LTI-GI308608</t>
  </si>
  <si>
    <t>Y220627D11-3</t>
  </si>
  <si>
    <t>N2208300313-1</t>
  </si>
  <si>
    <t>LTI-GI308607</t>
  </si>
  <si>
    <t>N2208060619</t>
  </si>
  <si>
    <t>TI-GI307814A</t>
  </si>
  <si>
    <t>Y220802B23-3</t>
  </si>
  <si>
    <t>N2208060605</t>
  </si>
  <si>
    <t>TI-GI307816B</t>
  </si>
  <si>
    <t>Y220802A60-2</t>
  </si>
  <si>
    <t>CPL 04.01 - MILL</t>
  </si>
  <si>
    <t>N2208060620</t>
  </si>
  <si>
    <t>TI-GI307823A</t>
  </si>
  <si>
    <t>Y220802B23-2</t>
  </si>
  <si>
    <t>RE CPL 04.01 - BAL</t>
  </si>
  <si>
    <t>TI-GI307823B</t>
  </si>
  <si>
    <t>N2203130241-1</t>
  </si>
  <si>
    <t>TI-GI308863</t>
  </si>
  <si>
    <t>Y220307C13-2</t>
  </si>
  <si>
    <t>N2208060618</t>
  </si>
  <si>
    <t>TI-GI307819A</t>
  </si>
  <si>
    <t>Y220802B23-4</t>
  </si>
  <si>
    <t>N2208300107</t>
  </si>
  <si>
    <t>TI-GI308032B</t>
  </si>
  <si>
    <t>Y220813D53-4</t>
  </si>
  <si>
    <t>LTI-GI308056A</t>
  </si>
  <si>
    <t>TI-GI308032A</t>
  </si>
  <si>
    <t>RE CPL 04.01 - MILL</t>
  </si>
  <si>
    <t>RE MILL</t>
  </si>
  <si>
    <t>N2208060606</t>
  </si>
  <si>
    <t>TI-GI307817B</t>
  </si>
  <si>
    <t>Y220802A60-4</t>
  </si>
  <si>
    <t>TI-GI307814B</t>
  </si>
  <si>
    <t>N2208300202</t>
  </si>
  <si>
    <t>LTI-GI308033B</t>
  </si>
  <si>
    <t>Y220626C06-2</t>
  </si>
  <si>
    <t>RE CPL 05.01 - BAL</t>
  </si>
  <si>
    <t>CPL 05.01 - MILL</t>
  </si>
  <si>
    <t>N2208060611</t>
  </si>
  <si>
    <t>TI-GI307827A</t>
  </si>
  <si>
    <t>Y220802B23-6</t>
  </si>
  <si>
    <t>N2208060616</t>
  </si>
  <si>
    <t>TI-GI307815B</t>
  </si>
  <si>
    <t>Y220802A23-4</t>
  </si>
  <si>
    <t>CPL 05.01 - MILL 2</t>
  </si>
  <si>
    <t>N2207230405-2</t>
  </si>
  <si>
    <t>LTI-GI308456</t>
  </si>
  <si>
    <t>TI-GI307815A</t>
  </si>
  <si>
    <t>N2206260634-2</t>
  </si>
  <si>
    <t>LTI-GI308398</t>
  </si>
  <si>
    <t>Y220616F27-4</t>
  </si>
  <si>
    <t>N2204030136</t>
  </si>
  <si>
    <t>TI-GI308053A</t>
  </si>
  <si>
    <t>Y220330C05-3</t>
  </si>
  <si>
    <t>TI-GI307827B</t>
  </si>
  <si>
    <t>RE CPL 05.01 - MILL</t>
  </si>
  <si>
    <t>REPAIR + PASANG LEADER STRIP BARU</t>
  </si>
  <si>
    <t>CPL 06.01 - MILL</t>
  </si>
  <si>
    <t>RE CPL 06.01 - BAL</t>
  </si>
  <si>
    <t>TI-GI307815A2</t>
  </si>
  <si>
    <t>N2112280626-2</t>
  </si>
  <si>
    <t>TI-GI308082</t>
  </si>
  <si>
    <t>Y211210D07-4</t>
  </si>
  <si>
    <t>CPL 06.01 - MILL 2</t>
  </si>
  <si>
    <t>N2205250936-2</t>
  </si>
  <si>
    <t>LTI-GI308390</t>
  </si>
  <si>
    <t>Y220411A07-2</t>
  </si>
  <si>
    <t>N2209300428-2</t>
  </si>
  <si>
    <t>TI-GI308804</t>
  </si>
  <si>
    <t>Y220923C23-5</t>
  </si>
  <si>
    <t>N2112280626-1</t>
  </si>
  <si>
    <t>TI-GI308081</t>
  </si>
  <si>
    <t>N2208060622</t>
  </si>
  <si>
    <t>TI-GI307824A</t>
  </si>
  <si>
    <t>Y220718C44-1</t>
  </si>
  <si>
    <t>CPL 07.01 - MILL</t>
  </si>
  <si>
    <t>N2208060621</t>
  </si>
  <si>
    <t>TI-GI307813A</t>
  </si>
  <si>
    <t>Y220718C44-6</t>
  </si>
  <si>
    <t>CPL 07.01 - MILL 2</t>
  </si>
  <si>
    <t>LTI-GI308336</t>
  </si>
  <si>
    <t>RE CPL 07.01 - BAL</t>
  </si>
  <si>
    <t>TI-GI307824B</t>
  </si>
  <si>
    <t>TI-GI307819B</t>
  </si>
  <si>
    <t>LTI-GI308055B</t>
  </si>
  <si>
    <t>N2208300134-2</t>
  </si>
  <si>
    <t>TI-GI308682</t>
  </si>
  <si>
    <t>Y220825C48-3</t>
  </si>
  <si>
    <t>N2207290348-2</t>
  </si>
  <si>
    <t>LTI-GI308610</t>
  </si>
  <si>
    <t>CPL 08.01 - MILL</t>
  </si>
  <si>
    <t>LTI-GI308056B</t>
  </si>
  <si>
    <t>CPL 08.01 - RR</t>
  </si>
  <si>
    <t>N2204200138-2</t>
  </si>
  <si>
    <t>LTI-GI308078</t>
  </si>
  <si>
    <t>12/23/2022, 08.01.2023</t>
  </si>
  <si>
    <t>1/2/2023, 04.01.2023</t>
  </si>
  <si>
    <t>Y220323C23-1</t>
  </si>
  <si>
    <t>RE CPL 08.01 - BAL</t>
  </si>
  <si>
    <t>N2206240580-2</t>
  </si>
  <si>
    <t>LTI-GI308652</t>
  </si>
  <si>
    <t>Y220523C50-3</t>
  </si>
  <si>
    <t>N2208300314</t>
  </si>
  <si>
    <t>LTI-GI308040A</t>
  </si>
  <si>
    <t>Y220507D53-5</t>
  </si>
  <si>
    <t>TI-GI307816A</t>
  </si>
  <si>
    <t>LTI-GI308033A</t>
  </si>
  <si>
    <t>TI-GI307817A</t>
  </si>
  <si>
    <t>TI-GI307813B</t>
  </si>
  <si>
    <t>TI-GI308053B</t>
  </si>
  <si>
    <t>RE CPL 09.01 - BAL</t>
  </si>
  <si>
    <t>CPL 09.01 - MILL</t>
  </si>
  <si>
    <t>TI-GI308913</t>
  </si>
  <si>
    <t>LTI-GI308040A1</t>
  </si>
  <si>
    <t>N2209300414-2</t>
  </si>
  <si>
    <t>TI-GI308982</t>
  </si>
  <si>
    <t>Y220929C04-3</t>
  </si>
  <si>
    <t>TI-GI308074B</t>
  </si>
  <si>
    <t>CPL 09.01 - RR</t>
  </si>
  <si>
    <t>N2204200125-1</t>
  </si>
  <si>
    <t>LTI-GI308079</t>
  </si>
  <si>
    <t>12/26/2022, 09.01.2023</t>
  </si>
  <si>
    <t>Y220321E40-1</t>
  </si>
  <si>
    <t>LTI-GI308038B</t>
  </si>
  <si>
    <t>N2209290526-1</t>
  </si>
  <si>
    <t>LTI-GI309009</t>
  </si>
  <si>
    <t>N2209290524-2</t>
  </si>
  <si>
    <t>LTI-GI309000</t>
  </si>
  <si>
    <t>Y220925C04-4</t>
  </si>
  <si>
    <t>N2209290916-2</t>
  </si>
  <si>
    <t>LTI-GI308936</t>
  </si>
  <si>
    <t>Y220923C02-3</t>
  </si>
  <si>
    <t>TI-GI308914</t>
  </si>
  <si>
    <t>N2209280471-1</t>
  </si>
  <si>
    <t>TI-GI308939</t>
  </si>
  <si>
    <t>RE CPL 10.01 - BAL</t>
  </si>
  <si>
    <t>LTI-GI308040A2</t>
  </si>
  <si>
    <t>CPL 10.01 - MILL 2</t>
  </si>
  <si>
    <t>N2204200129-2</t>
  </si>
  <si>
    <t>LTI-GI308090</t>
  </si>
  <si>
    <t>Y220323C25-1</t>
  </si>
  <si>
    <t>N2205250949-2</t>
  </si>
  <si>
    <t>LTI-GI308414</t>
  </si>
  <si>
    <t>Y220411A02-2</t>
  </si>
  <si>
    <t>CPL 10.01 - MILL</t>
  </si>
  <si>
    <t>LTI-GI308040B</t>
  </si>
  <si>
    <t>N2204200129-1</t>
  </si>
  <si>
    <t>LTI-GI308089</t>
  </si>
  <si>
    <t>TI-GI308855</t>
  </si>
  <si>
    <t>LTI-GI308039A</t>
  </si>
  <si>
    <t>N2207180503-2</t>
  </si>
  <si>
    <t>LTI-GI308516</t>
  </si>
  <si>
    <t>N2208300309</t>
  </si>
  <si>
    <t>LTI-GI308041B</t>
  </si>
  <si>
    <t>Y220626C06-4</t>
  </si>
  <si>
    <t>RE CPL 11.01 - BAL</t>
  </si>
  <si>
    <t>CPL 11.01 - MILL 2</t>
  </si>
  <si>
    <t>N2203250552-1</t>
  </si>
  <si>
    <t>TI-GI308083</t>
  </si>
  <si>
    <t>Y220318F03-1</t>
  </si>
  <si>
    <t>CPL 11.10 - MILL</t>
  </si>
  <si>
    <t>LTI-GI308054A</t>
  </si>
  <si>
    <t>N2206260137-1</t>
  </si>
  <si>
    <t>LTI-GI308359</t>
  </si>
  <si>
    <t>Y220518A01-6</t>
  </si>
  <si>
    <t>CPL 11.01 - MILL</t>
  </si>
  <si>
    <t>N2208210607-2</t>
  </si>
  <si>
    <t>TI-GI308854</t>
  </si>
  <si>
    <t>Y220713E20-1</t>
  </si>
  <si>
    <t>N2208300214</t>
  </si>
  <si>
    <t>LTI-GI308036A</t>
  </si>
  <si>
    <t>Y220116F26-4</t>
  </si>
  <si>
    <t>N2207050606-1</t>
  </si>
  <si>
    <t>LTI-GI308367</t>
  </si>
  <si>
    <t>LTI-GI308048B</t>
  </si>
  <si>
    <t>N2209230182-2</t>
  </si>
  <si>
    <t>TI-GI308880</t>
  </si>
  <si>
    <t>Y220829C33-5</t>
  </si>
  <si>
    <t>N2209300428-1</t>
  </si>
  <si>
    <t>TI-GI308803</t>
  </si>
  <si>
    <t>CPL 12.01 - MILL</t>
  </si>
  <si>
    <t>LTI-GI308041A</t>
  </si>
  <si>
    <t>RE CPL 12.01 - BAL</t>
  </si>
  <si>
    <t>RE CPL 12.01 - RE MILL</t>
  </si>
  <si>
    <t>REPAIR LEADER STRIP</t>
  </si>
  <si>
    <t>RIPLE + MINUS THICK 1.43-1.50</t>
  </si>
  <si>
    <t>N2207230214-1</t>
  </si>
  <si>
    <t>TI-GI308353</t>
  </si>
  <si>
    <t>Y220719D40-2</t>
  </si>
  <si>
    <t>LTI-GI308035B</t>
  </si>
  <si>
    <t>LTI-GI308047B</t>
  </si>
  <si>
    <t>N2208210609-1</t>
  </si>
  <si>
    <t>TI-GI308333</t>
  </si>
  <si>
    <t>Y220809E45-6</t>
  </si>
  <si>
    <t>RE CPL 13.01 - BAL</t>
  </si>
  <si>
    <t>CPL 13.01 - MILL</t>
  </si>
  <si>
    <t>CPL 13.01 - MILL 2</t>
  </si>
  <si>
    <t>N2210010218-1</t>
  </si>
  <si>
    <t>LTI-GI308749</t>
  </si>
  <si>
    <t>LTI-GI308052A</t>
  </si>
  <si>
    <t>N2204190701-1</t>
  </si>
  <si>
    <t>TI-GI308101</t>
  </si>
  <si>
    <t>Y220121D30-5</t>
  </si>
  <si>
    <t>LTI-GI308052B</t>
  </si>
  <si>
    <t>N2209300408-1</t>
  </si>
  <si>
    <t>TI-GI308795</t>
  </si>
  <si>
    <t>Y220928D40-7</t>
  </si>
  <si>
    <t>CPL 14.01 - MILL 2</t>
  </si>
  <si>
    <t>N2205250936-1</t>
  </si>
  <si>
    <t>LTI-GI308389</t>
  </si>
  <si>
    <t>CPL 14.01 - MILL</t>
  </si>
  <si>
    <t>LTI-GI308036B</t>
  </si>
  <si>
    <t>RE CPL 14.01 - BAL</t>
  </si>
  <si>
    <t>CPL 14.01  - MILL</t>
  </si>
  <si>
    <t>CPL 14.01  - MILL 2</t>
  </si>
  <si>
    <t>N2203060620-1</t>
  </si>
  <si>
    <t>LTI-GI308059</t>
  </si>
  <si>
    <t>Y220226D44-4</t>
  </si>
  <si>
    <t>N2204200138-1</t>
  </si>
  <si>
    <t>LTI-GI308077</t>
  </si>
  <si>
    <t>LTI-GI308048A</t>
  </si>
  <si>
    <t>N2201140626-2</t>
  </si>
  <si>
    <t>LTI-GI308892</t>
  </si>
  <si>
    <t>Y211212C10-5</t>
  </si>
  <si>
    <t>N2205250949-1</t>
  </si>
  <si>
    <t>LTI-GI308413</t>
  </si>
  <si>
    <t>RE CPL 15.01 - BAL</t>
  </si>
  <si>
    <t>CPL 15.01 - MILL</t>
  </si>
  <si>
    <t>LTI-GI308046A</t>
  </si>
  <si>
    <t>CPL 15.01 - MILL 2</t>
  </si>
  <si>
    <t>N2207230403-1</t>
  </si>
  <si>
    <t>LTI-GI308467</t>
  </si>
  <si>
    <t>N2210190562-1</t>
  </si>
  <si>
    <t>LTI-GI309041</t>
  </si>
  <si>
    <t>Y221016D42-3</t>
  </si>
  <si>
    <t>N2204200125-2</t>
  </si>
  <si>
    <t>LTI-GI308080</t>
  </si>
  <si>
    <t>N2207240430-2</t>
  </si>
  <si>
    <t>TI-GI308922</t>
  </si>
  <si>
    <t>LTI-GI308051B</t>
  </si>
  <si>
    <t>CPL 16.01 - MILL</t>
  </si>
  <si>
    <t>RE CPL 16.01 - BAL</t>
  </si>
  <si>
    <t>N2207120157-1</t>
  </si>
  <si>
    <t>LTI-GI308851</t>
  </si>
  <si>
    <t>CPL 16.01 - MILL 2</t>
  </si>
  <si>
    <t>N2111210158-1</t>
  </si>
  <si>
    <t>TI-GI308405</t>
  </si>
  <si>
    <t>PASANG LD DARI CLN</t>
  </si>
  <si>
    <t>Y211114B23-1</t>
  </si>
  <si>
    <t>CPL 17.01 - MILL 2</t>
  </si>
  <si>
    <t>RE CPL 17.01 - BAL</t>
  </si>
  <si>
    <t>CPL 17.01 - MILL</t>
  </si>
  <si>
    <t>N2201140626-1</t>
  </si>
  <si>
    <t>LTI-GI308891</t>
  </si>
  <si>
    <t>N2205190158-2</t>
  </si>
  <si>
    <t>LTI-GI308362</t>
  </si>
  <si>
    <t>Y220513B44-6</t>
  </si>
  <si>
    <t>N2209280453-2</t>
  </si>
  <si>
    <t>TI-GI308976</t>
  </si>
  <si>
    <t>Y220923C24-3</t>
  </si>
  <si>
    <t>CPL 18.01 - MILL</t>
  </si>
  <si>
    <t>N2209290859-2</t>
  </si>
  <si>
    <t>LTI-GI309026</t>
  </si>
  <si>
    <t>Y220802A29-5</t>
  </si>
  <si>
    <t>RE CPL 18.01 - BAL</t>
  </si>
  <si>
    <t>N2209280501-2</t>
  </si>
  <si>
    <t>TI-GI308888</t>
  </si>
  <si>
    <t>Y220924C26-1</t>
  </si>
  <si>
    <t>CPL 18.01 - RR</t>
  </si>
  <si>
    <t>N2207180504-1</t>
  </si>
  <si>
    <t>LTI-GI308335</t>
  </si>
  <si>
    <t>12/22/2022, 18.01.2022</t>
  </si>
  <si>
    <t>TI-GI308979</t>
  </si>
  <si>
    <t>CPL 18.01 - MILL 2</t>
  </si>
  <si>
    <t>N2203040934-2</t>
  </si>
  <si>
    <t>LTI-GI308348</t>
  </si>
  <si>
    <t>N2209280453-1</t>
  </si>
  <si>
    <t>TI-GI308975</t>
  </si>
  <si>
    <t>N2204200103-2</t>
  </si>
  <si>
    <t>LTI-GI308386</t>
  </si>
  <si>
    <t>CPL 19.01 - MILL</t>
  </si>
  <si>
    <t>CPL 19.01 - RR</t>
  </si>
  <si>
    <t>N2111210158-2</t>
  </si>
  <si>
    <t>TI-GI308406A</t>
  </si>
  <si>
    <t>12/21/2022, 19.01.2023</t>
  </si>
  <si>
    <t>1/14/2023, 15.01.2023, 18.01.2023</t>
  </si>
  <si>
    <t>TI-GI308406B</t>
  </si>
  <si>
    <t>1/14/2023, 14.01.2023, 18.01.2023</t>
  </si>
  <si>
    <t>RE CPL 19.01 - BAL</t>
  </si>
  <si>
    <t>CPL 19.01 - MILL 2</t>
  </si>
  <si>
    <t>N2205190155-2</t>
  </si>
  <si>
    <t>LTI-GI308320</t>
  </si>
  <si>
    <t>LTI-GI308044B</t>
  </si>
  <si>
    <t>RE CPL 19.01 - MILL</t>
  </si>
  <si>
    <t>REPAIR LEADER STRIP PUTUS DI MILL</t>
  </si>
  <si>
    <t>N2209290524-1</t>
  </si>
  <si>
    <t>LTI-GI308999</t>
  </si>
  <si>
    <t>N2209300450-1</t>
  </si>
  <si>
    <t>TI-GI308961</t>
  </si>
  <si>
    <t>RE CPL 20.01 - BAL</t>
  </si>
  <si>
    <t>CPL 20.01 - MILL</t>
  </si>
  <si>
    <t>CPL 20.01 - MILL 2</t>
  </si>
  <si>
    <t>N2205190158-1</t>
  </si>
  <si>
    <t>LTI-GI308361</t>
  </si>
  <si>
    <t>N2209280501-1</t>
  </si>
  <si>
    <t>TI-GI308887</t>
  </si>
  <si>
    <t>LTI-GI308045B</t>
  </si>
  <si>
    <t>N2210190562-2</t>
  </si>
  <si>
    <t>LTI-GI309042</t>
  </si>
  <si>
    <t>N2202230660-2</t>
  </si>
  <si>
    <t>TI-GI308378</t>
  </si>
  <si>
    <t>Y220129D48-4</t>
  </si>
  <si>
    <t>CPL 21.01 - MILL</t>
  </si>
  <si>
    <t>RE CPL 21.01 - BAL</t>
  </si>
  <si>
    <t>TI-GI308887A</t>
  </si>
  <si>
    <t>RE CPL 21.01 - BBY</t>
  </si>
  <si>
    <t>TI-GI308887B</t>
  </si>
  <si>
    <t>BABY COIL</t>
  </si>
  <si>
    <t>N2208160444-2</t>
  </si>
  <si>
    <t>TI-GI308958</t>
  </si>
  <si>
    <t>CPL 21.01 - MILL 2</t>
  </si>
  <si>
    <t>N2208210607-1</t>
  </si>
  <si>
    <t>TI-GI308853</t>
  </si>
  <si>
    <t>N2210190442-1</t>
  </si>
  <si>
    <t>LTI-GI308995</t>
  </si>
  <si>
    <t>RE CPL 22.01 - MILL</t>
  </si>
  <si>
    <t>RE CPL 22.01 - BAL</t>
  </si>
  <si>
    <t>CPL 22.01 - MILL</t>
  </si>
  <si>
    <t>CPL 22.01 - MILL 2</t>
  </si>
  <si>
    <t>N2206260136-1</t>
  </si>
  <si>
    <t>LTI-GI308339</t>
  </si>
  <si>
    <t>Y220517A06-1</t>
  </si>
  <si>
    <t>N2205110360-2</t>
  </si>
  <si>
    <t>TI-GI308862</t>
  </si>
  <si>
    <t>N2207240431-1</t>
  </si>
  <si>
    <t>TI-GI308967</t>
  </si>
  <si>
    <t>N2209290537-1</t>
  </si>
  <si>
    <t>LTI-GI308947</t>
  </si>
  <si>
    <t>N2209290527-2</t>
  </si>
  <si>
    <t>LTI-GI309032</t>
  </si>
  <si>
    <t>Y220925C22-3</t>
  </si>
  <si>
    <t>CPL 23.01 - MILL</t>
  </si>
  <si>
    <t>N2206230932-2</t>
  </si>
  <si>
    <t>LTI-GI308950</t>
  </si>
  <si>
    <t>RE CPL 23.01 - BAL</t>
  </si>
  <si>
    <t>RE CPL 23.01 - MILL</t>
  </si>
  <si>
    <t>REPAIR COIL SHIFTING DS</t>
  </si>
  <si>
    <t>CPL 23.01 - MILL 2</t>
  </si>
  <si>
    <t>N2205250939-1</t>
  </si>
  <si>
    <t>LTI-GI308363</t>
  </si>
  <si>
    <t>LTI-GI308347</t>
  </si>
  <si>
    <t>N2202030121-2</t>
  </si>
  <si>
    <t>LTI-GI308956</t>
  </si>
  <si>
    <t>CPL 24.01 - MILL</t>
  </si>
  <si>
    <t>RE CPL 24.01 - BAL</t>
  </si>
  <si>
    <t>N2209290527-1</t>
  </si>
  <si>
    <t>LTI-GI309031</t>
  </si>
  <si>
    <t>CPL 25.01 - MILL</t>
  </si>
  <si>
    <t>RE CPL 25.01 - BAL</t>
  </si>
  <si>
    <t>RE CPL 25.01 - MILL 2</t>
  </si>
  <si>
    <t>TI-GI308099</t>
  </si>
  <si>
    <t>N2204200140-2</t>
  </si>
  <si>
    <t>LTI-GI308070</t>
  </si>
  <si>
    <t>REPAIR COIL TELESKOP + POTONG LD BELAKANG</t>
  </si>
  <si>
    <t>N2206260137-2</t>
  </si>
  <si>
    <t>LTI-GI308360</t>
  </si>
  <si>
    <t>N2207050615-1</t>
  </si>
  <si>
    <t>LTI-GI308371</t>
  </si>
  <si>
    <t>Y220627D41-4</t>
  </si>
  <si>
    <t>N2207070120-2</t>
  </si>
  <si>
    <t>TI-GI308342</t>
  </si>
  <si>
    <t>Y220626D52-2</t>
  </si>
  <si>
    <t>N2202030646-2</t>
  </si>
  <si>
    <t>TI-GI308384</t>
  </si>
  <si>
    <t>CPL 26.01 - MILL</t>
  </si>
  <si>
    <t>N2202230660-1</t>
  </si>
  <si>
    <t>TI-GI308377</t>
  </si>
  <si>
    <t>RE CPL 26.01 - BAL</t>
  </si>
  <si>
    <t>N2206180253-2</t>
  </si>
  <si>
    <t>LTI-GI308382</t>
  </si>
  <si>
    <t>CPL 26.01 - MILL 2</t>
  </si>
  <si>
    <t>N2207050615-2</t>
  </si>
  <si>
    <t>LTI-GI308372</t>
  </si>
  <si>
    <t>N2207230413-2</t>
  </si>
  <si>
    <t>LTI-GI308326</t>
  </si>
  <si>
    <t>N2204190701-2</t>
  </si>
  <si>
    <t>TI-GI308102</t>
  </si>
  <si>
    <t>CPL 26.01 - RR - MILL 2</t>
  </si>
  <si>
    <t>N2204190702-2</t>
  </si>
  <si>
    <t>TI-GI308100</t>
  </si>
  <si>
    <t>N2208210609-2</t>
  </si>
  <si>
    <t>TI-GI308334</t>
  </si>
  <si>
    <t>N2205250940-2</t>
  </si>
  <si>
    <t>LTI-GI308330</t>
  </si>
  <si>
    <t>N2206260136-2</t>
  </si>
  <si>
    <t>LTI-GI308340</t>
  </si>
  <si>
    <t>RE CPL 27.01 - BAL</t>
  </si>
  <si>
    <t>CPL 27.01 - MILL</t>
  </si>
  <si>
    <t>N2207230229-1</t>
  </si>
  <si>
    <t>TI-GI308317</t>
  </si>
  <si>
    <t>N2205250945-1</t>
  </si>
  <si>
    <t>LTI-GI308399</t>
  </si>
  <si>
    <t>CPL 27.01 - MILL 2</t>
  </si>
  <si>
    <t>LTI-GI308071</t>
  </si>
  <si>
    <t>N2207230407-2</t>
  </si>
  <si>
    <t>LTI-GI308352</t>
  </si>
  <si>
    <t>N2207230416-2</t>
  </si>
  <si>
    <t>LTI-GI308324</t>
  </si>
  <si>
    <t>N2111100614-2</t>
  </si>
  <si>
    <t>LTI-GI308392</t>
  </si>
  <si>
    <t>Y211101C42-1</t>
  </si>
  <si>
    <t>CPL 27.01 - RR - MILL 2</t>
  </si>
  <si>
    <t>RE CPL 28.01 - BAL</t>
  </si>
  <si>
    <t>CPL 28.01 - MILL</t>
  </si>
  <si>
    <t>N2205240504-1</t>
  </si>
  <si>
    <t>LTI-GI308313</t>
  </si>
  <si>
    <t>N2203180202-2</t>
  </si>
  <si>
    <t>LTI-GI308408</t>
  </si>
  <si>
    <t>N2203190321-2</t>
  </si>
  <si>
    <t>LTI-GI308088</t>
  </si>
  <si>
    <t>N2207070120-1</t>
  </si>
  <si>
    <t>TI-GI308341</t>
  </si>
  <si>
    <t>RE CPL 29.01 - BAL</t>
  </si>
  <si>
    <t>CPL 29.01 - MILL</t>
  </si>
  <si>
    <t>RE CPL 29.01 - MILL</t>
  </si>
  <si>
    <t>N2205040409-2</t>
  </si>
  <si>
    <t>LTI-GI308072</t>
  </si>
  <si>
    <t>N2203250552-2</t>
  </si>
  <si>
    <t>TI-GI308084</t>
  </si>
  <si>
    <t>N2207230214-2</t>
  </si>
  <si>
    <t>TI-GI308354</t>
  </si>
  <si>
    <t>CPL 30.01 - MILL</t>
  </si>
  <si>
    <t>N2207050640-1</t>
  </si>
  <si>
    <t>LTI-GI308307</t>
  </si>
  <si>
    <t>Y220702C41-3</t>
  </si>
  <si>
    <t>RE CPL 30.01 - BAL</t>
  </si>
  <si>
    <t>RE CPL 30.01 - MILL</t>
  </si>
  <si>
    <t>N2201100529-2</t>
  </si>
  <si>
    <t>LTI-GI308094</t>
  </si>
  <si>
    <t>N2206080638-2</t>
  </si>
  <si>
    <t>TI-GI308396</t>
  </si>
  <si>
    <t>CPL 31.01 - MILL</t>
  </si>
  <si>
    <t>RE CPL 31.01 - BAL</t>
  </si>
  <si>
    <t>CPL 31.01 - MILL 2</t>
  </si>
  <si>
    <t>LTI-GI308349</t>
  </si>
  <si>
    <t>CLN 16.01 - MILL 2</t>
  </si>
  <si>
    <t>N2203190322-1</t>
  </si>
  <si>
    <t>LTI-GI308085</t>
  </si>
  <si>
    <t>Y211031C12-4</t>
  </si>
  <si>
    <t>CLN 18.01 - BAL</t>
  </si>
  <si>
    <t>CLN 18.01 - MILL 2</t>
  </si>
  <si>
    <t>CLN 19.01 - BAL</t>
  </si>
  <si>
    <t>1/16/2023, 19.01.2022</t>
  </si>
  <si>
    <t>JAIHIND STEEL</t>
  </si>
  <si>
    <t>CLN 20.01 - BAL</t>
  </si>
  <si>
    <t>POTONG LD</t>
  </si>
  <si>
    <t>CLN 21.01 - BAL</t>
  </si>
  <si>
    <t>CLN 24.01 - BAL</t>
  </si>
  <si>
    <t>1/20/2023, 24.01.2023</t>
  </si>
  <si>
    <t>CLN 24.01 - MILL 2</t>
  </si>
  <si>
    <t>N2207230409-2</t>
  </si>
  <si>
    <t>LTI-GI308322</t>
  </si>
  <si>
    <t>CLN 25.01 - MILL 2</t>
  </si>
  <si>
    <t>N2203190322-2</t>
  </si>
  <si>
    <t>LTI-GI308086</t>
  </si>
  <si>
    <t>N2204200126-2</t>
  </si>
  <si>
    <t>LTI-GI308098</t>
  </si>
  <si>
    <t>CLN 27.01 - BAL</t>
  </si>
  <si>
    <t>CLN 27.01 - MILL 2</t>
  </si>
  <si>
    <t>CLN 28.01 - MILL 2</t>
  </si>
  <si>
    <t>CLN 28.01 - BAL</t>
  </si>
  <si>
    <t>CLN 29.01 - MILL 2</t>
  </si>
  <si>
    <t>CLN 30.01 - MILL 2</t>
  </si>
  <si>
    <t>SAMBUNG LD KURANG PANJANG</t>
  </si>
  <si>
    <t>CLN 30.01 - BAL</t>
  </si>
  <si>
    <t>CLN 31.01 - BAL</t>
  </si>
  <si>
    <t>CLN 31.01 - MILL 2</t>
  </si>
  <si>
    <t>FH/1D</t>
  </si>
  <si>
    <t>NETT IMR</t>
  </si>
  <si>
    <t>SHIFT</t>
  </si>
  <si>
    <t>TGL</t>
  </si>
  <si>
    <t>MILL 02.01 - BAL</t>
  </si>
  <si>
    <t>MILL 03.01 - BAL</t>
  </si>
  <si>
    <t>RISHI ENTERPRISES+NEMINATH</t>
  </si>
  <si>
    <t>MILL 04.01 - BAL</t>
  </si>
  <si>
    <t>MANSA STEEL</t>
  </si>
  <si>
    <t>MILL 05.01 - BAL</t>
  </si>
  <si>
    <t>MILL 06.01 - BAL</t>
  </si>
  <si>
    <t>MILL 07.01 - BAL</t>
  </si>
  <si>
    <t>MILL 08.01 - BAL</t>
  </si>
  <si>
    <t>MILL 09.01 - BAL</t>
  </si>
  <si>
    <t>ICPPL+RAMDEV IMPEX</t>
  </si>
  <si>
    <t>RR 10.01 - BAL</t>
  </si>
  <si>
    <t>MILL 10.01 - BAL</t>
  </si>
  <si>
    <t>MILL 11.01 - BAL</t>
  </si>
  <si>
    <t>RAMDEV IMPEX+TH EMAITRI</t>
  </si>
  <si>
    <t>RAMDEV IMPEX+NEMINATH</t>
  </si>
  <si>
    <t>MILL 12.01 - BAL</t>
  </si>
  <si>
    <t>SKM STEEL - TGL 10.01 DR THICK 1.50 DIVERT KE 1.20mm</t>
  </si>
  <si>
    <t>MILL 13.01 - BAL</t>
  </si>
  <si>
    <t>MILL 14.01 - BAL</t>
  </si>
  <si>
    <t>THE MAITRI METALS+TBS METAL</t>
  </si>
  <si>
    <t>MILL 15.01 - BAL</t>
  </si>
  <si>
    <t>MILL 16.01 - BAL</t>
  </si>
  <si>
    <t>MILL 17.01 - BAL</t>
  </si>
  <si>
    <t>SKM STAINLESS</t>
  </si>
  <si>
    <t>MILL 18.01 - BAL</t>
  </si>
  <si>
    <t>FUTURA+NEMINATH</t>
  </si>
  <si>
    <t>MILL 19.01 - BAL</t>
  </si>
  <si>
    <t>MILL 20.01 - BAL</t>
  </si>
  <si>
    <t>MILL 21.01 - BAL</t>
  </si>
  <si>
    <t>ICPPL+NEMINATH</t>
  </si>
  <si>
    <t>MILL 22.01 - BAL</t>
  </si>
  <si>
    <t>MILL 23.01 - BAL</t>
  </si>
  <si>
    <t>MILL 24.01 - BAL</t>
  </si>
  <si>
    <t>MILL 25.01 - BAL</t>
  </si>
  <si>
    <t>MILL 26.01 - BAL</t>
  </si>
  <si>
    <t>MILL 27.01 - BAL</t>
  </si>
  <si>
    <t>MILL 28.01 - BAL</t>
  </si>
  <si>
    <t>MILL 29.01 - BAL</t>
  </si>
  <si>
    <t>MILL 30.01 - BAL</t>
  </si>
  <si>
    <t>MILL 31.01 - BAL</t>
  </si>
  <si>
    <t>MILL 2 06.01 - BAL</t>
  </si>
  <si>
    <t>MILL 2 09.01 - BAL</t>
  </si>
  <si>
    <t>LTI-GI308336B</t>
  </si>
  <si>
    <t>MILL 2 10.01 - BAL</t>
  </si>
  <si>
    <t>MILL 2 11.01 - BAL</t>
  </si>
  <si>
    <t>JAIHIND STELL</t>
  </si>
  <si>
    <t>MILL 2 12.01 - BAL</t>
  </si>
  <si>
    <t>MILL 2 13.01 - BAL</t>
  </si>
  <si>
    <t>TI-GI308333A</t>
  </si>
  <si>
    <t>TI-GI308333B</t>
  </si>
  <si>
    <t>MILL 2 14.01 - BAL</t>
  </si>
  <si>
    <t>MILL 2 15.01 - BAL</t>
  </si>
  <si>
    <t>MILL 2 16.01 - BAL</t>
  </si>
  <si>
    <t>N2203110434-2</t>
  </si>
  <si>
    <t>LTI-GI308092</t>
  </si>
  <si>
    <t>Y220224D52-6</t>
  </si>
  <si>
    <t>N2203110434-1</t>
  </si>
  <si>
    <t>LTI-GI308091</t>
  </si>
  <si>
    <t>LTI-GI308393</t>
  </si>
  <si>
    <t>MILL 2 17.01 - BAL</t>
  </si>
  <si>
    <t>MILL 2 18.01 - BAL</t>
  </si>
  <si>
    <t>RR - MILL 2 18.01 - BAL</t>
  </si>
  <si>
    <t>RR - MILL 2 19.01 - BAL</t>
  </si>
  <si>
    <t>TI-GI308406A+B</t>
  </si>
  <si>
    <t>12/22/2022, 19.01.2023</t>
  </si>
  <si>
    <t>MILL 2 19.01 - BAL</t>
  </si>
  <si>
    <t>MILL 2 20.01 - BAL</t>
  </si>
  <si>
    <t>MILL 2 23.01 - BAL</t>
  </si>
  <si>
    <t>MILL 2 24.01 - BAL</t>
  </si>
  <si>
    <t>MILL 2 25.01 - BAL</t>
  </si>
  <si>
    <t>MILL 2 26.01 - BAL</t>
  </si>
  <si>
    <t>MILL 2 27.01 - BAL</t>
  </si>
  <si>
    <t>RR - MILL 2 27.01 - BAL</t>
  </si>
  <si>
    <t>MILL 2 30.01 - BAL</t>
  </si>
  <si>
    <t>MILL 2 31.01 - BAL</t>
  </si>
  <si>
    <t>SALES CONTRAK</t>
  </si>
  <si>
    <t>BAL 01.01.2023 - WH</t>
  </si>
  <si>
    <t>WH</t>
  </si>
  <si>
    <t>N2209300425-1</t>
  </si>
  <si>
    <t>TI-GI308759B</t>
  </si>
  <si>
    <t>284/12-2022/EXP</t>
  </si>
  <si>
    <t>RISHI ENTERPRISES</t>
  </si>
  <si>
    <t>ARRIVE AT IMR 15.12.22</t>
  </si>
  <si>
    <t>Y220928C20-5</t>
  </si>
  <si>
    <t>BAL 01.01 - SLT</t>
  </si>
  <si>
    <t>N2209300457-2</t>
  </si>
  <si>
    <t>TI-GI308780</t>
  </si>
  <si>
    <t>Y220928C21-1</t>
  </si>
  <si>
    <t>N2208290441-2</t>
  </si>
  <si>
    <t>LTI-GI308740A+B</t>
  </si>
  <si>
    <t>281/11-2022/EXP+284/12-2022/EXP</t>
  </si>
  <si>
    <t>NEMINATH IMPEX+RISHI ENTERPRISES</t>
  </si>
  <si>
    <t>Y220804A64-4</t>
  </si>
  <si>
    <t>LTI-GI308740C</t>
  </si>
  <si>
    <t>N2209300458-2</t>
  </si>
  <si>
    <t>TI-GI308768A+B</t>
  </si>
  <si>
    <t>Y220928D40-2</t>
  </si>
  <si>
    <t>N2209280514-1</t>
  </si>
  <si>
    <t>TI-GI308701A+B</t>
  </si>
  <si>
    <t>Y220924C42-7</t>
  </si>
  <si>
    <t>K2205215417BB</t>
  </si>
  <si>
    <t>FF205099</t>
  </si>
  <si>
    <t>TISCO DC WORX</t>
  </si>
  <si>
    <t>K2211171917A</t>
  </si>
  <si>
    <t>EM205318</t>
  </si>
  <si>
    <t>K2207252106B</t>
  </si>
  <si>
    <t>FF205216</t>
  </si>
  <si>
    <t>N220724AV16</t>
  </si>
  <si>
    <t>K2206024202B</t>
  </si>
  <si>
    <t>EM205124</t>
  </si>
  <si>
    <t>BAL 02.01.2023 - WH</t>
  </si>
  <si>
    <t>N2208290469-2</t>
  </si>
  <si>
    <t>LTI-GI308680A+B</t>
  </si>
  <si>
    <t>273/11-2022/EXP</t>
  </si>
  <si>
    <t>Y220701D02-3</t>
  </si>
  <si>
    <t>N2208290433-2</t>
  </si>
  <si>
    <t>LTI-GI308786A+B</t>
  </si>
  <si>
    <t>Y220804A68-3</t>
  </si>
  <si>
    <t>N2208290470-2</t>
  </si>
  <si>
    <t>LTI-GI308674A+B</t>
  </si>
  <si>
    <t>Y220804A66-3</t>
  </si>
  <si>
    <t>N2208290473-2</t>
  </si>
  <si>
    <t>LTI-GI308710A+B</t>
  </si>
  <si>
    <t>Y220803B55-2</t>
  </si>
  <si>
    <t>BAL 02.01 - SLT</t>
  </si>
  <si>
    <t>N2209280513-1</t>
  </si>
  <si>
    <t>TI-GI308711</t>
  </si>
  <si>
    <t>ARRIVE AT IMR 30.11.22</t>
  </si>
  <si>
    <t>Y220924C24-6</t>
  </si>
  <si>
    <t>N2204020817-2</t>
  </si>
  <si>
    <t>TI-GI308604A+B</t>
  </si>
  <si>
    <t>262/11-2022/EXP</t>
  </si>
  <si>
    <t>Y220330D44-4</t>
  </si>
  <si>
    <t>N2208290437-1</t>
  </si>
  <si>
    <t>LTI-GI308655</t>
  </si>
  <si>
    <t>SKM STANLESS</t>
  </si>
  <si>
    <t>Y220804A64-2</t>
  </si>
  <si>
    <t>N2209280517-2</t>
  </si>
  <si>
    <t>TI-GI308688A+B</t>
  </si>
  <si>
    <t>Y220825C49-5</t>
  </si>
  <si>
    <t>BAL 03.01.2023 - WH</t>
  </si>
  <si>
    <t>N2208290431-2</t>
  </si>
  <si>
    <t>LTI-GI308748A</t>
  </si>
  <si>
    <t>Y220804A69-3</t>
  </si>
  <si>
    <t>BAL 03.01 - SLT</t>
  </si>
  <si>
    <t>LTI-GI308748B</t>
  </si>
  <si>
    <t>BAL 03.01 - RR</t>
  </si>
  <si>
    <t>N2209230174-1</t>
  </si>
  <si>
    <t>LTI-GI308985A+B</t>
  </si>
  <si>
    <t>277/11-2022/EXP+298/12-2022/EXP</t>
  </si>
  <si>
    <t>N2208290437-2</t>
  </si>
  <si>
    <t>LTI-GI308656A+B</t>
  </si>
  <si>
    <t>N2209280520-1</t>
  </si>
  <si>
    <t>TI-GI308695A+B</t>
  </si>
  <si>
    <t>Y220924C23-2</t>
  </si>
  <si>
    <t>N2209290916-1</t>
  </si>
  <si>
    <t>LTI-GI308935A</t>
  </si>
  <si>
    <t>280/11-2022/EXP</t>
  </si>
  <si>
    <t>NEMINETH IMPEX</t>
  </si>
  <si>
    <t>LTI-GI308935B</t>
  </si>
  <si>
    <t>N2209280541-1</t>
  </si>
  <si>
    <t>TI-GI308647A+B</t>
  </si>
  <si>
    <t>Y220924C05-2</t>
  </si>
  <si>
    <t>NH2208290427-2</t>
  </si>
  <si>
    <t>LTI-GI308690A+B+C</t>
  </si>
  <si>
    <t>Y220606D47-3</t>
  </si>
  <si>
    <t>N2204020817-1</t>
  </si>
  <si>
    <t>TI-GI308603A</t>
  </si>
  <si>
    <t>BAL 04.01.2023 - WH</t>
  </si>
  <si>
    <t>TI-GI308603B+C</t>
  </si>
  <si>
    <t>N2208290429-2</t>
  </si>
  <si>
    <t>LTI-GI308658A+B+C</t>
  </si>
  <si>
    <t>Y220525C48-4</t>
  </si>
  <si>
    <t>N2209280518-2</t>
  </si>
  <si>
    <t>TI-GI308624A</t>
  </si>
  <si>
    <t>Y220924C07-5</t>
  </si>
  <si>
    <t>BAL 04.01 - SLT</t>
  </si>
  <si>
    <t>TI-GI308624B</t>
  </si>
  <si>
    <t>N2208290430-2</t>
  </si>
  <si>
    <t>LTI-GI308670A</t>
  </si>
  <si>
    <t>Y220524C44-4</t>
  </si>
  <si>
    <t>LTI-GI308670B</t>
  </si>
  <si>
    <t>BAL 04.01 - RR</t>
  </si>
  <si>
    <t>N2208300105-1</t>
  </si>
  <si>
    <t>TI-GI308775A+B</t>
  </si>
  <si>
    <t>Y220814D05-6</t>
  </si>
  <si>
    <t>N2209280448-2</t>
  </si>
  <si>
    <t>TI-GI308806A+B</t>
  </si>
  <si>
    <t>278/11-2022/EXP+262/11-2022/EXP</t>
  </si>
  <si>
    <t>SHAH FOILS+SKM STAINLESS</t>
  </si>
  <si>
    <t>N2209280473-2</t>
  </si>
  <si>
    <t>TI-GI308698A+B</t>
  </si>
  <si>
    <t>Y220924C04-1</t>
  </si>
  <si>
    <t>N2209300431-2</t>
  </si>
  <si>
    <t>TI-GI308798A+B</t>
  </si>
  <si>
    <t>ARRIVE AT IMR 24.11.22</t>
  </si>
  <si>
    <t>Y220928C02-1</t>
  </si>
  <si>
    <t>BAL 05.01.2023 - WH</t>
  </si>
  <si>
    <t>N2208290430-1</t>
  </si>
  <si>
    <t>LTI-GI308669A+B</t>
  </si>
  <si>
    <t>N2204020814-2</t>
  </si>
  <si>
    <t>TI-GI308770A+B+C</t>
  </si>
  <si>
    <t>Y220330C06-1</t>
  </si>
  <si>
    <t>N2208300137-2</t>
  </si>
  <si>
    <t>LTI-GI308628A+B</t>
  </si>
  <si>
    <t>Y220301C20-3</t>
  </si>
  <si>
    <t>N2209280511-1</t>
  </si>
  <si>
    <t>TI-GI308615A+B</t>
  </si>
  <si>
    <t>Y220924C06-6</t>
  </si>
  <si>
    <t>N2209280517-1</t>
  </si>
  <si>
    <t>TI-GI308687A+B</t>
  </si>
  <si>
    <t>N2209280479-2</t>
  </si>
  <si>
    <t>TI-GI308642A+B</t>
  </si>
  <si>
    <t>Y220924C05-4</t>
  </si>
  <si>
    <t>BAL 05.01 - SLT</t>
  </si>
  <si>
    <t>N2209280513-2</t>
  </si>
  <si>
    <t>TI-GI308712</t>
  </si>
  <si>
    <t>N2209280482-2</t>
  </si>
  <si>
    <t>TI-GI308708A+B</t>
  </si>
  <si>
    <t>Y220924C23-4</t>
  </si>
  <si>
    <t>N2208290431-1</t>
  </si>
  <si>
    <t>LTI-GI308747A+B</t>
  </si>
  <si>
    <t>BAL 06.01.2023 - WH</t>
  </si>
  <si>
    <t>LTI-GI308747C</t>
  </si>
  <si>
    <t>282/11-2022/EXP</t>
  </si>
  <si>
    <t>NEMINATH</t>
  </si>
  <si>
    <t>N2209280511-2</t>
  </si>
  <si>
    <t>TI-GI308616A1+A2</t>
  </si>
  <si>
    <t>BAL 06.01 - SLT</t>
  </si>
  <si>
    <t>TI-GI308616B</t>
  </si>
  <si>
    <t>N2208300137-1</t>
  </si>
  <si>
    <t>LTI-GI308627A+B</t>
  </si>
  <si>
    <t>GI360375A1</t>
  </si>
  <si>
    <t>215/08-2022/EXP</t>
  </si>
  <si>
    <t>GI360375A2</t>
  </si>
  <si>
    <t>GI360369A1+A2</t>
  </si>
  <si>
    <t>GI360366B1+B2</t>
  </si>
  <si>
    <t>GI360378B1+B2</t>
  </si>
  <si>
    <t>GI360366A1+A2</t>
  </si>
  <si>
    <t>GI360378A1</t>
  </si>
  <si>
    <t>BAL 07.01.2023 - WH</t>
  </si>
  <si>
    <t>GI360378A2</t>
  </si>
  <si>
    <t>GI360369B1+B2</t>
  </si>
  <si>
    <t>BAL 07.01 - SLT</t>
  </si>
  <si>
    <t>N2210130405</t>
  </si>
  <si>
    <t>GI360371A</t>
  </si>
  <si>
    <t>Y220930A31-5</t>
  </si>
  <si>
    <t>GI360365A1+A2</t>
  </si>
  <si>
    <t>GI360374A1+A2</t>
  </si>
  <si>
    <t>GI360370A2+A3</t>
  </si>
  <si>
    <t>GI360370B1+B2</t>
  </si>
  <si>
    <t>GI360372A1+A2</t>
  </si>
  <si>
    <t>N2210130347</t>
  </si>
  <si>
    <t>GI360377B1+B2</t>
  </si>
  <si>
    <t>Y221001B21-3</t>
  </si>
  <si>
    <t>BAL 08.01 - SLT</t>
  </si>
  <si>
    <t>GI360373A</t>
  </si>
  <si>
    <t>BAL 08.01.2023 - WH</t>
  </si>
  <si>
    <t>GI360374B1</t>
  </si>
  <si>
    <t>GI360374B2</t>
  </si>
  <si>
    <t>GI360371B</t>
  </si>
  <si>
    <t>GI360368B1</t>
  </si>
  <si>
    <t>GI360368B2</t>
  </si>
  <si>
    <t>GI360375B1+B2</t>
  </si>
  <si>
    <t>GI360372B1</t>
  </si>
  <si>
    <t>GI360372B2</t>
  </si>
  <si>
    <t>GI360377A1</t>
  </si>
  <si>
    <t>GI360377A2</t>
  </si>
  <si>
    <t>LTI-GI308728A</t>
  </si>
  <si>
    <t>277/11-2022/EXP</t>
  </si>
  <si>
    <t>BAL 09.01.2023 - WH</t>
  </si>
  <si>
    <t>LTI-GI308728B</t>
  </si>
  <si>
    <t>GI360368A1+A2</t>
  </si>
  <si>
    <t>LTI-GI308733A+B</t>
  </si>
  <si>
    <t>GI360365B1+B2</t>
  </si>
  <si>
    <t>LTI-GI308608A+B+C</t>
  </si>
  <si>
    <t>BAL 09.01 - SLT</t>
  </si>
  <si>
    <t>N2209300436-2</t>
  </si>
  <si>
    <t>TI-GI308800</t>
  </si>
  <si>
    <t>Y220928C03-5</t>
  </si>
  <si>
    <t>BAL 09.01 - RR</t>
  </si>
  <si>
    <t>FLEX PUTIH+BERCAK ROLL</t>
  </si>
  <si>
    <t>LTI-GI308607A</t>
  </si>
  <si>
    <t>BAL 10.01.2023 - WH</t>
  </si>
  <si>
    <t>LTI-GI308607B+C</t>
  </si>
  <si>
    <t>TI-GI308965A</t>
  </si>
  <si>
    <t>BAL 10.01 - SLT</t>
  </si>
  <si>
    <t>TI-GI308965B</t>
  </si>
  <si>
    <t>N2208290359-2</t>
  </si>
  <si>
    <t>TI-GI308714A+B+C</t>
  </si>
  <si>
    <t>277/11-2022/EXP+275/11-2022/EXP</t>
  </si>
  <si>
    <t>SHAH FOILS4+8</t>
  </si>
  <si>
    <t>Y220802A60-8</t>
  </si>
  <si>
    <t>TI-GI307819A1</t>
  </si>
  <si>
    <t>TI-GI307819A2</t>
  </si>
  <si>
    <t>N2209300442-2</t>
  </si>
  <si>
    <t>TI-GI308788A</t>
  </si>
  <si>
    <t>Y220927C13-5</t>
  </si>
  <si>
    <t>TI-GI308788B</t>
  </si>
  <si>
    <t>278/11-2022/EXP</t>
  </si>
  <si>
    <t>N2209300408-2</t>
  </si>
  <si>
    <t>TI-GI308796A+B</t>
  </si>
  <si>
    <t>TI-GI307814A1+A2</t>
  </si>
  <si>
    <t>269/11-2022/EXP</t>
  </si>
  <si>
    <t>BAL 11.01 - SLT</t>
  </si>
  <si>
    <t>K2205031401B</t>
  </si>
  <si>
    <t>GU205057</t>
  </si>
  <si>
    <t>FCIAU5223080</t>
  </si>
  <si>
    <t>N220502AR14</t>
  </si>
  <si>
    <t>K2205031517B</t>
  </si>
  <si>
    <t>EM205008B1</t>
  </si>
  <si>
    <t>6/27/2022, 12.12.2022</t>
  </si>
  <si>
    <t>7/6/2022, 11.01.2023</t>
  </si>
  <si>
    <t>CSNU1229624</t>
  </si>
  <si>
    <t>N220502AT08</t>
  </si>
  <si>
    <t>EM205008B2</t>
  </si>
  <si>
    <t>K2205082050A</t>
  </si>
  <si>
    <t>GU205034</t>
  </si>
  <si>
    <t>N220508AR07</t>
  </si>
  <si>
    <t>K2209213902B</t>
  </si>
  <si>
    <t>GU205299</t>
  </si>
  <si>
    <t>BAL 11.01.2023 - WH</t>
  </si>
  <si>
    <t>TI-GI307814B1+B2</t>
  </si>
  <si>
    <t>TI-GI307823B1</t>
  </si>
  <si>
    <t>BAL 12.01.2023 - WH</t>
  </si>
  <si>
    <t>TI-GI307823B2</t>
  </si>
  <si>
    <t>TI-GI307816B1+B2</t>
  </si>
  <si>
    <t>TI-GI307827A1+A2</t>
  </si>
  <si>
    <t>MANSA STEEL + STOCK</t>
  </si>
  <si>
    <t>BAL 12.01 - SLT</t>
  </si>
  <si>
    <t>1/4/2023, 12.01.2023</t>
  </si>
  <si>
    <t>CEK SLT</t>
  </si>
  <si>
    <t>296/12-2022/EXP</t>
  </si>
  <si>
    <t>TI-GI307824A1+A2</t>
  </si>
  <si>
    <t>SACHIN STEEL + STOCK</t>
  </si>
  <si>
    <t>BAL 13.01.2023 - WH</t>
  </si>
  <si>
    <t>LTI-GI308033B1+B2</t>
  </si>
  <si>
    <t>BAL 13.01 - SLT</t>
  </si>
  <si>
    <t>LTI-GI308033B3</t>
  </si>
  <si>
    <t>1/3/2023, 13.01.2023</t>
  </si>
  <si>
    <t>BAL 13.01 - RR</t>
  </si>
  <si>
    <t>N2209290522-2</t>
  </si>
  <si>
    <t>LTI-GI309030A+B</t>
  </si>
  <si>
    <t>281/11-2022/EXP</t>
  </si>
  <si>
    <t>Y220925C02-2</t>
  </si>
  <si>
    <t>N2209300429-2</t>
  </si>
  <si>
    <t>TI-GI308838A+B</t>
  </si>
  <si>
    <t>N2209300458-1</t>
  </si>
  <si>
    <t>TI-GI308767A+B</t>
  </si>
  <si>
    <t>N2209300460-2</t>
  </si>
  <si>
    <t>TI-GI308818A+B</t>
  </si>
  <si>
    <t>N2209290530-1</t>
  </si>
  <si>
    <t>LTI-GI308903A</t>
  </si>
  <si>
    <t>Y220925C06-6</t>
  </si>
  <si>
    <t>BAL 14.01.2023 - WH</t>
  </si>
  <si>
    <t>LTI-GI308903B</t>
  </si>
  <si>
    <t>N2209300426-2</t>
  </si>
  <si>
    <t>TI-GI308836A+B</t>
  </si>
  <si>
    <t>Y220929C04-1</t>
  </si>
  <si>
    <t>N2209280472-2</t>
  </si>
  <si>
    <t>TI-GI308704A+B</t>
  </si>
  <si>
    <t>Y220924C42-2</t>
  </si>
  <si>
    <t>BAL 14.01 - SLT</t>
  </si>
  <si>
    <t>N2209280503-1</t>
  </si>
  <si>
    <t>TI-GI308883</t>
  </si>
  <si>
    <t>Y220924C05-3</t>
  </si>
  <si>
    <t>BAL 14.01 - RR</t>
  </si>
  <si>
    <t>N2201140615-2</t>
  </si>
  <si>
    <t>LTI-GI307630A+B</t>
  </si>
  <si>
    <t>275/11-2022/EXP</t>
  </si>
  <si>
    <t>8/13/2022, 16.12.2022</t>
  </si>
  <si>
    <t>8/13/2022, 19.12.2022</t>
  </si>
  <si>
    <t>ARRIVE AT IMR 12.08.22</t>
  </si>
  <si>
    <t>Y211211D20-1</t>
  </si>
  <si>
    <t>LTI-GI307630C</t>
  </si>
  <si>
    <t>8/14/2022, 14.01.2023</t>
  </si>
  <si>
    <t>N2209280502-1</t>
  </si>
  <si>
    <t>TI-GI308951A+B</t>
  </si>
  <si>
    <t>282/11-2022/EXP271/11-2022/EXP</t>
  </si>
  <si>
    <t>NEMINATH IMPEXSKM STAINLESS</t>
  </si>
  <si>
    <t>N2204020815-2</t>
  </si>
  <si>
    <t>TI-GI308574A+B+C</t>
  </si>
  <si>
    <t>Y220330C10-2</t>
  </si>
  <si>
    <t>N2209290534-1</t>
  </si>
  <si>
    <t>LTI-GI308885A+B</t>
  </si>
  <si>
    <t>Y220925C04-1</t>
  </si>
  <si>
    <t>BAL 15.01.2023 - WH</t>
  </si>
  <si>
    <t>N2208300135-2</t>
  </si>
  <si>
    <t>LTI-GI308858A+B</t>
  </si>
  <si>
    <t>278/11-2022/EXP+275/11-2022/EXP</t>
  </si>
  <si>
    <t>Y220409B23-3</t>
  </si>
  <si>
    <t>N2208290438-2</t>
  </si>
  <si>
    <t>LTI-GI308650A+B</t>
  </si>
  <si>
    <t>Y220801B20-1</t>
  </si>
  <si>
    <t>N2208300135-1</t>
  </si>
  <si>
    <t>LTI-GI308857A+B</t>
  </si>
  <si>
    <t>N2208290441-1</t>
  </si>
  <si>
    <t>LTI-GI308739A+B+C</t>
  </si>
  <si>
    <t>275/11-2022/EXP+278/11-2022/EXP</t>
  </si>
  <si>
    <t>N2208290434-2</t>
  </si>
  <si>
    <t>LTI-GI308694A+B+C</t>
  </si>
  <si>
    <t>Y220804B43-4</t>
  </si>
  <si>
    <t>N2209150209-1</t>
  </si>
  <si>
    <t>LTI-GI308825A+B</t>
  </si>
  <si>
    <t>N2209280506-2</t>
  </si>
  <si>
    <t>TI-GI308752A1+A2</t>
  </si>
  <si>
    <t>Y220924C06-2</t>
  </si>
  <si>
    <t>N2209280454-2</t>
  </si>
  <si>
    <t>TI-GI308966A+B</t>
  </si>
  <si>
    <t>BAL 16.01 - SLT</t>
  </si>
  <si>
    <t>N2206260634-1</t>
  </si>
  <si>
    <t>LTI-GI308397</t>
  </si>
  <si>
    <t>12/18/2022, 20.12.2022</t>
  </si>
  <si>
    <t>BAL 16.01.2023 - WH</t>
  </si>
  <si>
    <t>LTI-GI309041A+B</t>
  </si>
  <si>
    <t>SHAH FOILS+STOCK</t>
  </si>
  <si>
    <t>LTI-GI308892A+B</t>
  </si>
  <si>
    <t>N2209290528-2</t>
  </si>
  <si>
    <t>LTI-GI308954A+B</t>
  </si>
  <si>
    <t>Y220925C23-4</t>
  </si>
  <si>
    <t>N2208290358-1</t>
  </si>
  <si>
    <t>TI-GI308685A+B+C</t>
  </si>
  <si>
    <t>271/11-2022/EXP</t>
  </si>
  <si>
    <t>Y220524C51-6</t>
  </si>
  <si>
    <t>BAL 17.01.2023 - WH</t>
  </si>
  <si>
    <t>N2208290360-2</t>
  </si>
  <si>
    <t>TI-GI308842A</t>
  </si>
  <si>
    <t>Y220627D49-7</t>
  </si>
  <si>
    <t>BAL 17.01 - SLT</t>
  </si>
  <si>
    <t>TI-GI308842B</t>
  </si>
  <si>
    <t>N2208290360-1</t>
  </si>
  <si>
    <t>TI-GI308841A+B</t>
  </si>
  <si>
    <t>N2207290305-2</t>
  </si>
  <si>
    <t>LTI-GI308312A+B</t>
  </si>
  <si>
    <t>ARRIVE AT IMR 10.11.22</t>
  </si>
  <si>
    <t>Y220610A28-6</t>
  </si>
  <si>
    <t>N2209280504-2</t>
  </si>
  <si>
    <t>TI-GI308720A+B</t>
  </si>
  <si>
    <t>Y220924C26-3</t>
  </si>
  <si>
    <t>N2112150549-2</t>
  </si>
  <si>
    <t>TI-GI307318A+B</t>
  </si>
  <si>
    <t>GOODLUCK STAINLESS</t>
  </si>
  <si>
    <t>7/21/2022, 10.12.2022</t>
  </si>
  <si>
    <t>7/21/2022, 14.12.2022</t>
  </si>
  <si>
    <t>ARRIVE AT IMR 06.07.22</t>
  </si>
  <si>
    <t>Y211207C08-4</t>
  </si>
  <si>
    <t>BAL 18.01.2023 - WH</t>
  </si>
  <si>
    <t>N2208300207-1</t>
  </si>
  <si>
    <t>LTI-GI308289B</t>
  </si>
  <si>
    <t>11/17/2022, 12.12.2022</t>
  </si>
  <si>
    <t>11/17/2022, 14.12.2022</t>
  </si>
  <si>
    <t>Y220317A24-1</t>
  </si>
  <si>
    <t>N2207290319-2</t>
  </si>
  <si>
    <t>LTI-GI308228B</t>
  </si>
  <si>
    <t>CEK COIL BY QC OK RR / STOCK MULTI</t>
  </si>
  <si>
    <t>10/21/2022, 14.12.2022</t>
  </si>
  <si>
    <t>10/21/2022, 16.12.2022</t>
  </si>
  <si>
    <t>ARRIVE AT IMR 19.10.22</t>
  </si>
  <si>
    <t>Y220619C28-1</t>
  </si>
  <si>
    <t>N2209280473-1</t>
  </si>
  <si>
    <t>TI-GI308697B</t>
  </si>
  <si>
    <t>12/14/2022, 29.12.2022</t>
  </si>
  <si>
    <t>12/14/2022, 30.12.2022</t>
  </si>
  <si>
    <t>LTI-GI308891A+B</t>
  </si>
  <si>
    <t>BAL 18.01 - SLT</t>
  </si>
  <si>
    <t>BAL 19.01 - SLT</t>
  </si>
  <si>
    <t>BAL 20.01 - SLT</t>
  </si>
  <si>
    <t>1/13/2023, 20.01.2023</t>
  </si>
  <si>
    <t>1/14/2023, 20.01.2023</t>
  </si>
  <si>
    <t>BAL 20.01.2023 - WH</t>
  </si>
  <si>
    <t>LTI-GI309000A+B</t>
  </si>
  <si>
    <t>298/12-2022/EXP</t>
  </si>
  <si>
    <t>LTI-GI308727A+B+C</t>
  </si>
  <si>
    <t>285/12-2022/EXP+297/12-2022/EXP</t>
  </si>
  <si>
    <t>RISHI ENTERPRISES8+NEMINATH</t>
  </si>
  <si>
    <t>N2209300442-1</t>
  </si>
  <si>
    <t>TI-GI308787A+B</t>
  </si>
  <si>
    <t>285/12-2022/EXP</t>
  </si>
  <si>
    <t>RISHI ENETERPRISES</t>
  </si>
  <si>
    <t>TI-GI308032A1</t>
  </si>
  <si>
    <t>TI-GI308032A2</t>
  </si>
  <si>
    <t>N2209300425-2</t>
  </si>
  <si>
    <t>TI-GI308760A+B</t>
  </si>
  <si>
    <t>LTI-GI308041B1+B2+B3</t>
  </si>
  <si>
    <t>299/12-2022/EXP+298/12-2022/EXP</t>
  </si>
  <si>
    <t>RAMDEV IMPEX8+NEMINATH</t>
  </si>
  <si>
    <t>BAL 21.01.2023 - WH</t>
  </si>
  <si>
    <t>N2209280472-1</t>
  </si>
  <si>
    <t>TI-GI308703A+B</t>
  </si>
  <si>
    <t>N2209280449-2</t>
  </si>
  <si>
    <t>TI-GI308816A+B</t>
  </si>
  <si>
    <t>Y220923C04-5</t>
  </si>
  <si>
    <t>TI-GI308975A+B</t>
  </si>
  <si>
    <t>N2209290529-1</t>
  </si>
  <si>
    <t>LTI-GI308893A+B</t>
  </si>
  <si>
    <t>N2208300138-1</t>
  </si>
  <si>
    <t>LTI-GI308867A+B</t>
  </si>
  <si>
    <t>N2208290438-1</t>
  </si>
  <si>
    <t>LTI-GI308649A+B</t>
  </si>
  <si>
    <t>N2206240580-1</t>
  </si>
  <si>
    <t>LTI-GI308651A+B</t>
  </si>
  <si>
    <t>N2204020814-1</t>
  </si>
  <si>
    <t>TI-GI308769A+B</t>
  </si>
  <si>
    <t>BAL 21.01 - SLT</t>
  </si>
  <si>
    <t>TI-GI308769C</t>
  </si>
  <si>
    <t>N2204030108-2</t>
  </si>
  <si>
    <t>TI-GI308640A</t>
  </si>
  <si>
    <t>BAL 22.01.2023 - WH</t>
  </si>
  <si>
    <t>TI-GI308640B+C</t>
  </si>
  <si>
    <t>BAL 22.01 - SLT</t>
  </si>
  <si>
    <t>LTI-GI308894B</t>
  </si>
  <si>
    <t>BAL 22.01 - HOLD SLT</t>
  </si>
  <si>
    <t xml:space="preserve">BOTTOM SCRACTH </t>
  </si>
  <si>
    <t>TI-GI308053A1</t>
  </si>
  <si>
    <t>TI-GI308053A2</t>
  </si>
  <si>
    <t>BAL 22.01 - RR</t>
  </si>
  <si>
    <t>12/5/2022, 07.12.2022</t>
  </si>
  <si>
    <t>LTI-GI308055B1+B2</t>
  </si>
  <si>
    <t>292/12-2022/EXP</t>
  </si>
  <si>
    <t>TI-GI308682A+B</t>
  </si>
  <si>
    <t>TI-GI308804A</t>
  </si>
  <si>
    <t>TI-GI308804B</t>
  </si>
  <si>
    <t>BAL 23.01.2023 - WH</t>
  </si>
  <si>
    <t>N2208300211-1</t>
  </si>
  <si>
    <t>LTI-GI308625A+B+C</t>
  </si>
  <si>
    <t>Y220627C20-2</t>
  </si>
  <si>
    <t>LTI-GI308652A+B</t>
  </si>
  <si>
    <t>292/12-2022/EXP+293/12-2022/EXP</t>
  </si>
  <si>
    <t>LTI-GI308041A1+A2</t>
  </si>
  <si>
    <t>289/12-2022/EXP+299/12-2022/EXP</t>
  </si>
  <si>
    <t>BAL 23.01 - SLT</t>
  </si>
  <si>
    <t>LTI-GI308041A3</t>
  </si>
  <si>
    <t>TI-GI308939A+B</t>
  </si>
  <si>
    <t>299/12-2022/EXP</t>
  </si>
  <si>
    <t>TI-GI308976A+B</t>
  </si>
  <si>
    <t>301/12-2022/EXP</t>
  </si>
  <si>
    <t>TI-GI308976C</t>
  </si>
  <si>
    <t>BAL 23.01 - RR</t>
  </si>
  <si>
    <t>BAL 24.01 - SLT</t>
  </si>
  <si>
    <t>BAL 24.01.2023 - WH</t>
  </si>
  <si>
    <t>LTI-GI308054A1</t>
  </si>
  <si>
    <t>290/12-2022/EXP</t>
  </si>
  <si>
    <t>LTI-GI308054A2</t>
  </si>
  <si>
    <t>LTI-GI308035B1+B2+B3</t>
  </si>
  <si>
    <t>BAL 24.01 - HOLD SLT</t>
  </si>
  <si>
    <t>TI-GI308795A</t>
  </si>
  <si>
    <t>TI-GI308795B</t>
  </si>
  <si>
    <t>LTI-GI308048B1</t>
  </si>
  <si>
    <t>BAL 25.01 - SLT</t>
  </si>
  <si>
    <t>K2204041715A</t>
  </si>
  <si>
    <t>GU204982</t>
  </si>
  <si>
    <t>BAL 25.01 - RR</t>
  </si>
  <si>
    <t>11/3/2022, 12.01.2023</t>
  </si>
  <si>
    <t>K2206243536B</t>
  </si>
  <si>
    <t>EM205138</t>
  </si>
  <si>
    <t>K2205220101A</t>
  </si>
  <si>
    <t>GU205054</t>
  </si>
  <si>
    <t>CSLU1717093</t>
  </si>
  <si>
    <t>BAL 25.01.2023 - WH</t>
  </si>
  <si>
    <t>LTI-GI308361A+B</t>
  </si>
  <si>
    <t>307/12-2022/EXP</t>
  </si>
  <si>
    <t>BAL 26.01 - SLT</t>
  </si>
  <si>
    <t>BAL 26.01.2023 - WH</t>
  </si>
  <si>
    <t>LTI-GI308363A+B</t>
  </si>
  <si>
    <t>LTI-GI308386A+B</t>
  </si>
  <si>
    <t>LTI-GI308371A+B</t>
  </si>
  <si>
    <t>TI-GI308384A+B</t>
  </si>
  <si>
    <t>TI-GI308102A</t>
  </si>
  <si>
    <t>BAL 27.01.2023 - WH</t>
  </si>
  <si>
    <t>TI-GI308102B</t>
  </si>
  <si>
    <t>LTI-GI308360A+B</t>
  </si>
  <si>
    <t>293/12-2022/EXP</t>
  </si>
  <si>
    <t>LTI-GI308382A+B</t>
  </si>
  <si>
    <t>LTI-GI308326A+B</t>
  </si>
  <si>
    <t xml:space="preserve">306/12-2022/EXP+307/12-2022/EXP
</t>
  </si>
  <si>
    <t>TI-GI308100A+B</t>
  </si>
  <si>
    <t>LTI-GI308340A+B</t>
  </si>
  <si>
    <t>BAL 28.01 - SLT</t>
  </si>
  <si>
    <t>BAL 28.01.2023 - WH</t>
  </si>
  <si>
    <t>LTI-GI308348A+B</t>
  </si>
  <si>
    <t>TI-GI308377A+B</t>
  </si>
  <si>
    <t>306/12-2022/EXP</t>
  </si>
  <si>
    <t>LTI-GI308956A+B</t>
  </si>
  <si>
    <t>300/12-2022/EXP</t>
  </si>
  <si>
    <t>LTI-GI308070A+B</t>
  </si>
  <si>
    <t>LTI-GI308313A+B</t>
  </si>
  <si>
    <t>LTI-GI308372A+B</t>
  </si>
  <si>
    <t>TI-GI308378A+B</t>
  </si>
  <si>
    <t>LTI-GI308322A</t>
  </si>
  <si>
    <t>BAL 29.01.2023 - WH</t>
  </si>
  <si>
    <t>LTI-GI308322B</t>
  </si>
  <si>
    <t>BAL 29.01 - SLT</t>
  </si>
  <si>
    <t>TI-GI308334A+B</t>
  </si>
  <si>
    <t>LTI-GI308098A</t>
  </si>
  <si>
    <t>LTI-GI309010A</t>
  </si>
  <si>
    <t>303/12-2022/EXP</t>
  </si>
  <si>
    <t>LTI-GI308045B1+B2</t>
  </si>
  <si>
    <t>303/12-2022/EXP +
305/12-2022/EXP</t>
  </si>
  <si>
    <t>LTI-GI308851A+B+C</t>
  </si>
  <si>
    <t>288/12-2022/EXP+
304/12-2022/EXP</t>
  </si>
  <si>
    <t>TBS METAL8+NEMINATH IMPEX</t>
  </si>
  <si>
    <t>LTI-GI308950A+B</t>
  </si>
  <si>
    <t>304/12-2022/EXP</t>
  </si>
  <si>
    <t>LTI-GI308044B1+B2</t>
  </si>
  <si>
    <t>BAL 30.01.2023 - WH</t>
  </si>
  <si>
    <t>TI-GI308862A+B</t>
  </si>
  <si>
    <t>305/12-2022/EXP</t>
  </si>
  <si>
    <t>TI-GI308958A+B</t>
  </si>
  <si>
    <t>BAL 30.01 - SLT</t>
  </si>
  <si>
    <t>TI-GI308922A+B</t>
  </si>
  <si>
    <t>NEMINATH IMPEX+STOCK</t>
  </si>
  <si>
    <t>TI-GI308887A1+A2</t>
  </si>
  <si>
    <t>LTI-GI308039A1+A2+A3</t>
  </si>
  <si>
    <t>305/12-2022/EXP+290/12-2022/EXP</t>
  </si>
  <si>
    <t>NEMINATH IMPEX4+SKM STEELS</t>
  </si>
  <si>
    <t>N2209280509-2</t>
  </si>
  <si>
    <t>TI-GI308732A</t>
  </si>
  <si>
    <t>274/11-2022/EXP</t>
  </si>
  <si>
    <t>Y220924C42-1</t>
  </si>
  <si>
    <t>BAL 31.01.2023 - WH</t>
  </si>
  <si>
    <t>TI-GI308732B</t>
  </si>
  <si>
    <t>N2209280510-1</t>
  </si>
  <si>
    <t>TI-GI308723A</t>
  </si>
  <si>
    <t>Y220924C26-4</t>
  </si>
  <si>
    <t>BAL 31.01 - SLT</t>
  </si>
  <si>
    <t>TI-GI308723B</t>
  </si>
  <si>
    <t>TI-GI308396A+B+C</t>
  </si>
  <si>
    <t>LTI-GI308324A+B</t>
  </si>
  <si>
    <t>LTI-GI308324C</t>
  </si>
  <si>
    <t>BAL 2 18.01 - SLT</t>
  </si>
  <si>
    <t>K2206024213A</t>
  </si>
  <si>
    <t>EM205130</t>
  </si>
  <si>
    <t>N220516AQ07</t>
  </si>
  <si>
    <t>BAL 2 19.01 - SLT</t>
  </si>
  <si>
    <t>K2205082050B</t>
  </si>
  <si>
    <t>GU205035</t>
  </si>
  <si>
    <t>K2205031526A</t>
  </si>
  <si>
    <t>GU205058</t>
  </si>
  <si>
    <t>TEMU2771867</t>
  </si>
  <si>
    <t>K2205082143B</t>
  </si>
  <si>
    <t>GU205045</t>
  </si>
  <si>
    <t>BAL 2 20.01 - SLT</t>
  </si>
  <si>
    <t>K2205171245B</t>
  </si>
  <si>
    <t>GU205069</t>
  </si>
  <si>
    <t>CSLU2271386</t>
  </si>
  <si>
    <t>K2205220101B</t>
  </si>
  <si>
    <t>GU205055</t>
  </si>
  <si>
    <t>N2209290520-1</t>
  </si>
  <si>
    <t>LTI-GI308907</t>
  </si>
  <si>
    <t>LTI-GI308908C</t>
  </si>
  <si>
    <t>BAL 2 21.01 - SLT</t>
  </si>
  <si>
    <t>BAL 2 21.01.2023 - WH</t>
  </si>
  <si>
    <t>N2209290528-1</t>
  </si>
  <si>
    <t>LTI-GI308953A+B</t>
  </si>
  <si>
    <t>TI-GI308871A</t>
  </si>
  <si>
    <t>N2209300447-2</t>
  </si>
  <si>
    <t>TI-GI308960A+B</t>
  </si>
  <si>
    <t>N2209290521-1</t>
  </si>
  <si>
    <t>LTI-GI308927A</t>
  </si>
  <si>
    <t>LTI-GI308927B</t>
  </si>
  <si>
    <t>N2209290534-2</t>
  </si>
  <si>
    <t>LTI-GI308886A+B</t>
  </si>
  <si>
    <t>BAL 2 22.01 - SLT</t>
  </si>
  <si>
    <t>LTI-GI308868B</t>
  </si>
  <si>
    <t>BAL 2 22.01.2023 - WH</t>
  </si>
  <si>
    <t>N2209230182-1</t>
  </si>
  <si>
    <t>TI-GI308879A</t>
  </si>
  <si>
    <t>TI-GI308879B</t>
  </si>
  <si>
    <t>TI-GI307824B1+B2</t>
  </si>
  <si>
    <t>TI-GI307813A1</t>
  </si>
  <si>
    <t>BAL 2 22.01.2023 - WH KW 2</t>
  </si>
  <si>
    <t>WH KW 2</t>
  </si>
  <si>
    <t>TI-GI307813A2</t>
  </si>
  <si>
    <t>TI-GI307813A3</t>
  </si>
  <si>
    <t>BAL 2 23.01 - SLT</t>
  </si>
  <si>
    <t>TI-GI308888A+C</t>
  </si>
  <si>
    <t>BAL 2 23.01.2023 - WH</t>
  </si>
  <si>
    <t>TI-GI308888B+D</t>
  </si>
  <si>
    <t>TI-GI308982A</t>
  </si>
  <si>
    <t>TI-GI308982B</t>
  </si>
  <si>
    <t>LTI-GI308033A1+A2+A3</t>
  </si>
  <si>
    <t>299/12-2022/EXP+300/12-2022/EXP</t>
  </si>
  <si>
    <t>RAMDEV IMPEX4+8</t>
  </si>
  <si>
    <t>TI-GI308855A+B</t>
  </si>
  <si>
    <t>THE EMAITRI+RAMDEV IMPEX</t>
  </si>
  <si>
    <t>LTI-GI309042A</t>
  </si>
  <si>
    <t>LTI-GI309042B</t>
  </si>
  <si>
    <t>LTI-GI308999A</t>
  </si>
  <si>
    <t>LTI-GI308999B1+B2</t>
  </si>
  <si>
    <t>LTI-GI309032A</t>
  </si>
  <si>
    <t>308/12-2022/EXP</t>
  </si>
  <si>
    <t>BAL 2 24.01.2023 - WH</t>
  </si>
  <si>
    <t>LTI-GI309032B</t>
  </si>
  <si>
    <t>TI-GI308853A+B</t>
  </si>
  <si>
    <t>302/12-2022/EXP</t>
  </si>
  <si>
    <t>BAL 2 24.01 - SLT</t>
  </si>
  <si>
    <t>LTI-GI309026A</t>
  </si>
  <si>
    <t>LTI-GI309026B</t>
  </si>
  <si>
    <t>305/012-2022/EXP</t>
  </si>
  <si>
    <t>LTI-GI308048A1</t>
  </si>
  <si>
    <t>LTI-GI308048A2</t>
  </si>
  <si>
    <t>LTI-GI308052A1</t>
  </si>
  <si>
    <t>LTI-GI308052A2</t>
  </si>
  <si>
    <t>LTI-GI308052A3</t>
  </si>
  <si>
    <t>TI-GI307817A1</t>
  </si>
  <si>
    <t>TI-GI307817A2</t>
  </si>
  <si>
    <t>K2206143517B</t>
  </si>
  <si>
    <t>EM205115</t>
  </si>
  <si>
    <t>BAL 2 25.01 - SLT</t>
  </si>
  <si>
    <t>K2205031526B</t>
  </si>
  <si>
    <t>GU205059</t>
  </si>
  <si>
    <t>TRHU2789730</t>
  </si>
  <si>
    <t>LTI-GI308052B2</t>
  </si>
  <si>
    <t>LTI-GI308052B3</t>
  </si>
  <si>
    <t>TI-GI308803A</t>
  </si>
  <si>
    <t>BAL 2 25.01.2023 - WH</t>
  </si>
  <si>
    <t>TI-GI308803B</t>
  </si>
  <si>
    <t>289/12-2022/EXP</t>
  </si>
  <si>
    <t>TI-GI307816A1+A2</t>
  </si>
  <si>
    <t>TI-GI308967A+B</t>
  </si>
  <si>
    <t>297/12-2022/EXP</t>
  </si>
  <si>
    <t>TI-GI308053B1+B2+B3</t>
  </si>
  <si>
    <t>LTI-GI308056B1</t>
  </si>
  <si>
    <t>BAL 2 26.01.2023 - WH</t>
  </si>
  <si>
    <t>LTI-GI308056B2</t>
  </si>
  <si>
    <t>BAL 2 26.01 - SLT</t>
  </si>
  <si>
    <t>TI-GI308913A</t>
  </si>
  <si>
    <t>LTI-GI308936A+B</t>
  </si>
  <si>
    <t>LTI-GI308947A+B</t>
  </si>
  <si>
    <t>TI-GI307813B1+B2</t>
  </si>
  <si>
    <t>LTI-GI308040B1+2</t>
  </si>
  <si>
    <t>LTI-GI308040B3</t>
  </si>
  <si>
    <t>LTI-GI308995A</t>
  </si>
  <si>
    <t>BAL 2 27.01.2023 - WH</t>
  </si>
  <si>
    <t>LTI-GI308995B</t>
  </si>
  <si>
    <t>BAL 2 27.01 - SLT</t>
  </si>
  <si>
    <t>LTI-GI308038B1</t>
  </si>
  <si>
    <t>LTI-GI308038B2</t>
  </si>
  <si>
    <t>LTI-GI308046A1</t>
  </si>
  <si>
    <t>BAL 2 29.01 - RR</t>
  </si>
  <si>
    <t>BAL 2 29.01 - SLT</t>
  </si>
  <si>
    <t>TI-GI308961A</t>
  </si>
  <si>
    <t>BAL 2 29.01.2023 - WH</t>
  </si>
  <si>
    <t>TI-GI308961B</t>
  </si>
  <si>
    <t>BAL 2 30.01 - SLT</t>
  </si>
  <si>
    <t>N2208290358-2</t>
  </si>
  <si>
    <t>TI-GI308686A+B+C</t>
  </si>
  <si>
    <t>LTI-GI309031A+B</t>
  </si>
  <si>
    <t>N2206260119-2</t>
  </si>
  <si>
    <t>LTI-GI308174</t>
  </si>
  <si>
    <t>Y220521E53-1</t>
  </si>
  <si>
    <t>K2206033903B</t>
  </si>
  <si>
    <t>EM205119</t>
  </si>
  <si>
    <t>N220603AQ04</t>
  </si>
  <si>
    <t>K2209242410B</t>
  </si>
  <si>
    <t>GU205303</t>
  </si>
  <si>
    <t>BAL 2 31.01 - SLT</t>
  </si>
  <si>
    <t>BAL 2 31.01.2023 - WH</t>
  </si>
  <si>
    <t>TI-GI308341A+B</t>
  </si>
  <si>
    <t>306/12-2022/EXP+009/01-2023/EXP</t>
  </si>
  <si>
    <t xml:space="preserve">ICPPL+SHREE ASHAPURA </t>
  </si>
  <si>
    <t>304&gt;2.1%</t>
  </si>
  <si>
    <t>201&gt;2.5%</t>
  </si>
  <si>
    <t xml:space="preserve">Thickness
(mm)
</t>
  </si>
  <si>
    <t>OUTPUT WEIGT</t>
  </si>
  <si>
    <t>SCRAP TEORITIS</t>
  </si>
  <si>
    <t>OUTPUT WIDTH</t>
  </si>
  <si>
    <t>SLT 02.01.2023 - WH</t>
  </si>
  <si>
    <t>EM205124A1-10+B1-7</t>
  </si>
  <si>
    <t>MULTI</t>
  </si>
  <si>
    <t>110/12-2022/LOC</t>
  </si>
  <si>
    <t>FF205099A1-7+B1-4</t>
  </si>
  <si>
    <t>FF205216A1-6+B1-6+C1-5</t>
  </si>
  <si>
    <t>SLT 02.01 - BAL</t>
  </si>
  <si>
    <t>POTONG LEADER STRIP UNTUK BAL</t>
  </si>
  <si>
    <t>SLT 03.01.2023 - WH</t>
  </si>
  <si>
    <t>TI-GI308711A+B</t>
  </si>
  <si>
    <t>TI-GI308780A+B</t>
  </si>
  <si>
    <t>LTI-GI308655A+B</t>
  </si>
  <si>
    <t>SLT 03.01 - RR</t>
  </si>
  <si>
    <t>EM205318A1-6+B1-9+C1-6</t>
  </si>
  <si>
    <t>SLT 04.01.2023 - WH</t>
  </si>
  <si>
    <t>SLT 04.01 - RR</t>
  </si>
  <si>
    <t>LTI-GI308935B1-8</t>
  </si>
  <si>
    <t>101/11-2022/LOC</t>
  </si>
  <si>
    <t>SLT 05.01.2023 - WH</t>
  </si>
  <si>
    <t>K2204170124BA</t>
  </si>
  <si>
    <t>EM204998A1-10</t>
  </si>
  <si>
    <t>073/09-2022/LOC</t>
  </si>
  <si>
    <t>SLT 06.01.2023 - WH</t>
  </si>
  <si>
    <t>TI-GI308712A+B</t>
  </si>
  <si>
    <t>N2206260119-1</t>
  </si>
  <si>
    <t>LTI-GI308173A</t>
  </si>
  <si>
    <t>JOB ORDER TRIYUDA</t>
  </si>
  <si>
    <t>JOB ORDER RE SLIT TRIYUDA</t>
  </si>
  <si>
    <t>SLT 06.01 - BAL</t>
  </si>
  <si>
    <t>SLT 07.01.2022 - WH</t>
  </si>
  <si>
    <t>SLT 07.01 - HOLD SLT</t>
  </si>
  <si>
    <t>1/6/2023, 07.01.2023</t>
  </si>
  <si>
    <t>SLT 08.01.2023 - WH</t>
  </si>
  <si>
    <t>GI360373A1</t>
  </si>
  <si>
    <t>SLT 08.01 - RE SLT</t>
  </si>
  <si>
    <t>GI360373A2</t>
  </si>
  <si>
    <t>RE SLT 08.01.2023 - WH</t>
  </si>
  <si>
    <t>RM - SLT 08.01 - RM</t>
  </si>
  <si>
    <t>GULUNG ULANG TELESCOPE</t>
  </si>
  <si>
    <t>SLT 09.01 - RE SLT</t>
  </si>
  <si>
    <t>12/16/2022, 09.01.2023</t>
  </si>
  <si>
    <t>SLT 09.01.2023 - WH</t>
  </si>
  <si>
    <t>GI360371A1</t>
  </si>
  <si>
    <t>GI360371A2</t>
  </si>
  <si>
    <t>RE SLT 09.01.2023 - WH</t>
  </si>
  <si>
    <t>GI360373B1+B2</t>
  </si>
  <si>
    <t>283/12-2022/EXP+215/08-2022/EXP</t>
  </si>
  <si>
    <t>NEMINATH IMPEX+TBS METAL</t>
  </si>
  <si>
    <t>GI360371B1+B2</t>
  </si>
  <si>
    <t>HOLD SLT 09.01 - RE SLT</t>
  </si>
  <si>
    <t>1/6/2023, 07.01.2023, 09.01.2023</t>
  </si>
  <si>
    <t>SLT 09.01 - RM</t>
  </si>
  <si>
    <t>SLT 10.01.2023 - WH</t>
  </si>
  <si>
    <t>TI-GI308863A+B</t>
  </si>
  <si>
    <t>SLT 10.01 - RE SLT</t>
  </si>
  <si>
    <t>RE SLT 10.01 - RR</t>
  </si>
  <si>
    <t>RE SLT 10.01.2023 - WH</t>
  </si>
  <si>
    <t>TI-GI308639B+C</t>
  </si>
  <si>
    <t>TI-GI308837A+B</t>
  </si>
  <si>
    <t>TI-GI308800A</t>
  </si>
  <si>
    <t>TI-GI308800B</t>
  </si>
  <si>
    <t>TI-GI308965B1</t>
  </si>
  <si>
    <t>TI-GI308082A+B</t>
  </si>
  <si>
    <t>LTI-GI308456B1-7</t>
  </si>
  <si>
    <t>286/12-2022/EXP</t>
  </si>
  <si>
    <t>RE SLT 11.01.2023 - WH</t>
  </si>
  <si>
    <t>LTI-GI308456A1-7</t>
  </si>
  <si>
    <t>SLT 11.01.2023 - WH</t>
  </si>
  <si>
    <t>SLT 11.01 - RE SLT</t>
  </si>
  <si>
    <t>SLT 11.01 - RR</t>
  </si>
  <si>
    <t>TI-GI308788A1</t>
  </si>
  <si>
    <t>GU205057B1-7</t>
  </si>
  <si>
    <t>SLT 11.01 - BAL</t>
  </si>
  <si>
    <t>GU205299B</t>
  </si>
  <si>
    <t>EM205008B2.1-5</t>
  </si>
  <si>
    <t>EM205008B1.1-7</t>
  </si>
  <si>
    <t>GU205034A1-7+B1-7</t>
  </si>
  <si>
    <t>SLT 12.01.2023 - WH</t>
  </si>
  <si>
    <t>GU205299B1-6+C1-6</t>
  </si>
  <si>
    <t>LTI-GI309009A1-10+B1-10</t>
  </si>
  <si>
    <t>111/12-2022/LOC</t>
  </si>
  <si>
    <t>REP WH - SLT 12.01.2023 - WH</t>
  </si>
  <si>
    <t>EM205008B2.5</t>
  </si>
  <si>
    <t>LTI-GI308398A+B</t>
  </si>
  <si>
    <t>PAPER CORE</t>
  </si>
  <si>
    <t>SLT 12.01 - BAL</t>
  </si>
  <si>
    <t>INOX IMPORTERS - POTONG LEADER STRIP OD+ID</t>
  </si>
  <si>
    <t>TRIYUDA - POTONG LEADER STRIP OD+ID</t>
  </si>
  <si>
    <t>JAIHIND STEEL - POTONG LEADER STRIP OD+ID</t>
  </si>
  <si>
    <t>SLT 13.01.2023 - WH</t>
  </si>
  <si>
    <t>LTI-GI308078A+B</t>
  </si>
  <si>
    <t>TI-GI308081A</t>
  </si>
  <si>
    <t>SLT 13.01 - RE SLT</t>
  </si>
  <si>
    <t>TI-GI308081B</t>
  </si>
  <si>
    <t>LTI-GI308079B</t>
  </si>
  <si>
    <t>1/2/2023, 04.01.2023, 13.01.2023</t>
  </si>
  <si>
    <t>LTI-GI308079C+D</t>
  </si>
  <si>
    <t>SLT 13.01.2023 - WH KW 2</t>
  </si>
  <si>
    <t>LTI-GI308079E</t>
  </si>
  <si>
    <t>RE SLT 13.01.2023 - WH</t>
  </si>
  <si>
    <t>TI-GI308074B1.1+B1.2</t>
  </si>
  <si>
    <t>SLT 13.01 - RR</t>
  </si>
  <si>
    <t>SLT 14.01 - BAL</t>
  </si>
  <si>
    <t>CHECK MATERIAL PUTUS DARI MILL</t>
  </si>
  <si>
    <t>SLT 14.01 - RR</t>
  </si>
  <si>
    <t>1/14/2023, 14.01.2023</t>
  </si>
  <si>
    <t>SLT 15.01.2023 - WH</t>
  </si>
  <si>
    <t>SLT 15.01 - RR</t>
  </si>
  <si>
    <t>1/14/2023, 15.01.2023</t>
  </si>
  <si>
    <t>SLT 15.01 - BAL</t>
  </si>
  <si>
    <t>SLT 16.01.2023 - WH</t>
  </si>
  <si>
    <t>TI-GI308883A</t>
  </si>
  <si>
    <t>SLT 16.01 - RE SLT</t>
  </si>
  <si>
    <t>TI-GI308883B</t>
  </si>
  <si>
    <t>RE SLT 16.01.2023 - WH</t>
  </si>
  <si>
    <t>SLT 16.01 - BAL</t>
  </si>
  <si>
    <t>LTI-GI308390A1-9+B1-9</t>
  </si>
  <si>
    <t>LTI-GI308414A1-9+B1-9</t>
  </si>
  <si>
    <t>N2209300436-1</t>
  </si>
  <si>
    <t>TI-GI308799B1-5</t>
  </si>
  <si>
    <t>LTI-GI308397B+C</t>
  </si>
  <si>
    <t>LTI-GI308336B1-7</t>
  </si>
  <si>
    <t>SLT 17.01.2023 - WH</t>
  </si>
  <si>
    <t>LTI-GI308336C1-7</t>
  </si>
  <si>
    <t>SLT 17.01 - BAL</t>
  </si>
  <si>
    <t>SLT 17.01 - RE SLT</t>
  </si>
  <si>
    <t>EM205121A</t>
  </si>
  <si>
    <t>LTI-GI308091B+C</t>
  </si>
  <si>
    <t>LTI-GI308092B+C</t>
  </si>
  <si>
    <t>SLT 18.01 - RE SLT</t>
  </si>
  <si>
    <t>LTI-GI308393B</t>
  </si>
  <si>
    <t>SLT 18.01 - HOLD SLT</t>
  </si>
  <si>
    <t>RE SLT 18.01.2023 - WH</t>
  </si>
  <si>
    <t>LTI-GI308393B1+B2</t>
  </si>
  <si>
    <t>SLT 18.01 - RR</t>
  </si>
  <si>
    <t>SLT 18.01 - BAL</t>
  </si>
  <si>
    <t>SLT 18.01.2023 - WH</t>
  </si>
  <si>
    <t>LTI-GI308389A1-9</t>
  </si>
  <si>
    <t>LTI-GI308389B</t>
  </si>
  <si>
    <t>1/15/2023, 18.01.2023</t>
  </si>
  <si>
    <t>LTI-GI308089A1-8+B1-8</t>
  </si>
  <si>
    <t>SLT 19.01.2023 - WH</t>
  </si>
  <si>
    <t>LTI-GI308090A1-10+B1-10</t>
  </si>
  <si>
    <t>LTI-GI308413A1-9+B1-9</t>
  </si>
  <si>
    <t>HOLD SLT 19.01.2023 - WH KW 2</t>
  </si>
  <si>
    <t>HOLD SLT 19.01.2023 - WH</t>
  </si>
  <si>
    <t>LTI-GI308389C1-9</t>
  </si>
  <si>
    <t>LTI-GI308610A1-9+B1-9</t>
  </si>
  <si>
    <t>LTI-GI308516A16+B1-7</t>
  </si>
  <si>
    <t>LTI-GI308367A1-4+B1-4</t>
  </si>
  <si>
    <t>287/12-2022/EXP</t>
  </si>
  <si>
    <t>TI-GI308083A1-4+B1-4</t>
  </si>
  <si>
    <t>TI-GI308353A1-4+B1-4</t>
  </si>
  <si>
    <t>LTI-GI308077A1-6+B1-6</t>
  </si>
  <si>
    <t>LTI-GI308359A1-6+B1-6</t>
  </si>
  <si>
    <t>LTI-GI308749A1-8+B1-8</t>
  </si>
  <si>
    <t>SLT 20.01.2023 - WH</t>
  </si>
  <si>
    <t>LTI-GI308080A1-10+B1-10</t>
  </si>
  <si>
    <t>LTI-GI308335B+C</t>
  </si>
  <si>
    <t>TI-GI308406A2</t>
  </si>
  <si>
    <t>TI-GI308406B1</t>
  </si>
  <si>
    <t>TI-GI308333B1-6</t>
  </si>
  <si>
    <t>TI-GI308101A1-8+B1-7</t>
  </si>
  <si>
    <t>LTI-GI308059A1-10</t>
  </si>
  <si>
    <t>SLT 21.01.2023 - WH</t>
  </si>
  <si>
    <t>LTI-GI308059B1-10</t>
  </si>
  <si>
    <t>GU205045A1-7+B1-7</t>
  </si>
  <si>
    <t>SLT 21.01 - SLT</t>
  </si>
  <si>
    <t>LTI-GI308907B1-4</t>
  </si>
  <si>
    <t>GU205035A1-6+B1-6</t>
  </si>
  <si>
    <t>GU205058A1-6+B1-5</t>
  </si>
  <si>
    <t>059/07-2022/LOC</t>
  </si>
  <si>
    <t>SLT 23.01.2023 - WH</t>
  </si>
  <si>
    <t>TI-GI308053A1.1+A1.2</t>
  </si>
  <si>
    <t>TI-GI307815B1</t>
  </si>
  <si>
    <t>SLT 23.01 - RE SLT</t>
  </si>
  <si>
    <t>TI-GI307815B2</t>
  </si>
  <si>
    <t>LTI-GI308927A1</t>
  </si>
  <si>
    <t>SLT 23.01 - SLT</t>
  </si>
  <si>
    <t>RE SLT 23.01.2023 - WH</t>
  </si>
  <si>
    <t>TI-GI307813A1.2</t>
  </si>
  <si>
    <t>TI-GI308879B1</t>
  </si>
  <si>
    <t>LTI-GI308927B1</t>
  </si>
  <si>
    <t>GU205055A1-8</t>
  </si>
  <si>
    <t>SLT 24.01.2023 - WH</t>
  </si>
  <si>
    <t>GU205055B1-7</t>
  </si>
  <si>
    <t>082/10-2022/LOC</t>
  </si>
  <si>
    <t>TI-GI308333A1-6</t>
  </si>
  <si>
    <t>SLT 24.01 - RE SLT</t>
  </si>
  <si>
    <t>TI-GI307819B1</t>
  </si>
  <si>
    <t>TI-GI307819B2</t>
  </si>
  <si>
    <t>RE SLT 24.01.2023 - WH</t>
  </si>
  <si>
    <t>HOLD SLT 24.01.2023 - WH</t>
  </si>
  <si>
    <t>TI-GI307823A1+A2</t>
  </si>
  <si>
    <t>SLT 24.01 - HOLD SLT</t>
  </si>
  <si>
    <t>TI-GI308976C+D</t>
  </si>
  <si>
    <t>LTI-GI309042A1</t>
  </si>
  <si>
    <t>LTI-GI308908C1-7</t>
  </si>
  <si>
    <t>HOLD SLT 25.01 - RR</t>
  </si>
  <si>
    <t>SLT 25.01.2023 - WH</t>
  </si>
  <si>
    <t>LTI-GI308907C1-7</t>
  </si>
  <si>
    <t>TI-GI307827B1+B2</t>
  </si>
  <si>
    <t>SLT 25.01 - RR</t>
  </si>
  <si>
    <t>TI-GI308032A2+A3</t>
  </si>
  <si>
    <t>TI-GI308854A+B</t>
  </si>
  <si>
    <t>RE SLT 25.01.2023 - WH</t>
  </si>
  <si>
    <t>TI-GI308032B2</t>
  </si>
  <si>
    <t>12/31/2022, 25.01.2023</t>
  </si>
  <si>
    <t>LTI-GI308467A+B+C+D</t>
  </si>
  <si>
    <t>SLT 26.01 - RR</t>
  </si>
  <si>
    <t>SLT 26.01 - RE SLT</t>
  </si>
  <si>
    <t>SLT 26.01.2023 - WH</t>
  </si>
  <si>
    <t>TI-GI308888C</t>
  </si>
  <si>
    <t>RE SLT 26.01.2023 - WH</t>
  </si>
  <si>
    <t>TI-GI307815A2.1+A2.2</t>
  </si>
  <si>
    <t>REP WH - SLT 26.01.2023 - WH</t>
  </si>
  <si>
    <t>LTI-GI308467B</t>
  </si>
  <si>
    <t>LTI-GI308467A</t>
  </si>
  <si>
    <t>LTI-GI308467C</t>
  </si>
  <si>
    <t>LTI-GI308467D</t>
  </si>
  <si>
    <t>EM205138A1-7</t>
  </si>
  <si>
    <t>GU205054A1-6+B1-10</t>
  </si>
  <si>
    <t>EM205115A1.1-5+A2.1-5</t>
  </si>
  <si>
    <t>EM205121A1.1-6+A2.1-6</t>
  </si>
  <si>
    <t>LTI-GI308040B1</t>
  </si>
  <si>
    <t>GU204982A1-6+B1-6</t>
  </si>
  <si>
    <t>073/09-2022/LOC+082/10-2022/LOC</t>
  </si>
  <si>
    <t>SLT 27.01.2023 - WH</t>
  </si>
  <si>
    <t>GU205059A1-4+B1-4</t>
  </si>
  <si>
    <t>LTI-GI308040B2</t>
  </si>
  <si>
    <t>LTI-GI308040A2.1+A2.2</t>
  </si>
  <si>
    <t>SLT 27.01 - RE SLT</t>
  </si>
  <si>
    <t>TI-GI308342A</t>
  </si>
  <si>
    <t>TI-GI308342B</t>
  </si>
  <si>
    <t>LTI-GI308038B1+B2</t>
  </si>
  <si>
    <t>RE SLT 27.01.2023 - WH</t>
  </si>
  <si>
    <t>LTI-GI308051B1+B2+B3</t>
  </si>
  <si>
    <t>SLT 27.01 - BAL</t>
  </si>
  <si>
    <t>LTI-GI308320A+B</t>
  </si>
  <si>
    <t>TI-GI308405A</t>
  </si>
  <si>
    <t>SLT 28.01.2023 - WH</t>
  </si>
  <si>
    <t>TI-GI308405B</t>
  </si>
  <si>
    <t>SLT 28.01 - RR</t>
  </si>
  <si>
    <t>LTI-GI308330A+B</t>
  </si>
  <si>
    <t>LTI-GI308339A+B</t>
  </si>
  <si>
    <t>LTI-GI308085A+B+C</t>
  </si>
  <si>
    <t>SLT 28.01 - RE SLT</t>
  </si>
  <si>
    <t>LTI-GI308036B1</t>
  </si>
  <si>
    <t>LTI-GI308036B2+B3</t>
  </si>
  <si>
    <t>302/12-2022/EXP + 303/12-2022/EXP</t>
  </si>
  <si>
    <t>RE SLT 28.01.2023 - WH</t>
  </si>
  <si>
    <t>TI-GI308880A+B</t>
  </si>
  <si>
    <t>SLT 28.01 - BAL</t>
  </si>
  <si>
    <t>LTI-GI308052A1.1</t>
  </si>
  <si>
    <t>REP WH - SLT 28.01 - RR</t>
  </si>
  <si>
    <t>re slt - check</t>
  </si>
  <si>
    <t>LTI-GI308052A3.1</t>
  </si>
  <si>
    <t>LTI-GI308036A2.1</t>
  </si>
  <si>
    <t>TI-GI308803A1</t>
  </si>
  <si>
    <t>HOLD SLT 28.01.2023 - WH</t>
  </si>
  <si>
    <t>TI-GI308795B1</t>
  </si>
  <si>
    <t>SLT 28.01 - HOLD SLT</t>
  </si>
  <si>
    <t>SLT 29.01.2023 - WH</t>
  </si>
  <si>
    <t>GU205069A1-5+B1-6</t>
  </si>
  <si>
    <t>K2105265217BA</t>
  </si>
  <si>
    <t>EM204713A1-6</t>
  </si>
  <si>
    <t>N2209280516-2</t>
  </si>
  <si>
    <t>TI-GI308738B1-7</t>
  </si>
  <si>
    <t>FLEX PUTIH</t>
  </si>
  <si>
    <t>Y220825C48-4</t>
  </si>
  <si>
    <t>LTI-GI308086A+B+C</t>
  </si>
  <si>
    <t>TI-GI308914A</t>
  </si>
  <si>
    <t>SLT 29.01 - RR</t>
  </si>
  <si>
    <t>SLT 30.01.2023 - WH</t>
  </si>
  <si>
    <t>EM205138B1-5</t>
  </si>
  <si>
    <t>TI-GI308686A</t>
  </si>
  <si>
    <t>SLT 30.01 - RR</t>
  </si>
  <si>
    <t>SLT 30.01 - RE SLT</t>
  </si>
  <si>
    <t>TI-GI308686B</t>
  </si>
  <si>
    <t>RE SLT 30.01.2023 - WH</t>
  </si>
  <si>
    <t>TI-GI308686C</t>
  </si>
  <si>
    <t>LTI-GI309031B</t>
  </si>
  <si>
    <t>LTI-GI309031A</t>
  </si>
  <si>
    <t>EM205130A1-3+B1-3</t>
  </si>
  <si>
    <t>SLT 30.01.2023 - WH KW 2</t>
  </si>
  <si>
    <t>EM205130C</t>
  </si>
  <si>
    <t>SLT 30.01 - BAL</t>
  </si>
  <si>
    <t>POTONG LEADER STRIP+CRACK</t>
  </si>
  <si>
    <t>LTI-GI308174A+B</t>
  </si>
  <si>
    <t>EM205119A1-7</t>
  </si>
  <si>
    <t>SLT 31.01.2023 - WH</t>
  </si>
  <si>
    <t>EM205119B1-6</t>
  </si>
  <si>
    <t>LTI-GI308098B</t>
  </si>
  <si>
    <t>SLT 31.01 - BAL</t>
  </si>
  <si>
    <t>TI-GI308099A1-4</t>
  </si>
  <si>
    <t>SLT 31.01 - SLT</t>
  </si>
  <si>
    <t>EM205008B1.2.1-3</t>
  </si>
  <si>
    <t>EM205008B1.1.1-3</t>
  </si>
  <si>
    <t>GU205303A1-6+B1-6</t>
  </si>
  <si>
    <t>TI-GI308084A</t>
  </si>
  <si>
    <t>LTI-GI308088A</t>
  </si>
  <si>
    <t>RM - SLT 2 02.01 - RM</t>
  </si>
  <si>
    <t>BELAH JADI 2</t>
  </si>
  <si>
    <t>RM - SLT 2 03.01 - RM</t>
  </si>
  <si>
    <t>RM - SLT 2 04.01 - RM</t>
  </si>
  <si>
    <t>RM - SLT 2 05.01 - RM</t>
  </si>
  <si>
    <t>RM - SLT 2 06.01 - RM</t>
  </si>
  <si>
    <t>RM - SLT 2 07.01 - RM</t>
  </si>
  <si>
    <t>RM - SLT 2 08.01 - RM</t>
  </si>
  <si>
    <t>RM - SLT 2 09.01 - RM</t>
  </si>
  <si>
    <t>RM - SLT 2 12.01 - RM</t>
  </si>
  <si>
    <t>RM - SLT 2 14.01 - RM</t>
  </si>
  <si>
    <t>SLT 2 24.01.2023 - RE SLT</t>
  </si>
  <si>
    <t>SLT 2 25.01.2023 - WH</t>
  </si>
  <si>
    <t>TI-GI308979A+B+C</t>
  </si>
  <si>
    <t>SLT 2 25.01 - RR</t>
  </si>
  <si>
    <t>LTI-GI308894B1+B2</t>
  </si>
  <si>
    <t>TI-GI308032B1</t>
  </si>
  <si>
    <t>SLT 2 25.01 - RE SLT</t>
  </si>
  <si>
    <t>SLT 2 26.01.2023 - WH</t>
  </si>
  <si>
    <t>LTI-GI308999A1</t>
  </si>
  <si>
    <t>SLT 2 26.01 - RE SLT</t>
  </si>
  <si>
    <t>LTI-GI308999A2</t>
  </si>
  <si>
    <t>TI-GI308888A1</t>
  </si>
  <si>
    <t>RE SLT 2 26.01.2023 - WH</t>
  </si>
  <si>
    <t>SLT 2 27.01.2023 - WH</t>
  </si>
  <si>
    <t>LTI-GI308362A+B</t>
  </si>
  <si>
    <t>TI-GI308913A1</t>
  </si>
  <si>
    <t>SLT 2 28.01.2023 - WH KW 2</t>
  </si>
  <si>
    <t>LTI-GI308036A1</t>
  </si>
  <si>
    <t>SLT 2 28.01.2023 - WH</t>
  </si>
  <si>
    <t>LTI-GI308036A3</t>
  </si>
  <si>
    <t>SLT 2 28.01 - RR</t>
  </si>
  <si>
    <t>TI-GI307817B1+B2</t>
  </si>
  <si>
    <t>Act MinThick</t>
  </si>
  <si>
    <t>Act Max Thick</t>
  </si>
  <si>
    <t>PANJANG</t>
  </si>
  <si>
    <t>TOTAL LEMBAR</t>
  </si>
  <si>
    <t>Weight Incoming
(MT)</t>
  </si>
  <si>
    <t>N1902120129-1</t>
  </si>
  <si>
    <t>FINISH GOOD</t>
  </si>
  <si>
    <t>PACKING DATE</t>
  </si>
  <si>
    <t>FG AGING</t>
  </si>
  <si>
    <t>DISPATCH</t>
  </si>
  <si>
    <t>From Thickness
(mm)</t>
  </si>
  <si>
    <t>Thick</t>
  </si>
  <si>
    <t>Input Width
(mm)</t>
  </si>
  <si>
    <t>NET WEIGT</t>
  </si>
  <si>
    <t>GROSS WEIGHT</t>
  </si>
  <si>
    <t>Output width
coil / Multislit</t>
  </si>
  <si>
    <t>TOTAL WIDTH FOR MULTISLIT</t>
  </si>
  <si>
    <t xml:space="preserve">JUMLAH SHEET / </t>
  </si>
  <si>
    <t>Sales Contract</t>
  </si>
  <si>
    <t>REMARK PPIC</t>
  </si>
  <si>
    <t>03.12.19</t>
  </si>
  <si>
    <t>stockan12.10.19</t>
  </si>
  <si>
    <t>20.01.2020</t>
  </si>
  <si>
    <t>CHECK 17.102020</t>
  </si>
  <si>
    <t>STOCK OPNAME 24.11.2021</t>
  </si>
  <si>
    <t>DOMESTIK</t>
  </si>
  <si>
    <t>STOCK SHEETS</t>
  </si>
  <si>
    <t>CTL 21.12.2018 - WH</t>
  </si>
  <si>
    <t>HE1802053800-2</t>
  </si>
  <si>
    <t>GU400081</t>
  </si>
  <si>
    <t>SHEET</t>
  </si>
  <si>
    <t>STOCK SHEET DOM</t>
  </si>
  <si>
    <t>TEMU3590101</t>
  </si>
  <si>
    <t>INCOMING SHEETS 01.07.2021 - WH</t>
  </si>
  <si>
    <t>IM444</t>
  </si>
  <si>
    <t>LM410467</t>
  </si>
  <si>
    <t>210408IM04-2</t>
  </si>
  <si>
    <t>BSIU3261411</t>
  </si>
  <si>
    <t>B6811</t>
  </si>
  <si>
    <t>IM446</t>
  </si>
  <si>
    <t>LM410469</t>
  </si>
  <si>
    <t>BMOU1381367</t>
  </si>
  <si>
    <t>E6905</t>
  </si>
  <si>
    <t>IM447</t>
  </si>
  <si>
    <t>LM410470</t>
  </si>
  <si>
    <t>CAIU6318032</t>
  </si>
  <si>
    <t>G8207</t>
  </si>
  <si>
    <t>IM448</t>
  </si>
  <si>
    <t>LM410471</t>
  </si>
  <si>
    <t>J6504</t>
  </si>
  <si>
    <t>IM449</t>
  </si>
  <si>
    <t>LM410472</t>
  </si>
  <si>
    <t>H4569</t>
  </si>
  <si>
    <t>IM455</t>
  </si>
  <si>
    <t>LM410478</t>
  </si>
  <si>
    <t>YMMU1222015</t>
  </si>
  <si>
    <t>B7806</t>
  </si>
  <si>
    <t>IM456</t>
  </si>
  <si>
    <t>LM410479</t>
  </si>
  <si>
    <t>C9431</t>
  </si>
  <si>
    <t>IM457</t>
  </si>
  <si>
    <t>LM410480</t>
  </si>
  <si>
    <t>H3124</t>
  </si>
  <si>
    <t>IM458</t>
  </si>
  <si>
    <t>LM410481</t>
  </si>
  <si>
    <t>B4378</t>
  </si>
  <si>
    <t>IM459</t>
  </si>
  <si>
    <t>LM410482</t>
  </si>
  <si>
    <t>D5409</t>
  </si>
  <si>
    <t>IM460</t>
  </si>
  <si>
    <t>LM410483</t>
  </si>
  <si>
    <t>B6868</t>
  </si>
  <si>
    <t>IM461</t>
  </si>
  <si>
    <t>LM410484</t>
  </si>
  <si>
    <t>C2650</t>
  </si>
  <si>
    <t>IM462</t>
  </si>
  <si>
    <t>LM410485</t>
  </si>
  <si>
    <t>I9784</t>
  </si>
  <si>
    <t>IM463</t>
  </si>
  <si>
    <t>LM410486</t>
  </si>
  <si>
    <t>E7549</t>
  </si>
  <si>
    <t>IM464</t>
  </si>
  <si>
    <t>LM410487</t>
  </si>
  <si>
    <t>A8140</t>
  </si>
  <si>
    <t>IM465</t>
  </si>
  <si>
    <t>LM410488</t>
  </si>
  <si>
    <t>D2396</t>
  </si>
  <si>
    <t>IM466</t>
  </si>
  <si>
    <t>LM410489</t>
  </si>
  <si>
    <t>C7424</t>
  </si>
  <si>
    <t>IM467</t>
  </si>
  <si>
    <t>LM410490</t>
  </si>
  <si>
    <t>F9917</t>
  </si>
  <si>
    <t>IM468</t>
  </si>
  <si>
    <t>LM410491</t>
  </si>
  <si>
    <t>E2009</t>
  </si>
  <si>
    <t>IM470</t>
  </si>
  <si>
    <t>LM410493</t>
  </si>
  <si>
    <t>G6449</t>
  </si>
  <si>
    <t>IM473</t>
  </si>
  <si>
    <t>LM410496</t>
  </si>
  <si>
    <t>E2708</t>
  </si>
  <si>
    <t>INCOMING SHEETS 03.08.2021 - WH</t>
  </si>
  <si>
    <t>IM442</t>
  </si>
  <si>
    <t>LM410603</t>
  </si>
  <si>
    <t>210408IM04-4</t>
  </si>
  <si>
    <t>CMAU0910026</t>
  </si>
  <si>
    <t>F5714</t>
  </si>
  <si>
    <t>INCOMING SHEETS 09.08.2021 - WH</t>
  </si>
  <si>
    <t>IM527</t>
  </si>
  <si>
    <t>LM410646</t>
  </si>
  <si>
    <t>210410IM05-2</t>
  </si>
  <si>
    <t>WHLU0685744</t>
  </si>
  <si>
    <t>A4373</t>
  </si>
  <si>
    <t>STOCK LEBAR 1219 - 1250</t>
  </si>
  <si>
    <t>INCOMING COIL 23.08.2021 - WH</t>
  </si>
  <si>
    <t>QLZ21K02659A</t>
  </si>
  <si>
    <t>TI-GI305702</t>
  </si>
  <si>
    <t>IRNC21/CC05007-ARC</t>
  </si>
  <si>
    <t>Y210606B22-3</t>
  </si>
  <si>
    <t>QLZ21K02659B</t>
  </si>
  <si>
    <t>TI-GI305703</t>
  </si>
  <si>
    <t>INCOMING COIL 27.09.2021 - WH</t>
  </si>
  <si>
    <t>QLZ21K03931A</t>
  </si>
  <si>
    <t>LTI-GI305960</t>
  </si>
  <si>
    <t>Y210722D53-2</t>
  </si>
  <si>
    <t>QLZ21K03931B</t>
  </si>
  <si>
    <t>LTI-GI305961</t>
  </si>
  <si>
    <t>INCOMING COIL 16.11.2021 - WH</t>
  </si>
  <si>
    <t>QLZ21K05402B</t>
  </si>
  <si>
    <t>LTI-GI306572</t>
  </si>
  <si>
    <t>ARRIVE AT IMR 29.06.22</t>
  </si>
  <si>
    <t>IRNC21/CC06003-ARC</t>
  </si>
  <si>
    <t>Y210823C31-5</t>
  </si>
  <si>
    <t>SLT 28.07.2022 - WH</t>
  </si>
  <si>
    <t>K2205082045A</t>
  </si>
  <si>
    <t>GU205038A1-4</t>
  </si>
  <si>
    <t>047/05-2022/LOC</t>
  </si>
  <si>
    <t>GU205038B1-4</t>
  </si>
  <si>
    <t>K2203122126A</t>
  </si>
  <si>
    <t>EM204986A1-4</t>
  </si>
  <si>
    <t>SLT 17.09.2022 - WH</t>
  </si>
  <si>
    <t>K2203173807A</t>
  </si>
  <si>
    <t>GU204968A1-6</t>
  </si>
  <si>
    <t>CBHU5938358</t>
  </si>
  <si>
    <t>N220316AR18</t>
  </si>
  <si>
    <t>GU204968B1-6</t>
  </si>
  <si>
    <t>GU205303A1-6</t>
  </si>
  <si>
    <t>GU205303B1-6</t>
  </si>
  <si>
    <t>EKSPORT</t>
  </si>
  <si>
    <t>MANSA STEEL - 274/11-2022/EXP</t>
  </si>
  <si>
    <t>BAL 05.12.2022 - WH</t>
  </si>
  <si>
    <t>N2209280507-1</t>
  </si>
  <si>
    <t>TI-GI308721A</t>
  </si>
  <si>
    <t>Y220924C42-6</t>
  </si>
  <si>
    <t>LTI-GI308174A</t>
  </si>
  <si>
    <t>LTI-GI308174B</t>
  </si>
  <si>
    <t>NEMINATH IMPEX - 283/11-2022/EXP</t>
  </si>
  <si>
    <t>GI360373B1</t>
  </si>
  <si>
    <t>283/12-2022/EXP</t>
  </si>
  <si>
    <t>GI360371B1</t>
  </si>
  <si>
    <t>NEMINATH IMPEX - 305/12-2022/EXP</t>
  </si>
  <si>
    <t>LTI-GI308045B2</t>
  </si>
  <si>
    <t>TI-GI308862A</t>
  </si>
  <si>
    <t>TI-GI308862B</t>
  </si>
  <si>
    <t>TI-GI308958A</t>
  </si>
  <si>
    <t>TI-GI308958B</t>
  </si>
  <si>
    <t>TI-GI308922A</t>
  </si>
  <si>
    <t>TI-GI308887A1</t>
  </si>
  <si>
    <t>LTI-GI308039A1</t>
  </si>
  <si>
    <t>ALLIED FERROMET - 308/12-2022/EXP</t>
  </si>
  <si>
    <t>TI-GI307824A1</t>
  </si>
  <si>
    <t>SKM STEELS - 290/12-2022/EXP</t>
  </si>
  <si>
    <t>LTI-GI308039A2</t>
  </si>
  <si>
    <t>LTI-GI308039A3</t>
  </si>
  <si>
    <t>TBS METAL - 288/12-2022/EXP</t>
  </si>
  <si>
    <t>LTI-GI308851A</t>
  </si>
  <si>
    <t>288/12-2022/EXP</t>
  </si>
  <si>
    <t>LTI-GI308851B</t>
  </si>
  <si>
    <t>ICPPL - 306/12-2022/EXP</t>
  </si>
  <si>
    <t>TI-GI308396A</t>
  </si>
  <si>
    <t>TI-GI308396B</t>
  </si>
  <si>
    <t>TI-GI308396C</t>
  </si>
  <si>
    <t>LTI-GI308324A</t>
  </si>
  <si>
    <t>LTI-GI308324B</t>
  </si>
  <si>
    <t>TI-GI308341A</t>
  </si>
  <si>
    <t xml:space="preserve">SHREE ASHAPURA </t>
  </si>
  <si>
    <t>TI-GI308341B</t>
  </si>
  <si>
    <t>009/01-2023/EXP</t>
  </si>
  <si>
    <t>COIL STOCK</t>
  </si>
  <si>
    <t>SLT 02.04.2018 - FG</t>
  </si>
  <si>
    <t>FM61016260N01</t>
  </si>
  <si>
    <t>ZM400028B</t>
  </si>
  <si>
    <t xml:space="preserve">STOCK </t>
  </si>
  <si>
    <t>LEBAR SISA 760+SISA</t>
  </si>
  <si>
    <t>SINGAPORE ZHIMEI PTE. LTD</t>
  </si>
  <si>
    <t>1611/IND023</t>
  </si>
  <si>
    <t>FCIU 5920402</t>
  </si>
  <si>
    <t>A1604217</t>
  </si>
  <si>
    <t>ADA</t>
  </si>
  <si>
    <t>D01</t>
  </si>
  <si>
    <t>FM61017260N01</t>
  </si>
  <si>
    <t>ZM400032B</t>
  </si>
  <si>
    <t>FCIU 5920022</t>
  </si>
  <si>
    <t>FM61017260N02</t>
  </si>
  <si>
    <t>ZM400033B</t>
  </si>
  <si>
    <t>FM61016250N02</t>
  </si>
  <si>
    <t>ZM400035B</t>
  </si>
  <si>
    <t>FCIU 5920357</t>
  </si>
  <si>
    <t>FM61017350N01</t>
  </si>
  <si>
    <t>ZM400036B</t>
  </si>
  <si>
    <t>FCIU 5917163</t>
  </si>
  <si>
    <t>SLT 09.05.2018 - WH</t>
  </si>
  <si>
    <t>180110M11-6</t>
  </si>
  <si>
    <t>VD300998A4</t>
  </si>
  <si>
    <t>LEBAR SISA SLIT ISANO LOPO</t>
  </si>
  <si>
    <t>3/25/2018, 03.05.2018</t>
  </si>
  <si>
    <t>3/30/2018, 08.05.2018</t>
  </si>
  <si>
    <t>VIEWER DEVELOPMENT CO. LTD.</t>
  </si>
  <si>
    <t>JRAIMR17120701A</t>
  </si>
  <si>
    <t>BMOU2361088</t>
  </si>
  <si>
    <t>data qc</t>
  </si>
  <si>
    <t>AREA LOADING</t>
  </si>
  <si>
    <t>VD300998B4</t>
  </si>
  <si>
    <t>VD300998C4</t>
  </si>
  <si>
    <t>RE SLT 01.08.2018 - WH</t>
  </si>
  <si>
    <t>ZM400033A321-323</t>
  </si>
  <si>
    <t>EX RETURN SARAS UNIMAS 064/07-2018/LOC</t>
  </si>
  <si>
    <t>4/2/2018, 17.05.2018</t>
  </si>
  <si>
    <t>ZM400033A21.1-21.10</t>
  </si>
  <si>
    <t>SLT 10.03.2019 - WH</t>
  </si>
  <si>
    <t>GU400077C3</t>
  </si>
  <si>
    <t>WHITE FINISH, UNANNEALED FINISH,</t>
  </si>
  <si>
    <t>SLT 16.05.2019 - WH</t>
  </si>
  <si>
    <t>88S086001B-1</t>
  </si>
  <si>
    <t>HK400084A3</t>
  </si>
  <si>
    <t>REP - RETR 27.05.2019 - WH</t>
  </si>
  <si>
    <t>K1705070808B</t>
  </si>
  <si>
    <t>ZH200829B1.8</t>
  </si>
  <si>
    <t>MATERIAL RETURN CITRA MASINDO 20-03-2018</t>
  </si>
  <si>
    <t>PACKING DONUTS</t>
  </si>
  <si>
    <t>8/8/2017, 25.08.2017</t>
  </si>
  <si>
    <t>8/9/2017, 28.08.2017</t>
  </si>
  <si>
    <t>8/13/2017, 28.08.2017</t>
  </si>
  <si>
    <t>8/20/2017, 28.08.2017</t>
  </si>
  <si>
    <t>ZHEJIANG STELLAR GLOBAL CO., LTD</t>
  </si>
  <si>
    <t>G17JLV0515-01C</t>
  </si>
  <si>
    <t>DFSU1013984</t>
  </si>
  <si>
    <t>N170506AQ081-3</t>
  </si>
  <si>
    <t>RETURN</t>
  </si>
  <si>
    <t>SLT 10.05.2020 - WH</t>
  </si>
  <si>
    <t>180623L09-2</t>
  </si>
  <si>
    <t>GU301255B10</t>
  </si>
  <si>
    <t>LEBAR SISA HEISEI</t>
  </si>
  <si>
    <t>7/30/2018, 04.05.2020</t>
  </si>
  <si>
    <t>7/31/2018, 04.05.2020</t>
  </si>
  <si>
    <t>8/1/2018, 07.05.2020</t>
  </si>
  <si>
    <t>GXGJ-IMR-1812-PL</t>
  </si>
  <si>
    <t>offer to marketing</t>
  </si>
  <si>
    <t>RE SLT 17.05.2020 - WH</t>
  </si>
  <si>
    <t>88S087939-2</t>
  </si>
  <si>
    <t>HK400093A4</t>
  </si>
  <si>
    <t>LEBAR SISA ARWANA GEMILANG</t>
  </si>
  <si>
    <t>OOLU0788081</t>
  </si>
  <si>
    <t>HK400093B4</t>
  </si>
  <si>
    <t>HK400093C4</t>
  </si>
  <si>
    <t>HK400093D4</t>
  </si>
  <si>
    <t>GU301255A10</t>
  </si>
  <si>
    <t>SLT 19.05.2020 - WH</t>
  </si>
  <si>
    <t>88S087938-1</t>
  </si>
  <si>
    <t>HK400090B4</t>
  </si>
  <si>
    <t>OOLU1972961</t>
  </si>
  <si>
    <t>GU301255C10</t>
  </si>
  <si>
    <t>HK400090C4</t>
  </si>
  <si>
    <t>88S087937B-2</t>
  </si>
  <si>
    <t>HK400095A4</t>
  </si>
  <si>
    <t>OOLU2947794</t>
  </si>
  <si>
    <t>HK400095B4</t>
  </si>
  <si>
    <t>HK400095D4</t>
  </si>
  <si>
    <t>HK400095C4</t>
  </si>
  <si>
    <t>HK400090A4</t>
  </si>
  <si>
    <t>HK400090D4</t>
  </si>
  <si>
    <t>SLT 15.06.2020 - WH</t>
  </si>
  <si>
    <t>88S087938-2</t>
  </si>
  <si>
    <t>HK400091A4</t>
  </si>
  <si>
    <t>HK400091B4</t>
  </si>
  <si>
    <t>HK400091C4</t>
  </si>
  <si>
    <t>HK400091D4</t>
  </si>
  <si>
    <t>RM SLT - SLT 20.07.2020 - WH</t>
  </si>
  <si>
    <t>200623A069</t>
  </si>
  <si>
    <t>EM400106G3</t>
  </si>
  <si>
    <t>SISA LEBAR ARWANA GEMILANG</t>
  </si>
  <si>
    <t>INV-IMR20200608</t>
  </si>
  <si>
    <t>AAA1450</t>
  </si>
  <si>
    <t>200623A067</t>
  </si>
  <si>
    <t>EM400108B3</t>
  </si>
  <si>
    <t>EM400108C3</t>
  </si>
  <si>
    <t>EM400106E3</t>
  </si>
  <si>
    <t>EM400106F3</t>
  </si>
  <si>
    <t>EM400108A3</t>
  </si>
  <si>
    <t>RM SLT - SLT 30.08.2020 - WH</t>
  </si>
  <si>
    <t>EM400108D4</t>
  </si>
  <si>
    <t>EM400108E4</t>
  </si>
  <si>
    <t>EM400108F4</t>
  </si>
  <si>
    <t>SLT 04.09.2020 - WH</t>
  </si>
  <si>
    <t>N1908280272-2</t>
  </si>
  <si>
    <t>TI-TS303847B3</t>
  </si>
  <si>
    <t>SISA LEBAR MELI</t>
  </si>
  <si>
    <t>4/24/2020, 02.05.2020</t>
  </si>
  <si>
    <t>5/2/2020, 29.07.2020</t>
  </si>
  <si>
    <t>Y190722C04-6</t>
  </si>
  <si>
    <t>SLT 19.10.2020 - WH</t>
  </si>
  <si>
    <t>N1908280247-2</t>
  </si>
  <si>
    <t>LTI-TS304249B3</t>
  </si>
  <si>
    <t>8/29/2020, 25.09.2020, 01.10.2020</t>
  </si>
  <si>
    <t>8/29/2020, 28.09.2020, 02.10.2020</t>
  </si>
  <si>
    <t>9/4/2020, 29.09.2020</t>
  </si>
  <si>
    <t>ITSS19/12007-ARC</t>
  </si>
  <si>
    <t>Y190719D25-1</t>
  </si>
  <si>
    <t>SLT 01.12.2020 - WH</t>
  </si>
  <si>
    <t>K1809192221B</t>
  </si>
  <si>
    <t>GU240035A2.1-2</t>
  </si>
  <si>
    <t>79.2+49.3</t>
  </si>
  <si>
    <t>STOCK CITRA MASINDO</t>
  </si>
  <si>
    <t>SISA LEBAR PRATAMA - 148/11-2020/LOC</t>
  </si>
  <si>
    <t>3/2/2019, 01.12.2020</t>
  </si>
  <si>
    <t>GXGJ-IMR-1815-1-PL</t>
  </si>
  <si>
    <t>TEMU0674195</t>
  </si>
  <si>
    <t>N180914AX021-03</t>
  </si>
  <si>
    <t>D04</t>
  </si>
  <si>
    <t>GU2400353.1-2</t>
  </si>
  <si>
    <t>GU240035B2.1</t>
  </si>
  <si>
    <t>SLT 25.12.2020 - WH</t>
  </si>
  <si>
    <t>N2011050127-2</t>
  </si>
  <si>
    <t>TI-GI304561B5</t>
  </si>
  <si>
    <t>LEBAR SISA TRIYUDA</t>
  </si>
  <si>
    <t>GCNS20/WC09001-ARC</t>
  </si>
  <si>
    <t>Y200901D03-1</t>
  </si>
  <si>
    <t>SLT 23.01.2021 - WH</t>
  </si>
  <si>
    <t>K2010070905B</t>
  </si>
  <si>
    <t>XG203639A-B</t>
  </si>
  <si>
    <t>LEBAR SISA MASPION LOGAM JAWA</t>
  </si>
  <si>
    <t>11/20/2020, 23.11.2020</t>
  </si>
  <si>
    <t>11/21/2020, 24.11.2020</t>
  </si>
  <si>
    <t>XGC-IMR20200911-2</t>
  </si>
  <si>
    <t>N201004AQ14</t>
  </si>
  <si>
    <t>K2010221331A</t>
  </si>
  <si>
    <t>XG203770A-B</t>
  </si>
  <si>
    <t>1/11/2021, 16.01.2021</t>
  </si>
  <si>
    <t>1/11/2021, 17.01.2021</t>
  </si>
  <si>
    <t>1/11/2021, 21.01.2021</t>
  </si>
  <si>
    <t>XGC-IMR20201026-1</t>
  </si>
  <si>
    <t>DRYU2701830</t>
  </si>
  <si>
    <t>N201021AR09</t>
  </si>
  <si>
    <t>SLT 29.01.2021 - WH</t>
  </si>
  <si>
    <t>N2001140448-2</t>
  </si>
  <si>
    <t>TI-TS203497D1</t>
  </si>
  <si>
    <t>HOLD - CRACK - TISCO</t>
  </si>
  <si>
    <t>ITSS19/12004-ARC</t>
  </si>
  <si>
    <t>Y191018D07-3</t>
  </si>
  <si>
    <t>SLT 15.02.2021 - WH</t>
  </si>
  <si>
    <t>K2010061834B</t>
  </si>
  <si>
    <t>XG203824A6</t>
  </si>
  <si>
    <t>HOLD - PISAU GUPIL - CITRA MASINDO</t>
  </si>
  <si>
    <t>XGC-IMR20200924-2</t>
  </si>
  <si>
    <t>TEMU1312483</t>
  </si>
  <si>
    <t>N201005AR02</t>
  </si>
  <si>
    <t>SLT 25.03.2021 - WH</t>
  </si>
  <si>
    <t>K2007142137A</t>
  </si>
  <si>
    <t>XG203545B</t>
  </si>
  <si>
    <t>SISA LEBAR PRATAMA</t>
  </si>
  <si>
    <t>11/11/2020, 25.03.2021</t>
  </si>
  <si>
    <t>XGC-IMR20200707-2</t>
  </si>
  <si>
    <t>CMAU0669201</t>
  </si>
  <si>
    <t>N200714AR061-03</t>
  </si>
  <si>
    <t>C04</t>
  </si>
  <si>
    <t>XG203545D</t>
  </si>
  <si>
    <t>SLT 22.02.2021 - WH</t>
  </si>
  <si>
    <t>K2012032314B</t>
  </si>
  <si>
    <t>XG203836A7</t>
  </si>
  <si>
    <t>HOLD - CITRA MASINDO</t>
  </si>
  <si>
    <t>2/15/2021, 17.02.2021</t>
  </si>
  <si>
    <t>2/16/2021, 18.02.2021</t>
  </si>
  <si>
    <t>XGC-IMR20201116-1</t>
  </si>
  <si>
    <t>EGHU3783941</t>
  </si>
  <si>
    <t>N201202AR02</t>
  </si>
  <si>
    <t>SLT 17.02.2021 - WH</t>
  </si>
  <si>
    <t>K2010061906A</t>
  </si>
  <si>
    <t>XG203802B14</t>
  </si>
  <si>
    <t>HOLD - METALUTAMA 024/02-2021/LOC - PISAU CUIL</t>
  </si>
  <si>
    <t>2/8/2021, 16.02.2021</t>
  </si>
  <si>
    <t>2/8/2021, 17.02.2021</t>
  </si>
  <si>
    <t>2/9/2021, 17.02.2021</t>
  </si>
  <si>
    <t>TEMU1832741</t>
  </si>
  <si>
    <t>N201005AR09</t>
  </si>
  <si>
    <t>SECURITY</t>
  </si>
  <si>
    <t>K2009172936A</t>
  </si>
  <si>
    <t>XG203796A14</t>
  </si>
  <si>
    <t>HOLD - METALUTAMA 024/02-2021/LOC - MELEOT</t>
  </si>
  <si>
    <t>1/23/2021, 09.02.2021, 13.02.2021</t>
  </si>
  <si>
    <t>1/23/2021, 09.02.2021, 15.02.2021</t>
  </si>
  <si>
    <t>1/28/2021, 10.02.2021, 15.02.2021</t>
  </si>
  <si>
    <t>TEMU1824200</t>
  </si>
  <si>
    <t>N200915AR15</t>
  </si>
  <si>
    <t>RE SLT 29.03.2021 - WH</t>
  </si>
  <si>
    <t>NH2001140301-2</t>
  </si>
  <si>
    <t>TI-TS203375B2</t>
  </si>
  <si>
    <t>9/12/2020, 27.03.2021</t>
  </si>
  <si>
    <t>9/12/2020, 28.03.2021</t>
  </si>
  <si>
    <t>9/18/2020, 28.03.2021</t>
  </si>
  <si>
    <t>ITSS19/12005-ARC</t>
  </si>
  <si>
    <t>Y190929D06-7</t>
  </si>
  <si>
    <t>SLT 23.04.2021 - WH</t>
  </si>
  <si>
    <t>180320N09-6</t>
  </si>
  <si>
    <t>VD301161A3</t>
  </si>
  <si>
    <t>SISA LEBAR ISANO LOPO</t>
  </si>
  <si>
    <t>5/27/2018, 28.09.2020</t>
  </si>
  <si>
    <t>5/27/2018, 29.09.2020</t>
  </si>
  <si>
    <t>5/28/2018, 01.10.2020</t>
  </si>
  <si>
    <t>JRAIMR1801-001A</t>
  </si>
  <si>
    <t>VD301161B3</t>
  </si>
  <si>
    <t>SLT 11.09.2021 - WH</t>
  </si>
  <si>
    <t>N2105260102-2</t>
  </si>
  <si>
    <t>GI360234B3</t>
  </si>
  <si>
    <t>SISA LEBAR BNM</t>
  </si>
  <si>
    <t>6/27/2021, 02.09.2021, 09.09.2021</t>
  </si>
  <si>
    <t>6/27/2021, 03.09.2021, 09.09.2021</t>
  </si>
  <si>
    <t>6/29/2021, 05.09.2021, 10.09.2021</t>
  </si>
  <si>
    <t>6/30/2021, 05.09.2021</t>
  </si>
  <si>
    <t>GCNS21/WC03004-ARC</t>
  </si>
  <si>
    <t>Y210408B02-4</t>
  </si>
  <si>
    <t>SLT 12.09.2021 - WH</t>
  </si>
  <si>
    <t>N2008150108-2</t>
  </si>
  <si>
    <t>GI360156A3</t>
  </si>
  <si>
    <t>9/22/2020, 23.09.2020, 03.09.2021, 08.09.2021</t>
  </si>
  <si>
    <t>9/22/2020, 23.09.2020, 08.09.2021</t>
  </si>
  <si>
    <t>9/25/2020, 09.09.2021</t>
  </si>
  <si>
    <t>GCNS20/WC07005-ARC</t>
  </si>
  <si>
    <t>Y200807C27-1</t>
  </si>
  <si>
    <t>N2105260221-2</t>
  </si>
  <si>
    <t>GI360240A3</t>
  </si>
  <si>
    <t>9/3/2021, 07.09.2021</t>
  </si>
  <si>
    <t>9/3/2021, 08.09.2021</t>
  </si>
  <si>
    <t>9/5/2021, 09.09.2021</t>
  </si>
  <si>
    <t>Y210508A48-8</t>
  </si>
  <si>
    <t>N2107170110-1</t>
  </si>
  <si>
    <t>GI360245A3</t>
  </si>
  <si>
    <t>9/2/2021, 07.09.2021, 08.09.2021</t>
  </si>
  <si>
    <t>9/2/2021, 08.09.2021</t>
  </si>
  <si>
    <t>GCNS21/WC04015-ARC</t>
  </si>
  <si>
    <t>Y210711B44-5</t>
  </si>
  <si>
    <t>GI360240B3</t>
  </si>
  <si>
    <t>SLT 07.10.2021 - WH</t>
  </si>
  <si>
    <t>K2103040119A</t>
  </si>
  <si>
    <t>EM204240B5</t>
  </si>
  <si>
    <t>SISA LEBAR PELANGI JAYA</t>
  </si>
  <si>
    <t>6/20/2021, 29.09.2021, 04.10.2021</t>
  </si>
  <si>
    <t>6/20/2021, 30.09.2021, 04.10.2021</t>
  </si>
  <si>
    <t>6/25/2021, 30.09.2021, 04.10.2021</t>
  </si>
  <si>
    <t>FTAU1568530</t>
  </si>
  <si>
    <t>N210301AQ01</t>
  </si>
  <si>
    <t>SLT 12.08.2020 - WH</t>
  </si>
  <si>
    <t>N2001140452-1</t>
  </si>
  <si>
    <t>TI-TS203270A1-11</t>
  </si>
  <si>
    <t>DEVJAS - 045/02-2020/EXP</t>
  </si>
  <si>
    <t>not dispatch - max capacity kontainer by logistic</t>
  </si>
  <si>
    <t>4/25/2020, 14.05.2020, 07.08.2020</t>
  </si>
  <si>
    <t>4/25/2020, 15.05.2020, 07.08.2020</t>
  </si>
  <si>
    <t>4/26/2020, 04.08.2020, 11.08.2020</t>
  </si>
  <si>
    <t>ITSS19/12006-ARC</t>
  </si>
  <si>
    <t>Y191018C06-4</t>
  </si>
  <si>
    <t>SLT 05.12.2021 - WH</t>
  </si>
  <si>
    <t>N2110170242-1</t>
  </si>
  <si>
    <t>GI360288A3</t>
  </si>
  <si>
    <t>LEBAR SISA BNM 096/07-2021/LOC</t>
  </si>
  <si>
    <t>GCNS21/WC07002-ARC</t>
  </si>
  <si>
    <t>Y211005C23-5</t>
  </si>
  <si>
    <t>N2109150202-2</t>
  </si>
  <si>
    <t>GI360273A3</t>
  </si>
  <si>
    <t>Y210905C22-6</t>
  </si>
  <si>
    <t>N2109150201-2</t>
  </si>
  <si>
    <t>GI360277A3</t>
  </si>
  <si>
    <t>Y210905C22-1</t>
  </si>
  <si>
    <t>N2110170239-1</t>
  </si>
  <si>
    <t>GI360296A3</t>
  </si>
  <si>
    <t>Y211005D22-5</t>
  </si>
  <si>
    <t>N2110170350-2</t>
  </si>
  <si>
    <t>GI360293A3</t>
  </si>
  <si>
    <t>Y211005C24-4</t>
  </si>
  <si>
    <t>SLT 06.12.2021 - WH</t>
  </si>
  <si>
    <t>N2110170242-2</t>
  </si>
  <si>
    <t>GI360289A3</t>
  </si>
  <si>
    <t>N2110170236-1</t>
  </si>
  <si>
    <t>GI360290A3</t>
  </si>
  <si>
    <t>Y211005D22-4</t>
  </si>
  <si>
    <t>N2109150203-2</t>
  </si>
  <si>
    <t>GI360271A3</t>
  </si>
  <si>
    <t>Y210905D24-3</t>
  </si>
  <si>
    <t>N2109150201-1</t>
  </si>
  <si>
    <t>GI360276A3</t>
  </si>
  <si>
    <t>N2109150208-2</t>
  </si>
  <si>
    <t>GI360265A3</t>
  </si>
  <si>
    <t>Y210905D24-5</t>
  </si>
  <si>
    <t>SLT 03.01.2022 - WH</t>
  </si>
  <si>
    <t>N2110170239-2</t>
  </si>
  <si>
    <t>GI360297A3</t>
  </si>
  <si>
    <t>SISA LEBAR BNM - 096/07-2021/LOC</t>
  </si>
  <si>
    <t>N2110170237-2</t>
  </si>
  <si>
    <t>GI360285A3</t>
  </si>
  <si>
    <t>Y211004C33-1</t>
  </si>
  <si>
    <t>N2110170238-1</t>
  </si>
  <si>
    <t>GI360294A13</t>
  </si>
  <si>
    <t>Y211005D23-4</t>
  </si>
  <si>
    <t>N2110170236-2</t>
  </si>
  <si>
    <t>GI360291A3</t>
  </si>
  <si>
    <t>SLT 04.01.2022 - WH</t>
  </si>
  <si>
    <t>N2109150203-1</t>
  </si>
  <si>
    <t>GI360270A3</t>
  </si>
  <si>
    <t>N2110170347-1</t>
  </si>
  <si>
    <t>GI360282A3</t>
  </si>
  <si>
    <t>Y211005D24-2</t>
  </si>
  <si>
    <t>N2110170238-2</t>
  </si>
  <si>
    <t>GI360295A3</t>
  </si>
  <si>
    <t>N2110170348-1</t>
  </si>
  <si>
    <t>GI360286A3</t>
  </si>
  <si>
    <t>Y211005C24-2</t>
  </si>
  <si>
    <t>N2110170237-1</t>
  </si>
  <si>
    <t>GI360284A3</t>
  </si>
  <si>
    <t>N2110170348-2</t>
  </si>
  <si>
    <t>GI360287A3</t>
  </si>
  <si>
    <t>SLT 23.08.2022 - WH</t>
  </si>
  <si>
    <t>N2201100507-1</t>
  </si>
  <si>
    <t>LTI-GI307607B</t>
  </si>
  <si>
    <t>Y211106D24-1</t>
  </si>
  <si>
    <t>SLT 26.08.2022 - WH</t>
  </si>
  <si>
    <t>N2108210219-1</t>
  </si>
  <si>
    <t>LTI-GI307661B</t>
  </si>
  <si>
    <t>SACHIN STEEL - 203/08-2022/EXP</t>
  </si>
  <si>
    <t>ARRIVE AT IMR 16.08.22</t>
  </si>
  <si>
    <t>Y210813B52-4</t>
  </si>
  <si>
    <t>BAL 12.12.2022 - WH</t>
  </si>
  <si>
    <t>N2203060620-2</t>
  </si>
  <si>
    <t>LTI-GI308060B</t>
  </si>
  <si>
    <t>RM - SLT 02.08.12.2022 - WH</t>
  </si>
  <si>
    <t>N2210130662</t>
  </si>
  <si>
    <t>GI360393B1</t>
  </si>
  <si>
    <t>EX TBS METAL - 214/08-2022/EXP</t>
  </si>
  <si>
    <t>Y221003A34-3</t>
  </si>
  <si>
    <t>GI360393A2</t>
  </si>
  <si>
    <t>GI360393B2</t>
  </si>
  <si>
    <t>SLT 22.12.2022 - WH</t>
  </si>
  <si>
    <t>N2208060607-1</t>
  </si>
  <si>
    <t>TI-GI308823B</t>
  </si>
  <si>
    <t>Y220802A22-2</t>
  </si>
  <si>
    <t>TI-GI307827A2</t>
  </si>
  <si>
    <t>NEMINATH IMPEX - 298/12-2022/EXP</t>
  </si>
  <si>
    <t>TI-GI308922B</t>
  </si>
  <si>
    <t>TI-GI308887A2</t>
  </si>
  <si>
    <t>BAL 15.12.2022 - WH</t>
  </si>
  <si>
    <t>N2203170714-2</t>
  </si>
  <si>
    <t>LTI-GI308076B</t>
  </si>
  <si>
    <t>SUNCITY SHEETS PVT LTD - 008/01-2023/EXP</t>
  </si>
  <si>
    <t>LTI-GI308326A</t>
  </si>
  <si>
    <t>FH/2B/2D</t>
  </si>
  <si>
    <t>2D</t>
  </si>
  <si>
    <t>FG &gt;= 60 DAYS</t>
  </si>
  <si>
    <t>FG TO WIP</t>
  </si>
  <si>
    <t>KW 2 COIL</t>
  </si>
  <si>
    <t>STOCKAN 04.10</t>
  </si>
  <si>
    <t>STOCKAN 20.11.19</t>
  </si>
  <si>
    <t>25.11.2021</t>
  </si>
  <si>
    <t>COIL SECOND (KW 2)</t>
  </si>
  <si>
    <t>BBY NOvEMBER'22</t>
  </si>
  <si>
    <t>04.10.2017</t>
  </si>
  <si>
    <t>FA70102480N01</t>
  </si>
  <si>
    <t>TS 300570A5</t>
  </si>
  <si>
    <t>ex set citra masindo 30 Juni 2017</t>
  </si>
  <si>
    <t>DATA 04.10.2017</t>
  </si>
  <si>
    <t>booking metalwang</t>
  </si>
  <si>
    <t>PACK 05.10</t>
  </si>
  <si>
    <t xml:space="preserve">FA61117860N02 </t>
  </si>
  <si>
    <t>TS300471B</t>
  </si>
  <si>
    <t>ex lebar sisa wiharta (413.5 + SISA)</t>
  </si>
  <si>
    <t>18-03-2017, 09.05.2017, 12.05.2017</t>
  </si>
  <si>
    <t>18-03-2017, 13.05.2017</t>
  </si>
  <si>
    <t>5/9/2017, 10.07.2017</t>
  </si>
  <si>
    <t xml:space="preserve">TISCO </t>
  </si>
  <si>
    <t>1701/INDO08A</t>
  </si>
  <si>
    <t xml:space="preserve">MRSU0132620 </t>
  </si>
  <si>
    <t xml:space="preserve">A0604863 </t>
  </si>
  <si>
    <t>B8</t>
  </si>
  <si>
    <t>RE SLT 28.02.2020 - WH KW 2</t>
  </si>
  <si>
    <t>87S076535-1</t>
  </si>
  <si>
    <t>GU400076A</t>
  </si>
  <si>
    <t>SLT 17.05.2020 - WH KW 2</t>
  </si>
  <si>
    <t>88S087937B-1</t>
  </si>
  <si>
    <t>HK400094E</t>
  </si>
  <si>
    <t>SLT 18.05.2020 - WH KW 2</t>
  </si>
  <si>
    <t>GU301255A4</t>
  </si>
  <si>
    <t>HOLD - SISA HEISEI - ASPER QC KW 2 04.06.2020</t>
  </si>
  <si>
    <t>SCRACTH KILAP 0-700M,,,RIPPLE,,,HERINGBONE,,,,FLEK PUTIH(Acak),,,+ROLLMARK ZM 0-355</t>
  </si>
  <si>
    <t>BAL 29.06.2020 - WH KW 2</t>
  </si>
  <si>
    <t>171207P07-4</t>
  </si>
  <si>
    <t>HY300914B</t>
  </si>
  <si>
    <t>LEPAS SPOOL 10.11.2020</t>
  </si>
  <si>
    <t>ROLLSTOP ZM M 10,,,,BUTEK HIJAU,,RIPPLE,,,,ROLLMARK ZM,,,</t>
  </si>
  <si>
    <t>SLT 17.07.2020 - STOCK KW 2</t>
  </si>
  <si>
    <t>GU400076E</t>
  </si>
  <si>
    <t>ARWANA</t>
  </si>
  <si>
    <t>OKE KW 2 ASPER QC PAK ARIF BY WA</t>
  </si>
  <si>
    <t>WIP STOCK KW 2 TANSFER TO FG KW 2</t>
  </si>
  <si>
    <t>SLT 06.08.2020 - WH</t>
  </si>
  <si>
    <t>180323P06-6</t>
  </si>
  <si>
    <t>GU301185B6</t>
  </si>
  <si>
    <t>HOLD - TRIYUDA</t>
  </si>
  <si>
    <t>STOCK KW 2 AS PER QC</t>
  </si>
  <si>
    <t>5/25/2018, 21.06.2018</t>
  </si>
  <si>
    <t>5/26/2018, 24.06.2018</t>
  </si>
  <si>
    <t>GUANGDONG GUANGXIN CO. LTD.</t>
  </si>
  <si>
    <t>GXGJ-IMR-1803</t>
  </si>
  <si>
    <t>GU301185A6</t>
  </si>
  <si>
    <t>TRANSFER WIP 07.09.2020 - STOCK KW 2</t>
  </si>
  <si>
    <t xml:space="preserve">FA61118260N02 </t>
  </si>
  <si>
    <t>TS300449B1</t>
  </si>
  <si>
    <t>STOCK YUANITA</t>
  </si>
  <si>
    <t>Less Thickness, Dull Surface</t>
  </si>
  <si>
    <t>3/17/2017, 31.03.17</t>
  </si>
  <si>
    <t>17-03-2017, 01.04.2017</t>
  </si>
  <si>
    <t>3/29/2017, 11.07.2017</t>
  </si>
  <si>
    <t>MRSU0115562</t>
  </si>
  <si>
    <t xml:space="preserve">A1604844 </t>
  </si>
  <si>
    <t>SLT  - transfer to FG KW2 08.09.2020</t>
  </si>
  <si>
    <t>B16</t>
  </si>
  <si>
    <t>EXIT SLT 06.10</t>
  </si>
  <si>
    <t>B13</t>
  </si>
  <si>
    <t>RM SLT - SLT 25.09.2020 - WH KW 2</t>
  </si>
  <si>
    <t>MFF20082601B</t>
  </si>
  <si>
    <t>EM490016B</t>
  </si>
  <si>
    <t>INV-IMR20200826</t>
  </si>
  <si>
    <t>LZ156612</t>
  </si>
  <si>
    <t>SLT 16.11.2020 - WH KW 2</t>
  </si>
  <si>
    <t>K1809211225B</t>
  </si>
  <si>
    <t>GU240025D2</t>
  </si>
  <si>
    <t>stock</t>
  </si>
  <si>
    <t>2/21/2019, 10.11.2020</t>
  </si>
  <si>
    <t>EGSU3008254</t>
  </si>
  <si>
    <t>N180919AX011-05</t>
  </si>
  <si>
    <t>NET PL - BERAT ACUAN</t>
  </si>
  <si>
    <t>SLT 16.11.2020 - WH</t>
  </si>
  <si>
    <t>GU240025D4</t>
  </si>
  <si>
    <t>Verification 18.11.2020</t>
  </si>
  <si>
    <t>N1909040105-2</t>
  </si>
  <si>
    <t>LTI-TS303487B3</t>
  </si>
  <si>
    <t>S30403</t>
  </si>
  <si>
    <t>ITSS19/08002-ARC</t>
  </si>
  <si>
    <t>Y190827D09-3</t>
  </si>
  <si>
    <t>L608150215A</t>
  </si>
  <si>
    <t>MS200457B1.12</t>
  </si>
  <si>
    <t>RETURN CM</t>
  </si>
  <si>
    <t>FUJIAN DINGXIN TECHNOLOGY CO</t>
  </si>
  <si>
    <t>M-PL-04271</t>
  </si>
  <si>
    <t>L160812V081-3</t>
  </si>
  <si>
    <t>L608180910A</t>
  </si>
  <si>
    <t>MS200455B8</t>
  </si>
  <si>
    <t>L160815Q122-3</t>
  </si>
  <si>
    <t>171202N12-4</t>
  </si>
  <si>
    <t>VD301026B7</t>
  </si>
  <si>
    <t>JRAIMR17112001A</t>
  </si>
  <si>
    <t>DRYU2988870</t>
  </si>
  <si>
    <t>54S60216</t>
  </si>
  <si>
    <t>YU400020B</t>
  </si>
  <si>
    <t>YIEH UNITED STEEL CORPORATION (YUSCO)</t>
  </si>
  <si>
    <t>UK16009A</t>
  </si>
  <si>
    <t>YU274127</t>
  </si>
  <si>
    <t>L160726C008-4</t>
  </si>
  <si>
    <t>CK200223A3</t>
  </si>
  <si>
    <t>D16M4CK0232F01</t>
  </si>
  <si>
    <t>OOLU0657688</t>
  </si>
  <si>
    <t>K607130236A</t>
  </si>
  <si>
    <t>CK200223A2</t>
  </si>
  <si>
    <t>CK200223A1</t>
  </si>
  <si>
    <t>K1807040520A</t>
  </si>
  <si>
    <t>GU201964C</t>
  </si>
  <si>
    <t>GXGJ-IMR-1808-3-PL</t>
  </si>
  <si>
    <t>N180702AT122-02</t>
  </si>
  <si>
    <t>K701250602A</t>
  </si>
  <si>
    <t>HY200556C8</t>
  </si>
  <si>
    <t>HYOSUNG CORPORATION</t>
  </si>
  <si>
    <t>6121-201703-0006-001</t>
  </si>
  <si>
    <t>170122R101-3</t>
  </si>
  <si>
    <t>HY200556C1.8</t>
  </si>
  <si>
    <t>Y1803183309</t>
  </si>
  <si>
    <t>TI-TH301241B2.1</t>
  </si>
  <si>
    <t>TSINGSHAN HOLDING GROUP</t>
  </si>
  <si>
    <t>KG18/WC904001-IMR-F</t>
  </si>
  <si>
    <t>Y180101B10-5</t>
  </si>
  <si>
    <t>TI-TH301241B1.3</t>
  </si>
  <si>
    <t>TI-TH301241B2.4</t>
  </si>
  <si>
    <t>ZJ030082</t>
  </si>
  <si>
    <t>SZ202449A1.1</t>
  </si>
  <si>
    <t>SINOSTEEL SHENZHEN CO.,LTD</t>
  </si>
  <si>
    <t>20190306001EX</t>
  </si>
  <si>
    <t>ZIMU3034770</t>
  </si>
  <si>
    <t>K1803251325A</t>
  </si>
  <si>
    <t>GU201689</t>
  </si>
  <si>
    <t>GXGJ-IMR-1802</t>
  </si>
  <si>
    <t>N180322AQ052-01</t>
  </si>
  <si>
    <t>N1904270574-1</t>
  </si>
  <si>
    <t>LTI-TS302549B2.1</t>
  </si>
  <si>
    <t>ITSS19/03001-ARC</t>
  </si>
  <si>
    <t>Y190423C28-4</t>
  </si>
  <si>
    <t>N1903280253-1</t>
  </si>
  <si>
    <t>LTI-TS302464A3</t>
  </si>
  <si>
    <t>ITSS19/02001-ARC</t>
  </si>
  <si>
    <t>Y190307E01-3</t>
  </si>
  <si>
    <t>171109M12-4</t>
  </si>
  <si>
    <t>HY300872B1</t>
  </si>
  <si>
    <t>JRAHC17102001</t>
  </si>
  <si>
    <t>TRHU3165148</t>
  </si>
  <si>
    <t>HY300872B6</t>
  </si>
  <si>
    <t>K701260809A</t>
  </si>
  <si>
    <t>HY200563A14</t>
  </si>
  <si>
    <t>170123R012-1</t>
  </si>
  <si>
    <t>180113L13-6</t>
  </si>
  <si>
    <t>ZT301075B11</t>
  </si>
  <si>
    <t>ZHEIJIANG TSINGLAND METAL TECHNOLOGY LTD.</t>
  </si>
  <si>
    <t>20180129IM-2</t>
  </si>
  <si>
    <t>NO NUMBER - QC 27</t>
  </si>
  <si>
    <t>SM20160415S-11</t>
  </si>
  <si>
    <t>SS 200080A1</t>
  </si>
  <si>
    <t>CI-SM20160530S</t>
  </si>
  <si>
    <t>YMLU3030086</t>
  </si>
  <si>
    <t>BA0025</t>
  </si>
  <si>
    <t>NO NUMBER - QC 26</t>
  </si>
  <si>
    <t>K606080736A</t>
  </si>
  <si>
    <t>CK 200265A1</t>
  </si>
  <si>
    <t>Return CM</t>
  </si>
  <si>
    <t>ATINV160804A-1</t>
  </si>
  <si>
    <t>OOLU1432367</t>
  </si>
  <si>
    <t>160604X091-3</t>
  </si>
  <si>
    <t>NO NUMBER - QC 01</t>
  </si>
  <si>
    <t>SS200080A4</t>
  </si>
  <si>
    <t>Return Triyuda</t>
  </si>
  <si>
    <t>NO NUMBER - QC 02</t>
  </si>
  <si>
    <t>GU301185C1</t>
  </si>
  <si>
    <t>NO NUMBER - QC 30</t>
  </si>
  <si>
    <t>180702P06-2</t>
  </si>
  <si>
    <t>GU301325A1</t>
  </si>
  <si>
    <t>GXGJ-IMR-1813-2-PL</t>
  </si>
  <si>
    <t>HMCU3079776</t>
  </si>
  <si>
    <t>NO NUMBER - QC 31</t>
  </si>
  <si>
    <t xml:space="preserve">FA61118530N01 </t>
  </si>
  <si>
    <t>TS300434A1</t>
  </si>
  <si>
    <t>1701/INDO08B</t>
  </si>
  <si>
    <t xml:space="preserve">MSKU2995363 </t>
  </si>
  <si>
    <t xml:space="preserve">A1604846 </t>
  </si>
  <si>
    <t>NO NUMBER - TI-TS304182C</t>
  </si>
  <si>
    <t>N1912180431-1</t>
  </si>
  <si>
    <t>TI-TS304182C</t>
  </si>
  <si>
    <t>Y191208B20-1</t>
  </si>
  <si>
    <t>NO NUMBER - QC 04</t>
  </si>
  <si>
    <t>K701260805A</t>
  </si>
  <si>
    <t>HY 200565A3</t>
  </si>
  <si>
    <t>TCLU3668795</t>
  </si>
  <si>
    <t>170122R071-3</t>
  </si>
  <si>
    <t>DI GUDANG VELA</t>
  </si>
  <si>
    <t>NO NUMBER - QC 05</t>
  </si>
  <si>
    <t>SS200080A5</t>
  </si>
  <si>
    <t>NO NUMBER - QC 10</t>
  </si>
  <si>
    <t>SM20160415S-23</t>
  </si>
  <si>
    <t>SS200092A1</t>
  </si>
  <si>
    <t>CI-SM20160603</t>
  </si>
  <si>
    <t>YMLU3350310</t>
  </si>
  <si>
    <t>BA0031</t>
  </si>
  <si>
    <t>NO NUMBER - QC 11</t>
  </si>
  <si>
    <t>K607160739A</t>
  </si>
  <si>
    <t>AT200211A3</t>
  </si>
  <si>
    <t>ATINV160415B-3</t>
  </si>
  <si>
    <t>TCLU3779124</t>
  </si>
  <si>
    <t>160715R131-3</t>
  </si>
  <si>
    <t>SLT 18.12.2020 - WH KW 2</t>
  </si>
  <si>
    <t>K1809030106A</t>
  </si>
  <si>
    <t>GU240030B2</t>
  </si>
  <si>
    <t>12/14/2020, 15.12.2020</t>
  </si>
  <si>
    <t>12/14/2020, 16.12.2020</t>
  </si>
  <si>
    <t>2/23/2019, 15.12.2020, 16.12.2020</t>
  </si>
  <si>
    <t>2/23/2019, 15.12.2020</t>
  </si>
  <si>
    <t>TGCU2035746</t>
  </si>
  <si>
    <t>N180831AY021-02</t>
  </si>
  <si>
    <t>GU240030B4</t>
  </si>
  <si>
    <t>GU240030B6</t>
  </si>
  <si>
    <t>SLT 23.12.2020 - WH KW 2</t>
  </si>
  <si>
    <t>N2010100348-2</t>
  </si>
  <si>
    <t>TI-GI304629C</t>
  </si>
  <si>
    <t>Y201005D43-1</t>
  </si>
  <si>
    <t>SLT 04.01.2021 - WH KW 2</t>
  </si>
  <si>
    <t>N2011050409-2</t>
  </si>
  <si>
    <t>TI-GI304637C</t>
  </si>
  <si>
    <t>Y200821D09-5</t>
  </si>
  <si>
    <t>SLT 15.01.2021 - WH KW 2</t>
  </si>
  <si>
    <t>K2009073408B</t>
  </si>
  <si>
    <t>XG203573A2</t>
  </si>
  <si>
    <t>LEBAR SISA PRATAMA</t>
  </si>
  <si>
    <t>ECMU1665878</t>
  </si>
  <si>
    <t>N200906AQ081-02</t>
  </si>
  <si>
    <t>XG203573B2</t>
  </si>
  <si>
    <t>K2009050604B</t>
  </si>
  <si>
    <t>XG203599A2</t>
  </si>
  <si>
    <t>ECMU1736930</t>
  </si>
  <si>
    <t>N200901AR152-04</t>
  </si>
  <si>
    <t>XG203599B2</t>
  </si>
  <si>
    <t>K2007142134A</t>
  </si>
  <si>
    <t>XG203543B3</t>
  </si>
  <si>
    <t>TGHU1311405</t>
  </si>
  <si>
    <t>N200714AT012-02</t>
  </si>
  <si>
    <t>BBY JAN '21</t>
  </si>
  <si>
    <t>BBY - BAL 21.01.2021 - WH KW 2</t>
  </si>
  <si>
    <t>K2010092625B</t>
  </si>
  <si>
    <t>XG203730</t>
  </si>
  <si>
    <t>12/28/2020, 06.01.2021</t>
  </si>
  <si>
    <t>EITU0366204</t>
  </si>
  <si>
    <t>N201008AT10</t>
  </si>
  <si>
    <t>BBY NOV '20</t>
  </si>
  <si>
    <t>K2010070933A</t>
  </si>
  <si>
    <t>XG203630</t>
  </si>
  <si>
    <t>N201005AT05</t>
  </si>
  <si>
    <t>BBY DES '20</t>
  </si>
  <si>
    <t>K2010221308A</t>
  </si>
  <si>
    <t>XG203657B</t>
  </si>
  <si>
    <t>XGC-IMR20200911-3</t>
  </si>
  <si>
    <t>DFSU2288986</t>
  </si>
  <si>
    <t>N201021AQ01</t>
  </si>
  <si>
    <t>SLT 29.01.2021 - WH KW 2</t>
  </si>
  <si>
    <t>N2001140265-1</t>
  </si>
  <si>
    <t>TI-TS203504A</t>
  </si>
  <si>
    <t>Y191019C06-3</t>
  </si>
  <si>
    <t>BAL 14.02.2021 - WH KW 2</t>
  </si>
  <si>
    <t>K2012050139A</t>
  </si>
  <si>
    <t>XG203931A</t>
  </si>
  <si>
    <t>BUTEK</t>
  </si>
  <si>
    <t>HMCU3069166</t>
  </si>
  <si>
    <t>N201202AT01</t>
  </si>
  <si>
    <t>RE SLT 29.03.2021 - WH KW 2</t>
  </si>
  <si>
    <t>TI-TS203375B1</t>
  </si>
  <si>
    <t>SLT 01.04.2021 - WH KW 2</t>
  </si>
  <si>
    <t>N2102070123-1</t>
  </si>
  <si>
    <t>TI-GI304761C</t>
  </si>
  <si>
    <t>GCNS20/WC12006-ARC</t>
  </si>
  <si>
    <t>Y201209B24-6</t>
  </si>
  <si>
    <t>REP WH - SLT 01.04.2021 - WH KW 2</t>
  </si>
  <si>
    <t>N2101300842-2</t>
  </si>
  <si>
    <t>TI-GI304820B1</t>
  </si>
  <si>
    <t>EX-SK NETWORKS 023/02-2021/EXP</t>
  </si>
  <si>
    <t>Y201231E03-7</t>
  </si>
  <si>
    <t>RE SLT 22.03.2021 - WH KW 2</t>
  </si>
  <si>
    <t>N1908080126-1</t>
  </si>
  <si>
    <t>LTI-TS304260B2</t>
  </si>
  <si>
    <t>SUPASIN</t>
  </si>
  <si>
    <t>8/31/2020, 05.09.2020, 26.02.2021</t>
  </si>
  <si>
    <t>8/31/2020, 05.09.2020, 01.03.2021</t>
  </si>
  <si>
    <t>9/2/2020, 06.09.2020, 16.03.2021</t>
  </si>
  <si>
    <t>9/3/2020, 12.11.2020, 20.02.2021, 22.03.2021</t>
  </si>
  <si>
    <t>Y190622A27-1</t>
  </si>
  <si>
    <t>SLT 28.03.2021 - WH</t>
  </si>
  <si>
    <t>K2012010146B</t>
  </si>
  <si>
    <t>EM204023A9</t>
  </si>
  <si>
    <t>HOLD METALUTAMA - PISAU GUPIL</t>
  </si>
  <si>
    <t>3/25/2021, 26.03.2021</t>
  </si>
  <si>
    <t>3/26/2021, 27.03.2021</t>
  </si>
  <si>
    <t>ERM-IMR20201211-1</t>
  </si>
  <si>
    <t>EGSU3030999</t>
  </si>
  <si>
    <t>N201201AT10</t>
  </si>
  <si>
    <t>SLT 06.04.2021 - WH</t>
  </si>
  <si>
    <t>K2012032318B</t>
  </si>
  <si>
    <t>XG203884A4</t>
  </si>
  <si>
    <t>HOLD - TRIYUDA - BUCKLING</t>
  </si>
  <si>
    <t>2/4/2021, 15.02.2021</t>
  </si>
  <si>
    <t>2/5/2021, 16.02.2021</t>
  </si>
  <si>
    <t>2/7/2021, 16.02.2021</t>
  </si>
  <si>
    <t>EITU0117963</t>
  </si>
  <si>
    <t>SLT 12.04.2021 - WH KW 2</t>
  </si>
  <si>
    <t>K2012032318A</t>
  </si>
  <si>
    <t>XG203887C</t>
  </si>
  <si>
    <t>EISU2042772</t>
  </si>
  <si>
    <t>BBY - BAL 13.04.2021 - WH KW 2</t>
  </si>
  <si>
    <t>K2010061835B</t>
  </si>
  <si>
    <t>XG203826C</t>
  </si>
  <si>
    <t>1/26/2021, 09.02.2021</t>
  </si>
  <si>
    <t>TEMU1350014</t>
  </si>
  <si>
    <t>SLT 06.05.2021 - WH</t>
  </si>
  <si>
    <t>K21011631140A</t>
  </si>
  <si>
    <t>EM204072A8</t>
  </si>
  <si>
    <t>EGSU3002180</t>
  </si>
  <si>
    <t>N210114AR08</t>
  </si>
  <si>
    <t>SLT 03.06.2021 - WH KW 2</t>
  </si>
  <si>
    <t>K2101163137B</t>
  </si>
  <si>
    <t>EM204067C</t>
  </si>
  <si>
    <t>EGHU3081380</t>
  </si>
  <si>
    <t>B1</t>
  </si>
  <si>
    <t>SLT 07.06.2021 - WH KW 2</t>
  </si>
  <si>
    <t>K2103093017A</t>
  </si>
  <si>
    <t>EM204175C</t>
  </si>
  <si>
    <t>N210308AT11</t>
  </si>
  <si>
    <t>SLT 14.06.2021 - WH KW 2</t>
  </si>
  <si>
    <t>K2012040403A</t>
  </si>
  <si>
    <t>XG203944C</t>
  </si>
  <si>
    <t>EMCU6097533</t>
  </si>
  <si>
    <t>N201201AT13</t>
  </si>
  <si>
    <t>C03</t>
  </si>
  <si>
    <t>HOLD SLT 29.06.2021 - WH KW 2</t>
  </si>
  <si>
    <t>N2105260102-1</t>
  </si>
  <si>
    <t>GI360233B1</t>
  </si>
  <si>
    <t>SLT 12.07.2021 - WH KW 2</t>
  </si>
  <si>
    <t>N2104120547-2</t>
  </si>
  <si>
    <t>TI-GI305299C</t>
  </si>
  <si>
    <t>GCNS21/WC04005-ARC</t>
  </si>
  <si>
    <t>Y210330D26-6</t>
  </si>
  <si>
    <t>SLT 16.09.2021 - WH KW 2</t>
  </si>
  <si>
    <t>N2104250803-1</t>
  </si>
  <si>
    <t>TI-GI305402B1-2</t>
  </si>
  <si>
    <t>HEISEI</t>
  </si>
  <si>
    <t>7/25/2021, 06.09.2021</t>
  </si>
  <si>
    <t>GCNS21/WC04016-ARC</t>
  </si>
  <si>
    <t>Y210402C52-6</t>
  </si>
  <si>
    <t>HOLD SLT 17.09.2021 - WH KW 2</t>
  </si>
  <si>
    <t>N2104260413-2</t>
  </si>
  <si>
    <t>TI-GI305652C</t>
  </si>
  <si>
    <t>Y210328C22-1</t>
  </si>
  <si>
    <t>SLT 20.09.2021 - WH KW 2</t>
  </si>
  <si>
    <t>K2104062315B</t>
  </si>
  <si>
    <t>GU204492A</t>
  </si>
  <si>
    <t>EGSU3039300</t>
  </si>
  <si>
    <t>N210404AT05</t>
  </si>
  <si>
    <t>N2105180412-1</t>
  </si>
  <si>
    <t>TI-GI305794C1.1</t>
  </si>
  <si>
    <t>EX - KALIBESAR - BUANG SCART SLIP</t>
  </si>
  <si>
    <t>GCNS21/WC05014-ARC</t>
  </si>
  <si>
    <t>Y210513D20-5</t>
  </si>
  <si>
    <t>SLT 15.10.2021 - WH KW 2</t>
  </si>
  <si>
    <t>K2104180627A</t>
  </si>
  <si>
    <t>EM204553B</t>
  </si>
  <si>
    <t>INV-IMR20210225-2</t>
  </si>
  <si>
    <t>FCIU6186818</t>
  </si>
  <si>
    <t>N210417AR08</t>
  </si>
  <si>
    <t>RM SLT - SLT 26.10.2021 - WH KW 2</t>
  </si>
  <si>
    <t>IM706</t>
  </si>
  <si>
    <t>LM410580A</t>
  </si>
  <si>
    <t>D8810</t>
  </si>
  <si>
    <t>SLT 31.10.2021 - WH</t>
  </si>
  <si>
    <t>K2103030727B</t>
  </si>
  <si>
    <t>GU204122B7</t>
  </si>
  <si>
    <t>TRIYUDA - BUANG RUST</t>
  </si>
  <si>
    <t>GXGJ-IMR-2102-PL</t>
  </si>
  <si>
    <t>N210301AQ06</t>
  </si>
  <si>
    <t>SLT 15.11.2021 - WH KW 2</t>
  </si>
  <si>
    <t>K2103153517B</t>
  </si>
  <si>
    <t>GU204249A1</t>
  </si>
  <si>
    <t>GXGJ-IMR-2103-PL-1</t>
  </si>
  <si>
    <t>N210308AR10</t>
  </si>
  <si>
    <t>RM SLT - SLT 20.11.2021 - WH KW 2</t>
  </si>
  <si>
    <t>IM716</t>
  </si>
  <si>
    <t>LM410590C</t>
  </si>
  <si>
    <t>BELAH COIL JADI 2</t>
  </si>
  <si>
    <t>11/5/2021, 20.11.2021</t>
  </si>
  <si>
    <t>PRSU1579956</t>
  </si>
  <si>
    <t>J5519</t>
  </si>
  <si>
    <t>RE SLT 30.11.2021 - WH KW 2</t>
  </si>
  <si>
    <t>180322N07-6</t>
  </si>
  <si>
    <t>GU301186A1.1-3</t>
  </si>
  <si>
    <t>6/11/2018, 29.09.2020</t>
  </si>
  <si>
    <t>6/11/2018, 03.10.2020</t>
  </si>
  <si>
    <t>GU301186B1.1-3</t>
  </si>
  <si>
    <t>RM SLT - SLT 15.12.2021 - WH KW 2</t>
  </si>
  <si>
    <t>EM204752A1-5</t>
  </si>
  <si>
    <t>84.0+157.7+197.3+117.8+48.0</t>
  </si>
  <si>
    <t>SLT 19.12.2021 - WH KW 2</t>
  </si>
  <si>
    <t>N2104240753-2</t>
  </si>
  <si>
    <t>LTI-GI305991B1-7</t>
  </si>
  <si>
    <t>157.7+237.4+117.8+98.0*2+48.0</t>
  </si>
  <si>
    <t>GCNS21/WC06005-ARC</t>
  </si>
  <si>
    <t>Y210405A45-3</t>
  </si>
  <si>
    <t>SLT 29.12.2021 - WH KW 2</t>
  </si>
  <si>
    <t>N2109150209-1</t>
  </si>
  <si>
    <t>GI360278C</t>
  </si>
  <si>
    <t>Y210905D25-2</t>
  </si>
  <si>
    <t>SLT 25.02.2022 - WH KW 2</t>
  </si>
  <si>
    <t>N2109010150-1</t>
  </si>
  <si>
    <t>LTI-GI306589C</t>
  </si>
  <si>
    <t>ARRIVE AT IMR 08.02.22</t>
  </si>
  <si>
    <t>Y210509D24-1</t>
  </si>
  <si>
    <t>HOLD SLT 09.03.2022 - WH KW 2</t>
  </si>
  <si>
    <t>N2109290204-1</t>
  </si>
  <si>
    <t>TI-GI306807C</t>
  </si>
  <si>
    <t>GCNS21/WC07005-ARC</t>
  </si>
  <si>
    <t>Y210926C52-2</t>
  </si>
  <si>
    <t>REP WH - SLT 12.03.2022 - WH KW 2</t>
  </si>
  <si>
    <t>K2104053523A</t>
  </si>
  <si>
    <t>HK204582B1</t>
  </si>
  <si>
    <t>12/18/2021, 04.03.2022, 06.03.2022</t>
  </si>
  <si>
    <t>12/25/2021, 05.03.2022, 07.03.2022</t>
  </si>
  <si>
    <t>EISU2174613</t>
  </si>
  <si>
    <t>N210403AR14</t>
  </si>
  <si>
    <t>RM SLT - SLT 19.04.2022 - WH KW 2</t>
  </si>
  <si>
    <t>IM816</t>
  </si>
  <si>
    <t>LM410629A1</t>
  </si>
  <si>
    <t>G1919</t>
  </si>
  <si>
    <t>SLT 27.12.2021 - WH KW 2</t>
  </si>
  <si>
    <t>K2104053503B</t>
  </si>
  <si>
    <t>GU204441C</t>
  </si>
  <si>
    <t>BEAU2149109</t>
  </si>
  <si>
    <t>N210403AT16</t>
  </si>
  <si>
    <t>HOLD SLT 25.07.2021 - WH KW 2</t>
  </si>
  <si>
    <t>N2104080863-2</t>
  </si>
  <si>
    <t>TI-GI305369C</t>
  </si>
  <si>
    <t>GCNS21/WC04004-ARC</t>
  </si>
  <si>
    <t>Y210403C44-2</t>
  </si>
  <si>
    <t>SLT 27.05.2022 - WH KW 2</t>
  </si>
  <si>
    <t>N2111030147-1</t>
  </si>
  <si>
    <t>LTI-GI307057C</t>
  </si>
  <si>
    <t>ARRIVE AT IMR 23.04.22</t>
  </si>
  <si>
    <t>GCNS21/WC09001-ARC</t>
  </si>
  <si>
    <t>Y210917D40-1</t>
  </si>
  <si>
    <t>BAL 06.06.2022 - WH KW 2</t>
  </si>
  <si>
    <t>BC 00000016</t>
  </si>
  <si>
    <t>1.40/0.080</t>
  </si>
  <si>
    <t>TRIAL - JALAN PERTAMA</t>
  </si>
  <si>
    <t>SLT 14.06.2022 - WH KW 2</t>
  </si>
  <si>
    <t>K2201300112B</t>
  </si>
  <si>
    <t>GU204866C</t>
  </si>
  <si>
    <t>CSLU1817723</t>
  </si>
  <si>
    <t>RE SLT 28.06.2022 - WH</t>
  </si>
  <si>
    <t>K2205020303B</t>
  </si>
  <si>
    <t>EM205025B6</t>
  </si>
  <si>
    <t>HOLD - ISANO LOPO - SCRACTH</t>
  </si>
  <si>
    <t>CXDU1494085</t>
  </si>
  <si>
    <t>N220306AT11</t>
  </si>
  <si>
    <t>HOLD SLT 28.06.2022 - WH</t>
  </si>
  <si>
    <t>K2201300118AA</t>
  </si>
  <si>
    <t>EM204994A6</t>
  </si>
  <si>
    <t>SLT 23.07.2021 - WH KW 2</t>
  </si>
  <si>
    <t>N2105300782-2</t>
  </si>
  <si>
    <t>TI-GI305393C</t>
  </si>
  <si>
    <t>Y210526F31-6</t>
  </si>
  <si>
    <t>SLT 23.09.2021 - WH KW 2</t>
  </si>
  <si>
    <t>N2104260412-2</t>
  </si>
  <si>
    <t>TI-GI305650C</t>
  </si>
  <si>
    <t>Y210326C27-1</t>
  </si>
  <si>
    <t>C02</t>
  </si>
  <si>
    <t>SLT 14.09.2021 - WH</t>
  </si>
  <si>
    <t>N2105280141-2</t>
  </si>
  <si>
    <t>TI-GI305475A3</t>
  </si>
  <si>
    <t>STOCK - SISA LEBAR BNM</t>
  </si>
  <si>
    <t>Y210418D31-1</t>
  </si>
  <si>
    <t>N2105280141-1</t>
  </si>
  <si>
    <t>TI-GI305474A3</t>
  </si>
  <si>
    <t>SLT 24.06.2022 - WH KW 2</t>
  </si>
  <si>
    <t>N2111040328-2</t>
  </si>
  <si>
    <t>LTI-GI307174C</t>
  </si>
  <si>
    <t>Y210911A04-1</t>
  </si>
  <si>
    <t>SLT 25.06.2022 - WH KW 2</t>
  </si>
  <si>
    <t>N2112100602-2</t>
  </si>
  <si>
    <t>TI-GI307226C</t>
  </si>
  <si>
    <t>ARRIVE AT IMR 03.06.22</t>
  </si>
  <si>
    <t>Y211207D07-4</t>
  </si>
  <si>
    <t>HOLD SLT 29.06.2022 - WH KW 2</t>
  </si>
  <si>
    <t>N2109300181-2</t>
  </si>
  <si>
    <t>LTI-GI307340D</t>
  </si>
  <si>
    <t>6/23/2022, 27.06.2022</t>
  </si>
  <si>
    <t>6/24/2022, 28.06.2022</t>
  </si>
  <si>
    <t>ARRIVE AT IMR 06.06.22</t>
  </si>
  <si>
    <t>Y210922D54-5</t>
  </si>
  <si>
    <t>SLT 29.06.2022 - WH KW 2</t>
  </si>
  <si>
    <t>N2111030113-1</t>
  </si>
  <si>
    <t>LTI-GI307323A</t>
  </si>
  <si>
    <t>6/7/2022, 24.06.2022</t>
  </si>
  <si>
    <t>6/10/2022, 28.06.2022</t>
  </si>
  <si>
    <t>6/21/2022, 28.06.2022</t>
  </si>
  <si>
    <t>6/22/2022, 24.06.2022</t>
  </si>
  <si>
    <t>Y211014F43-1</t>
  </si>
  <si>
    <t>SLT 25.05.2022 - WH</t>
  </si>
  <si>
    <t>N2111030161-1</t>
  </si>
  <si>
    <t>LTI-GI307039C</t>
  </si>
  <si>
    <t>Y210830D08-6</t>
  </si>
  <si>
    <t>SLT 06.06.2022 - WH KW 2</t>
  </si>
  <si>
    <t>N2111030146-1</t>
  </si>
  <si>
    <t>LTI-GI307143B11</t>
  </si>
  <si>
    <t>Y210830C07-4</t>
  </si>
  <si>
    <t>N2111240321-2</t>
  </si>
  <si>
    <t>LTI-GI307262D</t>
  </si>
  <si>
    <t>Y211103D34-3</t>
  </si>
  <si>
    <t>SLT 26.06.2022 - WH KW 2</t>
  </si>
  <si>
    <t>N2111030171-2</t>
  </si>
  <si>
    <t>LTI-GI307366B3</t>
  </si>
  <si>
    <t>ARRIVE AT IMR 23.06.22</t>
  </si>
  <si>
    <t>Y210927C05-1</t>
  </si>
  <si>
    <t>SLT 23.06.2022 - WH KW 2</t>
  </si>
  <si>
    <t>N2111030175-2</t>
  </si>
  <si>
    <t>LTI-GI307280C</t>
  </si>
  <si>
    <t>Y210928D21-1</t>
  </si>
  <si>
    <t>N2111030104-2</t>
  </si>
  <si>
    <t>LTI-GI307322C</t>
  </si>
  <si>
    <t>Y211013E43-1</t>
  </si>
  <si>
    <t>RE SLT 04.07.2022 - WH KW 2</t>
  </si>
  <si>
    <t>N2201140608-1</t>
  </si>
  <si>
    <t>LTI-GI307437C</t>
  </si>
  <si>
    <t>ARRIVE AT IMR 27.06.22</t>
  </si>
  <si>
    <t>Y211103D53-1</t>
  </si>
  <si>
    <t>PACK KW 2 - 06.06.2022</t>
  </si>
  <si>
    <t>N2010100308-1</t>
  </si>
  <si>
    <t>TI-GI304512B3</t>
  </si>
  <si>
    <t>BBY APRIL'21</t>
  </si>
  <si>
    <t>Y201005C43-4</t>
  </si>
  <si>
    <t>BBY - PACK KW 2 - 07.07.2022</t>
  </si>
  <si>
    <t>N1905240131-2</t>
  </si>
  <si>
    <t>TI-TS303182A</t>
  </si>
  <si>
    <t>NOT OK - OK RR BY QC</t>
  </si>
  <si>
    <t>10/26/2019, 21.11.2019</t>
  </si>
  <si>
    <t>10/26/2019, 22.11.2019</t>
  </si>
  <si>
    <t>10/27/2019, 28.11.2019</t>
  </si>
  <si>
    <t>10/28/2019, 29.11.2019</t>
  </si>
  <si>
    <t>STOCK RR 31.10.19 - RR ALLOCATED</t>
  </si>
  <si>
    <t>ITSS19/06003-ARC</t>
  </si>
  <si>
    <t>Y190520E09-3</t>
  </si>
  <si>
    <t>HOLD SLT 11.07.2022 - WH KW 2</t>
  </si>
  <si>
    <t>N2112100603-2</t>
  </si>
  <si>
    <t>TI-GI307258B2</t>
  </si>
  <si>
    <t>STOCK MANAGEMENT</t>
  </si>
  <si>
    <t>Y211207C06-1</t>
  </si>
  <si>
    <t>RE SLT 12.07.2022 - WH KW 2</t>
  </si>
  <si>
    <t>N2112150541-2</t>
  </si>
  <si>
    <t>TI-GI307256A</t>
  </si>
  <si>
    <t>Y211207C13-2</t>
  </si>
  <si>
    <t>RE SLT 13.07.2022 - WH KW 2</t>
  </si>
  <si>
    <t>N2112150530-2</t>
  </si>
  <si>
    <t>TI-GI307300B2</t>
  </si>
  <si>
    <t>Y211207D08-7</t>
  </si>
  <si>
    <t>RE SLT 18.07.2022 - WH KW 2</t>
  </si>
  <si>
    <t>N2111130353-1</t>
  </si>
  <si>
    <t>LTI-GI307381A</t>
  </si>
  <si>
    <t>ARRIVE AT IMR 14.07.22</t>
  </si>
  <si>
    <t>Y211105C13-1</t>
  </si>
  <si>
    <t>SLT 20.07.2022 - WH KW 2</t>
  </si>
  <si>
    <t>N2203250462-2</t>
  </si>
  <si>
    <t>LTI-GI307484B</t>
  </si>
  <si>
    <t>ARRIVE AT IMR 16.07.22</t>
  </si>
  <si>
    <t>Y220316B28-3</t>
  </si>
  <si>
    <t>N2111240325-1</t>
  </si>
  <si>
    <t>LTI-GI307397C</t>
  </si>
  <si>
    <t>Y211027D40-2</t>
  </si>
  <si>
    <t>SLT 22.07.2022 - WH KW 2</t>
  </si>
  <si>
    <t>N2112100444-1</t>
  </si>
  <si>
    <t>TI-GI307401C</t>
  </si>
  <si>
    <t>Y211204D06-2</t>
  </si>
  <si>
    <t>SLT 23.07.2022 - WH KW 2</t>
  </si>
  <si>
    <t>N2111040320-1</t>
  </si>
  <si>
    <t>LTI-GI307313C</t>
  </si>
  <si>
    <t>Y210910B03-1</t>
  </si>
  <si>
    <t>N2112150518-2</t>
  </si>
  <si>
    <t>TI-GI307218C</t>
  </si>
  <si>
    <t>Y211207C09-4</t>
  </si>
  <si>
    <t>SLT 25.07.2022 - WH KW 2</t>
  </si>
  <si>
    <t>K2203073836C</t>
  </si>
  <si>
    <t>EM204878B</t>
  </si>
  <si>
    <t>SLT 01.08.2022 - WH KW 2</t>
  </si>
  <si>
    <t>N2202080110-2</t>
  </si>
  <si>
    <t>LTI-GI307444C</t>
  </si>
  <si>
    <t>ARRIVE AT IMR 28.07.22</t>
  </si>
  <si>
    <t>Y220131D12-5</t>
  </si>
  <si>
    <t>N2111130226-2</t>
  </si>
  <si>
    <t>LTI-GI307380B1</t>
  </si>
  <si>
    <t>ARRIVE AT IMR 22.07.22</t>
  </si>
  <si>
    <t>Y211026D21-6</t>
  </si>
  <si>
    <t>SLT 10.08.2022 - WH KW 2</t>
  </si>
  <si>
    <t>N2203170614-1</t>
  </si>
  <si>
    <t>LTI-GI307501A</t>
  </si>
  <si>
    <t>Y211223A27-6</t>
  </si>
  <si>
    <t>SLT 11.08.2022 - WH KW 2</t>
  </si>
  <si>
    <t>N2204220538-2</t>
  </si>
  <si>
    <t>TI-GI307504B1</t>
  </si>
  <si>
    <t>ARRIVE AT IMR 04.08.22</t>
  </si>
  <si>
    <t>Y210504B04-3</t>
  </si>
  <si>
    <t>SLT 13.08.2022 - WH KW 2</t>
  </si>
  <si>
    <t>N2203170615-2</t>
  </si>
  <si>
    <t>LTI-GI307488C</t>
  </si>
  <si>
    <t>Y220217E29-6</t>
  </si>
  <si>
    <t>RE SLT 18.08.2022 - WH KW 2</t>
  </si>
  <si>
    <t>N2201100438-1</t>
  </si>
  <si>
    <t>LTI-GI307615C1</t>
  </si>
  <si>
    <t>Y211209D20-5</t>
  </si>
  <si>
    <t>SLT 18.08.2022 - WH KW 2</t>
  </si>
  <si>
    <t>N2203170614-2</t>
  </si>
  <si>
    <t>LTI-GI307502C</t>
  </si>
  <si>
    <t>ARNAY TUBES</t>
  </si>
  <si>
    <t>8/9/2022, 16.08.2022</t>
  </si>
  <si>
    <t>8/11/2022, 18.08.2022</t>
  </si>
  <si>
    <t>SLT 24.08.2022 - WH KW 2</t>
  </si>
  <si>
    <t>N2203180159-1</t>
  </si>
  <si>
    <t>LTI-GI307637C</t>
  </si>
  <si>
    <t>Y220130C33-6</t>
  </si>
  <si>
    <t>N2203170613-1</t>
  </si>
  <si>
    <t>LTI-GI307611C</t>
  </si>
  <si>
    <t>Y220130C48-5</t>
  </si>
  <si>
    <t>REP WH - SLT 25.08.2022 - WH KW 2</t>
  </si>
  <si>
    <t>LTI-GI307611D</t>
  </si>
  <si>
    <t>SLT 28.08.2022 - WH KW 2</t>
  </si>
  <si>
    <t>N2106220650-2</t>
  </si>
  <si>
    <t>LTI-GI306027D</t>
  </si>
  <si>
    <t>ALPHA INOX</t>
  </si>
  <si>
    <t>10/21/2021, 02.11.2021</t>
  </si>
  <si>
    <t>10/27/2021, 10.11.2021, 10.11.2021</t>
  </si>
  <si>
    <t>Y210610C12-5</t>
  </si>
  <si>
    <t>SLT 30.08.2022 - WH KW 2</t>
  </si>
  <si>
    <t>GU205178B</t>
  </si>
  <si>
    <t>SLT 01.09.2022 - WH</t>
  </si>
  <si>
    <t>N2201140615-1</t>
  </si>
  <si>
    <t>LTI-GI307629D</t>
  </si>
  <si>
    <t>RE SLT 01.09.2022 - WH</t>
  </si>
  <si>
    <t>N2201140613-1</t>
  </si>
  <si>
    <t>LTI-GI307669A</t>
  </si>
  <si>
    <t>Y211201C11-1</t>
  </si>
  <si>
    <t>LTI-GI307669C</t>
  </si>
  <si>
    <t>SLT 08.09.2022 - WH KW 2</t>
  </si>
  <si>
    <t>N2204190743-1</t>
  </si>
  <si>
    <t>LTI-GI307635C</t>
  </si>
  <si>
    <t>Y220328C32-6</t>
  </si>
  <si>
    <t>SLT 12.09.2022 - WH KW 2</t>
  </si>
  <si>
    <t>N2111220337-1</t>
  </si>
  <si>
    <t>LTI-GI307073E</t>
  </si>
  <si>
    <t>4/9/2022, 16.06.2022, 22.07.2022, 29.07.2022</t>
  </si>
  <si>
    <t>4/9/2022, 17.06.2022, 29.07.2022</t>
  </si>
  <si>
    <t>4/17/2022, 22.07.2022, 12.09.2022</t>
  </si>
  <si>
    <t>4/17/2022, 18.04.2022, 06.06.2022, 25.07.2022</t>
  </si>
  <si>
    <t>ARRIVE AT IMR 04.04.22</t>
  </si>
  <si>
    <t>Y211116B32-3</t>
  </si>
  <si>
    <t>SLT 13.09.2022 - WH KW 2</t>
  </si>
  <si>
    <t>N2204190749-1</t>
  </si>
  <si>
    <t>LTI-GI307581B</t>
  </si>
  <si>
    <t>Y220302C23-6</t>
  </si>
  <si>
    <t>SLT 23.09.2022 - WH KW 2</t>
  </si>
  <si>
    <t>N2205240348-1</t>
  </si>
  <si>
    <t>LTI-GI307854D</t>
  </si>
  <si>
    <t>Y220330C01-1</t>
  </si>
  <si>
    <t>LTI-GI306842C</t>
  </si>
  <si>
    <t>CTL 29.09.2022 - WH KW 2</t>
  </si>
  <si>
    <t>N2201100401-1</t>
  </si>
  <si>
    <t>LTI-GI307421B1.10</t>
  </si>
  <si>
    <t>KW 2 - SISA CTL - HOLD DENT MEMANJANG</t>
  </si>
  <si>
    <t>8/2/2022, 15.08.2022</t>
  </si>
  <si>
    <t>8/3/2022, 16.08.2022</t>
  </si>
  <si>
    <t>8/5/2022, 18.08.2022</t>
  </si>
  <si>
    <t>8/5/2022, 11.08.2022, 19.08.2022, 21.09.2022</t>
  </si>
  <si>
    <t>Y211106D28-1</t>
  </si>
  <si>
    <t>SLT 01.10.2022 - WH KW 2</t>
  </si>
  <si>
    <t>N2204290150-2</t>
  </si>
  <si>
    <t>TI-GI307877C</t>
  </si>
  <si>
    <t>ARRIVE AT IMR 22.09.22</t>
  </si>
  <si>
    <t>Y220426D08-3</t>
  </si>
  <si>
    <t>SLT 03.10.2022 - WH KW 2</t>
  </si>
  <si>
    <t>N2206170509-1</t>
  </si>
  <si>
    <t>GI360321B</t>
  </si>
  <si>
    <t>9/20/2022, 28.09.2022</t>
  </si>
  <si>
    <t>9/20/2022, 29.09.2022</t>
  </si>
  <si>
    <t>9/28/2022, 03.10.2022</t>
  </si>
  <si>
    <t>GCNS22/WC07012-ARC</t>
  </si>
  <si>
    <t>Y220510C20-2</t>
  </si>
  <si>
    <t>BAL 20.06.2022 - WH KW 2</t>
  </si>
  <si>
    <t>N2111040318-1</t>
  </si>
  <si>
    <t>LTI-GI307287A</t>
  </si>
  <si>
    <t>ARRIVE AT IMR 16.04.22</t>
  </si>
  <si>
    <t>Y210910B04-6</t>
  </si>
  <si>
    <t>SLT 04.10.2022 - WH KW 2</t>
  </si>
  <si>
    <t>N2204130304-2</t>
  </si>
  <si>
    <t>LTI-GI307945B1</t>
  </si>
  <si>
    <t>GCNS22/WC06002-ARC</t>
  </si>
  <si>
    <t>Y220409A26-5</t>
  </si>
  <si>
    <t>BAL 18.10.2022 - WH KW 2</t>
  </si>
  <si>
    <t>N2206260128-2</t>
  </si>
  <si>
    <t>TI-GI308136A</t>
  </si>
  <si>
    <t>BHAWARLAL AGENCIES</t>
  </si>
  <si>
    <t>ARRIVE AT IMR 15.10.22</t>
  </si>
  <si>
    <t>Y220522E16-2</t>
  </si>
  <si>
    <t>SLT 25.10.2022 - WH KW 2</t>
  </si>
  <si>
    <t>N2102070107-2</t>
  </si>
  <si>
    <t>TI-GI304776B2</t>
  </si>
  <si>
    <t>PRISTINE</t>
  </si>
  <si>
    <t>4/5/2021, 07.04.2021, 29.09.2022</t>
  </si>
  <si>
    <t>4/5/2021, 07.04.2021, 04.10.2022</t>
  </si>
  <si>
    <t>4/6/2021, 08.04.2021</t>
  </si>
  <si>
    <t>4/9/2021, 18.09.2022</t>
  </si>
  <si>
    <t>Y201213A30-5</t>
  </si>
  <si>
    <t>HOLD SLT 26.10.2022 - WH KW 2</t>
  </si>
  <si>
    <t>TI-GI307460B2</t>
  </si>
  <si>
    <t>8/2/2022, 24.10.2022</t>
  </si>
  <si>
    <t>8/3/2022, 17.09.2022, 25.10.2022</t>
  </si>
  <si>
    <t>BAL 18.11.2022 - WH KW 2</t>
  </si>
  <si>
    <t>N2207240315-2</t>
  </si>
  <si>
    <t>LTI-GI308184B</t>
  </si>
  <si>
    <t>Y220718D43-3</t>
  </si>
  <si>
    <t>RE SLT 18.11.2022 - WH KW 2</t>
  </si>
  <si>
    <t>N2203170641-1</t>
  </si>
  <si>
    <t>TI-GI307898A1</t>
  </si>
  <si>
    <t>9/30/2022, 21.10.2022</t>
  </si>
  <si>
    <t>10/21/2022, 24.10.2022</t>
  </si>
  <si>
    <t>GCNS22/WC07006-ARC</t>
  </si>
  <si>
    <t>Y211118F23-5</t>
  </si>
  <si>
    <t>SLT 05.12.2022 - WH KW 2</t>
  </si>
  <si>
    <t>N2208110407</t>
  </si>
  <si>
    <t>GI360312C2</t>
  </si>
  <si>
    <t>10/25/2022, 21.11.2022</t>
  </si>
  <si>
    <t>10/25/2022, 22.11.2022</t>
  </si>
  <si>
    <t>10/31/2022, 03.12.2022</t>
  </si>
  <si>
    <t>Y220630D08-1</t>
  </si>
  <si>
    <t>BAL 09.12.2022 - WH KW 2</t>
  </si>
  <si>
    <t>N2209280512-1</t>
  </si>
  <si>
    <t>TI-GI308675A</t>
  </si>
  <si>
    <t>Y220924C07-2</t>
  </si>
  <si>
    <t>SLT 23.12.2022 - WH KW 2</t>
  </si>
  <si>
    <t>N2207300410-1</t>
  </si>
  <si>
    <t>LTI-GI308263D</t>
  </si>
  <si>
    <t>ARRIVE AT IMR 05.11.22</t>
  </si>
  <si>
    <t>Y220629D12-1</t>
  </si>
  <si>
    <t>177-C</t>
  </si>
  <si>
    <t>BBY MAY'19</t>
  </si>
  <si>
    <t>BBY - PACK 15.04.2021</t>
  </si>
  <si>
    <t>SLT 24.05.2019 - WH</t>
  </si>
  <si>
    <t>N1901050448-2</t>
  </si>
  <si>
    <t>TI-TS302236A</t>
  </si>
  <si>
    <t>133/05-2022/EXP</t>
  </si>
  <si>
    <t>METAL WANG PTE LTD</t>
  </si>
  <si>
    <t>4/26/2019, 08.05.2019, 23.05.2019</t>
  </si>
  <si>
    <t>4/27/2019, 09.05.2019, 24.05.2019</t>
  </si>
  <si>
    <t>4/27/2019, 20.05.2019, 24.05.2019</t>
  </si>
  <si>
    <t>ITSS18/12003-ARC</t>
  </si>
  <si>
    <t>Y181110E02-5</t>
  </si>
  <si>
    <t>BBY OKT'19</t>
  </si>
  <si>
    <t>SLT 23.10.2019 - WH</t>
  </si>
  <si>
    <t>N1905240119-1</t>
  </si>
  <si>
    <t>TI-TS303195D</t>
  </si>
  <si>
    <t>PAKAI PAPER CORE</t>
  </si>
  <si>
    <t>10/19/2019, 21.10.2019, 22.10.2019</t>
  </si>
  <si>
    <t>10/19/2019, 21.10.2019, 23.10.2019</t>
  </si>
  <si>
    <t>10/21/2019, 22.10.2019, 23.10.2019</t>
  </si>
  <si>
    <t>Y190520A08-3</t>
  </si>
  <si>
    <t>BBY SEPT'19</t>
  </si>
  <si>
    <t>SLT 04.09 - RR</t>
  </si>
  <si>
    <t>N1902120214-1</t>
  </si>
  <si>
    <t>TI-TS302945</t>
  </si>
  <si>
    <t>ITSS19/06002-ARC</t>
  </si>
  <si>
    <t>Y190205B01-3</t>
  </si>
  <si>
    <t>FH/2B</t>
  </si>
  <si>
    <t>LENGTH</t>
  </si>
  <si>
    <t xml:space="preserve"> BAL</t>
  </si>
  <si>
    <t>FG KW2 SHEET</t>
  </si>
  <si>
    <t>CTL 16.05.2019 - WH KW 2</t>
  </si>
  <si>
    <t>HK400084A1.1</t>
  </si>
  <si>
    <t>HK400084B1.1</t>
  </si>
  <si>
    <t>CTL 30.03.2021 - WH KW 2</t>
  </si>
  <si>
    <t>XG203573A14</t>
  </si>
  <si>
    <t>NO COIL CAMPURAN (XG 203573A14; XG 203573B14)</t>
  </si>
  <si>
    <t>CTL 31.08.2021 - WH KW 2</t>
  </si>
  <si>
    <t>K2103205046B</t>
  </si>
  <si>
    <t>HK204666A</t>
  </si>
  <si>
    <t>EITU0322649</t>
  </si>
  <si>
    <t>N210319AT07</t>
  </si>
  <si>
    <t>HK204666F</t>
  </si>
  <si>
    <t>K2103205046A</t>
  </si>
  <si>
    <t>HK204665A</t>
  </si>
  <si>
    <t>EISU3989360</t>
  </si>
  <si>
    <t>HK204665F</t>
  </si>
  <si>
    <t>IM834</t>
  </si>
  <si>
    <t>LM204805D</t>
  </si>
  <si>
    <t>210628IM08-2</t>
  </si>
  <si>
    <t>CSNU1147207</t>
  </si>
  <si>
    <t>B2763</t>
  </si>
  <si>
    <t>IM831</t>
  </si>
  <si>
    <t>LM204802D</t>
  </si>
  <si>
    <t>A3487</t>
  </si>
  <si>
    <t>IM838</t>
  </si>
  <si>
    <t>LM204809D</t>
  </si>
  <si>
    <t>CSLU1935201</t>
  </si>
  <si>
    <t>G9877</t>
  </si>
  <si>
    <t>IM835</t>
  </si>
  <si>
    <t>LM204806D</t>
  </si>
  <si>
    <t>E2249</t>
  </si>
  <si>
    <t>IM832</t>
  </si>
  <si>
    <t>LM204803A3</t>
  </si>
  <si>
    <t>J2678</t>
  </si>
  <si>
    <t>IM840</t>
  </si>
  <si>
    <t>LM204811D</t>
  </si>
  <si>
    <t>E5368</t>
  </si>
  <si>
    <t>IM836</t>
  </si>
  <si>
    <t>LM204807D</t>
  </si>
  <si>
    <t>J4989</t>
  </si>
  <si>
    <t>IM833</t>
  </si>
  <si>
    <t>LM204804D</t>
  </si>
  <si>
    <t>C3718</t>
  </si>
  <si>
    <t>IM450</t>
  </si>
  <si>
    <t>LM410611</t>
  </si>
  <si>
    <t>RE CHEK QC - AMBIL DENT</t>
  </si>
  <si>
    <t>I4726</t>
  </si>
  <si>
    <t>IM451</t>
  </si>
  <si>
    <t>LM410612</t>
  </si>
  <si>
    <t>B6965</t>
  </si>
  <si>
    <t>IM452</t>
  </si>
  <si>
    <t>LM410613</t>
  </si>
  <si>
    <t>I9631</t>
  </si>
  <si>
    <t>IM443</t>
  </si>
  <si>
    <t>LM410604</t>
  </si>
  <si>
    <t>J4677</t>
  </si>
  <si>
    <t>LM410605</t>
  </si>
  <si>
    <t>G5157</t>
  </si>
  <si>
    <t>LM410608</t>
  </si>
  <si>
    <t>H7360</t>
  </si>
  <si>
    <t>LM410609</t>
  </si>
  <si>
    <t>I3412</t>
  </si>
  <si>
    <t>LM410610</t>
  </si>
  <si>
    <t>F5103</t>
  </si>
  <si>
    <t>IM445</t>
  </si>
  <si>
    <t>LM410606A</t>
  </si>
  <si>
    <t>D2558</t>
  </si>
  <si>
    <t>LM410607A</t>
  </si>
  <si>
    <t>B1225</t>
  </si>
  <si>
    <t>IM471</t>
  </si>
  <si>
    <t>LM410494</t>
  </si>
  <si>
    <t>F2624</t>
  </si>
  <si>
    <t>IM472</t>
  </si>
  <si>
    <t>LM410495</t>
  </si>
  <si>
    <t>I4382</t>
  </si>
  <si>
    <t>IM474</t>
  </si>
  <si>
    <t>LM410497</t>
  </si>
  <si>
    <t>G6689</t>
  </si>
  <si>
    <t>CTL 30.09.2022 - WH KW 2</t>
  </si>
  <si>
    <t>N2110230603-2</t>
  </si>
  <si>
    <t>TI-GI306926F</t>
  </si>
  <si>
    <t>4/18/2022, 16.08.2022</t>
  </si>
  <si>
    <t>4/20/2022, 18.08.2022</t>
  </si>
  <si>
    <t>8/11/2022, 21.09.2022</t>
  </si>
  <si>
    <t>Y210811A48-2</t>
  </si>
  <si>
    <t>LTI-GI307533D</t>
  </si>
  <si>
    <t>8/18/2022, 21.09.2022</t>
  </si>
  <si>
    <t>LTI-GI307421D</t>
  </si>
  <si>
    <t>INCOMING SHEETS 12.11.2019 - WH</t>
  </si>
  <si>
    <t>Q219090902AY2J</t>
  </si>
  <si>
    <t>XH202908</t>
  </si>
  <si>
    <t>XIANGHYU HONOUR WEALTH SUPPLY CHAIN CO, LTD</t>
  </si>
  <si>
    <t>F190900070</t>
  </si>
  <si>
    <t>FCIU3697877</t>
  </si>
  <si>
    <t>K191238045</t>
  </si>
  <si>
    <t>NET PL+GROSS PL</t>
  </si>
  <si>
    <t>BABY COIL 2B</t>
  </si>
  <si>
    <t>TGL PACKING</t>
  </si>
  <si>
    <t xml:space="preserve">ACT THICK </t>
  </si>
  <si>
    <t xml:space="preserve"> PROSES BAL</t>
  </si>
  <si>
    <t>Net Weight IMR</t>
  </si>
  <si>
    <t>Gross Weight IMR</t>
  </si>
  <si>
    <t>PROD DATE</t>
  </si>
  <si>
    <t>PACKING FINISH DATE</t>
  </si>
  <si>
    <t>BBY JANUARI'23</t>
  </si>
  <si>
    <t>DIPAKAI LEADER STRIP CPL 06.01.2023</t>
  </si>
  <si>
    <t>BBY</t>
  </si>
  <si>
    <t>EM205124C</t>
  </si>
  <si>
    <t>FF205099C</t>
  </si>
  <si>
    <t>DIPAKAI LEADER STRIP CPL 16.01.2023</t>
  </si>
  <si>
    <t>TI-GI308711C</t>
  </si>
  <si>
    <t>LTI-GI308655C</t>
  </si>
  <si>
    <t>DIPAKAI LEADER STRIP CPL 10.01.2023</t>
  </si>
  <si>
    <t>EM205318D</t>
  </si>
  <si>
    <t>DIPAKAI LEADER STRIP CPL 13.01.2023</t>
  </si>
  <si>
    <t>LTI-GI308748C</t>
  </si>
  <si>
    <t>EM204998B</t>
  </si>
  <si>
    <t>TI-GI308616C</t>
  </si>
  <si>
    <t>GI360370A1</t>
  </si>
  <si>
    <t>TI-GI308837C</t>
  </si>
  <si>
    <t>TI-GI308800C</t>
  </si>
  <si>
    <t>DIPAKAI LEADER STRIP CPL 11.01.2023</t>
  </si>
  <si>
    <t>TI-GI308965B2</t>
  </si>
  <si>
    <t>TI-GI308082C</t>
  </si>
  <si>
    <t>LTI-GI308456C</t>
  </si>
  <si>
    <t>LTI-GI308456A18</t>
  </si>
  <si>
    <t>TI-GI308788A2</t>
  </si>
  <si>
    <t>GU205299A</t>
  </si>
  <si>
    <t>EM205008B2.6</t>
  </si>
  <si>
    <t>EM205008B1.8</t>
  </si>
  <si>
    <t>DIPAKAI LEADER STRIP CPL 14.01.2023</t>
  </si>
  <si>
    <t>GU205034C</t>
  </si>
  <si>
    <t>GU205299D</t>
  </si>
  <si>
    <t>LTI-GI309009C</t>
  </si>
  <si>
    <t>EM205008B2.5.1</t>
  </si>
  <si>
    <t>LTI-GI308398C</t>
  </si>
  <si>
    <t>LTI-GI308078C</t>
  </si>
  <si>
    <t>LTI-GI308079A</t>
  </si>
  <si>
    <t>LTI-GI308079B2</t>
  </si>
  <si>
    <t>LTI-GI307630D</t>
  </si>
  <si>
    <t>DIPAKAI LEADER STRIP CPL 17.01.2023</t>
  </si>
  <si>
    <t>LTI-GI308390C</t>
  </si>
  <si>
    <t>DIPAKAI LEADER STRIP CPL 23.01.2023</t>
  </si>
  <si>
    <t>LTI-GI308414C</t>
  </si>
  <si>
    <t>TI-GI308799B6</t>
  </si>
  <si>
    <t>LTI-GI308397A</t>
  </si>
  <si>
    <t>LTI-GI308397D</t>
  </si>
  <si>
    <t>LTI-GI308336D</t>
  </si>
  <si>
    <t>LTI-GI308091A</t>
  </si>
  <si>
    <t>LTI-GI308091D</t>
  </si>
  <si>
    <t>LTI-GI308092A</t>
  </si>
  <si>
    <t>LTI-GI308092D</t>
  </si>
  <si>
    <t>LTI-GI308393A</t>
  </si>
  <si>
    <t>LTI-GI308393B3</t>
  </si>
  <si>
    <t>LTI-GI308089C</t>
  </si>
  <si>
    <t>LTI-GI308090C</t>
  </si>
  <si>
    <t>LTI-GI308413C</t>
  </si>
  <si>
    <t>LTI-GI308389D</t>
  </si>
  <si>
    <t>LTI-GI308367C</t>
  </si>
  <si>
    <t>TI-GI308083C</t>
  </si>
  <si>
    <t>TI-GI308353C</t>
  </si>
  <si>
    <t>LTI-GI308077C</t>
  </si>
  <si>
    <t>LTI-GI308359C</t>
  </si>
  <si>
    <t>LTI-GI308749C</t>
  </si>
  <si>
    <t>LTI-GI308080C</t>
  </si>
  <si>
    <t>LTI-GI308335A1</t>
  </si>
  <si>
    <t>LTI-GI308335A2</t>
  </si>
  <si>
    <t>LTI-GI308335D</t>
  </si>
  <si>
    <t>TI-GI308406A1</t>
  </si>
  <si>
    <t>TI-GI308406A3</t>
  </si>
  <si>
    <t>TI-GI308406B2</t>
  </si>
  <si>
    <t>GU205045C</t>
  </si>
  <si>
    <t>GU205035A7</t>
  </si>
  <si>
    <t>GU205058C</t>
  </si>
  <si>
    <t>TI-GI307815B3</t>
  </si>
  <si>
    <t>TI-GI307813A4</t>
  </si>
  <si>
    <t>LTI-GI308927A2</t>
  </si>
  <si>
    <t>TI-GI307815B22</t>
  </si>
  <si>
    <t>LTI-GI308868C</t>
  </si>
  <si>
    <t>TI-GI308804C</t>
  </si>
  <si>
    <t>TI-GI307813A1.1</t>
  </si>
  <si>
    <t>TI-GI307813A1.3</t>
  </si>
  <si>
    <t>TI-GI308982C</t>
  </si>
  <si>
    <t>TI-GI308879B2</t>
  </si>
  <si>
    <t>LTI-GI308927B2</t>
  </si>
  <si>
    <t>EM205115B</t>
  </si>
  <si>
    <t>GU205055C</t>
  </si>
  <si>
    <t>TI-GI308333A7</t>
  </si>
  <si>
    <t>TI-GI307823A3</t>
  </si>
  <si>
    <t>LTI-GI309042A2</t>
  </si>
  <si>
    <t>LTI-GI308054A3</t>
  </si>
  <si>
    <t>LTI-GI308908D</t>
  </si>
  <si>
    <t>LTI-GI308907D</t>
  </si>
  <si>
    <t>TI-GI307827B3</t>
  </si>
  <si>
    <t>TI-GI308032A4</t>
  </si>
  <si>
    <t>TI-GI308032B3</t>
  </si>
  <si>
    <t>TI-GI307817A3</t>
  </si>
  <si>
    <t>TI-GI307817A1.1</t>
  </si>
  <si>
    <t>TI-GI307815A2.3</t>
  </si>
  <si>
    <t>GU205054C</t>
  </si>
  <si>
    <t>EM205115A3</t>
  </si>
  <si>
    <t>DIPAKAI LEADER STRIP CLN 28.01.2023</t>
  </si>
  <si>
    <t>EM205121A3</t>
  </si>
  <si>
    <t>DIPAKAI LEADER STRIP CLN 27.01.2023</t>
  </si>
  <si>
    <t>GU204982C</t>
  </si>
  <si>
    <t>DIPAKAI LEADER STRIP CPL 26.01.2023</t>
  </si>
  <si>
    <t>TI-GI308888A2</t>
  </si>
  <si>
    <t>LTI-GI308999A3</t>
  </si>
  <si>
    <t>GU205059C</t>
  </si>
  <si>
    <t>LTI-GI308040A2.3</t>
  </si>
  <si>
    <t>DIPAKAI LEADER STRIP CLN 30.01.2023</t>
  </si>
  <si>
    <t>TI-GI308342A2</t>
  </si>
  <si>
    <t>LTI-GI308051B4</t>
  </si>
  <si>
    <t>LTI-GI308320C</t>
  </si>
  <si>
    <t>TI-GI308405C</t>
  </si>
  <si>
    <t>LTI-GI308339C</t>
  </si>
  <si>
    <t>LTI-GI308085D</t>
  </si>
  <si>
    <t>LTI-GI308036B1.1</t>
  </si>
  <si>
    <t>LTI-GI308048A1.1</t>
  </si>
  <si>
    <t>TI-GI308880C</t>
  </si>
  <si>
    <t>LTI-GI308052A1.2</t>
  </si>
  <si>
    <t>LTI-GI308052A3.2</t>
  </si>
  <si>
    <t>DIPAKAI LEADER STRIP CPL 29.01.2023</t>
  </si>
  <si>
    <t>LTI-GI308036A2.2</t>
  </si>
  <si>
    <t>TI-GI308803A2</t>
  </si>
  <si>
    <t>TI-GI308795B2</t>
  </si>
  <si>
    <t>GU205069C</t>
  </si>
  <si>
    <t>TI-GI308738C</t>
  </si>
  <si>
    <t>LTI-GI308086D</t>
  </si>
  <si>
    <t>EM205138C</t>
  </si>
  <si>
    <t>TI-GI308686A2</t>
  </si>
  <si>
    <t>TI-GI308686D</t>
  </si>
  <si>
    <t>LTI-GI309031A2</t>
  </si>
  <si>
    <t>GU204945A</t>
  </si>
  <si>
    <t>LTI-GI308174C</t>
  </si>
  <si>
    <t>EM205119C</t>
  </si>
  <si>
    <t>LTI-GI308098C</t>
  </si>
  <si>
    <t>EM204770A</t>
  </si>
  <si>
    <t>GU205303C</t>
  </si>
  <si>
    <t>TI-GI308084B</t>
  </si>
  <si>
    <t>LTI-GI308088B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</si>
</sst>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"/>
    <numFmt numFmtId="165" formatCode="0.0"/>
    <numFmt numFmtId="166" formatCode="[$-409]d\-mmm\-yy;@"/>
    <numFmt numFmtId="167" formatCode="0.0000"/>
    <numFmt numFmtId="168" formatCode="0.000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color theme="1"/>
      <name val="Calibri"/>
      <family val="2"/>
      <charset val="1"/>
      <scheme val="minor"/>
    </font>
    <font>
      <b/>
      <sz val="13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8"/>
      <color rgb="FF00B0F0"/>
      <name val="Arial"/>
      <family val="2"/>
    </font>
    <font>
      <sz val="10"/>
      <color theme="0" tint="-0.34998626667073579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6"/>
      <color theme="1"/>
      <name val="Arial Narrow"/>
      <family val="2"/>
    </font>
    <font>
      <b/>
      <sz val="16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1"/>
      <name val="Arial"/>
      <family val="2"/>
    </font>
    <font>
      <sz val="14"/>
      <name val="Arial Narrow"/>
      <family val="2"/>
    </font>
    <font>
      <sz val="11"/>
      <color rgb="FF00B0F0"/>
      <name val="Arial Narrow"/>
      <family val="2"/>
    </font>
    <font>
      <sz val="10"/>
      <color theme="1"/>
      <name val="Arial Narrow"/>
      <family val="2"/>
    </font>
    <font>
      <sz val="9"/>
      <name val="Arial Narrow"/>
      <family val="2"/>
    </font>
    <font>
      <sz val="11"/>
      <color rgb="FFFF0000"/>
      <name val="Arial Narrow"/>
      <family val="2"/>
    </font>
    <font>
      <b/>
      <sz val="10"/>
      <name val="Tahoma"/>
      <family val="2"/>
    </font>
    <font>
      <b/>
      <sz val="11"/>
      <color rgb="FFFF0000"/>
      <name val="Arial Narrow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10"/>
      <color theme="1"/>
      <name val="Arial Narrow"/>
      <family val="2"/>
    </font>
    <font>
      <b/>
      <sz val="20"/>
      <color theme="1"/>
      <name val="Arial Narrow"/>
      <family val="2"/>
    </font>
    <font>
      <b/>
      <sz val="15"/>
      <color theme="1"/>
      <name val="Arial Narrow"/>
      <family val="2"/>
    </font>
    <font>
      <sz val="11"/>
      <color rgb="FFFFC000"/>
      <name val="Arial Narrow"/>
      <family val="2"/>
    </font>
    <font>
      <sz val="11"/>
      <color rgb="FF0070C0"/>
      <name val="Arial Narrow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000000"/>
      <name val="Arial Narrow"/>
      <family val="2"/>
    </font>
    <font>
      <sz val="14"/>
      <color theme="1"/>
      <name val="Arial Narrow"/>
      <family val="2"/>
    </font>
    <font>
      <b/>
      <sz val="14"/>
      <color theme="1"/>
      <name val="Arial Narrow"/>
      <family val="2"/>
    </font>
  </fonts>
  <fills count="3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</cellStyleXfs>
  <cellXfs count="562">
    <xf numFmtId="0" fontId="0" fillId="0" borderId="0" xfId="0"/>
    <xf numFmtId="0" fontId="6" fillId="0" borderId="0" xfId="2" applyFont="1" applyAlignment="1">
      <alignment horizontal="center" vertical="center"/>
    </xf>
    <xf numFmtId="0" fontId="5" fillId="0" borderId="0" xfId="2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15" fontId="9" fillId="0" borderId="0" xfId="2" applyNumberFormat="1" applyFont="1" applyAlignment="1">
      <alignment horizontal="center" vertical="center"/>
    </xf>
    <xf numFmtId="0" fontId="5" fillId="0" borderId="0" xfId="2" applyAlignment="1">
      <alignment horizontal="left" vertical="center"/>
    </xf>
    <xf numFmtId="15" fontId="5" fillId="0" borderId="0" xfId="2" applyNumberForma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10" fillId="0" borderId="0" xfId="2" applyFont="1" applyAlignment="1">
      <alignment vertical="center"/>
    </xf>
    <xf numFmtId="0" fontId="10" fillId="2" borderId="2" xfId="2" applyFont="1" applyFill="1" applyBorder="1" applyAlignment="1">
      <alignment horizontal="center" vertical="center"/>
    </xf>
    <xf numFmtId="15" fontId="10" fillId="2" borderId="2" xfId="2" applyNumberFormat="1" applyFont="1" applyFill="1" applyBorder="1" applyAlignment="1">
      <alignment horizontal="center" vertical="center"/>
    </xf>
    <xf numFmtId="15" fontId="10" fillId="2" borderId="2" xfId="2" applyNumberFormat="1" applyFont="1" applyFill="1" applyBorder="1" applyAlignment="1">
      <alignment horizontal="center" vertical="center" wrapText="1"/>
    </xf>
    <xf numFmtId="164" fontId="5" fillId="0" borderId="2" xfId="2" applyNumberForma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164" fontId="10" fillId="0" borderId="0" xfId="2" applyNumberFormat="1" applyFont="1" applyAlignment="1">
      <alignment horizontal="center" vertical="center"/>
    </xf>
    <xf numFmtId="164" fontId="5" fillId="0" borderId="0" xfId="2" applyNumberFormat="1" applyAlignment="1">
      <alignment horizontal="center" vertical="center"/>
    </xf>
    <xf numFmtId="0" fontId="12" fillId="0" borderId="0" xfId="2" applyFont="1" applyAlignment="1">
      <alignment horizontal="center" vertical="center" wrapText="1"/>
    </xf>
    <xf numFmtId="0" fontId="5" fillId="0" borderId="2" xfId="2" applyBorder="1" applyAlignment="1">
      <alignment horizontal="center" vertical="center"/>
    </xf>
    <xf numFmtId="0" fontId="12" fillId="0" borderId="0" xfId="2" applyFont="1" applyAlignment="1">
      <alignment horizontal="left" vertical="center"/>
    </xf>
    <xf numFmtId="164" fontId="5" fillId="0" borderId="0" xfId="2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0" fillId="2" borderId="3" xfId="2" applyFont="1" applyFill="1" applyBorder="1" applyAlignment="1">
      <alignment horizontal="center" vertical="center"/>
    </xf>
    <xf numFmtId="1" fontId="11" fillId="0" borderId="2" xfId="0" applyNumberFormat="1" applyFon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4" fontId="0" fillId="0" borderId="2" xfId="1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13" fillId="0" borderId="0" xfId="2" applyFont="1" applyAlignment="1">
      <alignment horizontal="center" vertical="center"/>
    </xf>
    <xf numFmtId="1" fontId="5" fillId="0" borderId="0" xfId="2" applyNumberFormat="1" applyAlignment="1">
      <alignment horizontal="center" vertical="center"/>
    </xf>
    <xf numFmtId="0" fontId="10" fillId="3" borderId="2" xfId="2" applyFont="1" applyFill="1" applyBorder="1" applyAlignment="1">
      <alignment horizontal="center" vertical="center"/>
    </xf>
    <xf numFmtId="0" fontId="10" fillId="3" borderId="4" xfId="2" applyFont="1" applyFill="1" applyBorder="1" applyAlignment="1">
      <alignment horizontal="center" vertical="center"/>
    </xf>
    <xf numFmtId="0" fontId="10" fillId="3" borderId="3" xfId="2" applyFont="1" applyFill="1" applyBorder="1" applyAlignment="1">
      <alignment horizontal="center" vertical="center"/>
    </xf>
    <xf numFmtId="0" fontId="10" fillId="3" borderId="4" xfId="2" applyFont="1" applyFill="1" applyBorder="1" applyAlignment="1">
      <alignment horizontal="center" vertical="center" wrapText="1"/>
    </xf>
    <xf numFmtId="0" fontId="10" fillId="3" borderId="3" xfId="2" applyFont="1" applyFill="1" applyBorder="1" applyAlignment="1">
      <alignment horizontal="center" vertical="center" wrapText="1"/>
    </xf>
    <xf numFmtId="15" fontId="10" fillId="3" borderId="2" xfId="2" applyNumberFormat="1" applyFont="1" applyFill="1" applyBorder="1" applyAlignment="1">
      <alignment horizontal="center" vertical="center"/>
    </xf>
    <xf numFmtId="0" fontId="10" fillId="3" borderId="2" xfId="2" applyFont="1" applyFill="1" applyBorder="1" applyAlignment="1">
      <alignment horizontal="center" vertical="center" wrapText="1"/>
    </xf>
    <xf numFmtId="1" fontId="5" fillId="0" borderId="2" xfId="2" applyNumberFormat="1" applyBorder="1" applyAlignment="1">
      <alignment horizontal="center" vertical="center"/>
    </xf>
    <xf numFmtId="1" fontId="11" fillId="0" borderId="2" xfId="3" applyNumberFormat="1" applyFont="1" applyBorder="1" applyAlignment="1">
      <alignment horizontal="center" vertical="center"/>
    </xf>
    <xf numFmtId="0" fontId="14" fillId="0" borderId="0" xfId="2" applyFont="1" applyAlignment="1">
      <alignment horizontal="left" vertical="center"/>
    </xf>
    <xf numFmtId="0" fontId="10" fillId="0" borderId="2" xfId="2" applyFont="1" applyBorder="1" applyAlignment="1">
      <alignment horizontal="center" vertical="center"/>
    </xf>
    <xf numFmtId="1" fontId="10" fillId="0" borderId="2" xfId="2" applyNumberFormat="1" applyFont="1" applyBorder="1" applyAlignment="1">
      <alignment horizontal="center" vertical="center"/>
    </xf>
    <xf numFmtId="1" fontId="10" fillId="0" borderId="2" xfId="2" applyNumberFormat="1" applyFont="1" applyBorder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0" fillId="4" borderId="5" xfId="2" applyFont="1" applyFill="1" applyBorder="1" applyAlignment="1">
      <alignment horizontal="center" vertical="center"/>
    </xf>
    <xf numFmtId="0" fontId="10" fillId="4" borderId="4" xfId="2" applyFont="1" applyFill="1" applyBorder="1" applyAlignment="1">
      <alignment horizontal="center" vertical="center"/>
    </xf>
    <xf numFmtId="0" fontId="10" fillId="4" borderId="6" xfId="2" applyFont="1" applyFill="1" applyBorder="1" applyAlignment="1">
      <alignment horizontal="center" vertical="center"/>
    </xf>
    <xf numFmtId="0" fontId="10" fillId="4" borderId="3" xfId="2" applyFont="1" applyFill="1" applyBorder="1" applyAlignment="1">
      <alignment horizontal="center" vertical="center"/>
    </xf>
    <xf numFmtId="0" fontId="10" fillId="4" borderId="2" xfId="2" applyFont="1" applyFill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/>
    </xf>
    <xf numFmtId="0" fontId="10" fillId="4" borderId="7" xfId="2" applyFont="1" applyFill="1" applyBorder="1" applyAlignment="1">
      <alignment horizontal="center" vertical="center" wrapText="1"/>
    </xf>
    <xf numFmtId="1" fontId="5" fillId="0" borderId="2" xfId="4" applyNumberFormat="1" applyBorder="1" applyAlignment="1">
      <alignment horizontal="center" vertical="center"/>
    </xf>
    <xf numFmtId="0" fontId="10" fillId="5" borderId="2" xfId="2" applyFont="1" applyFill="1" applyBorder="1" applyAlignment="1">
      <alignment horizontal="center" vertical="center" wrapText="1"/>
    </xf>
    <xf numFmtId="0" fontId="10" fillId="5" borderId="4" xfId="2" applyFont="1" applyFill="1" applyBorder="1" applyAlignment="1">
      <alignment horizontal="center" vertical="center" wrapText="1"/>
    </xf>
    <xf numFmtId="0" fontId="10" fillId="5" borderId="4" xfId="2" applyFont="1" applyFill="1" applyBorder="1" applyAlignment="1">
      <alignment horizontal="center" vertical="center"/>
    </xf>
    <xf numFmtId="0" fontId="10" fillId="5" borderId="2" xfId="2" applyFont="1" applyFill="1" applyBorder="1" applyAlignment="1">
      <alignment horizontal="center" vertical="center"/>
    </xf>
    <xf numFmtId="1" fontId="5" fillId="0" borderId="0" xfId="4" applyNumberFormat="1" applyAlignment="1">
      <alignment horizontal="center" vertical="center"/>
    </xf>
    <xf numFmtId="1" fontId="10" fillId="0" borderId="4" xfId="2" applyNumberFormat="1" applyFont="1" applyBorder="1" applyAlignment="1">
      <alignment horizontal="center" vertical="center"/>
    </xf>
    <xf numFmtId="1" fontId="10" fillId="0" borderId="6" xfId="2" applyNumberFormat="1" applyFont="1" applyBorder="1" applyAlignment="1">
      <alignment horizontal="center" vertical="center"/>
    </xf>
    <xf numFmtId="1" fontId="10" fillId="0" borderId="3" xfId="2" applyNumberFormat="1" applyFont="1" applyBorder="1" applyAlignment="1">
      <alignment horizontal="center" vertical="center"/>
    </xf>
    <xf numFmtId="0" fontId="3" fillId="0" borderId="8" xfId="5" applyFont="1" applyBorder="1" applyAlignment="1">
      <alignment horizontal="center" vertical="center"/>
    </xf>
    <xf numFmtId="0" fontId="3" fillId="0" borderId="1" xfId="5" applyFont="1" applyBorder="1" applyAlignment="1">
      <alignment horizontal="center" vertical="center"/>
    </xf>
    <xf numFmtId="0" fontId="3" fillId="0" borderId="9" xfId="5" applyFont="1" applyBorder="1" applyAlignment="1">
      <alignment horizontal="center" vertical="center"/>
    </xf>
    <xf numFmtId="0" fontId="1" fillId="0" borderId="0" xfId="5" applyAlignment="1">
      <alignment horizontal="center" vertical="center"/>
    </xf>
    <xf numFmtId="0" fontId="1" fillId="0" borderId="2" xfId="5" applyBorder="1" applyAlignment="1">
      <alignment horizontal="center" vertical="center"/>
    </xf>
    <xf numFmtId="0" fontId="11" fillId="0" borderId="2" xfId="5" applyFont="1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0" fontId="1" fillId="0" borderId="0" xfId="5"/>
    <xf numFmtId="0" fontId="3" fillId="2" borderId="4" xfId="3" applyFont="1" applyFill="1" applyBorder="1" applyAlignment="1">
      <alignment horizontal="center" vertical="center"/>
    </xf>
    <xf numFmtId="0" fontId="3" fillId="2" borderId="6" xfId="3" applyFont="1" applyFill="1" applyBorder="1" applyAlignment="1">
      <alignment horizontal="center" vertical="center"/>
    </xf>
    <xf numFmtId="0" fontId="3" fillId="2" borderId="3" xfId="3" applyFont="1" applyFill="1" applyBorder="1" applyAlignment="1">
      <alignment horizontal="center" vertical="center"/>
    </xf>
    <xf numFmtId="1" fontId="1" fillId="0" borderId="0" xfId="3" applyNumberFormat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1" fillId="0" borderId="0" xfId="5" applyNumberFormat="1" applyAlignment="1">
      <alignment horizontal="center" vertical="center"/>
    </xf>
    <xf numFmtId="164" fontId="11" fillId="6" borderId="2" xfId="0" applyNumberFormat="1" applyFont="1" applyFill="1" applyBorder="1" applyAlignment="1">
      <alignment horizontal="center" vertical="center"/>
    </xf>
    <xf numFmtId="1" fontId="3" fillId="2" borderId="6" xfId="3" applyNumberFormat="1" applyFont="1" applyFill="1" applyBorder="1" applyAlignment="1">
      <alignment horizontal="center" vertical="center"/>
    </xf>
    <xf numFmtId="1" fontId="3" fillId="2" borderId="3" xfId="3" applyNumberFormat="1" applyFont="1" applyFill="1" applyBorder="1" applyAlignment="1">
      <alignment horizontal="center" vertical="center"/>
    </xf>
    <xf numFmtId="1" fontId="1" fillId="0" borderId="0" xfId="5" applyNumberFormat="1" applyAlignment="1">
      <alignment horizontal="center"/>
    </xf>
    <xf numFmtId="164" fontId="11" fillId="0" borderId="2" xfId="5" applyNumberFormat="1" applyFont="1" applyBorder="1" applyAlignment="1">
      <alignment horizontal="center"/>
    </xf>
    <xf numFmtId="0" fontId="3" fillId="2" borderId="10" xfId="3" applyFont="1" applyFill="1" applyBorder="1" applyAlignment="1">
      <alignment horizontal="center" vertical="center"/>
    </xf>
    <xf numFmtId="1" fontId="3" fillId="2" borderId="6" xfId="3" applyNumberFormat="1" applyFont="1" applyFill="1" applyBorder="1" applyAlignment="1">
      <alignment horizontal="center" vertical="center"/>
    </xf>
    <xf numFmtId="1" fontId="3" fillId="2" borderId="3" xfId="3" applyNumberFormat="1" applyFont="1" applyFill="1" applyBorder="1" applyAlignment="1">
      <alignment horizontal="center" vertical="center"/>
    </xf>
    <xf numFmtId="0" fontId="3" fillId="7" borderId="10" xfId="5" applyFont="1" applyFill="1" applyBorder="1" applyAlignment="1">
      <alignment horizontal="center" vertical="center"/>
    </xf>
    <xf numFmtId="1" fontId="3" fillId="7" borderId="4" xfId="5" applyNumberFormat="1" applyFont="1" applyFill="1" applyBorder="1" applyAlignment="1">
      <alignment horizontal="center" vertical="center"/>
    </xf>
    <xf numFmtId="1" fontId="3" fillId="7" borderId="3" xfId="5" applyNumberFormat="1" applyFont="1" applyFill="1" applyBorder="1" applyAlignment="1">
      <alignment horizontal="center" vertical="center"/>
    </xf>
    <xf numFmtId="1" fontId="1" fillId="0" borderId="0" xfId="5" applyNumberFormat="1" applyAlignment="1">
      <alignment horizontal="center" vertical="center"/>
    </xf>
    <xf numFmtId="0" fontId="3" fillId="7" borderId="11" xfId="5" applyFont="1" applyFill="1" applyBorder="1" applyAlignment="1">
      <alignment horizontal="center" vertical="center"/>
    </xf>
    <xf numFmtId="0" fontId="3" fillId="7" borderId="12" xfId="5" applyFont="1" applyFill="1" applyBorder="1" applyAlignment="1">
      <alignment horizontal="center" vertical="center"/>
    </xf>
    <xf numFmtId="0" fontId="3" fillId="7" borderId="11" xfId="5" applyFont="1" applyFill="1" applyBorder="1" applyAlignment="1">
      <alignment horizontal="center" vertical="center"/>
    </xf>
    <xf numFmtId="0" fontId="3" fillId="7" borderId="6" xfId="5" applyFont="1" applyFill="1" applyBorder="1" applyAlignment="1">
      <alignment horizontal="center" vertical="center"/>
    </xf>
    <xf numFmtId="0" fontId="3" fillId="7" borderId="3" xfId="5" applyFont="1" applyFill="1" applyBorder="1" applyAlignment="1">
      <alignment horizontal="center" vertical="center"/>
    </xf>
    <xf numFmtId="0" fontId="3" fillId="4" borderId="4" xfId="5" applyFont="1" applyFill="1" applyBorder="1" applyAlignment="1">
      <alignment horizontal="center" vertical="center"/>
    </xf>
    <xf numFmtId="0" fontId="3" fillId="4" borderId="6" xfId="5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17" fillId="8" borderId="5" xfId="5" applyFont="1" applyFill="1" applyBorder="1" applyAlignment="1">
      <alignment horizontal="center" vertical="center" wrapText="1"/>
    </xf>
    <xf numFmtId="1" fontId="3" fillId="9" borderId="7" xfId="5" applyNumberFormat="1" applyFont="1" applyFill="1" applyBorder="1" applyAlignment="1">
      <alignment horizontal="center" vertical="center"/>
    </xf>
    <xf numFmtId="0" fontId="3" fillId="9" borderId="2" xfId="5" applyFont="1" applyFill="1" applyBorder="1" applyAlignment="1">
      <alignment horizontal="center" vertical="center"/>
    </xf>
    <xf numFmtId="1" fontId="1" fillId="0" borderId="2" xfId="5" applyNumberFormat="1" applyBorder="1" applyAlignment="1">
      <alignment horizontal="center" vertical="center"/>
    </xf>
    <xf numFmtId="0" fontId="17" fillId="8" borderId="13" xfId="5" applyFont="1" applyFill="1" applyBorder="1" applyAlignment="1">
      <alignment horizontal="center" vertical="center" wrapText="1"/>
    </xf>
    <xf numFmtId="1" fontId="3" fillId="10" borderId="7" xfId="5" applyNumberFormat="1" applyFont="1" applyFill="1" applyBorder="1" applyAlignment="1">
      <alignment horizontal="center" vertical="center"/>
    </xf>
    <xf numFmtId="1" fontId="3" fillId="10" borderId="2" xfId="5" applyNumberFormat="1" applyFont="1" applyFill="1" applyBorder="1" applyAlignment="1">
      <alignment horizontal="center" vertical="center"/>
    </xf>
    <xf numFmtId="1" fontId="3" fillId="6" borderId="7" xfId="5" applyNumberFormat="1" applyFont="1" applyFill="1" applyBorder="1" applyAlignment="1">
      <alignment horizontal="center" vertical="center"/>
    </xf>
    <xf numFmtId="1" fontId="3" fillId="6" borderId="2" xfId="5" applyNumberFormat="1" applyFont="1" applyFill="1" applyBorder="1" applyAlignment="1">
      <alignment horizontal="center" vertical="center"/>
    </xf>
    <xf numFmtId="1" fontId="3" fillId="0" borderId="0" xfId="5" applyNumberFormat="1" applyFont="1"/>
    <xf numFmtId="1" fontId="3" fillId="2" borderId="7" xfId="5" applyNumberFormat="1" applyFont="1" applyFill="1" applyBorder="1" applyAlignment="1">
      <alignment horizontal="center" vertical="center"/>
    </xf>
    <xf numFmtId="1" fontId="0" fillId="7" borderId="7" xfId="5" applyNumberFormat="1" applyFont="1" applyFill="1" applyBorder="1" applyAlignment="1">
      <alignment horizontal="center" vertical="center"/>
    </xf>
    <xf numFmtId="1" fontId="3" fillId="7" borderId="2" xfId="5" applyNumberFormat="1" applyFont="1" applyFill="1" applyBorder="1" applyAlignment="1">
      <alignment horizontal="center" vertical="center"/>
    </xf>
    <xf numFmtId="1" fontId="0" fillId="11" borderId="7" xfId="5" applyNumberFormat="1" applyFont="1" applyFill="1" applyBorder="1" applyAlignment="1">
      <alignment horizontal="center" vertical="center"/>
    </xf>
    <xf numFmtId="1" fontId="3" fillId="11" borderId="2" xfId="5" applyNumberFormat="1" applyFont="1" applyFill="1" applyBorder="1" applyAlignment="1">
      <alignment horizontal="center" vertical="center"/>
    </xf>
    <xf numFmtId="1" fontId="0" fillId="12" borderId="7" xfId="5" applyNumberFormat="1" applyFont="1" applyFill="1" applyBorder="1" applyAlignment="1">
      <alignment horizontal="center" vertical="center"/>
    </xf>
    <xf numFmtId="1" fontId="3" fillId="12" borderId="2" xfId="5" applyNumberFormat="1" applyFont="1" applyFill="1" applyBorder="1" applyAlignment="1">
      <alignment horizontal="center" vertical="center"/>
    </xf>
    <xf numFmtId="0" fontId="17" fillId="8" borderId="7" xfId="5" applyFont="1" applyFill="1" applyBorder="1" applyAlignment="1">
      <alignment horizontal="center" vertical="center" wrapText="1"/>
    </xf>
    <xf numFmtId="1" fontId="1" fillId="13" borderId="7" xfId="5" applyNumberFormat="1" applyFill="1" applyBorder="1" applyAlignment="1">
      <alignment horizontal="center" vertical="center"/>
    </xf>
    <xf numFmtId="1" fontId="3" fillId="13" borderId="2" xfId="5" applyNumberFormat="1" applyFont="1" applyFill="1" applyBorder="1" applyAlignment="1">
      <alignment horizontal="center" vertical="center"/>
    </xf>
    <xf numFmtId="0" fontId="3" fillId="2" borderId="5" xfId="5" applyFont="1" applyFill="1" applyBorder="1" applyAlignment="1">
      <alignment horizontal="center" vertical="center"/>
    </xf>
    <xf numFmtId="0" fontId="3" fillId="2" borderId="13" xfId="5" applyFont="1" applyFill="1" applyBorder="1" applyAlignment="1">
      <alignment horizontal="center" vertical="center"/>
    </xf>
    <xf numFmtId="0" fontId="3" fillId="2" borderId="7" xfId="5" applyFont="1" applyFill="1" applyBorder="1" applyAlignment="1">
      <alignment horizontal="center" vertical="center"/>
    </xf>
    <xf numFmtId="0" fontId="3" fillId="14" borderId="5" xfId="5" applyFont="1" applyFill="1" applyBorder="1" applyAlignment="1">
      <alignment horizontal="center" vertical="center"/>
    </xf>
    <xf numFmtId="1" fontId="3" fillId="9" borderId="2" xfId="5" applyNumberFormat="1" applyFont="1" applyFill="1" applyBorder="1" applyAlignment="1">
      <alignment horizontal="center" vertical="center"/>
    </xf>
    <xf numFmtId="0" fontId="3" fillId="14" borderId="13" xfId="5" applyFont="1" applyFill="1" applyBorder="1" applyAlignment="1">
      <alignment horizontal="center" vertical="center"/>
    </xf>
    <xf numFmtId="1" fontId="0" fillId="13" borderId="7" xfId="5" applyNumberFormat="1" applyFont="1" applyFill="1" applyBorder="1" applyAlignment="1">
      <alignment horizontal="center" vertical="center"/>
    </xf>
    <xf numFmtId="0" fontId="3" fillId="14" borderId="7" xfId="5" applyFont="1" applyFill="1" applyBorder="1" applyAlignment="1">
      <alignment horizontal="center" vertical="center"/>
    </xf>
    <xf numFmtId="1" fontId="0" fillId="15" borderId="7" xfId="5" applyNumberFormat="1" applyFont="1" applyFill="1" applyBorder="1" applyAlignment="1">
      <alignment horizontal="center" vertical="center"/>
    </xf>
    <xf numFmtId="1" fontId="3" fillId="15" borderId="2" xfId="5" applyNumberFormat="1" applyFont="1" applyFill="1" applyBorder="1" applyAlignment="1">
      <alignment horizontal="center" vertical="center"/>
    </xf>
    <xf numFmtId="0" fontId="3" fillId="16" borderId="5" xfId="5" applyFont="1" applyFill="1" applyBorder="1" applyAlignment="1">
      <alignment horizontal="center" vertical="center"/>
    </xf>
    <xf numFmtId="0" fontId="3" fillId="16" borderId="13" xfId="5" applyFont="1" applyFill="1" applyBorder="1" applyAlignment="1">
      <alignment horizontal="center" vertical="center"/>
    </xf>
    <xf numFmtId="0" fontId="3" fillId="16" borderId="7" xfId="5" applyFont="1" applyFill="1" applyBorder="1" applyAlignment="1">
      <alignment horizontal="center" vertical="center"/>
    </xf>
    <xf numFmtId="0" fontId="1" fillId="13" borderId="7" xfId="5" applyFill="1" applyBorder="1" applyAlignment="1">
      <alignment horizontal="center" vertical="center"/>
    </xf>
    <xf numFmtId="0" fontId="3" fillId="13" borderId="2" xfId="5" applyFont="1" applyFill="1" applyBorder="1" applyAlignment="1">
      <alignment horizontal="center" vertical="center"/>
    </xf>
    <xf numFmtId="0" fontId="3" fillId="0" borderId="0" xfId="5" applyFont="1"/>
    <xf numFmtId="1" fontId="1" fillId="0" borderId="0" xfId="5" applyNumberFormat="1"/>
    <xf numFmtId="0" fontId="1" fillId="0" borderId="0" xfId="5" applyAlignment="1">
      <alignment horizontal="center"/>
    </xf>
    <xf numFmtId="0" fontId="18" fillId="0" borderId="0" xfId="3" applyFont="1" applyAlignment="1">
      <alignment vertical="center"/>
    </xf>
    <xf numFmtId="0" fontId="19" fillId="0" borderId="0" xfId="3" applyFont="1" applyAlignment="1">
      <alignment vertical="center"/>
    </xf>
    <xf numFmtId="0" fontId="20" fillId="0" borderId="0" xfId="3" applyFont="1" applyAlignment="1">
      <alignment vertical="center"/>
    </xf>
    <xf numFmtId="16" fontId="18" fillId="0" borderId="0" xfId="3" applyNumberFormat="1" applyFont="1" applyAlignment="1">
      <alignment vertical="center"/>
    </xf>
    <xf numFmtId="0" fontId="21" fillId="0" borderId="0" xfId="3" applyFont="1" applyAlignment="1">
      <alignment horizontal="center" vertical="center"/>
    </xf>
    <xf numFmtId="0" fontId="21" fillId="17" borderId="0" xfId="3" applyFont="1" applyFill="1" applyAlignment="1">
      <alignment horizontal="center" vertical="center"/>
    </xf>
    <xf numFmtId="0" fontId="22" fillId="0" borderId="0" xfId="3" applyFont="1" applyAlignment="1">
      <alignment horizontal="center" vertical="center"/>
    </xf>
    <xf numFmtId="165" fontId="21" fillId="0" borderId="0" xfId="3" applyNumberFormat="1" applyFont="1" applyAlignment="1">
      <alignment horizontal="center" vertical="center"/>
    </xf>
    <xf numFmtId="2" fontId="21" fillId="0" borderId="0" xfId="3" applyNumberFormat="1" applyFont="1" applyAlignment="1">
      <alignment horizontal="center" vertical="center"/>
    </xf>
    <xf numFmtId="1" fontId="21" fillId="0" borderId="0" xfId="3" applyNumberFormat="1" applyFont="1" applyAlignment="1">
      <alignment horizontal="center" vertical="center"/>
    </xf>
    <xf numFmtId="164" fontId="21" fillId="0" borderId="0" xfId="3" applyNumberFormat="1" applyFont="1" applyAlignment="1">
      <alignment horizontal="center" vertical="center"/>
    </xf>
    <xf numFmtId="165" fontId="21" fillId="0" borderId="0" xfId="3" applyNumberFormat="1" applyFont="1" applyAlignment="1">
      <alignment horizontal="left" vertical="center"/>
    </xf>
    <xf numFmtId="16" fontId="21" fillId="0" borderId="0" xfId="3" applyNumberFormat="1" applyFont="1" applyAlignment="1">
      <alignment horizontal="center" vertical="center"/>
    </xf>
    <xf numFmtId="164" fontId="22" fillId="0" borderId="0" xfId="3" applyNumberFormat="1" applyFont="1" applyAlignment="1">
      <alignment horizontal="center" vertical="center"/>
    </xf>
    <xf numFmtId="0" fontId="20" fillId="0" borderId="0" xfId="3" applyFont="1" applyAlignment="1">
      <alignment horizontal="center" vertical="center"/>
    </xf>
    <xf numFmtId="0" fontId="20" fillId="18" borderId="0" xfId="3" applyFont="1" applyFill="1" applyAlignment="1">
      <alignment horizontal="center" vertical="center"/>
    </xf>
    <xf numFmtId="0" fontId="20" fillId="19" borderId="0" xfId="3" applyFont="1" applyFill="1" applyAlignment="1">
      <alignment horizontal="center" vertical="center"/>
    </xf>
    <xf numFmtId="0" fontId="23" fillId="18" borderId="0" xfId="3" applyFont="1" applyFill="1" applyAlignment="1">
      <alignment horizontal="center" vertical="center"/>
    </xf>
    <xf numFmtId="0" fontId="23" fillId="4" borderId="0" xfId="3" applyFont="1" applyFill="1" applyAlignment="1">
      <alignment horizontal="center" vertical="center"/>
    </xf>
    <xf numFmtId="165" fontId="20" fillId="18" borderId="0" xfId="3" applyNumberFormat="1" applyFont="1" applyFill="1" applyAlignment="1">
      <alignment horizontal="center" vertical="center" wrapText="1"/>
    </xf>
    <xf numFmtId="2" fontId="20" fillId="6" borderId="0" xfId="3" applyNumberFormat="1" applyFont="1" applyFill="1" applyAlignment="1">
      <alignment horizontal="center" vertical="center" wrapText="1"/>
    </xf>
    <xf numFmtId="1" fontId="20" fillId="18" borderId="0" xfId="3" applyNumberFormat="1" applyFont="1" applyFill="1" applyAlignment="1">
      <alignment horizontal="center" vertical="center" wrapText="1"/>
    </xf>
    <xf numFmtId="164" fontId="20" fillId="18" borderId="0" xfId="3" applyNumberFormat="1" applyFont="1" applyFill="1" applyAlignment="1">
      <alignment horizontal="center" vertical="center" wrapText="1"/>
    </xf>
    <xf numFmtId="165" fontId="20" fillId="20" borderId="0" xfId="3" applyNumberFormat="1" applyFont="1" applyFill="1" applyAlignment="1">
      <alignment horizontal="center" vertical="center" wrapText="1"/>
    </xf>
    <xf numFmtId="165" fontId="20" fillId="4" borderId="0" xfId="3" applyNumberFormat="1" applyFont="1" applyFill="1" applyAlignment="1">
      <alignment horizontal="center" vertical="center" wrapText="1"/>
    </xf>
    <xf numFmtId="165" fontId="20" fillId="12" borderId="0" xfId="5" applyNumberFormat="1" applyFont="1" applyFill="1" applyAlignment="1">
      <alignment horizontal="center" vertical="center" wrapText="1"/>
    </xf>
    <xf numFmtId="165" fontId="20" fillId="21" borderId="0" xfId="5" applyNumberFormat="1" applyFont="1" applyFill="1" applyAlignment="1">
      <alignment horizontal="center" vertical="center" wrapText="1"/>
    </xf>
    <xf numFmtId="165" fontId="20" fillId="6" borderId="0" xfId="3" applyNumberFormat="1" applyFont="1" applyFill="1" applyAlignment="1">
      <alignment horizontal="center" vertical="center" wrapText="1"/>
    </xf>
    <xf numFmtId="165" fontId="20" fillId="2" borderId="0" xfId="3" applyNumberFormat="1" applyFont="1" applyFill="1" applyAlignment="1">
      <alignment horizontal="center" vertical="center" wrapText="1"/>
    </xf>
    <xf numFmtId="165" fontId="20" fillId="7" borderId="0" xfId="3" applyNumberFormat="1" applyFont="1" applyFill="1" applyAlignment="1">
      <alignment horizontal="center" vertical="center" wrapText="1"/>
    </xf>
    <xf numFmtId="165" fontId="20" fillId="22" borderId="0" xfId="3" applyNumberFormat="1" applyFont="1" applyFill="1" applyAlignment="1">
      <alignment horizontal="center" vertical="center" wrapText="1"/>
    </xf>
    <xf numFmtId="165" fontId="20" fillId="23" borderId="0" xfId="3" applyNumberFormat="1" applyFont="1" applyFill="1" applyAlignment="1">
      <alignment horizontal="center" vertical="center" wrapText="1"/>
    </xf>
    <xf numFmtId="0" fontId="20" fillId="18" borderId="0" xfId="3" applyFont="1" applyFill="1" applyAlignment="1">
      <alignment horizontal="center" vertical="center" wrapText="1"/>
    </xf>
    <xf numFmtId="0" fontId="20" fillId="4" borderId="0" xfId="3" applyFont="1" applyFill="1" applyAlignment="1">
      <alignment horizontal="center" vertical="center" wrapText="1"/>
    </xf>
    <xf numFmtId="164" fontId="23" fillId="18" borderId="0" xfId="3" applyNumberFormat="1" applyFont="1" applyFill="1" applyAlignment="1">
      <alignment horizontal="center" vertical="center" wrapText="1"/>
    </xf>
    <xf numFmtId="0" fontId="21" fillId="0" borderId="0" xfId="3" applyFont="1" applyAlignment="1">
      <alignment horizontal="center" vertical="center" wrapText="1"/>
    </xf>
    <xf numFmtId="0" fontId="22" fillId="0" borderId="0" xfId="3" applyFont="1" applyAlignment="1">
      <alignment horizontal="center" vertical="center" wrapText="1"/>
    </xf>
    <xf numFmtId="0" fontId="22" fillId="0" borderId="2" xfId="3" applyFont="1" applyBorder="1" applyAlignment="1">
      <alignment horizontal="center" vertical="center"/>
    </xf>
    <xf numFmtId="2" fontId="22" fillId="0" borderId="2" xfId="3" applyNumberFormat="1" applyFont="1" applyBorder="1" applyAlignment="1">
      <alignment horizontal="center" vertical="center"/>
    </xf>
    <xf numFmtId="1" fontId="22" fillId="0" borderId="2" xfId="3" applyNumberFormat="1" applyFont="1" applyBorder="1" applyAlignment="1">
      <alignment horizontal="center" vertical="center"/>
    </xf>
    <xf numFmtId="164" fontId="22" fillId="0" borderId="2" xfId="3" applyNumberFormat="1" applyFont="1" applyBorder="1" applyAlignment="1">
      <alignment horizontal="center" vertical="center"/>
    </xf>
    <xf numFmtId="16" fontId="24" fillId="0" borderId="2" xfId="3" applyNumberFormat="1" applyFont="1" applyBorder="1" applyAlignment="1">
      <alignment horizontal="center" vertical="center" wrapText="1"/>
    </xf>
    <xf numFmtId="0" fontId="22" fillId="0" borderId="2" xfId="5" applyFont="1" applyBorder="1" applyAlignment="1">
      <alignment horizontal="left" vertical="center"/>
    </xf>
    <xf numFmtId="165" fontId="22" fillId="0" borderId="2" xfId="3" applyNumberFormat="1" applyFont="1" applyBorder="1" applyAlignment="1">
      <alignment horizontal="left" vertical="center" wrapText="1"/>
    </xf>
    <xf numFmtId="166" fontId="22" fillId="0" borderId="2" xfId="3" applyNumberFormat="1" applyFont="1" applyBorder="1" applyAlignment="1">
      <alignment horizontal="center" vertical="center" wrapText="1"/>
    </xf>
    <xf numFmtId="15" fontId="22" fillId="0" borderId="2" xfId="3" applyNumberFormat="1" applyFont="1" applyBorder="1" applyAlignment="1">
      <alignment horizontal="center" vertical="center"/>
    </xf>
    <xf numFmtId="0" fontId="25" fillId="0" borderId="2" xfId="3" applyFont="1" applyBorder="1" applyAlignment="1">
      <alignment horizontal="center" vertical="center"/>
    </xf>
    <xf numFmtId="164" fontId="22" fillId="0" borderId="2" xfId="3" applyNumberFormat="1" applyFont="1" applyBorder="1" applyAlignment="1">
      <alignment horizontal="left" vertical="center"/>
    </xf>
    <xf numFmtId="167" fontId="22" fillId="0" borderId="2" xfId="3" applyNumberFormat="1" applyFont="1" applyBorder="1" applyAlignment="1">
      <alignment horizontal="center" vertical="center"/>
    </xf>
    <xf numFmtId="165" fontId="22" fillId="0" borderId="2" xfId="3" applyNumberFormat="1" applyFont="1" applyBorder="1" applyAlignment="1">
      <alignment horizontal="center" vertical="center" wrapText="1"/>
    </xf>
    <xf numFmtId="167" fontId="22" fillId="0" borderId="0" xfId="3" applyNumberFormat="1" applyFont="1" applyAlignment="1">
      <alignment horizontal="center" vertical="center"/>
    </xf>
    <xf numFmtId="2" fontId="22" fillId="0" borderId="0" xfId="3" applyNumberFormat="1" applyFont="1" applyAlignment="1">
      <alignment horizontal="center" vertical="center"/>
    </xf>
    <xf numFmtId="1" fontId="22" fillId="0" borderId="0" xfId="3" applyNumberFormat="1" applyFont="1" applyAlignment="1">
      <alignment horizontal="center" vertical="center"/>
    </xf>
    <xf numFmtId="164" fontId="21" fillId="0" borderId="0" xfId="0" applyNumberFormat="1" applyFont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1" fontId="21" fillId="0" borderId="2" xfId="0" applyNumberFormat="1" applyFont="1" applyBorder="1" applyAlignment="1">
      <alignment horizontal="center" vertical="center"/>
    </xf>
    <xf numFmtId="164" fontId="21" fillId="0" borderId="2" xfId="0" applyNumberFormat="1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7" fillId="0" borderId="0" xfId="0" applyFont="1"/>
    <xf numFmtId="0" fontId="22" fillId="17" borderId="0" xfId="3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164" fontId="22" fillId="0" borderId="5" xfId="3" applyNumberFormat="1" applyFont="1" applyBorder="1" applyAlignment="1">
      <alignment horizontal="center" vertical="center"/>
    </xf>
    <xf numFmtId="15" fontId="22" fillId="0" borderId="3" xfId="3" applyNumberFormat="1" applyFont="1" applyBorder="1" applyAlignment="1">
      <alignment horizontal="center" vertical="center"/>
    </xf>
    <xf numFmtId="15" fontId="22" fillId="0" borderId="2" xfId="5" applyNumberFormat="1" applyFont="1" applyBorder="1" applyAlignment="1">
      <alignment horizontal="center" vertical="center"/>
    </xf>
    <xf numFmtId="0" fontId="22" fillId="0" borderId="0" xfId="4" applyFont="1" applyAlignment="1">
      <alignment horizontal="center" vertical="center"/>
    </xf>
    <xf numFmtId="0" fontId="22" fillId="0" borderId="2" xfId="5" applyFont="1" applyBorder="1" applyAlignment="1">
      <alignment horizontal="center" vertical="center"/>
    </xf>
    <xf numFmtId="0" fontId="21" fillId="0" borderId="2" xfId="5" applyFont="1" applyBorder="1" applyAlignment="1">
      <alignment horizontal="center" vertical="center"/>
    </xf>
    <xf numFmtId="2" fontId="22" fillId="0" borderId="2" xfId="5" applyNumberFormat="1" applyFont="1" applyBorder="1" applyAlignment="1">
      <alignment horizontal="center" vertical="center"/>
    </xf>
    <xf numFmtId="1" fontId="22" fillId="0" borderId="2" xfId="5" applyNumberFormat="1" applyFont="1" applyBorder="1" applyAlignment="1">
      <alignment horizontal="center" vertical="center"/>
    </xf>
    <xf numFmtId="16" fontId="24" fillId="0" borderId="2" xfId="4" applyNumberFormat="1" applyFont="1" applyBorder="1" applyAlignment="1">
      <alignment horizontal="center" vertical="center" wrapText="1"/>
    </xf>
    <xf numFmtId="165" fontId="22" fillId="0" borderId="2" xfId="4" applyNumberFormat="1" applyFont="1" applyBorder="1" applyAlignment="1">
      <alignment horizontal="left" vertical="center" wrapText="1"/>
    </xf>
    <xf numFmtId="166" fontId="22" fillId="0" borderId="2" xfId="4" applyNumberFormat="1" applyFont="1" applyBorder="1" applyAlignment="1">
      <alignment horizontal="center" vertical="center" wrapText="1"/>
    </xf>
    <xf numFmtId="0" fontId="22" fillId="0" borderId="2" xfId="4" applyFont="1" applyBorder="1" applyAlignment="1">
      <alignment horizontal="center" vertical="center"/>
    </xf>
    <xf numFmtId="15" fontId="22" fillId="0" borderId="2" xfId="4" applyNumberFormat="1" applyFont="1" applyBorder="1" applyAlignment="1">
      <alignment horizontal="center" vertical="center"/>
    </xf>
    <xf numFmtId="164" fontId="22" fillId="0" borderId="2" xfId="4" applyNumberFormat="1" applyFont="1" applyBorder="1" applyAlignment="1">
      <alignment horizontal="center" vertical="center"/>
    </xf>
    <xf numFmtId="0" fontId="28" fillId="0" borderId="2" xfId="4" applyFont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1" fontId="21" fillId="0" borderId="0" xfId="0" applyNumberFormat="1" applyFont="1" applyAlignment="1">
      <alignment horizontal="center" vertical="center"/>
    </xf>
    <xf numFmtId="0" fontId="22" fillId="0" borderId="0" xfId="5" applyFont="1" applyAlignment="1">
      <alignment horizontal="left" vertical="center"/>
    </xf>
    <xf numFmtId="165" fontId="22" fillId="0" borderId="0" xfId="3" applyNumberFormat="1" applyFont="1" applyAlignment="1">
      <alignment horizontal="left" vertical="center" wrapText="1"/>
    </xf>
    <xf numFmtId="16" fontId="24" fillId="0" borderId="0" xfId="3" applyNumberFormat="1" applyFont="1" applyAlignment="1">
      <alignment horizontal="center" vertical="center" wrapText="1"/>
    </xf>
    <xf numFmtId="166" fontId="22" fillId="0" borderId="0" xfId="3" applyNumberFormat="1" applyFont="1" applyAlignment="1">
      <alignment horizontal="center" vertical="center" wrapText="1"/>
    </xf>
    <xf numFmtId="15" fontId="22" fillId="0" borderId="0" xfId="3" applyNumberFormat="1" applyFont="1" applyAlignment="1">
      <alignment horizontal="center" vertical="center"/>
    </xf>
    <xf numFmtId="164" fontId="20" fillId="0" borderId="0" xfId="3" applyNumberFormat="1" applyFont="1" applyAlignment="1">
      <alignment horizontal="center" vertical="center"/>
    </xf>
    <xf numFmtId="1" fontId="21" fillId="0" borderId="0" xfId="3" applyNumberFormat="1" applyFont="1" applyAlignment="1">
      <alignment horizontal="left" vertical="center"/>
    </xf>
    <xf numFmtId="16" fontId="29" fillId="0" borderId="0" xfId="3" applyNumberFormat="1" applyFont="1" applyAlignment="1">
      <alignment horizontal="center" vertical="center"/>
    </xf>
    <xf numFmtId="165" fontId="21" fillId="17" borderId="0" xfId="3" applyNumberFormat="1" applyFont="1" applyFill="1" applyAlignment="1">
      <alignment horizontal="center" vertical="center"/>
    </xf>
    <xf numFmtId="0" fontId="21" fillId="6" borderId="0" xfId="3" applyFont="1" applyFill="1" applyAlignment="1">
      <alignment horizontal="center" vertical="center"/>
    </xf>
    <xf numFmtId="0" fontId="22" fillId="6" borderId="0" xfId="3" applyFont="1" applyFill="1" applyAlignment="1">
      <alignment horizontal="center" vertical="center"/>
    </xf>
    <xf numFmtId="165" fontId="21" fillId="6" borderId="0" xfId="3" applyNumberFormat="1" applyFont="1" applyFill="1" applyAlignment="1">
      <alignment horizontal="center" vertical="center"/>
    </xf>
    <xf numFmtId="2" fontId="21" fillId="6" borderId="0" xfId="3" applyNumberFormat="1" applyFont="1" applyFill="1" applyAlignment="1">
      <alignment horizontal="center" vertical="center"/>
    </xf>
    <xf numFmtId="1" fontId="21" fillId="6" borderId="0" xfId="3" applyNumberFormat="1" applyFont="1" applyFill="1" applyAlignment="1">
      <alignment horizontal="center" vertical="center"/>
    </xf>
    <xf numFmtId="164" fontId="21" fillId="6" borderId="0" xfId="3" applyNumberFormat="1" applyFont="1" applyFill="1" applyAlignment="1">
      <alignment horizontal="center" vertical="center"/>
    </xf>
    <xf numFmtId="165" fontId="21" fillId="6" borderId="0" xfId="3" applyNumberFormat="1" applyFont="1" applyFill="1" applyAlignment="1">
      <alignment horizontal="left" vertical="center"/>
    </xf>
    <xf numFmtId="16" fontId="21" fillId="6" borderId="0" xfId="3" applyNumberFormat="1" applyFont="1" applyFill="1" applyAlignment="1">
      <alignment horizontal="center" vertical="center"/>
    </xf>
    <xf numFmtId="164" fontId="22" fillId="6" borderId="0" xfId="3" applyNumberFormat="1" applyFont="1" applyFill="1" applyAlignment="1">
      <alignment horizontal="center" vertical="center"/>
    </xf>
    <xf numFmtId="15" fontId="21" fillId="0" borderId="0" xfId="0" applyNumberFormat="1" applyFont="1" applyAlignment="1">
      <alignment horizontal="center" vertical="center"/>
    </xf>
    <xf numFmtId="0" fontId="10" fillId="4" borderId="5" xfId="4" applyFont="1" applyFill="1" applyBorder="1" applyAlignment="1">
      <alignment horizontal="center" vertical="center"/>
    </xf>
    <xf numFmtId="0" fontId="10" fillId="4" borderId="4" xfId="4" applyFont="1" applyFill="1" applyBorder="1" applyAlignment="1">
      <alignment horizontal="center" vertical="center"/>
    </xf>
    <xf numFmtId="0" fontId="10" fillId="4" borderId="6" xfId="4" applyFont="1" applyFill="1" applyBorder="1" applyAlignment="1">
      <alignment horizontal="center" vertical="center"/>
    </xf>
    <xf numFmtId="0" fontId="10" fillId="4" borderId="3" xfId="4" applyFont="1" applyFill="1" applyBorder="1" applyAlignment="1">
      <alignment horizontal="center" vertical="center"/>
    </xf>
    <xf numFmtId="0" fontId="10" fillId="5" borderId="2" xfId="4" applyFont="1" applyFill="1" applyBorder="1" applyAlignment="1">
      <alignment horizontal="center" vertical="center" wrapText="1"/>
    </xf>
    <xf numFmtId="0" fontId="10" fillId="5" borderId="4" xfId="4" applyFont="1" applyFill="1" applyBorder="1" applyAlignment="1">
      <alignment horizontal="center" vertical="center" wrapText="1"/>
    </xf>
    <xf numFmtId="0" fontId="10" fillId="5" borderId="4" xfId="4" applyFont="1" applyFill="1" applyBorder="1" applyAlignment="1">
      <alignment horizontal="center" vertical="center"/>
    </xf>
    <xf numFmtId="0" fontId="10" fillId="5" borderId="2" xfId="4" applyFont="1" applyFill="1" applyBorder="1" applyAlignment="1">
      <alignment horizontal="center" vertical="center"/>
    </xf>
    <xf numFmtId="0" fontId="10" fillId="0" borderId="2" xfId="4" applyFont="1" applyBorder="1" applyAlignment="1">
      <alignment horizontal="center" vertical="center"/>
    </xf>
    <xf numFmtId="0" fontId="3" fillId="0" borderId="0" xfId="0" applyFont="1"/>
    <xf numFmtId="0" fontId="10" fillId="4" borderId="7" xfId="4" applyFont="1" applyFill="1" applyBorder="1" applyAlignment="1">
      <alignment horizontal="center" vertical="center"/>
    </xf>
    <xf numFmtId="0" fontId="10" fillId="4" borderId="7" xfId="4" applyFont="1" applyFill="1" applyBorder="1" applyAlignment="1">
      <alignment horizontal="center" vertical="center"/>
    </xf>
    <xf numFmtId="0" fontId="10" fillId="4" borderId="7" xfId="4" applyFont="1" applyFill="1" applyBorder="1" applyAlignment="1">
      <alignment horizontal="center" vertical="center" wrapText="1"/>
    </xf>
    <xf numFmtId="0" fontId="5" fillId="0" borderId="2" xfId="4" applyBorder="1" applyAlignment="1">
      <alignment horizontal="center" vertical="center"/>
    </xf>
    <xf numFmtId="164" fontId="5" fillId="0" borderId="2" xfId="4" applyNumberFormat="1" applyBorder="1" applyAlignment="1">
      <alignment horizontal="center" vertical="center"/>
    </xf>
    <xf numFmtId="164" fontId="20" fillId="0" borderId="2" xfId="3" applyNumberFormat="1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0" fillId="3" borderId="5" xfId="6" applyFont="1" applyFill="1" applyBorder="1" applyAlignment="1">
      <alignment horizontal="center" vertical="center"/>
    </xf>
    <xf numFmtId="164" fontId="10" fillId="0" borderId="2" xfId="4" applyNumberFormat="1" applyFont="1" applyBorder="1" applyAlignment="1">
      <alignment horizontal="center" vertical="center"/>
    </xf>
    <xf numFmtId="164" fontId="5" fillId="0" borderId="0" xfId="4" applyNumberFormat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30" fillId="8" borderId="2" xfId="6" applyFont="1" applyFill="1" applyBorder="1" applyAlignment="1">
      <alignment horizontal="center" vertical="center" wrapText="1"/>
    </xf>
    <xf numFmtId="0" fontId="30" fillId="3" borderId="2" xfId="6" applyFont="1" applyFill="1" applyBorder="1" applyAlignment="1">
      <alignment horizontal="center" vertical="center"/>
    </xf>
    <xf numFmtId="0" fontId="30" fillId="24" borderId="2" xfId="6" applyFont="1" applyFill="1" applyBorder="1" applyAlignment="1">
      <alignment horizontal="center" vertical="center" wrapText="1"/>
    </xf>
    <xf numFmtId="0" fontId="30" fillId="3" borderId="7" xfId="6" applyFont="1" applyFill="1" applyBorder="1" applyAlignment="1">
      <alignment horizontal="center" vertical="center"/>
    </xf>
    <xf numFmtId="1" fontId="4" fillId="9" borderId="5" xfId="0" applyNumberFormat="1" applyFont="1" applyFill="1" applyBorder="1" applyAlignment="1">
      <alignment vertical="center"/>
    </xf>
    <xf numFmtId="1" fontId="0" fillId="18" borderId="2" xfId="0" applyNumberFormat="1" applyFill="1" applyBorder="1" applyAlignment="1">
      <alignment horizontal="center" vertical="center"/>
    </xf>
    <xf numFmtId="0" fontId="0" fillId="0" borderId="2" xfId="0" applyBorder="1"/>
    <xf numFmtId="0" fontId="0" fillId="3" borderId="2" xfId="0" applyFill="1" applyBorder="1"/>
    <xf numFmtId="1" fontId="4" fillId="9" borderId="2" xfId="0" applyNumberFormat="1" applyFont="1" applyFill="1" applyBorder="1" applyAlignment="1">
      <alignment horizontal="center" vertical="center"/>
    </xf>
    <xf numFmtId="1" fontId="4" fillId="9" borderId="13" xfId="0" applyNumberFormat="1" applyFont="1" applyFill="1" applyBorder="1" applyAlignment="1">
      <alignment horizontal="center" vertical="center"/>
    </xf>
    <xf numFmtId="0" fontId="4" fillId="25" borderId="2" xfId="0" applyFont="1" applyFill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1" fontId="4" fillId="9" borderId="7" xfId="0" applyNumberFormat="1" applyFon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0" fontId="4" fillId="26" borderId="2" xfId="0" applyFont="1" applyFill="1" applyBorder="1" applyAlignment="1">
      <alignment horizontal="center" vertical="center"/>
    </xf>
    <xf numFmtId="0" fontId="4" fillId="25" borderId="5" xfId="0" applyFont="1" applyFill="1" applyBorder="1" applyAlignment="1">
      <alignment horizontal="center" vertical="center"/>
    </xf>
    <xf numFmtId="0" fontId="0" fillId="19" borderId="2" xfId="0" applyFill="1" applyBorder="1" applyAlignment="1">
      <alignment horizontal="center" vertical="center"/>
    </xf>
    <xf numFmtId="2" fontId="0" fillId="3" borderId="2" xfId="0" applyNumberFormat="1" applyFill="1" applyBorder="1"/>
    <xf numFmtId="0" fontId="4" fillId="25" borderId="13" xfId="0" applyFont="1" applyFill="1" applyBorder="1" applyAlignment="1">
      <alignment horizontal="center" vertical="center"/>
    </xf>
    <xf numFmtId="0" fontId="0" fillId="22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4" fillId="26" borderId="5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64" fontId="21" fillId="22" borderId="0" xfId="3" applyNumberFormat="1" applyFont="1" applyFill="1" applyAlignment="1">
      <alignment horizontal="center" vertical="center"/>
    </xf>
    <xf numFmtId="165" fontId="21" fillId="22" borderId="0" xfId="3" applyNumberFormat="1" applyFont="1" applyFill="1" applyAlignment="1">
      <alignment horizontal="left" vertical="center"/>
    </xf>
    <xf numFmtId="0" fontId="10" fillId="0" borderId="0" xfId="4" applyFont="1" applyAlignment="1">
      <alignment horizontal="center" vertical="center"/>
    </xf>
    <xf numFmtId="0" fontId="4" fillId="26" borderId="13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" fontId="10" fillId="0" borderId="2" xfId="4" applyNumberFormat="1" applyFont="1" applyBorder="1" applyAlignment="1">
      <alignment horizontal="center" vertical="center"/>
    </xf>
    <xf numFmtId="1" fontId="10" fillId="0" borderId="0" xfId="4" applyNumberFormat="1" applyFont="1" applyAlignment="1">
      <alignment horizontal="center" vertical="center"/>
    </xf>
    <xf numFmtId="0" fontId="4" fillId="16" borderId="2" xfId="0" applyFont="1" applyFill="1" applyBorder="1" applyAlignment="1">
      <alignment horizontal="center" vertical="center"/>
    </xf>
    <xf numFmtId="0" fontId="5" fillId="5" borderId="2" xfId="4" applyFill="1" applyBorder="1" applyAlignment="1">
      <alignment horizontal="center" vertical="center"/>
    </xf>
    <xf numFmtId="0" fontId="0" fillId="19" borderId="5" xfId="0" applyFill="1" applyBorder="1" applyAlignment="1">
      <alignment horizontal="center" vertical="center"/>
    </xf>
    <xf numFmtId="0" fontId="4" fillId="27" borderId="2" xfId="0" applyFont="1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28" borderId="2" xfId="0" applyFont="1" applyFill="1" applyBorder="1" applyAlignment="1">
      <alignment horizontal="center" vertical="center"/>
    </xf>
    <xf numFmtId="0" fontId="0" fillId="22" borderId="5" xfId="0" applyFill="1" applyBorder="1" applyAlignment="1">
      <alignment horizontal="center" vertical="center"/>
    </xf>
    <xf numFmtId="0" fontId="4" fillId="29" borderId="2" xfId="0" applyFont="1" applyFill="1" applyBorder="1" applyAlignment="1">
      <alignment horizontal="center" vertical="center"/>
    </xf>
    <xf numFmtId="0" fontId="22" fillId="22" borderId="0" xfId="3" applyFont="1" applyFill="1" applyAlignment="1">
      <alignment horizontal="center" vertical="center"/>
    </xf>
    <xf numFmtId="0" fontId="21" fillId="22" borderId="0" xfId="3" applyFont="1" applyFill="1" applyAlignment="1">
      <alignment horizontal="center" vertical="center"/>
    </xf>
    <xf numFmtId="165" fontId="21" fillId="22" borderId="0" xfId="3" applyNumberFormat="1" applyFont="1" applyFill="1" applyAlignment="1">
      <alignment horizontal="center" vertical="center"/>
    </xf>
    <xf numFmtId="2" fontId="21" fillId="22" borderId="0" xfId="3" applyNumberFormat="1" applyFont="1" applyFill="1" applyAlignment="1">
      <alignment horizontal="center" vertical="center"/>
    </xf>
    <xf numFmtId="0" fontId="0" fillId="22" borderId="13" xfId="0" applyFill="1" applyBorder="1" applyAlignment="1">
      <alignment horizontal="center" vertical="center"/>
    </xf>
    <xf numFmtId="0" fontId="30" fillId="6" borderId="2" xfId="6" applyFont="1" applyFill="1" applyBorder="1" applyAlignment="1">
      <alignment horizontal="center"/>
    </xf>
    <xf numFmtId="2" fontId="0" fillId="6" borderId="2" xfId="0" applyNumberFormat="1" applyFill="1" applyBorder="1"/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" fontId="20" fillId="0" borderId="2" xfId="3" applyNumberFormat="1" applyFont="1" applyBorder="1" applyAlignment="1">
      <alignment horizontal="center" vertical="center"/>
    </xf>
    <xf numFmtId="165" fontId="31" fillId="0" borderId="0" xfId="3" applyNumberFormat="1" applyFont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2" fontId="10" fillId="0" borderId="2" xfId="4" applyNumberFormat="1" applyFont="1" applyBorder="1" applyAlignment="1">
      <alignment horizontal="center" vertical="center"/>
    </xf>
    <xf numFmtId="0" fontId="4" fillId="16" borderId="5" xfId="0" applyFont="1" applyFill="1" applyBorder="1" applyAlignment="1">
      <alignment horizontal="center" vertical="center"/>
    </xf>
    <xf numFmtId="0" fontId="4" fillId="16" borderId="13" xfId="0" applyFont="1" applyFill="1" applyBorder="1" applyAlignment="1">
      <alignment horizontal="center" vertical="center"/>
    </xf>
    <xf numFmtId="0" fontId="4" fillId="27" borderId="5" xfId="0" applyFont="1" applyFill="1" applyBorder="1" applyAlignment="1">
      <alignment horizontal="center" vertical="center"/>
    </xf>
    <xf numFmtId="0" fontId="4" fillId="27" borderId="13" xfId="0" applyFont="1" applyFill="1" applyBorder="1" applyAlignment="1">
      <alignment horizontal="center" vertical="center"/>
    </xf>
    <xf numFmtId="0" fontId="4" fillId="27" borderId="7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28" borderId="5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1" fontId="11" fillId="0" borderId="0" xfId="0" applyNumberFormat="1" applyFont="1" applyAlignment="1">
      <alignment horizontal="center" vertical="center"/>
    </xf>
    <xf numFmtId="2" fontId="11" fillId="0" borderId="0" xfId="4" applyNumberFormat="1" applyFont="1" applyAlignment="1">
      <alignment horizontal="center" vertical="center" wrapText="1"/>
    </xf>
    <xf numFmtId="0" fontId="4" fillId="28" borderId="13" xfId="0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0" fontId="4" fillId="29" borderId="14" xfId="0" applyFont="1" applyFill="1" applyBorder="1" applyAlignment="1">
      <alignment horizontal="center" vertical="center"/>
    </xf>
    <xf numFmtId="0" fontId="4" fillId="29" borderId="8" xfId="0" applyFont="1" applyFill="1" applyBorder="1" applyAlignment="1">
      <alignment horizontal="center" vertical="center"/>
    </xf>
    <xf numFmtId="0" fontId="30" fillId="6" borderId="4" xfId="6" applyFont="1" applyFill="1" applyBorder="1" applyAlignment="1">
      <alignment horizontal="center"/>
    </xf>
    <xf numFmtId="0" fontId="30" fillId="6" borderId="3" xfId="6" applyFont="1" applyFill="1" applyBorder="1" applyAlignment="1">
      <alignment horizontal="center"/>
    </xf>
    <xf numFmtId="0" fontId="0" fillId="6" borderId="2" xfId="0" applyFill="1" applyBorder="1"/>
    <xf numFmtId="0" fontId="18" fillId="0" borderId="0" xfId="5" applyFont="1" applyAlignment="1">
      <alignment vertical="center"/>
    </xf>
    <xf numFmtId="0" fontId="18" fillId="0" borderId="0" xfId="5" applyFont="1" applyAlignment="1">
      <alignment horizontal="left" vertical="center"/>
    </xf>
    <xf numFmtId="0" fontId="21" fillId="0" borderId="0" xfId="5" applyFont="1" applyAlignment="1">
      <alignment horizontal="center" vertical="center"/>
    </xf>
    <xf numFmtId="0" fontId="20" fillId="18" borderId="0" xfId="5" applyFont="1" applyFill="1" applyAlignment="1">
      <alignment horizontal="center" vertical="center"/>
    </xf>
    <xf numFmtId="165" fontId="20" fillId="18" borderId="0" xfId="5" applyNumberFormat="1" applyFont="1" applyFill="1" applyAlignment="1">
      <alignment horizontal="center" vertical="center" wrapText="1"/>
    </xf>
    <xf numFmtId="2" fontId="20" fillId="6" borderId="0" xfId="0" applyNumberFormat="1" applyFont="1" applyFill="1" applyAlignment="1">
      <alignment horizontal="center" vertical="center" wrapText="1"/>
    </xf>
    <xf numFmtId="1" fontId="20" fillId="18" borderId="0" xfId="5" applyNumberFormat="1" applyFont="1" applyFill="1" applyAlignment="1">
      <alignment horizontal="center" vertical="center" wrapText="1"/>
    </xf>
    <xf numFmtId="164" fontId="20" fillId="18" borderId="0" xfId="5" applyNumberFormat="1" applyFont="1" applyFill="1" applyAlignment="1">
      <alignment horizontal="center" vertical="center" wrapText="1"/>
    </xf>
    <xf numFmtId="165" fontId="20" fillId="20" borderId="0" xfId="5" applyNumberFormat="1" applyFont="1" applyFill="1" applyAlignment="1">
      <alignment horizontal="center" vertical="center" wrapText="1"/>
    </xf>
    <xf numFmtId="165" fontId="20" fillId="4" borderId="0" xfId="5" applyNumberFormat="1" applyFont="1" applyFill="1" applyAlignment="1">
      <alignment horizontal="center" vertical="center" wrapText="1"/>
    </xf>
    <xf numFmtId="165" fontId="20" fillId="6" borderId="0" xfId="5" applyNumberFormat="1" applyFont="1" applyFill="1" applyAlignment="1">
      <alignment horizontal="center" vertical="center" wrapText="1"/>
    </xf>
    <xf numFmtId="165" fontId="20" fillId="7" borderId="0" xfId="5" applyNumberFormat="1" applyFont="1" applyFill="1" applyAlignment="1">
      <alignment horizontal="center" vertical="center" wrapText="1"/>
    </xf>
    <xf numFmtId="165" fontId="20" fillId="22" borderId="0" xfId="5" applyNumberFormat="1" applyFont="1" applyFill="1" applyAlignment="1">
      <alignment horizontal="center" vertical="center" wrapText="1"/>
    </xf>
    <xf numFmtId="0" fontId="20" fillId="18" borderId="0" xfId="5" applyFont="1" applyFill="1" applyAlignment="1">
      <alignment horizontal="center" vertical="center" wrapText="1"/>
    </xf>
    <xf numFmtId="164" fontId="23" fillId="18" borderId="0" xfId="5" applyNumberFormat="1" applyFont="1" applyFill="1" applyAlignment="1">
      <alignment horizontal="center" vertical="center" wrapText="1"/>
    </xf>
    <xf numFmtId="164" fontId="22" fillId="0" borderId="5" xfId="3" applyNumberFormat="1" applyFont="1" applyBorder="1" applyAlignment="1">
      <alignment horizontal="center" vertical="center"/>
    </xf>
    <xf numFmtId="164" fontId="22" fillId="0" borderId="7" xfId="3" applyNumberFormat="1" applyFont="1" applyBorder="1" applyAlignment="1">
      <alignment horizontal="center" vertical="center"/>
    </xf>
    <xf numFmtId="165" fontId="21" fillId="0" borderId="0" xfId="5" applyNumberFormat="1" applyFont="1" applyAlignment="1">
      <alignment horizontal="center" vertical="center"/>
    </xf>
    <xf numFmtId="1" fontId="21" fillId="0" borderId="0" xfId="5" applyNumberFormat="1" applyFont="1" applyAlignment="1">
      <alignment horizontal="center" vertical="center"/>
    </xf>
    <xf numFmtId="164" fontId="21" fillId="0" borderId="0" xfId="5" applyNumberFormat="1" applyFont="1" applyAlignment="1">
      <alignment horizontal="center" vertical="center"/>
    </xf>
    <xf numFmtId="164" fontId="23" fillId="0" borderId="2" xfId="5" applyNumberFormat="1" applyFont="1" applyBorder="1" applyAlignment="1">
      <alignment horizontal="center" vertical="center"/>
    </xf>
    <xf numFmtId="165" fontId="21" fillId="0" borderId="0" xfId="5" applyNumberFormat="1" applyFont="1" applyAlignment="1">
      <alignment horizontal="left" vertical="center"/>
    </xf>
    <xf numFmtId="164" fontId="23" fillId="0" borderId="0" xfId="5" applyNumberFormat="1" applyFont="1" applyAlignment="1">
      <alignment horizontal="center" vertical="center"/>
    </xf>
    <xf numFmtId="164" fontId="21" fillId="0" borderId="0" xfId="5" applyNumberFormat="1" applyFont="1" applyAlignment="1">
      <alignment horizontal="left" vertical="center"/>
    </xf>
    <xf numFmtId="168" fontId="21" fillId="0" borderId="0" xfId="5" applyNumberFormat="1" applyFont="1" applyAlignment="1">
      <alignment horizontal="center" vertical="center"/>
    </xf>
    <xf numFmtId="0" fontId="20" fillId="0" borderId="0" xfId="5" applyFont="1" applyAlignment="1">
      <alignment horizontal="center" vertical="center"/>
    </xf>
    <xf numFmtId="164" fontId="22" fillId="3" borderId="2" xfId="3" applyNumberFormat="1" applyFont="1" applyFill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165" fontId="22" fillId="0" borderId="0" xfId="5" applyNumberFormat="1" applyFont="1" applyAlignment="1">
      <alignment horizontal="center" vertical="center"/>
    </xf>
    <xf numFmtId="1" fontId="22" fillId="0" borderId="0" xfId="5" applyNumberFormat="1" applyFont="1" applyAlignment="1">
      <alignment horizontal="center" vertical="center"/>
    </xf>
    <xf numFmtId="164" fontId="22" fillId="0" borderId="0" xfId="5" applyNumberFormat="1" applyFont="1" applyAlignment="1">
      <alignment horizontal="center" vertical="center"/>
    </xf>
    <xf numFmtId="0" fontId="23" fillId="0" borderId="0" xfId="5" applyFont="1" applyAlignment="1">
      <alignment horizontal="center" vertical="center"/>
    </xf>
    <xf numFmtId="165" fontId="34" fillId="18" borderId="0" xfId="5" applyNumberFormat="1" applyFont="1" applyFill="1" applyAlignment="1">
      <alignment horizontal="center" vertical="center" wrapText="1"/>
    </xf>
    <xf numFmtId="15" fontId="22" fillId="0" borderId="2" xfId="4" applyNumberFormat="1" applyFont="1" applyBorder="1" applyAlignment="1">
      <alignment horizontal="center" vertical="center" wrapText="1"/>
    </xf>
    <xf numFmtId="164" fontId="20" fillId="0" borderId="2" xfId="5" applyNumberFormat="1" applyFont="1" applyBorder="1" applyAlignment="1">
      <alignment horizontal="center" vertical="center"/>
    </xf>
    <xf numFmtId="167" fontId="21" fillId="0" borderId="0" xfId="5" applyNumberFormat="1" applyFont="1" applyAlignment="1">
      <alignment horizontal="center" vertical="center"/>
    </xf>
    <xf numFmtId="164" fontId="22" fillId="0" borderId="13" xfId="3" applyNumberFormat="1" applyFont="1" applyBorder="1" applyAlignment="1">
      <alignment horizontal="center" vertical="center"/>
    </xf>
    <xf numFmtId="165" fontId="22" fillId="0" borderId="2" xfId="5" applyNumberFormat="1" applyFont="1" applyBorder="1" applyAlignment="1">
      <alignment horizontal="center" vertical="center"/>
    </xf>
    <xf numFmtId="164" fontId="22" fillId="0" borderId="3" xfId="3" applyNumberFormat="1" applyFont="1" applyBorder="1" applyAlignment="1">
      <alignment horizontal="center" vertical="center"/>
    </xf>
    <xf numFmtId="0" fontId="18" fillId="30" borderId="0" xfId="5" applyFont="1" applyFill="1" applyAlignment="1">
      <alignment vertical="center"/>
    </xf>
    <xf numFmtId="10" fontId="18" fillId="0" borderId="0" xfId="5" applyNumberFormat="1" applyFont="1" applyAlignment="1">
      <alignment vertical="center"/>
    </xf>
    <xf numFmtId="0" fontId="21" fillId="0" borderId="0" xfId="5" applyFont="1" applyAlignment="1">
      <alignment horizontal="left" vertical="center"/>
    </xf>
    <xf numFmtId="0" fontId="18" fillId="5" borderId="0" xfId="5" applyFont="1" applyFill="1" applyAlignment="1">
      <alignment vertical="center"/>
    </xf>
    <xf numFmtId="10" fontId="21" fillId="0" borderId="0" xfId="5" applyNumberFormat="1" applyFont="1" applyAlignment="1">
      <alignment horizontal="center" vertical="center"/>
    </xf>
    <xf numFmtId="164" fontId="20" fillId="16" borderId="0" xfId="5" applyNumberFormat="1" applyFont="1" applyFill="1" applyAlignment="1">
      <alignment horizontal="center" vertical="center" wrapText="1"/>
    </xf>
    <xf numFmtId="10" fontId="34" fillId="18" borderId="0" xfId="5" applyNumberFormat="1" applyFont="1" applyFill="1" applyAlignment="1">
      <alignment horizontal="center" vertical="center" wrapText="1"/>
    </xf>
    <xf numFmtId="165" fontId="22" fillId="0" borderId="2" xfId="3" applyNumberFormat="1" applyFont="1" applyBorder="1" applyAlignment="1">
      <alignment horizontal="center" vertical="center"/>
    </xf>
    <xf numFmtId="164" fontId="22" fillId="6" borderId="2" xfId="5" applyNumberFormat="1" applyFont="1" applyFill="1" applyBorder="1" applyAlignment="1">
      <alignment horizontal="center" vertical="center"/>
    </xf>
    <xf numFmtId="164" fontId="22" fillId="0" borderId="2" xfId="5" applyNumberFormat="1" applyFont="1" applyBorder="1" applyAlignment="1">
      <alignment horizontal="center" vertical="center"/>
    </xf>
    <xf numFmtId="10" fontId="22" fillId="0" borderId="2" xfId="3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5" fontId="22" fillId="0" borderId="2" xfId="2" applyNumberFormat="1" applyFont="1" applyBorder="1" applyAlignment="1">
      <alignment horizontal="left" vertical="center"/>
    </xf>
    <xf numFmtId="15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65" fontId="22" fillId="0" borderId="0" xfId="0" applyNumberFormat="1" applyFont="1" applyAlignment="1">
      <alignment horizontal="left" vertical="center" wrapText="1"/>
    </xf>
    <xf numFmtId="10" fontId="24" fillId="0" borderId="0" xfId="3" applyNumberFormat="1" applyFont="1" applyAlignment="1">
      <alignment horizontal="center" vertical="center" wrapText="1"/>
    </xf>
    <xf numFmtId="165" fontId="22" fillId="0" borderId="0" xfId="3" applyNumberFormat="1" applyFont="1" applyAlignment="1">
      <alignment horizontal="center" vertical="center" wrapText="1"/>
    </xf>
    <xf numFmtId="164" fontId="25" fillId="0" borderId="0" xfId="3" applyNumberFormat="1" applyFont="1" applyAlignment="1">
      <alignment horizontal="center" vertical="center"/>
    </xf>
    <xf numFmtId="10" fontId="23" fillId="0" borderId="0" xfId="5" applyNumberFormat="1" applyFont="1" applyAlignment="1">
      <alignment horizontal="center" vertical="center"/>
    </xf>
    <xf numFmtId="165" fontId="22" fillId="0" borderId="0" xfId="3" applyNumberFormat="1" applyFont="1" applyAlignment="1">
      <alignment horizontal="center" vertical="center"/>
    </xf>
    <xf numFmtId="10" fontId="22" fillId="0" borderId="0" xfId="3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22" fillId="0" borderId="0" xfId="2" applyNumberFormat="1" applyFont="1" applyAlignment="1">
      <alignment horizontal="left" vertical="center"/>
    </xf>
    <xf numFmtId="2" fontId="20" fillId="6" borderId="0" xfId="5" applyNumberFormat="1" applyFont="1" applyFill="1" applyAlignment="1">
      <alignment horizontal="center" vertical="center" wrapText="1"/>
    </xf>
    <xf numFmtId="0" fontId="35" fillId="0" borderId="0" xfId="5" applyFont="1" applyAlignment="1">
      <alignment horizontal="center" vertical="center"/>
    </xf>
    <xf numFmtId="2" fontId="21" fillId="0" borderId="0" xfId="5" applyNumberFormat="1" applyFont="1" applyAlignment="1">
      <alignment horizontal="center" vertical="center"/>
    </xf>
    <xf numFmtId="14" fontId="22" fillId="0" borderId="0" xfId="5" applyNumberFormat="1" applyFont="1" applyAlignment="1">
      <alignment horizontal="center" vertical="center"/>
    </xf>
    <xf numFmtId="164" fontId="20" fillId="8" borderId="0" xfId="5" applyNumberFormat="1" applyFont="1" applyFill="1" applyAlignment="1">
      <alignment horizontal="center" vertical="center" wrapText="1"/>
    </xf>
    <xf numFmtId="165" fontId="20" fillId="2" borderId="0" xfId="5" applyNumberFormat="1" applyFont="1" applyFill="1" applyAlignment="1">
      <alignment horizontal="center" vertical="center" wrapText="1"/>
    </xf>
    <xf numFmtId="0" fontId="21" fillId="0" borderId="0" xfId="5" applyFont="1" applyAlignment="1">
      <alignment horizontal="center" vertical="center" wrapText="1"/>
    </xf>
    <xf numFmtId="0" fontId="21" fillId="29" borderId="0" xfId="5" applyFont="1" applyFill="1" applyAlignment="1">
      <alignment horizontal="center" vertical="center" wrapText="1"/>
    </xf>
    <xf numFmtId="0" fontId="36" fillId="8" borderId="0" xfId="5" applyFont="1" applyFill="1" applyAlignment="1">
      <alignment horizontal="left" vertical="center"/>
    </xf>
    <xf numFmtId="0" fontId="21" fillId="8" borderId="0" xfId="5" applyFont="1" applyFill="1" applyAlignment="1">
      <alignment horizontal="center" vertical="center"/>
    </xf>
    <xf numFmtId="165" fontId="21" fillId="8" borderId="0" xfId="5" applyNumberFormat="1" applyFont="1" applyFill="1" applyAlignment="1">
      <alignment horizontal="center" vertical="center"/>
    </xf>
    <xf numFmtId="2" fontId="21" fillId="8" borderId="0" xfId="5" applyNumberFormat="1" applyFont="1" applyFill="1" applyAlignment="1">
      <alignment horizontal="center" vertical="center"/>
    </xf>
    <xf numFmtId="1" fontId="21" fillId="8" borderId="0" xfId="5" applyNumberFormat="1" applyFont="1" applyFill="1" applyAlignment="1">
      <alignment horizontal="center" vertical="center"/>
    </xf>
    <xf numFmtId="164" fontId="21" fillId="8" borderId="0" xfId="5" applyNumberFormat="1" applyFont="1" applyFill="1" applyAlignment="1">
      <alignment horizontal="center" vertical="center"/>
    </xf>
    <xf numFmtId="164" fontId="22" fillId="8" borderId="0" xfId="5" applyNumberFormat="1" applyFont="1" applyFill="1" applyAlignment="1">
      <alignment horizontal="center" vertical="center"/>
    </xf>
    <xf numFmtId="0" fontId="23" fillId="0" borderId="0" xfId="3" applyFont="1" applyAlignment="1">
      <alignment horizontal="left" vertical="center"/>
    </xf>
    <xf numFmtId="164" fontId="22" fillId="0" borderId="2" xfId="5" applyNumberFormat="1" applyFont="1" applyBorder="1" applyAlignment="1">
      <alignment horizontal="center" vertical="center" wrapText="1"/>
    </xf>
    <xf numFmtId="1" fontId="22" fillId="0" borderId="2" xfId="5" applyNumberFormat="1" applyFont="1" applyBorder="1" applyAlignment="1">
      <alignment horizontal="center" vertical="center" wrapText="1"/>
    </xf>
    <xf numFmtId="165" fontId="22" fillId="0" borderId="2" xfId="3" quotePrefix="1" applyNumberFormat="1" applyFont="1" applyBorder="1" applyAlignment="1">
      <alignment horizontal="center" vertical="center" wrapText="1"/>
    </xf>
    <xf numFmtId="15" fontId="22" fillId="0" borderId="0" xfId="5" applyNumberFormat="1" applyFont="1" applyAlignment="1">
      <alignment horizontal="center" vertical="center"/>
    </xf>
    <xf numFmtId="2" fontId="22" fillId="0" borderId="0" xfId="5" applyNumberFormat="1" applyFont="1" applyAlignment="1">
      <alignment horizontal="center" vertical="center"/>
    </xf>
    <xf numFmtId="164" fontId="23" fillId="0" borderId="0" xfId="3" applyNumberFormat="1" applyFont="1" applyAlignment="1">
      <alignment horizontal="center" vertical="center"/>
    </xf>
    <xf numFmtId="164" fontId="22" fillId="0" borderId="0" xfId="5" applyNumberFormat="1" applyFont="1" applyAlignment="1">
      <alignment horizontal="center" vertical="center" wrapText="1"/>
    </xf>
    <xf numFmtId="1" fontId="22" fillId="0" borderId="0" xfId="3" applyNumberFormat="1" applyFont="1" applyAlignment="1">
      <alignment horizontal="center" vertical="center" wrapText="1"/>
    </xf>
    <xf numFmtId="165" fontId="22" fillId="0" borderId="0" xfId="3" quotePrefix="1" applyNumberFormat="1" applyFont="1" applyAlignment="1">
      <alignment horizontal="center" vertical="center" wrapText="1"/>
    </xf>
    <xf numFmtId="1" fontId="22" fillId="0" borderId="0" xfId="5" applyNumberFormat="1" applyFont="1" applyAlignment="1">
      <alignment horizontal="center" vertical="center" wrapText="1"/>
    </xf>
    <xf numFmtId="165" fontId="22" fillId="0" borderId="0" xfId="4" applyNumberFormat="1" applyFont="1" applyAlignment="1">
      <alignment horizontal="left" vertical="center" wrapText="1"/>
    </xf>
    <xf numFmtId="16" fontId="24" fillId="0" borderId="0" xfId="4" applyNumberFormat="1" applyFont="1" applyAlignment="1">
      <alignment horizontal="center" vertical="center" wrapText="1"/>
    </xf>
    <xf numFmtId="166" fontId="22" fillId="0" borderId="0" xfId="4" applyNumberFormat="1" applyFont="1" applyAlignment="1">
      <alignment horizontal="center" vertical="center" wrapText="1"/>
    </xf>
    <xf numFmtId="15" fontId="22" fillId="0" borderId="0" xfId="4" applyNumberFormat="1" applyFont="1" applyAlignment="1">
      <alignment horizontal="center" vertical="center"/>
    </xf>
    <xf numFmtId="164" fontId="22" fillId="0" borderId="0" xfId="4" applyNumberFormat="1" applyFont="1" applyAlignment="1">
      <alignment horizontal="center" vertical="center"/>
    </xf>
    <xf numFmtId="15" fontId="23" fillId="0" borderId="0" xfId="5" applyNumberFormat="1" applyFont="1" applyAlignment="1">
      <alignment horizontal="left" vertical="center"/>
    </xf>
    <xf numFmtId="164" fontId="23" fillId="0" borderId="0" xfId="5" applyNumberFormat="1" applyFont="1" applyAlignment="1">
      <alignment horizontal="center" vertical="center" wrapText="1"/>
    </xf>
    <xf numFmtId="165" fontId="22" fillId="0" borderId="2" xfId="5" applyNumberFormat="1" applyFont="1" applyBorder="1" applyAlignment="1">
      <alignment horizontal="center" vertical="center" wrapText="1"/>
    </xf>
    <xf numFmtId="15" fontId="23" fillId="0" borderId="0" xfId="5" applyNumberFormat="1" applyFont="1" applyAlignment="1">
      <alignment vertical="center"/>
    </xf>
    <xf numFmtId="164" fontId="22" fillId="0" borderId="5" xfId="5" applyNumberFormat="1" applyFont="1" applyBorder="1" applyAlignment="1">
      <alignment horizontal="center" vertical="center" wrapText="1"/>
    </xf>
    <xf numFmtId="164" fontId="22" fillId="0" borderId="7" xfId="5" applyNumberFormat="1" applyFont="1" applyBorder="1" applyAlignment="1">
      <alignment horizontal="center" vertical="center" wrapText="1"/>
    </xf>
    <xf numFmtId="0" fontId="18" fillId="8" borderId="0" xfId="5" applyFont="1" applyFill="1" applyAlignment="1">
      <alignment horizontal="left" vertical="center"/>
    </xf>
    <xf numFmtId="165" fontId="22" fillId="0" borderId="0" xfId="5" applyNumberFormat="1" applyFont="1" applyAlignment="1">
      <alignment horizontal="center" vertical="center" wrapText="1"/>
    </xf>
    <xf numFmtId="0" fontId="28" fillId="0" borderId="0" xfId="4" applyFont="1" applyAlignment="1">
      <alignment horizontal="center" vertical="center"/>
    </xf>
    <xf numFmtId="164" fontId="22" fillId="0" borderId="13" xfId="5" applyNumberFormat="1" applyFont="1" applyBorder="1" applyAlignment="1">
      <alignment horizontal="center" vertical="center" wrapText="1"/>
    </xf>
    <xf numFmtId="164" fontId="22" fillId="0" borderId="5" xfId="5" applyNumberFormat="1" applyFont="1" applyBorder="1" applyAlignment="1">
      <alignment vertical="center" wrapText="1"/>
    </xf>
    <xf numFmtId="164" fontId="22" fillId="6" borderId="5" xfId="5" applyNumberFormat="1" applyFont="1" applyFill="1" applyBorder="1" applyAlignment="1">
      <alignment horizontal="center" vertical="center"/>
    </xf>
    <xf numFmtId="0" fontId="22" fillId="0" borderId="2" xfId="3" applyFont="1" applyBorder="1" applyAlignment="1">
      <alignment horizontal="center" vertical="center" wrapText="1"/>
    </xf>
    <xf numFmtId="164" fontId="22" fillId="6" borderId="7" xfId="5" applyNumberFormat="1" applyFont="1" applyFill="1" applyBorder="1" applyAlignment="1">
      <alignment horizontal="center" vertical="center"/>
    </xf>
    <xf numFmtId="165" fontId="37" fillId="0" borderId="2" xfId="3" quotePrefix="1" applyNumberFormat="1" applyFont="1" applyBorder="1" applyAlignment="1">
      <alignment horizontal="center" vertical="center" wrapText="1"/>
    </xf>
    <xf numFmtId="164" fontId="22" fillId="0" borderId="2" xfId="5" applyNumberFormat="1" applyFont="1" applyBorder="1" applyAlignment="1">
      <alignment vertical="center" wrapText="1"/>
    </xf>
    <xf numFmtId="15" fontId="22" fillId="12" borderId="2" xfId="5" applyNumberFormat="1" applyFont="1" applyFill="1" applyBorder="1" applyAlignment="1">
      <alignment horizontal="center" vertical="center"/>
    </xf>
    <xf numFmtId="16" fontId="22" fillId="0" borderId="0" xfId="5" applyNumberFormat="1" applyFont="1" applyAlignment="1">
      <alignment horizontal="center" vertical="center"/>
    </xf>
    <xf numFmtId="0" fontId="22" fillId="0" borderId="0" xfId="5" applyFont="1" applyAlignment="1">
      <alignment horizontal="left" vertical="center" wrapText="1"/>
    </xf>
    <xf numFmtId="164" fontId="22" fillId="0" borderId="0" xfId="5" applyNumberFormat="1" applyFont="1" applyAlignment="1">
      <alignment horizontal="left" vertical="center"/>
    </xf>
    <xf numFmtId="16" fontId="24" fillId="0" borderId="0" xfId="5" applyNumberFormat="1" applyFont="1" applyAlignment="1">
      <alignment horizontal="center" vertical="center" wrapText="1"/>
    </xf>
    <xf numFmtId="167" fontId="22" fillId="0" borderId="0" xfId="5" applyNumberFormat="1" applyFont="1" applyAlignment="1">
      <alignment horizontal="center" vertical="center"/>
    </xf>
    <xf numFmtId="16" fontId="21" fillId="0" borderId="0" xfId="5" applyNumberFormat="1" applyFont="1" applyAlignment="1">
      <alignment horizontal="center" vertical="center"/>
    </xf>
    <xf numFmtId="164" fontId="20" fillId="0" borderId="0" xfId="5" applyNumberFormat="1" applyFont="1" applyAlignment="1">
      <alignment horizontal="center" vertical="center"/>
    </xf>
    <xf numFmtId="165" fontId="22" fillId="0" borderId="0" xfId="5" applyNumberFormat="1" applyFont="1" applyAlignment="1">
      <alignment horizontal="left" vertical="center" wrapText="1"/>
    </xf>
    <xf numFmtId="166" fontId="22" fillId="0" borderId="0" xfId="5" applyNumberFormat="1" applyFont="1" applyAlignment="1">
      <alignment horizontal="center" vertical="center" wrapText="1"/>
    </xf>
    <xf numFmtId="0" fontId="20" fillId="0" borderId="0" xfId="5" applyFont="1" applyAlignment="1">
      <alignment horizontal="left" vertical="center"/>
    </xf>
    <xf numFmtId="0" fontId="0" fillId="5" borderId="2" xfId="0" applyFill="1" applyBorder="1" applyAlignment="1">
      <alignment horizontal="center"/>
    </xf>
    <xf numFmtId="0" fontId="30" fillId="8" borderId="2" xfId="6" applyFont="1" applyFill="1" applyBorder="1" applyAlignment="1">
      <alignment horizontal="center" vertical="center"/>
    </xf>
    <xf numFmtId="0" fontId="30" fillId="3" borderId="2" xfId="6" applyFont="1" applyFill="1" applyBorder="1" applyAlignment="1">
      <alignment horizontal="center"/>
    </xf>
    <xf numFmtId="0" fontId="4" fillId="9" borderId="5" xfId="0" applyFont="1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166" fontId="29" fillId="0" borderId="0" xfId="5" applyNumberFormat="1" applyFont="1" applyAlignment="1">
      <alignment horizontal="center" vertical="center"/>
    </xf>
    <xf numFmtId="1" fontId="0" fillId="0" borderId="2" xfId="0" applyNumberFormat="1" applyBorder="1"/>
    <xf numFmtId="0" fontId="0" fillId="23" borderId="5" xfId="0" applyFill="1" applyBorder="1" applyAlignment="1">
      <alignment horizontal="center" vertical="center"/>
    </xf>
    <xf numFmtId="0" fontId="0" fillId="23" borderId="13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4" fillId="29" borderId="5" xfId="0" applyFont="1" applyFill="1" applyBorder="1" applyAlignment="1">
      <alignment horizontal="center" vertical="center"/>
    </xf>
    <xf numFmtId="0" fontId="4" fillId="29" borderId="13" xfId="0" applyFont="1" applyFill="1" applyBorder="1" applyAlignment="1">
      <alignment horizontal="center" vertical="center"/>
    </xf>
    <xf numFmtId="0" fontId="4" fillId="29" borderId="7" xfId="0" applyFont="1" applyFill="1" applyBorder="1" applyAlignment="1">
      <alignment horizontal="center" vertical="center"/>
    </xf>
    <xf numFmtId="0" fontId="21" fillId="6" borderId="2" xfId="5" applyFont="1" applyFill="1" applyBorder="1" applyAlignment="1">
      <alignment horizontal="center" vertical="center"/>
    </xf>
    <xf numFmtId="0" fontId="20" fillId="3" borderId="0" xfId="5" applyFont="1" applyFill="1" applyAlignment="1">
      <alignment horizontal="left" vertical="center"/>
    </xf>
    <xf numFmtId="0" fontId="21" fillId="3" borderId="0" xfId="5" applyFont="1" applyFill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20" fillId="19" borderId="0" xfId="5" applyFont="1" applyFill="1" applyAlignment="1">
      <alignment horizontal="center" vertical="center"/>
    </xf>
    <xf numFmtId="0" fontId="20" fillId="0" borderId="0" xfId="5" applyFont="1" applyAlignment="1">
      <alignment horizontal="center" vertical="center" wrapText="1"/>
    </xf>
    <xf numFmtId="0" fontId="22" fillId="0" borderId="2" xfId="5" applyFont="1" applyBorder="1" applyAlignment="1">
      <alignment horizontal="left" vertical="center" wrapText="1"/>
    </xf>
    <xf numFmtId="165" fontId="22" fillId="0" borderId="2" xfId="5" applyNumberFormat="1" applyFont="1" applyBorder="1" applyAlignment="1">
      <alignment horizontal="left" vertical="center" wrapText="1"/>
    </xf>
    <xf numFmtId="16" fontId="24" fillId="0" borderId="2" xfId="5" applyNumberFormat="1" applyFont="1" applyBorder="1" applyAlignment="1">
      <alignment horizontal="center" vertical="center" wrapText="1"/>
    </xf>
    <xf numFmtId="166" fontId="22" fillId="0" borderId="2" xfId="5" applyNumberFormat="1" applyFont="1" applyBorder="1" applyAlignment="1">
      <alignment horizontal="center" vertical="center" wrapText="1"/>
    </xf>
    <xf numFmtId="16" fontId="37" fillId="0" borderId="0" xfId="2" applyNumberFormat="1" applyFont="1" applyAlignment="1">
      <alignment horizontal="center" vertical="center"/>
    </xf>
    <xf numFmtId="166" fontId="22" fillId="0" borderId="0" xfId="5" applyNumberFormat="1" applyFont="1" applyAlignment="1">
      <alignment horizontal="center" vertical="center"/>
    </xf>
    <xf numFmtId="0" fontId="38" fillId="0" borderId="2" xfId="5" applyFont="1" applyBorder="1" applyAlignment="1">
      <alignment horizontal="center" vertical="center"/>
    </xf>
    <xf numFmtId="0" fontId="38" fillId="0" borderId="0" xfId="5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22" fillId="0" borderId="2" xfId="3" quotePrefix="1" applyFont="1" applyBorder="1" applyAlignment="1">
      <alignment horizontal="center" vertical="center" wrapText="1"/>
    </xf>
    <xf numFmtId="165" fontId="22" fillId="0" borderId="2" xfId="2" applyNumberFormat="1" applyFont="1" applyBorder="1" applyAlignment="1">
      <alignment horizontal="left" vertical="center" wrapText="1"/>
    </xf>
    <xf numFmtId="16" fontId="24" fillId="0" borderId="2" xfId="2" applyNumberFormat="1" applyFont="1" applyBorder="1" applyAlignment="1">
      <alignment horizontal="center" vertical="center" wrapText="1"/>
    </xf>
    <xf numFmtId="166" fontId="22" fillId="0" borderId="2" xfId="2" applyNumberFormat="1" applyFont="1" applyBorder="1" applyAlignment="1">
      <alignment horizontal="center" vertical="center" wrapText="1"/>
    </xf>
    <xf numFmtId="0" fontId="22" fillId="0" borderId="2" xfId="2" applyFont="1" applyBorder="1" applyAlignment="1">
      <alignment horizontal="center" vertical="center"/>
    </xf>
    <xf numFmtId="15" fontId="22" fillId="0" borderId="2" xfId="2" applyNumberFormat="1" applyFont="1" applyBorder="1" applyAlignment="1">
      <alignment horizontal="center" vertical="center"/>
    </xf>
    <xf numFmtId="164" fontId="22" fillId="0" borderId="2" xfId="2" applyNumberFormat="1" applyFont="1" applyBorder="1" applyAlignment="1">
      <alignment horizontal="center" vertical="center"/>
    </xf>
    <xf numFmtId="0" fontId="39" fillId="0" borderId="2" xfId="0" applyFont="1" applyBorder="1" applyAlignment="1">
      <alignment horizontal="center"/>
    </xf>
    <xf numFmtId="0" fontId="39" fillId="0" borderId="0" xfId="0" applyFont="1" applyAlignment="1">
      <alignment horizontal="center" wrapText="1"/>
    </xf>
    <xf numFmtId="165" fontId="29" fillId="0" borderId="2" xfId="2" applyNumberFormat="1" applyFont="1" applyBorder="1" applyAlignment="1">
      <alignment horizontal="left" vertical="center" wrapText="1"/>
    </xf>
    <xf numFmtId="165" fontId="40" fillId="0" borderId="2" xfId="2" applyNumberFormat="1" applyFont="1" applyBorder="1" applyAlignment="1">
      <alignment horizontal="left" vertical="center" wrapText="1"/>
    </xf>
    <xf numFmtId="0" fontId="41" fillId="0" borderId="15" xfId="0" applyFont="1" applyBorder="1" applyAlignment="1">
      <alignment vertical="center"/>
    </xf>
    <xf numFmtId="0" fontId="22" fillId="0" borderId="0" xfId="2" applyFont="1" applyAlignment="1">
      <alignment horizontal="left" vertical="center"/>
    </xf>
    <xf numFmtId="2" fontId="22" fillId="4" borderId="2" xfId="5" applyNumberFormat="1" applyFont="1" applyFill="1" applyBorder="1" applyAlignment="1">
      <alignment horizontal="center" vertical="center"/>
    </xf>
    <xf numFmtId="164" fontId="22" fillId="4" borderId="2" xfId="5" applyNumberFormat="1" applyFont="1" applyFill="1" applyBorder="1" applyAlignment="1">
      <alignment horizontal="center" vertical="center"/>
    </xf>
    <xf numFmtId="165" fontId="22" fillId="4" borderId="2" xfId="3" applyNumberFormat="1" applyFont="1" applyFill="1" applyBorder="1" applyAlignment="1">
      <alignment horizontal="center" vertical="center" wrapText="1"/>
    </xf>
    <xf numFmtId="164" fontId="22" fillId="6" borderId="13" xfId="5" applyNumberFormat="1" applyFont="1" applyFill="1" applyBorder="1" applyAlignment="1">
      <alignment horizontal="center" vertical="center"/>
    </xf>
    <xf numFmtId="1" fontId="22" fillId="0" borderId="2" xfId="5" applyNumberFormat="1" applyFont="1" applyBorder="1" applyAlignment="1">
      <alignment horizontal="left" vertical="center" wrapText="1"/>
    </xf>
    <xf numFmtId="165" fontId="22" fillId="0" borderId="2" xfId="2" applyNumberFormat="1" applyFont="1" applyBorder="1" applyAlignment="1">
      <alignment horizontal="center" vertical="center" wrapText="1"/>
    </xf>
    <xf numFmtId="164" fontId="22" fillId="0" borderId="2" xfId="3" applyNumberFormat="1" applyFont="1" applyBorder="1" applyAlignment="1">
      <alignment horizontal="center" vertical="center" wrapText="1"/>
    </xf>
    <xf numFmtId="15" fontId="22" fillId="0" borderId="2" xfId="0" applyNumberFormat="1" applyFont="1" applyBorder="1" applyAlignment="1">
      <alignment horizontal="center" vertical="center"/>
    </xf>
    <xf numFmtId="166" fontId="22" fillId="0" borderId="2" xfId="0" applyNumberFormat="1" applyFont="1" applyBorder="1" applyAlignment="1">
      <alignment horizontal="center" vertical="center"/>
    </xf>
    <xf numFmtId="164" fontId="22" fillId="6" borderId="2" xfId="0" applyNumberFormat="1" applyFont="1" applyFill="1" applyBorder="1" applyAlignment="1">
      <alignment horizontal="center" vertical="center"/>
    </xf>
    <xf numFmtId="164" fontId="0" fillId="0" borderId="2" xfId="0" applyNumberFormat="1" applyBorder="1"/>
    <xf numFmtId="164" fontId="0" fillId="6" borderId="2" xfId="0" applyNumberFormat="1" applyFill="1" applyBorder="1"/>
    <xf numFmtId="164" fontId="0" fillId="3" borderId="2" xfId="0" applyNumberFormat="1" applyFill="1" applyBorder="1"/>
    <xf numFmtId="0" fontId="20" fillId="4" borderId="0" xfId="5" applyFont="1" applyFill="1" applyAlignment="1">
      <alignment horizontal="center" vertical="center" wrapText="1"/>
    </xf>
    <xf numFmtId="0" fontId="42" fillId="8" borderId="0" xfId="5" applyFont="1" applyFill="1" applyAlignment="1">
      <alignment horizontal="center" vertical="center"/>
    </xf>
    <xf numFmtId="2" fontId="42" fillId="8" borderId="0" xfId="5" applyNumberFormat="1" applyFont="1" applyFill="1" applyAlignment="1">
      <alignment horizontal="center" vertical="center"/>
    </xf>
    <xf numFmtId="1" fontId="42" fillId="8" borderId="0" xfId="5" applyNumberFormat="1" applyFont="1" applyFill="1" applyAlignment="1">
      <alignment horizontal="center" vertical="center"/>
    </xf>
    <xf numFmtId="164" fontId="42" fillId="8" borderId="0" xfId="5" applyNumberFormat="1" applyFont="1" applyFill="1" applyAlignment="1">
      <alignment horizontal="center" vertical="center"/>
    </xf>
    <xf numFmtId="165" fontId="42" fillId="8" borderId="0" xfId="5" applyNumberFormat="1" applyFont="1" applyFill="1" applyAlignment="1">
      <alignment horizontal="center" vertical="center"/>
    </xf>
    <xf numFmtId="0" fontId="42" fillId="0" borderId="0" xfId="5" applyFont="1" applyAlignment="1">
      <alignment horizontal="center" vertical="center"/>
    </xf>
    <xf numFmtId="165" fontId="42" fillId="0" borderId="0" xfId="5" applyNumberFormat="1" applyFont="1" applyAlignment="1">
      <alignment horizontal="center" vertical="center"/>
    </xf>
    <xf numFmtId="2" fontId="42" fillId="0" borderId="0" xfId="5" applyNumberFormat="1" applyFont="1" applyAlignment="1">
      <alignment horizontal="center" vertical="center"/>
    </xf>
    <xf numFmtId="1" fontId="42" fillId="0" borderId="0" xfId="5" applyNumberFormat="1" applyFont="1" applyAlignment="1">
      <alignment horizontal="center" vertical="center"/>
    </xf>
    <xf numFmtId="164" fontId="43" fillId="0" borderId="0" xfId="5" applyNumberFormat="1" applyFont="1" applyAlignment="1">
      <alignment horizontal="center" vertical="center"/>
    </xf>
    <xf numFmtId="164" fontId="42" fillId="0" borderId="0" xfId="5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2" fontId="21" fillId="0" borderId="0" xfId="0" applyNumberFormat="1" applyFont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66" fontId="21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8" borderId="0" xfId="0" applyFont="1" applyFill="1" applyAlignment="1">
      <alignment horizontal="center" vertical="center" wrapText="1"/>
    </xf>
    <xf numFmtId="166" fontId="20" fillId="18" borderId="0" xfId="0" applyNumberFormat="1" applyFont="1" applyFill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165" fontId="20" fillId="18" borderId="0" xfId="0" applyNumberFormat="1" applyFont="1" applyFill="1" applyAlignment="1">
      <alignment horizontal="center" vertical="center" wrapText="1"/>
    </xf>
    <xf numFmtId="1" fontId="20" fillId="18" borderId="0" xfId="0" applyNumberFormat="1" applyFont="1" applyFill="1" applyAlignment="1">
      <alignment horizontal="center" vertical="center" wrapText="1"/>
    </xf>
    <xf numFmtId="164" fontId="20" fillId="16" borderId="0" xfId="0" applyNumberFormat="1" applyFont="1" applyFill="1" applyAlignment="1">
      <alignment horizontal="center" vertical="center" wrapText="1"/>
    </xf>
    <xf numFmtId="164" fontId="20" fillId="8" borderId="0" xfId="0" applyNumberFormat="1" applyFont="1" applyFill="1" applyAlignment="1">
      <alignment horizontal="center" vertical="center" wrapText="1"/>
    </xf>
    <xf numFmtId="165" fontId="20" fillId="20" borderId="0" xfId="0" applyNumberFormat="1" applyFont="1" applyFill="1" applyAlignment="1">
      <alignment horizontal="center" vertical="center" wrapText="1"/>
    </xf>
    <xf numFmtId="165" fontId="20" fillId="6" borderId="0" xfId="0" applyNumberFormat="1" applyFont="1" applyFill="1" applyAlignment="1">
      <alignment horizontal="center" vertical="center" wrapText="1"/>
    </xf>
    <xf numFmtId="164" fontId="23" fillId="18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0" fillId="4" borderId="0" xfId="0" applyFont="1" applyFill="1" applyAlignment="1">
      <alignment horizontal="center" vertical="center" wrapText="1"/>
    </xf>
    <xf numFmtId="0" fontId="36" fillId="8" borderId="0" xfId="0" applyFont="1" applyFill="1" applyAlignment="1">
      <alignment horizontal="left" vertical="center"/>
    </xf>
    <xf numFmtId="166" fontId="21" fillId="8" borderId="0" xfId="0" applyNumberFormat="1" applyFont="1" applyFill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165" fontId="21" fillId="8" borderId="0" xfId="0" applyNumberFormat="1" applyFont="1" applyFill="1" applyAlignment="1">
      <alignment horizontal="center" vertical="center"/>
    </xf>
    <xf numFmtId="2" fontId="21" fillId="8" borderId="0" xfId="0" applyNumberFormat="1" applyFont="1" applyFill="1" applyAlignment="1">
      <alignment horizontal="center" vertical="center"/>
    </xf>
    <xf numFmtId="1" fontId="21" fillId="8" borderId="0" xfId="0" applyNumberFormat="1" applyFont="1" applyFill="1" applyAlignment="1">
      <alignment horizontal="center" vertical="center"/>
    </xf>
    <xf numFmtId="164" fontId="21" fillId="8" borderId="0" xfId="0" applyNumberFormat="1" applyFont="1" applyFill="1" applyAlignment="1">
      <alignment horizontal="center" vertical="center"/>
    </xf>
    <xf numFmtId="164" fontId="22" fillId="8" borderId="0" xfId="0" applyNumberFormat="1" applyFont="1" applyFill="1" applyAlignment="1">
      <alignment horizontal="center" vertical="center"/>
    </xf>
    <xf numFmtId="166" fontId="22" fillId="0" borderId="0" xfId="0" applyNumberFormat="1" applyFont="1" applyAlignment="1">
      <alignment horizontal="center" vertical="center"/>
    </xf>
    <xf numFmtId="2" fontId="22" fillId="0" borderId="0" xfId="0" applyNumberFormat="1" applyFont="1" applyAlignment="1">
      <alignment horizontal="center" vertical="center"/>
    </xf>
    <xf numFmtId="1" fontId="22" fillId="0" borderId="0" xfId="0" applyNumberFormat="1" applyFont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2" fillId="0" borderId="0" xfId="0" applyNumberFormat="1" applyFont="1" applyAlignment="1">
      <alignment horizontal="center" vertical="center" wrapText="1"/>
    </xf>
    <xf numFmtId="16" fontId="24" fillId="0" borderId="0" xfId="0" applyNumberFormat="1" applyFont="1" applyAlignment="1">
      <alignment horizontal="center" vertical="center" wrapText="1"/>
    </xf>
    <xf numFmtId="166" fontId="22" fillId="0" borderId="0" xfId="0" applyNumberFormat="1" applyFont="1" applyAlignment="1">
      <alignment horizontal="center" vertical="center" wrapText="1"/>
    </xf>
  </cellXfs>
  <cellStyles count="7">
    <cellStyle name="Comma" xfId="1" builtinId="3"/>
    <cellStyle name="Normal" xfId="0" builtinId="0"/>
    <cellStyle name="Normal 10 2" xfId="5" xr:uid="{8482A9F3-1E49-4C35-B123-FCBCE903F961}"/>
    <cellStyle name="Normal 2 2 2 3 2 2 2" xfId="3" xr:uid="{C8491017-C813-4338-A04D-B8EF4C061C7B}"/>
    <cellStyle name="Normal 2 3" xfId="2" xr:uid="{A8C516D8-C3B6-43F0-9A65-815DF8D456AE}"/>
    <cellStyle name="Normal 2 3 5" xfId="4" xr:uid="{0C48A366-8D5F-45C8-89FF-0683EC0B01C2}"/>
    <cellStyle name="Normal 6" xfId="6" xr:uid="{45512237-4889-4B15-A6BA-2A2D5D9BC3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FINISH GOOD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Data!$B$15</c:f>
              <c:strCache>
                <c:ptCount val="1"/>
                <c:pt idx="0">
                  <c:v>PRIME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Data!$E$15:$AI$15</c:f>
              <c:numCache>
                <c:formatCode>0</c:formatCode>
                <c:ptCount val="31"/>
                <c:pt idx="0">
                  <c:v>481.67599999999999</c:v>
                </c:pt>
                <c:pt idx="1">
                  <c:v>571.67600000000004</c:v>
                </c:pt>
                <c:pt idx="2">
                  <c:v>687.16600000000005</c:v>
                </c:pt>
                <c:pt idx="3">
                  <c:v>572.17600000000004</c:v>
                </c:pt>
                <c:pt idx="4">
                  <c:v>664.16600000000005</c:v>
                </c:pt>
                <c:pt idx="5">
                  <c:v>357.12599999999998</c:v>
                </c:pt>
                <c:pt idx="6">
                  <c:v>442.70100000000002</c:v>
                </c:pt>
                <c:pt idx="7">
                  <c:v>496.45600000000002</c:v>
                </c:pt>
                <c:pt idx="8">
                  <c:v>600.64599999999996</c:v>
                </c:pt>
                <c:pt idx="9">
                  <c:v>716.89099999999996</c:v>
                </c:pt>
                <c:pt idx="10">
                  <c:v>771.89599999999996</c:v>
                </c:pt>
                <c:pt idx="11">
                  <c:v>537.21100000000001</c:v>
                </c:pt>
                <c:pt idx="12">
                  <c:v>363.226</c:v>
                </c:pt>
                <c:pt idx="13">
                  <c:v>429.95100000000002</c:v>
                </c:pt>
                <c:pt idx="14">
                  <c:v>521.31100000000004</c:v>
                </c:pt>
                <c:pt idx="15">
                  <c:v>561.13099999999997</c:v>
                </c:pt>
                <c:pt idx="16">
                  <c:v>637.19100000000003</c:v>
                </c:pt>
                <c:pt idx="17">
                  <c:v>532.57600000000002</c:v>
                </c:pt>
                <c:pt idx="18">
                  <c:v>636.36099999999999</c:v>
                </c:pt>
                <c:pt idx="19">
                  <c:v>450.96100000000001</c:v>
                </c:pt>
                <c:pt idx="20">
                  <c:v>612.96100000000001</c:v>
                </c:pt>
                <c:pt idx="21">
                  <c:v>660.99099999999999</c:v>
                </c:pt>
                <c:pt idx="22">
                  <c:v>825.101</c:v>
                </c:pt>
                <c:pt idx="23">
                  <c:v>927.27599999999995</c:v>
                </c:pt>
                <c:pt idx="24">
                  <c:v>831.73099999999999</c:v>
                </c:pt>
                <c:pt idx="25">
                  <c:v>949.94100000000003</c:v>
                </c:pt>
                <c:pt idx="26">
                  <c:v>511.48599999999999</c:v>
                </c:pt>
                <c:pt idx="27">
                  <c:v>439.31099999999998</c:v>
                </c:pt>
                <c:pt idx="28">
                  <c:v>377.64100000000002</c:v>
                </c:pt>
                <c:pt idx="29">
                  <c:v>401.13099999999997</c:v>
                </c:pt>
                <c:pt idx="30">
                  <c:v>532.03599999999994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D-4CF6-810B-55950D7102D2}"/>
            </c:ext>
          </c:extLst>
        </c:ser>
        <c:ser>
          <c:idx val="0"/>
          <c:order val="1"/>
          <c:tx>
            <c:strRef>
              <c:f>Data!$B$16</c:f>
              <c:strCache>
                <c:ptCount val="1"/>
                <c:pt idx="0">
                  <c:v>KW2 COIL</c:v>
                </c:pt>
              </c:strCache>
            </c:strRef>
          </c:tx>
          <c:invertIfNegative val="0"/>
          <c:val>
            <c:numRef>
              <c:f>Data!$E$16:$AI$16</c:f>
              <c:numCache>
                <c:formatCode>0</c:formatCode>
                <c:ptCount val="31"/>
                <c:pt idx="0">
                  <c:v>62.002000000000002</c:v>
                </c:pt>
                <c:pt idx="1">
                  <c:v>62.002000000000002</c:v>
                </c:pt>
                <c:pt idx="2">
                  <c:v>62.002000000000002</c:v>
                </c:pt>
                <c:pt idx="3">
                  <c:v>62.002000000000002</c:v>
                </c:pt>
                <c:pt idx="4">
                  <c:v>62.002000000000002</c:v>
                </c:pt>
                <c:pt idx="5">
                  <c:v>62.002000000000002</c:v>
                </c:pt>
                <c:pt idx="6">
                  <c:v>62.002000000000002</c:v>
                </c:pt>
                <c:pt idx="7">
                  <c:v>62.002000000000002</c:v>
                </c:pt>
                <c:pt idx="8">
                  <c:v>62.002000000000002</c:v>
                </c:pt>
                <c:pt idx="9">
                  <c:v>62.002000000000002</c:v>
                </c:pt>
                <c:pt idx="10">
                  <c:v>62.002000000000002</c:v>
                </c:pt>
                <c:pt idx="11">
                  <c:v>62.002000000000002</c:v>
                </c:pt>
                <c:pt idx="12">
                  <c:v>62.356999999999999</c:v>
                </c:pt>
                <c:pt idx="13">
                  <c:v>62.356999999999999</c:v>
                </c:pt>
                <c:pt idx="14">
                  <c:v>62.356999999999999</c:v>
                </c:pt>
                <c:pt idx="15">
                  <c:v>62.356999999999999</c:v>
                </c:pt>
                <c:pt idx="16">
                  <c:v>62.356999999999999</c:v>
                </c:pt>
                <c:pt idx="17">
                  <c:v>62.356999999999999</c:v>
                </c:pt>
                <c:pt idx="18">
                  <c:v>62.642000000000003</c:v>
                </c:pt>
                <c:pt idx="19">
                  <c:v>62.642000000000003</c:v>
                </c:pt>
                <c:pt idx="20">
                  <c:v>62.642000000000003</c:v>
                </c:pt>
                <c:pt idx="21">
                  <c:v>63.182000000000002</c:v>
                </c:pt>
                <c:pt idx="22">
                  <c:v>63.182000000000002</c:v>
                </c:pt>
                <c:pt idx="23">
                  <c:v>63.182000000000002</c:v>
                </c:pt>
                <c:pt idx="24">
                  <c:v>63.182000000000002</c:v>
                </c:pt>
                <c:pt idx="25">
                  <c:v>63.182000000000002</c:v>
                </c:pt>
                <c:pt idx="26">
                  <c:v>63.182000000000002</c:v>
                </c:pt>
                <c:pt idx="27">
                  <c:v>64.287000000000006</c:v>
                </c:pt>
                <c:pt idx="28">
                  <c:v>64.287000000000006</c:v>
                </c:pt>
                <c:pt idx="29">
                  <c:v>64.527000000000001</c:v>
                </c:pt>
                <c:pt idx="30">
                  <c:v>64.527000000000001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D-4CF6-810B-55950D7102D2}"/>
            </c:ext>
          </c:extLst>
        </c:ser>
        <c:ser>
          <c:idx val="2"/>
          <c:order val="2"/>
          <c:tx>
            <c:strRef>
              <c:f>Data!$B$17</c:f>
              <c:strCache>
                <c:ptCount val="1"/>
                <c:pt idx="0">
                  <c:v>KW2 SHEET</c:v>
                </c:pt>
              </c:strCache>
            </c:strRef>
          </c:tx>
          <c:invertIfNegative val="0"/>
          <c:val>
            <c:numRef>
              <c:f>Data!$E$17:$AI$17</c:f>
              <c:numCache>
                <c:formatCode>0</c:formatCode>
                <c:ptCount val="31"/>
                <c:pt idx="0">
                  <c:v>4.0060000000000002</c:v>
                </c:pt>
                <c:pt idx="1">
                  <c:v>4.0060000000000002</c:v>
                </c:pt>
                <c:pt idx="2">
                  <c:v>4.0060000000000002</c:v>
                </c:pt>
                <c:pt idx="3">
                  <c:v>4.0060000000000002</c:v>
                </c:pt>
                <c:pt idx="4">
                  <c:v>4.0060000000000002</c:v>
                </c:pt>
                <c:pt idx="5">
                  <c:v>4.0060000000000002</c:v>
                </c:pt>
                <c:pt idx="6">
                  <c:v>4.0060000000000002</c:v>
                </c:pt>
                <c:pt idx="7">
                  <c:v>4.0060000000000002</c:v>
                </c:pt>
                <c:pt idx="8">
                  <c:v>4.0060000000000002</c:v>
                </c:pt>
                <c:pt idx="9">
                  <c:v>4.0060000000000002</c:v>
                </c:pt>
                <c:pt idx="10">
                  <c:v>4.0060000000000002</c:v>
                </c:pt>
                <c:pt idx="11">
                  <c:v>4.0060000000000002</c:v>
                </c:pt>
                <c:pt idx="12">
                  <c:v>4.0060000000000002</c:v>
                </c:pt>
                <c:pt idx="13">
                  <c:v>4.0060000000000002</c:v>
                </c:pt>
                <c:pt idx="14">
                  <c:v>4.0060000000000002</c:v>
                </c:pt>
                <c:pt idx="15">
                  <c:v>4.0060000000000002</c:v>
                </c:pt>
                <c:pt idx="16">
                  <c:v>4.0060000000000002</c:v>
                </c:pt>
                <c:pt idx="17">
                  <c:v>4.0060000000000002</c:v>
                </c:pt>
                <c:pt idx="18">
                  <c:v>4.0060000000000002</c:v>
                </c:pt>
                <c:pt idx="19">
                  <c:v>4.0060000000000002</c:v>
                </c:pt>
                <c:pt idx="20">
                  <c:v>4.0060000000000002</c:v>
                </c:pt>
                <c:pt idx="21">
                  <c:v>4.0060000000000002</c:v>
                </c:pt>
                <c:pt idx="22">
                  <c:v>4.0060000000000002</c:v>
                </c:pt>
                <c:pt idx="23">
                  <c:v>4.0060000000000002</c:v>
                </c:pt>
                <c:pt idx="24">
                  <c:v>4.0060000000000002</c:v>
                </c:pt>
                <c:pt idx="25">
                  <c:v>4.0060000000000002</c:v>
                </c:pt>
                <c:pt idx="26">
                  <c:v>4.0060000000000002</c:v>
                </c:pt>
                <c:pt idx="27">
                  <c:v>4.0060000000000002</c:v>
                </c:pt>
                <c:pt idx="28">
                  <c:v>4.0060000000000002</c:v>
                </c:pt>
                <c:pt idx="29">
                  <c:v>4.0060000000000002</c:v>
                </c:pt>
                <c:pt idx="30">
                  <c:v>4.0060000000000002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D-4CF6-810B-55950D710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lineChart>
        <c:grouping val="standard"/>
        <c:varyColors val="0"/>
        <c:ser>
          <c:idx val="3"/>
          <c:order val="3"/>
          <c:tx>
            <c:strRef>
              <c:f>Data!$B$18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val>
            <c:numRef>
              <c:f>Data!$E$18:$AH$18</c:f>
              <c:numCache>
                <c:formatCode>0</c:formatCode>
                <c:ptCount val="30"/>
                <c:pt idx="0">
                  <c:v>547.68399999999997</c:v>
                </c:pt>
                <c:pt idx="1">
                  <c:v>637.68399999999997</c:v>
                </c:pt>
                <c:pt idx="2">
                  <c:v>753.17399999999998</c:v>
                </c:pt>
                <c:pt idx="3">
                  <c:v>638.18399999999997</c:v>
                </c:pt>
                <c:pt idx="4">
                  <c:v>730.17399999999998</c:v>
                </c:pt>
                <c:pt idx="5">
                  <c:v>423.13400000000001</c:v>
                </c:pt>
                <c:pt idx="6">
                  <c:v>508.70900000000006</c:v>
                </c:pt>
                <c:pt idx="7">
                  <c:v>562.46399999999994</c:v>
                </c:pt>
                <c:pt idx="8">
                  <c:v>666.65399999999988</c:v>
                </c:pt>
                <c:pt idx="9">
                  <c:v>782.89899999999989</c:v>
                </c:pt>
                <c:pt idx="10">
                  <c:v>837.90399999999988</c:v>
                </c:pt>
                <c:pt idx="11">
                  <c:v>603.21899999999994</c:v>
                </c:pt>
                <c:pt idx="12">
                  <c:v>429.58899999999994</c:v>
                </c:pt>
                <c:pt idx="13">
                  <c:v>496.31399999999996</c:v>
                </c:pt>
                <c:pt idx="14">
                  <c:v>587.67399999999998</c:v>
                </c:pt>
                <c:pt idx="15">
                  <c:v>627.49399999999991</c:v>
                </c:pt>
                <c:pt idx="16">
                  <c:v>703.55399999999997</c:v>
                </c:pt>
                <c:pt idx="17">
                  <c:v>598.93899999999996</c:v>
                </c:pt>
                <c:pt idx="18">
                  <c:v>703.00900000000001</c:v>
                </c:pt>
                <c:pt idx="19">
                  <c:v>517.60900000000004</c:v>
                </c:pt>
                <c:pt idx="20">
                  <c:v>679.60900000000004</c:v>
                </c:pt>
                <c:pt idx="21">
                  <c:v>728.17899999999997</c:v>
                </c:pt>
                <c:pt idx="22">
                  <c:v>892.28899999999999</c:v>
                </c:pt>
                <c:pt idx="23">
                  <c:v>994.46399999999994</c:v>
                </c:pt>
                <c:pt idx="24">
                  <c:v>898.91899999999998</c:v>
                </c:pt>
                <c:pt idx="25">
                  <c:v>1017.129</c:v>
                </c:pt>
                <c:pt idx="26">
                  <c:v>578.67399999999998</c:v>
                </c:pt>
                <c:pt idx="27">
                  <c:v>507.60399999999993</c:v>
                </c:pt>
                <c:pt idx="28">
                  <c:v>445.93399999999997</c:v>
                </c:pt>
                <c:pt idx="29">
                  <c:v>469.66399999999999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DD-4CF6-810B-55950D7102D2}"/>
            </c:ext>
          </c:extLst>
        </c:ser>
        <c:ser>
          <c:idx val="4"/>
          <c:order val="4"/>
          <c:tx>
            <c:strRef>
              <c:f>Data!$B$19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Data!$E$19:$AI$19</c:f>
              <c:numCache>
                <c:formatCode>General</c:formatCode>
                <c:ptCount val="31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D-4CF6-810B-55950D710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228800"/>
        <c:axId val="451233064"/>
      </c:line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chemeClr val="accent6">
                    <a:lumMod val="50000"/>
                  </a:schemeClr>
                </a:solidFill>
              </a:rPr>
              <a:t>WORK IN PROGRESS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Data!$A$20</c:f>
              <c:strCache>
                <c:ptCount val="1"/>
                <c:pt idx="0">
                  <c:v>WIP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Data!$E$20:$AI$20</c:f>
              <c:numCache>
                <c:formatCode>0</c:formatCode>
                <c:ptCount val="31"/>
                <c:pt idx="0">
                  <c:v>2202.5970000000002</c:v>
                </c:pt>
                <c:pt idx="1">
                  <c:v>2208.5070000000001</c:v>
                </c:pt>
                <c:pt idx="2">
                  <c:v>2227.002</c:v>
                </c:pt>
                <c:pt idx="3">
                  <c:v>2224.9969999999998</c:v>
                </c:pt>
                <c:pt idx="4">
                  <c:v>2228.5940000000001</c:v>
                </c:pt>
                <c:pt idx="5">
                  <c:v>2225.5889999999999</c:v>
                </c:pt>
                <c:pt idx="6">
                  <c:v>2181.5940000000001</c:v>
                </c:pt>
                <c:pt idx="7">
                  <c:v>2233.2890000000002</c:v>
                </c:pt>
                <c:pt idx="8">
                  <c:v>2230.7139999999999</c:v>
                </c:pt>
                <c:pt idx="9">
                  <c:v>2218.319</c:v>
                </c:pt>
                <c:pt idx="10">
                  <c:v>2270.114</c:v>
                </c:pt>
                <c:pt idx="11">
                  <c:v>2291.9490000000001</c:v>
                </c:pt>
                <c:pt idx="12">
                  <c:v>2327.2919999999999</c:v>
                </c:pt>
                <c:pt idx="13">
                  <c:v>2372.0920000000001</c:v>
                </c:pt>
                <c:pt idx="14">
                  <c:v>2379.9670000000001</c:v>
                </c:pt>
                <c:pt idx="15">
                  <c:v>2360.87</c:v>
                </c:pt>
                <c:pt idx="16">
                  <c:v>2397.8200000000002</c:v>
                </c:pt>
                <c:pt idx="17">
                  <c:v>2424.11</c:v>
                </c:pt>
                <c:pt idx="18">
                  <c:v>2408</c:v>
                </c:pt>
                <c:pt idx="19">
                  <c:v>2405.5149999999999</c:v>
                </c:pt>
                <c:pt idx="20">
                  <c:v>2294.1350000000002</c:v>
                </c:pt>
                <c:pt idx="21">
                  <c:v>2336.89</c:v>
                </c:pt>
                <c:pt idx="22">
                  <c:v>2267.13</c:v>
                </c:pt>
                <c:pt idx="23">
                  <c:v>2268.2649999999999</c:v>
                </c:pt>
                <c:pt idx="24">
                  <c:v>2240.6840000000002</c:v>
                </c:pt>
                <c:pt idx="25">
                  <c:v>2182.864</c:v>
                </c:pt>
                <c:pt idx="26">
                  <c:v>2105.8589999999999</c:v>
                </c:pt>
                <c:pt idx="27">
                  <c:v>2020.1389999999999</c:v>
                </c:pt>
                <c:pt idx="28">
                  <c:v>1989.1289999999999</c:v>
                </c:pt>
                <c:pt idx="29">
                  <c:v>2015.8040000000001</c:v>
                </c:pt>
                <c:pt idx="30">
                  <c:v>1961.194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E-49EB-A020-879A825431D8}"/>
            </c:ext>
          </c:extLst>
        </c:ser>
        <c:ser>
          <c:idx val="1"/>
          <c:order val="1"/>
          <c:tx>
            <c:strRef>
              <c:f>Data!$A$21</c:f>
              <c:strCache>
                <c:ptCount val="1"/>
                <c:pt idx="0">
                  <c:v>HOLD SLT</c:v>
                </c:pt>
              </c:strCache>
            </c:strRef>
          </c:tx>
          <c:invertIfNegative val="0"/>
          <c:val>
            <c:numRef>
              <c:f>Data!$E$21:$AI$21</c:f>
              <c:numCache>
                <c:formatCode>0</c:formatCode>
                <c:ptCount val="31"/>
                <c:pt idx="0">
                  <c:v>36.895000000000003</c:v>
                </c:pt>
                <c:pt idx="1">
                  <c:v>36.895000000000003</c:v>
                </c:pt>
                <c:pt idx="2">
                  <c:v>36.895000000000003</c:v>
                </c:pt>
                <c:pt idx="3">
                  <c:v>36.895000000000003</c:v>
                </c:pt>
                <c:pt idx="4">
                  <c:v>36.895000000000003</c:v>
                </c:pt>
                <c:pt idx="5">
                  <c:v>36.895000000000003</c:v>
                </c:pt>
                <c:pt idx="6">
                  <c:v>47.505000000000003</c:v>
                </c:pt>
                <c:pt idx="7">
                  <c:v>52.555</c:v>
                </c:pt>
                <c:pt idx="8">
                  <c:v>36.895000000000003</c:v>
                </c:pt>
                <c:pt idx="9">
                  <c:v>36.895000000000003</c:v>
                </c:pt>
                <c:pt idx="10">
                  <c:v>36.895000000000003</c:v>
                </c:pt>
                <c:pt idx="11">
                  <c:v>47.594999999999999</c:v>
                </c:pt>
                <c:pt idx="12">
                  <c:v>47.594999999999999</c:v>
                </c:pt>
                <c:pt idx="13">
                  <c:v>47.594999999999999</c:v>
                </c:pt>
                <c:pt idx="14">
                  <c:v>47.594999999999999</c:v>
                </c:pt>
                <c:pt idx="15">
                  <c:v>47.594999999999999</c:v>
                </c:pt>
                <c:pt idx="16">
                  <c:v>47.594999999999999</c:v>
                </c:pt>
                <c:pt idx="17">
                  <c:v>55.805</c:v>
                </c:pt>
                <c:pt idx="18">
                  <c:v>50.204999999999998</c:v>
                </c:pt>
                <c:pt idx="19">
                  <c:v>50.204999999999998</c:v>
                </c:pt>
                <c:pt idx="20">
                  <c:v>50.204999999999998</c:v>
                </c:pt>
                <c:pt idx="21">
                  <c:v>60.875</c:v>
                </c:pt>
                <c:pt idx="22">
                  <c:v>60.875</c:v>
                </c:pt>
                <c:pt idx="23">
                  <c:v>84.03</c:v>
                </c:pt>
                <c:pt idx="24">
                  <c:v>78.305000000000007</c:v>
                </c:pt>
                <c:pt idx="25">
                  <c:v>88.6</c:v>
                </c:pt>
                <c:pt idx="26">
                  <c:v>88.6</c:v>
                </c:pt>
                <c:pt idx="27">
                  <c:v>92.64500000000001</c:v>
                </c:pt>
                <c:pt idx="28">
                  <c:v>87.605000000000004</c:v>
                </c:pt>
                <c:pt idx="29">
                  <c:v>82.35</c:v>
                </c:pt>
                <c:pt idx="30">
                  <c:v>82.35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1E-49EB-A020-879A82543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1D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Data!$B$24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Data!$E$24:$AI$24</c:f>
              <c:numCache>
                <c:formatCode>0</c:formatCode>
                <c:ptCount val="31"/>
                <c:pt idx="0">
                  <c:v>2273.9369999999994</c:v>
                </c:pt>
                <c:pt idx="1">
                  <c:v>2273.9369999999994</c:v>
                </c:pt>
                <c:pt idx="2">
                  <c:v>2273.9369999999994</c:v>
                </c:pt>
                <c:pt idx="3">
                  <c:v>2273.9369999999994</c:v>
                </c:pt>
                <c:pt idx="4">
                  <c:v>2273.9369999999994</c:v>
                </c:pt>
                <c:pt idx="5">
                  <c:v>2273.9369999999994</c:v>
                </c:pt>
                <c:pt idx="6">
                  <c:v>2273.9369999999994</c:v>
                </c:pt>
                <c:pt idx="7">
                  <c:v>2273.9369999999994</c:v>
                </c:pt>
                <c:pt idx="8">
                  <c:v>2273.9369999999994</c:v>
                </c:pt>
                <c:pt idx="9">
                  <c:v>2273.9369999999994</c:v>
                </c:pt>
                <c:pt idx="10">
                  <c:v>2273.9369999999994</c:v>
                </c:pt>
                <c:pt idx="11">
                  <c:v>2273.9369999999994</c:v>
                </c:pt>
                <c:pt idx="12">
                  <c:v>2273.9369999999994</c:v>
                </c:pt>
                <c:pt idx="13">
                  <c:v>2273.9369999999994</c:v>
                </c:pt>
                <c:pt idx="14">
                  <c:v>2273.9369999999994</c:v>
                </c:pt>
                <c:pt idx="15">
                  <c:v>2273.9369999999994</c:v>
                </c:pt>
                <c:pt idx="16">
                  <c:v>2273.9369999999994</c:v>
                </c:pt>
                <c:pt idx="17">
                  <c:v>2273.9369999999994</c:v>
                </c:pt>
                <c:pt idx="18">
                  <c:v>2273.9369999999994</c:v>
                </c:pt>
                <c:pt idx="19">
                  <c:v>2273.9369999999994</c:v>
                </c:pt>
                <c:pt idx="20">
                  <c:v>2273.9369999999994</c:v>
                </c:pt>
                <c:pt idx="21">
                  <c:v>2273.9369999999994</c:v>
                </c:pt>
                <c:pt idx="22">
                  <c:v>2273.9369999999994</c:v>
                </c:pt>
                <c:pt idx="23">
                  <c:v>2273.9369999999994</c:v>
                </c:pt>
                <c:pt idx="24">
                  <c:v>2776.1620000000003</c:v>
                </c:pt>
                <c:pt idx="25">
                  <c:v>2776.1620000000003</c:v>
                </c:pt>
                <c:pt idx="26">
                  <c:v>2776.1620000000003</c:v>
                </c:pt>
                <c:pt idx="27">
                  <c:v>2776.1620000000003</c:v>
                </c:pt>
                <c:pt idx="28">
                  <c:v>2776.1620000000003</c:v>
                </c:pt>
                <c:pt idx="29">
                  <c:v>2776.1620000000003</c:v>
                </c:pt>
                <c:pt idx="30">
                  <c:v>2776.1620000000003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C-4B89-983E-C6FC8DC69996}"/>
            </c:ext>
          </c:extLst>
        </c:ser>
        <c:ser>
          <c:idx val="0"/>
          <c:order val="1"/>
          <c:tx>
            <c:strRef>
              <c:f>Data!$B$26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Data!$E$26:$AI$26</c:f>
              <c:numCache>
                <c:formatCode>0</c:formatCode>
                <c:ptCount val="31"/>
                <c:pt idx="0">
                  <c:v>5934.03</c:v>
                </c:pt>
                <c:pt idx="1">
                  <c:v>5934.0450000000001</c:v>
                </c:pt>
                <c:pt idx="2">
                  <c:v>5842.26</c:v>
                </c:pt>
                <c:pt idx="3">
                  <c:v>5756.5550000000003</c:v>
                </c:pt>
                <c:pt idx="4">
                  <c:v>5659.6850000000004</c:v>
                </c:pt>
                <c:pt idx="5">
                  <c:v>5573.83</c:v>
                </c:pt>
                <c:pt idx="6">
                  <c:v>5521.5050000000001</c:v>
                </c:pt>
                <c:pt idx="7">
                  <c:v>5410.6450000000004</c:v>
                </c:pt>
                <c:pt idx="8">
                  <c:v>5323.4650000000001</c:v>
                </c:pt>
                <c:pt idx="9">
                  <c:v>5218.5749999999998</c:v>
                </c:pt>
                <c:pt idx="10">
                  <c:v>5110.335</c:v>
                </c:pt>
                <c:pt idx="11">
                  <c:v>5008.6500000000024</c:v>
                </c:pt>
                <c:pt idx="12">
                  <c:v>4874.51</c:v>
                </c:pt>
                <c:pt idx="13">
                  <c:v>4762.1400000000003</c:v>
                </c:pt>
                <c:pt idx="14">
                  <c:v>4652.2749999999996</c:v>
                </c:pt>
                <c:pt idx="15">
                  <c:v>4589.92</c:v>
                </c:pt>
                <c:pt idx="16">
                  <c:v>4475.9949999999999</c:v>
                </c:pt>
                <c:pt idx="17">
                  <c:v>4394.1049999999996</c:v>
                </c:pt>
                <c:pt idx="18">
                  <c:v>4308.5150000000003</c:v>
                </c:pt>
                <c:pt idx="19">
                  <c:v>4200.04</c:v>
                </c:pt>
                <c:pt idx="20">
                  <c:v>4147.62</c:v>
                </c:pt>
                <c:pt idx="21">
                  <c:v>4044.61</c:v>
                </c:pt>
                <c:pt idx="22">
                  <c:v>3948.58</c:v>
                </c:pt>
                <c:pt idx="23">
                  <c:v>6822.21</c:v>
                </c:pt>
                <c:pt idx="24">
                  <c:v>6719.4949999999999</c:v>
                </c:pt>
                <c:pt idx="25">
                  <c:v>6595.46</c:v>
                </c:pt>
                <c:pt idx="26">
                  <c:v>6512.8649999999998</c:v>
                </c:pt>
                <c:pt idx="27">
                  <c:v>6413.11</c:v>
                </c:pt>
                <c:pt idx="28">
                  <c:v>6335.5</c:v>
                </c:pt>
                <c:pt idx="29">
                  <c:v>6187.2250000000004</c:v>
                </c:pt>
                <c:pt idx="30">
                  <c:v>6062.25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C-4B89-983E-C6FC8DC69996}"/>
            </c:ext>
          </c:extLst>
        </c:ser>
        <c:ser>
          <c:idx val="2"/>
          <c:order val="2"/>
          <c:tx>
            <c:strRef>
              <c:f>Data!$B$29</c:f>
              <c:strCache>
                <c:ptCount val="1"/>
                <c:pt idx="0">
                  <c:v>430</c:v>
                </c:pt>
              </c:strCache>
            </c:strRef>
          </c:tx>
          <c:spPr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Data!$E$29:$AI$29</c:f>
              <c:numCache>
                <c:formatCode>0</c:formatCode>
                <c:ptCount val="31"/>
                <c:pt idx="0">
                  <c:v>20.887999999999998</c:v>
                </c:pt>
                <c:pt idx="1">
                  <c:v>20.887999999999998</c:v>
                </c:pt>
                <c:pt idx="2">
                  <c:v>20.887999999999998</c:v>
                </c:pt>
                <c:pt idx="3">
                  <c:v>20.887999999999998</c:v>
                </c:pt>
                <c:pt idx="4">
                  <c:v>20.887999999999998</c:v>
                </c:pt>
                <c:pt idx="5">
                  <c:v>20.887999999999998</c:v>
                </c:pt>
                <c:pt idx="6">
                  <c:v>20.887999999999998</c:v>
                </c:pt>
                <c:pt idx="7">
                  <c:v>20.887999999999998</c:v>
                </c:pt>
                <c:pt idx="8">
                  <c:v>20.887999999999998</c:v>
                </c:pt>
                <c:pt idx="9">
                  <c:v>20.887999999999998</c:v>
                </c:pt>
                <c:pt idx="10">
                  <c:v>20.887999999999998</c:v>
                </c:pt>
                <c:pt idx="11">
                  <c:v>20.887999999999998</c:v>
                </c:pt>
                <c:pt idx="12">
                  <c:v>20.887999999999998</c:v>
                </c:pt>
                <c:pt idx="13">
                  <c:v>20.887999999999998</c:v>
                </c:pt>
                <c:pt idx="14">
                  <c:v>20.887999999999998</c:v>
                </c:pt>
                <c:pt idx="15">
                  <c:v>20.887999999999998</c:v>
                </c:pt>
                <c:pt idx="16">
                  <c:v>20.887999999999998</c:v>
                </c:pt>
                <c:pt idx="17">
                  <c:v>20.887999999999998</c:v>
                </c:pt>
                <c:pt idx="18">
                  <c:v>20.887999999999998</c:v>
                </c:pt>
                <c:pt idx="19">
                  <c:v>20.887999999999998</c:v>
                </c:pt>
                <c:pt idx="20">
                  <c:v>20.887999999999998</c:v>
                </c:pt>
                <c:pt idx="21">
                  <c:v>20.887999999999998</c:v>
                </c:pt>
                <c:pt idx="22">
                  <c:v>20.887999999999998</c:v>
                </c:pt>
                <c:pt idx="23">
                  <c:v>20.887999999999998</c:v>
                </c:pt>
                <c:pt idx="24">
                  <c:v>20.887999999999998</c:v>
                </c:pt>
                <c:pt idx="25">
                  <c:v>20.887999999999998</c:v>
                </c:pt>
                <c:pt idx="26">
                  <c:v>20.887999999999998</c:v>
                </c:pt>
                <c:pt idx="27">
                  <c:v>20.887999999999998</c:v>
                </c:pt>
                <c:pt idx="28">
                  <c:v>20.887999999999998</c:v>
                </c:pt>
                <c:pt idx="29">
                  <c:v>20.887999999999998</c:v>
                </c:pt>
                <c:pt idx="30">
                  <c:v>20.887999999999998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3C-4B89-983E-C6FC8DC69996}"/>
            </c:ext>
          </c:extLst>
        </c:ser>
        <c:ser>
          <c:idx val="3"/>
          <c:order val="3"/>
          <c:tx>
            <c:strRef>
              <c:f>Data!$B$25</c:f>
              <c:strCache>
                <c:ptCount val="1"/>
                <c:pt idx="0">
                  <c:v>J4</c:v>
                </c:pt>
              </c:strCache>
            </c:strRef>
          </c:tx>
          <c:invertIfNegative val="0"/>
          <c:val>
            <c:numRef>
              <c:f>Data!$E$25:$AI$25</c:f>
              <c:numCache>
                <c:formatCode>0</c:formatCode>
                <c:ptCount val="31"/>
                <c:pt idx="0">
                  <c:v>24.55</c:v>
                </c:pt>
                <c:pt idx="1">
                  <c:v>24.55</c:v>
                </c:pt>
                <c:pt idx="2">
                  <c:v>24.55</c:v>
                </c:pt>
                <c:pt idx="3">
                  <c:v>24.55</c:v>
                </c:pt>
                <c:pt idx="4">
                  <c:v>24.55</c:v>
                </c:pt>
                <c:pt idx="5">
                  <c:v>24.55</c:v>
                </c:pt>
                <c:pt idx="6">
                  <c:v>24.55</c:v>
                </c:pt>
                <c:pt idx="7">
                  <c:v>24.55</c:v>
                </c:pt>
                <c:pt idx="8">
                  <c:v>24.55</c:v>
                </c:pt>
                <c:pt idx="9">
                  <c:v>24.55</c:v>
                </c:pt>
                <c:pt idx="10">
                  <c:v>24.55</c:v>
                </c:pt>
                <c:pt idx="11">
                  <c:v>24.55</c:v>
                </c:pt>
                <c:pt idx="12">
                  <c:v>24.55</c:v>
                </c:pt>
                <c:pt idx="13">
                  <c:v>24.55</c:v>
                </c:pt>
                <c:pt idx="14">
                  <c:v>24.55</c:v>
                </c:pt>
                <c:pt idx="15">
                  <c:v>24.55</c:v>
                </c:pt>
                <c:pt idx="16">
                  <c:v>24.55</c:v>
                </c:pt>
                <c:pt idx="17">
                  <c:v>24.55</c:v>
                </c:pt>
                <c:pt idx="18">
                  <c:v>24.55</c:v>
                </c:pt>
                <c:pt idx="19">
                  <c:v>24.55</c:v>
                </c:pt>
                <c:pt idx="20">
                  <c:v>24.55</c:v>
                </c:pt>
                <c:pt idx="21">
                  <c:v>24.55</c:v>
                </c:pt>
                <c:pt idx="22">
                  <c:v>24.55</c:v>
                </c:pt>
                <c:pt idx="23">
                  <c:v>24.55</c:v>
                </c:pt>
                <c:pt idx="24">
                  <c:v>24.55</c:v>
                </c:pt>
                <c:pt idx="25">
                  <c:v>24.55</c:v>
                </c:pt>
                <c:pt idx="26">
                  <c:v>24.55</c:v>
                </c:pt>
                <c:pt idx="27">
                  <c:v>24.55</c:v>
                </c:pt>
                <c:pt idx="28">
                  <c:v>24.55</c:v>
                </c:pt>
                <c:pt idx="29">
                  <c:v>24.55</c:v>
                </c:pt>
                <c:pt idx="30">
                  <c:v>24.55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3C-4B89-983E-C6FC8DC69996}"/>
            </c:ext>
          </c:extLst>
        </c:ser>
        <c:ser>
          <c:idx val="4"/>
          <c:order val="4"/>
          <c:tx>
            <c:strRef>
              <c:f>Data!$B$28</c:f>
              <c:strCache>
                <c:ptCount val="1"/>
                <c:pt idx="0">
                  <c:v>316/L</c:v>
                </c:pt>
              </c:strCache>
            </c:strRef>
          </c:tx>
          <c:invertIfNegative val="0"/>
          <c:val>
            <c:numRef>
              <c:f>Data!$E$28:$AI$28</c:f>
              <c:numCache>
                <c:formatCode>0</c:formatCode>
                <c:ptCount val="31"/>
                <c:pt idx="0">
                  <c:v>151.33500000000001</c:v>
                </c:pt>
                <c:pt idx="1">
                  <c:v>54.275000000000006</c:v>
                </c:pt>
                <c:pt idx="2">
                  <c:v>10.92</c:v>
                </c:pt>
                <c:pt idx="3">
                  <c:v>10.92</c:v>
                </c:pt>
                <c:pt idx="4">
                  <c:v>10.92</c:v>
                </c:pt>
                <c:pt idx="5">
                  <c:v>10.92</c:v>
                </c:pt>
                <c:pt idx="6">
                  <c:v>10.92</c:v>
                </c:pt>
                <c:pt idx="7">
                  <c:v>10.92</c:v>
                </c:pt>
                <c:pt idx="8">
                  <c:v>10.92</c:v>
                </c:pt>
                <c:pt idx="9">
                  <c:v>10.92</c:v>
                </c:pt>
                <c:pt idx="10">
                  <c:v>10.92</c:v>
                </c:pt>
                <c:pt idx="11">
                  <c:v>10.92</c:v>
                </c:pt>
                <c:pt idx="12">
                  <c:v>10.92</c:v>
                </c:pt>
                <c:pt idx="13">
                  <c:v>10.92</c:v>
                </c:pt>
                <c:pt idx="14">
                  <c:v>10.92</c:v>
                </c:pt>
                <c:pt idx="15">
                  <c:v>10.92</c:v>
                </c:pt>
                <c:pt idx="16">
                  <c:v>10.92</c:v>
                </c:pt>
                <c:pt idx="17">
                  <c:v>10.92</c:v>
                </c:pt>
                <c:pt idx="18">
                  <c:v>10.92</c:v>
                </c:pt>
                <c:pt idx="19">
                  <c:v>10.92</c:v>
                </c:pt>
                <c:pt idx="20">
                  <c:v>10.92</c:v>
                </c:pt>
                <c:pt idx="21">
                  <c:v>10.92</c:v>
                </c:pt>
                <c:pt idx="22">
                  <c:v>10.92</c:v>
                </c:pt>
                <c:pt idx="23">
                  <c:v>113.99</c:v>
                </c:pt>
                <c:pt idx="24">
                  <c:v>113.99</c:v>
                </c:pt>
                <c:pt idx="25">
                  <c:v>113.99</c:v>
                </c:pt>
                <c:pt idx="26">
                  <c:v>113.99</c:v>
                </c:pt>
                <c:pt idx="27">
                  <c:v>113.99</c:v>
                </c:pt>
                <c:pt idx="28">
                  <c:v>113.99</c:v>
                </c:pt>
                <c:pt idx="29">
                  <c:v>113.99</c:v>
                </c:pt>
                <c:pt idx="30">
                  <c:v>113.99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3C-4B89-983E-C6FC8DC69996}"/>
            </c:ext>
          </c:extLst>
        </c:ser>
        <c:ser>
          <c:idx val="5"/>
          <c:order val="5"/>
          <c:tx>
            <c:strRef>
              <c:f>Data!$B$23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Data!$E$23:$AI$23</c:f>
              <c:numCache>
                <c:formatCode>0</c:formatCode>
                <c:ptCount val="31"/>
                <c:pt idx="0">
                  <c:v>49.287999999999997</c:v>
                </c:pt>
                <c:pt idx="1">
                  <c:v>49.287999999999997</c:v>
                </c:pt>
                <c:pt idx="2">
                  <c:v>49.287999999999997</c:v>
                </c:pt>
                <c:pt idx="3">
                  <c:v>49.287999999999997</c:v>
                </c:pt>
                <c:pt idx="4">
                  <c:v>49.287999999999997</c:v>
                </c:pt>
                <c:pt idx="5">
                  <c:v>49.287999999999997</c:v>
                </c:pt>
                <c:pt idx="6">
                  <c:v>49.287999999999997</c:v>
                </c:pt>
                <c:pt idx="7">
                  <c:v>49.287999999999997</c:v>
                </c:pt>
                <c:pt idx="8">
                  <c:v>49.287999999999997</c:v>
                </c:pt>
                <c:pt idx="9">
                  <c:v>49.287999999999997</c:v>
                </c:pt>
                <c:pt idx="10">
                  <c:v>49.287999999999997</c:v>
                </c:pt>
                <c:pt idx="11">
                  <c:v>49.287999999999997</c:v>
                </c:pt>
                <c:pt idx="12">
                  <c:v>49.287999999999997</c:v>
                </c:pt>
                <c:pt idx="13">
                  <c:v>49.287999999999997</c:v>
                </c:pt>
                <c:pt idx="14">
                  <c:v>49.287999999999997</c:v>
                </c:pt>
                <c:pt idx="15">
                  <c:v>49.287999999999997</c:v>
                </c:pt>
                <c:pt idx="16">
                  <c:v>49.287999999999997</c:v>
                </c:pt>
                <c:pt idx="17">
                  <c:v>49.287999999999997</c:v>
                </c:pt>
                <c:pt idx="18">
                  <c:v>49.287999999999997</c:v>
                </c:pt>
                <c:pt idx="19">
                  <c:v>49.287999999999997</c:v>
                </c:pt>
                <c:pt idx="20">
                  <c:v>49.287999999999997</c:v>
                </c:pt>
                <c:pt idx="21">
                  <c:v>49.287999999999997</c:v>
                </c:pt>
                <c:pt idx="22">
                  <c:v>49.287999999999997</c:v>
                </c:pt>
                <c:pt idx="23">
                  <c:v>49.287999999999997</c:v>
                </c:pt>
                <c:pt idx="24">
                  <c:v>49.287999999999997</c:v>
                </c:pt>
                <c:pt idx="25">
                  <c:v>49.287999999999997</c:v>
                </c:pt>
                <c:pt idx="26">
                  <c:v>49.287999999999997</c:v>
                </c:pt>
                <c:pt idx="27">
                  <c:v>49.287999999999997</c:v>
                </c:pt>
                <c:pt idx="28">
                  <c:v>49.287999999999997</c:v>
                </c:pt>
                <c:pt idx="29">
                  <c:v>49.287999999999997</c:v>
                </c:pt>
                <c:pt idx="30">
                  <c:v>49.287999999999997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3C-4B89-983E-C6FC8DC69996}"/>
            </c:ext>
          </c:extLst>
        </c:ser>
        <c:ser>
          <c:idx val="6"/>
          <c:order val="6"/>
          <c:tx>
            <c:strRef>
              <c:f>Data!$B$22</c:f>
              <c:strCache>
                <c:ptCount val="1"/>
                <c:pt idx="0">
                  <c:v>J1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val>
            <c:numRef>
              <c:f>Data!$E$22:$AI$22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3C-4B89-983E-C6FC8DC69996}"/>
            </c:ext>
          </c:extLst>
        </c:ser>
        <c:ser>
          <c:idx val="7"/>
          <c:order val="7"/>
          <c:tx>
            <c:strRef>
              <c:f>Data!$B$27</c:f>
              <c:strCache>
                <c:ptCount val="1"/>
                <c:pt idx="0">
                  <c:v>301</c:v>
                </c:pt>
              </c:strCache>
            </c:strRef>
          </c:tx>
          <c:invertIfNegative val="0"/>
          <c:val>
            <c:numRef>
              <c:f>Data!$E$27:$AI$27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3C-4B89-983E-C6FC8DC6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68000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680000"/>
                </a:solidFill>
              </a:rPr>
              <a:t>BABY</a:t>
            </a:r>
            <a:r>
              <a:rPr lang="id-ID" baseline="0">
                <a:solidFill>
                  <a:srgbClr val="680000"/>
                </a:solidFill>
              </a:rPr>
              <a:t> COIL</a:t>
            </a:r>
            <a:r>
              <a:rPr lang="en-US" baseline="0">
                <a:solidFill>
                  <a:srgbClr val="680000"/>
                </a:solidFill>
              </a:rPr>
              <a:t> JANUARI'23</a:t>
            </a:r>
            <a:endParaRPr lang="id-ID">
              <a:solidFill>
                <a:srgbClr val="68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Data!$A$13</c:f>
              <c:strCache>
                <c:ptCount val="1"/>
                <c:pt idx="0">
                  <c:v>BABY COIL </c:v>
                </c:pt>
              </c:strCache>
            </c:strRef>
          </c:tx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Data!$E$13:$AI$13</c:f>
              <c:numCache>
                <c:formatCode>0.000</c:formatCode>
                <c:ptCount val="31"/>
                <c:pt idx="0">
                  <c:v>0</c:v>
                </c:pt>
                <c:pt idx="1">
                  <c:v>0.115</c:v>
                </c:pt>
                <c:pt idx="2">
                  <c:v>0.215</c:v>
                </c:pt>
                <c:pt idx="3">
                  <c:v>4.4999999999999998E-2</c:v>
                </c:pt>
                <c:pt idx="4">
                  <c:v>0.03</c:v>
                </c:pt>
                <c:pt idx="5">
                  <c:v>0.115</c:v>
                </c:pt>
                <c:pt idx="6">
                  <c:v>7.0000000000000007E-2</c:v>
                </c:pt>
                <c:pt idx="7">
                  <c:v>0</c:v>
                </c:pt>
                <c:pt idx="8">
                  <c:v>0</c:v>
                </c:pt>
                <c:pt idx="9">
                  <c:v>0.37</c:v>
                </c:pt>
                <c:pt idx="10">
                  <c:v>0.5</c:v>
                </c:pt>
                <c:pt idx="11">
                  <c:v>0.5</c:v>
                </c:pt>
                <c:pt idx="12">
                  <c:v>0.18</c:v>
                </c:pt>
                <c:pt idx="13">
                  <c:v>0</c:v>
                </c:pt>
                <c:pt idx="14">
                  <c:v>4.4999999999999998E-2</c:v>
                </c:pt>
                <c:pt idx="15">
                  <c:v>0.46</c:v>
                </c:pt>
                <c:pt idx="16">
                  <c:v>0.41</c:v>
                </c:pt>
                <c:pt idx="17">
                  <c:v>0.155</c:v>
                </c:pt>
                <c:pt idx="18">
                  <c:v>0.51500000000000001</c:v>
                </c:pt>
                <c:pt idx="19">
                  <c:v>1.3</c:v>
                </c:pt>
                <c:pt idx="20">
                  <c:v>0.31</c:v>
                </c:pt>
                <c:pt idx="21">
                  <c:v>0</c:v>
                </c:pt>
                <c:pt idx="22">
                  <c:v>0.755</c:v>
                </c:pt>
                <c:pt idx="23">
                  <c:v>0.57999999999999996</c:v>
                </c:pt>
                <c:pt idx="24">
                  <c:v>0.39</c:v>
                </c:pt>
                <c:pt idx="25">
                  <c:v>0.52</c:v>
                </c:pt>
                <c:pt idx="26">
                  <c:v>0.36</c:v>
                </c:pt>
                <c:pt idx="27">
                  <c:v>1.1299999999999999</c:v>
                </c:pt>
                <c:pt idx="28">
                  <c:v>0.14000000000000001</c:v>
                </c:pt>
                <c:pt idx="29">
                  <c:v>0.55500000000000005</c:v>
                </c:pt>
                <c:pt idx="30">
                  <c:v>0.29499999999999998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5-4B2E-8323-065960F99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4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FH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Data!$B$31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Data!$E$31:$AI$31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3-4531-A95A-E42B056D89D4}"/>
            </c:ext>
          </c:extLst>
        </c:ser>
        <c:ser>
          <c:idx val="0"/>
          <c:order val="1"/>
          <c:tx>
            <c:strRef>
              <c:f>Data!$B$33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Data!$E$33:$AI$33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3-4531-A95A-E42B056D89D4}"/>
            </c:ext>
          </c:extLst>
        </c:ser>
        <c:ser>
          <c:idx val="2"/>
          <c:order val="2"/>
          <c:tx>
            <c:strRef>
              <c:f>Data!$B$35</c:f>
              <c:strCache>
                <c:ptCount val="1"/>
                <c:pt idx="0">
                  <c:v>430</c:v>
                </c:pt>
              </c:strCache>
            </c:strRef>
          </c:tx>
          <c:invertIfNegative val="0"/>
          <c:val>
            <c:numRef>
              <c:f>Data!$E$35:$AI$35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3-4531-A95A-E42B056D89D4}"/>
            </c:ext>
          </c:extLst>
        </c:ser>
        <c:ser>
          <c:idx val="3"/>
          <c:order val="3"/>
          <c:tx>
            <c:strRef>
              <c:f>Data!$B$32</c:f>
              <c:strCache>
                <c:ptCount val="1"/>
                <c:pt idx="0">
                  <c:v>J4</c:v>
                </c:pt>
              </c:strCache>
            </c:strRef>
          </c:tx>
          <c:invertIfNegative val="0"/>
          <c:val>
            <c:numRef>
              <c:f>Data!$E$32:$AI$32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3-4531-A95A-E42B056D89D4}"/>
            </c:ext>
          </c:extLst>
        </c:ser>
        <c:ser>
          <c:idx val="4"/>
          <c:order val="4"/>
          <c:tx>
            <c:strRef>
              <c:f>Data!$B$34</c:f>
              <c:strCache>
                <c:ptCount val="1"/>
                <c:pt idx="0">
                  <c:v>316/L</c:v>
                </c:pt>
              </c:strCache>
            </c:strRef>
          </c:tx>
          <c:invertIfNegative val="0"/>
          <c:val>
            <c:numRef>
              <c:f>Data!$E$34:$AI$34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83-4531-A95A-E42B056D89D4}"/>
            </c:ext>
          </c:extLst>
        </c:ser>
        <c:ser>
          <c:idx val="5"/>
          <c:order val="5"/>
          <c:tx>
            <c:strRef>
              <c:f>Data!$B$30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Data!$E$30:$AI$30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83-4531-A95A-E42B056D8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2B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strRef>
              <c:f>Data!$B$38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Data!$E$1:$AI$1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Data!$E$38:$AI$38</c:f>
              <c:numCache>
                <c:formatCode>0</c:formatCode>
                <c:ptCount val="31"/>
                <c:pt idx="0">
                  <c:v>319.68500000000006</c:v>
                </c:pt>
                <c:pt idx="1">
                  <c:v>319.68500000000006</c:v>
                </c:pt>
                <c:pt idx="2">
                  <c:v>319.68500000000006</c:v>
                </c:pt>
                <c:pt idx="3">
                  <c:v>319.68500000000006</c:v>
                </c:pt>
                <c:pt idx="4">
                  <c:v>319.68500000000006</c:v>
                </c:pt>
                <c:pt idx="5">
                  <c:v>319.68500000000006</c:v>
                </c:pt>
                <c:pt idx="6">
                  <c:v>319.68500000000006</c:v>
                </c:pt>
                <c:pt idx="7">
                  <c:v>319.68500000000006</c:v>
                </c:pt>
                <c:pt idx="8">
                  <c:v>319.68500000000006</c:v>
                </c:pt>
                <c:pt idx="9">
                  <c:v>319.68500000000006</c:v>
                </c:pt>
                <c:pt idx="10">
                  <c:v>319.68500000000006</c:v>
                </c:pt>
                <c:pt idx="11">
                  <c:v>319.68500000000006</c:v>
                </c:pt>
                <c:pt idx="12">
                  <c:v>319.68500000000006</c:v>
                </c:pt>
                <c:pt idx="13">
                  <c:v>319.68500000000006</c:v>
                </c:pt>
                <c:pt idx="14">
                  <c:v>319.68500000000006</c:v>
                </c:pt>
                <c:pt idx="15">
                  <c:v>319.68500000000006</c:v>
                </c:pt>
                <c:pt idx="16">
                  <c:v>319.68500000000006</c:v>
                </c:pt>
                <c:pt idx="17">
                  <c:v>319.68500000000006</c:v>
                </c:pt>
                <c:pt idx="18">
                  <c:v>319.68500000000006</c:v>
                </c:pt>
                <c:pt idx="19">
                  <c:v>319.68500000000006</c:v>
                </c:pt>
                <c:pt idx="20">
                  <c:v>319.68500000000006</c:v>
                </c:pt>
                <c:pt idx="21">
                  <c:v>319.68500000000006</c:v>
                </c:pt>
                <c:pt idx="22">
                  <c:v>319.68500000000006</c:v>
                </c:pt>
                <c:pt idx="23">
                  <c:v>319.68500000000006</c:v>
                </c:pt>
                <c:pt idx="24">
                  <c:v>319.68500000000006</c:v>
                </c:pt>
                <c:pt idx="25">
                  <c:v>319.68500000000006</c:v>
                </c:pt>
                <c:pt idx="26">
                  <c:v>319.68500000000006</c:v>
                </c:pt>
                <c:pt idx="27">
                  <c:v>319.68500000000006</c:v>
                </c:pt>
                <c:pt idx="28">
                  <c:v>319.68500000000006</c:v>
                </c:pt>
                <c:pt idx="29">
                  <c:v>319.68500000000006</c:v>
                </c:pt>
                <c:pt idx="30">
                  <c:v>319.68500000000006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6-4E3B-B7C1-45FAB38D2EB3}"/>
            </c:ext>
          </c:extLst>
        </c:ser>
        <c:ser>
          <c:idx val="6"/>
          <c:order val="1"/>
          <c:tx>
            <c:strRef>
              <c:f>Data!$B$40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val>
            <c:numRef>
              <c:f>Data!$E$40:$AI$40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E6-4E3B-B7C1-45FAB38D2EB3}"/>
            </c:ext>
          </c:extLst>
        </c:ser>
        <c:ser>
          <c:idx val="7"/>
          <c:order val="2"/>
          <c:tx>
            <c:strRef>
              <c:f>Data!$B$42</c:f>
              <c:strCache>
                <c:ptCount val="1"/>
                <c:pt idx="0">
                  <c:v>430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val>
            <c:numRef>
              <c:f>Data!$E$42:$AI$42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E6-4E3B-B7C1-45FAB38D2EB3}"/>
            </c:ext>
          </c:extLst>
        </c:ser>
        <c:ser>
          <c:idx val="8"/>
          <c:order val="3"/>
          <c:tx>
            <c:strRef>
              <c:f>Data!$B$39</c:f>
              <c:strCache>
                <c:ptCount val="1"/>
                <c:pt idx="0">
                  <c:v>J4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val>
            <c:numRef>
              <c:f>Data!$E$39:$AI$39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E6-4E3B-B7C1-45FAB38D2EB3}"/>
            </c:ext>
          </c:extLst>
        </c:ser>
        <c:ser>
          <c:idx val="9"/>
          <c:order val="4"/>
          <c:tx>
            <c:strRef>
              <c:f>Data!$B$41</c:f>
              <c:strCache>
                <c:ptCount val="1"/>
                <c:pt idx="0">
                  <c:v>316/L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val>
            <c:numRef>
              <c:f>Data!$E$41:$AI$41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E6-4E3B-B7C1-45FAB38D2EB3}"/>
            </c:ext>
          </c:extLst>
        </c:ser>
        <c:ser>
          <c:idx val="0"/>
          <c:order val="5"/>
          <c:tx>
            <c:strRef>
              <c:f>Data!$B$37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</c:spPr>
          <c:invertIfNegative val="0"/>
          <c:val>
            <c:numRef>
              <c:f>Data!$E$37:$AI$37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E6-4E3B-B7C1-45FAB38D2EB3}"/>
            </c:ext>
          </c:extLst>
        </c:ser>
        <c:ser>
          <c:idx val="1"/>
          <c:order val="6"/>
          <c:tx>
            <c:strRef>
              <c:f>Data!$B$36</c:f>
              <c:strCache>
                <c:ptCount val="1"/>
                <c:pt idx="0">
                  <c:v>J1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val>
            <c:numRef>
              <c:f>Data!$E$36:$AI$36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E6-4E3B-B7C1-45FAB38D2EB3}"/>
            </c:ext>
          </c:extLst>
        </c:ser>
        <c:ser>
          <c:idx val="2"/>
          <c:order val="7"/>
          <c:tx>
            <c:strRef>
              <c:f>Data!$B$43</c:f>
              <c:strCache>
                <c:ptCount val="1"/>
                <c:pt idx="0">
                  <c:v>410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val>
            <c:numRef>
              <c:f>Data!$E$43:$AI$43</c:f>
              <c:numCache>
                <c:formatCode>0</c:formatCode>
                <c:ptCount val="31"/>
                <c:pt idx="0">
                  <c:v>8.4570000000000007</c:v>
                </c:pt>
                <c:pt idx="1">
                  <c:v>8.4570000000000007</c:v>
                </c:pt>
                <c:pt idx="2">
                  <c:v>8.4570000000000007</c:v>
                </c:pt>
                <c:pt idx="3">
                  <c:v>8.4570000000000007</c:v>
                </c:pt>
                <c:pt idx="4">
                  <c:v>8.4570000000000007</c:v>
                </c:pt>
                <c:pt idx="5">
                  <c:v>8.4570000000000007</c:v>
                </c:pt>
                <c:pt idx="6">
                  <c:v>8.4570000000000007</c:v>
                </c:pt>
                <c:pt idx="7">
                  <c:v>8.4570000000000007</c:v>
                </c:pt>
                <c:pt idx="8">
                  <c:v>8.4570000000000007</c:v>
                </c:pt>
                <c:pt idx="9">
                  <c:v>8.4570000000000007</c:v>
                </c:pt>
                <c:pt idx="10">
                  <c:v>8.4570000000000007</c:v>
                </c:pt>
                <c:pt idx="11">
                  <c:v>8.4570000000000007</c:v>
                </c:pt>
                <c:pt idx="12">
                  <c:v>8.4570000000000007</c:v>
                </c:pt>
                <c:pt idx="13">
                  <c:v>8.4570000000000007</c:v>
                </c:pt>
                <c:pt idx="14">
                  <c:v>8.4570000000000007</c:v>
                </c:pt>
                <c:pt idx="15">
                  <c:v>8.4570000000000007</c:v>
                </c:pt>
                <c:pt idx="16">
                  <c:v>8.4570000000000007</c:v>
                </c:pt>
                <c:pt idx="17">
                  <c:v>8.4570000000000007</c:v>
                </c:pt>
                <c:pt idx="18">
                  <c:v>8.4570000000000007</c:v>
                </c:pt>
                <c:pt idx="19">
                  <c:v>8.4570000000000007</c:v>
                </c:pt>
                <c:pt idx="20">
                  <c:v>8.4570000000000007</c:v>
                </c:pt>
                <c:pt idx="21">
                  <c:v>8.4570000000000007</c:v>
                </c:pt>
                <c:pt idx="22">
                  <c:v>8.4570000000000007</c:v>
                </c:pt>
                <c:pt idx="23">
                  <c:v>8.4570000000000007</c:v>
                </c:pt>
                <c:pt idx="24">
                  <c:v>8.4570000000000007</c:v>
                </c:pt>
                <c:pt idx="25">
                  <c:v>8.4570000000000007</c:v>
                </c:pt>
                <c:pt idx="26">
                  <c:v>8.4570000000000007</c:v>
                </c:pt>
                <c:pt idx="27">
                  <c:v>8.4570000000000007</c:v>
                </c:pt>
                <c:pt idx="28">
                  <c:v>8.4570000000000007</c:v>
                </c:pt>
                <c:pt idx="29">
                  <c:v>8.4570000000000007</c:v>
                </c:pt>
                <c:pt idx="30">
                  <c:v>8.4570000000000007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E6-4E3B-B7C1-45FAB38D2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id-ID">
                <a:solidFill>
                  <a:srgbClr val="002060"/>
                </a:solidFill>
              </a:rPr>
              <a:t>RAW</a:t>
            </a:r>
            <a:r>
              <a:rPr lang="id-ID" baseline="0">
                <a:solidFill>
                  <a:srgbClr val="002060"/>
                </a:solidFill>
              </a:rPr>
              <a:t> MATERIAL</a:t>
            </a:r>
            <a:r>
              <a:rPr lang="en-US" baseline="0">
                <a:solidFill>
                  <a:srgbClr val="002060"/>
                </a:solidFill>
              </a:rPr>
              <a:t> 2B RUST</a:t>
            </a:r>
            <a:endParaRPr lang="id-ID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Data!$B$45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val>
            <c:numRef>
              <c:f>Data!$E$45:$AI$45</c:f>
              <c:numCache>
                <c:formatCode>0</c:formatCode>
                <c:ptCount val="31"/>
                <c:pt idx="0">
                  <c:v>35.683999999999997</c:v>
                </c:pt>
                <c:pt idx="1">
                  <c:v>35.683999999999997</c:v>
                </c:pt>
                <c:pt idx="2">
                  <c:v>35.683999999999997</c:v>
                </c:pt>
                <c:pt idx="3">
                  <c:v>35.683999999999997</c:v>
                </c:pt>
                <c:pt idx="4">
                  <c:v>35.683999999999997</c:v>
                </c:pt>
                <c:pt idx="5">
                  <c:v>35.683999999999997</c:v>
                </c:pt>
                <c:pt idx="6">
                  <c:v>35.683999999999997</c:v>
                </c:pt>
                <c:pt idx="7">
                  <c:v>35.683999999999997</c:v>
                </c:pt>
                <c:pt idx="8">
                  <c:v>35.683999999999997</c:v>
                </c:pt>
                <c:pt idx="9">
                  <c:v>35.683999999999997</c:v>
                </c:pt>
                <c:pt idx="10">
                  <c:v>35.683999999999997</c:v>
                </c:pt>
                <c:pt idx="11">
                  <c:v>35.683999999999997</c:v>
                </c:pt>
                <c:pt idx="12">
                  <c:v>35.683999999999997</c:v>
                </c:pt>
                <c:pt idx="13">
                  <c:v>35.683999999999997</c:v>
                </c:pt>
                <c:pt idx="14">
                  <c:v>35.683999999999997</c:v>
                </c:pt>
                <c:pt idx="15">
                  <c:v>35.683999999999997</c:v>
                </c:pt>
                <c:pt idx="16">
                  <c:v>35.683999999999997</c:v>
                </c:pt>
                <c:pt idx="17">
                  <c:v>35.683999999999997</c:v>
                </c:pt>
                <c:pt idx="18">
                  <c:v>35.683999999999997</c:v>
                </c:pt>
                <c:pt idx="19">
                  <c:v>35.683999999999997</c:v>
                </c:pt>
                <c:pt idx="20">
                  <c:v>35.683999999999997</c:v>
                </c:pt>
                <c:pt idx="21">
                  <c:v>35.683999999999997</c:v>
                </c:pt>
                <c:pt idx="22">
                  <c:v>35.683999999999997</c:v>
                </c:pt>
                <c:pt idx="23">
                  <c:v>35.683999999999997</c:v>
                </c:pt>
                <c:pt idx="24">
                  <c:v>35.683999999999997</c:v>
                </c:pt>
                <c:pt idx="25">
                  <c:v>35.683999999999997</c:v>
                </c:pt>
                <c:pt idx="26">
                  <c:v>35.683999999999997</c:v>
                </c:pt>
                <c:pt idx="27">
                  <c:v>35.683999999999997</c:v>
                </c:pt>
                <c:pt idx="28">
                  <c:v>35.683999999999997</c:v>
                </c:pt>
                <c:pt idx="29">
                  <c:v>35.683999999999997</c:v>
                </c:pt>
                <c:pt idx="30">
                  <c:v>35.683999999999997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1-4FB5-B197-E6D41542F743}"/>
            </c:ext>
          </c:extLst>
        </c:ser>
        <c:ser>
          <c:idx val="1"/>
          <c:order val="1"/>
          <c:tx>
            <c:strRef>
              <c:f>Data!$B$47</c:f>
              <c:strCache>
                <c:ptCount val="1"/>
                <c:pt idx="0">
                  <c:v>304/L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Data!$E$47:$AI$47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41-4FB5-B197-E6D41542F743}"/>
            </c:ext>
          </c:extLst>
        </c:ser>
        <c:ser>
          <c:idx val="2"/>
          <c:order val="2"/>
          <c:tx>
            <c:strRef>
              <c:f>Data!$B$49</c:f>
              <c:strCache>
                <c:ptCount val="1"/>
                <c:pt idx="0">
                  <c:v>430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Data!$E$49:$AI$49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41-4FB5-B197-E6D41542F743}"/>
            </c:ext>
          </c:extLst>
        </c:ser>
        <c:ser>
          <c:idx val="3"/>
          <c:order val="3"/>
          <c:tx>
            <c:strRef>
              <c:f>Data!$B$46</c:f>
              <c:strCache>
                <c:ptCount val="1"/>
                <c:pt idx="0">
                  <c:v>J4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Data!$E$46:$AI$46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41-4FB5-B197-E6D41542F743}"/>
            </c:ext>
          </c:extLst>
        </c:ser>
        <c:ser>
          <c:idx val="4"/>
          <c:order val="4"/>
          <c:tx>
            <c:strRef>
              <c:f>Data!$B$48</c:f>
              <c:strCache>
                <c:ptCount val="1"/>
                <c:pt idx="0">
                  <c:v>316/L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Data!$E$48:$AI$48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41-4FB5-B197-E6D41542F743}"/>
            </c:ext>
          </c:extLst>
        </c:ser>
        <c:ser>
          <c:idx val="5"/>
          <c:order val="5"/>
          <c:tx>
            <c:strRef>
              <c:f>Data!$B$44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Data!$E$44:$AI$44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41-4FB5-B197-E6D41542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6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68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680000"/>
                </a:solidFill>
              </a:rPr>
              <a:t>ROLLING</a:t>
            </a:r>
            <a:r>
              <a:rPr lang="en-US" baseline="0">
                <a:solidFill>
                  <a:srgbClr val="680000"/>
                </a:solidFill>
              </a:rPr>
              <a:t> &amp; REROLLING</a:t>
            </a:r>
            <a:endParaRPr lang="id-ID">
              <a:solidFill>
                <a:srgbClr val="68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68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Data!$A$4</c:f>
              <c:strCache>
                <c:ptCount val="1"/>
                <c:pt idx="0">
                  <c:v>ROLLING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Data!$E$4:$AI$4</c:f>
              <c:numCache>
                <c:formatCode>0.000</c:formatCode>
                <c:ptCount val="31"/>
                <c:pt idx="0">
                  <c:v>0</c:v>
                </c:pt>
                <c:pt idx="1">
                  <c:v>97.06</c:v>
                </c:pt>
                <c:pt idx="2">
                  <c:v>135.215</c:v>
                </c:pt>
                <c:pt idx="3">
                  <c:v>85.69</c:v>
                </c:pt>
                <c:pt idx="4">
                  <c:v>97.03</c:v>
                </c:pt>
                <c:pt idx="5">
                  <c:v>75.31</c:v>
                </c:pt>
                <c:pt idx="6">
                  <c:v>52.335000000000001</c:v>
                </c:pt>
                <c:pt idx="7">
                  <c:v>101.1</c:v>
                </c:pt>
                <c:pt idx="8">
                  <c:v>86.394999999999996</c:v>
                </c:pt>
                <c:pt idx="9">
                  <c:v>42.685000000000002</c:v>
                </c:pt>
                <c:pt idx="10">
                  <c:v>78.180000000000007</c:v>
                </c:pt>
                <c:pt idx="11">
                  <c:v>83.94</c:v>
                </c:pt>
                <c:pt idx="12">
                  <c:v>94.27</c:v>
                </c:pt>
                <c:pt idx="13">
                  <c:v>81.22</c:v>
                </c:pt>
                <c:pt idx="14">
                  <c:v>88.97</c:v>
                </c:pt>
                <c:pt idx="15">
                  <c:v>19.93</c:v>
                </c:pt>
                <c:pt idx="16">
                  <c:v>92.584999999999994</c:v>
                </c:pt>
                <c:pt idx="17">
                  <c:v>71.284999999999997</c:v>
                </c:pt>
                <c:pt idx="18">
                  <c:v>74.95</c:v>
                </c:pt>
                <c:pt idx="19">
                  <c:v>66.334999999999994</c:v>
                </c:pt>
                <c:pt idx="20">
                  <c:v>52.42</c:v>
                </c:pt>
                <c:pt idx="21">
                  <c:v>103.01</c:v>
                </c:pt>
                <c:pt idx="22">
                  <c:v>85.484999999999999</c:v>
                </c:pt>
                <c:pt idx="23">
                  <c:v>105.51</c:v>
                </c:pt>
                <c:pt idx="24">
                  <c:v>92.66</c:v>
                </c:pt>
                <c:pt idx="25">
                  <c:v>81.355000000000004</c:v>
                </c:pt>
                <c:pt idx="26">
                  <c:v>61.484999999999999</c:v>
                </c:pt>
                <c:pt idx="27">
                  <c:v>89.35</c:v>
                </c:pt>
                <c:pt idx="28">
                  <c:v>88.015000000000001</c:v>
                </c:pt>
                <c:pt idx="29">
                  <c:v>95.31</c:v>
                </c:pt>
                <c:pt idx="30">
                  <c:v>93.39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2-4BE9-A9A1-70EB06ED0673}"/>
            </c:ext>
          </c:extLst>
        </c:ser>
        <c:ser>
          <c:idx val="0"/>
          <c:order val="1"/>
          <c:tx>
            <c:strRef>
              <c:f>Data!$A$5</c:f>
              <c:strCache>
                <c:ptCount val="1"/>
                <c:pt idx="0">
                  <c:v>RE-ROLLING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Data!$E$5:$AI$5</c:f>
              <c:numCache>
                <c:formatCode>0.000</c:formatCode>
                <c:ptCount val="31"/>
                <c:pt idx="9">
                  <c:v>21.135000000000002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2-4BE9-A9A1-70EB06ED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228800"/>
        <c:axId val="451233064"/>
      </c:barChart>
      <c:catAx>
        <c:axId val="4512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33064"/>
        <c:crosses val="autoZero"/>
        <c:auto val="1"/>
        <c:lblAlgn val="ctr"/>
        <c:lblOffset val="100"/>
        <c:noMultiLvlLbl val="0"/>
      </c:catAx>
      <c:valAx>
        <c:axId val="4512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Metric 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28800"/>
        <c:crosses val="autoZero"/>
        <c:crossBetween val="between"/>
      </c:valAx>
      <c:spPr>
        <a:gradFill>
          <a:gsLst>
            <a:gs pos="24000">
              <a:schemeClr val="bg1"/>
            </a:gs>
            <a:gs pos="100000">
              <a:schemeClr val="accent4">
                <a:lumMod val="20000"/>
                <a:lumOff val="8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10583</xdr:colOff>
      <xdr:row>19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21080-42FD-463B-A97B-4B0F9751E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29</xdr:col>
      <xdr:colOff>10583</xdr:colOff>
      <xdr:row>18</xdr:row>
      <xdr:rowOff>179917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B84F1-82E2-4962-A64F-55337602E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17</xdr:col>
      <xdr:colOff>10583</xdr:colOff>
      <xdr:row>39</xdr:row>
      <xdr:rowOff>10583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EA655C-1C76-4285-9E5F-B5C68FEB5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10584</xdr:colOff>
      <xdr:row>19</xdr:row>
      <xdr:rowOff>179918</xdr:rowOff>
    </xdr:from>
    <xdr:to>
      <xdr:col>28</xdr:col>
      <xdr:colOff>592668</xdr:colOff>
      <xdr:row>38</xdr:row>
      <xdr:rowOff>169335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53D8B9-8781-407F-8491-D5FFC8374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41</xdr:row>
      <xdr:rowOff>21166</xdr:rowOff>
    </xdr:from>
    <xdr:to>
      <xdr:col>17</xdr:col>
      <xdr:colOff>10583</xdr:colOff>
      <xdr:row>60</xdr:row>
      <xdr:rowOff>31749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F095F7-39BD-4E12-9237-B757A2CF2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41</xdr:row>
      <xdr:rowOff>21167</xdr:rowOff>
    </xdr:from>
    <xdr:to>
      <xdr:col>28</xdr:col>
      <xdr:colOff>592667</xdr:colOff>
      <xdr:row>60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7E87D3-505A-45D5-8306-7293AFDE6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200025</xdr:colOff>
      <xdr:row>61</xdr:row>
      <xdr:rowOff>95250</xdr:rowOff>
    </xdr:from>
    <xdr:to>
      <xdr:col>16</xdr:col>
      <xdr:colOff>354542</xdr:colOff>
      <xdr:row>80</xdr:row>
      <xdr:rowOff>105833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B3B64D-5B42-4ABA-B204-07C7F2760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62</xdr:row>
      <xdr:rowOff>0</xdr:rowOff>
    </xdr:from>
    <xdr:to>
      <xdr:col>28</xdr:col>
      <xdr:colOff>582084</xdr:colOff>
      <xdr:row>80</xdr:row>
      <xdr:rowOff>179917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596A74-672D-493D-B146-7168E6F3E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ily%20Report/Graps%20Daily%20Report%20Januari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IP+WH%20Machine/WH%2026.10.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.01.2023"/>
      <sheetName val="02.01.2023"/>
      <sheetName val="03.01.2023"/>
      <sheetName val="04.01.2023"/>
      <sheetName val="05.01.2023"/>
      <sheetName val="06.01.2023"/>
      <sheetName val="07.01.2023"/>
      <sheetName val="08.01.2023"/>
      <sheetName val="09.01.2023"/>
      <sheetName val="10.01.2023"/>
      <sheetName val="11.01.2023"/>
      <sheetName val="12.01.2023"/>
      <sheetName val="13.01.2023"/>
      <sheetName val="14.01.2023"/>
      <sheetName val="15.01.2023"/>
      <sheetName val="16.01.2023"/>
      <sheetName val="17.01.2023"/>
      <sheetName val="18.01.2023"/>
      <sheetName val="19.01.2023"/>
      <sheetName val="20.01.2023"/>
      <sheetName val="21.01.2023"/>
      <sheetName val="22.01.2023"/>
      <sheetName val="23.01.2023"/>
      <sheetName val="24.01.2023"/>
      <sheetName val="25.01.2023"/>
      <sheetName val="26.01.2023"/>
      <sheetName val="27.01.2023"/>
      <sheetName val="28.01.2023"/>
      <sheetName val="29.01.2023"/>
      <sheetName val="30.01.2023"/>
      <sheetName val="31.01.2023"/>
      <sheetName val="Data"/>
      <sheetName val="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  <cell r="W1">
            <v>19</v>
          </cell>
          <cell r="X1">
            <v>20</v>
          </cell>
          <cell r="Y1">
            <v>21</v>
          </cell>
          <cell r="Z1">
            <v>22</v>
          </cell>
          <cell r="AA1">
            <v>23</v>
          </cell>
          <cell r="AB1">
            <v>24</v>
          </cell>
          <cell r="AC1">
            <v>25</v>
          </cell>
          <cell r="AD1">
            <v>26</v>
          </cell>
          <cell r="AE1">
            <v>27</v>
          </cell>
          <cell r="AF1">
            <v>28</v>
          </cell>
          <cell r="AG1">
            <v>29</v>
          </cell>
          <cell r="AH1">
            <v>30</v>
          </cell>
          <cell r="AI1">
            <v>31</v>
          </cell>
        </row>
        <row r="4">
          <cell r="A4" t="str">
            <v>ROLLING</v>
          </cell>
          <cell r="E4" t="str">
            <v>OFF - NEW YEAR</v>
          </cell>
          <cell r="F4">
            <v>97.06</v>
          </cell>
          <cell r="G4">
            <v>135.215</v>
          </cell>
          <cell r="H4">
            <v>85.69</v>
          </cell>
          <cell r="I4">
            <v>97.03</v>
          </cell>
          <cell r="J4">
            <v>75.31</v>
          </cell>
          <cell r="K4">
            <v>52.335000000000001</v>
          </cell>
          <cell r="L4">
            <v>101.1</v>
          </cell>
          <cell r="M4">
            <v>86.394999999999996</v>
          </cell>
          <cell r="N4">
            <v>42.685000000000002</v>
          </cell>
          <cell r="O4">
            <v>78.180000000000007</v>
          </cell>
          <cell r="P4">
            <v>83.94</v>
          </cell>
          <cell r="Q4">
            <v>94.27</v>
          </cell>
          <cell r="R4">
            <v>81.22</v>
          </cell>
          <cell r="S4">
            <v>88.97</v>
          </cell>
          <cell r="T4">
            <v>19.93</v>
          </cell>
          <cell r="U4">
            <v>92.584999999999994</v>
          </cell>
          <cell r="V4">
            <v>71.284999999999997</v>
          </cell>
          <cell r="W4">
            <v>74.95</v>
          </cell>
          <cell r="X4">
            <v>66.334999999999994</v>
          </cell>
          <cell r="Y4">
            <v>52.42</v>
          </cell>
          <cell r="Z4">
            <v>103.01</v>
          </cell>
          <cell r="AA4">
            <v>85.484999999999999</v>
          </cell>
          <cell r="AB4">
            <v>105.51</v>
          </cell>
          <cell r="AC4">
            <v>92.66</v>
          </cell>
          <cell r="AD4">
            <v>81.355000000000004</v>
          </cell>
          <cell r="AE4">
            <v>61.484999999999999</v>
          </cell>
          <cell r="AF4">
            <v>89.35</v>
          </cell>
          <cell r="AG4">
            <v>88.015000000000001</v>
          </cell>
          <cell r="AH4">
            <v>95.31</v>
          </cell>
          <cell r="AI4">
            <v>93.39</v>
          </cell>
        </row>
        <row r="5">
          <cell r="A5" t="str">
            <v>RE-ROLLING</v>
          </cell>
          <cell r="N5">
            <v>21.135000000000002</v>
          </cell>
        </row>
        <row r="13">
          <cell r="A13" t="str">
            <v xml:space="preserve">BABY COIL </v>
          </cell>
          <cell r="E13">
            <v>0</v>
          </cell>
          <cell r="F13">
            <v>0.115</v>
          </cell>
          <cell r="G13">
            <v>0.215</v>
          </cell>
          <cell r="H13">
            <v>4.4999999999999998E-2</v>
          </cell>
          <cell r="I13">
            <v>0.03</v>
          </cell>
          <cell r="J13">
            <v>0.115</v>
          </cell>
          <cell r="K13">
            <v>7.0000000000000007E-2</v>
          </cell>
          <cell r="L13">
            <v>0</v>
          </cell>
          <cell r="M13">
            <v>0</v>
          </cell>
          <cell r="N13">
            <v>0.37</v>
          </cell>
          <cell r="O13">
            <v>0.5</v>
          </cell>
          <cell r="P13">
            <v>0.5</v>
          </cell>
          <cell r="Q13">
            <v>0.18</v>
          </cell>
          <cell r="R13">
            <v>0</v>
          </cell>
          <cell r="S13">
            <v>4.4999999999999998E-2</v>
          </cell>
          <cell r="T13">
            <v>0.46</v>
          </cell>
          <cell r="U13">
            <v>0.41</v>
          </cell>
          <cell r="V13">
            <v>0.155</v>
          </cell>
          <cell r="W13">
            <v>0.51500000000000001</v>
          </cell>
          <cell r="X13">
            <v>1.3</v>
          </cell>
          <cell r="Y13">
            <v>0.31</v>
          </cell>
          <cell r="Z13">
            <v>0</v>
          </cell>
          <cell r="AA13">
            <v>0.755</v>
          </cell>
          <cell r="AB13">
            <v>0.57999999999999996</v>
          </cell>
          <cell r="AC13">
            <v>0.39</v>
          </cell>
          <cell r="AD13">
            <v>0.52</v>
          </cell>
          <cell r="AE13">
            <v>0.36</v>
          </cell>
          <cell r="AF13">
            <v>1.1299999999999999</v>
          </cell>
          <cell r="AG13">
            <v>0.14000000000000001</v>
          </cell>
          <cell r="AH13">
            <v>0.55500000000000005</v>
          </cell>
          <cell r="AI13">
            <v>0.29499999999999998</v>
          </cell>
        </row>
        <row r="15">
          <cell r="B15" t="str">
            <v>PRIME</v>
          </cell>
          <cell r="E15">
            <v>481.67599999999999</v>
          </cell>
          <cell r="F15">
            <v>571.67600000000004</v>
          </cell>
          <cell r="G15">
            <v>687.16600000000005</v>
          </cell>
          <cell r="H15">
            <v>572.17600000000004</v>
          </cell>
          <cell r="I15">
            <v>664.16600000000005</v>
          </cell>
          <cell r="J15">
            <v>357.12599999999998</v>
          </cell>
          <cell r="K15">
            <v>442.70100000000002</v>
          </cell>
          <cell r="L15">
            <v>496.45600000000002</v>
          </cell>
          <cell r="M15">
            <v>600.64599999999996</v>
          </cell>
          <cell r="N15">
            <v>716.89099999999996</v>
          </cell>
          <cell r="O15">
            <v>771.89599999999996</v>
          </cell>
          <cell r="P15">
            <v>537.21100000000001</v>
          </cell>
          <cell r="Q15">
            <v>363.226</v>
          </cell>
          <cell r="R15">
            <v>429.95100000000002</v>
          </cell>
          <cell r="S15">
            <v>521.31100000000004</v>
          </cell>
          <cell r="T15">
            <v>561.13099999999997</v>
          </cell>
          <cell r="U15">
            <v>637.19100000000003</v>
          </cell>
          <cell r="V15">
            <v>532.57600000000002</v>
          </cell>
          <cell r="W15">
            <v>636.36099999999999</v>
          </cell>
          <cell r="X15">
            <v>450.96100000000001</v>
          </cell>
          <cell r="Y15">
            <v>612.96100000000001</v>
          </cell>
          <cell r="Z15">
            <v>660.99099999999999</v>
          </cell>
          <cell r="AA15">
            <v>825.101</v>
          </cell>
          <cell r="AB15">
            <v>927.27599999999995</v>
          </cell>
          <cell r="AC15">
            <v>831.73099999999999</v>
          </cell>
          <cell r="AD15">
            <v>949.94100000000003</v>
          </cell>
          <cell r="AE15">
            <v>511.48599999999999</v>
          </cell>
          <cell r="AF15">
            <v>439.31099999999998</v>
          </cell>
          <cell r="AG15">
            <v>377.64100000000002</v>
          </cell>
          <cell r="AH15">
            <v>401.13099999999997</v>
          </cell>
          <cell r="AI15">
            <v>532.03599999999994</v>
          </cell>
        </row>
        <row r="16">
          <cell r="B16" t="str">
            <v>KW2 COIL</v>
          </cell>
          <cell r="E16">
            <v>62.002000000000002</v>
          </cell>
          <cell r="F16">
            <v>62.002000000000002</v>
          </cell>
          <cell r="G16">
            <v>62.002000000000002</v>
          </cell>
          <cell r="H16">
            <v>62.002000000000002</v>
          </cell>
          <cell r="I16">
            <v>62.002000000000002</v>
          </cell>
          <cell r="J16">
            <v>62.002000000000002</v>
          </cell>
          <cell r="K16">
            <v>62.002000000000002</v>
          </cell>
          <cell r="L16">
            <v>62.002000000000002</v>
          </cell>
          <cell r="M16">
            <v>62.002000000000002</v>
          </cell>
          <cell r="N16">
            <v>62.002000000000002</v>
          </cell>
          <cell r="O16">
            <v>62.002000000000002</v>
          </cell>
          <cell r="P16">
            <v>62.002000000000002</v>
          </cell>
          <cell r="Q16">
            <v>62.356999999999999</v>
          </cell>
          <cell r="R16">
            <v>62.356999999999999</v>
          </cell>
          <cell r="S16">
            <v>62.356999999999999</v>
          </cell>
          <cell r="T16">
            <v>62.356999999999999</v>
          </cell>
          <cell r="U16">
            <v>62.356999999999999</v>
          </cell>
          <cell r="V16">
            <v>62.356999999999999</v>
          </cell>
          <cell r="W16">
            <v>62.642000000000003</v>
          </cell>
          <cell r="X16">
            <v>62.642000000000003</v>
          </cell>
          <cell r="Y16">
            <v>62.642000000000003</v>
          </cell>
          <cell r="Z16">
            <v>63.182000000000002</v>
          </cell>
          <cell r="AA16">
            <v>63.182000000000002</v>
          </cell>
          <cell r="AB16">
            <v>63.182000000000002</v>
          </cell>
          <cell r="AC16">
            <v>63.182000000000002</v>
          </cell>
          <cell r="AD16">
            <v>63.182000000000002</v>
          </cell>
          <cell r="AE16">
            <v>63.182000000000002</v>
          </cell>
          <cell r="AF16">
            <v>64.287000000000006</v>
          </cell>
          <cell r="AG16">
            <v>64.287000000000006</v>
          </cell>
          <cell r="AH16">
            <v>64.527000000000001</v>
          </cell>
          <cell r="AI16">
            <v>64.527000000000001</v>
          </cell>
        </row>
        <row r="17">
          <cell r="B17" t="str">
            <v>KW2 SHEET</v>
          </cell>
          <cell r="E17">
            <v>4.0060000000000002</v>
          </cell>
          <cell r="F17">
            <v>4.0060000000000002</v>
          </cell>
          <cell r="G17">
            <v>4.0060000000000002</v>
          </cell>
          <cell r="H17">
            <v>4.0060000000000002</v>
          </cell>
          <cell r="I17">
            <v>4.0060000000000002</v>
          </cell>
          <cell r="J17">
            <v>4.0060000000000002</v>
          </cell>
          <cell r="K17">
            <v>4.0060000000000002</v>
          </cell>
          <cell r="L17">
            <v>4.0060000000000002</v>
          </cell>
          <cell r="M17">
            <v>4.0060000000000002</v>
          </cell>
          <cell r="N17">
            <v>4.0060000000000002</v>
          </cell>
          <cell r="O17">
            <v>4.0060000000000002</v>
          </cell>
          <cell r="P17">
            <v>4.0060000000000002</v>
          </cell>
          <cell r="Q17">
            <v>4.0060000000000002</v>
          </cell>
          <cell r="R17">
            <v>4.0060000000000002</v>
          </cell>
          <cell r="S17">
            <v>4.0060000000000002</v>
          </cell>
          <cell r="T17">
            <v>4.0060000000000002</v>
          </cell>
          <cell r="U17">
            <v>4.0060000000000002</v>
          </cell>
          <cell r="V17">
            <v>4.0060000000000002</v>
          </cell>
          <cell r="W17">
            <v>4.0060000000000002</v>
          </cell>
          <cell r="X17">
            <v>4.0060000000000002</v>
          </cell>
          <cell r="Y17">
            <v>4.0060000000000002</v>
          </cell>
          <cell r="Z17">
            <v>4.0060000000000002</v>
          </cell>
          <cell r="AA17">
            <v>4.0060000000000002</v>
          </cell>
          <cell r="AB17">
            <v>4.0060000000000002</v>
          </cell>
          <cell r="AC17">
            <v>4.0060000000000002</v>
          </cell>
          <cell r="AD17">
            <v>4.0060000000000002</v>
          </cell>
          <cell r="AE17">
            <v>4.0060000000000002</v>
          </cell>
          <cell r="AF17">
            <v>4.0060000000000002</v>
          </cell>
          <cell r="AG17">
            <v>4.0060000000000002</v>
          </cell>
          <cell r="AH17">
            <v>4.0060000000000002</v>
          </cell>
          <cell r="AI17">
            <v>4.0060000000000002</v>
          </cell>
        </row>
        <row r="18">
          <cell r="B18" t="str">
            <v>TOTAL</v>
          </cell>
          <cell r="E18">
            <v>547.68399999999997</v>
          </cell>
          <cell r="F18">
            <v>637.68399999999997</v>
          </cell>
          <cell r="G18">
            <v>753.17399999999998</v>
          </cell>
          <cell r="H18">
            <v>638.18399999999997</v>
          </cell>
          <cell r="I18">
            <v>730.17399999999998</v>
          </cell>
          <cell r="J18">
            <v>423.13400000000001</v>
          </cell>
          <cell r="K18">
            <v>508.70900000000006</v>
          </cell>
          <cell r="L18">
            <v>562.46399999999994</v>
          </cell>
          <cell r="M18">
            <v>666.65399999999988</v>
          </cell>
          <cell r="N18">
            <v>782.89899999999989</v>
          </cell>
          <cell r="O18">
            <v>837.90399999999988</v>
          </cell>
          <cell r="P18">
            <v>603.21899999999994</v>
          </cell>
          <cell r="Q18">
            <v>429.58899999999994</v>
          </cell>
          <cell r="R18">
            <v>496.31399999999996</v>
          </cell>
          <cell r="S18">
            <v>587.67399999999998</v>
          </cell>
          <cell r="T18">
            <v>627.49399999999991</v>
          </cell>
          <cell r="U18">
            <v>703.55399999999997</v>
          </cell>
          <cell r="V18">
            <v>598.93899999999996</v>
          </cell>
          <cell r="W18">
            <v>703.00900000000001</v>
          </cell>
          <cell r="X18">
            <v>517.60900000000004</v>
          </cell>
          <cell r="Y18">
            <v>679.60900000000004</v>
          </cell>
          <cell r="Z18">
            <v>728.17899999999997</v>
          </cell>
          <cell r="AA18">
            <v>892.28899999999999</v>
          </cell>
          <cell r="AB18">
            <v>994.46399999999994</v>
          </cell>
          <cell r="AC18">
            <v>898.91899999999998</v>
          </cell>
          <cell r="AD18">
            <v>1017.129</v>
          </cell>
          <cell r="AE18">
            <v>578.67399999999998</v>
          </cell>
          <cell r="AF18">
            <v>507.60399999999993</v>
          </cell>
          <cell r="AG18">
            <v>445.93399999999997</v>
          </cell>
          <cell r="AH18">
            <v>469.66399999999999</v>
          </cell>
        </row>
        <row r="19">
          <cell r="B19" t="str">
            <v>TARGET</v>
          </cell>
          <cell r="E19">
            <v>500</v>
          </cell>
          <cell r="F19">
            <v>500</v>
          </cell>
          <cell r="G19">
            <v>500</v>
          </cell>
          <cell r="H19">
            <v>500</v>
          </cell>
          <cell r="I19">
            <v>500</v>
          </cell>
          <cell r="J19">
            <v>500</v>
          </cell>
          <cell r="K19">
            <v>500</v>
          </cell>
          <cell r="L19">
            <v>500</v>
          </cell>
          <cell r="M19">
            <v>500</v>
          </cell>
          <cell r="N19">
            <v>500</v>
          </cell>
          <cell r="O19">
            <v>500</v>
          </cell>
          <cell r="P19">
            <v>500</v>
          </cell>
          <cell r="Q19">
            <v>500</v>
          </cell>
          <cell r="R19">
            <v>500</v>
          </cell>
          <cell r="S19">
            <v>500</v>
          </cell>
          <cell r="T19">
            <v>500</v>
          </cell>
          <cell r="U19">
            <v>500</v>
          </cell>
          <cell r="V19">
            <v>500</v>
          </cell>
          <cell r="W19">
            <v>500</v>
          </cell>
          <cell r="X19">
            <v>500</v>
          </cell>
          <cell r="Y19">
            <v>500</v>
          </cell>
          <cell r="Z19">
            <v>500</v>
          </cell>
          <cell r="AA19">
            <v>500</v>
          </cell>
          <cell r="AB19">
            <v>500</v>
          </cell>
          <cell r="AC19">
            <v>500</v>
          </cell>
          <cell r="AD19">
            <v>500</v>
          </cell>
          <cell r="AE19">
            <v>500</v>
          </cell>
          <cell r="AF19">
            <v>500</v>
          </cell>
          <cell r="AG19">
            <v>500</v>
          </cell>
          <cell r="AH19">
            <v>500</v>
          </cell>
          <cell r="AI19">
            <v>500</v>
          </cell>
        </row>
        <row r="20">
          <cell r="A20" t="str">
            <v>WIP</v>
          </cell>
          <cell r="E20">
            <v>2202.5970000000002</v>
          </cell>
          <cell r="F20">
            <v>2208.5070000000001</v>
          </cell>
          <cell r="G20">
            <v>2227.002</v>
          </cell>
          <cell r="H20">
            <v>2224.9969999999998</v>
          </cell>
          <cell r="I20">
            <v>2228.5940000000001</v>
          </cell>
          <cell r="J20">
            <v>2225.5889999999999</v>
          </cell>
          <cell r="K20">
            <v>2181.5940000000001</v>
          </cell>
          <cell r="L20">
            <v>2233.2890000000002</v>
          </cell>
          <cell r="M20">
            <v>2230.7139999999999</v>
          </cell>
          <cell r="N20">
            <v>2218.319</v>
          </cell>
          <cell r="O20">
            <v>2270.114</v>
          </cell>
          <cell r="P20">
            <v>2291.9490000000001</v>
          </cell>
          <cell r="Q20">
            <v>2327.2919999999999</v>
          </cell>
          <cell r="R20">
            <v>2372.0920000000001</v>
          </cell>
          <cell r="S20">
            <v>2379.9670000000001</v>
          </cell>
          <cell r="T20">
            <v>2360.87</v>
          </cell>
          <cell r="U20">
            <v>2397.8200000000002</v>
          </cell>
          <cell r="V20">
            <v>2424.11</v>
          </cell>
          <cell r="W20">
            <v>2408</v>
          </cell>
          <cell r="X20">
            <v>2405.5149999999999</v>
          </cell>
          <cell r="Y20">
            <v>2294.1350000000002</v>
          </cell>
          <cell r="Z20">
            <v>2336.89</v>
          </cell>
          <cell r="AA20">
            <v>2267.13</v>
          </cell>
          <cell r="AB20">
            <v>2268.2649999999999</v>
          </cell>
          <cell r="AC20">
            <v>2240.6840000000002</v>
          </cell>
          <cell r="AD20">
            <v>2182.864</v>
          </cell>
          <cell r="AE20">
            <v>2105.8589999999999</v>
          </cell>
          <cell r="AF20">
            <v>2020.1389999999999</v>
          </cell>
          <cell r="AG20">
            <v>1989.1289999999999</v>
          </cell>
          <cell r="AH20">
            <v>2015.8040000000001</v>
          </cell>
          <cell r="AI20">
            <v>1961.194</v>
          </cell>
        </row>
        <row r="21">
          <cell r="A21" t="str">
            <v>HOLD SLT</v>
          </cell>
          <cell r="E21">
            <v>36.895000000000003</v>
          </cell>
          <cell r="F21">
            <v>36.895000000000003</v>
          </cell>
          <cell r="G21">
            <v>36.895000000000003</v>
          </cell>
          <cell r="H21">
            <v>36.895000000000003</v>
          </cell>
          <cell r="I21">
            <v>36.895000000000003</v>
          </cell>
          <cell r="J21">
            <v>36.895000000000003</v>
          </cell>
          <cell r="K21">
            <v>47.505000000000003</v>
          </cell>
          <cell r="L21">
            <v>52.555</v>
          </cell>
          <cell r="M21">
            <v>36.895000000000003</v>
          </cell>
          <cell r="N21">
            <v>36.895000000000003</v>
          </cell>
          <cell r="O21">
            <v>36.895000000000003</v>
          </cell>
          <cell r="P21">
            <v>47.594999999999999</v>
          </cell>
          <cell r="Q21">
            <v>47.594999999999999</v>
          </cell>
          <cell r="R21">
            <v>47.594999999999999</v>
          </cell>
          <cell r="S21">
            <v>47.594999999999999</v>
          </cell>
          <cell r="T21">
            <v>47.594999999999999</v>
          </cell>
          <cell r="U21">
            <v>47.594999999999999</v>
          </cell>
          <cell r="V21">
            <v>55.805</v>
          </cell>
          <cell r="W21">
            <v>50.204999999999998</v>
          </cell>
          <cell r="X21">
            <v>50.204999999999998</v>
          </cell>
          <cell r="Y21">
            <v>50.204999999999998</v>
          </cell>
          <cell r="Z21">
            <v>60.875</v>
          </cell>
          <cell r="AA21">
            <v>60.875</v>
          </cell>
          <cell r="AB21">
            <v>84.03</v>
          </cell>
          <cell r="AC21">
            <v>78.305000000000007</v>
          </cell>
          <cell r="AD21">
            <v>88.6</v>
          </cell>
          <cell r="AE21">
            <v>88.6</v>
          </cell>
          <cell r="AF21">
            <v>92.64500000000001</v>
          </cell>
          <cell r="AG21">
            <v>87.605000000000004</v>
          </cell>
          <cell r="AH21">
            <v>82.35</v>
          </cell>
          <cell r="AI21">
            <v>82.35</v>
          </cell>
        </row>
        <row r="22">
          <cell r="B22" t="str">
            <v>J1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B23" t="str">
            <v>J2</v>
          </cell>
          <cell r="E23">
            <v>49.287999999999997</v>
          </cell>
          <cell r="F23">
            <v>49.287999999999997</v>
          </cell>
          <cell r="G23">
            <v>49.287999999999997</v>
          </cell>
          <cell r="H23">
            <v>49.287999999999997</v>
          </cell>
          <cell r="I23">
            <v>49.287999999999997</v>
          </cell>
          <cell r="J23">
            <v>49.287999999999997</v>
          </cell>
          <cell r="K23">
            <v>49.287999999999997</v>
          </cell>
          <cell r="L23">
            <v>49.287999999999997</v>
          </cell>
          <cell r="M23">
            <v>49.287999999999997</v>
          </cell>
          <cell r="N23">
            <v>49.287999999999997</v>
          </cell>
          <cell r="O23">
            <v>49.287999999999997</v>
          </cell>
          <cell r="P23">
            <v>49.287999999999997</v>
          </cell>
          <cell r="Q23">
            <v>49.287999999999997</v>
          </cell>
          <cell r="R23">
            <v>49.287999999999997</v>
          </cell>
          <cell r="S23">
            <v>49.287999999999997</v>
          </cell>
          <cell r="T23">
            <v>49.287999999999997</v>
          </cell>
          <cell r="U23">
            <v>49.287999999999997</v>
          </cell>
          <cell r="V23">
            <v>49.287999999999997</v>
          </cell>
          <cell r="W23">
            <v>49.287999999999997</v>
          </cell>
          <cell r="X23">
            <v>49.287999999999997</v>
          </cell>
          <cell r="Y23">
            <v>49.287999999999997</v>
          </cell>
          <cell r="Z23">
            <v>49.287999999999997</v>
          </cell>
          <cell r="AA23">
            <v>49.287999999999997</v>
          </cell>
          <cell r="AB23">
            <v>49.287999999999997</v>
          </cell>
          <cell r="AC23">
            <v>49.287999999999997</v>
          </cell>
          <cell r="AD23">
            <v>49.287999999999997</v>
          </cell>
          <cell r="AE23">
            <v>49.287999999999997</v>
          </cell>
          <cell r="AF23">
            <v>49.287999999999997</v>
          </cell>
          <cell r="AG23">
            <v>49.287999999999997</v>
          </cell>
          <cell r="AH23">
            <v>49.287999999999997</v>
          </cell>
          <cell r="AI23">
            <v>49.287999999999997</v>
          </cell>
        </row>
        <row r="24">
          <cell r="B24" t="str">
            <v>J3</v>
          </cell>
          <cell r="E24">
            <v>2273.9369999999994</v>
          </cell>
          <cell r="F24">
            <v>2273.9369999999994</v>
          </cell>
          <cell r="G24">
            <v>2273.9369999999994</v>
          </cell>
          <cell r="H24">
            <v>2273.9369999999994</v>
          </cell>
          <cell r="I24">
            <v>2273.9369999999994</v>
          </cell>
          <cell r="J24">
            <v>2273.9369999999994</v>
          </cell>
          <cell r="K24">
            <v>2273.9369999999994</v>
          </cell>
          <cell r="L24">
            <v>2273.9369999999994</v>
          </cell>
          <cell r="M24">
            <v>2273.9369999999994</v>
          </cell>
          <cell r="N24">
            <v>2273.9369999999994</v>
          </cell>
          <cell r="O24">
            <v>2273.9369999999994</v>
          </cell>
          <cell r="P24">
            <v>2273.9369999999994</v>
          </cell>
          <cell r="Q24">
            <v>2273.9369999999994</v>
          </cell>
          <cell r="R24">
            <v>2273.9369999999994</v>
          </cell>
          <cell r="S24">
            <v>2273.9369999999994</v>
          </cell>
          <cell r="T24">
            <v>2273.9369999999994</v>
          </cell>
          <cell r="U24">
            <v>2273.9369999999994</v>
          </cell>
          <cell r="V24">
            <v>2273.9369999999994</v>
          </cell>
          <cell r="W24">
            <v>2273.9369999999994</v>
          </cell>
          <cell r="X24">
            <v>2273.9369999999994</v>
          </cell>
          <cell r="Y24">
            <v>2273.9369999999994</v>
          </cell>
          <cell r="Z24">
            <v>2273.9369999999994</v>
          </cell>
          <cell r="AA24">
            <v>2273.9369999999994</v>
          </cell>
          <cell r="AB24">
            <v>2273.9369999999994</v>
          </cell>
          <cell r="AC24">
            <v>2776.1620000000003</v>
          </cell>
          <cell r="AD24">
            <v>2776.1620000000003</v>
          </cell>
          <cell r="AE24">
            <v>2776.1620000000003</v>
          </cell>
          <cell r="AF24">
            <v>2776.1620000000003</v>
          </cell>
          <cell r="AG24">
            <v>2776.1620000000003</v>
          </cell>
          <cell r="AH24">
            <v>2776.1620000000003</v>
          </cell>
          <cell r="AI24">
            <v>2776.1620000000003</v>
          </cell>
        </row>
        <row r="25">
          <cell r="B25" t="str">
            <v>J4</v>
          </cell>
          <cell r="E25">
            <v>24.55</v>
          </cell>
          <cell r="F25">
            <v>24.55</v>
          </cell>
          <cell r="G25">
            <v>24.55</v>
          </cell>
          <cell r="H25">
            <v>24.55</v>
          </cell>
          <cell r="I25">
            <v>24.55</v>
          </cell>
          <cell r="J25">
            <v>24.55</v>
          </cell>
          <cell r="K25">
            <v>24.55</v>
          </cell>
          <cell r="L25">
            <v>24.55</v>
          </cell>
          <cell r="M25">
            <v>24.55</v>
          </cell>
          <cell r="N25">
            <v>24.55</v>
          </cell>
          <cell r="O25">
            <v>24.55</v>
          </cell>
          <cell r="P25">
            <v>24.55</v>
          </cell>
          <cell r="Q25">
            <v>24.55</v>
          </cell>
          <cell r="R25">
            <v>24.55</v>
          </cell>
          <cell r="S25">
            <v>24.55</v>
          </cell>
          <cell r="T25">
            <v>24.55</v>
          </cell>
          <cell r="U25">
            <v>24.55</v>
          </cell>
          <cell r="V25">
            <v>24.55</v>
          </cell>
          <cell r="W25">
            <v>24.55</v>
          </cell>
          <cell r="X25">
            <v>24.55</v>
          </cell>
          <cell r="Y25">
            <v>24.55</v>
          </cell>
          <cell r="Z25">
            <v>24.55</v>
          </cell>
          <cell r="AA25">
            <v>24.55</v>
          </cell>
          <cell r="AB25">
            <v>24.55</v>
          </cell>
          <cell r="AC25">
            <v>24.55</v>
          </cell>
          <cell r="AD25">
            <v>24.55</v>
          </cell>
          <cell r="AE25">
            <v>24.55</v>
          </cell>
          <cell r="AF25">
            <v>24.55</v>
          </cell>
          <cell r="AG25">
            <v>24.55</v>
          </cell>
          <cell r="AH25">
            <v>24.55</v>
          </cell>
          <cell r="AI25">
            <v>24.55</v>
          </cell>
        </row>
        <row r="26">
          <cell r="B26" t="str">
            <v>304/L</v>
          </cell>
          <cell r="E26">
            <v>5934.03</v>
          </cell>
          <cell r="F26">
            <v>5934.0450000000001</v>
          </cell>
          <cell r="G26">
            <v>5842.26</v>
          </cell>
          <cell r="H26">
            <v>5756.5550000000003</v>
          </cell>
          <cell r="I26">
            <v>5659.6850000000004</v>
          </cell>
          <cell r="J26">
            <v>5573.83</v>
          </cell>
          <cell r="K26">
            <v>5521.5050000000001</v>
          </cell>
          <cell r="L26">
            <v>5410.6450000000004</v>
          </cell>
          <cell r="M26">
            <v>5323.4650000000001</v>
          </cell>
          <cell r="N26">
            <v>5218.5749999999998</v>
          </cell>
          <cell r="O26">
            <v>5110.335</v>
          </cell>
          <cell r="P26">
            <v>5008.6500000000024</v>
          </cell>
          <cell r="Q26">
            <v>4874.51</v>
          </cell>
          <cell r="R26">
            <v>4762.1400000000003</v>
          </cell>
          <cell r="S26">
            <v>4652.2749999999996</v>
          </cell>
          <cell r="T26">
            <v>4589.92</v>
          </cell>
          <cell r="U26">
            <v>4475.9949999999999</v>
          </cell>
          <cell r="V26">
            <v>4394.1049999999996</v>
          </cell>
          <cell r="W26">
            <v>4308.5150000000003</v>
          </cell>
          <cell r="X26">
            <v>4200.04</v>
          </cell>
          <cell r="Y26">
            <v>4147.62</v>
          </cell>
          <cell r="Z26">
            <v>4044.61</v>
          </cell>
          <cell r="AA26">
            <v>3948.58</v>
          </cell>
          <cell r="AB26">
            <v>6822.21</v>
          </cell>
          <cell r="AC26">
            <v>6719.4949999999999</v>
          </cell>
          <cell r="AD26">
            <v>6595.46</v>
          </cell>
          <cell r="AE26">
            <v>6512.8649999999998</v>
          </cell>
          <cell r="AF26">
            <v>6413.11</v>
          </cell>
          <cell r="AG26">
            <v>6335.5</v>
          </cell>
          <cell r="AH26">
            <v>6187.2250000000004</v>
          </cell>
          <cell r="AI26">
            <v>6062.25</v>
          </cell>
        </row>
        <row r="27">
          <cell r="B27">
            <v>301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B28" t="str">
            <v>316/L</v>
          </cell>
          <cell r="E28">
            <v>151.33500000000001</v>
          </cell>
          <cell r="F28">
            <v>54.275000000000006</v>
          </cell>
          <cell r="G28">
            <v>10.92</v>
          </cell>
          <cell r="H28">
            <v>10.92</v>
          </cell>
          <cell r="I28">
            <v>10.92</v>
          </cell>
          <cell r="J28">
            <v>10.92</v>
          </cell>
          <cell r="K28">
            <v>10.92</v>
          </cell>
          <cell r="L28">
            <v>10.92</v>
          </cell>
          <cell r="M28">
            <v>10.92</v>
          </cell>
          <cell r="N28">
            <v>10.92</v>
          </cell>
          <cell r="O28">
            <v>10.92</v>
          </cell>
          <cell r="P28">
            <v>10.92</v>
          </cell>
          <cell r="Q28">
            <v>10.92</v>
          </cell>
          <cell r="R28">
            <v>10.92</v>
          </cell>
          <cell r="S28">
            <v>10.92</v>
          </cell>
          <cell r="T28">
            <v>10.92</v>
          </cell>
          <cell r="U28">
            <v>10.92</v>
          </cell>
          <cell r="V28">
            <v>10.92</v>
          </cell>
          <cell r="W28">
            <v>10.92</v>
          </cell>
          <cell r="X28">
            <v>10.92</v>
          </cell>
          <cell r="Y28">
            <v>10.92</v>
          </cell>
          <cell r="Z28">
            <v>10.92</v>
          </cell>
          <cell r="AA28">
            <v>10.92</v>
          </cell>
          <cell r="AB28">
            <v>113.99</v>
          </cell>
          <cell r="AC28">
            <v>113.99</v>
          </cell>
          <cell r="AD28">
            <v>113.99</v>
          </cell>
          <cell r="AE28">
            <v>113.99</v>
          </cell>
          <cell r="AF28">
            <v>113.99</v>
          </cell>
          <cell r="AG28">
            <v>113.99</v>
          </cell>
          <cell r="AH28">
            <v>113.99</v>
          </cell>
          <cell r="AI28">
            <v>113.99</v>
          </cell>
        </row>
        <row r="29">
          <cell r="B29">
            <v>430</v>
          </cell>
          <cell r="E29">
            <v>20.887999999999998</v>
          </cell>
          <cell r="F29">
            <v>20.887999999999998</v>
          </cell>
          <cell r="G29">
            <v>20.887999999999998</v>
          </cell>
          <cell r="H29">
            <v>20.887999999999998</v>
          </cell>
          <cell r="I29">
            <v>20.887999999999998</v>
          </cell>
          <cell r="J29">
            <v>20.887999999999998</v>
          </cell>
          <cell r="K29">
            <v>20.887999999999998</v>
          </cell>
          <cell r="L29">
            <v>20.887999999999998</v>
          </cell>
          <cell r="M29">
            <v>20.887999999999998</v>
          </cell>
          <cell r="N29">
            <v>20.887999999999998</v>
          </cell>
          <cell r="O29">
            <v>20.887999999999998</v>
          </cell>
          <cell r="P29">
            <v>20.887999999999998</v>
          </cell>
          <cell r="Q29">
            <v>20.887999999999998</v>
          </cell>
          <cell r="R29">
            <v>20.887999999999998</v>
          </cell>
          <cell r="S29">
            <v>20.887999999999998</v>
          </cell>
          <cell r="T29">
            <v>20.887999999999998</v>
          </cell>
          <cell r="U29">
            <v>20.887999999999998</v>
          </cell>
          <cell r="V29">
            <v>20.887999999999998</v>
          </cell>
          <cell r="W29">
            <v>20.887999999999998</v>
          </cell>
          <cell r="X29">
            <v>20.887999999999998</v>
          </cell>
          <cell r="Y29">
            <v>20.887999999999998</v>
          </cell>
          <cell r="Z29">
            <v>20.887999999999998</v>
          </cell>
          <cell r="AA29">
            <v>20.887999999999998</v>
          </cell>
          <cell r="AB29">
            <v>20.887999999999998</v>
          </cell>
          <cell r="AC29">
            <v>20.887999999999998</v>
          </cell>
          <cell r="AD29">
            <v>20.887999999999998</v>
          </cell>
          <cell r="AE29">
            <v>20.887999999999998</v>
          </cell>
          <cell r="AF29">
            <v>20.887999999999998</v>
          </cell>
          <cell r="AG29">
            <v>20.887999999999998</v>
          </cell>
          <cell r="AH29">
            <v>20.887999999999998</v>
          </cell>
          <cell r="AI29">
            <v>20.887999999999998</v>
          </cell>
        </row>
        <row r="30">
          <cell r="B30" t="str">
            <v>J2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</row>
        <row r="31">
          <cell r="B31" t="str">
            <v>J3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B32" t="str">
            <v>J4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</row>
        <row r="33">
          <cell r="B33" t="str">
            <v>304/L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</row>
        <row r="34">
          <cell r="B34" t="str">
            <v>316/L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</row>
        <row r="35">
          <cell r="B35">
            <v>430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B36" t="str">
            <v>J1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</row>
        <row r="37">
          <cell r="B37" t="str">
            <v>J2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B38" t="str">
            <v>J3</v>
          </cell>
          <cell r="E38">
            <v>319.68500000000006</v>
          </cell>
          <cell r="F38">
            <v>319.68500000000006</v>
          </cell>
          <cell r="G38">
            <v>319.68500000000006</v>
          </cell>
          <cell r="H38">
            <v>319.68500000000006</v>
          </cell>
          <cell r="I38">
            <v>319.68500000000006</v>
          </cell>
          <cell r="J38">
            <v>319.68500000000006</v>
          </cell>
          <cell r="K38">
            <v>319.68500000000006</v>
          </cell>
          <cell r="L38">
            <v>319.68500000000006</v>
          </cell>
          <cell r="M38">
            <v>319.68500000000006</v>
          </cell>
          <cell r="N38">
            <v>319.68500000000006</v>
          </cell>
          <cell r="O38">
            <v>319.68500000000006</v>
          </cell>
          <cell r="P38">
            <v>319.68500000000006</v>
          </cell>
          <cell r="Q38">
            <v>319.68500000000006</v>
          </cell>
          <cell r="R38">
            <v>319.68500000000006</v>
          </cell>
          <cell r="S38">
            <v>319.68500000000006</v>
          </cell>
          <cell r="T38">
            <v>319.68500000000006</v>
          </cell>
          <cell r="U38">
            <v>319.68500000000006</v>
          </cell>
          <cell r="V38">
            <v>319.68500000000006</v>
          </cell>
          <cell r="W38">
            <v>319.68500000000006</v>
          </cell>
          <cell r="X38">
            <v>319.68500000000006</v>
          </cell>
          <cell r="Y38">
            <v>319.68500000000006</v>
          </cell>
          <cell r="Z38">
            <v>319.68500000000006</v>
          </cell>
          <cell r="AA38">
            <v>319.68500000000006</v>
          </cell>
          <cell r="AB38">
            <v>319.68500000000006</v>
          </cell>
          <cell r="AC38">
            <v>319.68500000000006</v>
          </cell>
          <cell r="AD38">
            <v>319.68500000000006</v>
          </cell>
          <cell r="AE38">
            <v>319.68500000000006</v>
          </cell>
          <cell r="AF38">
            <v>319.68500000000006</v>
          </cell>
          <cell r="AG38">
            <v>319.68500000000006</v>
          </cell>
          <cell r="AH38">
            <v>319.68500000000006</v>
          </cell>
          <cell r="AI38">
            <v>319.68500000000006</v>
          </cell>
        </row>
        <row r="39">
          <cell r="B39" t="str">
            <v>J4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</row>
        <row r="40">
          <cell r="B40" t="str">
            <v>304/L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</row>
        <row r="41">
          <cell r="B41" t="str">
            <v>316/L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</row>
        <row r="42">
          <cell r="B42">
            <v>430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</row>
        <row r="43">
          <cell r="B43">
            <v>410</v>
          </cell>
          <cell r="E43">
            <v>8.4570000000000007</v>
          </cell>
          <cell r="F43">
            <v>8.4570000000000007</v>
          </cell>
          <cell r="G43">
            <v>8.4570000000000007</v>
          </cell>
          <cell r="H43">
            <v>8.4570000000000007</v>
          </cell>
          <cell r="I43">
            <v>8.4570000000000007</v>
          </cell>
          <cell r="J43">
            <v>8.4570000000000007</v>
          </cell>
          <cell r="K43">
            <v>8.4570000000000007</v>
          </cell>
          <cell r="L43">
            <v>8.4570000000000007</v>
          </cell>
          <cell r="M43">
            <v>8.4570000000000007</v>
          </cell>
          <cell r="N43">
            <v>8.4570000000000007</v>
          </cell>
          <cell r="O43">
            <v>8.4570000000000007</v>
          </cell>
          <cell r="P43">
            <v>8.4570000000000007</v>
          </cell>
          <cell r="Q43">
            <v>8.4570000000000007</v>
          </cell>
          <cell r="R43">
            <v>8.4570000000000007</v>
          </cell>
          <cell r="S43">
            <v>8.4570000000000007</v>
          </cell>
          <cell r="T43">
            <v>8.4570000000000007</v>
          </cell>
          <cell r="U43">
            <v>8.4570000000000007</v>
          </cell>
          <cell r="V43">
            <v>8.4570000000000007</v>
          </cell>
          <cell r="W43">
            <v>8.4570000000000007</v>
          </cell>
          <cell r="X43">
            <v>8.4570000000000007</v>
          </cell>
          <cell r="Y43">
            <v>8.4570000000000007</v>
          </cell>
          <cell r="Z43">
            <v>8.4570000000000007</v>
          </cell>
          <cell r="AA43">
            <v>8.4570000000000007</v>
          </cell>
          <cell r="AB43">
            <v>8.4570000000000007</v>
          </cell>
          <cell r="AC43">
            <v>8.4570000000000007</v>
          </cell>
          <cell r="AD43">
            <v>8.4570000000000007</v>
          </cell>
          <cell r="AE43">
            <v>8.4570000000000007</v>
          </cell>
          <cell r="AF43">
            <v>8.4570000000000007</v>
          </cell>
          <cell r="AG43">
            <v>8.4570000000000007</v>
          </cell>
          <cell r="AH43">
            <v>8.4570000000000007</v>
          </cell>
          <cell r="AI43">
            <v>8.4570000000000007</v>
          </cell>
        </row>
        <row r="44">
          <cell r="B44" t="str">
            <v>J2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</row>
        <row r="45">
          <cell r="B45" t="str">
            <v>J3</v>
          </cell>
          <cell r="E45">
            <v>35.683999999999997</v>
          </cell>
          <cell r="F45">
            <v>35.683999999999997</v>
          </cell>
          <cell r="G45">
            <v>35.683999999999997</v>
          </cell>
          <cell r="H45">
            <v>35.683999999999997</v>
          </cell>
          <cell r="I45">
            <v>35.683999999999997</v>
          </cell>
          <cell r="J45">
            <v>35.683999999999997</v>
          </cell>
          <cell r="K45">
            <v>35.683999999999997</v>
          </cell>
          <cell r="L45">
            <v>35.683999999999997</v>
          </cell>
          <cell r="M45">
            <v>35.683999999999997</v>
          </cell>
          <cell r="N45">
            <v>35.683999999999997</v>
          </cell>
          <cell r="O45">
            <v>35.683999999999997</v>
          </cell>
          <cell r="P45">
            <v>35.683999999999997</v>
          </cell>
          <cell r="Q45">
            <v>35.683999999999997</v>
          </cell>
          <cell r="R45">
            <v>35.683999999999997</v>
          </cell>
          <cell r="S45">
            <v>35.683999999999997</v>
          </cell>
          <cell r="T45">
            <v>35.683999999999997</v>
          </cell>
          <cell r="U45">
            <v>35.683999999999997</v>
          </cell>
          <cell r="V45">
            <v>35.683999999999997</v>
          </cell>
          <cell r="W45">
            <v>35.683999999999997</v>
          </cell>
          <cell r="X45">
            <v>35.683999999999997</v>
          </cell>
          <cell r="Y45">
            <v>35.683999999999997</v>
          </cell>
          <cell r="Z45">
            <v>35.683999999999997</v>
          </cell>
          <cell r="AA45">
            <v>35.683999999999997</v>
          </cell>
          <cell r="AB45">
            <v>35.683999999999997</v>
          </cell>
          <cell r="AC45">
            <v>35.683999999999997</v>
          </cell>
          <cell r="AD45">
            <v>35.683999999999997</v>
          </cell>
          <cell r="AE45">
            <v>35.683999999999997</v>
          </cell>
          <cell r="AF45">
            <v>35.683999999999997</v>
          </cell>
          <cell r="AG45">
            <v>35.683999999999997</v>
          </cell>
          <cell r="AH45">
            <v>35.683999999999997</v>
          </cell>
          <cell r="AI45">
            <v>35.683999999999997</v>
          </cell>
        </row>
        <row r="46">
          <cell r="B46" t="str">
            <v>J4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</row>
        <row r="47">
          <cell r="B47" t="str">
            <v>304/L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</row>
        <row r="48">
          <cell r="B48" t="str">
            <v>316/L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B49">
            <v>430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</row>
      </sheetData>
      <sheetData sheetId="3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CPL"/>
      <sheetName val="MILL"/>
      <sheetName val=" CLN"/>
      <sheetName val="MILL 2"/>
      <sheetName val="BAL"/>
      <sheetName val="SLT"/>
      <sheetName val="SLT 2"/>
      <sheetName val="CTL"/>
      <sheetName val="WH OKTOBER'22"/>
      <sheetName val="SUMMARY"/>
      <sheetName val="FG"/>
      <sheetName val="FG JOB ORDER"/>
      <sheetName val="FG-KW2 COIL"/>
      <sheetName val="FG KW2 SHEETS"/>
      <sheetName val="DISPATCH Oktober'22"/>
      <sheetName val="TRANSFER TO FG"/>
      <sheetName val="DISPATCH BABY COIL Nopember'19"/>
      <sheetName val="BABY COIL 2B OKTOBER"/>
      <sheetName val="BABY COIL 2B ALL 2018 - "/>
      <sheetName val="BABY COIL FH"/>
      <sheetName val="CUT SHEET BABY COIL"/>
      <sheetName val="Ok Scrap"/>
      <sheetName val="DISPATCH BBY"/>
      <sheetName val="MILL PROD. PER SHIFT"/>
      <sheetName val="COIL TIDAK KETEM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990F-A9C3-42AB-A290-5736CBF6E2B1}">
  <dimension ref="A1:O79"/>
  <sheetViews>
    <sheetView tabSelected="1" view="pageBreakPreview" zoomScale="89" zoomScaleNormal="89" zoomScaleSheetLayoutView="89" workbookViewId="0">
      <selection activeCell="I13" sqref="I13"/>
    </sheetView>
  </sheetViews>
  <sheetFormatPr defaultRowHeight="12.75" x14ac:dyDescent="0.25"/>
  <cols>
    <col min="1" max="1" width="15" style="2" customWidth="1"/>
    <col min="2" max="2" width="13.42578125" style="2" customWidth="1"/>
    <col min="3" max="3" width="13.5703125" style="2" customWidth="1"/>
    <col min="4" max="4" width="12.85546875" style="2" customWidth="1"/>
    <col min="5" max="5" width="15.140625" style="2" customWidth="1"/>
    <col min="6" max="6" width="14" style="2" customWidth="1"/>
    <col min="7" max="7" width="13.5703125" style="2" customWidth="1"/>
    <col min="8" max="8" width="11.7109375" style="2" customWidth="1"/>
    <col min="9" max="9" width="10.140625" style="2" customWidth="1"/>
    <col min="10" max="10" width="13" style="2" customWidth="1"/>
    <col min="11" max="11" width="10.5703125" style="2" bestFit="1" customWidth="1"/>
    <col min="12" max="12" width="9.140625" style="2"/>
    <col min="13" max="13" width="9.85546875" style="2" customWidth="1"/>
    <col min="14" max="261" width="9.140625" style="2"/>
    <col min="262" max="262" width="9.5703125" style="2" customWidth="1"/>
    <col min="263" max="263" width="9.140625" style="2"/>
    <col min="264" max="264" width="9.5703125" style="2" customWidth="1"/>
    <col min="265" max="265" width="9.85546875" style="2" customWidth="1"/>
    <col min="266" max="268" width="9.140625" style="2"/>
    <col min="269" max="269" width="9.85546875" style="2" customWidth="1"/>
    <col min="270" max="517" width="9.140625" style="2"/>
    <col min="518" max="518" width="9.5703125" style="2" customWidth="1"/>
    <col min="519" max="519" width="9.140625" style="2"/>
    <col min="520" max="520" width="9.5703125" style="2" customWidth="1"/>
    <col min="521" max="521" width="9.85546875" style="2" customWidth="1"/>
    <col min="522" max="524" width="9.140625" style="2"/>
    <col min="525" max="525" width="9.85546875" style="2" customWidth="1"/>
    <col min="526" max="773" width="9.140625" style="2"/>
    <col min="774" max="774" width="9.5703125" style="2" customWidth="1"/>
    <col min="775" max="775" width="9.140625" style="2"/>
    <col min="776" max="776" width="9.5703125" style="2" customWidth="1"/>
    <col min="777" max="777" width="9.85546875" style="2" customWidth="1"/>
    <col min="778" max="780" width="9.140625" style="2"/>
    <col min="781" max="781" width="9.85546875" style="2" customWidth="1"/>
    <col min="782" max="1029" width="9.140625" style="2"/>
    <col min="1030" max="1030" width="9.5703125" style="2" customWidth="1"/>
    <col min="1031" max="1031" width="9.140625" style="2"/>
    <col min="1032" max="1032" width="9.5703125" style="2" customWidth="1"/>
    <col min="1033" max="1033" width="9.85546875" style="2" customWidth="1"/>
    <col min="1034" max="1036" width="9.140625" style="2"/>
    <col min="1037" max="1037" width="9.85546875" style="2" customWidth="1"/>
    <col min="1038" max="1285" width="9.140625" style="2"/>
    <col min="1286" max="1286" width="9.5703125" style="2" customWidth="1"/>
    <col min="1287" max="1287" width="9.140625" style="2"/>
    <col min="1288" max="1288" width="9.5703125" style="2" customWidth="1"/>
    <col min="1289" max="1289" width="9.85546875" style="2" customWidth="1"/>
    <col min="1290" max="1292" width="9.140625" style="2"/>
    <col min="1293" max="1293" width="9.85546875" style="2" customWidth="1"/>
    <col min="1294" max="1541" width="9.140625" style="2"/>
    <col min="1542" max="1542" width="9.5703125" style="2" customWidth="1"/>
    <col min="1543" max="1543" width="9.140625" style="2"/>
    <col min="1544" max="1544" width="9.5703125" style="2" customWidth="1"/>
    <col min="1545" max="1545" width="9.85546875" style="2" customWidth="1"/>
    <col min="1546" max="1548" width="9.140625" style="2"/>
    <col min="1549" max="1549" width="9.85546875" style="2" customWidth="1"/>
    <col min="1550" max="1797" width="9.140625" style="2"/>
    <col min="1798" max="1798" width="9.5703125" style="2" customWidth="1"/>
    <col min="1799" max="1799" width="9.140625" style="2"/>
    <col min="1800" max="1800" width="9.5703125" style="2" customWidth="1"/>
    <col min="1801" max="1801" width="9.85546875" style="2" customWidth="1"/>
    <col min="1802" max="1804" width="9.140625" style="2"/>
    <col min="1805" max="1805" width="9.85546875" style="2" customWidth="1"/>
    <col min="1806" max="2053" width="9.140625" style="2"/>
    <col min="2054" max="2054" width="9.5703125" style="2" customWidth="1"/>
    <col min="2055" max="2055" width="9.140625" style="2"/>
    <col min="2056" max="2056" width="9.5703125" style="2" customWidth="1"/>
    <col min="2057" max="2057" width="9.85546875" style="2" customWidth="1"/>
    <col min="2058" max="2060" width="9.140625" style="2"/>
    <col min="2061" max="2061" width="9.85546875" style="2" customWidth="1"/>
    <col min="2062" max="2309" width="9.140625" style="2"/>
    <col min="2310" max="2310" width="9.5703125" style="2" customWidth="1"/>
    <col min="2311" max="2311" width="9.140625" style="2"/>
    <col min="2312" max="2312" width="9.5703125" style="2" customWidth="1"/>
    <col min="2313" max="2313" width="9.85546875" style="2" customWidth="1"/>
    <col min="2314" max="2316" width="9.140625" style="2"/>
    <col min="2317" max="2317" width="9.85546875" style="2" customWidth="1"/>
    <col min="2318" max="2565" width="9.140625" style="2"/>
    <col min="2566" max="2566" width="9.5703125" style="2" customWidth="1"/>
    <col min="2567" max="2567" width="9.140625" style="2"/>
    <col min="2568" max="2568" width="9.5703125" style="2" customWidth="1"/>
    <col min="2569" max="2569" width="9.85546875" style="2" customWidth="1"/>
    <col min="2570" max="2572" width="9.140625" style="2"/>
    <col min="2573" max="2573" width="9.85546875" style="2" customWidth="1"/>
    <col min="2574" max="2821" width="9.140625" style="2"/>
    <col min="2822" max="2822" width="9.5703125" style="2" customWidth="1"/>
    <col min="2823" max="2823" width="9.140625" style="2"/>
    <col min="2824" max="2824" width="9.5703125" style="2" customWidth="1"/>
    <col min="2825" max="2825" width="9.85546875" style="2" customWidth="1"/>
    <col min="2826" max="2828" width="9.140625" style="2"/>
    <col min="2829" max="2829" width="9.85546875" style="2" customWidth="1"/>
    <col min="2830" max="3077" width="9.140625" style="2"/>
    <col min="3078" max="3078" width="9.5703125" style="2" customWidth="1"/>
    <col min="3079" max="3079" width="9.140625" style="2"/>
    <col min="3080" max="3080" width="9.5703125" style="2" customWidth="1"/>
    <col min="3081" max="3081" width="9.85546875" style="2" customWidth="1"/>
    <col min="3082" max="3084" width="9.140625" style="2"/>
    <col min="3085" max="3085" width="9.85546875" style="2" customWidth="1"/>
    <col min="3086" max="3333" width="9.140625" style="2"/>
    <col min="3334" max="3334" width="9.5703125" style="2" customWidth="1"/>
    <col min="3335" max="3335" width="9.140625" style="2"/>
    <col min="3336" max="3336" width="9.5703125" style="2" customWidth="1"/>
    <col min="3337" max="3337" width="9.85546875" style="2" customWidth="1"/>
    <col min="3338" max="3340" width="9.140625" style="2"/>
    <col min="3341" max="3341" width="9.85546875" style="2" customWidth="1"/>
    <col min="3342" max="3589" width="9.140625" style="2"/>
    <col min="3590" max="3590" width="9.5703125" style="2" customWidth="1"/>
    <col min="3591" max="3591" width="9.140625" style="2"/>
    <col min="3592" max="3592" width="9.5703125" style="2" customWidth="1"/>
    <col min="3593" max="3593" width="9.85546875" style="2" customWidth="1"/>
    <col min="3594" max="3596" width="9.140625" style="2"/>
    <col min="3597" max="3597" width="9.85546875" style="2" customWidth="1"/>
    <col min="3598" max="3845" width="9.140625" style="2"/>
    <col min="3846" max="3846" width="9.5703125" style="2" customWidth="1"/>
    <col min="3847" max="3847" width="9.140625" style="2"/>
    <col min="3848" max="3848" width="9.5703125" style="2" customWidth="1"/>
    <col min="3849" max="3849" width="9.85546875" style="2" customWidth="1"/>
    <col min="3850" max="3852" width="9.140625" style="2"/>
    <col min="3853" max="3853" width="9.85546875" style="2" customWidth="1"/>
    <col min="3854" max="4101" width="9.140625" style="2"/>
    <col min="4102" max="4102" width="9.5703125" style="2" customWidth="1"/>
    <col min="4103" max="4103" width="9.140625" style="2"/>
    <col min="4104" max="4104" width="9.5703125" style="2" customWidth="1"/>
    <col min="4105" max="4105" width="9.85546875" style="2" customWidth="1"/>
    <col min="4106" max="4108" width="9.140625" style="2"/>
    <col min="4109" max="4109" width="9.85546875" style="2" customWidth="1"/>
    <col min="4110" max="4357" width="9.140625" style="2"/>
    <col min="4358" max="4358" width="9.5703125" style="2" customWidth="1"/>
    <col min="4359" max="4359" width="9.140625" style="2"/>
    <col min="4360" max="4360" width="9.5703125" style="2" customWidth="1"/>
    <col min="4361" max="4361" width="9.85546875" style="2" customWidth="1"/>
    <col min="4362" max="4364" width="9.140625" style="2"/>
    <col min="4365" max="4365" width="9.85546875" style="2" customWidth="1"/>
    <col min="4366" max="4613" width="9.140625" style="2"/>
    <col min="4614" max="4614" width="9.5703125" style="2" customWidth="1"/>
    <col min="4615" max="4615" width="9.140625" style="2"/>
    <col min="4616" max="4616" width="9.5703125" style="2" customWidth="1"/>
    <col min="4617" max="4617" width="9.85546875" style="2" customWidth="1"/>
    <col min="4618" max="4620" width="9.140625" style="2"/>
    <col min="4621" max="4621" width="9.85546875" style="2" customWidth="1"/>
    <col min="4622" max="4869" width="9.140625" style="2"/>
    <col min="4870" max="4870" width="9.5703125" style="2" customWidth="1"/>
    <col min="4871" max="4871" width="9.140625" style="2"/>
    <col min="4872" max="4872" width="9.5703125" style="2" customWidth="1"/>
    <col min="4873" max="4873" width="9.85546875" style="2" customWidth="1"/>
    <col min="4874" max="4876" width="9.140625" style="2"/>
    <col min="4877" max="4877" width="9.85546875" style="2" customWidth="1"/>
    <col min="4878" max="5125" width="9.140625" style="2"/>
    <col min="5126" max="5126" width="9.5703125" style="2" customWidth="1"/>
    <col min="5127" max="5127" width="9.140625" style="2"/>
    <col min="5128" max="5128" width="9.5703125" style="2" customWidth="1"/>
    <col min="5129" max="5129" width="9.85546875" style="2" customWidth="1"/>
    <col min="5130" max="5132" width="9.140625" style="2"/>
    <col min="5133" max="5133" width="9.85546875" style="2" customWidth="1"/>
    <col min="5134" max="5381" width="9.140625" style="2"/>
    <col min="5382" max="5382" width="9.5703125" style="2" customWidth="1"/>
    <col min="5383" max="5383" width="9.140625" style="2"/>
    <col min="5384" max="5384" width="9.5703125" style="2" customWidth="1"/>
    <col min="5385" max="5385" width="9.85546875" style="2" customWidth="1"/>
    <col min="5386" max="5388" width="9.140625" style="2"/>
    <col min="5389" max="5389" width="9.85546875" style="2" customWidth="1"/>
    <col min="5390" max="5637" width="9.140625" style="2"/>
    <col min="5638" max="5638" width="9.5703125" style="2" customWidth="1"/>
    <col min="5639" max="5639" width="9.140625" style="2"/>
    <col min="5640" max="5640" width="9.5703125" style="2" customWidth="1"/>
    <col min="5641" max="5641" width="9.85546875" style="2" customWidth="1"/>
    <col min="5642" max="5644" width="9.140625" style="2"/>
    <col min="5645" max="5645" width="9.85546875" style="2" customWidth="1"/>
    <col min="5646" max="5893" width="9.140625" style="2"/>
    <col min="5894" max="5894" width="9.5703125" style="2" customWidth="1"/>
    <col min="5895" max="5895" width="9.140625" style="2"/>
    <col min="5896" max="5896" width="9.5703125" style="2" customWidth="1"/>
    <col min="5897" max="5897" width="9.85546875" style="2" customWidth="1"/>
    <col min="5898" max="5900" width="9.140625" style="2"/>
    <col min="5901" max="5901" width="9.85546875" style="2" customWidth="1"/>
    <col min="5902" max="6149" width="9.140625" style="2"/>
    <col min="6150" max="6150" width="9.5703125" style="2" customWidth="1"/>
    <col min="6151" max="6151" width="9.140625" style="2"/>
    <col min="6152" max="6152" width="9.5703125" style="2" customWidth="1"/>
    <col min="6153" max="6153" width="9.85546875" style="2" customWidth="1"/>
    <col min="6154" max="6156" width="9.140625" style="2"/>
    <col min="6157" max="6157" width="9.85546875" style="2" customWidth="1"/>
    <col min="6158" max="6405" width="9.140625" style="2"/>
    <col min="6406" max="6406" width="9.5703125" style="2" customWidth="1"/>
    <col min="6407" max="6407" width="9.140625" style="2"/>
    <col min="6408" max="6408" width="9.5703125" style="2" customWidth="1"/>
    <col min="6409" max="6409" width="9.85546875" style="2" customWidth="1"/>
    <col min="6410" max="6412" width="9.140625" style="2"/>
    <col min="6413" max="6413" width="9.85546875" style="2" customWidth="1"/>
    <col min="6414" max="6661" width="9.140625" style="2"/>
    <col min="6662" max="6662" width="9.5703125" style="2" customWidth="1"/>
    <col min="6663" max="6663" width="9.140625" style="2"/>
    <col min="6664" max="6664" width="9.5703125" style="2" customWidth="1"/>
    <col min="6665" max="6665" width="9.85546875" style="2" customWidth="1"/>
    <col min="6666" max="6668" width="9.140625" style="2"/>
    <col min="6669" max="6669" width="9.85546875" style="2" customWidth="1"/>
    <col min="6670" max="6917" width="9.140625" style="2"/>
    <col min="6918" max="6918" width="9.5703125" style="2" customWidth="1"/>
    <col min="6919" max="6919" width="9.140625" style="2"/>
    <col min="6920" max="6920" width="9.5703125" style="2" customWidth="1"/>
    <col min="6921" max="6921" width="9.85546875" style="2" customWidth="1"/>
    <col min="6922" max="6924" width="9.140625" style="2"/>
    <col min="6925" max="6925" width="9.85546875" style="2" customWidth="1"/>
    <col min="6926" max="7173" width="9.140625" style="2"/>
    <col min="7174" max="7174" width="9.5703125" style="2" customWidth="1"/>
    <col min="7175" max="7175" width="9.140625" style="2"/>
    <col min="7176" max="7176" width="9.5703125" style="2" customWidth="1"/>
    <col min="7177" max="7177" width="9.85546875" style="2" customWidth="1"/>
    <col min="7178" max="7180" width="9.140625" style="2"/>
    <col min="7181" max="7181" width="9.85546875" style="2" customWidth="1"/>
    <col min="7182" max="7429" width="9.140625" style="2"/>
    <col min="7430" max="7430" width="9.5703125" style="2" customWidth="1"/>
    <col min="7431" max="7431" width="9.140625" style="2"/>
    <col min="7432" max="7432" width="9.5703125" style="2" customWidth="1"/>
    <col min="7433" max="7433" width="9.85546875" style="2" customWidth="1"/>
    <col min="7434" max="7436" width="9.140625" style="2"/>
    <col min="7437" max="7437" width="9.85546875" style="2" customWidth="1"/>
    <col min="7438" max="7685" width="9.140625" style="2"/>
    <col min="7686" max="7686" width="9.5703125" style="2" customWidth="1"/>
    <col min="7687" max="7687" width="9.140625" style="2"/>
    <col min="7688" max="7688" width="9.5703125" style="2" customWidth="1"/>
    <col min="7689" max="7689" width="9.85546875" style="2" customWidth="1"/>
    <col min="7690" max="7692" width="9.140625" style="2"/>
    <col min="7693" max="7693" width="9.85546875" style="2" customWidth="1"/>
    <col min="7694" max="7941" width="9.140625" style="2"/>
    <col min="7942" max="7942" width="9.5703125" style="2" customWidth="1"/>
    <col min="7943" max="7943" width="9.140625" style="2"/>
    <col min="7944" max="7944" width="9.5703125" style="2" customWidth="1"/>
    <col min="7945" max="7945" width="9.85546875" style="2" customWidth="1"/>
    <col min="7946" max="7948" width="9.140625" style="2"/>
    <col min="7949" max="7949" width="9.85546875" style="2" customWidth="1"/>
    <col min="7950" max="8197" width="9.140625" style="2"/>
    <col min="8198" max="8198" width="9.5703125" style="2" customWidth="1"/>
    <col min="8199" max="8199" width="9.140625" style="2"/>
    <col min="8200" max="8200" width="9.5703125" style="2" customWidth="1"/>
    <col min="8201" max="8201" width="9.85546875" style="2" customWidth="1"/>
    <col min="8202" max="8204" width="9.140625" style="2"/>
    <col min="8205" max="8205" width="9.85546875" style="2" customWidth="1"/>
    <col min="8206" max="8453" width="9.140625" style="2"/>
    <col min="8454" max="8454" width="9.5703125" style="2" customWidth="1"/>
    <col min="8455" max="8455" width="9.140625" style="2"/>
    <col min="8456" max="8456" width="9.5703125" style="2" customWidth="1"/>
    <col min="8457" max="8457" width="9.85546875" style="2" customWidth="1"/>
    <col min="8458" max="8460" width="9.140625" style="2"/>
    <col min="8461" max="8461" width="9.85546875" style="2" customWidth="1"/>
    <col min="8462" max="8709" width="9.140625" style="2"/>
    <col min="8710" max="8710" width="9.5703125" style="2" customWidth="1"/>
    <col min="8711" max="8711" width="9.140625" style="2"/>
    <col min="8712" max="8712" width="9.5703125" style="2" customWidth="1"/>
    <col min="8713" max="8713" width="9.85546875" style="2" customWidth="1"/>
    <col min="8714" max="8716" width="9.140625" style="2"/>
    <col min="8717" max="8717" width="9.85546875" style="2" customWidth="1"/>
    <col min="8718" max="8965" width="9.140625" style="2"/>
    <col min="8966" max="8966" width="9.5703125" style="2" customWidth="1"/>
    <col min="8967" max="8967" width="9.140625" style="2"/>
    <col min="8968" max="8968" width="9.5703125" style="2" customWidth="1"/>
    <col min="8969" max="8969" width="9.85546875" style="2" customWidth="1"/>
    <col min="8970" max="8972" width="9.140625" style="2"/>
    <col min="8973" max="8973" width="9.85546875" style="2" customWidth="1"/>
    <col min="8974" max="9221" width="9.140625" style="2"/>
    <col min="9222" max="9222" width="9.5703125" style="2" customWidth="1"/>
    <col min="9223" max="9223" width="9.140625" style="2"/>
    <col min="9224" max="9224" width="9.5703125" style="2" customWidth="1"/>
    <col min="9225" max="9225" width="9.85546875" style="2" customWidth="1"/>
    <col min="9226" max="9228" width="9.140625" style="2"/>
    <col min="9229" max="9229" width="9.85546875" style="2" customWidth="1"/>
    <col min="9230" max="9477" width="9.140625" style="2"/>
    <col min="9478" max="9478" width="9.5703125" style="2" customWidth="1"/>
    <col min="9479" max="9479" width="9.140625" style="2"/>
    <col min="9480" max="9480" width="9.5703125" style="2" customWidth="1"/>
    <col min="9481" max="9481" width="9.85546875" style="2" customWidth="1"/>
    <col min="9482" max="9484" width="9.140625" style="2"/>
    <col min="9485" max="9485" width="9.85546875" style="2" customWidth="1"/>
    <col min="9486" max="9733" width="9.140625" style="2"/>
    <col min="9734" max="9734" width="9.5703125" style="2" customWidth="1"/>
    <col min="9735" max="9735" width="9.140625" style="2"/>
    <col min="9736" max="9736" width="9.5703125" style="2" customWidth="1"/>
    <col min="9737" max="9737" width="9.85546875" style="2" customWidth="1"/>
    <col min="9738" max="9740" width="9.140625" style="2"/>
    <col min="9741" max="9741" width="9.85546875" style="2" customWidth="1"/>
    <col min="9742" max="9989" width="9.140625" style="2"/>
    <col min="9990" max="9990" width="9.5703125" style="2" customWidth="1"/>
    <col min="9991" max="9991" width="9.140625" style="2"/>
    <col min="9992" max="9992" width="9.5703125" style="2" customWidth="1"/>
    <col min="9993" max="9993" width="9.85546875" style="2" customWidth="1"/>
    <col min="9994" max="9996" width="9.140625" style="2"/>
    <col min="9997" max="9997" width="9.85546875" style="2" customWidth="1"/>
    <col min="9998" max="10245" width="9.140625" style="2"/>
    <col min="10246" max="10246" width="9.5703125" style="2" customWidth="1"/>
    <col min="10247" max="10247" width="9.140625" style="2"/>
    <col min="10248" max="10248" width="9.5703125" style="2" customWidth="1"/>
    <col min="10249" max="10249" width="9.85546875" style="2" customWidth="1"/>
    <col min="10250" max="10252" width="9.140625" style="2"/>
    <col min="10253" max="10253" width="9.85546875" style="2" customWidth="1"/>
    <col min="10254" max="10501" width="9.140625" style="2"/>
    <col min="10502" max="10502" width="9.5703125" style="2" customWidth="1"/>
    <col min="10503" max="10503" width="9.140625" style="2"/>
    <col min="10504" max="10504" width="9.5703125" style="2" customWidth="1"/>
    <col min="10505" max="10505" width="9.85546875" style="2" customWidth="1"/>
    <col min="10506" max="10508" width="9.140625" style="2"/>
    <col min="10509" max="10509" width="9.85546875" style="2" customWidth="1"/>
    <col min="10510" max="10757" width="9.140625" style="2"/>
    <col min="10758" max="10758" width="9.5703125" style="2" customWidth="1"/>
    <col min="10759" max="10759" width="9.140625" style="2"/>
    <col min="10760" max="10760" width="9.5703125" style="2" customWidth="1"/>
    <col min="10761" max="10761" width="9.85546875" style="2" customWidth="1"/>
    <col min="10762" max="10764" width="9.140625" style="2"/>
    <col min="10765" max="10765" width="9.85546875" style="2" customWidth="1"/>
    <col min="10766" max="11013" width="9.140625" style="2"/>
    <col min="11014" max="11014" width="9.5703125" style="2" customWidth="1"/>
    <col min="11015" max="11015" width="9.140625" style="2"/>
    <col min="11016" max="11016" width="9.5703125" style="2" customWidth="1"/>
    <col min="11017" max="11017" width="9.85546875" style="2" customWidth="1"/>
    <col min="11018" max="11020" width="9.140625" style="2"/>
    <col min="11021" max="11021" width="9.85546875" style="2" customWidth="1"/>
    <col min="11022" max="11269" width="9.140625" style="2"/>
    <col min="11270" max="11270" width="9.5703125" style="2" customWidth="1"/>
    <col min="11271" max="11271" width="9.140625" style="2"/>
    <col min="11272" max="11272" width="9.5703125" style="2" customWidth="1"/>
    <col min="11273" max="11273" width="9.85546875" style="2" customWidth="1"/>
    <col min="11274" max="11276" width="9.140625" style="2"/>
    <col min="11277" max="11277" width="9.85546875" style="2" customWidth="1"/>
    <col min="11278" max="11525" width="9.140625" style="2"/>
    <col min="11526" max="11526" width="9.5703125" style="2" customWidth="1"/>
    <col min="11527" max="11527" width="9.140625" style="2"/>
    <col min="11528" max="11528" width="9.5703125" style="2" customWidth="1"/>
    <col min="11529" max="11529" width="9.85546875" style="2" customWidth="1"/>
    <col min="11530" max="11532" width="9.140625" style="2"/>
    <col min="11533" max="11533" width="9.85546875" style="2" customWidth="1"/>
    <col min="11534" max="11781" width="9.140625" style="2"/>
    <col min="11782" max="11782" width="9.5703125" style="2" customWidth="1"/>
    <col min="11783" max="11783" width="9.140625" style="2"/>
    <col min="11784" max="11784" width="9.5703125" style="2" customWidth="1"/>
    <col min="11785" max="11785" width="9.85546875" style="2" customWidth="1"/>
    <col min="11786" max="11788" width="9.140625" style="2"/>
    <col min="11789" max="11789" width="9.85546875" style="2" customWidth="1"/>
    <col min="11790" max="12037" width="9.140625" style="2"/>
    <col min="12038" max="12038" width="9.5703125" style="2" customWidth="1"/>
    <col min="12039" max="12039" width="9.140625" style="2"/>
    <col min="12040" max="12040" width="9.5703125" style="2" customWidth="1"/>
    <col min="12041" max="12041" width="9.85546875" style="2" customWidth="1"/>
    <col min="12042" max="12044" width="9.140625" style="2"/>
    <col min="12045" max="12045" width="9.85546875" style="2" customWidth="1"/>
    <col min="12046" max="12293" width="9.140625" style="2"/>
    <col min="12294" max="12294" width="9.5703125" style="2" customWidth="1"/>
    <col min="12295" max="12295" width="9.140625" style="2"/>
    <col min="12296" max="12296" width="9.5703125" style="2" customWidth="1"/>
    <col min="12297" max="12297" width="9.85546875" style="2" customWidth="1"/>
    <col min="12298" max="12300" width="9.140625" style="2"/>
    <col min="12301" max="12301" width="9.85546875" style="2" customWidth="1"/>
    <col min="12302" max="12549" width="9.140625" style="2"/>
    <col min="12550" max="12550" width="9.5703125" style="2" customWidth="1"/>
    <col min="12551" max="12551" width="9.140625" style="2"/>
    <col min="12552" max="12552" width="9.5703125" style="2" customWidth="1"/>
    <col min="12553" max="12553" width="9.85546875" style="2" customWidth="1"/>
    <col min="12554" max="12556" width="9.140625" style="2"/>
    <col min="12557" max="12557" width="9.85546875" style="2" customWidth="1"/>
    <col min="12558" max="12805" width="9.140625" style="2"/>
    <col min="12806" max="12806" width="9.5703125" style="2" customWidth="1"/>
    <col min="12807" max="12807" width="9.140625" style="2"/>
    <col min="12808" max="12808" width="9.5703125" style="2" customWidth="1"/>
    <col min="12809" max="12809" width="9.85546875" style="2" customWidth="1"/>
    <col min="12810" max="12812" width="9.140625" style="2"/>
    <col min="12813" max="12813" width="9.85546875" style="2" customWidth="1"/>
    <col min="12814" max="13061" width="9.140625" style="2"/>
    <col min="13062" max="13062" width="9.5703125" style="2" customWidth="1"/>
    <col min="13063" max="13063" width="9.140625" style="2"/>
    <col min="13064" max="13064" width="9.5703125" style="2" customWidth="1"/>
    <col min="13065" max="13065" width="9.85546875" style="2" customWidth="1"/>
    <col min="13066" max="13068" width="9.140625" style="2"/>
    <col min="13069" max="13069" width="9.85546875" style="2" customWidth="1"/>
    <col min="13070" max="13317" width="9.140625" style="2"/>
    <col min="13318" max="13318" width="9.5703125" style="2" customWidth="1"/>
    <col min="13319" max="13319" width="9.140625" style="2"/>
    <col min="13320" max="13320" width="9.5703125" style="2" customWidth="1"/>
    <col min="13321" max="13321" width="9.85546875" style="2" customWidth="1"/>
    <col min="13322" max="13324" width="9.140625" style="2"/>
    <col min="13325" max="13325" width="9.85546875" style="2" customWidth="1"/>
    <col min="13326" max="13573" width="9.140625" style="2"/>
    <col min="13574" max="13574" width="9.5703125" style="2" customWidth="1"/>
    <col min="13575" max="13575" width="9.140625" style="2"/>
    <col min="13576" max="13576" width="9.5703125" style="2" customWidth="1"/>
    <col min="13577" max="13577" width="9.85546875" style="2" customWidth="1"/>
    <col min="13578" max="13580" width="9.140625" style="2"/>
    <col min="13581" max="13581" width="9.85546875" style="2" customWidth="1"/>
    <col min="13582" max="13829" width="9.140625" style="2"/>
    <col min="13830" max="13830" width="9.5703125" style="2" customWidth="1"/>
    <col min="13831" max="13831" width="9.140625" style="2"/>
    <col min="13832" max="13832" width="9.5703125" style="2" customWidth="1"/>
    <col min="13833" max="13833" width="9.85546875" style="2" customWidth="1"/>
    <col min="13834" max="13836" width="9.140625" style="2"/>
    <col min="13837" max="13837" width="9.85546875" style="2" customWidth="1"/>
    <col min="13838" max="14085" width="9.140625" style="2"/>
    <col min="14086" max="14086" width="9.5703125" style="2" customWidth="1"/>
    <col min="14087" max="14087" width="9.140625" style="2"/>
    <col min="14088" max="14088" width="9.5703125" style="2" customWidth="1"/>
    <col min="14089" max="14089" width="9.85546875" style="2" customWidth="1"/>
    <col min="14090" max="14092" width="9.140625" style="2"/>
    <col min="14093" max="14093" width="9.85546875" style="2" customWidth="1"/>
    <col min="14094" max="14341" width="9.140625" style="2"/>
    <col min="14342" max="14342" width="9.5703125" style="2" customWidth="1"/>
    <col min="14343" max="14343" width="9.140625" style="2"/>
    <col min="14344" max="14344" width="9.5703125" style="2" customWidth="1"/>
    <col min="14345" max="14345" width="9.85546875" style="2" customWidth="1"/>
    <col min="14346" max="14348" width="9.140625" style="2"/>
    <col min="14349" max="14349" width="9.85546875" style="2" customWidth="1"/>
    <col min="14350" max="14597" width="9.140625" style="2"/>
    <col min="14598" max="14598" width="9.5703125" style="2" customWidth="1"/>
    <col min="14599" max="14599" width="9.140625" style="2"/>
    <col min="14600" max="14600" width="9.5703125" style="2" customWidth="1"/>
    <col min="14601" max="14601" width="9.85546875" style="2" customWidth="1"/>
    <col min="14602" max="14604" width="9.140625" style="2"/>
    <col min="14605" max="14605" width="9.85546875" style="2" customWidth="1"/>
    <col min="14606" max="14853" width="9.140625" style="2"/>
    <col min="14854" max="14854" width="9.5703125" style="2" customWidth="1"/>
    <col min="14855" max="14855" width="9.140625" style="2"/>
    <col min="14856" max="14856" width="9.5703125" style="2" customWidth="1"/>
    <col min="14857" max="14857" width="9.85546875" style="2" customWidth="1"/>
    <col min="14858" max="14860" width="9.140625" style="2"/>
    <col min="14861" max="14861" width="9.85546875" style="2" customWidth="1"/>
    <col min="14862" max="15109" width="9.140625" style="2"/>
    <col min="15110" max="15110" width="9.5703125" style="2" customWidth="1"/>
    <col min="15111" max="15111" width="9.140625" style="2"/>
    <col min="15112" max="15112" width="9.5703125" style="2" customWidth="1"/>
    <col min="15113" max="15113" width="9.85546875" style="2" customWidth="1"/>
    <col min="15114" max="15116" width="9.140625" style="2"/>
    <col min="15117" max="15117" width="9.85546875" style="2" customWidth="1"/>
    <col min="15118" max="15365" width="9.140625" style="2"/>
    <col min="15366" max="15366" width="9.5703125" style="2" customWidth="1"/>
    <col min="15367" max="15367" width="9.140625" style="2"/>
    <col min="15368" max="15368" width="9.5703125" style="2" customWidth="1"/>
    <col min="15369" max="15369" width="9.85546875" style="2" customWidth="1"/>
    <col min="15370" max="15372" width="9.140625" style="2"/>
    <col min="15373" max="15373" width="9.85546875" style="2" customWidth="1"/>
    <col min="15374" max="15621" width="9.140625" style="2"/>
    <col min="15622" max="15622" width="9.5703125" style="2" customWidth="1"/>
    <col min="15623" max="15623" width="9.140625" style="2"/>
    <col min="15624" max="15624" width="9.5703125" style="2" customWidth="1"/>
    <col min="15625" max="15625" width="9.85546875" style="2" customWidth="1"/>
    <col min="15626" max="15628" width="9.140625" style="2"/>
    <col min="15629" max="15629" width="9.85546875" style="2" customWidth="1"/>
    <col min="15630" max="15877" width="9.140625" style="2"/>
    <col min="15878" max="15878" width="9.5703125" style="2" customWidth="1"/>
    <col min="15879" max="15879" width="9.140625" style="2"/>
    <col min="15880" max="15880" width="9.5703125" style="2" customWidth="1"/>
    <col min="15881" max="15881" width="9.85546875" style="2" customWidth="1"/>
    <col min="15882" max="15884" width="9.140625" style="2"/>
    <col min="15885" max="15885" width="9.85546875" style="2" customWidth="1"/>
    <col min="15886" max="16133" width="9.140625" style="2"/>
    <col min="16134" max="16134" width="9.5703125" style="2" customWidth="1"/>
    <col min="16135" max="16135" width="9.140625" style="2"/>
    <col min="16136" max="16136" width="9.5703125" style="2" customWidth="1"/>
    <col min="16137" max="16137" width="9.85546875" style="2" customWidth="1"/>
    <col min="16138" max="16140" width="9.140625" style="2"/>
    <col min="16141" max="16141" width="9.85546875" style="2" customWidth="1"/>
    <col min="16142" max="16384" width="9.140625" style="2"/>
  </cols>
  <sheetData>
    <row r="1" spans="1:9" ht="22.5" customHeight="1" x14ac:dyDescent="0.25">
      <c r="A1" s="1" t="s">
        <v>0</v>
      </c>
      <c r="B1" s="1"/>
      <c r="C1" s="1"/>
      <c r="D1" s="1"/>
      <c r="E1" s="1"/>
      <c r="F1" s="1"/>
      <c r="G1" s="1"/>
      <c r="H1" s="1"/>
    </row>
    <row r="2" spans="1:9" ht="11.45" customHeight="1" x14ac:dyDescent="0.25">
      <c r="A2" s="3"/>
      <c r="B2" s="3"/>
      <c r="C2" s="3"/>
      <c r="D2" s="3"/>
      <c r="E2" s="3"/>
      <c r="F2" s="4" t="s">
        <v>1</v>
      </c>
      <c r="G2" s="3"/>
      <c r="H2" s="3"/>
    </row>
    <row r="3" spans="1:9" ht="16.5" x14ac:dyDescent="0.25">
      <c r="A3" s="5" t="s">
        <v>2</v>
      </c>
      <c r="B3" s="6">
        <v>44957</v>
      </c>
      <c r="C3" s="7"/>
    </row>
    <row r="4" spans="1:9" x14ac:dyDescent="0.25">
      <c r="B4" s="8"/>
    </row>
    <row r="5" spans="1:9" x14ac:dyDescent="0.25">
      <c r="A5" s="9" t="s">
        <v>3</v>
      </c>
      <c r="B5" s="8"/>
    </row>
    <row r="6" spans="1:9" ht="15.75" customHeight="1" x14ac:dyDescent="0.25">
      <c r="A6" s="10" t="s">
        <v>4</v>
      </c>
      <c r="B6" s="10"/>
      <c r="C6" s="10"/>
      <c r="D6" s="10"/>
      <c r="E6" s="10"/>
      <c r="F6" s="10"/>
      <c r="G6" s="11"/>
    </row>
    <row r="7" spans="1:9" ht="39" customHeight="1" x14ac:dyDescent="0.25">
      <c r="A7" s="12" t="s">
        <v>5</v>
      </c>
      <c r="B7" s="12" t="s">
        <v>6</v>
      </c>
      <c r="C7" s="13" t="s">
        <v>7</v>
      </c>
      <c r="D7" s="14" t="s">
        <v>8</v>
      </c>
      <c r="E7" s="14" t="s">
        <v>9</v>
      </c>
      <c r="F7" s="14" t="s">
        <v>10</v>
      </c>
    </row>
    <row r="8" spans="1:9" ht="14.25" customHeight="1" x14ac:dyDescent="0.25">
      <c r="A8" s="15" t="s">
        <v>11</v>
      </c>
      <c r="B8" s="16">
        <v>197.04499999999999</v>
      </c>
      <c r="C8" s="16"/>
      <c r="D8" s="16"/>
      <c r="E8" s="16"/>
      <c r="F8" s="16"/>
      <c r="G8" s="7"/>
      <c r="H8" s="17"/>
      <c r="I8" s="18"/>
    </row>
    <row r="9" spans="1:9" ht="14.25" customHeight="1" x14ac:dyDescent="0.25">
      <c r="A9" s="15" t="s">
        <v>12</v>
      </c>
      <c r="B9" s="16">
        <v>95.234999999999999</v>
      </c>
      <c r="C9" s="16"/>
      <c r="D9" s="16"/>
      <c r="E9" s="16"/>
      <c r="F9" s="16"/>
      <c r="G9" s="19"/>
      <c r="H9" s="17"/>
      <c r="I9" s="18"/>
    </row>
    <row r="10" spans="1:9" ht="14.25" customHeight="1" x14ac:dyDescent="0.25">
      <c r="A10" s="15" t="s">
        <v>13</v>
      </c>
      <c r="B10" s="16">
        <v>93.39</v>
      </c>
      <c r="C10" s="16"/>
      <c r="D10" s="16"/>
      <c r="E10" s="16"/>
      <c r="F10" s="16"/>
      <c r="G10" s="7"/>
      <c r="H10" s="17"/>
      <c r="I10" s="18"/>
    </row>
    <row r="11" spans="1:9" ht="14.25" customHeight="1" x14ac:dyDescent="0.25">
      <c r="A11" s="15" t="s">
        <v>14</v>
      </c>
      <c r="B11" s="16"/>
      <c r="C11" s="16"/>
      <c r="D11" s="16"/>
      <c r="E11" s="16"/>
      <c r="F11" s="16"/>
      <c r="G11" s="19"/>
      <c r="H11" s="17"/>
      <c r="I11" s="18"/>
    </row>
    <row r="12" spans="1:9" ht="14.25" customHeight="1" x14ac:dyDescent="0.25">
      <c r="A12" s="15" t="s">
        <v>15</v>
      </c>
      <c r="B12" s="16">
        <v>31.585000000000001</v>
      </c>
      <c r="C12" s="16"/>
      <c r="D12" s="16"/>
      <c r="E12" s="16"/>
      <c r="F12" s="16"/>
      <c r="G12" s="19"/>
      <c r="H12" s="17"/>
      <c r="I12" s="18"/>
    </row>
    <row r="13" spans="1:9" ht="14.25" customHeight="1" x14ac:dyDescent="0.25">
      <c r="A13" s="15" t="s">
        <v>16</v>
      </c>
      <c r="B13" s="16">
        <v>79.739999999999995</v>
      </c>
      <c r="C13" s="16"/>
      <c r="D13" s="16"/>
      <c r="E13" s="16">
        <v>0.3</v>
      </c>
      <c r="F13" s="20"/>
      <c r="G13" s="21"/>
      <c r="H13" s="17"/>
      <c r="I13" s="18"/>
    </row>
    <row r="14" spans="1:9" ht="14.25" customHeight="1" x14ac:dyDescent="0.25">
      <c r="A14" s="15" t="s">
        <v>17</v>
      </c>
      <c r="B14" s="16">
        <v>74.02</v>
      </c>
      <c r="C14" s="16"/>
      <c r="D14" s="16"/>
      <c r="E14" s="16">
        <v>0.22500000000000001</v>
      </c>
      <c r="F14" s="20"/>
      <c r="G14" s="21"/>
      <c r="H14" s="17"/>
      <c r="I14" s="18"/>
    </row>
    <row r="15" spans="1:9" ht="15" x14ac:dyDescent="0.25">
      <c r="A15" s="15" t="s">
        <v>18</v>
      </c>
      <c r="B15" s="16">
        <v>56.51</v>
      </c>
      <c r="C15" s="16"/>
      <c r="D15" s="16">
        <v>0.29499999999999998</v>
      </c>
      <c r="E15" s="16">
        <v>2.5000000000000001E-2</v>
      </c>
      <c r="F15" s="16">
        <v>0.215</v>
      </c>
      <c r="G15" s="7"/>
      <c r="H15" s="17"/>
      <c r="I15" s="18"/>
    </row>
    <row r="16" spans="1:9" ht="15" x14ac:dyDescent="0.25">
      <c r="A16" s="15" t="s">
        <v>19</v>
      </c>
      <c r="B16" s="16"/>
      <c r="C16" s="16"/>
      <c r="D16" s="16"/>
      <c r="E16" s="16"/>
      <c r="F16" s="16"/>
      <c r="G16" s="7"/>
      <c r="H16" s="17"/>
      <c r="I16" s="18"/>
    </row>
    <row r="17" spans="1:9" ht="15" x14ac:dyDescent="0.25">
      <c r="A17" s="15" t="s">
        <v>20</v>
      </c>
      <c r="B17" s="16"/>
      <c r="C17" s="16"/>
      <c r="D17" s="16"/>
      <c r="E17" s="16"/>
      <c r="F17" s="16"/>
      <c r="G17" s="7"/>
      <c r="H17" s="17"/>
      <c r="I17" s="18"/>
    </row>
    <row r="18" spans="1:9" ht="14.25" customHeight="1" x14ac:dyDescent="0.25">
      <c r="A18" s="15" t="s">
        <v>21</v>
      </c>
      <c r="B18" s="16"/>
      <c r="C18" s="16"/>
      <c r="D18" s="16"/>
      <c r="E18" s="16"/>
      <c r="F18" s="16"/>
      <c r="G18" s="19"/>
    </row>
    <row r="19" spans="1:9" ht="14.25" customHeight="1" x14ac:dyDescent="0.25">
      <c r="A19" s="22"/>
      <c r="B19" s="22"/>
      <c r="C19" s="23"/>
      <c r="D19" s="23"/>
      <c r="E19" s="24"/>
    </row>
    <row r="20" spans="1:9" ht="17.25" customHeight="1" x14ac:dyDescent="0.25">
      <c r="A20" s="10" t="s">
        <v>22</v>
      </c>
      <c r="B20" s="10"/>
      <c r="C20" s="10"/>
      <c r="D20" s="10"/>
      <c r="E20" s="10"/>
      <c r="F20" s="10"/>
    </row>
    <row r="21" spans="1:9" ht="39" customHeight="1" x14ac:dyDescent="0.25">
      <c r="A21" s="12" t="s">
        <v>5</v>
      </c>
      <c r="B21" s="25" t="s">
        <v>6</v>
      </c>
      <c r="C21" s="13" t="s">
        <v>7</v>
      </c>
      <c r="D21" s="14" t="s">
        <v>8</v>
      </c>
      <c r="E21" s="14" t="s">
        <v>9</v>
      </c>
      <c r="F21" s="14" t="s">
        <v>10</v>
      </c>
      <c r="G21" s="19"/>
    </row>
    <row r="22" spans="1:9" ht="14.25" customHeight="1" x14ac:dyDescent="0.25">
      <c r="A22" s="15" t="s">
        <v>11</v>
      </c>
      <c r="B22" s="26">
        <f>205.185+259.495+215.445+204.352+127.355+157.15+179.185+197.17+138.32+167.49+219.15+213.06+211.31+230.435+144.333+179.882+195.47+162.35+172.335+148.265+164.42+246.375+209.69+205.575+191.628+175.534+163.56+189.535+206.475+197.045</f>
        <v>5677.5739999999987</v>
      </c>
      <c r="C22" s="26"/>
      <c r="D22" s="16"/>
      <c r="E22" s="26"/>
      <c r="F22" s="16"/>
      <c r="G22" s="19"/>
      <c r="H22" s="17"/>
      <c r="I22" s="18"/>
    </row>
    <row r="23" spans="1:9" ht="14.25" customHeight="1" x14ac:dyDescent="0.25">
      <c r="A23" s="15" t="s">
        <v>12</v>
      </c>
      <c r="B23" s="26">
        <f>21.34+20.835+33.31+41.931+60.569+42.13+52.179+31.15+62.456+31.719+21.225+95.235</f>
        <v>514.07899999999995</v>
      </c>
      <c r="C23" s="26"/>
      <c r="D23" s="26"/>
      <c r="E23" s="26"/>
      <c r="F23" s="16"/>
      <c r="G23" s="19"/>
      <c r="H23" s="17"/>
      <c r="I23" s="18"/>
    </row>
    <row r="24" spans="1:9" ht="14.25" customHeight="1" x14ac:dyDescent="0.25">
      <c r="A24" s="15" t="s">
        <v>13</v>
      </c>
      <c r="B24" s="26">
        <f>97.06+135.215+85.69+97.03+75.31+52.335+101.1+86.395+42.685+78.18+83.94+94.27+81.22+88.97+19.93+92.585+71.285+74.95+66.335+52.42+103.01+85.485+105.51+92.66+81.355+61.485+89.35+88.015+95.31+93.39</f>
        <v>2472.4749999999999</v>
      </c>
      <c r="C24" s="26"/>
      <c r="D24" s="26"/>
      <c r="E24" s="26"/>
      <c r="F24" s="16"/>
      <c r="G24" s="19"/>
      <c r="H24" s="17"/>
      <c r="I24" s="18"/>
    </row>
    <row r="25" spans="1:9" ht="14.25" customHeight="1" x14ac:dyDescent="0.25">
      <c r="A25" s="15" t="s">
        <v>14</v>
      </c>
      <c r="B25" s="26">
        <v>21.135000000000002</v>
      </c>
      <c r="C25" s="26"/>
      <c r="D25" s="26"/>
      <c r="E25" s="26"/>
      <c r="F25" s="16"/>
      <c r="G25" s="19"/>
      <c r="H25" s="17"/>
      <c r="I25" s="18"/>
    </row>
    <row r="26" spans="1:9" ht="14.25" customHeight="1" x14ac:dyDescent="0.25">
      <c r="A26" s="15" t="s">
        <v>15</v>
      </c>
      <c r="B26" s="26">
        <f>10.655+10.725+50.105+30.06+29.845+39.865+31.195+20.895+42.425+21.34+21.2+20.98+42.14+10.545+22.945+10.055+42.68+21.065+63.58+31.585</f>
        <v>573.88499999999999</v>
      </c>
      <c r="C26" s="26"/>
      <c r="D26" s="26"/>
      <c r="E26" s="26"/>
      <c r="F26" s="16"/>
      <c r="G26" s="19"/>
      <c r="H26" s="17"/>
      <c r="I26" s="18"/>
    </row>
    <row r="27" spans="1:9" ht="15" x14ac:dyDescent="0.25">
      <c r="A27" s="15" t="s">
        <v>16</v>
      </c>
      <c r="B27" s="26">
        <f>79.135+92.46+90.835+92.165+93.385+93.61+91.435+92.21+97.795+87.685+77.185+77+80.42+91.595+87.48+80.135+82.71+74.045+75.405+86.635+91.795+91.04+79.62+90.74+73.94+85.775+60.835+87.51+84.415+82.855+79.74</f>
        <v>2631.59</v>
      </c>
      <c r="C27" s="16"/>
      <c r="D27" s="16">
        <f>0.07+0.265</f>
        <v>0.33500000000000002</v>
      </c>
      <c r="E27" s="16">
        <f>0.15+0.535+0.47+0.27+0.305+0.445+0.345+0.255+0.395+0.31+0.24+0.22+0.305+0.245+0.385+0.185+0.17+0.165+0.5+0.225+0.235+0.11+0.405+0.26+0.2+0.435+0.275+0.32+0.335+0.3+0.3</f>
        <v>9.2950000000000017</v>
      </c>
      <c r="F27" s="20"/>
      <c r="G27" s="19"/>
      <c r="H27" s="17"/>
      <c r="I27" s="18"/>
    </row>
    <row r="28" spans="1:9" ht="15" x14ac:dyDescent="0.25">
      <c r="A28" s="15" t="s">
        <v>17</v>
      </c>
      <c r="B28" s="26">
        <f>19.89+70.86+61.035+87.23+74.785+77.515+76.275+80.475+75.2+48.71+40.995+62.39+74.02</f>
        <v>849.38</v>
      </c>
      <c r="C28" s="16">
        <v>0.54</v>
      </c>
      <c r="D28" s="16">
        <f>0.58+0.065</f>
        <v>0.64500000000000002</v>
      </c>
      <c r="E28" s="16">
        <f>0.04+0.385+0.08+0.265+0.31+0.51+0.35+0.295+0.295+0.115+0.215+0.15+0.225</f>
        <v>3.2349999999999999</v>
      </c>
      <c r="F28" s="20"/>
      <c r="G28" s="19"/>
      <c r="H28" s="17"/>
      <c r="I28" s="18"/>
    </row>
    <row r="29" spans="1:9" ht="14.25" customHeight="1" x14ac:dyDescent="0.25">
      <c r="A29" s="15" t="s">
        <v>18</v>
      </c>
      <c r="B29" s="26">
        <f>19.655+46.145+16.865+10.045+13.96+4.935+16.385+43.895+59.1+39.66+30.785+41.38+3.88+50.35+30.775+22.055+103.785+49.805+38.58+71.725+55.395+60.96+80.54+67.615+89.755+35.995+56.785+56.51</f>
        <v>1217.32</v>
      </c>
      <c r="C29" s="16">
        <f>0.355+0.285+0.24</f>
        <v>0.87999999999999989</v>
      </c>
      <c r="D29" s="16">
        <f>0.115+0.215+0.045+0.03+0.115+0.37+0.5+0.235+0.18+0.045+0.46+0.41+0.155+0.515+0.72+0.31+0.755+0.515+0.39+0.52+0.36+1.13+0.14+0.555+0.295</f>
        <v>9.08</v>
      </c>
      <c r="E29" s="16">
        <f>0.01+0.04+0.015+0.02+0.025+0.03+0.02+0.08+0.1+0.125+0.04+0.025</f>
        <v>0.53</v>
      </c>
      <c r="F29" s="16">
        <f>0.13+0.51+0.505+0.225+0.66+0.05+0.325+0.935+0.63+0.46+0.165+0.175+1.14+0.205+1.055+0.37+0.215</f>
        <v>7.7549999999999999</v>
      </c>
      <c r="G29" s="19"/>
      <c r="I29" s="18"/>
    </row>
    <row r="30" spans="1:9" ht="14.25" customHeight="1" x14ac:dyDescent="0.25">
      <c r="A30" s="15" t="s">
        <v>19</v>
      </c>
      <c r="B30" s="26">
        <f>64.265+85.325+66.685+24.46+73.5+98.23+147.415+69.51+24.54+73.605+5.02+28.205+10.12+14.955+27.775</f>
        <v>813.61</v>
      </c>
      <c r="C30" s="26"/>
      <c r="D30" s="26"/>
      <c r="E30" s="26"/>
      <c r="F30" s="16"/>
      <c r="G30" s="19"/>
      <c r="I30" s="18"/>
    </row>
    <row r="31" spans="1:9" ht="14.25" customHeight="1" x14ac:dyDescent="0.25">
      <c r="A31" s="15" t="s">
        <v>20</v>
      </c>
      <c r="B31" s="26"/>
      <c r="C31" s="26"/>
      <c r="D31" s="26"/>
      <c r="E31" s="26"/>
      <c r="F31" s="16"/>
      <c r="G31" s="19"/>
      <c r="I31" s="18"/>
    </row>
    <row r="32" spans="1:9" ht="14.25" customHeight="1" x14ac:dyDescent="0.25">
      <c r="A32" s="15" t="s">
        <v>21</v>
      </c>
      <c r="B32" s="26"/>
      <c r="C32" s="27"/>
      <c r="D32" s="27"/>
      <c r="E32" s="27"/>
      <c r="F32" s="27"/>
      <c r="G32" s="19"/>
    </row>
    <row r="33" spans="1:15" ht="17.25" customHeight="1" x14ac:dyDescent="0.25">
      <c r="A33" s="28" t="s">
        <v>23</v>
      </c>
      <c r="B33" s="29"/>
      <c r="C33" s="30"/>
      <c r="D33" s="30"/>
      <c r="E33" s="30"/>
      <c r="F33" s="30"/>
      <c r="G33" s="31"/>
    </row>
    <row r="34" spans="1:15" x14ac:dyDescent="0.25">
      <c r="C34" s="32"/>
      <c r="D34" s="32"/>
    </row>
    <row r="35" spans="1:15" ht="18" customHeight="1" x14ac:dyDescent="0.25">
      <c r="A35" s="10" t="s">
        <v>24</v>
      </c>
      <c r="B35" s="10"/>
      <c r="C35" s="10"/>
      <c r="D35" s="10"/>
      <c r="E35" s="10"/>
      <c r="F35" s="10"/>
      <c r="G35" s="10"/>
    </row>
    <row r="36" spans="1:15" ht="17.25" customHeight="1" x14ac:dyDescent="0.25">
      <c r="A36" s="33" t="s">
        <v>25</v>
      </c>
      <c r="B36" s="33" t="s">
        <v>26</v>
      </c>
      <c r="C36" s="33"/>
      <c r="D36" s="34" t="s">
        <v>27</v>
      </c>
      <c r="E36" s="35"/>
      <c r="F36" s="36" t="s">
        <v>28</v>
      </c>
      <c r="G36" s="37"/>
      <c r="H36" s="36" t="s">
        <v>29</v>
      </c>
      <c r="I36" s="37"/>
    </row>
    <row r="37" spans="1:15" ht="25.5" customHeight="1" x14ac:dyDescent="0.25">
      <c r="A37" s="33"/>
      <c r="B37" s="38">
        <v>44957</v>
      </c>
      <c r="C37" s="39" t="s">
        <v>30</v>
      </c>
      <c r="D37" s="38">
        <v>44957</v>
      </c>
      <c r="E37" s="39" t="s">
        <v>31</v>
      </c>
      <c r="F37" s="38">
        <v>44957</v>
      </c>
      <c r="G37" s="39" t="s">
        <v>31</v>
      </c>
      <c r="H37" s="38">
        <v>44957</v>
      </c>
      <c r="I37" s="39" t="s">
        <v>31</v>
      </c>
    </row>
    <row r="38" spans="1:15" ht="14.25" customHeight="1" x14ac:dyDescent="0.25">
      <c r="A38" s="20">
        <v>201</v>
      </c>
      <c r="B38" s="40"/>
      <c r="C38" s="40"/>
      <c r="D38" s="40"/>
      <c r="E38" s="40">
        <v>0.51200000000000001</v>
      </c>
      <c r="F38" s="40"/>
      <c r="G38" s="40"/>
      <c r="H38" s="40"/>
      <c r="I38" s="40"/>
    </row>
    <row r="39" spans="1:15" ht="14.25" customHeight="1" x14ac:dyDescent="0.25">
      <c r="A39" s="20" t="s">
        <v>32</v>
      </c>
      <c r="B39" s="40"/>
      <c r="C39" s="40">
        <v>2.0649999999999999</v>
      </c>
      <c r="D39" s="41"/>
      <c r="E39" s="40">
        <v>5.6280000000000001</v>
      </c>
      <c r="F39" s="40"/>
      <c r="G39" s="40"/>
      <c r="H39" s="40"/>
      <c r="I39" s="40">
        <v>2.5569999999999999</v>
      </c>
      <c r="K39" s="18"/>
    </row>
    <row r="40" spans="1:15" ht="14.25" customHeight="1" x14ac:dyDescent="0.25">
      <c r="A40" s="20" t="s">
        <v>33</v>
      </c>
      <c r="B40" s="40"/>
      <c r="C40" s="40"/>
      <c r="D40" s="41"/>
      <c r="E40" s="40"/>
      <c r="F40" s="40"/>
      <c r="G40" s="40"/>
      <c r="H40" s="40"/>
      <c r="I40" s="40"/>
    </row>
    <row r="41" spans="1:15" ht="14.25" customHeight="1" x14ac:dyDescent="0.25">
      <c r="A41" s="20" t="s">
        <v>34</v>
      </c>
      <c r="B41" s="40">
        <v>11.87</v>
      </c>
      <c r="C41" s="40">
        <v>29.5</v>
      </c>
      <c r="D41" s="41"/>
      <c r="E41" s="40">
        <f>11.056+0.24</f>
        <v>11.295999999999999</v>
      </c>
      <c r="F41" s="40"/>
      <c r="G41" s="40"/>
      <c r="H41" s="40"/>
      <c r="I41" s="40"/>
      <c r="K41" s="18"/>
    </row>
    <row r="42" spans="1:15" ht="14.25" customHeight="1" x14ac:dyDescent="0.25">
      <c r="A42" s="20" t="s">
        <v>35</v>
      </c>
      <c r="B42" s="40"/>
      <c r="C42" s="40">
        <v>1.94</v>
      </c>
      <c r="D42" s="40"/>
      <c r="E42" s="40">
        <f>1.695</f>
        <v>1.6950000000000001</v>
      </c>
      <c r="F42" s="40"/>
      <c r="G42" s="40"/>
      <c r="H42" s="40"/>
      <c r="I42" s="40"/>
    </row>
    <row r="43" spans="1:15" ht="14.25" customHeight="1" x14ac:dyDescent="0.25">
      <c r="A43" s="20" t="s">
        <v>36</v>
      </c>
      <c r="B43" s="40">
        <v>158.91</v>
      </c>
      <c r="C43" s="40">
        <v>233.33500000000001</v>
      </c>
      <c r="D43" s="40"/>
      <c r="E43" s="40">
        <f>37.296+0.54+1.105</f>
        <v>38.940999999999995</v>
      </c>
      <c r="F43" s="40"/>
      <c r="G43" s="40"/>
      <c r="H43" s="40"/>
      <c r="I43" s="40">
        <v>0.32800000000000001</v>
      </c>
      <c r="L43" s="18"/>
      <c r="O43" s="42"/>
    </row>
    <row r="44" spans="1:15" ht="14.25" customHeight="1" x14ac:dyDescent="0.25">
      <c r="A44" s="20">
        <v>301</v>
      </c>
      <c r="B44" s="40"/>
      <c r="C44" s="40"/>
      <c r="D44" s="40"/>
      <c r="E44" s="40"/>
      <c r="F44" s="40"/>
      <c r="G44" s="40"/>
      <c r="H44" s="40"/>
      <c r="I44" s="40"/>
      <c r="L44" s="18"/>
      <c r="O44" s="42"/>
    </row>
    <row r="45" spans="1:15" ht="14.25" customHeight="1" x14ac:dyDescent="0.25">
      <c r="A45" s="20" t="s">
        <v>37</v>
      </c>
      <c r="B45" s="26"/>
      <c r="C45" s="40">
        <v>36.395000000000003</v>
      </c>
      <c r="D45" s="40"/>
      <c r="E45" s="40">
        <f>0.905+0.63+0.81-0.19</f>
        <v>2.1550000000000002</v>
      </c>
      <c r="F45" s="40"/>
      <c r="G45" s="40"/>
      <c r="H45" s="40"/>
      <c r="I45" s="40"/>
    </row>
    <row r="46" spans="1:15" ht="14.25" customHeight="1" x14ac:dyDescent="0.25">
      <c r="A46" s="20">
        <v>430</v>
      </c>
      <c r="B46" s="40"/>
      <c r="C46" s="40">
        <f>13.009</f>
        <v>13.009</v>
      </c>
      <c r="D46" s="40"/>
      <c r="E46" s="40">
        <v>3.4049999999999998</v>
      </c>
      <c r="F46" s="40"/>
      <c r="G46" s="40">
        <f>0.283</f>
        <v>0.28299999999999997</v>
      </c>
      <c r="H46" s="40"/>
      <c r="I46" s="40">
        <v>0.41899999999999998</v>
      </c>
    </row>
    <row r="47" spans="1:15" ht="14.25" customHeight="1" x14ac:dyDescent="0.25">
      <c r="A47" s="20" t="s">
        <v>38</v>
      </c>
      <c r="B47" s="40"/>
      <c r="C47" s="40"/>
      <c r="D47" s="40"/>
      <c r="E47" s="40">
        <v>0.315</v>
      </c>
      <c r="F47" s="40"/>
      <c r="G47" s="40"/>
      <c r="H47" s="40"/>
      <c r="I47" s="40"/>
    </row>
    <row r="48" spans="1:15" ht="14.25" customHeight="1" x14ac:dyDescent="0.25">
      <c r="A48" s="20">
        <v>410</v>
      </c>
      <c r="B48" s="40"/>
      <c r="C48" s="40"/>
      <c r="D48" s="40"/>
      <c r="E48" s="40">
        <f>0.22+0.26+0.1</f>
        <v>0.57999999999999996</v>
      </c>
      <c r="F48" s="40"/>
      <c r="G48" s="40">
        <v>44.728999999999999</v>
      </c>
      <c r="H48" s="40"/>
      <c r="I48" s="40">
        <v>0.70199999999999996</v>
      </c>
    </row>
    <row r="49" spans="1:10" ht="16.5" customHeight="1" x14ac:dyDescent="0.25">
      <c r="A49" s="43" t="s">
        <v>39</v>
      </c>
      <c r="B49" s="44">
        <f>SUM(B38:B48)</f>
        <v>170.78</v>
      </c>
      <c r="C49" s="44">
        <f>SUM(C38:C48)</f>
        <v>316.24400000000003</v>
      </c>
      <c r="D49" s="44">
        <f t="shared" ref="D49:I49" si="0">SUM(D38:D48)</f>
        <v>0</v>
      </c>
      <c r="E49" s="44">
        <f t="shared" si="0"/>
        <v>64.527000000000001</v>
      </c>
      <c r="F49" s="44">
        <f t="shared" si="0"/>
        <v>0</v>
      </c>
      <c r="G49" s="44">
        <f>SUM(G38:G48)</f>
        <v>45.012</v>
      </c>
      <c r="H49" s="44">
        <f t="shared" si="0"/>
        <v>0</v>
      </c>
      <c r="I49" s="44">
        <f t="shared" si="0"/>
        <v>4.0060000000000002</v>
      </c>
    </row>
    <row r="50" spans="1:10" ht="16.5" customHeight="1" x14ac:dyDescent="0.25">
      <c r="A50" s="43" t="s">
        <v>39</v>
      </c>
      <c r="B50" s="45">
        <f>SUM(B49:I49)</f>
        <v>600.56900000000007</v>
      </c>
      <c r="C50" s="45"/>
      <c r="D50" s="45"/>
      <c r="E50" s="45"/>
      <c r="F50" s="45"/>
      <c r="G50" s="45"/>
      <c r="H50" s="45"/>
      <c r="I50" s="45"/>
      <c r="J50" s="18"/>
    </row>
    <row r="51" spans="1:10" x14ac:dyDescent="0.25">
      <c r="B51" s="18"/>
      <c r="C51" s="18"/>
      <c r="D51" s="18"/>
      <c r="E51" s="18"/>
      <c r="F51" s="18"/>
      <c r="G51" s="18"/>
      <c r="H51" s="18"/>
      <c r="I51" s="18"/>
    </row>
    <row r="53" spans="1:10" ht="15.75" customHeight="1" x14ac:dyDescent="0.25">
      <c r="A53" s="10" t="s">
        <v>40</v>
      </c>
      <c r="B53" s="10"/>
      <c r="C53" s="10"/>
      <c r="D53" s="10"/>
      <c r="E53" s="10"/>
      <c r="F53" s="10"/>
      <c r="G53" s="10"/>
      <c r="H53" s="10"/>
      <c r="I53" s="10"/>
      <c r="J53" s="46"/>
    </row>
    <row r="54" spans="1:10" ht="14.25" customHeight="1" x14ac:dyDescent="0.25">
      <c r="A54" s="47" t="s">
        <v>25</v>
      </c>
      <c r="B54" s="47" t="s">
        <v>16</v>
      </c>
      <c r="C54" s="48" t="s">
        <v>18</v>
      </c>
      <c r="D54" s="49"/>
      <c r="E54" s="49"/>
      <c r="F54" s="49"/>
      <c r="G54" s="50"/>
      <c r="H54" s="47" t="s">
        <v>21</v>
      </c>
      <c r="I54" s="51" t="s">
        <v>23</v>
      </c>
    </row>
    <row r="55" spans="1:10" ht="32.25" customHeight="1" x14ac:dyDescent="0.25">
      <c r="A55" s="52"/>
      <c r="B55" s="52"/>
      <c r="C55" s="53" t="s">
        <v>41</v>
      </c>
      <c r="D55" s="53" t="s">
        <v>42</v>
      </c>
      <c r="E55" s="54" t="s">
        <v>43</v>
      </c>
      <c r="F55" s="53" t="s">
        <v>44</v>
      </c>
      <c r="G55" s="54" t="s">
        <v>45</v>
      </c>
      <c r="H55" s="52"/>
      <c r="I55" s="51"/>
    </row>
    <row r="56" spans="1:10" ht="14.25" customHeight="1" x14ac:dyDescent="0.25">
      <c r="A56" s="20">
        <v>201</v>
      </c>
      <c r="B56" s="40" t="s">
        <v>46</v>
      </c>
      <c r="C56" s="40" t="s">
        <v>46</v>
      </c>
      <c r="D56" s="40" t="s">
        <v>46</v>
      </c>
      <c r="E56" s="40" t="s">
        <v>46</v>
      </c>
      <c r="F56" s="40" t="s">
        <v>46</v>
      </c>
      <c r="G56" s="40" t="s">
        <v>46</v>
      </c>
      <c r="H56" s="40"/>
      <c r="I56" s="44">
        <f>SUM(B56:H56)</f>
        <v>0</v>
      </c>
    </row>
    <row r="57" spans="1:10" ht="14.25" customHeight="1" x14ac:dyDescent="0.25">
      <c r="A57" s="20" t="s">
        <v>32</v>
      </c>
      <c r="B57" s="40" t="s">
        <v>46</v>
      </c>
      <c r="C57" s="40" t="s">
        <v>46</v>
      </c>
      <c r="D57" s="40" t="s">
        <v>46</v>
      </c>
      <c r="E57" s="40" t="s">
        <v>46</v>
      </c>
      <c r="F57" s="40" t="s">
        <v>46</v>
      </c>
      <c r="G57" s="40">
        <v>7.3149999999999995</v>
      </c>
      <c r="H57" s="40"/>
      <c r="I57" s="44">
        <f>SUM(B57:H57)</f>
        <v>7.3149999999999995</v>
      </c>
    </row>
    <row r="58" spans="1:10" ht="14.25" customHeight="1" x14ac:dyDescent="0.25">
      <c r="A58" s="20" t="s">
        <v>33</v>
      </c>
      <c r="B58" s="32" t="s">
        <v>46</v>
      </c>
      <c r="C58" s="40" t="s">
        <v>46</v>
      </c>
      <c r="D58" s="40" t="s">
        <v>46</v>
      </c>
      <c r="E58" s="40" t="s">
        <v>46</v>
      </c>
      <c r="F58" s="40" t="s">
        <v>46</v>
      </c>
      <c r="G58" s="40">
        <v>10.01</v>
      </c>
      <c r="H58" s="40"/>
      <c r="I58" s="44">
        <f>SUM(C58:H58)</f>
        <v>10.01</v>
      </c>
    </row>
    <row r="59" spans="1:10" ht="14.25" customHeight="1" x14ac:dyDescent="0.25">
      <c r="A59" s="20" t="s">
        <v>34</v>
      </c>
      <c r="B59" s="40">
        <v>439.21</v>
      </c>
      <c r="C59" s="40">
        <v>40.29</v>
      </c>
      <c r="D59" s="40">
        <v>12.574999999999999</v>
      </c>
      <c r="E59" s="40" t="s">
        <v>46</v>
      </c>
      <c r="F59" s="40">
        <v>21.265000000000001</v>
      </c>
      <c r="G59" s="40">
        <v>43.535000000000004</v>
      </c>
      <c r="H59" s="40"/>
      <c r="I59" s="44">
        <f t="shared" ref="I59:I60" si="1">SUM(B59:H59)</f>
        <v>556.875</v>
      </c>
    </row>
    <row r="60" spans="1:10" ht="14.25" customHeight="1" x14ac:dyDescent="0.25">
      <c r="A60" s="20" t="s">
        <v>35</v>
      </c>
      <c r="B60" s="40" t="s">
        <v>46</v>
      </c>
      <c r="C60" s="40" t="s">
        <v>46</v>
      </c>
      <c r="D60" s="40" t="s">
        <v>46</v>
      </c>
      <c r="E60" s="40" t="s">
        <v>46</v>
      </c>
      <c r="F60" s="40" t="s">
        <v>46</v>
      </c>
      <c r="G60" s="40">
        <v>6.01</v>
      </c>
      <c r="H60" s="40"/>
      <c r="I60" s="44">
        <f t="shared" si="1"/>
        <v>6.01</v>
      </c>
    </row>
    <row r="61" spans="1:10" ht="14.25" customHeight="1" x14ac:dyDescent="0.25">
      <c r="A61" s="20" t="s">
        <v>36</v>
      </c>
      <c r="B61" s="40">
        <v>1106.0029999999999</v>
      </c>
      <c r="C61" s="40">
        <v>38.625</v>
      </c>
      <c r="D61" s="55">
        <v>58.11</v>
      </c>
      <c r="E61" s="40">
        <v>32.299999999999997</v>
      </c>
      <c r="F61" s="40">
        <v>106.95500000000001</v>
      </c>
      <c r="G61" s="40">
        <v>66.825000000000003</v>
      </c>
      <c r="H61" s="40"/>
      <c r="I61" s="44">
        <f>SUM(B61:H61)</f>
        <v>1408.8179999999998</v>
      </c>
    </row>
    <row r="62" spans="1:10" ht="14.25" customHeight="1" x14ac:dyDescent="0.25">
      <c r="A62" s="20" t="s">
        <v>37</v>
      </c>
      <c r="B62" s="40">
        <v>2.16</v>
      </c>
      <c r="C62" s="40">
        <v>4.57</v>
      </c>
      <c r="D62" s="40" t="s">
        <v>46</v>
      </c>
      <c r="E62" s="40">
        <v>21.085000000000001</v>
      </c>
      <c r="F62" s="40" t="s">
        <v>46</v>
      </c>
      <c r="G62" s="40">
        <v>2.7650000000000001</v>
      </c>
      <c r="H62" s="40"/>
      <c r="I62" s="44">
        <f t="shared" ref="I62:I66" si="2">SUM(B62:H62)</f>
        <v>30.580000000000002</v>
      </c>
    </row>
    <row r="63" spans="1:10" ht="14.25" customHeight="1" x14ac:dyDescent="0.25">
      <c r="A63" s="20">
        <v>430</v>
      </c>
      <c r="B63" s="40" t="s">
        <v>46</v>
      </c>
      <c r="C63" s="40" t="s">
        <v>46</v>
      </c>
      <c r="D63" s="40" t="s">
        <v>46</v>
      </c>
      <c r="E63" s="40" t="s">
        <v>46</v>
      </c>
      <c r="F63" s="40" t="s">
        <v>46</v>
      </c>
      <c r="G63" s="40">
        <v>12.091000000000001</v>
      </c>
      <c r="H63" s="40"/>
      <c r="I63" s="44">
        <f t="shared" si="2"/>
        <v>12.091000000000001</v>
      </c>
    </row>
    <row r="64" spans="1:10" ht="14.25" customHeight="1" x14ac:dyDescent="0.25">
      <c r="A64" s="20" t="s">
        <v>38</v>
      </c>
      <c r="B64" s="40" t="s">
        <v>46</v>
      </c>
      <c r="C64" s="40" t="s">
        <v>46</v>
      </c>
      <c r="D64" s="40" t="s">
        <v>46</v>
      </c>
      <c r="E64" s="40" t="s">
        <v>46</v>
      </c>
      <c r="F64" s="40" t="s">
        <v>46</v>
      </c>
      <c r="G64" s="40" t="s">
        <v>46</v>
      </c>
      <c r="H64" s="40"/>
      <c r="I64" s="44">
        <f t="shared" si="2"/>
        <v>0</v>
      </c>
    </row>
    <row r="65" spans="1:12" ht="14.25" customHeight="1" x14ac:dyDescent="0.25">
      <c r="A65" s="20">
        <v>410</v>
      </c>
      <c r="B65" s="40" t="s">
        <v>46</v>
      </c>
      <c r="C65" s="40" t="s">
        <v>46</v>
      </c>
      <c r="D65" s="40">
        <v>0.85499999999999998</v>
      </c>
      <c r="E65" s="40" t="s">
        <v>46</v>
      </c>
      <c r="F65" s="40" t="s">
        <v>46</v>
      </c>
      <c r="G65" s="40">
        <v>0.18</v>
      </c>
      <c r="H65" s="40"/>
      <c r="I65" s="44">
        <f t="shared" si="2"/>
        <v>1.0349999999999999</v>
      </c>
    </row>
    <row r="66" spans="1:12" ht="14.25" customHeight="1" x14ac:dyDescent="0.25">
      <c r="A66" s="20">
        <v>301</v>
      </c>
      <c r="B66" s="40" t="s">
        <v>46</v>
      </c>
      <c r="C66" s="40" t="s">
        <v>46</v>
      </c>
      <c r="D66" s="40">
        <v>10.81</v>
      </c>
      <c r="E66" s="40" t="s">
        <v>46</v>
      </c>
      <c r="F66" s="40" t="s">
        <v>46</v>
      </c>
      <c r="G66" s="40" t="s">
        <v>46</v>
      </c>
      <c r="H66" s="40"/>
      <c r="I66" s="44">
        <f t="shared" si="2"/>
        <v>10.81</v>
      </c>
    </row>
    <row r="67" spans="1:12" ht="14.25" customHeight="1" x14ac:dyDescent="0.25">
      <c r="A67" s="43" t="s">
        <v>39</v>
      </c>
      <c r="B67" s="44">
        <f t="shared" ref="B67:H67" si="3">SUM(B56:B66)</f>
        <v>1547.373</v>
      </c>
      <c r="C67" s="44">
        <f t="shared" si="3"/>
        <v>83.484999999999985</v>
      </c>
      <c r="D67" s="44">
        <f t="shared" si="3"/>
        <v>82.350000000000009</v>
      </c>
      <c r="E67" s="44">
        <f t="shared" si="3"/>
        <v>53.384999999999998</v>
      </c>
      <c r="F67" s="44">
        <f t="shared" si="3"/>
        <v>128.22000000000003</v>
      </c>
      <c r="G67" s="44">
        <f t="shared" si="3"/>
        <v>148.73099999999999</v>
      </c>
      <c r="H67" s="44">
        <f t="shared" si="3"/>
        <v>0</v>
      </c>
      <c r="I67" s="44">
        <f>SUM(I56:I66)</f>
        <v>2043.5439999999996</v>
      </c>
    </row>
    <row r="68" spans="1:12" ht="14.25" customHeight="1" x14ac:dyDescent="0.25">
      <c r="A68" s="9"/>
      <c r="B68" s="17"/>
      <c r="C68" s="17"/>
      <c r="D68" s="17"/>
      <c r="E68" s="17"/>
      <c r="F68" s="17"/>
      <c r="G68" s="18"/>
      <c r="H68" s="18"/>
      <c r="I68" s="18"/>
      <c r="J68" s="18"/>
    </row>
    <row r="70" spans="1:12" ht="19.5" customHeight="1" x14ac:dyDescent="0.25">
      <c r="A70" s="10" t="s">
        <v>47</v>
      </c>
      <c r="B70" s="10"/>
      <c r="C70" s="10"/>
      <c r="D70" s="10"/>
      <c r="E70" s="10"/>
      <c r="F70" s="10"/>
      <c r="G70" s="10"/>
      <c r="H70" s="10"/>
      <c r="I70" s="10"/>
      <c r="K70" s="18"/>
    </row>
    <row r="71" spans="1:12" ht="18.75" customHeight="1" x14ac:dyDescent="0.25">
      <c r="A71" s="56" t="s">
        <v>48</v>
      </c>
      <c r="B71" s="57" t="s">
        <v>32</v>
      </c>
      <c r="C71" s="57" t="s">
        <v>33</v>
      </c>
      <c r="D71" s="58" t="s">
        <v>34</v>
      </c>
      <c r="E71" s="58" t="s">
        <v>35</v>
      </c>
      <c r="F71" s="59" t="s">
        <v>36</v>
      </c>
      <c r="G71" s="59" t="s">
        <v>37</v>
      </c>
      <c r="H71" s="59">
        <v>430</v>
      </c>
      <c r="I71" s="59">
        <v>410</v>
      </c>
      <c r="J71" s="59">
        <v>301</v>
      </c>
    </row>
    <row r="72" spans="1:12" ht="15.75" customHeight="1" x14ac:dyDescent="0.25">
      <c r="A72" s="20" t="s">
        <v>49</v>
      </c>
      <c r="B72" s="55" t="s">
        <v>46</v>
      </c>
      <c r="C72" s="55">
        <v>49.287999999999997</v>
      </c>
      <c r="D72" s="55">
        <v>2776.1620000000003</v>
      </c>
      <c r="E72" s="55">
        <v>24.55</v>
      </c>
      <c r="F72" s="55">
        <v>6062.25</v>
      </c>
      <c r="G72" s="55">
        <v>113.99</v>
      </c>
      <c r="H72" s="55">
        <v>20.887999999999998</v>
      </c>
      <c r="I72" s="55" t="s">
        <v>46</v>
      </c>
      <c r="J72" s="40" t="s">
        <v>46</v>
      </c>
      <c r="K72" s="18"/>
    </row>
    <row r="73" spans="1:12" x14ac:dyDescent="0.25">
      <c r="A73" s="20" t="s">
        <v>50</v>
      </c>
      <c r="B73" s="55" t="s">
        <v>46</v>
      </c>
      <c r="C73" s="55" t="s">
        <v>46</v>
      </c>
      <c r="D73" s="55" t="s">
        <v>46</v>
      </c>
      <c r="E73" s="55" t="s">
        <v>46</v>
      </c>
      <c r="F73" s="60" t="s">
        <v>46</v>
      </c>
      <c r="G73" s="55" t="s">
        <v>46</v>
      </c>
      <c r="H73" s="55" t="s">
        <v>46</v>
      </c>
      <c r="I73" s="55" t="s">
        <v>46</v>
      </c>
      <c r="J73" s="55" t="s">
        <v>46</v>
      </c>
      <c r="K73" s="18"/>
    </row>
    <row r="74" spans="1:12" x14ac:dyDescent="0.25">
      <c r="A74" s="20" t="s">
        <v>51</v>
      </c>
      <c r="B74" s="55"/>
      <c r="C74" s="55" t="s">
        <v>46</v>
      </c>
      <c r="D74" s="55">
        <v>319.68500000000006</v>
      </c>
      <c r="E74" s="55" t="s">
        <v>46</v>
      </c>
      <c r="F74" s="55" t="s">
        <v>46</v>
      </c>
      <c r="G74" s="55" t="s">
        <v>46</v>
      </c>
      <c r="H74" s="55" t="s">
        <v>46</v>
      </c>
      <c r="I74" s="55" t="s">
        <v>46</v>
      </c>
      <c r="J74" s="55">
        <v>8.4570000000000007</v>
      </c>
      <c r="K74" s="18"/>
    </row>
    <row r="75" spans="1:12" x14ac:dyDescent="0.25">
      <c r="A75" s="20" t="s">
        <v>52</v>
      </c>
      <c r="B75" s="60" t="s">
        <v>46</v>
      </c>
      <c r="C75" s="55" t="s">
        <v>46</v>
      </c>
      <c r="D75" s="55">
        <v>35.683999999999997</v>
      </c>
      <c r="E75" s="55" t="s">
        <v>46</v>
      </c>
      <c r="F75" s="55" t="s">
        <v>46</v>
      </c>
      <c r="G75" s="55" t="s">
        <v>46</v>
      </c>
      <c r="H75" s="55" t="s">
        <v>46</v>
      </c>
      <c r="I75" s="55" t="s">
        <v>46</v>
      </c>
      <c r="J75" s="55" t="s">
        <v>46</v>
      </c>
      <c r="K75" s="18"/>
    </row>
    <row r="76" spans="1:12" ht="15" customHeight="1" x14ac:dyDescent="0.25">
      <c r="A76" s="43" t="s">
        <v>53</v>
      </c>
      <c r="B76" s="44">
        <f t="shared" ref="B76:G76" si="4">SUM(B72:B75)</f>
        <v>0</v>
      </c>
      <c r="C76" s="44">
        <f t="shared" si="4"/>
        <v>49.287999999999997</v>
      </c>
      <c r="D76" s="44">
        <f t="shared" si="4"/>
        <v>3131.5310000000004</v>
      </c>
      <c r="E76" s="44">
        <f t="shared" si="4"/>
        <v>24.55</v>
      </c>
      <c r="F76" s="44">
        <f t="shared" si="4"/>
        <v>6062.25</v>
      </c>
      <c r="G76" s="44">
        <f t="shared" si="4"/>
        <v>113.99</v>
      </c>
      <c r="H76" s="44">
        <f>SUM(H72:H75)</f>
        <v>20.887999999999998</v>
      </c>
      <c r="I76" s="44">
        <f>SUM(I72:I75)</f>
        <v>0</v>
      </c>
      <c r="J76" s="44">
        <f>SUM(J72:J75)</f>
        <v>8.4570000000000007</v>
      </c>
      <c r="K76" s="18"/>
      <c r="L76" s="18"/>
    </row>
    <row r="77" spans="1:12" ht="15" customHeight="1" x14ac:dyDescent="0.25">
      <c r="A77" s="43" t="s">
        <v>39</v>
      </c>
      <c r="B77" s="61">
        <f>SUM(B76:J76)</f>
        <v>9410.9540000000015</v>
      </c>
      <c r="C77" s="62"/>
      <c r="D77" s="62"/>
      <c r="E77" s="62"/>
      <c r="F77" s="62"/>
      <c r="G77" s="62"/>
      <c r="H77" s="62"/>
      <c r="I77" s="62"/>
      <c r="J77" s="63"/>
      <c r="K77" s="18"/>
    </row>
    <row r="78" spans="1:12" x14ac:dyDescent="0.25">
      <c r="B78" s="18"/>
      <c r="C78" s="18"/>
      <c r="D78" s="18"/>
      <c r="E78" s="18"/>
      <c r="F78" s="18"/>
      <c r="G78" s="18"/>
      <c r="H78" s="18"/>
      <c r="I78" s="18"/>
    </row>
    <row r="79" spans="1:12" x14ac:dyDescent="0.25">
      <c r="B79" s="32"/>
      <c r="C79" s="32"/>
      <c r="D79" s="32"/>
      <c r="E79" s="32"/>
      <c r="F79" s="32"/>
      <c r="G79" s="32"/>
    </row>
  </sheetData>
  <mergeCells count="19">
    <mergeCell ref="A70:I70"/>
    <mergeCell ref="B77:J77"/>
    <mergeCell ref="B50:I50"/>
    <mergeCell ref="A53:J53"/>
    <mergeCell ref="A54:A55"/>
    <mergeCell ref="B54:B55"/>
    <mergeCell ref="C54:G54"/>
    <mergeCell ref="H54:H55"/>
    <mergeCell ref="I54:I55"/>
    <mergeCell ref="A1:H1"/>
    <mergeCell ref="A6:F6"/>
    <mergeCell ref="A19:B19"/>
    <mergeCell ref="A20:F20"/>
    <mergeCell ref="A35:G35"/>
    <mergeCell ref="A36:A37"/>
    <mergeCell ref="B36:C36"/>
    <mergeCell ref="D36:E36"/>
    <mergeCell ref="F36:G36"/>
    <mergeCell ref="H36:I36"/>
  </mergeCells>
  <pageMargins left="0" right="0" top="0.75" bottom="0.75" header="0.3" footer="0.3"/>
  <pageSetup scale="55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7B74C-D8F7-4187-B919-5B1857E48B3B}">
  <dimension ref="A1:AJ62"/>
  <sheetViews>
    <sheetView zoomScaleNormal="100" workbookViewId="0">
      <pane xSplit="4" ySplit="1" topLeftCell="Q2" activePane="bottomRight" state="frozen"/>
      <selection activeCell="I13" sqref="I13"/>
      <selection pane="topRight" activeCell="I13" sqref="I13"/>
      <selection pane="bottomLeft" activeCell="I13" sqref="I13"/>
      <selection pane="bottomRight" activeCell="I13" sqref="I13"/>
    </sheetView>
  </sheetViews>
  <sheetFormatPr defaultColWidth="9.140625" defaultRowHeight="15" x14ac:dyDescent="0.25"/>
  <cols>
    <col min="1" max="2" width="6" style="71" customWidth="1"/>
    <col min="3" max="3" width="7.7109375" style="71" customWidth="1"/>
    <col min="4" max="4" width="5.140625" style="71" customWidth="1"/>
    <col min="5" max="5" width="9.28515625" style="135" customWidth="1"/>
    <col min="6" max="6" width="9.140625" style="71" customWidth="1"/>
    <col min="7" max="8" width="9" style="71" customWidth="1"/>
    <col min="9" max="9" width="8.28515625" style="71" customWidth="1"/>
    <col min="10" max="10" width="8.7109375" style="71" customWidth="1"/>
    <col min="11" max="11" width="7.28515625" style="71" customWidth="1"/>
    <col min="12" max="12" width="7.42578125" style="71" customWidth="1"/>
    <col min="13" max="13" width="7.85546875" style="71" customWidth="1"/>
    <col min="14" max="14" width="9" style="71" customWidth="1"/>
    <col min="15" max="15" width="8.7109375" style="71" customWidth="1"/>
    <col min="16" max="16" width="7.28515625" style="71" customWidth="1"/>
    <col min="17" max="17" width="7.7109375" style="71" customWidth="1"/>
    <col min="18" max="19" width="8" style="71" customWidth="1"/>
    <col min="20" max="20" width="7.7109375" style="71" customWidth="1"/>
    <col min="21" max="22" width="8.28515625" style="71" customWidth="1"/>
    <col min="23" max="23" width="7.28515625" style="71" customWidth="1"/>
    <col min="24" max="24" width="7.7109375" style="71" customWidth="1"/>
    <col min="25" max="25" width="8.7109375" style="71" customWidth="1"/>
    <col min="26" max="26" width="7.85546875" style="71" customWidth="1"/>
    <col min="27" max="27" width="8" style="71" customWidth="1"/>
    <col min="28" max="28" width="7.5703125" style="71" customWidth="1"/>
    <col min="29" max="29" width="7.7109375" style="71" customWidth="1"/>
    <col min="30" max="30" width="7.85546875" style="71" customWidth="1"/>
    <col min="31" max="31" width="7.28515625" style="71" customWidth="1"/>
    <col min="32" max="32" width="9.5703125" style="71" customWidth="1"/>
    <col min="33" max="33" width="9.140625" style="71" customWidth="1"/>
    <col min="34" max="34" width="7.7109375" style="71" customWidth="1"/>
    <col min="35" max="35" width="9.28515625" style="71" customWidth="1"/>
    <col min="36" max="36" width="10" style="71" customWidth="1"/>
    <col min="37" max="16384" width="9.140625" style="71"/>
  </cols>
  <sheetData>
    <row r="1" spans="1:36" x14ac:dyDescent="0.25">
      <c r="A1" s="64" t="s">
        <v>54</v>
      </c>
      <c r="B1" s="65"/>
      <c r="C1" s="66"/>
      <c r="D1" s="67" t="s">
        <v>55</v>
      </c>
      <c r="E1" s="68">
        <v>1</v>
      </c>
      <c r="F1" s="68">
        <v>2</v>
      </c>
      <c r="G1" s="68">
        <v>3</v>
      </c>
      <c r="H1" s="68">
        <v>4</v>
      </c>
      <c r="I1" s="68">
        <v>5</v>
      </c>
      <c r="J1" s="68">
        <v>6</v>
      </c>
      <c r="K1" s="68">
        <v>7</v>
      </c>
      <c r="L1" s="68">
        <v>8</v>
      </c>
      <c r="M1" s="68">
        <v>9</v>
      </c>
      <c r="N1" s="68">
        <v>10</v>
      </c>
      <c r="O1" s="68">
        <v>11</v>
      </c>
      <c r="P1" s="68">
        <v>12</v>
      </c>
      <c r="Q1" s="68">
        <v>13</v>
      </c>
      <c r="R1" s="68">
        <v>14</v>
      </c>
      <c r="S1" s="68">
        <v>15</v>
      </c>
      <c r="T1" s="68">
        <v>16</v>
      </c>
      <c r="U1" s="68">
        <v>17</v>
      </c>
      <c r="V1" s="68">
        <v>18</v>
      </c>
      <c r="W1" s="68">
        <v>19</v>
      </c>
      <c r="X1" s="68">
        <v>20</v>
      </c>
      <c r="Y1" s="69">
        <v>21</v>
      </c>
      <c r="Z1" s="69">
        <v>22</v>
      </c>
      <c r="AA1" s="69">
        <v>23</v>
      </c>
      <c r="AB1" s="69">
        <v>24</v>
      </c>
      <c r="AC1" s="69">
        <v>25</v>
      </c>
      <c r="AD1" s="68">
        <v>26</v>
      </c>
      <c r="AE1" s="68">
        <v>27</v>
      </c>
      <c r="AF1" s="68">
        <v>28</v>
      </c>
      <c r="AG1" s="68">
        <v>29</v>
      </c>
      <c r="AH1" s="68">
        <v>30</v>
      </c>
      <c r="AI1" s="68">
        <v>31</v>
      </c>
      <c r="AJ1" s="70" t="s">
        <v>23</v>
      </c>
    </row>
    <row r="2" spans="1:36" x14ac:dyDescent="0.25">
      <c r="A2" s="72" t="s">
        <v>11</v>
      </c>
      <c r="B2" s="73"/>
      <c r="C2" s="74"/>
      <c r="D2" s="75"/>
      <c r="E2" s="76" t="s">
        <v>56</v>
      </c>
      <c r="F2" s="16">
        <v>205.185</v>
      </c>
      <c r="G2" s="16">
        <v>259.495</v>
      </c>
      <c r="H2" s="16">
        <v>215.44499999999999</v>
      </c>
      <c r="I2" s="16">
        <v>204.352</v>
      </c>
      <c r="J2" s="16">
        <v>127.355</v>
      </c>
      <c r="K2" s="16">
        <v>157.15</v>
      </c>
      <c r="L2" s="16">
        <v>179.185</v>
      </c>
      <c r="M2" s="16">
        <v>197.17</v>
      </c>
      <c r="N2" s="16">
        <v>138.32</v>
      </c>
      <c r="O2" s="16">
        <v>167.49</v>
      </c>
      <c r="P2" s="16">
        <v>219.15</v>
      </c>
      <c r="Q2" s="16">
        <v>213.06</v>
      </c>
      <c r="R2" s="16">
        <v>211.31</v>
      </c>
      <c r="S2" s="16">
        <v>230.435</v>
      </c>
      <c r="T2" s="16">
        <v>144.333</v>
      </c>
      <c r="U2" s="16">
        <v>179.88200000000001</v>
      </c>
      <c r="V2" s="16">
        <v>195.47</v>
      </c>
      <c r="W2" s="16">
        <v>162.35</v>
      </c>
      <c r="X2" s="16">
        <v>172.33500000000001</v>
      </c>
      <c r="Y2" s="16">
        <v>148.26499999999999</v>
      </c>
      <c r="Z2" s="16">
        <v>164.42</v>
      </c>
      <c r="AA2" s="16">
        <v>246.375</v>
      </c>
      <c r="AB2" s="16">
        <v>209.69</v>
      </c>
      <c r="AC2" s="16">
        <v>205.57499999999999</v>
      </c>
      <c r="AD2" s="16">
        <v>191.62799999999999</v>
      </c>
      <c r="AE2" s="16">
        <v>175.53399999999999</v>
      </c>
      <c r="AF2" s="16">
        <v>163.56</v>
      </c>
      <c r="AG2" s="16">
        <v>189.535</v>
      </c>
      <c r="AH2" s="16">
        <v>206.47499999999999</v>
      </c>
      <c r="AI2" s="16">
        <v>197.04499999999999</v>
      </c>
      <c r="AJ2" s="77">
        <f>SUM($E2:$AI2)</f>
        <v>5677.5739999999987</v>
      </c>
    </row>
    <row r="3" spans="1:36" ht="15" customHeight="1" x14ac:dyDescent="0.25">
      <c r="A3" s="72" t="s">
        <v>12</v>
      </c>
      <c r="B3" s="73"/>
      <c r="C3" s="74"/>
      <c r="D3" s="75"/>
      <c r="E3" s="7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>
        <v>21.34</v>
      </c>
      <c r="U3" s="16"/>
      <c r="V3" s="16">
        <v>20.835000000000001</v>
      </c>
      <c r="W3" s="78">
        <v>33.31</v>
      </c>
      <c r="X3" s="16">
        <v>41.930999999999997</v>
      </c>
      <c r="Y3" s="16">
        <v>60.569000000000003</v>
      </c>
      <c r="Z3" s="16"/>
      <c r="AA3" s="16"/>
      <c r="AB3" s="16">
        <v>42.13</v>
      </c>
      <c r="AC3" s="16">
        <v>52.179000000000002</v>
      </c>
      <c r="AD3" s="16"/>
      <c r="AE3" s="16">
        <v>31.15</v>
      </c>
      <c r="AF3" s="16">
        <v>62.456000000000003</v>
      </c>
      <c r="AG3" s="16">
        <v>31.719000000000001</v>
      </c>
      <c r="AH3" s="16">
        <v>21.225000000000001</v>
      </c>
      <c r="AI3" s="16">
        <v>95.234999999999999</v>
      </c>
      <c r="AJ3" s="77">
        <f>SUM($E3:$AI3)</f>
        <v>514.07899999999995</v>
      </c>
    </row>
    <row r="4" spans="1:36" x14ac:dyDescent="0.25">
      <c r="A4" s="72" t="s">
        <v>57</v>
      </c>
      <c r="B4" s="73"/>
      <c r="C4" s="74"/>
      <c r="D4" s="75"/>
      <c r="E4" s="76" t="s">
        <v>56</v>
      </c>
      <c r="F4" s="16">
        <v>97.06</v>
      </c>
      <c r="G4" s="16">
        <v>135.215</v>
      </c>
      <c r="H4" s="16">
        <v>85.69</v>
      </c>
      <c r="I4" s="16">
        <v>97.03</v>
      </c>
      <c r="J4" s="16">
        <v>75.31</v>
      </c>
      <c r="K4" s="16">
        <v>52.335000000000001</v>
      </c>
      <c r="L4" s="78">
        <v>101.1</v>
      </c>
      <c r="M4" s="16">
        <v>86.394999999999996</v>
      </c>
      <c r="N4" s="78">
        <v>42.685000000000002</v>
      </c>
      <c r="O4" s="16">
        <v>78.180000000000007</v>
      </c>
      <c r="P4" s="16">
        <v>83.94</v>
      </c>
      <c r="Q4" s="16">
        <v>94.27</v>
      </c>
      <c r="R4" s="16">
        <v>81.22</v>
      </c>
      <c r="S4" s="16">
        <v>88.97</v>
      </c>
      <c r="T4" s="16">
        <v>19.93</v>
      </c>
      <c r="U4" s="16">
        <v>92.584999999999994</v>
      </c>
      <c r="V4" s="16">
        <v>71.284999999999997</v>
      </c>
      <c r="W4" s="16">
        <v>74.95</v>
      </c>
      <c r="X4" s="16">
        <v>66.334999999999994</v>
      </c>
      <c r="Y4" s="16">
        <v>52.42</v>
      </c>
      <c r="Z4" s="16">
        <v>103.01</v>
      </c>
      <c r="AA4" s="16">
        <v>85.484999999999999</v>
      </c>
      <c r="AB4" s="16">
        <v>105.51</v>
      </c>
      <c r="AC4" s="16">
        <v>92.66</v>
      </c>
      <c r="AD4" s="16">
        <v>81.355000000000004</v>
      </c>
      <c r="AE4" s="16">
        <v>61.484999999999999</v>
      </c>
      <c r="AF4" s="78">
        <v>89.35</v>
      </c>
      <c r="AG4" s="16">
        <v>88.015000000000001</v>
      </c>
      <c r="AH4" s="16">
        <v>95.31</v>
      </c>
      <c r="AI4" s="16">
        <v>93.39</v>
      </c>
      <c r="AJ4" s="77">
        <f>SUM($E4:$AI4)</f>
        <v>2472.4749999999999</v>
      </c>
    </row>
    <row r="5" spans="1:36" ht="15" customHeight="1" x14ac:dyDescent="0.25">
      <c r="A5" s="72" t="s">
        <v>58</v>
      </c>
      <c r="B5" s="73"/>
      <c r="C5" s="74"/>
      <c r="D5" s="75"/>
      <c r="E5" s="76"/>
      <c r="F5" s="16"/>
      <c r="G5" s="16"/>
      <c r="H5" s="16"/>
      <c r="I5" s="16"/>
      <c r="J5" s="16"/>
      <c r="K5" s="16"/>
      <c r="L5" s="16"/>
      <c r="M5" s="16"/>
      <c r="N5" s="16">
        <v>21.135000000000002</v>
      </c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77">
        <f t="shared" ref="AJ5:AJ13" si="0">SUM($E5:$AI5)</f>
        <v>21.135000000000002</v>
      </c>
    </row>
    <row r="6" spans="1:36" ht="15" customHeight="1" x14ac:dyDescent="0.25">
      <c r="A6" s="72" t="s">
        <v>15</v>
      </c>
      <c r="B6" s="73"/>
      <c r="C6" s="74"/>
      <c r="D6" s="75"/>
      <c r="E6" s="76" t="s">
        <v>56</v>
      </c>
      <c r="F6" s="16"/>
      <c r="G6" s="16"/>
      <c r="H6" s="16"/>
      <c r="I6" s="16"/>
      <c r="J6" s="16">
        <v>10.654999999999999</v>
      </c>
      <c r="K6" s="16"/>
      <c r="L6" s="16"/>
      <c r="M6" s="16">
        <v>10.725</v>
      </c>
      <c r="N6" s="16">
        <v>50.104999999999997</v>
      </c>
      <c r="O6" s="16">
        <v>30.06</v>
      </c>
      <c r="P6" s="16">
        <v>29.844999999999999</v>
      </c>
      <c r="Q6" s="16">
        <v>39.865000000000002</v>
      </c>
      <c r="R6" s="16">
        <v>31.195</v>
      </c>
      <c r="S6" s="16">
        <v>20.895</v>
      </c>
      <c r="T6" s="16">
        <v>42.424999999999997</v>
      </c>
      <c r="U6" s="16">
        <v>21.34</v>
      </c>
      <c r="V6" s="16">
        <v>21.2</v>
      </c>
      <c r="W6" s="16">
        <v>20.98</v>
      </c>
      <c r="X6" s="16">
        <v>42.14</v>
      </c>
      <c r="Y6" s="16"/>
      <c r="Z6" s="16"/>
      <c r="AA6" s="16">
        <v>10.545</v>
      </c>
      <c r="AB6" s="16">
        <v>22.945</v>
      </c>
      <c r="AC6" s="16">
        <v>10.055</v>
      </c>
      <c r="AD6" s="16">
        <v>42.68</v>
      </c>
      <c r="AE6" s="78">
        <v>21.065000000000001</v>
      </c>
      <c r="AF6" s="16"/>
      <c r="AG6" s="16"/>
      <c r="AH6" s="16">
        <v>63.58</v>
      </c>
      <c r="AI6" s="16">
        <v>31.585000000000001</v>
      </c>
      <c r="AJ6" s="77">
        <f t="shared" si="0"/>
        <v>573.88499999999999</v>
      </c>
    </row>
    <row r="7" spans="1:36" x14ac:dyDescent="0.25">
      <c r="A7" s="72" t="s">
        <v>59</v>
      </c>
      <c r="B7" s="73"/>
      <c r="C7" s="74"/>
      <c r="D7" s="75"/>
      <c r="E7" s="16">
        <v>79.135000000000005</v>
      </c>
      <c r="F7" s="16">
        <v>92.46</v>
      </c>
      <c r="G7" s="16">
        <v>90.834999999999994</v>
      </c>
      <c r="H7" s="16">
        <v>92.165000000000006</v>
      </c>
      <c r="I7" s="16">
        <v>93.385000000000005</v>
      </c>
      <c r="J7" s="16">
        <v>93.61</v>
      </c>
      <c r="K7" s="16">
        <v>91.435000000000002</v>
      </c>
      <c r="L7" s="16">
        <v>92.21</v>
      </c>
      <c r="M7" s="16">
        <v>97.795000000000002</v>
      </c>
      <c r="N7" s="16">
        <v>87.685000000000002</v>
      </c>
      <c r="O7" s="16">
        <v>77.185000000000002</v>
      </c>
      <c r="P7" s="16">
        <v>77</v>
      </c>
      <c r="Q7" s="16">
        <v>80.42</v>
      </c>
      <c r="R7" s="16">
        <v>91.594999999999999</v>
      </c>
      <c r="S7" s="16">
        <v>87.48</v>
      </c>
      <c r="T7" s="16">
        <v>80.135000000000005</v>
      </c>
      <c r="U7" s="16">
        <v>82.71</v>
      </c>
      <c r="V7" s="16">
        <v>74.045000000000002</v>
      </c>
      <c r="W7" s="16">
        <v>75.405000000000001</v>
      </c>
      <c r="X7" s="16">
        <v>86.635000000000005</v>
      </c>
      <c r="Y7" s="16">
        <v>91.795000000000002</v>
      </c>
      <c r="Z7" s="16">
        <v>91.04</v>
      </c>
      <c r="AA7" s="16">
        <v>79.62</v>
      </c>
      <c r="AB7" s="16">
        <v>90.74</v>
      </c>
      <c r="AC7" s="16">
        <v>73.94</v>
      </c>
      <c r="AD7" s="16">
        <v>85.775000000000006</v>
      </c>
      <c r="AE7" s="16">
        <v>60.835000000000001</v>
      </c>
      <c r="AF7" s="16">
        <v>87.51</v>
      </c>
      <c r="AG7" s="16">
        <v>84.415000000000006</v>
      </c>
      <c r="AH7" s="16">
        <v>82.855000000000004</v>
      </c>
      <c r="AI7" s="16">
        <v>79.739999999999995</v>
      </c>
      <c r="AJ7" s="77">
        <f t="shared" si="0"/>
        <v>2631.59</v>
      </c>
    </row>
    <row r="8" spans="1:36" x14ac:dyDescent="0.25">
      <c r="A8" s="72" t="s">
        <v>60</v>
      </c>
      <c r="B8" s="73"/>
      <c r="C8" s="74"/>
      <c r="D8" s="75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>
        <v>19.89</v>
      </c>
      <c r="W8" s="16">
        <v>70.86</v>
      </c>
      <c r="X8" s="16">
        <v>61.034999999999997</v>
      </c>
      <c r="Y8" s="16">
        <v>87.23</v>
      </c>
      <c r="Z8" s="16">
        <v>75.325000000000003</v>
      </c>
      <c r="AA8" s="16">
        <v>77.515000000000001</v>
      </c>
      <c r="AB8" s="16">
        <v>76.275000000000006</v>
      </c>
      <c r="AC8" s="16">
        <v>80.474999999999994</v>
      </c>
      <c r="AD8" s="16">
        <v>75.2</v>
      </c>
      <c r="AE8" s="16">
        <v>48.71</v>
      </c>
      <c r="AF8" s="16"/>
      <c r="AG8" s="16">
        <v>40.994999999999997</v>
      </c>
      <c r="AH8" s="16">
        <v>62.39</v>
      </c>
      <c r="AI8" s="16">
        <v>74.02</v>
      </c>
      <c r="AJ8" s="77">
        <f t="shared" si="0"/>
        <v>849.92000000000007</v>
      </c>
    </row>
    <row r="9" spans="1:36" x14ac:dyDescent="0.25">
      <c r="A9" s="72" t="s">
        <v>18</v>
      </c>
      <c r="B9" s="73"/>
      <c r="C9" s="74"/>
      <c r="D9" s="75"/>
      <c r="E9" s="76" t="s">
        <v>56</v>
      </c>
      <c r="F9" s="16">
        <v>19.655000000000001</v>
      </c>
      <c r="G9" s="16">
        <v>46.145000000000003</v>
      </c>
      <c r="H9" s="16">
        <v>16.864999999999998</v>
      </c>
      <c r="I9" s="16">
        <v>10.045</v>
      </c>
      <c r="J9" s="16">
        <v>13.96</v>
      </c>
      <c r="K9" s="16">
        <v>4.9349999999999996</v>
      </c>
      <c r="L9" s="16">
        <v>16.385000000000002</v>
      </c>
      <c r="M9" s="16">
        <v>43.895000000000003</v>
      </c>
      <c r="N9" s="16">
        <v>59.1</v>
      </c>
      <c r="O9" s="16">
        <v>39.659999999999997</v>
      </c>
      <c r="P9" s="16">
        <v>30.785</v>
      </c>
      <c r="Q9" s="16">
        <v>41.734999999999999</v>
      </c>
      <c r="R9" s="16"/>
      <c r="S9" s="16">
        <v>3.88</v>
      </c>
      <c r="T9" s="16">
        <v>50.35</v>
      </c>
      <c r="U9" s="16">
        <v>30.774999999999999</v>
      </c>
      <c r="V9" s="16">
        <v>22.055</v>
      </c>
      <c r="W9" s="16">
        <v>104.07</v>
      </c>
      <c r="X9" s="16">
        <v>49.805</v>
      </c>
      <c r="Y9" s="16">
        <v>38.58</v>
      </c>
      <c r="Z9" s="16"/>
      <c r="AA9" s="16">
        <v>71.724999999999994</v>
      </c>
      <c r="AB9" s="16">
        <v>55.395000000000003</v>
      </c>
      <c r="AC9" s="16">
        <v>60.96</v>
      </c>
      <c r="AD9" s="16">
        <v>80.540000000000006</v>
      </c>
      <c r="AE9" s="16">
        <v>67.614999999999995</v>
      </c>
      <c r="AF9" s="16">
        <v>89.754999999999995</v>
      </c>
      <c r="AG9" s="16">
        <v>35.994999999999997</v>
      </c>
      <c r="AH9" s="16">
        <v>57.024999999999999</v>
      </c>
      <c r="AI9" s="16">
        <v>56.51</v>
      </c>
      <c r="AJ9" s="77">
        <f t="shared" si="0"/>
        <v>1218.2</v>
      </c>
    </row>
    <row r="10" spans="1:36" x14ac:dyDescent="0.25">
      <c r="A10" s="72" t="s">
        <v>19</v>
      </c>
      <c r="B10" s="73"/>
      <c r="C10" s="74"/>
      <c r="D10" s="75"/>
      <c r="E10" s="16"/>
      <c r="F10" s="16">
        <v>64.265000000000001</v>
      </c>
      <c r="G10" s="16">
        <v>85.325000000000003</v>
      </c>
      <c r="H10" s="16">
        <v>66.685000000000002</v>
      </c>
      <c r="I10" s="16">
        <v>24.46</v>
      </c>
      <c r="J10" s="16">
        <v>73.5</v>
      </c>
      <c r="K10" s="16">
        <v>98.23</v>
      </c>
      <c r="L10" s="16">
        <v>147.41499999999999</v>
      </c>
      <c r="M10" s="16">
        <v>69.510000000000005</v>
      </c>
      <c r="N10" s="16"/>
      <c r="O10" s="16"/>
      <c r="P10" s="16">
        <v>24.54</v>
      </c>
      <c r="Q10" s="16"/>
      <c r="R10" s="16">
        <v>73.605000000000004</v>
      </c>
      <c r="S10" s="16"/>
      <c r="T10" s="16"/>
      <c r="U10" s="16"/>
      <c r="V10" s="16"/>
      <c r="W10" s="16"/>
      <c r="X10" s="16"/>
      <c r="Y10" s="16"/>
      <c r="Z10" s="16"/>
      <c r="AA10" s="16"/>
      <c r="AB10" s="16">
        <v>5.0199999999999996</v>
      </c>
      <c r="AC10" s="16">
        <v>28.204999999999998</v>
      </c>
      <c r="AD10" s="16">
        <v>10.119999999999999</v>
      </c>
      <c r="AE10" s="16">
        <v>14.955</v>
      </c>
      <c r="AF10" s="16">
        <v>27.774999999999999</v>
      </c>
      <c r="AG10" s="16"/>
      <c r="AH10" s="16"/>
      <c r="AI10" s="16"/>
      <c r="AJ10" s="77">
        <f t="shared" si="0"/>
        <v>813.61</v>
      </c>
    </row>
    <row r="11" spans="1:36" x14ac:dyDescent="0.25">
      <c r="A11" s="72" t="s">
        <v>20</v>
      </c>
      <c r="B11" s="73"/>
      <c r="C11" s="74"/>
      <c r="D11" s="75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77">
        <f t="shared" si="0"/>
        <v>0</v>
      </c>
    </row>
    <row r="12" spans="1:36" x14ac:dyDescent="0.25">
      <c r="A12" s="72" t="s">
        <v>21</v>
      </c>
      <c r="B12" s="73"/>
      <c r="C12" s="74"/>
      <c r="D12" s="75"/>
      <c r="E12" s="16"/>
      <c r="F12" s="26"/>
      <c r="G12" s="16"/>
      <c r="H12" s="16"/>
      <c r="I12" s="26"/>
      <c r="J12" s="26"/>
      <c r="K12" s="26"/>
      <c r="L12" s="26"/>
      <c r="M12" s="26"/>
      <c r="N12" s="26"/>
      <c r="O12" s="16"/>
      <c r="P12" s="26"/>
      <c r="Q12" s="15"/>
      <c r="R12" s="16"/>
      <c r="S12" s="16"/>
      <c r="T12" s="16"/>
      <c r="U12" s="16"/>
      <c r="V12" s="26"/>
      <c r="W12" s="26"/>
      <c r="X12" s="16"/>
      <c r="Y12" s="16"/>
      <c r="Z12" s="16"/>
      <c r="AA12" s="16"/>
      <c r="AB12" s="26"/>
      <c r="AC12" s="26"/>
      <c r="AD12" s="16"/>
      <c r="AE12" s="16"/>
      <c r="AF12" s="16"/>
      <c r="AG12" s="16"/>
      <c r="AH12" s="16"/>
      <c r="AI12" s="16"/>
      <c r="AJ12" s="77">
        <f t="shared" si="0"/>
        <v>0</v>
      </c>
    </row>
    <row r="13" spans="1:36" x14ac:dyDescent="0.25">
      <c r="A13" s="72" t="s">
        <v>61</v>
      </c>
      <c r="B13" s="79"/>
      <c r="C13" s="80"/>
      <c r="D13" s="81"/>
      <c r="E13" s="16">
        <v>0</v>
      </c>
      <c r="F13" s="16">
        <v>0.115</v>
      </c>
      <c r="G13" s="82">
        <v>0.215</v>
      </c>
      <c r="H13" s="16">
        <v>4.4999999999999998E-2</v>
      </c>
      <c r="I13" s="16">
        <v>0.03</v>
      </c>
      <c r="J13" s="82">
        <v>0.115</v>
      </c>
      <c r="K13" s="15">
        <v>7.0000000000000007E-2</v>
      </c>
      <c r="L13" s="82">
        <v>0</v>
      </c>
      <c r="M13" s="16">
        <v>0</v>
      </c>
      <c r="N13" s="16">
        <v>0.37</v>
      </c>
      <c r="O13" s="16">
        <v>0.5</v>
      </c>
      <c r="P13" s="16">
        <v>0.5</v>
      </c>
      <c r="Q13" s="16">
        <v>0.18</v>
      </c>
      <c r="R13" s="16">
        <v>0</v>
      </c>
      <c r="S13" s="16">
        <v>4.4999999999999998E-2</v>
      </c>
      <c r="T13" s="16">
        <v>0.46</v>
      </c>
      <c r="U13" s="16">
        <v>0.41</v>
      </c>
      <c r="V13" s="16">
        <v>0.155</v>
      </c>
      <c r="W13" s="16">
        <v>0.51500000000000001</v>
      </c>
      <c r="X13" s="16">
        <v>1.3</v>
      </c>
      <c r="Y13" s="82">
        <v>0.31</v>
      </c>
      <c r="Z13" s="16">
        <v>0</v>
      </c>
      <c r="AA13" s="16">
        <v>0.755</v>
      </c>
      <c r="AB13" s="16">
        <v>0.57999999999999996</v>
      </c>
      <c r="AC13" s="16">
        <v>0.39</v>
      </c>
      <c r="AD13" s="16">
        <v>0.52</v>
      </c>
      <c r="AE13" s="16">
        <v>0.36</v>
      </c>
      <c r="AF13" s="16">
        <v>1.1299999999999999</v>
      </c>
      <c r="AG13" s="16">
        <v>0.14000000000000001</v>
      </c>
      <c r="AH13" s="16">
        <v>0.55500000000000005</v>
      </c>
      <c r="AI13" s="16">
        <v>0.29499999999999998</v>
      </c>
      <c r="AJ13" s="77">
        <f t="shared" si="0"/>
        <v>10.06</v>
      </c>
    </row>
    <row r="14" spans="1:36" x14ac:dyDescent="0.25">
      <c r="A14" s="83"/>
      <c r="B14" s="84" t="s">
        <v>62</v>
      </c>
      <c r="C14" s="85"/>
      <c r="D14" s="81"/>
      <c r="E14" s="15">
        <f t="shared" ref="E14:AD14" si="1">E13+D14</f>
        <v>0</v>
      </c>
      <c r="F14" s="15">
        <f t="shared" si="1"/>
        <v>0.115</v>
      </c>
      <c r="G14" s="15">
        <f t="shared" si="1"/>
        <v>0.33</v>
      </c>
      <c r="H14" s="15">
        <f t="shared" si="1"/>
        <v>0.375</v>
      </c>
      <c r="I14" s="15">
        <f t="shared" si="1"/>
        <v>0.40500000000000003</v>
      </c>
      <c r="J14" s="15">
        <f t="shared" si="1"/>
        <v>0.52</v>
      </c>
      <c r="K14" s="15">
        <f t="shared" si="1"/>
        <v>0.59000000000000008</v>
      </c>
      <c r="L14" s="15">
        <f t="shared" si="1"/>
        <v>0.59000000000000008</v>
      </c>
      <c r="M14" s="15">
        <f t="shared" si="1"/>
        <v>0.59000000000000008</v>
      </c>
      <c r="N14" s="15">
        <f t="shared" si="1"/>
        <v>0.96000000000000008</v>
      </c>
      <c r="O14" s="15">
        <f t="shared" si="1"/>
        <v>1.46</v>
      </c>
      <c r="P14" s="15">
        <f t="shared" si="1"/>
        <v>1.96</v>
      </c>
      <c r="Q14" s="15">
        <f t="shared" si="1"/>
        <v>2.14</v>
      </c>
      <c r="R14" s="15">
        <f t="shared" si="1"/>
        <v>2.14</v>
      </c>
      <c r="S14" s="15">
        <f t="shared" si="1"/>
        <v>2.1850000000000001</v>
      </c>
      <c r="T14" s="15">
        <f t="shared" si="1"/>
        <v>2.645</v>
      </c>
      <c r="U14" s="15">
        <f t="shared" si="1"/>
        <v>3.0550000000000002</v>
      </c>
      <c r="V14" s="15">
        <f t="shared" si="1"/>
        <v>3.21</v>
      </c>
      <c r="W14" s="15">
        <f t="shared" si="1"/>
        <v>3.7250000000000001</v>
      </c>
      <c r="X14" s="15">
        <f t="shared" si="1"/>
        <v>5.0250000000000004</v>
      </c>
      <c r="Y14" s="15">
        <f t="shared" si="1"/>
        <v>5.335</v>
      </c>
      <c r="Z14" s="15">
        <f t="shared" si="1"/>
        <v>5.335</v>
      </c>
      <c r="AA14" s="15">
        <f t="shared" si="1"/>
        <v>6.09</v>
      </c>
      <c r="AB14" s="15">
        <f t="shared" si="1"/>
        <v>6.67</v>
      </c>
      <c r="AC14" s="15">
        <f t="shared" si="1"/>
        <v>7.06</v>
      </c>
      <c r="AD14" s="15">
        <f t="shared" si="1"/>
        <v>7.58</v>
      </c>
      <c r="AE14" s="15">
        <f>AE13+AD14</f>
        <v>7.94</v>
      </c>
      <c r="AF14" s="15">
        <f>AF13+AE14</f>
        <v>9.07</v>
      </c>
      <c r="AG14" s="15">
        <f>AG13+AF14</f>
        <v>9.2100000000000009</v>
      </c>
      <c r="AH14" s="15">
        <f>AH13+AG14</f>
        <v>9.7650000000000006</v>
      </c>
      <c r="AI14" s="15">
        <f>AI13+AH14</f>
        <v>10.06</v>
      </c>
    </row>
    <row r="15" spans="1:36" x14ac:dyDescent="0.25">
      <c r="A15" s="86" t="s">
        <v>63</v>
      </c>
      <c r="B15" s="87" t="s">
        <v>64</v>
      </c>
      <c r="C15" s="88"/>
      <c r="D15" s="89"/>
      <c r="E15" s="26">
        <v>481.67599999999999</v>
      </c>
      <c r="F15" s="26">
        <v>571.67600000000004</v>
      </c>
      <c r="G15" s="26">
        <v>687.16600000000005</v>
      </c>
      <c r="H15" s="26">
        <v>572.17600000000004</v>
      </c>
      <c r="I15" s="26">
        <v>664.16600000000005</v>
      </c>
      <c r="J15" s="26">
        <v>357.12599999999998</v>
      </c>
      <c r="K15" s="26">
        <v>442.70100000000002</v>
      </c>
      <c r="L15" s="26">
        <v>496.45600000000002</v>
      </c>
      <c r="M15" s="26">
        <v>600.64599999999996</v>
      </c>
      <c r="N15" s="26">
        <v>716.89099999999996</v>
      </c>
      <c r="O15" s="26">
        <v>771.89599999999996</v>
      </c>
      <c r="P15" s="26">
        <v>537.21100000000001</v>
      </c>
      <c r="Q15" s="26">
        <v>363.226</v>
      </c>
      <c r="R15" s="26">
        <v>429.95100000000002</v>
      </c>
      <c r="S15" s="26">
        <v>521.31100000000004</v>
      </c>
      <c r="T15" s="26">
        <v>561.13099999999997</v>
      </c>
      <c r="U15" s="26">
        <v>637.19100000000003</v>
      </c>
      <c r="V15" s="26">
        <v>532.57600000000002</v>
      </c>
      <c r="W15" s="26">
        <v>636.36099999999999</v>
      </c>
      <c r="X15" s="26">
        <v>450.96100000000001</v>
      </c>
      <c r="Y15" s="26">
        <v>612.96100000000001</v>
      </c>
      <c r="Z15" s="26">
        <v>660.99099999999999</v>
      </c>
      <c r="AA15" s="26">
        <v>825.101</v>
      </c>
      <c r="AB15" s="26">
        <v>927.27599999999995</v>
      </c>
      <c r="AC15" s="26">
        <v>831.73099999999999</v>
      </c>
      <c r="AD15" s="26">
        <v>949.94100000000003</v>
      </c>
      <c r="AE15" s="26">
        <v>511.48599999999999</v>
      </c>
      <c r="AF15" s="26">
        <v>439.31099999999998</v>
      </c>
      <c r="AG15" s="26">
        <v>377.64100000000002</v>
      </c>
      <c r="AH15" s="26">
        <v>401.13099999999997</v>
      </c>
      <c r="AI15" s="26">
        <v>532.03599999999994</v>
      </c>
    </row>
    <row r="16" spans="1:36" x14ac:dyDescent="0.25">
      <c r="A16" s="90"/>
      <c r="B16" s="87" t="s">
        <v>27</v>
      </c>
      <c r="C16" s="88"/>
      <c r="D16" s="89"/>
      <c r="E16" s="26">
        <v>62.002000000000002</v>
      </c>
      <c r="F16" s="26">
        <v>62.002000000000002</v>
      </c>
      <c r="G16" s="26">
        <v>62.002000000000002</v>
      </c>
      <c r="H16" s="26">
        <v>62.002000000000002</v>
      </c>
      <c r="I16" s="26">
        <v>62.002000000000002</v>
      </c>
      <c r="J16" s="26">
        <v>62.002000000000002</v>
      </c>
      <c r="K16" s="26">
        <v>62.002000000000002</v>
      </c>
      <c r="L16" s="26">
        <v>62.002000000000002</v>
      </c>
      <c r="M16" s="26">
        <v>62.002000000000002</v>
      </c>
      <c r="N16" s="26">
        <v>62.002000000000002</v>
      </c>
      <c r="O16" s="26">
        <v>62.002000000000002</v>
      </c>
      <c r="P16" s="26">
        <v>62.002000000000002</v>
      </c>
      <c r="Q16" s="26">
        <v>62.356999999999999</v>
      </c>
      <c r="R16" s="26">
        <v>62.356999999999999</v>
      </c>
      <c r="S16" s="26">
        <v>62.356999999999999</v>
      </c>
      <c r="T16" s="26">
        <v>62.356999999999999</v>
      </c>
      <c r="U16" s="26">
        <v>62.356999999999999</v>
      </c>
      <c r="V16" s="26">
        <v>62.356999999999999</v>
      </c>
      <c r="W16" s="26">
        <v>62.642000000000003</v>
      </c>
      <c r="X16" s="26">
        <v>62.642000000000003</v>
      </c>
      <c r="Y16" s="26">
        <v>62.642000000000003</v>
      </c>
      <c r="Z16" s="26">
        <v>63.182000000000002</v>
      </c>
      <c r="AA16" s="26">
        <v>63.182000000000002</v>
      </c>
      <c r="AB16" s="26">
        <v>63.182000000000002</v>
      </c>
      <c r="AC16" s="26">
        <v>63.182000000000002</v>
      </c>
      <c r="AD16" s="26">
        <v>63.182000000000002</v>
      </c>
      <c r="AE16" s="26">
        <v>63.182000000000002</v>
      </c>
      <c r="AF16" s="26">
        <v>64.287000000000006</v>
      </c>
      <c r="AG16" s="26">
        <v>64.287000000000006</v>
      </c>
      <c r="AH16" s="26">
        <v>64.527000000000001</v>
      </c>
      <c r="AI16" s="26">
        <v>64.527000000000001</v>
      </c>
    </row>
    <row r="17" spans="1:35" x14ac:dyDescent="0.25">
      <c r="A17" s="91"/>
      <c r="B17" s="87" t="s">
        <v>65</v>
      </c>
      <c r="C17" s="88"/>
      <c r="D17" s="89"/>
      <c r="E17" s="26">
        <v>4.0060000000000002</v>
      </c>
      <c r="F17" s="26">
        <v>4.0060000000000002</v>
      </c>
      <c r="G17" s="26">
        <v>4.0060000000000002</v>
      </c>
      <c r="H17" s="26">
        <v>4.0060000000000002</v>
      </c>
      <c r="I17" s="26">
        <v>4.0060000000000002</v>
      </c>
      <c r="J17" s="26">
        <v>4.0060000000000002</v>
      </c>
      <c r="K17" s="26">
        <v>4.0060000000000002</v>
      </c>
      <c r="L17" s="26">
        <v>4.0060000000000002</v>
      </c>
      <c r="M17" s="26">
        <v>4.0060000000000002</v>
      </c>
      <c r="N17" s="26">
        <v>4.0060000000000002</v>
      </c>
      <c r="O17" s="26">
        <v>4.0060000000000002</v>
      </c>
      <c r="P17" s="26">
        <v>4.0060000000000002</v>
      </c>
      <c r="Q17" s="26">
        <v>4.0060000000000002</v>
      </c>
      <c r="R17" s="26">
        <v>4.0060000000000002</v>
      </c>
      <c r="S17" s="26">
        <v>4.0060000000000002</v>
      </c>
      <c r="T17" s="26">
        <v>4.0060000000000002</v>
      </c>
      <c r="U17" s="26">
        <v>4.0060000000000002</v>
      </c>
      <c r="V17" s="26">
        <v>4.0060000000000002</v>
      </c>
      <c r="W17" s="26">
        <v>4.0060000000000002</v>
      </c>
      <c r="X17" s="26">
        <v>4.0060000000000002</v>
      </c>
      <c r="Y17" s="26">
        <v>4.0060000000000002</v>
      </c>
      <c r="Z17" s="26">
        <v>4.0060000000000002</v>
      </c>
      <c r="AA17" s="26">
        <v>4.0060000000000002</v>
      </c>
      <c r="AB17" s="26">
        <v>4.0060000000000002</v>
      </c>
      <c r="AC17" s="26">
        <v>4.0060000000000002</v>
      </c>
      <c r="AD17" s="26">
        <v>4.0060000000000002</v>
      </c>
      <c r="AE17" s="26">
        <v>4.0060000000000002</v>
      </c>
      <c r="AF17" s="26">
        <v>4.0060000000000002</v>
      </c>
      <c r="AG17" s="26">
        <v>4.0060000000000002</v>
      </c>
      <c r="AH17" s="26">
        <v>4.0060000000000002</v>
      </c>
      <c r="AI17" s="26">
        <v>4.0060000000000002</v>
      </c>
    </row>
    <row r="18" spans="1:35" x14ac:dyDescent="0.25">
      <c r="A18" s="92"/>
      <c r="B18" s="93" t="s">
        <v>23</v>
      </c>
      <c r="C18" s="94"/>
      <c r="D18" s="67"/>
      <c r="E18" s="40">
        <f t="shared" ref="E18:AI18" si="2">SUM(E15:E17)</f>
        <v>547.68399999999997</v>
      </c>
      <c r="F18" s="40">
        <f t="shared" si="2"/>
        <v>637.68399999999997</v>
      </c>
      <c r="G18" s="40">
        <f t="shared" si="2"/>
        <v>753.17399999999998</v>
      </c>
      <c r="H18" s="40">
        <f t="shared" si="2"/>
        <v>638.18399999999997</v>
      </c>
      <c r="I18" s="40">
        <f t="shared" si="2"/>
        <v>730.17399999999998</v>
      </c>
      <c r="J18" s="40">
        <f t="shared" si="2"/>
        <v>423.13400000000001</v>
      </c>
      <c r="K18" s="40">
        <f t="shared" si="2"/>
        <v>508.70900000000006</v>
      </c>
      <c r="L18" s="40">
        <f t="shared" si="2"/>
        <v>562.46399999999994</v>
      </c>
      <c r="M18" s="40">
        <f t="shared" si="2"/>
        <v>666.65399999999988</v>
      </c>
      <c r="N18" s="40">
        <f t="shared" si="2"/>
        <v>782.89899999999989</v>
      </c>
      <c r="O18" s="40">
        <f t="shared" si="2"/>
        <v>837.90399999999988</v>
      </c>
      <c r="P18" s="40">
        <f t="shared" si="2"/>
        <v>603.21899999999994</v>
      </c>
      <c r="Q18" s="40">
        <f t="shared" si="2"/>
        <v>429.58899999999994</v>
      </c>
      <c r="R18" s="40">
        <f t="shared" si="2"/>
        <v>496.31399999999996</v>
      </c>
      <c r="S18" s="40">
        <f t="shared" si="2"/>
        <v>587.67399999999998</v>
      </c>
      <c r="T18" s="40">
        <f t="shared" si="2"/>
        <v>627.49399999999991</v>
      </c>
      <c r="U18" s="40">
        <f t="shared" si="2"/>
        <v>703.55399999999997</v>
      </c>
      <c r="V18" s="40">
        <f t="shared" si="2"/>
        <v>598.93899999999996</v>
      </c>
      <c r="W18" s="40">
        <f t="shared" si="2"/>
        <v>703.00900000000001</v>
      </c>
      <c r="X18" s="40">
        <f t="shared" si="2"/>
        <v>517.60900000000004</v>
      </c>
      <c r="Y18" s="40">
        <f t="shared" si="2"/>
        <v>679.60900000000004</v>
      </c>
      <c r="Z18" s="40">
        <f t="shared" si="2"/>
        <v>728.17899999999997</v>
      </c>
      <c r="AA18" s="40">
        <f t="shared" si="2"/>
        <v>892.28899999999999</v>
      </c>
      <c r="AB18" s="40">
        <f t="shared" si="2"/>
        <v>994.46399999999994</v>
      </c>
      <c r="AC18" s="40">
        <f t="shared" si="2"/>
        <v>898.91899999999998</v>
      </c>
      <c r="AD18" s="40">
        <f t="shared" si="2"/>
        <v>1017.129</v>
      </c>
      <c r="AE18" s="40">
        <f t="shared" si="2"/>
        <v>578.67399999999998</v>
      </c>
      <c r="AF18" s="40">
        <f t="shared" si="2"/>
        <v>507.60399999999993</v>
      </c>
      <c r="AG18" s="40">
        <f t="shared" si="2"/>
        <v>445.93399999999997</v>
      </c>
      <c r="AH18" s="40">
        <f t="shared" si="2"/>
        <v>469.66399999999999</v>
      </c>
      <c r="AI18" s="40">
        <f t="shared" si="2"/>
        <v>600.56899999999996</v>
      </c>
    </row>
    <row r="19" spans="1:35" x14ac:dyDescent="0.25">
      <c r="A19" s="92"/>
      <c r="B19" s="93" t="s">
        <v>66</v>
      </c>
      <c r="C19" s="94"/>
      <c r="D19" s="67"/>
      <c r="E19" s="68">
        <v>500</v>
      </c>
      <c r="F19" s="68">
        <v>500</v>
      </c>
      <c r="G19" s="68">
        <v>500</v>
      </c>
      <c r="H19" s="68">
        <v>500</v>
      </c>
      <c r="I19" s="68">
        <v>500</v>
      </c>
      <c r="J19" s="68">
        <v>500</v>
      </c>
      <c r="K19" s="68">
        <v>500</v>
      </c>
      <c r="L19" s="68">
        <v>500</v>
      </c>
      <c r="M19" s="68">
        <v>500</v>
      </c>
      <c r="N19" s="68">
        <v>500</v>
      </c>
      <c r="O19" s="68">
        <v>500</v>
      </c>
      <c r="P19" s="68">
        <v>500</v>
      </c>
      <c r="Q19" s="68">
        <v>500</v>
      </c>
      <c r="R19" s="68">
        <v>500</v>
      </c>
      <c r="S19" s="68">
        <v>500</v>
      </c>
      <c r="T19" s="68">
        <v>500</v>
      </c>
      <c r="U19" s="68">
        <v>500</v>
      </c>
      <c r="V19" s="68">
        <v>500</v>
      </c>
      <c r="W19" s="68">
        <v>500</v>
      </c>
      <c r="X19" s="68">
        <v>500</v>
      </c>
      <c r="Y19" s="68">
        <v>500</v>
      </c>
      <c r="Z19" s="68">
        <v>500</v>
      </c>
      <c r="AA19" s="68">
        <v>500</v>
      </c>
      <c r="AB19" s="68">
        <v>500</v>
      </c>
      <c r="AC19" s="68">
        <v>500</v>
      </c>
      <c r="AD19" s="68">
        <v>500</v>
      </c>
      <c r="AE19" s="68">
        <v>500</v>
      </c>
      <c r="AF19" s="68">
        <v>500</v>
      </c>
      <c r="AG19" s="68">
        <v>500</v>
      </c>
      <c r="AH19" s="68">
        <v>500</v>
      </c>
      <c r="AI19" s="68">
        <v>500</v>
      </c>
    </row>
    <row r="20" spans="1:35" x14ac:dyDescent="0.25">
      <c r="A20" s="95" t="s">
        <v>67</v>
      </c>
      <c r="B20" s="96"/>
      <c r="C20" s="97"/>
      <c r="D20" s="67"/>
      <c r="E20" s="26">
        <v>2202.5970000000002</v>
      </c>
      <c r="F20" s="26">
        <v>2208.5070000000001</v>
      </c>
      <c r="G20" s="26">
        <v>2227.002</v>
      </c>
      <c r="H20" s="26">
        <v>2224.9969999999998</v>
      </c>
      <c r="I20" s="26">
        <v>2228.5940000000001</v>
      </c>
      <c r="J20" s="26">
        <v>2225.5889999999999</v>
      </c>
      <c r="K20" s="26">
        <v>2181.5940000000001</v>
      </c>
      <c r="L20" s="26">
        <v>2233.2890000000002</v>
      </c>
      <c r="M20" s="26">
        <v>2230.7139999999999</v>
      </c>
      <c r="N20" s="26">
        <v>2218.319</v>
      </c>
      <c r="O20" s="26">
        <v>2270.114</v>
      </c>
      <c r="P20" s="26">
        <v>2291.9490000000001</v>
      </c>
      <c r="Q20" s="26">
        <v>2327.2919999999999</v>
      </c>
      <c r="R20" s="26">
        <v>2372.0920000000001</v>
      </c>
      <c r="S20" s="26">
        <v>2379.9670000000001</v>
      </c>
      <c r="T20" s="26">
        <v>2360.87</v>
      </c>
      <c r="U20" s="26">
        <v>2397.8200000000002</v>
      </c>
      <c r="V20" s="26">
        <v>2424.11</v>
      </c>
      <c r="W20" s="26">
        <v>2408</v>
      </c>
      <c r="X20" s="26">
        <v>2405.5149999999999</v>
      </c>
      <c r="Y20" s="26">
        <v>2294.1350000000002</v>
      </c>
      <c r="Z20" s="26">
        <v>2336.89</v>
      </c>
      <c r="AA20" s="26">
        <v>2267.13</v>
      </c>
      <c r="AB20" s="26">
        <v>2268.2649999999999</v>
      </c>
      <c r="AC20" s="26">
        <v>2240.6840000000002</v>
      </c>
      <c r="AD20" s="26">
        <v>2182.864</v>
      </c>
      <c r="AE20" s="26">
        <v>2105.8589999999999</v>
      </c>
      <c r="AF20" s="26">
        <v>2020.1389999999999</v>
      </c>
      <c r="AG20" s="26">
        <v>1989.1289999999999</v>
      </c>
      <c r="AH20" s="26">
        <v>2015.8040000000001</v>
      </c>
      <c r="AI20" s="26">
        <v>1961.194</v>
      </c>
    </row>
    <row r="21" spans="1:35" x14ac:dyDescent="0.25">
      <c r="A21" s="95" t="s">
        <v>68</v>
      </c>
      <c r="B21" s="96"/>
      <c r="C21" s="97"/>
      <c r="D21" s="67"/>
      <c r="E21" s="26">
        <v>36.895000000000003</v>
      </c>
      <c r="F21" s="26">
        <v>36.895000000000003</v>
      </c>
      <c r="G21" s="26">
        <v>36.895000000000003</v>
      </c>
      <c r="H21" s="26">
        <v>36.895000000000003</v>
      </c>
      <c r="I21" s="26">
        <v>36.895000000000003</v>
      </c>
      <c r="J21" s="26">
        <v>36.895000000000003</v>
      </c>
      <c r="K21" s="26">
        <v>47.505000000000003</v>
      </c>
      <c r="L21" s="26">
        <v>52.555</v>
      </c>
      <c r="M21" s="26">
        <v>36.895000000000003</v>
      </c>
      <c r="N21" s="26">
        <v>36.895000000000003</v>
      </c>
      <c r="O21" s="26">
        <v>36.895000000000003</v>
      </c>
      <c r="P21" s="26">
        <v>47.594999999999999</v>
      </c>
      <c r="Q21" s="26">
        <v>47.594999999999999</v>
      </c>
      <c r="R21" s="26">
        <v>47.594999999999999</v>
      </c>
      <c r="S21" s="26">
        <v>47.594999999999999</v>
      </c>
      <c r="T21" s="26">
        <v>47.594999999999999</v>
      </c>
      <c r="U21" s="26">
        <v>47.594999999999999</v>
      </c>
      <c r="V21" s="26">
        <v>55.805</v>
      </c>
      <c r="W21" s="26">
        <v>50.204999999999998</v>
      </c>
      <c r="X21" s="26">
        <v>50.204999999999998</v>
      </c>
      <c r="Y21" s="26">
        <v>50.204999999999998</v>
      </c>
      <c r="Z21" s="26">
        <v>60.875</v>
      </c>
      <c r="AA21" s="26">
        <v>60.875</v>
      </c>
      <c r="AB21" s="26">
        <v>84.03</v>
      </c>
      <c r="AC21" s="26">
        <v>78.305000000000007</v>
      </c>
      <c r="AD21" s="26">
        <v>88.6</v>
      </c>
      <c r="AE21" s="26">
        <v>88.6</v>
      </c>
      <c r="AF21" s="26">
        <v>92.64500000000001</v>
      </c>
      <c r="AG21" s="26">
        <v>87.605000000000004</v>
      </c>
      <c r="AH21" s="26">
        <v>82.35</v>
      </c>
      <c r="AI21" s="26">
        <v>82.35</v>
      </c>
    </row>
    <row r="22" spans="1:35" ht="15" customHeight="1" x14ac:dyDescent="0.25">
      <c r="A22" s="98" t="s">
        <v>69</v>
      </c>
      <c r="B22" s="99" t="s">
        <v>32</v>
      </c>
      <c r="C22" s="100" t="s">
        <v>23</v>
      </c>
      <c r="D22" s="67"/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0</v>
      </c>
      <c r="Z22" s="101">
        <v>0</v>
      </c>
      <c r="AA22" s="101">
        <v>0</v>
      </c>
      <c r="AB22" s="101">
        <v>0</v>
      </c>
      <c r="AC22" s="101">
        <v>0</v>
      </c>
      <c r="AD22" s="101">
        <v>0</v>
      </c>
      <c r="AE22" s="101">
        <v>0</v>
      </c>
      <c r="AF22" s="101">
        <v>0</v>
      </c>
      <c r="AG22" s="101">
        <v>0</v>
      </c>
      <c r="AH22" s="101">
        <v>0</v>
      </c>
      <c r="AI22" s="101">
        <v>0</v>
      </c>
    </row>
    <row r="23" spans="1:35" ht="15" customHeight="1" x14ac:dyDescent="0.25">
      <c r="A23" s="102"/>
      <c r="B23" s="103" t="s">
        <v>33</v>
      </c>
      <c r="C23" s="104" t="s">
        <v>23</v>
      </c>
      <c r="D23" s="89"/>
      <c r="E23" s="26">
        <v>49.287999999999997</v>
      </c>
      <c r="F23" s="26">
        <v>49.287999999999997</v>
      </c>
      <c r="G23" s="26">
        <v>49.287999999999997</v>
      </c>
      <c r="H23" s="26">
        <v>49.287999999999997</v>
      </c>
      <c r="I23" s="26">
        <v>49.287999999999997</v>
      </c>
      <c r="J23" s="26">
        <v>49.287999999999997</v>
      </c>
      <c r="K23" s="26">
        <v>49.287999999999997</v>
      </c>
      <c r="L23" s="26">
        <v>49.287999999999997</v>
      </c>
      <c r="M23" s="26">
        <v>49.287999999999997</v>
      </c>
      <c r="N23" s="26">
        <v>49.287999999999997</v>
      </c>
      <c r="O23" s="26">
        <v>49.287999999999997</v>
      </c>
      <c r="P23" s="26">
        <v>49.287999999999997</v>
      </c>
      <c r="Q23" s="26">
        <v>49.287999999999997</v>
      </c>
      <c r="R23" s="26">
        <v>49.287999999999997</v>
      </c>
      <c r="S23" s="26">
        <v>49.287999999999997</v>
      </c>
      <c r="T23" s="26">
        <v>49.287999999999997</v>
      </c>
      <c r="U23" s="26">
        <v>49.287999999999997</v>
      </c>
      <c r="V23" s="26">
        <v>49.287999999999997</v>
      </c>
      <c r="W23" s="26">
        <v>49.287999999999997</v>
      </c>
      <c r="X23" s="26">
        <v>49.287999999999997</v>
      </c>
      <c r="Y23" s="26">
        <v>49.287999999999997</v>
      </c>
      <c r="Z23" s="26">
        <v>49.287999999999997</v>
      </c>
      <c r="AA23" s="26">
        <v>49.287999999999997</v>
      </c>
      <c r="AB23" s="26">
        <v>49.287999999999997</v>
      </c>
      <c r="AC23" s="26">
        <v>49.287999999999997</v>
      </c>
      <c r="AD23" s="26">
        <v>49.287999999999997</v>
      </c>
      <c r="AE23" s="26">
        <v>49.287999999999997</v>
      </c>
      <c r="AF23" s="26">
        <v>49.287999999999997</v>
      </c>
      <c r="AG23" s="26">
        <v>49.287999999999997</v>
      </c>
      <c r="AH23" s="26">
        <v>49.287999999999997</v>
      </c>
      <c r="AI23" s="26">
        <v>49.287999999999997</v>
      </c>
    </row>
    <row r="24" spans="1:35" ht="15" customHeight="1" x14ac:dyDescent="0.25">
      <c r="A24" s="102"/>
      <c r="B24" s="105" t="s">
        <v>34</v>
      </c>
      <c r="C24" s="106" t="s">
        <v>23</v>
      </c>
      <c r="D24" s="107"/>
      <c r="E24" s="26">
        <v>2273.9369999999994</v>
      </c>
      <c r="F24" s="26">
        <v>2273.9369999999994</v>
      </c>
      <c r="G24" s="26">
        <v>2273.9369999999994</v>
      </c>
      <c r="H24" s="26">
        <v>2273.9369999999994</v>
      </c>
      <c r="I24" s="26">
        <v>2273.9369999999994</v>
      </c>
      <c r="J24" s="26">
        <v>2273.9369999999994</v>
      </c>
      <c r="K24" s="26">
        <v>2273.9369999999994</v>
      </c>
      <c r="L24" s="26">
        <v>2273.9369999999994</v>
      </c>
      <c r="M24" s="26">
        <v>2273.9369999999994</v>
      </c>
      <c r="N24" s="26">
        <v>2273.9369999999994</v>
      </c>
      <c r="O24" s="26">
        <v>2273.9369999999994</v>
      </c>
      <c r="P24" s="26">
        <v>2273.9369999999994</v>
      </c>
      <c r="Q24" s="26">
        <v>2273.9369999999994</v>
      </c>
      <c r="R24" s="26">
        <v>2273.9369999999994</v>
      </c>
      <c r="S24" s="26">
        <v>2273.9369999999994</v>
      </c>
      <c r="T24" s="26">
        <v>2273.9369999999994</v>
      </c>
      <c r="U24" s="26">
        <v>2273.9369999999994</v>
      </c>
      <c r="V24" s="26">
        <v>2273.9369999999994</v>
      </c>
      <c r="W24" s="26">
        <v>2273.9369999999994</v>
      </c>
      <c r="X24" s="26">
        <v>2273.9369999999994</v>
      </c>
      <c r="Y24" s="26">
        <v>2273.9369999999994</v>
      </c>
      <c r="Z24" s="26">
        <v>2273.9369999999994</v>
      </c>
      <c r="AA24" s="26">
        <v>2273.9369999999994</v>
      </c>
      <c r="AB24" s="26">
        <v>2273.9369999999994</v>
      </c>
      <c r="AC24" s="26">
        <v>2776.1620000000003</v>
      </c>
      <c r="AD24" s="26">
        <v>2776.1620000000003</v>
      </c>
      <c r="AE24" s="26">
        <v>2776.1620000000003</v>
      </c>
      <c r="AF24" s="26">
        <v>2776.1620000000003</v>
      </c>
      <c r="AG24" s="26">
        <v>2776.1620000000003</v>
      </c>
      <c r="AH24" s="26">
        <v>2776.1620000000003</v>
      </c>
      <c r="AI24" s="26">
        <v>2776.1620000000003</v>
      </c>
    </row>
    <row r="25" spans="1:35" x14ac:dyDescent="0.25">
      <c r="A25" s="102"/>
      <c r="B25" s="108" t="s">
        <v>35</v>
      </c>
      <c r="C25" s="108" t="s">
        <v>23</v>
      </c>
      <c r="D25" s="107"/>
      <c r="E25" s="26">
        <v>24.55</v>
      </c>
      <c r="F25" s="26">
        <v>24.55</v>
      </c>
      <c r="G25" s="26">
        <v>24.55</v>
      </c>
      <c r="H25" s="26">
        <v>24.55</v>
      </c>
      <c r="I25" s="26">
        <v>24.55</v>
      </c>
      <c r="J25" s="26">
        <v>24.55</v>
      </c>
      <c r="K25" s="26">
        <v>24.55</v>
      </c>
      <c r="L25" s="26">
        <v>24.55</v>
      </c>
      <c r="M25" s="26">
        <v>24.55</v>
      </c>
      <c r="N25" s="26">
        <v>24.55</v>
      </c>
      <c r="O25" s="26">
        <v>24.55</v>
      </c>
      <c r="P25" s="26">
        <v>24.55</v>
      </c>
      <c r="Q25" s="26">
        <v>24.55</v>
      </c>
      <c r="R25" s="26">
        <v>24.55</v>
      </c>
      <c r="S25" s="26">
        <v>24.55</v>
      </c>
      <c r="T25" s="26">
        <v>24.55</v>
      </c>
      <c r="U25" s="26">
        <v>24.55</v>
      </c>
      <c r="V25" s="26">
        <v>24.55</v>
      </c>
      <c r="W25" s="26">
        <v>24.55</v>
      </c>
      <c r="X25" s="26">
        <v>24.55</v>
      </c>
      <c r="Y25" s="26">
        <v>24.55</v>
      </c>
      <c r="Z25" s="26">
        <v>24.55</v>
      </c>
      <c r="AA25" s="26">
        <v>24.55</v>
      </c>
      <c r="AB25" s="26">
        <v>24.55</v>
      </c>
      <c r="AC25" s="26">
        <v>24.55</v>
      </c>
      <c r="AD25" s="26">
        <v>24.55</v>
      </c>
      <c r="AE25" s="26">
        <v>24.55</v>
      </c>
      <c r="AF25" s="26">
        <v>24.55</v>
      </c>
      <c r="AG25" s="26">
        <v>24.55</v>
      </c>
      <c r="AH25" s="26">
        <v>24.55</v>
      </c>
      <c r="AI25" s="26">
        <v>24.55</v>
      </c>
    </row>
    <row r="26" spans="1:35" x14ac:dyDescent="0.25">
      <c r="A26" s="102"/>
      <c r="B26" s="109" t="s">
        <v>36</v>
      </c>
      <c r="C26" s="110" t="s">
        <v>23</v>
      </c>
      <c r="D26" s="107"/>
      <c r="E26" s="26">
        <v>5934.03</v>
      </c>
      <c r="F26" s="26">
        <v>5934.0450000000001</v>
      </c>
      <c r="G26" s="26">
        <v>5842.26</v>
      </c>
      <c r="H26" s="26">
        <v>5756.5550000000003</v>
      </c>
      <c r="I26" s="26">
        <v>5659.6850000000004</v>
      </c>
      <c r="J26" s="26">
        <v>5573.83</v>
      </c>
      <c r="K26" s="26">
        <v>5521.5050000000001</v>
      </c>
      <c r="L26" s="26">
        <v>5410.6450000000004</v>
      </c>
      <c r="M26" s="26">
        <v>5323.4650000000001</v>
      </c>
      <c r="N26" s="26">
        <v>5218.5749999999998</v>
      </c>
      <c r="O26" s="26">
        <v>5110.335</v>
      </c>
      <c r="P26" s="26">
        <v>5008.6500000000024</v>
      </c>
      <c r="Q26" s="26">
        <v>4874.51</v>
      </c>
      <c r="R26" s="26">
        <v>4762.1400000000003</v>
      </c>
      <c r="S26" s="26">
        <v>4652.2749999999996</v>
      </c>
      <c r="T26" s="26">
        <v>4589.92</v>
      </c>
      <c r="U26" s="26">
        <v>4475.9949999999999</v>
      </c>
      <c r="V26" s="26">
        <v>4394.1049999999996</v>
      </c>
      <c r="W26" s="26">
        <v>4308.5150000000003</v>
      </c>
      <c r="X26" s="26">
        <v>4200.04</v>
      </c>
      <c r="Y26" s="26">
        <v>4147.62</v>
      </c>
      <c r="Z26" s="26">
        <v>4044.61</v>
      </c>
      <c r="AA26" s="26">
        <v>3948.58</v>
      </c>
      <c r="AB26" s="26">
        <v>6822.21</v>
      </c>
      <c r="AC26" s="26">
        <v>6719.4949999999999</v>
      </c>
      <c r="AD26" s="26">
        <v>6595.46</v>
      </c>
      <c r="AE26" s="26">
        <v>6512.8649999999998</v>
      </c>
      <c r="AF26" s="26">
        <v>6413.11</v>
      </c>
      <c r="AG26" s="26">
        <v>6335.5</v>
      </c>
      <c r="AH26" s="26">
        <v>6187.2250000000004</v>
      </c>
      <c r="AI26" s="26">
        <v>6062.25</v>
      </c>
    </row>
    <row r="27" spans="1:35" x14ac:dyDescent="0.25">
      <c r="A27" s="102"/>
      <c r="B27" s="111">
        <v>301</v>
      </c>
      <c r="C27" s="112" t="s">
        <v>23</v>
      </c>
      <c r="D27" s="107"/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</row>
    <row r="28" spans="1:35" x14ac:dyDescent="0.25">
      <c r="A28" s="102"/>
      <c r="B28" s="113" t="s">
        <v>37</v>
      </c>
      <c r="C28" s="114" t="s">
        <v>23</v>
      </c>
      <c r="D28" s="107"/>
      <c r="E28" s="26">
        <v>151.33500000000001</v>
      </c>
      <c r="F28" s="26">
        <v>54.275000000000006</v>
      </c>
      <c r="G28" s="26">
        <v>10.92</v>
      </c>
      <c r="H28" s="26">
        <v>10.92</v>
      </c>
      <c r="I28" s="26">
        <v>10.92</v>
      </c>
      <c r="J28" s="26">
        <v>10.92</v>
      </c>
      <c r="K28" s="26">
        <v>10.92</v>
      </c>
      <c r="L28" s="26">
        <v>10.92</v>
      </c>
      <c r="M28" s="26">
        <v>10.92</v>
      </c>
      <c r="N28" s="26">
        <v>10.92</v>
      </c>
      <c r="O28" s="26">
        <v>10.92</v>
      </c>
      <c r="P28" s="26">
        <v>10.92</v>
      </c>
      <c r="Q28" s="26">
        <v>10.92</v>
      </c>
      <c r="R28" s="26">
        <v>10.92</v>
      </c>
      <c r="S28" s="26">
        <v>10.92</v>
      </c>
      <c r="T28" s="26">
        <v>10.92</v>
      </c>
      <c r="U28" s="26">
        <v>10.92</v>
      </c>
      <c r="V28" s="26">
        <v>10.92</v>
      </c>
      <c r="W28" s="26">
        <v>10.92</v>
      </c>
      <c r="X28" s="26">
        <v>10.92</v>
      </c>
      <c r="Y28" s="26">
        <v>10.92</v>
      </c>
      <c r="Z28" s="26">
        <v>10.92</v>
      </c>
      <c r="AA28" s="26">
        <v>10.92</v>
      </c>
      <c r="AB28" s="26">
        <v>113.99</v>
      </c>
      <c r="AC28" s="26">
        <v>113.99</v>
      </c>
      <c r="AD28" s="26">
        <v>113.99</v>
      </c>
      <c r="AE28" s="26">
        <v>113.99</v>
      </c>
      <c r="AF28" s="26">
        <v>113.99</v>
      </c>
      <c r="AG28" s="26">
        <v>113.99</v>
      </c>
      <c r="AH28" s="26">
        <v>113.99</v>
      </c>
      <c r="AI28" s="26">
        <v>113.99</v>
      </c>
    </row>
    <row r="29" spans="1:35" x14ac:dyDescent="0.25">
      <c r="A29" s="115"/>
      <c r="B29" s="116">
        <v>430</v>
      </c>
      <c r="C29" s="117" t="s">
        <v>23</v>
      </c>
      <c r="D29" s="107"/>
      <c r="E29" s="26">
        <v>20.887999999999998</v>
      </c>
      <c r="F29" s="26">
        <v>20.887999999999998</v>
      </c>
      <c r="G29" s="26">
        <v>20.887999999999998</v>
      </c>
      <c r="H29" s="26">
        <v>20.887999999999998</v>
      </c>
      <c r="I29" s="26">
        <v>20.887999999999998</v>
      </c>
      <c r="J29" s="26">
        <v>20.887999999999998</v>
      </c>
      <c r="K29" s="26">
        <v>20.887999999999998</v>
      </c>
      <c r="L29" s="26">
        <v>20.887999999999998</v>
      </c>
      <c r="M29" s="26">
        <v>20.887999999999998</v>
      </c>
      <c r="N29" s="26">
        <v>20.887999999999998</v>
      </c>
      <c r="O29" s="26">
        <v>20.887999999999998</v>
      </c>
      <c r="P29" s="26">
        <v>20.887999999999998</v>
      </c>
      <c r="Q29" s="26">
        <v>20.887999999999998</v>
      </c>
      <c r="R29" s="26">
        <v>20.887999999999998</v>
      </c>
      <c r="S29" s="26">
        <v>20.887999999999998</v>
      </c>
      <c r="T29" s="26">
        <v>20.887999999999998</v>
      </c>
      <c r="U29" s="26">
        <v>20.887999999999998</v>
      </c>
      <c r="V29" s="26">
        <v>20.887999999999998</v>
      </c>
      <c r="W29" s="26">
        <v>20.887999999999998</v>
      </c>
      <c r="X29" s="26">
        <v>20.887999999999998</v>
      </c>
      <c r="Y29" s="26">
        <v>20.887999999999998</v>
      </c>
      <c r="Z29" s="26">
        <v>20.887999999999998</v>
      </c>
      <c r="AA29" s="26">
        <v>20.887999999999998</v>
      </c>
      <c r="AB29" s="26">
        <v>20.887999999999998</v>
      </c>
      <c r="AC29" s="26">
        <v>20.887999999999998</v>
      </c>
      <c r="AD29" s="26">
        <v>20.887999999999998</v>
      </c>
      <c r="AE29" s="26">
        <v>20.887999999999998</v>
      </c>
      <c r="AF29" s="26">
        <v>20.887999999999998</v>
      </c>
      <c r="AG29" s="26">
        <v>20.887999999999998</v>
      </c>
      <c r="AH29" s="26">
        <v>20.887999999999998</v>
      </c>
      <c r="AI29" s="26">
        <v>20.887999999999998</v>
      </c>
    </row>
    <row r="30" spans="1:35" x14ac:dyDescent="0.25">
      <c r="A30" s="118" t="s">
        <v>70</v>
      </c>
      <c r="B30" s="103" t="s">
        <v>33</v>
      </c>
      <c r="C30" s="104" t="s">
        <v>23</v>
      </c>
      <c r="D30" s="107"/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</row>
    <row r="31" spans="1:35" x14ac:dyDescent="0.25">
      <c r="A31" s="119"/>
      <c r="B31" s="105" t="s">
        <v>34</v>
      </c>
      <c r="C31" s="106" t="s">
        <v>23</v>
      </c>
      <c r="D31" s="107"/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0</v>
      </c>
      <c r="V31" s="55">
        <v>0</v>
      </c>
      <c r="W31" s="55">
        <v>0</v>
      </c>
      <c r="X31" s="55">
        <v>0</v>
      </c>
      <c r="Y31" s="55">
        <v>0</v>
      </c>
      <c r="Z31" s="55">
        <v>0</v>
      </c>
      <c r="AA31" s="55">
        <v>0</v>
      </c>
      <c r="AB31" s="55">
        <v>0</v>
      </c>
      <c r="AC31" s="55">
        <v>0</v>
      </c>
      <c r="AD31" s="55">
        <v>0</v>
      </c>
      <c r="AE31" s="55">
        <v>0</v>
      </c>
      <c r="AF31" s="55">
        <v>0</v>
      </c>
      <c r="AG31" s="55">
        <v>0</v>
      </c>
      <c r="AH31" s="55">
        <v>0</v>
      </c>
      <c r="AI31" s="55">
        <v>0</v>
      </c>
    </row>
    <row r="32" spans="1:35" x14ac:dyDescent="0.25">
      <c r="A32" s="119"/>
      <c r="B32" s="108" t="s">
        <v>35</v>
      </c>
      <c r="C32" s="108" t="s">
        <v>23</v>
      </c>
      <c r="D32" s="107"/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</row>
    <row r="33" spans="1:35" x14ac:dyDescent="0.25">
      <c r="A33" s="119"/>
      <c r="B33" s="109" t="s">
        <v>36</v>
      </c>
      <c r="C33" s="110" t="s">
        <v>23</v>
      </c>
      <c r="D33" s="107"/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</row>
    <row r="34" spans="1:35" x14ac:dyDescent="0.25">
      <c r="A34" s="119"/>
      <c r="B34" s="113" t="s">
        <v>37</v>
      </c>
      <c r="C34" s="114" t="s">
        <v>23</v>
      </c>
      <c r="D34" s="107"/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</row>
    <row r="35" spans="1:35" x14ac:dyDescent="0.25">
      <c r="A35" s="120"/>
      <c r="B35" s="116">
        <v>430</v>
      </c>
      <c r="C35" s="117" t="s">
        <v>23</v>
      </c>
      <c r="D35" s="107"/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</row>
    <row r="36" spans="1:35" x14ac:dyDescent="0.25">
      <c r="A36" s="121" t="s">
        <v>71</v>
      </c>
      <c r="B36" s="99" t="s">
        <v>32</v>
      </c>
      <c r="C36" s="122" t="s">
        <v>23</v>
      </c>
      <c r="D36" s="107"/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>
        <v>0</v>
      </c>
      <c r="AI36" s="55">
        <v>0</v>
      </c>
    </row>
    <row r="37" spans="1:35" x14ac:dyDescent="0.25">
      <c r="A37" s="123"/>
      <c r="B37" s="103" t="s">
        <v>33</v>
      </c>
      <c r="C37" s="104" t="s">
        <v>23</v>
      </c>
      <c r="D37" s="107"/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0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v>0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>
        <v>0</v>
      </c>
      <c r="AI37" s="55">
        <v>0</v>
      </c>
    </row>
    <row r="38" spans="1:35" x14ac:dyDescent="0.25">
      <c r="A38" s="123"/>
      <c r="B38" s="105" t="s">
        <v>34</v>
      </c>
      <c r="C38" s="106" t="s">
        <v>23</v>
      </c>
      <c r="D38" s="107"/>
      <c r="E38" s="26">
        <v>319.68500000000006</v>
      </c>
      <c r="F38" s="26">
        <v>319.68500000000006</v>
      </c>
      <c r="G38" s="26">
        <v>319.68500000000006</v>
      </c>
      <c r="H38" s="26">
        <v>319.68500000000006</v>
      </c>
      <c r="I38" s="26">
        <v>319.68500000000006</v>
      </c>
      <c r="J38" s="26">
        <v>319.68500000000006</v>
      </c>
      <c r="K38" s="26">
        <v>319.68500000000006</v>
      </c>
      <c r="L38" s="26">
        <v>319.68500000000006</v>
      </c>
      <c r="M38" s="26">
        <v>319.68500000000006</v>
      </c>
      <c r="N38" s="26">
        <v>319.68500000000006</v>
      </c>
      <c r="O38" s="26">
        <v>319.68500000000006</v>
      </c>
      <c r="P38" s="26">
        <v>319.68500000000006</v>
      </c>
      <c r="Q38" s="26">
        <v>319.68500000000006</v>
      </c>
      <c r="R38" s="26">
        <v>319.68500000000006</v>
      </c>
      <c r="S38" s="26">
        <v>319.68500000000006</v>
      </c>
      <c r="T38" s="26">
        <v>319.68500000000006</v>
      </c>
      <c r="U38" s="26">
        <v>319.68500000000006</v>
      </c>
      <c r="V38" s="26">
        <v>319.68500000000006</v>
      </c>
      <c r="W38" s="26">
        <v>319.68500000000006</v>
      </c>
      <c r="X38" s="26">
        <v>319.68500000000006</v>
      </c>
      <c r="Y38" s="26">
        <v>319.68500000000006</v>
      </c>
      <c r="Z38" s="26">
        <v>319.68500000000006</v>
      </c>
      <c r="AA38" s="26">
        <v>319.68500000000006</v>
      </c>
      <c r="AB38" s="26">
        <v>319.68500000000006</v>
      </c>
      <c r="AC38" s="26">
        <v>319.68500000000006</v>
      </c>
      <c r="AD38" s="26">
        <v>319.68500000000006</v>
      </c>
      <c r="AE38" s="26">
        <v>319.68500000000006</v>
      </c>
      <c r="AF38" s="26">
        <v>319.68500000000006</v>
      </c>
      <c r="AG38" s="26">
        <v>319.68500000000006</v>
      </c>
      <c r="AH38" s="26">
        <v>319.68500000000006</v>
      </c>
      <c r="AI38" s="26">
        <v>319.68500000000006</v>
      </c>
    </row>
    <row r="39" spans="1:35" x14ac:dyDescent="0.25">
      <c r="A39" s="123"/>
      <c r="B39" s="108" t="s">
        <v>35</v>
      </c>
      <c r="C39" s="108" t="s">
        <v>23</v>
      </c>
      <c r="D39" s="107"/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</row>
    <row r="40" spans="1:35" x14ac:dyDescent="0.25">
      <c r="A40" s="123"/>
      <c r="B40" s="109" t="s">
        <v>36</v>
      </c>
      <c r="C40" s="110" t="s">
        <v>23</v>
      </c>
      <c r="D40" s="107"/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</row>
    <row r="41" spans="1:35" x14ac:dyDescent="0.25">
      <c r="A41" s="123"/>
      <c r="B41" s="113" t="s">
        <v>37</v>
      </c>
      <c r="C41" s="114" t="s">
        <v>23</v>
      </c>
      <c r="D41" s="107"/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</row>
    <row r="42" spans="1:35" x14ac:dyDescent="0.25">
      <c r="A42" s="123"/>
      <c r="B42" s="124">
        <v>430</v>
      </c>
      <c r="C42" s="117" t="s">
        <v>23</v>
      </c>
      <c r="D42" s="107"/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</row>
    <row r="43" spans="1:35" x14ac:dyDescent="0.25">
      <c r="A43" s="125"/>
      <c r="B43" s="126">
        <v>410</v>
      </c>
      <c r="C43" s="127" t="s">
        <v>23</v>
      </c>
      <c r="D43" s="107"/>
      <c r="E43" s="55">
        <v>8.4570000000000007</v>
      </c>
      <c r="F43" s="55">
        <v>8.4570000000000007</v>
      </c>
      <c r="G43" s="55">
        <v>8.4570000000000007</v>
      </c>
      <c r="H43" s="55">
        <v>8.4570000000000007</v>
      </c>
      <c r="I43" s="55">
        <v>8.4570000000000007</v>
      </c>
      <c r="J43" s="55">
        <v>8.4570000000000007</v>
      </c>
      <c r="K43" s="55">
        <v>8.4570000000000007</v>
      </c>
      <c r="L43" s="55">
        <v>8.4570000000000007</v>
      </c>
      <c r="M43" s="55">
        <v>8.4570000000000007</v>
      </c>
      <c r="N43" s="55">
        <v>8.4570000000000007</v>
      </c>
      <c r="O43" s="55">
        <v>8.4570000000000007</v>
      </c>
      <c r="P43" s="55">
        <v>8.4570000000000007</v>
      </c>
      <c r="Q43" s="55">
        <v>8.4570000000000007</v>
      </c>
      <c r="R43" s="55">
        <v>8.4570000000000007</v>
      </c>
      <c r="S43" s="55">
        <v>8.4570000000000007</v>
      </c>
      <c r="T43" s="55">
        <v>8.4570000000000007</v>
      </c>
      <c r="U43" s="55">
        <v>8.4570000000000007</v>
      </c>
      <c r="V43" s="55">
        <v>8.4570000000000007</v>
      </c>
      <c r="W43" s="55">
        <v>8.4570000000000007</v>
      </c>
      <c r="X43" s="55">
        <v>8.4570000000000007</v>
      </c>
      <c r="Y43" s="55">
        <v>8.4570000000000007</v>
      </c>
      <c r="Z43" s="55">
        <v>8.4570000000000007</v>
      </c>
      <c r="AA43" s="55">
        <v>8.4570000000000007</v>
      </c>
      <c r="AB43" s="55">
        <v>8.4570000000000007</v>
      </c>
      <c r="AC43" s="55">
        <v>8.4570000000000007</v>
      </c>
      <c r="AD43" s="55">
        <v>8.4570000000000007</v>
      </c>
      <c r="AE43" s="55">
        <v>8.4570000000000007</v>
      </c>
      <c r="AF43" s="55">
        <v>8.4570000000000007</v>
      </c>
      <c r="AG43" s="55">
        <v>8.4570000000000007</v>
      </c>
      <c r="AH43" s="55">
        <v>8.4570000000000007</v>
      </c>
      <c r="AI43" s="55">
        <v>8.4570000000000007</v>
      </c>
    </row>
    <row r="44" spans="1:35" x14ac:dyDescent="0.25">
      <c r="A44" s="128" t="s">
        <v>52</v>
      </c>
      <c r="B44" s="103" t="s">
        <v>33</v>
      </c>
      <c r="C44" s="104" t="s">
        <v>23</v>
      </c>
      <c r="D44" s="107"/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</row>
    <row r="45" spans="1:35" x14ac:dyDescent="0.25">
      <c r="A45" s="129"/>
      <c r="B45" s="105" t="s">
        <v>34</v>
      </c>
      <c r="C45" s="106" t="s">
        <v>23</v>
      </c>
      <c r="D45" s="107"/>
      <c r="E45" s="26">
        <v>35.683999999999997</v>
      </c>
      <c r="F45" s="26">
        <v>35.683999999999997</v>
      </c>
      <c r="G45" s="26">
        <v>35.683999999999997</v>
      </c>
      <c r="H45" s="26">
        <v>35.683999999999997</v>
      </c>
      <c r="I45" s="26">
        <v>35.683999999999997</v>
      </c>
      <c r="J45" s="26">
        <v>35.683999999999997</v>
      </c>
      <c r="K45" s="26">
        <v>35.683999999999997</v>
      </c>
      <c r="L45" s="26">
        <v>35.683999999999997</v>
      </c>
      <c r="M45" s="26">
        <v>35.683999999999997</v>
      </c>
      <c r="N45" s="26">
        <v>35.683999999999997</v>
      </c>
      <c r="O45" s="26">
        <v>35.683999999999997</v>
      </c>
      <c r="P45" s="26">
        <v>35.683999999999997</v>
      </c>
      <c r="Q45" s="26">
        <v>35.683999999999997</v>
      </c>
      <c r="R45" s="26">
        <v>35.683999999999997</v>
      </c>
      <c r="S45" s="26">
        <v>35.683999999999997</v>
      </c>
      <c r="T45" s="26">
        <v>35.683999999999997</v>
      </c>
      <c r="U45" s="26">
        <v>35.683999999999997</v>
      </c>
      <c r="V45" s="26">
        <v>35.683999999999997</v>
      </c>
      <c r="W45" s="26">
        <v>35.683999999999997</v>
      </c>
      <c r="X45" s="26">
        <v>35.683999999999997</v>
      </c>
      <c r="Y45" s="26">
        <v>35.683999999999997</v>
      </c>
      <c r="Z45" s="26">
        <v>35.683999999999997</v>
      </c>
      <c r="AA45" s="26">
        <v>35.683999999999997</v>
      </c>
      <c r="AB45" s="26">
        <v>35.683999999999997</v>
      </c>
      <c r="AC45" s="26">
        <v>35.683999999999997</v>
      </c>
      <c r="AD45" s="26">
        <v>35.683999999999997</v>
      </c>
      <c r="AE45" s="26">
        <v>35.683999999999997</v>
      </c>
      <c r="AF45" s="26">
        <v>35.683999999999997</v>
      </c>
      <c r="AG45" s="26">
        <v>35.683999999999997</v>
      </c>
      <c r="AH45" s="26">
        <v>35.683999999999997</v>
      </c>
      <c r="AI45" s="26">
        <v>35.683999999999997</v>
      </c>
    </row>
    <row r="46" spans="1:35" x14ac:dyDescent="0.25">
      <c r="A46" s="129"/>
      <c r="B46" s="108" t="s">
        <v>35</v>
      </c>
      <c r="C46" s="108" t="s">
        <v>23</v>
      </c>
      <c r="D46" s="107"/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</row>
    <row r="47" spans="1:35" x14ac:dyDescent="0.25">
      <c r="A47" s="129"/>
      <c r="B47" s="109" t="s">
        <v>36</v>
      </c>
      <c r="C47" s="110" t="s">
        <v>23</v>
      </c>
      <c r="D47" s="107"/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0</v>
      </c>
      <c r="V47" s="55">
        <v>0</v>
      </c>
      <c r="W47" s="55">
        <v>0</v>
      </c>
      <c r="X47" s="55">
        <v>0</v>
      </c>
      <c r="Y47" s="55">
        <v>0</v>
      </c>
      <c r="Z47" s="55">
        <v>0</v>
      </c>
      <c r="AA47" s="55">
        <v>0</v>
      </c>
      <c r="AB47" s="55">
        <v>0</v>
      </c>
      <c r="AC47" s="55">
        <v>0</v>
      </c>
      <c r="AD47" s="55">
        <v>0</v>
      </c>
      <c r="AE47" s="55">
        <v>0</v>
      </c>
      <c r="AF47" s="55">
        <v>0</v>
      </c>
      <c r="AG47" s="55">
        <v>0</v>
      </c>
      <c r="AH47" s="55">
        <v>0</v>
      </c>
      <c r="AI47" s="55">
        <v>0</v>
      </c>
    </row>
    <row r="48" spans="1:35" x14ac:dyDescent="0.25">
      <c r="A48" s="129"/>
      <c r="B48" s="113" t="s">
        <v>37</v>
      </c>
      <c r="C48" s="114" t="s">
        <v>23</v>
      </c>
      <c r="D48" s="107"/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</row>
    <row r="49" spans="1:35" x14ac:dyDescent="0.25">
      <c r="A49" s="130"/>
      <c r="B49" s="131">
        <v>430</v>
      </c>
      <c r="C49" s="132" t="s">
        <v>23</v>
      </c>
      <c r="D49" s="133"/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</row>
    <row r="50" spans="1:35" x14ac:dyDescent="0.25">
      <c r="B50" s="134"/>
      <c r="C50" s="134"/>
      <c r="D50" s="134"/>
      <c r="E50" s="81"/>
      <c r="F50" s="134"/>
      <c r="G50" s="134"/>
      <c r="H50" s="134"/>
      <c r="I50" s="134"/>
      <c r="J50" s="134"/>
    </row>
    <row r="51" spans="1:35" x14ac:dyDescent="0.25">
      <c r="B51" s="134"/>
      <c r="C51" s="134"/>
      <c r="D51" s="134"/>
      <c r="E51" s="81"/>
      <c r="F51" s="134"/>
      <c r="G51" s="134"/>
      <c r="H51" s="134"/>
      <c r="I51" s="134"/>
      <c r="J51" s="134"/>
    </row>
    <row r="52" spans="1:35" x14ac:dyDescent="0.25">
      <c r="B52" s="134"/>
      <c r="C52" s="134"/>
      <c r="D52" s="134"/>
      <c r="E52" s="81"/>
      <c r="F52" s="134"/>
      <c r="G52" s="134"/>
      <c r="H52" s="134"/>
      <c r="I52" s="134"/>
      <c r="J52" s="134"/>
    </row>
    <row r="53" spans="1:35" x14ac:dyDescent="0.25">
      <c r="B53" s="134"/>
      <c r="C53" s="134"/>
      <c r="D53" s="134"/>
      <c r="E53" s="81"/>
      <c r="F53" s="134"/>
      <c r="G53" s="134"/>
      <c r="H53" s="134"/>
      <c r="I53" s="134"/>
      <c r="J53" s="134"/>
    </row>
    <row r="54" spans="1:35" x14ac:dyDescent="0.25">
      <c r="B54" s="134"/>
      <c r="C54" s="134"/>
      <c r="D54" s="134"/>
      <c r="E54" s="81"/>
      <c r="F54" s="134"/>
      <c r="G54" s="134"/>
      <c r="H54" s="134"/>
      <c r="I54" s="134"/>
      <c r="J54" s="134"/>
    </row>
    <row r="55" spans="1:35" x14ac:dyDescent="0.25">
      <c r="B55" s="134"/>
      <c r="C55" s="134"/>
      <c r="D55" s="134"/>
      <c r="E55" s="81"/>
      <c r="F55" s="134"/>
      <c r="G55" s="134"/>
      <c r="H55" s="134"/>
      <c r="I55" s="134"/>
      <c r="J55" s="134"/>
    </row>
    <row r="56" spans="1:35" x14ac:dyDescent="0.25">
      <c r="B56" s="134"/>
      <c r="C56" s="134"/>
      <c r="D56" s="134"/>
      <c r="E56" s="81"/>
      <c r="F56" s="134"/>
      <c r="G56" s="134"/>
      <c r="H56" s="134"/>
      <c r="I56" s="134"/>
      <c r="J56" s="134"/>
    </row>
    <row r="57" spans="1:35" x14ac:dyDescent="0.25">
      <c r="B57" s="134"/>
      <c r="C57" s="134"/>
      <c r="D57" s="134"/>
      <c r="E57" s="81"/>
      <c r="F57" s="134"/>
      <c r="G57" s="134"/>
      <c r="H57" s="134"/>
      <c r="I57" s="134"/>
      <c r="J57" s="134"/>
    </row>
    <row r="58" spans="1:35" x14ac:dyDescent="0.25">
      <c r="B58" s="134"/>
      <c r="C58" s="134"/>
      <c r="D58" s="134"/>
      <c r="E58" s="81"/>
      <c r="F58" s="134"/>
      <c r="G58" s="134"/>
      <c r="H58" s="134"/>
      <c r="I58" s="134"/>
      <c r="J58" s="134"/>
    </row>
    <row r="62" spans="1:35" x14ac:dyDescent="0.25">
      <c r="H62" s="134"/>
    </row>
  </sheetData>
  <mergeCells count="23">
    <mergeCell ref="A21:C21"/>
    <mergeCell ref="A22:A29"/>
    <mergeCell ref="A30:A35"/>
    <mergeCell ref="A36:A43"/>
    <mergeCell ref="A44:A49"/>
    <mergeCell ref="A13:C13"/>
    <mergeCell ref="A15:A17"/>
    <mergeCell ref="B15:C15"/>
    <mergeCell ref="B16:C16"/>
    <mergeCell ref="B17:C17"/>
    <mergeCell ref="A20:C20"/>
    <mergeCell ref="A7:C7"/>
    <mergeCell ref="A8:C8"/>
    <mergeCell ref="A9:C9"/>
    <mergeCell ref="A10:C10"/>
    <mergeCell ref="A11:C11"/>
    <mergeCell ref="A12:C12"/>
    <mergeCell ref="A1:C1"/>
    <mergeCell ref="A2:C2"/>
    <mergeCell ref="A3:C3"/>
    <mergeCell ref="A4:C4"/>
    <mergeCell ref="A5:C5"/>
    <mergeCell ref="A6:C6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89C9D-DCCC-411B-BF79-3BC38679D1BF}">
  <dimension ref="B17:U52"/>
  <sheetViews>
    <sheetView view="pageBreakPreview" topLeftCell="A49" zoomScale="90" zoomScaleNormal="90" zoomScaleSheetLayoutView="90" workbookViewId="0">
      <selection activeCell="I13" sqref="I13"/>
    </sheetView>
  </sheetViews>
  <sheetFormatPr defaultColWidth="9.140625" defaultRowHeight="15" x14ac:dyDescent="0.25"/>
  <cols>
    <col min="1" max="1" width="5.42578125" style="71" customWidth="1"/>
    <col min="2" max="21" width="5.42578125" style="67" customWidth="1"/>
    <col min="22" max="16384" width="9.140625" style="71"/>
  </cols>
  <sheetData>
    <row r="17" spans="2:7" x14ac:dyDescent="0.25">
      <c r="B17" s="67">
        <f>22.565+162.94+192.568+192.634+159.415</f>
        <v>730.12199999999996</v>
      </c>
    </row>
    <row r="18" spans="2:7" x14ac:dyDescent="0.25">
      <c r="B18" s="67">
        <f>87.685+91.487+90.377+87.278</f>
        <v>356.827</v>
      </c>
    </row>
    <row r="27" spans="2:7" x14ac:dyDescent="0.25">
      <c r="B27" s="89"/>
      <c r="C27" s="89"/>
      <c r="D27" s="89"/>
      <c r="E27" s="89"/>
      <c r="F27" s="89"/>
      <c r="G27" s="89"/>
    </row>
    <row r="28" spans="2:7" x14ac:dyDescent="0.25">
      <c r="B28" s="89"/>
      <c r="C28" s="89"/>
      <c r="D28" s="89"/>
      <c r="E28" s="89"/>
      <c r="F28" s="89"/>
      <c r="G28" s="89"/>
    </row>
    <row r="29" spans="2:7" x14ac:dyDescent="0.25">
      <c r="B29" s="89"/>
      <c r="C29" s="89"/>
      <c r="D29" s="89"/>
      <c r="E29" s="89"/>
      <c r="F29" s="89"/>
      <c r="G29" s="89"/>
    </row>
    <row r="30" spans="2:7" x14ac:dyDescent="0.25">
      <c r="B30" s="89"/>
      <c r="C30" s="89"/>
      <c r="D30" s="89"/>
      <c r="E30" s="89"/>
      <c r="F30" s="89"/>
      <c r="G30" s="89"/>
    </row>
    <row r="31" spans="2:7" x14ac:dyDescent="0.25">
      <c r="B31" s="89"/>
      <c r="C31" s="89"/>
      <c r="D31" s="89"/>
      <c r="E31" s="89"/>
      <c r="F31" s="89"/>
      <c r="G31" s="89"/>
    </row>
    <row r="32" spans="2:7" x14ac:dyDescent="0.25">
      <c r="B32" s="89"/>
      <c r="C32" s="89"/>
      <c r="D32" s="89"/>
      <c r="E32" s="89"/>
      <c r="F32" s="89"/>
      <c r="G32" s="89"/>
    </row>
    <row r="33" spans="2:10" x14ac:dyDescent="0.25">
      <c r="B33" s="89"/>
      <c r="C33" s="89"/>
      <c r="D33" s="89"/>
      <c r="E33" s="89"/>
      <c r="F33" s="89"/>
      <c r="G33" s="89"/>
    </row>
    <row r="34" spans="2:10" x14ac:dyDescent="0.25">
      <c r="B34" s="89"/>
      <c r="C34" s="89"/>
      <c r="D34" s="89"/>
      <c r="E34" s="89"/>
      <c r="F34" s="89"/>
      <c r="G34" s="89"/>
    </row>
    <row r="35" spans="2:10" x14ac:dyDescent="0.25">
      <c r="B35" s="89"/>
      <c r="C35" s="89"/>
      <c r="D35" s="89"/>
      <c r="E35" s="89"/>
      <c r="F35" s="89"/>
      <c r="G35" s="89"/>
    </row>
    <row r="36" spans="2:10" x14ac:dyDescent="0.25">
      <c r="B36" s="89"/>
      <c r="C36" s="89"/>
      <c r="D36" s="89"/>
      <c r="E36" s="89"/>
      <c r="F36" s="89"/>
      <c r="G36" s="89"/>
    </row>
    <row r="37" spans="2:10" x14ac:dyDescent="0.25">
      <c r="B37" s="89"/>
      <c r="C37" s="89"/>
      <c r="D37" s="89"/>
      <c r="E37" s="89"/>
      <c r="F37" s="89"/>
      <c r="G37" s="89"/>
    </row>
    <row r="38" spans="2:10" x14ac:dyDescent="0.25">
      <c r="B38" s="89"/>
      <c r="C38" s="89"/>
      <c r="D38" s="89"/>
      <c r="E38" s="89"/>
      <c r="F38" s="89"/>
      <c r="G38" s="89"/>
    </row>
    <row r="44" spans="2:10" x14ac:dyDescent="0.25">
      <c r="B44" s="89"/>
      <c r="C44" s="89"/>
      <c r="D44" s="89"/>
      <c r="E44" s="89"/>
      <c r="F44" s="89"/>
      <c r="G44" s="89"/>
      <c r="H44" s="89"/>
      <c r="I44" s="89"/>
      <c r="J44" s="89"/>
    </row>
    <row r="45" spans="2:10" x14ac:dyDescent="0.25">
      <c r="B45" s="89"/>
      <c r="C45" s="89"/>
      <c r="D45" s="89"/>
      <c r="E45" s="89"/>
      <c r="F45" s="89"/>
      <c r="G45" s="89"/>
      <c r="H45" s="89"/>
      <c r="I45" s="89"/>
      <c r="J45" s="89"/>
    </row>
    <row r="46" spans="2:10" x14ac:dyDescent="0.25">
      <c r="B46" s="89"/>
      <c r="C46" s="89"/>
      <c r="D46" s="89"/>
      <c r="E46" s="89"/>
      <c r="F46" s="89"/>
      <c r="G46" s="89"/>
      <c r="H46" s="89"/>
      <c r="I46" s="89"/>
      <c r="J46" s="89"/>
    </row>
    <row r="47" spans="2:10" x14ac:dyDescent="0.25">
      <c r="B47" s="89"/>
      <c r="C47" s="89"/>
      <c r="D47" s="89"/>
      <c r="E47" s="89"/>
      <c r="F47" s="89"/>
      <c r="G47" s="89"/>
      <c r="H47" s="89"/>
      <c r="I47" s="89"/>
      <c r="J47" s="89"/>
    </row>
    <row r="48" spans="2:10" x14ac:dyDescent="0.25">
      <c r="B48" s="89"/>
      <c r="C48" s="89"/>
      <c r="D48" s="89"/>
      <c r="E48" s="89"/>
      <c r="F48" s="89"/>
      <c r="G48" s="89"/>
      <c r="H48" s="89"/>
      <c r="I48" s="89"/>
      <c r="J48" s="89"/>
    </row>
    <row r="49" spans="2:10" x14ac:dyDescent="0.25">
      <c r="B49" s="89"/>
      <c r="C49" s="89"/>
      <c r="D49" s="89"/>
      <c r="E49" s="89"/>
      <c r="F49" s="89"/>
      <c r="G49" s="89"/>
      <c r="H49" s="89"/>
      <c r="I49" s="89"/>
      <c r="J49" s="89"/>
    </row>
    <row r="50" spans="2:10" x14ac:dyDescent="0.25">
      <c r="B50" s="89"/>
      <c r="C50" s="89"/>
      <c r="D50" s="89"/>
      <c r="E50" s="89"/>
      <c r="F50" s="89"/>
      <c r="G50" s="89"/>
      <c r="H50" s="89"/>
      <c r="I50" s="89"/>
      <c r="J50" s="89"/>
    </row>
    <row r="51" spans="2:10" x14ac:dyDescent="0.25">
      <c r="B51" s="89"/>
      <c r="C51" s="89"/>
      <c r="D51" s="89"/>
      <c r="E51" s="89"/>
      <c r="F51" s="89"/>
      <c r="G51" s="89"/>
      <c r="H51" s="89"/>
      <c r="I51" s="89"/>
      <c r="J51" s="89"/>
    </row>
    <row r="52" spans="2:10" x14ac:dyDescent="0.25">
      <c r="B52" s="89"/>
      <c r="C52" s="89"/>
      <c r="D52" s="89"/>
      <c r="E52" s="89"/>
      <c r="F52" s="89"/>
      <c r="G52" s="89"/>
      <c r="H52" s="89"/>
      <c r="I52" s="89"/>
      <c r="J52" s="89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B78FF-28EB-4C2F-A9DE-2DB1EDB26E2D}">
  <sheetPr>
    <pageSetUpPr fitToPage="1"/>
  </sheetPr>
  <dimension ref="A1:BN1437"/>
  <sheetViews>
    <sheetView topLeftCell="D1" zoomScale="70" zoomScaleNormal="70" zoomScaleSheetLayoutView="70" workbookViewId="0">
      <pane ySplit="4" topLeftCell="A1214" activePane="bottomLeft" state="frozen"/>
      <selection activeCell="E326" sqref="E326"/>
      <selection pane="bottomLeft" activeCell="N1228" sqref="N1228"/>
    </sheetView>
  </sheetViews>
  <sheetFormatPr defaultColWidth="9.140625" defaultRowHeight="21" customHeight="1" x14ac:dyDescent="0.25"/>
  <cols>
    <col min="1" max="1" width="5.28515625" style="140" customWidth="1"/>
    <col min="2" max="2" width="31.85546875" style="140" customWidth="1"/>
    <col min="3" max="3" width="18.85546875" style="142" customWidth="1"/>
    <col min="4" max="4" width="21.7109375" style="142" customWidth="1"/>
    <col min="5" max="5" width="23.28515625" style="140" customWidth="1"/>
    <col min="6" max="6" width="19" style="140" customWidth="1"/>
    <col min="7" max="8" width="12.7109375" style="140" customWidth="1"/>
    <col min="9" max="9" width="13.7109375" style="143" customWidth="1"/>
    <col min="10" max="10" width="11.42578125" style="144" customWidth="1"/>
    <col min="11" max="11" width="12.42578125" style="144" customWidth="1"/>
    <col min="12" max="12" width="10" style="144" customWidth="1"/>
    <col min="13" max="13" width="9.7109375" style="145" customWidth="1"/>
    <col min="14" max="14" width="13.28515625" style="146" customWidth="1"/>
    <col min="15" max="15" width="11.7109375" style="146" customWidth="1"/>
    <col min="16" max="16" width="20.5703125" style="146" customWidth="1"/>
    <col min="17" max="17" width="28" style="147" customWidth="1"/>
    <col min="18" max="18" width="24.28515625" style="147" customWidth="1"/>
    <col min="19" max="19" width="36.42578125" style="147" customWidth="1"/>
    <col min="20" max="20" width="13.85546875" style="143" customWidth="1"/>
    <col min="21" max="23" width="13.85546875" style="148" customWidth="1"/>
    <col min="24" max="29" width="13.85546875" style="143" customWidth="1"/>
    <col min="30" max="30" width="32" style="143" customWidth="1"/>
    <col min="31" max="31" width="12.42578125" style="143" customWidth="1"/>
    <col min="32" max="32" width="46.42578125" style="140" customWidth="1"/>
    <col min="33" max="33" width="24.7109375" style="140" customWidth="1"/>
    <col min="34" max="34" width="13.85546875" style="140" customWidth="1"/>
    <col min="35" max="38" width="13.42578125" style="140" customWidth="1"/>
    <col min="39" max="39" width="11.28515625" style="140" customWidth="1"/>
    <col min="40" max="40" width="22.42578125" style="140" customWidth="1"/>
    <col min="41" max="41" width="27.7109375" style="140" customWidth="1"/>
    <col min="42" max="44" width="11.5703125" style="149" customWidth="1"/>
    <col min="45" max="45" width="12.5703125" style="149" customWidth="1"/>
    <col min="46" max="46" width="16" style="143" customWidth="1"/>
    <col min="47" max="47" width="12.42578125" style="143" customWidth="1"/>
    <col min="48" max="48" width="21.85546875" style="140" customWidth="1"/>
    <col min="49" max="49" width="26.42578125" style="140" customWidth="1"/>
    <col min="50" max="50" width="9.140625" style="140" customWidth="1"/>
    <col min="51" max="51" width="41.140625" style="140" customWidth="1"/>
    <col min="52" max="53" width="9.140625" style="140" customWidth="1"/>
    <col min="54" max="54" width="16.42578125" style="140" customWidth="1"/>
    <col min="55" max="55" width="14" style="140" customWidth="1"/>
    <col min="56" max="56" width="12" style="140" customWidth="1"/>
    <col min="57" max="57" width="11.85546875" style="140" customWidth="1"/>
    <col min="58" max="58" width="38" style="140" customWidth="1"/>
    <col min="59" max="60" width="9.140625" style="140" customWidth="1"/>
    <col min="61" max="61" width="12" style="140" customWidth="1"/>
    <col min="62" max="62" width="9.140625" style="140" customWidth="1"/>
    <col min="63" max="63" width="9.140625" style="141" customWidth="1"/>
    <col min="64" max="71" width="9.140625" style="140" customWidth="1"/>
    <col min="72" max="16384" width="9.140625" style="140"/>
  </cols>
  <sheetData>
    <row r="1" spans="1:63" ht="21" customHeight="1" x14ac:dyDescent="0.25">
      <c r="A1" s="136" t="s">
        <v>72</v>
      </c>
      <c r="B1" s="136"/>
      <c r="C1" s="4" t="s">
        <v>73</v>
      </c>
      <c r="D1" s="137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8"/>
      <c r="T1" s="136"/>
      <c r="U1" s="139"/>
      <c r="V1" s="139"/>
      <c r="W1" s="139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</row>
    <row r="2" spans="1:63" ht="21" customHeight="1" x14ac:dyDescent="0.25">
      <c r="B2" s="142" t="str">
        <f>IF(F2="","",IF(C2="HOLD RM","RM",IF(C2="BAL","WIP",IF(C2="HOLD SLT","WIP",IF(C2="MILL","RM",IF(C2="RE SLT","WIP",IF(C2="RM","RM",IF(C2="RM BAL","RM",IF(C2="RM SLT","RM",IF(C2="RR","WIP",IF(C2="SKP","WIP",IF(C2="SLT","WIP",IF(C2="CTL","WIP",0))))))))))))&amp;"-"&amp;G2&amp;"/"&amp;IF(H2="2B","2B",IF(H2="NO.1","1D",IF(H2="FH","FH",0)))&amp;"-"&amp;IF(J2="",(TEXT(I2,"0.00")),TEXT(J2,"0.00"))&amp;"X"&amp;M2)</f>
        <v/>
      </c>
    </row>
    <row r="3" spans="1:63" ht="21" customHeight="1" x14ac:dyDescent="0.25">
      <c r="F3" s="150"/>
    </row>
    <row r="4" spans="1:63" ht="49.5" customHeight="1" x14ac:dyDescent="0.25">
      <c r="A4" s="151"/>
      <c r="B4" s="152" t="s">
        <v>74</v>
      </c>
      <c r="C4" s="153" t="s">
        <v>5</v>
      </c>
      <c r="D4" s="154" t="s">
        <v>75</v>
      </c>
      <c r="E4" s="151" t="s">
        <v>76</v>
      </c>
      <c r="F4" s="151" t="s">
        <v>77</v>
      </c>
      <c r="G4" s="151" t="s">
        <v>78</v>
      </c>
      <c r="H4" s="151" t="s">
        <v>79</v>
      </c>
      <c r="I4" s="155" t="s">
        <v>80</v>
      </c>
      <c r="J4" s="155" t="s">
        <v>81</v>
      </c>
      <c r="K4" s="156" t="s">
        <v>82</v>
      </c>
      <c r="L4" s="156" t="s">
        <v>83</v>
      </c>
      <c r="M4" s="157" t="s">
        <v>84</v>
      </c>
      <c r="N4" s="158" t="s">
        <v>85</v>
      </c>
      <c r="O4" s="155" t="s">
        <v>86</v>
      </c>
      <c r="P4" s="155" t="s">
        <v>87</v>
      </c>
      <c r="Q4" s="155" t="s">
        <v>88</v>
      </c>
      <c r="R4" s="155" t="s">
        <v>89</v>
      </c>
      <c r="S4" s="155" t="s">
        <v>90</v>
      </c>
      <c r="T4" s="159" t="s">
        <v>11</v>
      </c>
      <c r="U4" s="160" t="s">
        <v>12</v>
      </c>
      <c r="V4" s="161" t="s">
        <v>13</v>
      </c>
      <c r="W4" s="162" t="s">
        <v>15</v>
      </c>
      <c r="X4" s="163" t="s">
        <v>16</v>
      </c>
      <c r="Y4" s="164" t="s">
        <v>17</v>
      </c>
      <c r="Z4" s="165" t="s">
        <v>18</v>
      </c>
      <c r="AA4" s="166" t="s">
        <v>19</v>
      </c>
      <c r="AB4" s="167" t="s">
        <v>20</v>
      </c>
      <c r="AC4" s="160" t="s">
        <v>21</v>
      </c>
      <c r="AD4" s="155" t="s">
        <v>91</v>
      </c>
      <c r="AE4" s="155" t="s">
        <v>92</v>
      </c>
      <c r="AF4" s="151" t="s">
        <v>93</v>
      </c>
      <c r="AG4" s="151" t="s">
        <v>94</v>
      </c>
      <c r="AH4" s="168" t="s">
        <v>95</v>
      </c>
      <c r="AI4" s="168" t="s">
        <v>96</v>
      </c>
      <c r="AJ4" s="168"/>
      <c r="AK4" s="168" t="s">
        <v>97</v>
      </c>
      <c r="AL4" s="169" t="s">
        <v>98</v>
      </c>
      <c r="AM4" s="169" t="s">
        <v>99</v>
      </c>
      <c r="AN4" s="151" t="s">
        <v>100</v>
      </c>
      <c r="AO4" s="151" t="s">
        <v>101</v>
      </c>
      <c r="AP4" s="170" t="s">
        <v>102</v>
      </c>
      <c r="AQ4" s="170" t="s">
        <v>103</v>
      </c>
      <c r="AR4" s="170" t="s">
        <v>104</v>
      </c>
      <c r="AS4" s="170" t="s">
        <v>105</v>
      </c>
      <c r="AT4" s="169" t="s">
        <v>106</v>
      </c>
      <c r="AU4" s="155" t="s">
        <v>107</v>
      </c>
      <c r="AW4" s="140" t="s">
        <v>108</v>
      </c>
      <c r="AZ4" s="171"/>
      <c r="BB4" s="171"/>
      <c r="BC4" s="171"/>
      <c r="BD4" s="171"/>
      <c r="BE4" s="171"/>
      <c r="BF4" s="172"/>
      <c r="BG4" s="140" t="s">
        <v>109</v>
      </c>
      <c r="BI4" s="171" t="s">
        <v>110</v>
      </c>
      <c r="BK4" s="141" t="s">
        <v>111</v>
      </c>
    </row>
    <row r="5" spans="1:63" s="142" customFormat="1" ht="21" customHeight="1" x14ac:dyDescent="0.25">
      <c r="B5" s="173" t="str">
        <f>IF(C5="HOLD RM","HOLD RM",IF(C5="BAL","WIP",IF(C5="HOLD SLT","HOLD SLT",IF(C5="MILL","RM",IF(C5="RE SLT","WIP",IF(C5="RM","RM",IF(C5="RM BAL","RM",IF(C5="RM SLT","RM",IF(C5="RR","WIP",IF(C5="SKP","WIP",IF(C5="SLT","WIP",IF(C5="CTL","WIP",0))))))))))))&amp;"-"&amp;G5&amp;"/"&amp;IF(H5="2B","2B",IF(H5="NO.1","1D",IF(H5="FH","FH",0)))&amp;"-"&amp;IF(J5="",(TEXT(I5,"0.00")),TEXT(J5,"0.00"))&amp;"X"&amp;M5</f>
        <v>WIP-304/FH-0.60X730</v>
      </c>
      <c r="C5" s="173" t="s">
        <v>16</v>
      </c>
      <c r="D5" s="173" t="s">
        <v>16</v>
      </c>
      <c r="E5" s="173" t="s">
        <v>112</v>
      </c>
      <c r="F5" s="173" t="s">
        <v>113</v>
      </c>
      <c r="G5" s="173">
        <v>304</v>
      </c>
      <c r="H5" s="173" t="s">
        <v>70</v>
      </c>
      <c r="I5" s="174">
        <v>1.1499999999999999</v>
      </c>
      <c r="J5" s="174">
        <v>0.6</v>
      </c>
      <c r="K5" s="174"/>
      <c r="L5" s="174"/>
      <c r="M5" s="175">
        <v>730</v>
      </c>
      <c r="N5" s="176">
        <v>3.91</v>
      </c>
      <c r="O5" s="176" t="s">
        <v>114</v>
      </c>
      <c r="P5" s="177"/>
      <c r="Q5" s="178" t="s">
        <v>115</v>
      </c>
      <c r="R5" s="179" t="s">
        <v>116</v>
      </c>
      <c r="S5" s="179" t="s">
        <v>117</v>
      </c>
      <c r="T5" s="177" t="s">
        <v>118</v>
      </c>
      <c r="U5" s="177"/>
      <c r="V5" s="177">
        <v>44104</v>
      </c>
      <c r="W5" s="177"/>
      <c r="X5" s="177"/>
      <c r="Y5" s="177"/>
      <c r="Z5" s="177">
        <v>43732</v>
      </c>
      <c r="AA5" s="177"/>
      <c r="AB5" s="177"/>
      <c r="AC5" s="177"/>
      <c r="AD5" s="180"/>
      <c r="AE5" s="173" t="s">
        <v>114</v>
      </c>
      <c r="AF5" s="181" t="s">
        <v>119</v>
      </c>
      <c r="AG5" s="181" t="s">
        <v>120</v>
      </c>
      <c r="AH5" s="181">
        <v>43693</v>
      </c>
      <c r="AI5" s="181">
        <v>43718</v>
      </c>
      <c r="AJ5" s="181"/>
      <c r="AK5" s="181">
        <f ca="1">TODAY()</f>
        <v>44958</v>
      </c>
      <c r="AL5" s="173">
        <f ca="1">IF(AI5&lt;&gt;0,AK5-AI5,0)</f>
        <v>1240</v>
      </c>
      <c r="AM5" s="173" t="str">
        <f>IF(ISNUMBER(X5)=TRUE,AK5-X5,IF(X5="","",(AK5)-(MID(RIGHT(X5,10),4,2)&amp;"/"&amp;LEFT((RIGHT(X5,10)),2)&amp;"/"&amp;RIGHT(X5,4))))</f>
        <v/>
      </c>
      <c r="AN5" s="181" t="s">
        <v>121</v>
      </c>
      <c r="AO5" s="181" t="s">
        <v>122</v>
      </c>
      <c r="AP5" s="176">
        <v>9.1850000000000005</v>
      </c>
      <c r="AQ5" s="176">
        <v>9.2000000000000011</v>
      </c>
      <c r="AR5" s="176">
        <v>9.1949999999999985</v>
      </c>
      <c r="AS5" s="176">
        <v>9.1999999999999993</v>
      </c>
      <c r="AT5" s="173" t="str">
        <f>IF(ISNUMBER(U5)=TRUE,AK5-U5,IF(U5="","",(AK5)-(MID(RIGHT(U5,10),4,2)&amp;"/"&amp;LEFT((RIGHT(U5,10)),2)&amp;"/"&amp;RIGHT(U5,4))))</f>
        <v/>
      </c>
      <c r="AU5" s="173"/>
      <c r="AW5" s="142" t="s">
        <v>123</v>
      </c>
      <c r="BI5" s="142" t="s">
        <v>124</v>
      </c>
      <c r="BK5" s="182" t="s">
        <v>125</v>
      </c>
    </row>
    <row r="6" spans="1:63" s="142" customFormat="1" ht="21" customHeight="1" x14ac:dyDescent="0.25">
      <c r="B6" s="173" t="str">
        <f>IF(C6="HOLD RM","HOLD RM",IF(C6="BAL","WIP",IF(C6="HOLD SLT","HOLD SLT",IF(C6="MILL","RM",IF(C6="RE SLT","WIP",IF(C6="RM","RM",IF(C6="RM BAL","RM",IF(C6="RM SLT","RM",IF(C6="RR","WIP",IF(C6="SKP","WIP",IF(C6="SLT","WIP",IF(C6="CTL","WIP",0))))))))))))&amp;"-"&amp;G6&amp;"/"&amp;IF(H6="2B","2B",IF(H6="NO.1","1D",IF(H6="FH","FH",0)))&amp;"-"&amp;IF(J6="",(TEXT(I6,"0.00")),TEXT(J6,"0.00"))&amp;"X"&amp;M6</f>
        <v>RM-430/1D-2.80X750</v>
      </c>
      <c r="C6" s="173" t="s">
        <v>48</v>
      </c>
      <c r="D6" s="173" t="s">
        <v>48</v>
      </c>
      <c r="E6" s="173">
        <v>2</v>
      </c>
      <c r="F6" s="173" t="s">
        <v>126</v>
      </c>
      <c r="G6" s="173">
        <v>430</v>
      </c>
      <c r="H6" s="173" t="s">
        <v>127</v>
      </c>
      <c r="I6" s="174">
        <v>2.8</v>
      </c>
      <c r="J6" s="174"/>
      <c r="K6" s="174"/>
      <c r="L6" s="174"/>
      <c r="M6" s="175">
        <v>750</v>
      </c>
      <c r="N6" s="176">
        <v>10.35</v>
      </c>
      <c r="O6" s="174"/>
      <c r="P6" s="177"/>
      <c r="Q6" s="178"/>
      <c r="R6" s="183"/>
      <c r="S6" s="183" t="s">
        <v>128</v>
      </c>
      <c r="T6" s="177">
        <v>43123</v>
      </c>
      <c r="U6" s="177"/>
      <c r="V6" s="177"/>
      <c r="W6" s="177"/>
      <c r="X6" s="177"/>
      <c r="Y6" s="177"/>
      <c r="Z6" s="177"/>
      <c r="AA6" s="177"/>
      <c r="AB6" s="177"/>
      <c r="AC6" s="177"/>
      <c r="AD6" s="184"/>
      <c r="AE6" s="185" t="s">
        <v>69</v>
      </c>
      <c r="AF6" s="173" t="s">
        <v>129</v>
      </c>
      <c r="AG6" s="173" t="s">
        <v>130</v>
      </c>
      <c r="AH6" s="181">
        <v>42570</v>
      </c>
      <c r="AI6" s="181">
        <v>42593</v>
      </c>
      <c r="AJ6" s="173"/>
      <c r="AK6" s="181">
        <f ca="1">TODAY()</f>
        <v>44958</v>
      </c>
      <c r="AL6" s="173">
        <f ca="1">IF(AI6&lt;&gt;0,AK6-AI6,0)</f>
        <v>2365</v>
      </c>
      <c r="AM6" s="173" t="str">
        <f>IF(ISNUMBER(X6)=TRUE,AK6-X6,IF(X6="","",(AK6)-(MID(RIGHT(X6,10),4,2)&amp;"/"&amp;LEFT((RIGHT(X6,10)),2)&amp;"/"&amp;RIGHT(X6,4))))</f>
        <v/>
      </c>
      <c r="AN6" s="173" t="s">
        <v>131</v>
      </c>
      <c r="AO6" s="173"/>
      <c r="AP6" s="176">
        <v>10.475</v>
      </c>
      <c r="AQ6" s="176"/>
      <c r="AR6" s="176"/>
      <c r="AS6" s="176"/>
      <c r="AT6" s="173" t="str">
        <f>IF(ISNUMBER(U6)=TRUE,AK6-U6,IF(U6="","",(AK6)-(MID(RIGHT(U6,10),4,2)&amp;"/"&amp;LEFT((RIGHT(U6,10)),2)&amp;"/"&amp;RIGHT(U6,4))))</f>
        <v/>
      </c>
      <c r="AU6" s="173"/>
      <c r="AV6" s="186"/>
      <c r="AW6" s="187"/>
      <c r="AX6" s="188"/>
      <c r="AY6" s="188"/>
      <c r="AZ6" s="188"/>
      <c r="BA6" s="187"/>
      <c r="BB6" s="187"/>
      <c r="BI6" s="142" t="s">
        <v>124</v>
      </c>
    </row>
    <row r="7" spans="1:63" s="142" customFormat="1" ht="21" customHeight="1" x14ac:dyDescent="0.25">
      <c r="B7" s="173" t="str">
        <f>IF(C7="HOLD RM","HOLD RM",IF(C7="BAL","WIP",IF(C7="HOLD SLT","HOLD SLT",IF(C7="MILL","RM",IF(C7="RE SLT","WIP",IF(C7="RM","RM",IF(C7="RM BAL","RM",IF(C7="RM SLT","RM",IF(C7="RR","WIP",IF(C7="SKP","WIP",IF(C7="SLT","WIP",IF(C7="CTL","WIP",0))))))))))))&amp;"-"&amp;G7&amp;"/"&amp;IF(H7="2B","2B",IF(H7="NO.1","1D",IF(H7="FH","FH",0)))&amp;"-"&amp;IF(J7="",(TEXT(I7,"0.00")),TEXT(J7,"0.00"))&amp;"X"&amp;M7</f>
        <v>RM-430/1D-2.80X750</v>
      </c>
      <c r="C7" s="173" t="s">
        <v>48</v>
      </c>
      <c r="D7" s="173" t="s">
        <v>48</v>
      </c>
      <c r="E7" s="173">
        <v>3</v>
      </c>
      <c r="F7" s="173" t="s">
        <v>132</v>
      </c>
      <c r="G7" s="173">
        <v>430</v>
      </c>
      <c r="H7" s="173" t="s">
        <v>127</v>
      </c>
      <c r="I7" s="174">
        <v>2.8</v>
      </c>
      <c r="J7" s="174"/>
      <c r="K7" s="174"/>
      <c r="L7" s="174"/>
      <c r="M7" s="175">
        <v>750</v>
      </c>
      <c r="N7" s="176">
        <v>10.538</v>
      </c>
      <c r="O7" s="174"/>
      <c r="P7" s="177"/>
      <c r="Q7" s="178"/>
      <c r="R7" s="183"/>
      <c r="S7" s="183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84"/>
      <c r="AE7" s="185" t="s">
        <v>69</v>
      </c>
      <c r="AF7" s="173" t="s">
        <v>129</v>
      </c>
      <c r="AG7" s="173" t="s">
        <v>130</v>
      </c>
      <c r="AH7" s="181">
        <v>42570</v>
      </c>
      <c r="AI7" s="181">
        <v>42593</v>
      </c>
      <c r="AJ7" s="173"/>
      <c r="AK7" s="181">
        <f ca="1">TODAY()</f>
        <v>44958</v>
      </c>
      <c r="AL7" s="173">
        <f ca="1">IF(AI7&lt;&gt;0,AK7-AI7,0)</f>
        <v>2365</v>
      </c>
      <c r="AM7" s="173" t="str">
        <f>IF(ISNUMBER(X7)=TRUE,AK7-X7,IF(X7="","",(AK7)-(MID(RIGHT(X7,10),4,2)&amp;"/"&amp;LEFT((RIGHT(X7,10)),2)&amp;"/"&amp;RIGHT(X7,4))))</f>
        <v/>
      </c>
      <c r="AN7" s="173" t="s">
        <v>131</v>
      </c>
      <c r="AO7" s="173"/>
      <c r="AP7" s="176">
        <v>10.465</v>
      </c>
      <c r="AQ7" s="176"/>
      <c r="AR7" s="176"/>
      <c r="AS7" s="176"/>
      <c r="AT7" s="173" t="str">
        <f>IF(ISNUMBER(U7)=TRUE,AK7-U7,IF(U7="","",(AK7)-(MID(RIGHT(U7,10),4,2)&amp;"/"&amp;LEFT((RIGHT(U7,10)),2)&amp;"/"&amp;RIGHT(U7,4))))</f>
        <v/>
      </c>
      <c r="AU7" s="173"/>
      <c r="AV7" s="186"/>
      <c r="AW7" s="187"/>
      <c r="AX7" s="188"/>
      <c r="AY7" s="188"/>
      <c r="AZ7" s="188"/>
      <c r="BA7" s="187"/>
      <c r="BB7" s="187"/>
      <c r="BI7" s="142" t="s">
        <v>124</v>
      </c>
    </row>
    <row r="8" spans="1:63" s="142" customFormat="1" ht="21" customHeight="1" x14ac:dyDescent="0.25">
      <c r="B8" s="173" t="str">
        <f>IF(C8="HOLD RM","HOLD RM",IF(C8="BAL","WIP",IF(C8="HOLD SLT","HOLD SLT",IF(C8="MILL","RM",IF(C8="RE SLT","WIP",IF(C8="RM","RM",IF(C8="RM BAL","RM",IF(C8="RM SLT","RM",IF(C8="RR","WIP",IF(C8="SKP","WIP",IF(C8="SLT","WIP",IF(C8="CTL","WIP",0))))))))))))&amp;"-"&amp;G8&amp;"/"&amp;IF(H8="2B","2B",IF(H8="NO.1","1D",IF(H8="FH","FH",0)))&amp;"-"&amp;IF(J8="",(TEXT(I8,"0.00")),TEXT(J8,"0.00"))&amp;"X"&amp;M8</f>
        <v>WIP-316L/FH-0.30X741</v>
      </c>
      <c r="C8" s="173" t="s">
        <v>16</v>
      </c>
      <c r="D8" s="173" t="s">
        <v>16</v>
      </c>
      <c r="E8" s="173" t="s">
        <v>133</v>
      </c>
      <c r="F8" s="173" t="s">
        <v>134</v>
      </c>
      <c r="G8" s="173" t="s">
        <v>135</v>
      </c>
      <c r="H8" s="173" t="s">
        <v>70</v>
      </c>
      <c r="I8" s="174">
        <v>0.55000000000000004</v>
      </c>
      <c r="J8" s="174">
        <v>0.3</v>
      </c>
      <c r="K8" s="174"/>
      <c r="L8" s="174"/>
      <c r="M8" s="175">
        <v>741</v>
      </c>
      <c r="N8" s="176">
        <v>2.16</v>
      </c>
      <c r="O8" s="176" t="s">
        <v>114</v>
      </c>
      <c r="P8" s="177"/>
      <c r="Q8" s="178" t="s">
        <v>115</v>
      </c>
      <c r="R8" s="178" t="s">
        <v>136</v>
      </c>
      <c r="S8" s="179" t="s">
        <v>137</v>
      </c>
      <c r="T8" s="177" t="s">
        <v>138</v>
      </c>
      <c r="U8" s="177"/>
      <c r="V8" s="177" t="s">
        <v>139</v>
      </c>
      <c r="W8" s="177"/>
      <c r="X8" s="177" t="s">
        <v>140</v>
      </c>
      <c r="Y8" s="177"/>
      <c r="Z8" s="177" t="s">
        <v>141</v>
      </c>
      <c r="AA8" s="177"/>
      <c r="AB8" s="177"/>
      <c r="AC8" s="177"/>
      <c r="AD8" s="173"/>
      <c r="AE8" s="173" t="s">
        <v>69</v>
      </c>
      <c r="AF8" s="181" t="s">
        <v>142</v>
      </c>
      <c r="AG8" s="181" t="s">
        <v>143</v>
      </c>
      <c r="AH8" s="181"/>
      <c r="AI8" s="181">
        <v>43567</v>
      </c>
      <c r="AJ8" s="181"/>
      <c r="AK8" s="181">
        <f ca="1">TODAY()</f>
        <v>44958</v>
      </c>
      <c r="AL8" s="173">
        <f ca="1">IF(AI8&lt;&gt;0,AK8-AI8,0)</f>
        <v>1391</v>
      </c>
      <c r="AM8" s="173">
        <f ca="1">IF(ISNUMBER(X8)=TRUE,AK8-X8,IF(X8="","",(AK8)-(MID(RIGHT(X8,10),4,2)&amp;"/"&amp;LEFT((RIGHT(X8,10)),2)&amp;"/"&amp;RIGHT(X8,4))))</f>
        <v>1066</v>
      </c>
      <c r="AN8" s="181"/>
      <c r="AO8" s="181" t="s">
        <v>144</v>
      </c>
      <c r="AP8" s="176">
        <v>10.315</v>
      </c>
      <c r="AQ8" s="176">
        <v>10.324999999999999</v>
      </c>
      <c r="AR8" s="176">
        <v>10.35</v>
      </c>
      <c r="AS8" s="176">
        <v>10.355</v>
      </c>
      <c r="AT8" s="173" t="str">
        <f>IF(ISNUMBER(U8)=TRUE,AK8-U8,IF(U8="","",(AK8)-(MID(RIGHT(U8,10),4,2)&amp;"/"&amp;LEFT((RIGHT(U8,10)),2)&amp;"/"&amp;RIGHT(U8,4))))</f>
        <v/>
      </c>
      <c r="AU8" s="173">
        <v>187</v>
      </c>
      <c r="AW8" s="142" t="s">
        <v>123</v>
      </c>
      <c r="BI8" s="142" t="s">
        <v>124</v>
      </c>
      <c r="BK8" s="182" t="s">
        <v>145</v>
      </c>
    </row>
    <row r="9" spans="1:63" s="142" customFormat="1" ht="21" customHeight="1" x14ac:dyDescent="0.25">
      <c r="B9" s="173" t="str">
        <f>IF(C9="HOLD RM","HOLD RM",IF(C9="BAL","WIP",IF(C9="HOLD SLT","HOLD SLT",IF(C9="MILL","RM",IF(C9="RE SLT","WIP",IF(C9="RM","RM",IF(C9="RM BAL","RM",IF(C9="RM SLT","RM",IF(C9="RR","WIP",IF(C9="SKP","WIP",IF(C9="SLT","WIP",IF(C9="CTL","WIP",0))))))))))))&amp;"-"&amp;G9&amp;"/"&amp;IF(H9="2B","2B",IF(H9="NO.1","1D",IF(H9="FH","FH",0)))&amp;"-"&amp;IF(J9="",(TEXT(I9,"0.00")),TEXT(J9,"0.00"))&amp;"X"&amp;M9</f>
        <v>WIP-J2/2B-0.40X720</v>
      </c>
      <c r="C9" s="173" t="s">
        <v>18</v>
      </c>
      <c r="D9" s="173" t="s">
        <v>146</v>
      </c>
      <c r="E9" s="173" t="s">
        <v>147</v>
      </c>
      <c r="F9" s="173" t="s">
        <v>148</v>
      </c>
      <c r="G9" s="173" t="s">
        <v>33</v>
      </c>
      <c r="H9" s="173" t="s">
        <v>114</v>
      </c>
      <c r="I9" s="174">
        <v>0.73</v>
      </c>
      <c r="J9" s="174">
        <v>0.4</v>
      </c>
      <c r="K9" s="174">
        <v>0.4</v>
      </c>
      <c r="L9" s="174">
        <v>0.42</v>
      </c>
      <c r="M9" s="175">
        <v>720</v>
      </c>
      <c r="N9" s="176">
        <v>10.01</v>
      </c>
      <c r="O9" s="176" t="s">
        <v>114</v>
      </c>
      <c r="P9" s="177"/>
      <c r="Q9" s="178" t="s">
        <v>115</v>
      </c>
      <c r="R9" s="178" t="s">
        <v>149</v>
      </c>
      <c r="S9" s="179"/>
      <c r="T9" s="177">
        <v>43860</v>
      </c>
      <c r="U9" s="177"/>
      <c r="V9" s="177">
        <v>43861</v>
      </c>
      <c r="W9" s="177"/>
      <c r="X9" s="177" t="s">
        <v>150</v>
      </c>
      <c r="Y9" s="177"/>
      <c r="Z9" s="177">
        <v>43859</v>
      </c>
      <c r="AA9" s="177"/>
      <c r="AB9" s="177"/>
      <c r="AC9" s="177"/>
      <c r="AD9" s="180"/>
      <c r="AE9" s="173" t="s">
        <v>70</v>
      </c>
      <c r="AF9" s="181" t="s">
        <v>119</v>
      </c>
      <c r="AG9" s="181" t="s">
        <v>151</v>
      </c>
      <c r="AH9" s="181">
        <v>43672</v>
      </c>
      <c r="AI9" s="181">
        <v>43691</v>
      </c>
      <c r="AJ9" s="181"/>
      <c r="AK9" s="181">
        <f ca="1">TODAY()</f>
        <v>44958</v>
      </c>
      <c r="AL9" s="173">
        <f ca="1">IF(AI9&lt;&gt;0,AK9-AI9,0)</f>
        <v>1267</v>
      </c>
      <c r="AM9" s="173">
        <f ca="1">IF(ISNUMBER(X9)=TRUE,AK9-X9,IF(X9="","",(AK9)-(MID(RIGHT(X9,10),4,2)&amp;"/"&amp;LEFT((RIGHT(X9,10)),2)&amp;"/"&amp;RIGHT(X9,4))))</f>
        <v>1092</v>
      </c>
      <c r="AN9" s="181" t="s">
        <v>152</v>
      </c>
      <c r="AO9" s="181" t="s">
        <v>153</v>
      </c>
      <c r="AP9" s="176">
        <v>10.869</v>
      </c>
      <c r="AQ9" s="176">
        <v>10.884</v>
      </c>
      <c r="AR9" s="176">
        <v>10.9</v>
      </c>
      <c r="AS9" s="176">
        <v>10.904999999999999</v>
      </c>
      <c r="AT9" s="173" t="str">
        <f>IF(ISNUMBER(U9)=TRUE,AK9-U9,IF(U9="","",(AK9)-(MID(RIGHT(U9,10),4,2)&amp;"/"&amp;LEFT((RIGHT(U9,10)),2)&amp;"/"&amp;RIGHT(U9,4))))</f>
        <v/>
      </c>
      <c r="AU9" s="173">
        <v>210</v>
      </c>
      <c r="AW9" s="142" t="s">
        <v>123</v>
      </c>
      <c r="BI9" s="142" t="s">
        <v>124</v>
      </c>
      <c r="BK9" s="182" t="s">
        <v>154</v>
      </c>
    </row>
    <row r="10" spans="1:63" s="142" customFormat="1" ht="21" customHeight="1" x14ac:dyDescent="0.25">
      <c r="B10" s="173" t="str">
        <f>IF(C10="HOLD RM","HOLD RM",IF(C10="BAL","WIP",IF(C10="HOLD SLT","HOLD SLT",IF(C10="MILL","RM",IF(C10="RE SLT","WIP",IF(C10="RM","RM",IF(C10="RM BAL","RM",IF(C10="RM SLT","RM",IF(C10="RR","WIP",IF(C10="SKP","WIP",IF(C10="SLT","WIP",IF(C10="CTL","WIP",0))))))))))))&amp;"-"&amp;G10&amp;"/"&amp;IF(H10="2B","2B",IF(H10="NO.1","1D",IF(H10="FH","FH",IF(H10="BA","BA",0)))&amp;"-"&amp;IF(J10="",(TEXT(I10,"0.00")),TEXT(J10,"0.00"))&amp;"X"&amp;M10)</f>
        <v>RM-J3/BA-0.73X630</v>
      </c>
      <c r="C10" s="173" t="s">
        <v>155</v>
      </c>
      <c r="D10" s="173" t="s">
        <v>155</v>
      </c>
      <c r="E10" s="173" t="s">
        <v>156</v>
      </c>
      <c r="F10" s="173" t="s">
        <v>157</v>
      </c>
      <c r="G10" s="173" t="s">
        <v>34</v>
      </c>
      <c r="H10" s="173" t="s">
        <v>158</v>
      </c>
      <c r="I10" s="174">
        <v>0.73</v>
      </c>
      <c r="J10" s="174">
        <v>0.73</v>
      </c>
      <c r="K10" s="174"/>
      <c r="L10" s="174"/>
      <c r="M10" s="175">
        <v>630</v>
      </c>
      <c r="N10" s="176">
        <v>7.8019999999999996</v>
      </c>
      <c r="O10" s="176"/>
      <c r="P10" s="177"/>
      <c r="Q10" s="178" t="s">
        <v>115</v>
      </c>
      <c r="R10" s="179"/>
      <c r="S10" s="179" t="s">
        <v>159</v>
      </c>
      <c r="T10" s="177"/>
      <c r="U10" s="177"/>
      <c r="V10" s="177"/>
      <c r="W10" s="177"/>
      <c r="X10" s="177"/>
      <c r="Y10" s="177"/>
      <c r="Z10" s="177">
        <v>44279</v>
      </c>
      <c r="AA10" s="177"/>
      <c r="AB10" s="177"/>
      <c r="AC10" s="177"/>
      <c r="AD10" s="180"/>
      <c r="AE10" s="173" t="s">
        <v>158</v>
      </c>
      <c r="AF10" s="181" t="s">
        <v>160</v>
      </c>
      <c r="AG10" s="181" t="s">
        <v>161</v>
      </c>
      <c r="AH10" s="181">
        <v>43682</v>
      </c>
      <c r="AI10" s="181">
        <v>43714</v>
      </c>
      <c r="AJ10" s="181"/>
      <c r="AK10" s="181">
        <f ca="1">TODAY()</f>
        <v>44958</v>
      </c>
      <c r="AL10" s="173">
        <f ca="1">IF(AI10&lt;&gt;0,AK10-AI10,0)</f>
        <v>1244</v>
      </c>
      <c r="AM10" s="173" t="str">
        <f>IF(ISNUMBER(X10)=TRUE,AK10-X10,IF(X10="","",(AK10)-(MID(RIGHT(X10,10),4,2)&amp;"/"&amp;LEFT((RIGHT(X10,10)),2)&amp;"/"&amp;RIGHT(X10,4))))</f>
        <v/>
      </c>
      <c r="AN10" s="181"/>
      <c r="AO10" s="181" t="s">
        <v>162</v>
      </c>
      <c r="AP10" s="176">
        <v>7.8019999999999996</v>
      </c>
      <c r="AQ10" s="176">
        <v>7.8259999999999996</v>
      </c>
      <c r="AR10" s="189">
        <v>7.8149999999999995</v>
      </c>
      <c r="AS10" s="176">
        <v>7.84</v>
      </c>
      <c r="AT10" s="173" t="str">
        <f>IF(ISNUMBER(U10)=TRUE,AK10-U10,IF(U10="","",(AK10)-(MID(RIGHT(U10,10),4,2)&amp;"/"&amp;LEFT((RIGHT(U10,10)),2)&amp;"/"&amp;RIGHT(U10,4))))</f>
        <v/>
      </c>
      <c r="AU10" s="173">
        <v>222</v>
      </c>
      <c r="AW10" s="142" t="s">
        <v>123</v>
      </c>
      <c r="BI10" s="142" t="s">
        <v>124</v>
      </c>
      <c r="BK10" s="182" t="s">
        <v>163</v>
      </c>
    </row>
    <row r="11" spans="1:63" s="142" customFormat="1" ht="21" customHeight="1" x14ac:dyDescent="0.25">
      <c r="B11" s="173" t="str">
        <f>IF(C11="HOLD RM","HOLD RM",IF(C11="BAL","WIP",IF(C11="HOLD SLT","HOLD SLT",IF(C11="MILL","RM",IF(C11="RE SLT","WIP",IF(C11="RM","RM",IF(C11="RM BAL","RM",IF(C11="RM SLT","RM",IF(C11="RR","WIP",IF(C11="SKP","WIP",IF(C11="SLT","WIP",IF(C11="CTL","WIP",0))))))))))))&amp;"-"&amp;G11&amp;"/"&amp;IF(H11="2B","2B",IF(H11="NO.1","1D",IF(H11="FH","FH",0)))&amp;"-"&amp;IF(J11="",(TEXT(I11,"0.00")),TEXT(J11,"0.00"))&amp;"X"&amp;M11</f>
        <v>WIP-430/2B-2.00X763</v>
      </c>
      <c r="C11" s="173" t="s">
        <v>18</v>
      </c>
      <c r="D11" s="173" t="s">
        <v>146</v>
      </c>
      <c r="E11" s="190" t="s">
        <v>164</v>
      </c>
      <c r="F11" s="190" t="s">
        <v>165</v>
      </c>
      <c r="G11" s="173">
        <v>430</v>
      </c>
      <c r="H11" s="173" t="s">
        <v>114</v>
      </c>
      <c r="I11" s="174">
        <v>4</v>
      </c>
      <c r="J11" s="174">
        <v>2</v>
      </c>
      <c r="K11" s="174">
        <v>1.9</v>
      </c>
      <c r="L11" s="174">
        <v>1.94</v>
      </c>
      <c r="M11" s="191">
        <v>763</v>
      </c>
      <c r="N11" s="192">
        <v>2.835</v>
      </c>
      <c r="O11" s="176"/>
      <c r="P11" s="177"/>
      <c r="Q11" s="178" t="s">
        <v>115</v>
      </c>
      <c r="R11" s="179" t="s">
        <v>166</v>
      </c>
      <c r="S11" s="179" t="s">
        <v>114</v>
      </c>
      <c r="T11" s="177">
        <v>43445</v>
      </c>
      <c r="U11" s="177"/>
      <c r="V11" s="177">
        <v>43446</v>
      </c>
      <c r="W11" s="177"/>
      <c r="X11" s="177">
        <v>43447</v>
      </c>
      <c r="Y11" s="177"/>
      <c r="Z11" s="177"/>
      <c r="AA11" s="177"/>
      <c r="AB11" s="177"/>
      <c r="AC11" s="177"/>
      <c r="AD11" s="180" t="s">
        <v>167</v>
      </c>
      <c r="AE11" s="173" t="s">
        <v>69</v>
      </c>
      <c r="AF11" s="181" t="s">
        <v>119</v>
      </c>
      <c r="AG11" s="181" t="s">
        <v>168</v>
      </c>
      <c r="AH11" s="181">
        <v>43329</v>
      </c>
      <c r="AI11" s="181">
        <v>43348</v>
      </c>
      <c r="AJ11" s="181"/>
      <c r="AK11" s="181">
        <f ca="1">TODAY()</f>
        <v>44958</v>
      </c>
      <c r="AL11" s="173">
        <f ca="1">IF(AI11&lt;&gt;0,AK11-AI11,0)</f>
        <v>1610</v>
      </c>
      <c r="AM11" s="173">
        <f ca="1">IF(ISNUMBER(X11)=TRUE,AK11-X11,IF(X11="","",(AK11)-(MID(RIGHT(X11,10),4,2)&amp;"/"&amp;LEFT((RIGHT(X11,10)),2)&amp;"/"&amp;RIGHT(X11,4))))</f>
        <v>1511</v>
      </c>
      <c r="AN11" s="181" t="s">
        <v>169</v>
      </c>
      <c r="AO11" s="190" t="s">
        <v>170</v>
      </c>
      <c r="AP11" s="176">
        <v>11.34</v>
      </c>
      <c r="AQ11" s="176">
        <v>11.355</v>
      </c>
      <c r="AR11" s="176">
        <v>11.389999999999999</v>
      </c>
      <c r="AS11" s="176">
        <v>11.395</v>
      </c>
      <c r="AT11" s="173" t="str">
        <f>IF(ISNUMBER(U11)=TRUE,AK11-U11,IF(U11="","",(AK11)-(MID(RIGHT(U11,10),4,2)&amp;"/"&amp;LEFT((RIGHT(U11,10)),2)&amp;"/"&amp;RIGHT(U11,4))))</f>
        <v/>
      </c>
      <c r="AU11" s="173">
        <v>134</v>
      </c>
      <c r="AW11" s="142" t="s">
        <v>171</v>
      </c>
      <c r="AY11" s="142" t="s">
        <v>172</v>
      </c>
      <c r="BG11" s="142">
        <v>0</v>
      </c>
      <c r="BI11" s="142" t="s">
        <v>124</v>
      </c>
      <c r="BK11" s="182" t="s">
        <v>163</v>
      </c>
    </row>
    <row r="12" spans="1:63" s="142" customFormat="1" ht="21" customHeight="1" x14ac:dyDescent="0.25">
      <c r="B12" s="173" t="str">
        <f>IF(C12="HOLD RM","HOLD RM",IF(C12="BAL","WIP",IF(C12="HOLD SLT","HOLD SLT",IF(C12="MILL","RM",IF(C12="RE SLT","WIP",IF(C12="RM","RM",IF(C12="RM BAL","RM",IF(C12="RM SLT","RM",IF(C12="RR","WIP",IF(C12="SKP","WIP",IF(C12="SLT","WIP",IF(C12="CTL","WIP",0))))))))))))&amp;"-"&amp;G12&amp;"/"&amp;IF(H12="2B","2B",IF(H12="NO.1","1D",IF(H12="FH","FH",0)))&amp;"-"&amp;IF(J12="",(TEXT(I12,"0.00")),TEXT(J12,"0.00"))&amp;"X"&amp;M12</f>
        <v>WIP-430/2B-1.95X750</v>
      </c>
      <c r="C12" s="173" t="s">
        <v>173</v>
      </c>
      <c r="D12" s="173" t="s">
        <v>146</v>
      </c>
      <c r="E12" s="190" t="s">
        <v>174</v>
      </c>
      <c r="F12" s="190" t="s">
        <v>175</v>
      </c>
      <c r="G12" s="173">
        <v>430</v>
      </c>
      <c r="H12" s="173" t="s">
        <v>114</v>
      </c>
      <c r="I12" s="174">
        <v>4</v>
      </c>
      <c r="J12" s="174">
        <v>1.95</v>
      </c>
      <c r="K12" s="174">
        <v>1.93</v>
      </c>
      <c r="L12" s="174">
        <v>1.95</v>
      </c>
      <c r="M12" s="191">
        <v>750</v>
      </c>
      <c r="N12" s="192">
        <v>9.2560000000000002</v>
      </c>
      <c r="O12" s="176" t="s">
        <v>176</v>
      </c>
      <c r="P12" s="177"/>
      <c r="Q12" s="178" t="s">
        <v>115</v>
      </c>
      <c r="R12" s="179"/>
      <c r="S12" s="179"/>
      <c r="T12" s="177">
        <v>43446</v>
      </c>
      <c r="U12" s="177"/>
      <c r="V12" s="177">
        <v>43447</v>
      </c>
      <c r="W12" s="177"/>
      <c r="X12" s="177">
        <v>43448</v>
      </c>
      <c r="Y12" s="177"/>
      <c r="Z12" s="177">
        <v>44868</v>
      </c>
      <c r="AA12" s="177"/>
      <c r="AB12" s="177"/>
      <c r="AC12" s="177"/>
      <c r="AD12" s="180" t="s">
        <v>167</v>
      </c>
      <c r="AE12" s="173" t="s">
        <v>69</v>
      </c>
      <c r="AF12" s="181" t="s">
        <v>177</v>
      </c>
      <c r="AG12" s="181" t="s">
        <v>178</v>
      </c>
      <c r="AH12" s="181">
        <v>43313</v>
      </c>
      <c r="AI12" s="181">
        <v>43413</v>
      </c>
      <c r="AJ12" s="181"/>
      <c r="AK12" s="181">
        <f ca="1">TODAY()</f>
        <v>44958</v>
      </c>
      <c r="AL12" s="173">
        <f ca="1">IF(AI12&lt;&gt;0,AK12-AI12,0)</f>
        <v>1545</v>
      </c>
      <c r="AM12" s="173">
        <f ca="1">IF(ISNUMBER(X12)=TRUE,AK12-X12,IF(X12="","",(AK12)-(MID(RIGHT(X12,10),4,2)&amp;"/"&amp;LEFT((RIGHT(X12,10)),2)&amp;"/"&amp;RIGHT(X12,4))))</f>
        <v>1510</v>
      </c>
      <c r="AN12" s="181" t="s">
        <v>179</v>
      </c>
      <c r="AO12" s="190" t="s">
        <v>174</v>
      </c>
      <c r="AP12" s="176">
        <v>9.3879999999999999</v>
      </c>
      <c r="AQ12" s="176">
        <v>9.4179999999999993</v>
      </c>
      <c r="AR12" s="176">
        <v>9.4049999999999994</v>
      </c>
      <c r="AS12" s="176">
        <v>9.41</v>
      </c>
      <c r="AT12" s="173" t="str">
        <f>IF(ISNUMBER(U12)=TRUE,AK12-U12,IF(U12="","",(AK12)-(MID(RIGHT(U12,10),4,2)&amp;"/"&amp;LEFT((RIGHT(U12,10)),2)&amp;"/"&amp;RIGHT(U12,4))))</f>
        <v/>
      </c>
      <c r="AU12" s="173">
        <v>150</v>
      </c>
      <c r="AW12" s="142" t="s">
        <v>123</v>
      </c>
      <c r="AY12" s="142" t="s">
        <v>172</v>
      </c>
      <c r="BG12" s="142">
        <v>0</v>
      </c>
      <c r="BI12" s="142" t="s">
        <v>124</v>
      </c>
      <c r="BK12" s="182" t="s">
        <v>125</v>
      </c>
    </row>
    <row r="13" spans="1:63" s="142" customFormat="1" ht="21" customHeight="1" x14ac:dyDescent="0.2">
      <c r="B13" s="173" t="str">
        <f>IF(C13="HOLD RM","HOLD RM",IF(C13="BAL","WIP",IF(C13="HOLD SLT","HOLD SLT",IF(C13="MILL","RM",IF(C13="RE SLT","WIP",IF(C13="RM","RM",IF(C13="RM BAL","RM",IF(C13="RM SLT","RM",IF(C13="RR","WIP",IF(C13="SKP","WIP",IF(C13="SLT","WIP",IF(C13="CTL","WIP",0))))))))))))&amp;"-"&amp;G13&amp;"/"&amp;IF(H13="2B","2B",IF(H13="NO.1","1D",IF(H13="FH","FH",0)))&amp;"-"&amp;IF(J13="",(TEXT(I13,"0.00")),TEXT(J13,"0.00"))&amp;"X"&amp;M13</f>
        <v>WIP-304L/2B-0.50X760</v>
      </c>
      <c r="C13" s="173" t="s">
        <v>18</v>
      </c>
      <c r="D13" s="173" t="s">
        <v>146</v>
      </c>
      <c r="E13" s="190" t="s">
        <v>180</v>
      </c>
      <c r="F13" s="193" t="s">
        <v>181</v>
      </c>
      <c r="G13" s="173" t="s">
        <v>182</v>
      </c>
      <c r="H13" s="173" t="s">
        <v>114</v>
      </c>
      <c r="I13" s="174">
        <v>0.92</v>
      </c>
      <c r="J13" s="174">
        <v>0.5</v>
      </c>
      <c r="K13" s="174">
        <v>0.5</v>
      </c>
      <c r="L13" s="174">
        <v>0.51</v>
      </c>
      <c r="M13" s="191">
        <v>760</v>
      </c>
      <c r="N13" s="176">
        <v>3.75</v>
      </c>
      <c r="O13" s="176" t="s">
        <v>114</v>
      </c>
      <c r="P13" s="177"/>
      <c r="Q13" s="178" t="s">
        <v>183</v>
      </c>
      <c r="R13" s="178" t="s">
        <v>184</v>
      </c>
      <c r="S13" s="194" t="s">
        <v>185</v>
      </c>
      <c r="T13" s="177" t="s">
        <v>186</v>
      </c>
      <c r="U13" s="177"/>
      <c r="V13" s="177" t="s">
        <v>187</v>
      </c>
      <c r="W13" s="177"/>
      <c r="X13" s="177" t="s">
        <v>188</v>
      </c>
      <c r="Y13" s="177"/>
      <c r="Z13" s="177" t="s">
        <v>189</v>
      </c>
      <c r="AA13" s="177"/>
      <c r="AB13" s="177"/>
      <c r="AC13" s="177"/>
      <c r="AD13" s="180"/>
      <c r="AE13" s="173" t="s">
        <v>69</v>
      </c>
      <c r="AF13" s="181" t="s">
        <v>190</v>
      </c>
      <c r="AG13" s="181" t="s">
        <v>191</v>
      </c>
      <c r="AH13" s="181"/>
      <c r="AI13" s="181">
        <v>43881</v>
      </c>
      <c r="AJ13" s="181"/>
      <c r="AK13" s="181">
        <f ca="1">TODAY()</f>
        <v>44958</v>
      </c>
      <c r="AL13" s="173">
        <f ca="1">IF(AI13&lt;&gt;0,AK13-AI13,0)</f>
        <v>1077</v>
      </c>
      <c r="AM13" s="173">
        <f ca="1">IF(ISNUMBER(X13)=TRUE,AK13-X13,IF(X13="","",(AK13)-(MID(RIGHT(X13,10),4,2)&amp;"/"&amp;LEFT((RIGHT(X13,10)),2)&amp;"/"&amp;RIGHT(X13,4))))</f>
        <v>855</v>
      </c>
      <c r="AN13" s="181"/>
      <c r="AO13" s="190" t="s">
        <v>192</v>
      </c>
      <c r="AP13" s="176">
        <v>10.404999999999999</v>
      </c>
      <c r="AQ13" s="176">
        <v>10.414999999999999</v>
      </c>
      <c r="AR13" s="176">
        <v>10.44</v>
      </c>
      <c r="AS13" s="176">
        <v>10.445</v>
      </c>
      <c r="AT13" s="173" t="str">
        <f>IF(ISNUMBER(U13)=TRUE,AK13-U13,IF(U13="","",(AK13)-(MID(RIGHT(U13,10),4,2)&amp;"/"&amp;LEFT((RIGHT(U13,10)),2)&amp;"/"&amp;RIGHT(U13,4))))</f>
        <v/>
      </c>
      <c r="AU13" s="173">
        <v>260</v>
      </c>
      <c r="AW13" s="142" t="s">
        <v>123</v>
      </c>
      <c r="AY13" s="142" t="s">
        <v>193</v>
      </c>
      <c r="BI13" s="142" t="s">
        <v>194</v>
      </c>
      <c r="BK13" s="182" t="s">
        <v>145</v>
      </c>
    </row>
    <row r="14" spans="1:63" s="142" customFormat="1" ht="21" customHeight="1" x14ac:dyDescent="0.25">
      <c r="B14" s="173" t="str">
        <f>IF(C14="HOLD RM","HOLD RM",IF(C14="BAL","WIP",IF(C14="HOLD SLT","HOLD SLT",IF(C14="MILL","RM",IF(C14="RE SLT","WIP",IF(C14="RM","RM",IF(C14="RM BAL","RM",IF(C14="RM SLT","RM",IF(C14="RR","WIP",IF(C14="SKP","WIP",IF(C14="SLT","WIP",IF(C14="CTL","WIP",0))))))))))))&amp;"-"&amp;G14&amp;"/"&amp;IF(H14="2B","2B",IF(H14="NO.1","1D",IF(H14="FH","FH",0)))&amp;"-"&amp;IF(J14="",(TEXT(I14,"0.00")),TEXT(J14,"0.00"))&amp;"X"&amp;M14</f>
        <v>WIP-J1/2B-0.30X630</v>
      </c>
      <c r="C14" s="173" t="s">
        <v>18</v>
      </c>
      <c r="D14" s="173" t="s">
        <v>146</v>
      </c>
      <c r="E14" s="190" t="s">
        <v>195</v>
      </c>
      <c r="F14" s="190" t="s">
        <v>196</v>
      </c>
      <c r="G14" s="173" t="s">
        <v>32</v>
      </c>
      <c r="H14" s="173" t="s">
        <v>114</v>
      </c>
      <c r="I14" s="174">
        <v>0.5</v>
      </c>
      <c r="J14" s="174">
        <v>0.3</v>
      </c>
      <c r="K14" s="174">
        <v>0.3</v>
      </c>
      <c r="L14" s="174">
        <v>0.32</v>
      </c>
      <c r="M14" s="191">
        <v>630</v>
      </c>
      <c r="N14" s="176">
        <f>5.84-4.075</f>
        <v>1.7649999999999997</v>
      </c>
      <c r="O14" s="176" t="s">
        <v>114</v>
      </c>
      <c r="P14" s="177"/>
      <c r="Q14" s="178" t="s">
        <v>115</v>
      </c>
      <c r="R14" s="178" t="s">
        <v>197</v>
      </c>
      <c r="S14" s="179"/>
      <c r="T14" s="177" t="s">
        <v>198</v>
      </c>
      <c r="U14" s="177"/>
      <c r="V14" s="177" t="s">
        <v>199</v>
      </c>
      <c r="W14" s="177"/>
      <c r="X14" s="177" t="s">
        <v>200</v>
      </c>
      <c r="Y14" s="177"/>
      <c r="Z14" s="177" t="s">
        <v>201</v>
      </c>
      <c r="AA14" s="177"/>
      <c r="AB14" s="177"/>
      <c r="AC14" s="177"/>
      <c r="AD14" s="180"/>
      <c r="AE14" s="173" t="s">
        <v>69</v>
      </c>
      <c r="AF14" s="181" t="s">
        <v>190</v>
      </c>
      <c r="AG14" s="181" t="s">
        <v>202</v>
      </c>
      <c r="AH14" s="181"/>
      <c r="AI14" s="181">
        <v>44015</v>
      </c>
      <c r="AJ14" s="181"/>
      <c r="AK14" s="181">
        <f ca="1">TODAY()</f>
        <v>44958</v>
      </c>
      <c r="AL14" s="173">
        <f ca="1">IF(AI14&lt;&gt;0,AK14-AI14,0)</f>
        <v>943</v>
      </c>
      <c r="AM14" s="173">
        <f ca="1">IF(ISNUMBER(X14)=TRUE,AK14-X14,IF(X14="","",(AK14)-(MID(RIGHT(X14,10),4,2)&amp;"/"&amp;LEFT((RIGHT(X14,10)),2)&amp;"/"&amp;RIGHT(X14,4))))</f>
        <v>771</v>
      </c>
      <c r="AN14" s="181"/>
      <c r="AO14" s="190" t="s">
        <v>203</v>
      </c>
      <c r="AP14" s="176">
        <v>10.404999999999999</v>
      </c>
      <c r="AQ14" s="176">
        <v>10.414999999999999</v>
      </c>
      <c r="AR14" s="176">
        <v>10.439999999999998</v>
      </c>
      <c r="AS14" s="176">
        <v>10.444999999999999</v>
      </c>
      <c r="AT14" s="173" t="str">
        <f>IF(ISNUMBER(U14)=TRUE,AK14-U14,IF(U14="","",(AK14)-(MID(RIGHT(U14,10),4,2)&amp;"/"&amp;LEFT((RIGHT(U14,10)),2)&amp;"/"&amp;RIGHT(U14,4))))</f>
        <v/>
      </c>
      <c r="AU14" s="173">
        <v>286</v>
      </c>
      <c r="AW14" s="142" t="s">
        <v>123</v>
      </c>
      <c r="BK14" s="182" t="s">
        <v>145</v>
      </c>
    </row>
    <row r="15" spans="1:63" s="142" customFormat="1" ht="21" customHeight="1" x14ac:dyDescent="0.25">
      <c r="B15" s="173" t="str">
        <f>IF(C15="HOLD RM","HOLD RM",IF(C15="BAL","WIP",IF(C15="HOLD SLT","HOLD SLT",IF(C15="MILL","RM",IF(C15="RE SLT","WIP",IF(C15="RM","RM",IF(C15="RM BAL","RM",IF(C15="RM SLT","RM",IF(C15="RR","WIP",IF(C15="SKP","WIP",IF(C15="SLT","WIP",IF(C15="CTL","WIP",IF(C15="RM SLT RUST","RM SLT RUST",0)))))))))))))&amp;"-"&amp;G15&amp;"/"&amp;IF(H15="2B","2B",IF(H15="NO.1","1D",IF(H15="FH","FH",0)))&amp;"-"&amp;IF(J15="",(TEXT(I15,"0.00")),TEXT(J15,"0.00"))&amp;"X"&amp;M15</f>
        <v>WIP-J1/2B-0.40X703</v>
      </c>
      <c r="C15" s="173" t="s">
        <v>18</v>
      </c>
      <c r="D15" s="173" t="s">
        <v>146</v>
      </c>
      <c r="E15" s="190" t="s">
        <v>204</v>
      </c>
      <c r="F15" s="190" t="s">
        <v>205</v>
      </c>
      <c r="G15" s="173" t="s">
        <v>32</v>
      </c>
      <c r="H15" s="173" t="s">
        <v>114</v>
      </c>
      <c r="I15" s="174">
        <v>0.75</v>
      </c>
      <c r="J15" s="174">
        <v>0.4</v>
      </c>
      <c r="K15" s="174">
        <v>0.4</v>
      </c>
      <c r="L15" s="174">
        <v>0.42</v>
      </c>
      <c r="M15" s="191">
        <v>703</v>
      </c>
      <c r="N15" s="176">
        <v>5.55</v>
      </c>
      <c r="O15" s="176" t="s">
        <v>114</v>
      </c>
      <c r="P15" s="177"/>
      <c r="Q15" s="178" t="s">
        <v>115</v>
      </c>
      <c r="R15" s="179" t="s">
        <v>206</v>
      </c>
      <c r="S15" s="179" t="s">
        <v>207</v>
      </c>
      <c r="T15" s="177">
        <v>44365</v>
      </c>
      <c r="U15" s="177"/>
      <c r="V15" s="177">
        <v>44368</v>
      </c>
      <c r="W15" s="177"/>
      <c r="X15" s="177">
        <v>44369</v>
      </c>
      <c r="Y15" s="177"/>
      <c r="Z15" s="177" t="s">
        <v>208</v>
      </c>
      <c r="AA15" s="177"/>
      <c r="AB15" s="177"/>
      <c r="AC15" s="177"/>
      <c r="AD15" s="180"/>
      <c r="AE15" s="173" t="s">
        <v>114</v>
      </c>
      <c r="AF15" s="181" t="s">
        <v>209</v>
      </c>
      <c r="AG15" s="181" t="s">
        <v>210</v>
      </c>
      <c r="AH15" s="181"/>
      <c r="AI15" s="181">
        <v>44126</v>
      </c>
      <c r="AJ15" s="181"/>
      <c r="AK15" s="181">
        <f ca="1">TODAY()</f>
        <v>44958</v>
      </c>
      <c r="AL15" s="173">
        <f ca="1">IF(AI15&lt;&gt;0,AK15-AI15,0)</f>
        <v>832</v>
      </c>
      <c r="AM15" s="173">
        <f ca="1">IF(ISNUMBER(X15)=TRUE,AK15-X15,IF(X15="","",(AK15)-(MID(RIGHT(X15,10),4,2)&amp;"/"&amp;LEFT((RIGHT(X15,10)),2)&amp;"/"&amp;RIGHT(X15,4))))</f>
        <v>589</v>
      </c>
      <c r="AN15" s="181" t="s">
        <v>211</v>
      </c>
      <c r="AO15" s="190" t="s">
        <v>212</v>
      </c>
      <c r="AP15" s="176">
        <v>11.273</v>
      </c>
      <c r="AQ15" s="176">
        <v>11.302999999999999</v>
      </c>
      <c r="AR15" s="176">
        <v>11.327999999999998</v>
      </c>
      <c r="AS15" s="176">
        <v>11.332999999999998</v>
      </c>
      <c r="AT15" s="173" t="str">
        <f>IF(ISNUMBER(U15)=TRUE,AK15-U15,IF(U15="","",(AK15)-(MID(RIGHT(U15,10),4,2)&amp;"/"&amp;LEFT((RIGHT(U15,10)),2)&amp;"/"&amp;RIGHT(U15,4))))</f>
        <v/>
      </c>
      <c r="AU15" s="173">
        <v>316</v>
      </c>
      <c r="AW15" s="142" t="s">
        <v>123</v>
      </c>
      <c r="BK15" s="182" t="s">
        <v>213</v>
      </c>
    </row>
    <row r="16" spans="1:63" s="142" customFormat="1" ht="21" customHeight="1" x14ac:dyDescent="0.25">
      <c r="B16" s="173" t="str">
        <f>IF(C16="HOLD RM","HOLD RM",IF(C16="BAL","WIP",IF(C16="HOLD SLT","HOLD SLT",IF(C16="MILL","RM",IF(C16="RE SLT","WIP",IF(C16="RM","RM",IF(C16="RM BAL","RM",IF(C16="RM SLT","RM",IF(C16="RR","WIP",IF(C16="SKP","WIP",IF(C16="SLT","WIP",IF(C16="CTL","WIP",IF(C16="RM SLT RUST","RM SLT RUST",0)))))))))))))&amp;"-"&amp;G16&amp;"/"&amp;IF(H16="2B","2B",IF(H16="NO.1","1D",IF(H16="FH","FH",0)))&amp;"-"&amp;IF(J16="",(TEXT(I16,"0.00")),TEXT(J16,"0.00"))&amp;"X"&amp;M16</f>
        <v>WIP-J3/2B-0.40X585</v>
      </c>
      <c r="C16" s="173" t="s">
        <v>18</v>
      </c>
      <c r="D16" s="173" t="s">
        <v>146</v>
      </c>
      <c r="E16" s="190" t="s">
        <v>214</v>
      </c>
      <c r="F16" s="190" t="s">
        <v>215</v>
      </c>
      <c r="G16" s="173" t="s">
        <v>34</v>
      </c>
      <c r="H16" s="173" t="s">
        <v>114</v>
      </c>
      <c r="I16" s="174">
        <v>0.73</v>
      </c>
      <c r="J16" s="174">
        <v>0.4</v>
      </c>
      <c r="K16" s="174">
        <v>0.4</v>
      </c>
      <c r="L16" s="174">
        <v>0.42</v>
      </c>
      <c r="M16" s="191">
        <v>585</v>
      </c>
      <c r="N16" s="176">
        <v>2.2599999999999998</v>
      </c>
      <c r="O16" s="176" t="s">
        <v>114</v>
      </c>
      <c r="P16" s="177"/>
      <c r="Q16" s="178" t="s">
        <v>216</v>
      </c>
      <c r="R16" s="178" t="s">
        <v>217</v>
      </c>
      <c r="S16" s="179" t="s">
        <v>218</v>
      </c>
      <c r="T16" s="177" t="s">
        <v>219</v>
      </c>
      <c r="U16" s="177"/>
      <c r="V16" s="177" t="s">
        <v>220</v>
      </c>
      <c r="W16" s="177"/>
      <c r="X16" s="177" t="s">
        <v>221</v>
      </c>
      <c r="Y16" s="177"/>
      <c r="Z16" s="177" t="s">
        <v>222</v>
      </c>
      <c r="AA16" s="177"/>
      <c r="AB16" s="177"/>
      <c r="AC16" s="177"/>
      <c r="AD16" s="180"/>
      <c r="AE16" s="173" t="s">
        <v>69</v>
      </c>
      <c r="AF16" s="181" t="s">
        <v>209</v>
      </c>
      <c r="AG16" s="181" t="s">
        <v>223</v>
      </c>
      <c r="AH16" s="181">
        <v>44177</v>
      </c>
      <c r="AI16" s="181">
        <v>44212</v>
      </c>
      <c r="AJ16" s="181"/>
      <c r="AK16" s="181">
        <f ca="1">TODAY()</f>
        <v>44958</v>
      </c>
      <c r="AL16" s="173">
        <f ca="1">IF(AI16&lt;&gt;0,AK16-AI16,0)</f>
        <v>746</v>
      </c>
      <c r="AM16" s="173" t="e">
        <f ca="1">IF(ISNUMBER(X16)=TRUE,AK16-X16,IF(X16="","",(AK16)-(MID(RIGHT(X16,10),4,2)&amp;"/"&amp;LEFT((RIGHT(X16,10)),2)&amp;"/"&amp;RIGHT(X16,4))))</f>
        <v>#VALUE!</v>
      </c>
      <c r="AN16" s="181" t="s">
        <v>224</v>
      </c>
      <c r="AO16" s="190" t="s">
        <v>225</v>
      </c>
      <c r="AP16" s="176">
        <v>8.16</v>
      </c>
      <c r="AQ16" s="176">
        <v>8.1999999999999993</v>
      </c>
      <c r="AR16" s="176">
        <v>8.2249999999999979</v>
      </c>
      <c r="AS16" s="176">
        <v>8.2299999999999986</v>
      </c>
      <c r="AT16" s="173" t="str">
        <f>IF(ISNUMBER(U16)=TRUE,AK16-U16,IF(U16="","",(AK16)-(MID(RIGHT(U16,10),4,2)&amp;"/"&amp;LEFT((RIGHT(U16,10)),2)&amp;"/"&amp;RIGHT(U16,4))))</f>
        <v/>
      </c>
      <c r="AU16" s="173">
        <v>344</v>
      </c>
      <c r="AW16" s="142" t="s">
        <v>123</v>
      </c>
      <c r="BK16" s="182" t="s">
        <v>226</v>
      </c>
    </row>
    <row r="17" spans="2:63" s="142" customFormat="1" ht="21" customHeight="1" x14ac:dyDescent="0.25">
      <c r="B17" s="173" t="str">
        <f>IF(C17="HOLD RM","HOLD RM",IF(C17="BAL","WIP",IF(C17="HOLD SLT","HOLD SLT",IF(C17="MILL","RM",IF(C17="RE SLT","WIP",IF(C17="RM","RM",IF(C17="RM BAL","RM",IF(C17="RM SLT","RM",IF(C17="RR","WIP",IF(C17="SKP","WIP",IF(C17="SLT","WIP",IF(C17="CTL","WIP",IF(C17="RM SLT RUST","RM SLT RUST",0)))))))))))))&amp;"-"&amp;G17&amp;"/"&amp;IF(H17="2B","2B",IF(H17="NO.1","1D",IF(H17="FH","FH",0)))&amp;"-"&amp;IF(J17="",(TEXT(I17,"0.00")),TEXT(J17,"0.00"))&amp;"X"&amp;M17</f>
        <v>WIP-J3/FH-0.28X585</v>
      </c>
      <c r="C17" s="173" t="s">
        <v>16</v>
      </c>
      <c r="D17" s="173" t="s">
        <v>16</v>
      </c>
      <c r="E17" s="190" t="s">
        <v>227</v>
      </c>
      <c r="F17" s="190" t="s">
        <v>228</v>
      </c>
      <c r="G17" s="173" t="s">
        <v>34</v>
      </c>
      <c r="H17" s="173" t="s">
        <v>70</v>
      </c>
      <c r="I17" s="174">
        <v>0.55000000000000004</v>
      </c>
      <c r="J17" s="174">
        <v>0.28000000000000003</v>
      </c>
      <c r="K17" s="174"/>
      <c r="L17" s="174"/>
      <c r="M17" s="191">
        <v>585</v>
      </c>
      <c r="N17" s="176">
        <v>1.1399999999999999</v>
      </c>
      <c r="O17" s="176" t="s">
        <v>114</v>
      </c>
      <c r="P17" s="177"/>
      <c r="Q17" s="178" t="s">
        <v>115</v>
      </c>
      <c r="R17" s="178" t="s">
        <v>229</v>
      </c>
      <c r="S17" s="179" t="s">
        <v>230</v>
      </c>
      <c r="T17" s="177" t="s">
        <v>231</v>
      </c>
      <c r="U17" s="177"/>
      <c r="V17" s="177" t="s">
        <v>232</v>
      </c>
      <c r="W17" s="177"/>
      <c r="X17" s="177" t="s">
        <v>233</v>
      </c>
      <c r="Y17" s="177"/>
      <c r="Z17" s="177" t="s">
        <v>234</v>
      </c>
      <c r="AA17" s="177"/>
      <c r="AB17" s="177"/>
      <c r="AC17" s="177"/>
      <c r="AD17" s="180"/>
      <c r="AE17" s="173" t="s">
        <v>69</v>
      </c>
      <c r="AF17" s="181" t="s">
        <v>209</v>
      </c>
      <c r="AG17" s="181" t="s">
        <v>223</v>
      </c>
      <c r="AH17" s="181">
        <v>44177</v>
      </c>
      <c r="AI17" s="181">
        <v>44212</v>
      </c>
      <c r="AJ17" s="181"/>
      <c r="AK17" s="181">
        <f ca="1">TODAY()</f>
        <v>44958</v>
      </c>
      <c r="AL17" s="173">
        <f ca="1">IF(AI17&lt;&gt;0,AK17-AI17,0)</f>
        <v>746</v>
      </c>
      <c r="AM17" s="173">
        <f ca="1">IF(ISNUMBER(X17)=TRUE,AK17-X17,IF(X17="","",(AK17)-(MID(RIGHT(X17,10),4,2)&amp;"/"&amp;LEFT((RIGHT(X17,10)),2)&amp;"/"&amp;RIGHT(X17,4))))</f>
        <v>711</v>
      </c>
      <c r="AN17" s="181" t="s">
        <v>235</v>
      </c>
      <c r="AO17" s="190" t="s">
        <v>236</v>
      </c>
      <c r="AP17" s="176">
        <v>8.2479999999999993</v>
      </c>
      <c r="AQ17" s="176">
        <v>8.2879999999999985</v>
      </c>
      <c r="AR17" s="176">
        <v>8.3129999999999971</v>
      </c>
      <c r="AS17" s="176">
        <v>8.3179999999999978</v>
      </c>
      <c r="AT17" s="173" t="str">
        <f>IF(ISNUMBER(U17)=TRUE,AK17-U17,IF(U17="","",(AK17)-(MID(RIGHT(U17,10),4,2)&amp;"/"&amp;LEFT((RIGHT(U17,10)),2)&amp;"/"&amp;RIGHT(U17,4))))</f>
        <v/>
      </c>
      <c r="AU17" s="173">
        <v>344</v>
      </c>
      <c r="AW17" s="142" t="s">
        <v>123</v>
      </c>
      <c r="BK17" s="182" t="s">
        <v>237</v>
      </c>
    </row>
    <row r="18" spans="2:63" s="142" customFormat="1" ht="21" customHeight="1" x14ac:dyDescent="0.25">
      <c r="B18" s="173" t="str">
        <f>IF(C18="HOLD RM","HOLD RM",IF(C18="BAL","WIP",IF(C18="HOLD SLT","HOLD SLT",IF(C18="MILL","RM",IF(C18="RE SLT","WIP",IF(C18="RM","RM",IF(C18="RM BAL","RM",IF(C18="RM SLT","RM",IF(C18="RR","WIP",IF(C18="SKP","WIP",IF(C18="SLT","WIP",IF(C18="CTL","WIP",IF(C18="RM SLT RUST","RM SLT RUST",0)))))))))))))&amp;"-"&amp;G18&amp;"/"&amp;IF(H18="2B","2B",IF(H18="NO.1","1D",IF(H18="FH","FH",0)))&amp;"-"&amp;IF(J18="",(TEXT(I18,"0.00")),TEXT(J18,"0.00"))&amp;"X"&amp;M18</f>
        <v>WIP-J3/FH-0.36X585</v>
      </c>
      <c r="C18" s="173" t="s">
        <v>16</v>
      </c>
      <c r="D18" s="173" t="s">
        <v>16</v>
      </c>
      <c r="E18" s="190" t="s">
        <v>238</v>
      </c>
      <c r="F18" s="190" t="s">
        <v>239</v>
      </c>
      <c r="G18" s="173" t="s">
        <v>34</v>
      </c>
      <c r="H18" s="173" t="s">
        <v>70</v>
      </c>
      <c r="I18" s="174">
        <v>0.75</v>
      </c>
      <c r="J18" s="174">
        <v>0.36</v>
      </c>
      <c r="K18" s="174"/>
      <c r="L18" s="174"/>
      <c r="M18" s="191">
        <v>585</v>
      </c>
      <c r="N18" s="176">
        <v>2.2450000000000001</v>
      </c>
      <c r="O18" s="176" t="s">
        <v>114</v>
      </c>
      <c r="P18" s="177"/>
      <c r="Q18" s="179" t="s">
        <v>115</v>
      </c>
      <c r="R18" s="178" t="s">
        <v>149</v>
      </c>
      <c r="S18" s="178" t="s">
        <v>240</v>
      </c>
      <c r="T18" s="177" t="s">
        <v>241</v>
      </c>
      <c r="U18" s="177"/>
      <c r="V18" s="177" t="s">
        <v>242</v>
      </c>
      <c r="W18" s="177"/>
      <c r="X18" s="177">
        <v>44255</v>
      </c>
      <c r="Y18" s="177"/>
      <c r="Z18" s="177" t="s">
        <v>243</v>
      </c>
      <c r="AA18" s="177"/>
      <c r="AB18" s="177"/>
      <c r="AC18" s="177"/>
      <c r="AD18" s="180"/>
      <c r="AE18" s="173" t="s">
        <v>69</v>
      </c>
      <c r="AF18" s="181" t="s">
        <v>209</v>
      </c>
      <c r="AG18" s="181" t="s">
        <v>223</v>
      </c>
      <c r="AH18" s="181">
        <v>44177</v>
      </c>
      <c r="AI18" s="181">
        <v>44212</v>
      </c>
      <c r="AJ18" s="181"/>
      <c r="AK18" s="181">
        <f ca="1">TODAY()</f>
        <v>44958</v>
      </c>
      <c r="AL18" s="173">
        <f ca="1">IF(AI18&lt;&gt;0,AK18-AI18,0)</f>
        <v>746</v>
      </c>
      <c r="AM18" s="173">
        <f ca="1">IF(ISNUMBER(X18)=TRUE,AK18-X18,IF(X18="","",(AK18)-(MID(RIGHT(X18,10),4,2)&amp;"/"&amp;LEFT((RIGHT(X18,10)),2)&amp;"/"&amp;RIGHT(X18,4))))</f>
        <v>703</v>
      </c>
      <c r="AN18" s="181" t="s">
        <v>244</v>
      </c>
      <c r="AO18" s="190" t="s">
        <v>245</v>
      </c>
      <c r="AP18" s="176">
        <v>8.17</v>
      </c>
      <c r="AQ18" s="176">
        <v>8.2099999999999991</v>
      </c>
      <c r="AR18" s="176">
        <v>8.2349999999999977</v>
      </c>
      <c r="AS18" s="176">
        <v>8.2399999999999984</v>
      </c>
      <c r="AT18" s="173" t="str">
        <f>IF(ISNUMBER(U18)=TRUE,AK18-U18,IF(U18="","",(AK18)-(MID(RIGHT(U18,10),4,2)&amp;"/"&amp;LEFT((RIGHT(U18,10)),2)&amp;"/"&amp;RIGHT(U18,4))))</f>
        <v/>
      </c>
      <c r="AU18" s="173">
        <v>344</v>
      </c>
      <c r="AW18" s="142" t="s">
        <v>123</v>
      </c>
      <c r="BK18" s="182" t="s">
        <v>226</v>
      </c>
    </row>
    <row r="19" spans="2:63" s="142" customFormat="1" ht="21" customHeight="1" x14ac:dyDescent="0.25">
      <c r="B19" s="173" t="str">
        <f>IF(C19="HOLD RM","HOLD RM",IF(C19="BAL","WIP",IF(C19="HOLD SLT","HOLD SLT",IF(C19="MILL","RM",IF(C19="RE SLT","WIP",IF(C19="RM","RM",IF(C19="RM BAL","RM",IF(C19="RM SLT","RM",IF(C19="RR","WIP",IF(C19="SKP","WIP",IF(C19="SLT","WIP",IF(C19="CTL","WIP",IF(C19="RM SLT RUST","RM SLT RUST",0)))))))))))))&amp;"-"&amp;G19&amp;"/"&amp;IF(H19="2B","2B",IF(H19="NO.1","1D",IF(H19="FH","FH",0)))&amp;"-"&amp;IF(J19="",(TEXT(I19,"0.00")),TEXT(J19,"0.00"))&amp;"X"&amp;M19</f>
        <v>RM-J4/1D-2.20X595</v>
      </c>
      <c r="C19" s="173" t="s">
        <v>48</v>
      </c>
      <c r="D19" s="173" t="s">
        <v>48</v>
      </c>
      <c r="E19" s="190" t="s">
        <v>246</v>
      </c>
      <c r="F19" s="190" t="s">
        <v>247</v>
      </c>
      <c r="G19" s="173" t="s">
        <v>35</v>
      </c>
      <c r="H19" s="173" t="s">
        <v>127</v>
      </c>
      <c r="I19" s="174">
        <v>2.2000000000000002</v>
      </c>
      <c r="J19" s="174"/>
      <c r="K19" s="174"/>
      <c r="L19" s="174"/>
      <c r="M19" s="191">
        <v>595</v>
      </c>
      <c r="N19" s="176">
        <v>8.202</v>
      </c>
      <c r="O19" s="176"/>
      <c r="P19" s="177"/>
      <c r="Q19" s="178"/>
      <c r="R19" s="179"/>
      <c r="S19" s="179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80"/>
      <c r="AE19" s="173" t="s">
        <v>69</v>
      </c>
      <c r="AF19" s="181" t="s">
        <v>248</v>
      </c>
      <c r="AG19" s="181" t="s">
        <v>249</v>
      </c>
      <c r="AH19" s="181">
        <v>44207</v>
      </c>
      <c r="AI19" s="181">
        <v>44224</v>
      </c>
      <c r="AJ19" s="181"/>
      <c r="AK19" s="181">
        <f ca="1">TODAY()</f>
        <v>44958</v>
      </c>
      <c r="AL19" s="173">
        <f ca="1">IF(AI19&lt;&gt;0,AK19-AI19,0)</f>
        <v>734</v>
      </c>
      <c r="AM19" s="173" t="str">
        <f>IF(ISNUMBER(X19)=TRUE,AK19-X19,IF(X19="","",(AK19)-(MID(RIGHT(X19,10),4,2)&amp;"/"&amp;LEFT((RIGHT(X19,10)),2)&amp;"/"&amp;RIGHT(X19,4))))</f>
        <v/>
      </c>
      <c r="AN19" s="181" t="s">
        <v>250</v>
      </c>
      <c r="AO19" s="190" t="s">
        <v>251</v>
      </c>
      <c r="AP19" s="176">
        <v>8.202</v>
      </c>
      <c r="AQ19" s="176">
        <v>8.2419999999999991</v>
      </c>
      <c r="AR19" s="176">
        <v>8.2669999999999977</v>
      </c>
      <c r="AS19" s="176">
        <v>8.2719999999999985</v>
      </c>
      <c r="AT19" s="173" t="str">
        <f>IF(ISNUMBER(U19)=TRUE,AK19-U19,IF(U19="","",(AK19)-(MID(RIGHT(U19,10),4,2)&amp;"/"&amp;LEFT((RIGHT(U19,10)),2)&amp;"/"&amp;RIGHT(U19,4))))</f>
        <v/>
      </c>
      <c r="AU19" s="173">
        <v>349</v>
      </c>
      <c r="AW19" s="142" t="s">
        <v>123</v>
      </c>
    </row>
    <row r="20" spans="2:63" s="142" customFormat="1" ht="21" customHeight="1" x14ac:dyDescent="0.25">
      <c r="B20" s="173" t="str">
        <f>IF(C20="HOLD RM","HOLD RM",IF(C20="BAL","WIP",IF(C20="HOLD SLT","HOLD SLT",IF(C20="MILL","RM",IF(C20="RE SLT","WIP",IF(C20="RM","RM",IF(C20="RM BAL","RM",IF(C20="RM SLT","RM",IF(C20="RR","WIP",IF(C20="SKP","WIP",IF(C20="SLT","WIP",IF(C20="CTL","WIP",IF(C20="RM SLT RUST","RM SLT RUST",0)))))))))))))&amp;"-"&amp;G20&amp;"/"&amp;IF(H20="2B","2B",IF(H20="NO.1","1D",IF(H20="FH","FH",0)))&amp;"-"&amp;IF(J20="",(TEXT(I20,"0.00")),TEXT(J20,"0.00"))&amp;"X"&amp;M20</f>
        <v>RM-J4/1D-2.40X595</v>
      </c>
      <c r="C20" s="173" t="s">
        <v>48</v>
      </c>
      <c r="D20" s="173" t="s">
        <v>48</v>
      </c>
      <c r="E20" s="190" t="s">
        <v>252</v>
      </c>
      <c r="F20" s="190" t="s">
        <v>253</v>
      </c>
      <c r="G20" s="173" t="s">
        <v>35</v>
      </c>
      <c r="H20" s="173" t="s">
        <v>127</v>
      </c>
      <c r="I20" s="174">
        <v>2.4</v>
      </c>
      <c r="J20" s="174"/>
      <c r="K20" s="174"/>
      <c r="L20" s="174"/>
      <c r="M20" s="191">
        <v>595</v>
      </c>
      <c r="N20" s="176">
        <v>8.1440000000000001</v>
      </c>
      <c r="O20" s="176"/>
      <c r="P20" s="177"/>
      <c r="Q20" s="178"/>
      <c r="R20" s="179"/>
      <c r="S20" s="179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80"/>
      <c r="AE20" s="173" t="s">
        <v>69</v>
      </c>
      <c r="AF20" s="181" t="s">
        <v>248</v>
      </c>
      <c r="AG20" s="181" t="s">
        <v>249</v>
      </c>
      <c r="AH20" s="181">
        <v>44207</v>
      </c>
      <c r="AI20" s="181">
        <v>44224</v>
      </c>
      <c r="AJ20" s="181"/>
      <c r="AK20" s="181">
        <f ca="1">TODAY()</f>
        <v>44958</v>
      </c>
      <c r="AL20" s="173">
        <f ca="1">IF(AI20&lt;&gt;0,AK20-AI20,0)</f>
        <v>734</v>
      </c>
      <c r="AM20" s="173" t="str">
        <f>IF(ISNUMBER(X20)=TRUE,AK20-X20,IF(X20="","",(AK20)-(MID(RIGHT(X20,10),4,2)&amp;"/"&amp;LEFT((RIGHT(X20,10)),2)&amp;"/"&amp;RIGHT(X20,4))))</f>
        <v/>
      </c>
      <c r="AN20" s="181" t="s">
        <v>250</v>
      </c>
      <c r="AO20" s="190" t="s">
        <v>254</v>
      </c>
      <c r="AP20" s="176">
        <v>8.1440000000000001</v>
      </c>
      <c r="AQ20" s="176">
        <v>8.1839999999999993</v>
      </c>
      <c r="AR20" s="176">
        <v>8.2089999999999979</v>
      </c>
      <c r="AS20" s="176">
        <v>8.2139999999999986</v>
      </c>
      <c r="AT20" s="173" t="str">
        <f>IF(ISNUMBER(U20)=TRUE,AK20-U20,IF(U20="","",(AK20)-(MID(RIGHT(U20,10),4,2)&amp;"/"&amp;LEFT((RIGHT(U20,10)),2)&amp;"/"&amp;RIGHT(U20,4))))</f>
        <v/>
      </c>
      <c r="AU20" s="173">
        <v>349</v>
      </c>
      <c r="AW20" s="142" t="s">
        <v>123</v>
      </c>
    </row>
    <row r="21" spans="2:63" s="142" customFormat="1" ht="21" customHeight="1" x14ac:dyDescent="0.25">
      <c r="B21" s="173" t="str">
        <f>IF(C21="HOLD RM","HOLD RM",IF(C21="BAL","WIP",IF(C21="HOLD SLT","HOLD SLT",IF(C21="MILL","RM",IF(C21="RE SLT","WIP",IF(C21="RM","RM",IF(C21="RM BAL","RM",IF(C21="RM SLT","RM",IF(C21="RR","WIP",IF(C21="SKP","WIP",IF(C21="SLT","WIP",IF(C21="CTL","WIP",IF(C21="RM SLT RUST","RM SLT RUST",0)))))))))))))&amp;"-"&amp;G21&amp;"/"&amp;IF(H21="2B","2B",IF(H21="NO.1","1D",IF(H21="FH","FH",0)))&amp;"-"&amp;IF(J21="",(TEXT(I21,"0.00")),TEXT(J21,"0.00"))&amp;"X"&amp;M21</f>
        <v>RM-J4/1D-2.40X595</v>
      </c>
      <c r="C21" s="173" t="s">
        <v>48</v>
      </c>
      <c r="D21" s="173" t="s">
        <v>48</v>
      </c>
      <c r="E21" s="190" t="s">
        <v>255</v>
      </c>
      <c r="F21" s="190" t="s">
        <v>256</v>
      </c>
      <c r="G21" s="173" t="s">
        <v>35</v>
      </c>
      <c r="H21" s="173" t="s">
        <v>127</v>
      </c>
      <c r="I21" s="174">
        <v>2.4</v>
      </c>
      <c r="J21" s="174"/>
      <c r="K21" s="174"/>
      <c r="L21" s="174"/>
      <c r="M21" s="191">
        <v>595</v>
      </c>
      <c r="N21" s="176">
        <v>8.2040000000000006</v>
      </c>
      <c r="O21" s="176"/>
      <c r="P21" s="177"/>
      <c r="Q21" s="178"/>
      <c r="R21" s="179"/>
      <c r="S21" s="179"/>
      <c r="T21" s="177"/>
      <c r="U21" s="177"/>
      <c r="V21" s="177"/>
      <c r="W21" s="177"/>
      <c r="X21" s="177"/>
      <c r="Y21" s="177"/>
      <c r="Z21" s="177"/>
      <c r="AA21" s="177"/>
      <c r="AB21" s="177"/>
      <c r="AC21" s="177"/>
      <c r="AD21" s="180"/>
      <c r="AE21" s="173" t="s">
        <v>69</v>
      </c>
      <c r="AF21" s="181" t="s">
        <v>248</v>
      </c>
      <c r="AG21" s="181" t="s">
        <v>249</v>
      </c>
      <c r="AH21" s="181">
        <v>44207</v>
      </c>
      <c r="AI21" s="181">
        <v>44224</v>
      </c>
      <c r="AJ21" s="181"/>
      <c r="AK21" s="181">
        <f ca="1">TODAY()</f>
        <v>44958</v>
      </c>
      <c r="AL21" s="173">
        <f ca="1">IF(AI21&lt;&gt;0,AK21-AI21,0)</f>
        <v>734</v>
      </c>
      <c r="AM21" s="173" t="str">
        <f>IF(ISNUMBER(X21)=TRUE,AK21-X21,IF(X21="","",(AK21)-(MID(RIGHT(X21,10),4,2)&amp;"/"&amp;LEFT((RIGHT(X21,10)),2)&amp;"/"&amp;RIGHT(X21,4))))</f>
        <v/>
      </c>
      <c r="AN21" s="181" t="s">
        <v>257</v>
      </c>
      <c r="AO21" s="190" t="s">
        <v>258</v>
      </c>
      <c r="AP21" s="176">
        <v>8.2040000000000006</v>
      </c>
      <c r="AQ21" s="176">
        <v>8.2439999999999998</v>
      </c>
      <c r="AR21" s="176">
        <v>8.2689999999999984</v>
      </c>
      <c r="AS21" s="176">
        <v>8.2739999999999991</v>
      </c>
      <c r="AT21" s="173" t="str">
        <f>IF(ISNUMBER(U21)=TRUE,AK21-U21,IF(U21="","",(AK21)-(MID(RIGHT(U21,10),4,2)&amp;"/"&amp;LEFT((RIGHT(U21,10)),2)&amp;"/"&amp;RIGHT(U21,4))))</f>
        <v/>
      </c>
      <c r="AU21" s="173">
        <v>349</v>
      </c>
      <c r="AW21" s="142" t="s">
        <v>123</v>
      </c>
    </row>
    <row r="22" spans="2:63" s="142" customFormat="1" ht="21" customHeight="1" x14ac:dyDescent="0.25">
      <c r="B22" s="173" t="str">
        <f>IF(C22="HOLD RM","HOLD RM",IF(C22="BAL","WIP",IF(C22="HOLD SLT","HOLD SLT",IF(C22="MILL","RM",IF(C22="RE SLT","WIP",IF(C22="RM","RM",IF(C22="RM BAL","RM",IF(C22="RM SLT","RM",IF(C22="RR","WIP",IF(C22="SKP","WIP",IF(C22="SLT","WIP",IF(C22="CTL","WIP",IF(C22="RM SLT RUST","RM SLT RUST",0)))))))))))))&amp;"-"&amp;G22&amp;"/"&amp;IF(H22="2B","2B",IF(H22="NO.1","1D",IF(H22="FH","FH",0)))&amp;"-"&amp;IF(J22="",(TEXT(I22,"0.00")),TEXT(J22,"0.00"))&amp;"X"&amp;M22</f>
        <v>WIP-J4/2B-0.39X588</v>
      </c>
      <c r="C22" s="173" t="s">
        <v>18</v>
      </c>
      <c r="D22" s="173" t="s">
        <v>146</v>
      </c>
      <c r="E22" s="190" t="s">
        <v>259</v>
      </c>
      <c r="F22" s="190" t="s">
        <v>260</v>
      </c>
      <c r="G22" s="173" t="s">
        <v>35</v>
      </c>
      <c r="H22" s="173" t="s">
        <v>114</v>
      </c>
      <c r="I22" s="174">
        <v>0.74</v>
      </c>
      <c r="J22" s="174">
        <v>0.39</v>
      </c>
      <c r="K22" s="174">
        <v>0.38</v>
      </c>
      <c r="L22" s="174">
        <v>0.39</v>
      </c>
      <c r="M22" s="191">
        <v>588</v>
      </c>
      <c r="N22" s="176">
        <v>6.01</v>
      </c>
      <c r="O22" s="176" t="s">
        <v>176</v>
      </c>
      <c r="P22" s="177"/>
      <c r="Q22" s="178" t="s">
        <v>115</v>
      </c>
      <c r="R22" s="178" t="s">
        <v>261</v>
      </c>
      <c r="S22" s="179" t="s">
        <v>230</v>
      </c>
      <c r="T22" s="177" t="s">
        <v>262</v>
      </c>
      <c r="U22" s="177"/>
      <c r="V22" s="177" t="s">
        <v>262</v>
      </c>
      <c r="W22" s="177"/>
      <c r="X22" s="177" t="s">
        <v>263</v>
      </c>
      <c r="Y22" s="177"/>
      <c r="Z22" s="177">
        <v>44700</v>
      </c>
      <c r="AA22" s="177"/>
      <c r="AB22" s="177"/>
      <c r="AC22" s="177"/>
      <c r="AD22" s="180"/>
      <c r="AE22" s="173" t="s">
        <v>69</v>
      </c>
      <c r="AF22" s="181" t="s">
        <v>248</v>
      </c>
      <c r="AG22" s="181" t="s">
        <v>249</v>
      </c>
      <c r="AH22" s="181">
        <v>44207</v>
      </c>
      <c r="AI22" s="181">
        <v>44224</v>
      </c>
      <c r="AJ22" s="181"/>
      <c r="AK22" s="181">
        <f ca="1">TODAY()</f>
        <v>44958</v>
      </c>
      <c r="AL22" s="173">
        <f ca="1">IF(AI22&lt;&gt;0,AK22-AI22,0)</f>
        <v>734</v>
      </c>
      <c r="AM22" s="173">
        <f ca="1">IF(ISNUMBER(X22)=TRUE,AK22-X22,IF(X22="","",(AK22)-(MID(RIGHT(X22,10),4,2)&amp;"/"&amp;LEFT((RIGHT(X22,10)),2)&amp;"/"&amp;RIGHT(X22,4))))</f>
        <v>254</v>
      </c>
      <c r="AN22" s="181" t="s">
        <v>257</v>
      </c>
      <c r="AO22" s="190" t="s">
        <v>254</v>
      </c>
      <c r="AP22" s="176">
        <v>8.2420000000000009</v>
      </c>
      <c r="AQ22" s="176">
        <v>8.282</v>
      </c>
      <c r="AR22" s="176">
        <v>8.3069999999999986</v>
      </c>
      <c r="AS22" s="176">
        <v>8.3119999999999994</v>
      </c>
      <c r="AT22" s="173" t="str">
        <f>IF(ISNUMBER(U22)=TRUE,AK22-U22,IF(U22="","",(AK22)-(MID(RIGHT(U22,10),4,2)&amp;"/"&amp;LEFT((RIGHT(U22,10)),2)&amp;"/"&amp;RIGHT(U22,4))))</f>
        <v/>
      </c>
      <c r="AU22" s="173">
        <v>349</v>
      </c>
      <c r="AW22" s="142" t="s">
        <v>123</v>
      </c>
    </row>
    <row r="23" spans="2:63" s="142" customFormat="1" ht="21" customHeight="1" x14ac:dyDescent="0.25">
      <c r="B23" s="173" t="str">
        <f>IF(C23="HOLD RM","HOLD RM",IF(C23="BAL","WIP",IF(C23="HOLD SLT","HOLD SLT",IF(C23="MILL","RM",IF(C23="RE SLT","WIP",IF(C23="RM","RM",IF(C23="RM BAL","RM",IF(C23="RM SLT","RM",IF(C23="RR","WIP",IF(C23="SKP","WIP",IF(C23="SLT","WIP",IF(C23="CTL","WIP",IF(C23="RM SLT RUST","RM SLT RUST",0)))))))))))))&amp;"-"&amp;G23&amp;"/"&amp;IF(H23="2B","2B",IF(H23="NO.1","1D",IF(H23="FH","FH",0)))&amp;"-"&amp;IF(J23="",(TEXT(I23,"0.00")),TEXT(J23,"0.00"))&amp;"X"&amp;M23</f>
        <v>RM-J2/1D-2.20X510</v>
      </c>
      <c r="C23" s="173" t="s">
        <v>48</v>
      </c>
      <c r="D23" s="173" t="s">
        <v>48</v>
      </c>
      <c r="E23" s="190" t="s">
        <v>264</v>
      </c>
      <c r="F23" s="190" t="s">
        <v>265</v>
      </c>
      <c r="G23" s="173" t="s">
        <v>33</v>
      </c>
      <c r="H23" s="173" t="s">
        <v>127</v>
      </c>
      <c r="I23" s="174">
        <v>2.2000000000000002</v>
      </c>
      <c r="J23" s="174"/>
      <c r="K23" s="174"/>
      <c r="L23" s="174"/>
      <c r="M23" s="191">
        <v>510</v>
      </c>
      <c r="N23" s="176">
        <v>8.1920000000000002</v>
      </c>
      <c r="O23" s="176"/>
      <c r="P23" s="177"/>
      <c r="Q23" s="178"/>
      <c r="R23" s="179"/>
      <c r="S23" s="179"/>
      <c r="T23" s="177"/>
      <c r="U23" s="177"/>
      <c r="V23" s="177"/>
      <c r="W23" s="177"/>
      <c r="X23" s="177"/>
      <c r="Y23" s="177"/>
      <c r="Z23" s="177"/>
      <c r="AA23" s="177"/>
      <c r="AB23" s="177"/>
      <c r="AC23" s="177"/>
      <c r="AD23" s="180"/>
      <c r="AE23" s="173" t="s">
        <v>69</v>
      </c>
      <c r="AF23" s="181" t="s">
        <v>248</v>
      </c>
      <c r="AG23" s="181" t="s">
        <v>266</v>
      </c>
      <c r="AH23" s="181">
        <v>44219</v>
      </c>
      <c r="AI23" s="181">
        <v>44243</v>
      </c>
      <c r="AJ23" s="181"/>
      <c r="AK23" s="181">
        <f ca="1">TODAY()</f>
        <v>44958</v>
      </c>
      <c r="AL23" s="173">
        <f ca="1">IF(AI23&lt;&gt;0,AK23-AI23,0)</f>
        <v>715</v>
      </c>
      <c r="AM23" s="173" t="str">
        <f>IF(ISNUMBER(X23)=TRUE,AK23-X23,IF(X23="","",(AK23)-(MID(RIGHT(X23,10),4,2)&amp;"/"&amp;LEFT((RIGHT(X23,10)),2)&amp;"/"&amp;RIGHT(X23,4))))</f>
        <v/>
      </c>
      <c r="AN23" s="181" t="s">
        <v>267</v>
      </c>
      <c r="AO23" s="190" t="s">
        <v>268</v>
      </c>
      <c r="AP23" s="176">
        <v>8.1920000000000002</v>
      </c>
      <c r="AQ23" s="176">
        <v>8.2319999999999993</v>
      </c>
      <c r="AR23" s="176">
        <v>8.2569999999999979</v>
      </c>
      <c r="AS23" s="176">
        <v>8.2619999999999987</v>
      </c>
      <c r="AT23" s="173" t="str">
        <f>IF(ISNUMBER(U23)=TRUE,AK23-U23,IF(U23="","",(AK23)-(MID(RIGHT(U23,10),4,2)&amp;"/"&amp;LEFT((RIGHT(U23,10)),2)&amp;"/"&amp;RIGHT(U23,4))))</f>
        <v/>
      </c>
      <c r="AU23" s="173">
        <v>355</v>
      </c>
      <c r="AW23" s="142" t="s">
        <v>123</v>
      </c>
    </row>
    <row r="24" spans="2:63" s="142" customFormat="1" ht="21" customHeight="1" x14ac:dyDescent="0.25">
      <c r="B24" s="173" t="str">
        <f>IF(C24="HOLD RM","HOLD RM",IF(C24="BAL","WIP",IF(C24="HOLD SLT","HOLD SLT",IF(C24="MILL","RM",IF(C24="RE SLT","WIP",IF(C24="RM","RM",IF(C24="RM BAL","RM",IF(C24="RM SLT","RM",IF(C24="RR","WIP",IF(C24="SKP","WIP",IF(C24="SLT","WIP",IF(C24="CTL","WIP",IF(C24="RM SLT RUST","RM SLT RUST",0)))))))))))))&amp;"-"&amp;G24&amp;"/"&amp;IF(H24="2B","2B",IF(H24="NO.1","1D",IF(H24="FH","FH",0)))&amp;"-"&amp;IF(J24="",(TEXT(I24,"0.00")),TEXT(J24,"0.00"))&amp;"X"&amp;M24</f>
        <v>RM-J2/1D-2.20X510</v>
      </c>
      <c r="C24" s="173" t="s">
        <v>48</v>
      </c>
      <c r="D24" s="173" t="s">
        <v>48</v>
      </c>
      <c r="E24" s="190" t="s">
        <v>269</v>
      </c>
      <c r="F24" s="190" t="s">
        <v>270</v>
      </c>
      <c r="G24" s="173" t="s">
        <v>33</v>
      </c>
      <c r="H24" s="173" t="s">
        <v>127</v>
      </c>
      <c r="I24" s="174">
        <v>2.2000000000000002</v>
      </c>
      <c r="J24" s="174"/>
      <c r="K24" s="174"/>
      <c r="L24" s="174"/>
      <c r="M24" s="191">
        <v>510</v>
      </c>
      <c r="N24" s="176">
        <v>8.1839999999999993</v>
      </c>
      <c r="O24" s="176"/>
      <c r="P24" s="177"/>
      <c r="Q24" s="178"/>
      <c r="R24" s="179"/>
      <c r="S24" s="179"/>
      <c r="T24" s="177"/>
      <c r="U24" s="177"/>
      <c r="V24" s="177"/>
      <c r="W24" s="177"/>
      <c r="X24" s="177"/>
      <c r="Y24" s="177"/>
      <c r="Z24" s="177"/>
      <c r="AA24" s="177"/>
      <c r="AB24" s="177"/>
      <c r="AC24" s="177"/>
      <c r="AD24" s="180"/>
      <c r="AE24" s="173" t="s">
        <v>69</v>
      </c>
      <c r="AF24" s="181" t="s">
        <v>248</v>
      </c>
      <c r="AG24" s="181" t="s">
        <v>266</v>
      </c>
      <c r="AH24" s="181">
        <v>44219</v>
      </c>
      <c r="AI24" s="181">
        <v>44243</v>
      </c>
      <c r="AJ24" s="181"/>
      <c r="AK24" s="181">
        <f ca="1">TODAY()</f>
        <v>44958</v>
      </c>
      <c r="AL24" s="173">
        <f ca="1">IF(AI24&lt;&gt;0,AK24-AI24,0)</f>
        <v>715</v>
      </c>
      <c r="AM24" s="173" t="str">
        <f>IF(ISNUMBER(X24)=TRUE,AK24-X24,IF(X24="","",(AK24)-(MID(RIGHT(X24,10),4,2)&amp;"/"&amp;LEFT((RIGHT(X24,10)),2)&amp;"/"&amp;RIGHT(X24,4))))</f>
        <v/>
      </c>
      <c r="AN24" s="181" t="s">
        <v>267</v>
      </c>
      <c r="AO24" s="190" t="s">
        <v>271</v>
      </c>
      <c r="AP24" s="176">
        <v>8.1839999999999993</v>
      </c>
      <c r="AQ24" s="176">
        <v>8.2240000000000002</v>
      </c>
      <c r="AR24" s="176">
        <v>8.2489999999999988</v>
      </c>
      <c r="AS24" s="176">
        <v>8.2539999999999996</v>
      </c>
      <c r="AT24" s="173" t="str">
        <f>IF(ISNUMBER(U24)=TRUE,AK24-U24,IF(U24="","",(AK24)-(MID(RIGHT(U24,10),4,2)&amp;"/"&amp;LEFT((RIGHT(U24,10)),2)&amp;"/"&amp;RIGHT(U24,4))))</f>
        <v/>
      </c>
      <c r="AU24" s="173">
        <v>355</v>
      </c>
      <c r="AW24" s="142" t="s">
        <v>123</v>
      </c>
    </row>
    <row r="25" spans="2:63" s="142" customFormat="1" ht="21" customHeight="1" x14ac:dyDescent="0.25">
      <c r="B25" s="173" t="str">
        <f>IF(C25="HOLD RM","HOLD RM",IF(C25="BAL","WIP",IF(C25="HOLD SLT","HOLD SLT",IF(C25="MILL","RM",IF(C25="RE SLT","WIP",IF(C25="RM","RM",IF(C25="RM BAL","RM",IF(C25="RM SLT","RM",IF(C25="RR","WIP",IF(C25="SKP","WIP",IF(C25="SLT","WIP",IF(C25="CTL","WIP",IF(C25="RM SLT RUST","RM SLT RUST",0)))))))))))))&amp;"-"&amp;G25&amp;"/"&amp;IF(H25="2B","2B",IF(H25="NO.1","1D",IF(H25="FH","FH",0)))&amp;"-"&amp;IF(J25="",(TEXT(I25,"0.00")),TEXT(J25,"0.00"))&amp;"X"&amp;M25</f>
        <v>RM-J2/1D-2.20X510</v>
      </c>
      <c r="C25" s="173" t="s">
        <v>48</v>
      </c>
      <c r="D25" s="173" t="s">
        <v>48</v>
      </c>
      <c r="E25" s="190" t="s">
        <v>272</v>
      </c>
      <c r="F25" s="190" t="s">
        <v>273</v>
      </c>
      <c r="G25" s="173" t="s">
        <v>33</v>
      </c>
      <c r="H25" s="173" t="s">
        <v>127</v>
      </c>
      <c r="I25" s="174">
        <v>2.2000000000000002</v>
      </c>
      <c r="J25" s="174"/>
      <c r="K25" s="174"/>
      <c r="L25" s="174"/>
      <c r="M25" s="191">
        <v>510</v>
      </c>
      <c r="N25" s="176">
        <v>8.2080000000000002</v>
      </c>
      <c r="O25" s="176"/>
      <c r="P25" s="177"/>
      <c r="Q25" s="178"/>
      <c r="R25" s="179"/>
      <c r="S25" s="179"/>
      <c r="T25" s="177"/>
      <c r="U25" s="177"/>
      <c r="V25" s="177"/>
      <c r="W25" s="177"/>
      <c r="X25" s="177"/>
      <c r="Y25" s="177"/>
      <c r="Z25" s="177"/>
      <c r="AA25" s="177"/>
      <c r="AB25" s="177"/>
      <c r="AC25" s="177"/>
      <c r="AD25" s="180"/>
      <c r="AE25" s="173" t="s">
        <v>69</v>
      </c>
      <c r="AF25" s="181" t="s">
        <v>248</v>
      </c>
      <c r="AG25" s="181" t="s">
        <v>266</v>
      </c>
      <c r="AH25" s="181">
        <v>44219</v>
      </c>
      <c r="AI25" s="181">
        <v>44243</v>
      </c>
      <c r="AJ25" s="181"/>
      <c r="AK25" s="181">
        <f ca="1">TODAY()</f>
        <v>44958</v>
      </c>
      <c r="AL25" s="173">
        <f ca="1">IF(AI25&lt;&gt;0,AK25-AI25,0)</f>
        <v>715</v>
      </c>
      <c r="AM25" s="173" t="str">
        <f>IF(ISNUMBER(X25)=TRUE,AK25-X25,IF(X25="","",(AK25)-(MID(RIGHT(X25,10),4,2)&amp;"/"&amp;LEFT((RIGHT(X25,10)),2)&amp;"/"&amp;RIGHT(X25,4))))</f>
        <v/>
      </c>
      <c r="AN25" s="181" t="s">
        <v>267</v>
      </c>
      <c r="AO25" s="190" t="s">
        <v>274</v>
      </c>
      <c r="AP25" s="176">
        <v>8.2080000000000002</v>
      </c>
      <c r="AQ25" s="176">
        <v>8.2479999999999993</v>
      </c>
      <c r="AR25" s="176">
        <v>8.2729999999999979</v>
      </c>
      <c r="AS25" s="176">
        <v>8.2779999999999987</v>
      </c>
      <c r="AT25" s="173" t="str">
        <f>IF(ISNUMBER(U25)=TRUE,AK25-U25,IF(U25="","",(AK25)-(MID(RIGHT(U25,10),4,2)&amp;"/"&amp;LEFT((RIGHT(U25,10)),2)&amp;"/"&amp;RIGHT(U25,4))))</f>
        <v/>
      </c>
      <c r="AU25" s="173">
        <v>355</v>
      </c>
      <c r="AW25" s="142" t="s">
        <v>123</v>
      </c>
    </row>
    <row r="26" spans="2:63" s="142" customFormat="1" ht="21" customHeight="1" x14ac:dyDescent="0.25">
      <c r="B26" s="173" t="str">
        <f>IF(C26="HOLD RM","HOLD RM",IF(C26="BAL","WIP",IF(C26="HOLD SLT","HOLD SLT",IF(C26="MILL","RM",IF(C26="RE SLT","WIP",IF(C26="RM","RM",IF(C26="RM BAL","RM",IF(C26="RM SLT","RM",IF(C26="RR","WIP",IF(C26="SKP","WIP",IF(C26="SLT","WIP",IF(C26="CTL","WIP",IF(C26="RM SLT RUST","RM SLT RUST",0)))))))))))))&amp;"-"&amp;G26&amp;"/"&amp;IF(H26="2B","2B",IF(H26="NO.1","1D",IF(H26="FH","FH",0)))&amp;"-"&amp;IF(J26="",(TEXT(I26,"0.00")),TEXT(J26,"0.00"))&amp;"X"&amp;M26</f>
        <v>RM-J2/1D-2.40X510</v>
      </c>
      <c r="C26" s="173" t="s">
        <v>48</v>
      </c>
      <c r="D26" s="173" t="s">
        <v>48</v>
      </c>
      <c r="E26" s="190" t="s">
        <v>275</v>
      </c>
      <c r="F26" s="190" t="s">
        <v>276</v>
      </c>
      <c r="G26" s="173" t="s">
        <v>33</v>
      </c>
      <c r="H26" s="173" t="s">
        <v>127</v>
      </c>
      <c r="I26" s="174">
        <v>2.4</v>
      </c>
      <c r="J26" s="174"/>
      <c r="K26" s="174"/>
      <c r="L26" s="174"/>
      <c r="M26" s="191">
        <v>510</v>
      </c>
      <c r="N26" s="176">
        <v>8.2460000000000004</v>
      </c>
      <c r="O26" s="176"/>
      <c r="P26" s="177"/>
      <c r="Q26" s="178"/>
      <c r="R26" s="179"/>
      <c r="S26" s="179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80"/>
      <c r="AE26" s="173" t="s">
        <v>69</v>
      </c>
      <c r="AF26" s="181" t="s">
        <v>248</v>
      </c>
      <c r="AG26" s="181" t="s">
        <v>266</v>
      </c>
      <c r="AH26" s="181">
        <v>44219</v>
      </c>
      <c r="AI26" s="181">
        <v>44243</v>
      </c>
      <c r="AJ26" s="181"/>
      <c r="AK26" s="181">
        <f ca="1">TODAY()</f>
        <v>44958</v>
      </c>
      <c r="AL26" s="173">
        <f ca="1">IF(AI26&lt;&gt;0,AK26-AI26,0)</f>
        <v>715</v>
      </c>
      <c r="AM26" s="173" t="str">
        <f>IF(ISNUMBER(X26)=TRUE,AK26-X26,IF(X26="","",(AK26)-(MID(RIGHT(X26,10),4,2)&amp;"/"&amp;LEFT((RIGHT(X26,10)),2)&amp;"/"&amp;RIGHT(X26,4))))</f>
        <v/>
      </c>
      <c r="AN26" s="181" t="s">
        <v>277</v>
      </c>
      <c r="AO26" s="190" t="s">
        <v>278</v>
      </c>
      <c r="AP26" s="176">
        <v>8.2460000000000004</v>
      </c>
      <c r="AQ26" s="176">
        <v>8.2859999999999996</v>
      </c>
      <c r="AR26" s="176">
        <v>8.3109999999999982</v>
      </c>
      <c r="AS26" s="176">
        <v>8.3159999999999989</v>
      </c>
      <c r="AT26" s="173" t="str">
        <f>IF(ISNUMBER(U26)=TRUE,AK26-U26,IF(U26="","",(AK26)-(MID(RIGHT(U26,10),4,2)&amp;"/"&amp;LEFT((RIGHT(U26,10)),2)&amp;"/"&amp;RIGHT(U26,4))))</f>
        <v/>
      </c>
      <c r="AU26" s="173">
        <v>355</v>
      </c>
      <c r="AW26" s="142" t="s">
        <v>123</v>
      </c>
    </row>
    <row r="27" spans="2:63" s="142" customFormat="1" ht="21" customHeight="1" x14ac:dyDescent="0.25">
      <c r="B27" s="173" t="str">
        <f>IF(C27="HOLD RM","HOLD RM",IF(C27="BAL","WIP",IF(C27="HOLD SLT","HOLD SLT",IF(C27="MILL","RM",IF(C27="RE SLT","WIP",IF(C27="RM","RM",IF(C27="RM BAL","RM",IF(C27="RM SLT","RM",IF(C27="RR","WIP",IF(C27="SKP","WIP",IF(C27="SLT","WIP",IF(C27="CTL","WIP",IF(C27="RM SLT RUST","RM SLT RUST",0)))))))))))))&amp;"-"&amp;G27&amp;"/"&amp;IF(H27="2B","2B",IF(H27="NO.1","1D",IF(H27="FH","FH",0)))&amp;"-"&amp;IF(J27="",(TEXT(I27,"0.00")),TEXT(J27,"0.00"))&amp;"X"&amp;M27</f>
        <v>RM-J2/1D-2.20X510</v>
      </c>
      <c r="C27" s="173" t="s">
        <v>48</v>
      </c>
      <c r="D27" s="173" t="s">
        <v>48</v>
      </c>
      <c r="E27" s="190" t="s">
        <v>279</v>
      </c>
      <c r="F27" s="190" t="s">
        <v>280</v>
      </c>
      <c r="G27" s="173" t="s">
        <v>33</v>
      </c>
      <c r="H27" s="173" t="s">
        <v>127</v>
      </c>
      <c r="I27" s="174">
        <v>2.2000000000000002</v>
      </c>
      <c r="J27" s="174"/>
      <c r="K27" s="174"/>
      <c r="L27" s="174"/>
      <c r="M27" s="191">
        <v>510</v>
      </c>
      <c r="N27" s="176">
        <v>8.2620000000000005</v>
      </c>
      <c r="O27" s="176"/>
      <c r="P27" s="177"/>
      <c r="Q27" s="178"/>
      <c r="R27" s="179"/>
      <c r="S27" s="179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80"/>
      <c r="AE27" s="173" t="s">
        <v>69</v>
      </c>
      <c r="AF27" s="181" t="s">
        <v>248</v>
      </c>
      <c r="AG27" s="181" t="s">
        <v>266</v>
      </c>
      <c r="AH27" s="181">
        <v>44219</v>
      </c>
      <c r="AI27" s="181">
        <v>44243</v>
      </c>
      <c r="AJ27" s="181"/>
      <c r="AK27" s="181">
        <f ca="1">TODAY()</f>
        <v>44958</v>
      </c>
      <c r="AL27" s="173">
        <f ca="1">IF(AI27&lt;&gt;0,AK27-AI27,0)</f>
        <v>715</v>
      </c>
      <c r="AM27" s="173" t="str">
        <f>IF(ISNUMBER(X27)=TRUE,AK27-X27,IF(X27="","",(AK27)-(MID(RIGHT(X27,10),4,2)&amp;"/"&amp;LEFT((RIGHT(X27,10)),2)&amp;"/"&amp;RIGHT(X27,4))))</f>
        <v/>
      </c>
      <c r="AN27" s="181" t="s">
        <v>277</v>
      </c>
      <c r="AO27" s="190" t="s">
        <v>281</v>
      </c>
      <c r="AP27" s="176">
        <v>8.2620000000000005</v>
      </c>
      <c r="AQ27" s="176">
        <v>8.3019999999999996</v>
      </c>
      <c r="AR27" s="176">
        <v>8.3269999999999982</v>
      </c>
      <c r="AS27" s="176">
        <v>8.331999999999999</v>
      </c>
      <c r="AT27" s="173" t="str">
        <f>IF(ISNUMBER(U27)=TRUE,AK27-U27,IF(U27="","",(AK27)-(MID(RIGHT(U27,10),4,2)&amp;"/"&amp;LEFT((RIGHT(U27,10)),2)&amp;"/"&amp;RIGHT(U27,4))))</f>
        <v/>
      </c>
      <c r="AU27" s="173">
        <v>355</v>
      </c>
      <c r="AW27" s="142" t="s">
        <v>123</v>
      </c>
    </row>
    <row r="28" spans="2:63" s="142" customFormat="1" ht="21" customHeight="1" x14ac:dyDescent="0.25">
      <c r="B28" s="173" t="str">
        <f>IF(C28="HOLD RM","HOLD RM",IF(C28="BAL","WIP",IF(C28="HOLD SLT","HOLD SLT",IF(C28="MILL","RM",IF(C28="RE SLT","WIP",IF(C28="RM","RM",IF(C28="RM BAL","RM",IF(C28="RM SLT","RM",IF(C28="RR","WIP",IF(C28="SKP","WIP",IF(C28="SLT","WIP",IF(C28="CTL","WIP",IF(C28="RM SLT RUST","RM SLT RUST",0)))))))))))))&amp;"-"&amp;G28&amp;"/"&amp;IF(H28="2B","2B",IF(H28="NO.1","1D",IF(H28="FH","FH",0)))&amp;"-"&amp;IF(J28="",(TEXT(I28,"0.00")),TEXT(J28,"0.00"))&amp;"X"&amp;M28</f>
        <v>RM-J2/1D-2.20X510</v>
      </c>
      <c r="C28" s="173" t="s">
        <v>48</v>
      </c>
      <c r="D28" s="173" t="s">
        <v>48</v>
      </c>
      <c r="E28" s="190" t="s">
        <v>282</v>
      </c>
      <c r="F28" s="190" t="s">
        <v>283</v>
      </c>
      <c r="G28" s="173" t="s">
        <v>33</v>
      </c>
      <c r="H28" s="173" t="s">
        <v>127</v>
      </c>
      <c r="I28" s="174">
        <v>2.2000000000000002</v>
      </c>
      <c r="J28" s="174"/>
      <c r="K28" s="174"/>
      <c r="L28" s="174"/>
      <c r="M28" s="191">
        <v>510</v>
      </c>
      <c r="N28" s="176">
        <v>8.1959999999999997</v>
      </c>
      <c r="O28" s="176"/>
      <c r="P28" s="177"/>
      <c r="Q28" s="178"/>
      <c r="R28" s="179"/>
      <c r="S28" s="179"/>
      <c r="T28" s="177"/>
      <c r="U28" s="177"/>
      <c r="V28" s="177"/>
      <c r="W28" s="177"/>
      <c r="X28" s="177"/>
      <c r="Y28" s="177"/>
      <c r="Z28" s="177"/>
      <c r="AA28" s="177"/>
      <c r="AB28" s="177"/>
      <c r="AC28" s="177"/>
      <c r="AD28" s="180"/>
      <c r="AE28" s="173" t="s">
        <v>69</v>
      </c>
      <c r="AF28" s="181" t="s">
        <v>248</v>
      </c>
      <c r="AG28" s="181" t="s">
        <v>266</v>
      </c>
      <c r="AH28" s="181">
        <v>44219</v>
      </c>
      <c r="AI28" s="181">
        <v>44243</v>
      </c>
      <c r="AJ28" s="181"/>
      <c r="AK28" s="181">
        <f ca="1">TODAY()</f>
        <v>44958</v>
      </c>
      <c r="AL28" s="173">
        <f ca="1">IF(AI28&lt;&gt;0,AK28-AI28,0)</f>
        <v>715</v>
      </c>
      <c r="AM28" s="173" t="str">
        <f>IF(ISNUMBER(X28)=TRUE,AK28-X28,IF(X28="","",(AK28)-(MID(RIGHT(X28,10),4,2)&amp;"/"&amp;LEFT((RIGHT(X28,10)),2)&amp;"/"&amp;RIGHT(X28,4))))</f>
        <v/>
      </c>
      <c r="AN28" s="181" t="s">
        <v>277</v>
      </c>
      <c r="AO28" s="190" t="s">
        <v>284</v>
      </c>
      <c r="AP28" s="176">
        <v>8.1959999999999997</v>
      </c>
      <c r="AQ28" s="176">
        <v>8.2360000000000007</v>
      </c>
      <c r="AR28" s="176">
        <v>8.2609999999999992</v>
      </c>
      <c r="AS28" s="176">
        <v>8.266</v>
      </c>
      <c r="AT28" s="173" t="str">
        <f>IF(ISNUMBER(U28)=TRUE,AK28-U28,IF(U28="","",(AK28)-(MID(RIGHT(U28,10),4,2)&amp;"/"&amp;LEFT((RIGHT(U28,10)),2)&amp;"/"&amp;RIGHT(U28,4))))</f>
        <v/>
      </c>
      <c r="AU28" s="173">
        <v>355</v>
      </c>
      <c r="AW28" s="142" t="s">
        <v>123</v>
      </c>
    </row>
    <row r="29" spans="2:63" s="142" customFormat="1" ht="21" customHeight="1" x14ac:dyDescent="0.25">
      <c r="B29" s="173" t="str">
        <f>IF(C29="HOLD RM","HOLD RM",IF(C29="BAL","WIP",IF(C29="HOLD SLT","HOLD SLT",IF(C29="MILL","RM",IF(C29="RE SLT","WIP",IF(C29="RM","RM",IF(C29="RM BAL","RM",IF(C29="RM SLT","RM",IF(C29="RR","WIP",IF(C29="SKP","WIP",IF(C29="SLT","WIP",IF(C29="CTL","WIP",IF(C29="RM SLT RUST","RM SLT RUST",0)))))))))))))&amp;"-"&amp;G29&amp;"/"&amp;IF(H29="2B","2B",IF(H29="NO.1","1D",IF(H29="FH","FH",0)))&amp;"-"&amp;IF(J29="",(TEXT(I29,"0.00")),TEXT(J29,"0.00"))&amp;"X"&amp;M29</f>
        <v>WIP-J3/FH-0.45X585</v>
      </c>
      <c r="C29" s="173" t="s">
        <v>16</v>
      </c>
      <c r="D29" s="173" t="s">
        <v>16</v>
      </c>
      <c r="E29" s="190" t="s">
        <v>285</v>
      </c>
      <c r="F29" s="190" t="s">
        <v>286</v>
      </c>
      <c r="G29" s="173" t="s">
        <v>34</v>
      </c>
      <c r="H29" s="173" t="s">
        <v>70</v>
      </c>
      <c r="I29" s="174">
        <v>0.65</v>
      </c>
      <c r="J29" s="174">
        <v>0.45</v>
      </c>
      <c r="K29" s="174"/>
      <c r="L29" s="174"/>
      <c r="M29" s="191">
        <v>585</v>
      </c>
      <c r="N29" s="176">
        <f>7.955-6.96</f>
        <v>0.99500000000000011</v>
      </c>
      <c r="O29" s="176" t="s">
        <v>114</v>
      </c>
      <c r="P29" s="177"/>
      <c r="Q29" s="178" t="s">
        <v>115</v>
      </c>
      <c r="R29" s="179" t="s">
        <v>149</v>
      </c>
      <c r="S29" s="179" t="s">
        <v>230</v>
      </c>
      <c r="T29" s="177" t="s">
        <v>287</v>
      </c>
      <c r="U29" s="177"/>
      <c r="V29" s="177" t="s">
        <v>287</v>
      </c>
      <c r="W29" s="177"/>
      <c r="X29" s="177">
        <v>44281</v>
      </c>
      <c r="Y29" s="177"/>
      <c r="Z29" s="177">
        <v>44281</v>
      </c>
      <c r="AA29" s="177"/>
      <c r="AB29" s="177"/>
      <c r="AC29" s="177"/>
      <c r="AD29" s="180"/>
      <c r="AE29" s="173" t="s">
        <v>69</v>
      </c>
      <c r="AF29" s="181" t="s">
        <v>248</v>
      </c>
      <c r="AG29" s="181" t="s">
        <v>288</v>
      </c>
      <c r="AH29" s="181">
        <v>44224</v>
      </c>
      <c r="AI29" s="181">
        <v>44247</v>
      </c>
      <c r="AJ29" s="181"/>
      <c r="AK29" s="181">
        <f ca="1">TODAY()</f>
        <v>44958</v>
      </c>
      <c r="AL29" s="173">
        <f ca="1">IF(AI29&lt;&gt;0,AK29-AI29,0)</f>
        <v>711</v>
      </c>
      <c r="AM29" s="173">
        <f ca="1">IF(ISNUMBER(X29)=TRUE,AK29-X29,IF(X29="","",(AK29)-(MID(RIGHT(X29,10),4,2)&amp;"/"&amp;LEFT((RIGHT(X29,10)),2)&amp;"/"&amp;RIGHT(X29,4))))</f>
        <v>677</v>
      </c>
      <c r="AN29" s="181" t="s">
        <v>289</v>
      </c>
      <c r="AO29" s="190" t="s">
        <v>290</v>
      </c>
      <c r="AP29" s="176">
        <v>8.23</v>
      </c>
      <c r="AQ29" s="176">
        <v>8.27</v>
      </c>
      <c r="AR29" s="176">
        <v>8.2949999999999982</v>
      </c>
      <c r="AS29" s="176">
        <v>8.2999999999999989</v>
      </c>
      <c r="AT29" s="173" t="str">
        <f>IF(ISNUMBER(U29)=TRUE,AK29-U29,IF(U29="","",(AK29)-(MID(RIGHT(U29,10),4,2)&amp;"/"&amp;LEFT((RIGHT(U29,10)),2)&amp;"/"&amp;RIGHT(U29,4))))</f>
        <v/>
      </c>
      <c r="AU29" s="173">
        <v>358</v>
      </c>
      <c r="AW29" s="142" t="s">
        <v>123</v>
      </c>
      <c r="BK29" s="182" t="s">
        <v>291</v>
      </c>
    </row>
    <row r="30" spans="2:63" s="142" customFormat="1" ht="21" customHeight="1" x14ac:dyDescent="0.25">
      <c r="B30" s="173" t="str">
        <f>IF(C30="HOLD RM","HOLD RM",IF(C30="BAL","WIP",IF(C30="HOLD SLT","HOLD SLT",IF(C30="MILL","RM",IF(C30="RE SLT","WIP",IF(C30="RM","RM",IF(C30="RM BAL","RM",IF(C30="RM SLT","RM",IF(C30="RR","WIP",IF(C30="SKP","WIP",IF(C30="SLT","WIP",IF(C30="CTL","WIP",IF(C30="RM SLT RUST","RM SLT RUST",0)))))))))))))&amp;"-"&amp;G30&amp;"/"&amp;IF(H30="2B","2B",IF(H30="NO.1","1D",IF(H30="FH","FH",0)))&amp;"-"&amp;IF(J30="",(TEXT(I30,"0.00")),TEXT(J30,"0.00"))&amp;"X"&amp;M30</f>
        <v>WIP-J3/FH-0.23X587</v>
      </c>
      <c r="C30" s="173" t="s">
        <v>16</v>
      </c>
      <c r="D30" s="173" t="s">
        <v>16</v>
      </c>
      <c r="E30" s="190" t="s">
        <v>292</v>
      </c>
      <c r="F30" s="190" t="s">
        <v>293</v>
      </c>
      <c r="G30" s="173" t="s">
        <v>34</v>
      </c>
      <c r="H30" s="173" t="s">
        <v>70</v>
      </c>
      <c r="I30" s="174">
        <v>0.38</v>
      </c>
      <c r="J30" s="174">
        <v>0.23</v>
      </c>
      <c r="K30" s="174"/>
      <c r="L30" s="174"/>
      <c r="M30" s="191">
        <v>587</v>
      </c>
      <c r="N30" s="176">
        <v>3.9</v>
      </c>
      <c r="O30" s="176" t="s">
        <v>114</v>
      </c>
      <c r="P30" s="177"/>
      <c r="Q30" s="179" t="s">
        <v>294</v>
      </c>
      <c r="R30" s="179" t="s">
        <v>295</v>
      </c>
      <c r="S30" s="179"/>
      <c r="T30" s="177">
        <v>44351</v>
      </c>
      <c r="U30" s="177"/>
      <c r="V30" s="177">
        <v>44351</v>
      </c>
      <c r="W30" s="177" t="s">
        <v>296</v>
      </c>
      <c r="X30" s="177" t="s">
        <v>297</v>
      </c>
      <c r="Y30" s="177"/>
      <c r="Z30" s="177" t="s">
        <v>298</v>
      </c>
      <c r="AA30" s="177"/>
      <c r="AB30" s="177"/>
      <c r="AC30" s="177"/>
      <c r="AD30" s="180"/>
      <c r="AE30" s="173" t="s">
        <v>69</v>
      </c>
      <c r="AF30" s="181" t="s">
        <v>248</v>
      </c>
      <c r="AG30" s="181"/>
      <c r="AH30" s="181"/>
      <c r="AI30" s="181">
        <v>44301</v>
      </c>
      <c r="AJ30" s="181"/>
      <c r="AK30" s="181">
        <f ca="1">TODAY()</f>
        <v>44958</v>
      </c>
      <c r="AL30" s="173">
        <f ca="1">IF(AI30&lt;&gt;0,AK30-AI30,0)</f>
        <v>657</v>
      </c>
      <c r="AM30" s="173">
        <f ca="1">IF(ISNUMBER(X30)=TRUE,AK30-X30,IF(X30="","",(AK30)-(MID(RIGHT(X30,10),4,2)&amp;"/"&amp;LEFT((RIGHT(X30,10)),2)&amp;"/"&amp;RIGHT(X30,4))))</f>
        <v>83</v>
      </c>
      <c r="AN30" s="181" t="s">
        <v>299</v>
      </c>
      <c r="AO30" s="190" t="s">
        <v>300</v>
      </c>
      <c r="AP30" s="176">
        <v>8.2080000000000002</v>
      </c>
      <c r="AQ30" s="176">
        <v>8.2479999999999993</v>
      </c>
      <c r="AR30" s="176">
        <v>8.2729999999999979</v>
      </c>
      <c r="AS30" s="176">
        <v>8.2779999999999987</v>
      </c>
      <c r="AT30" s="173" t="str">
        <f>IF(ISNUMBER(U30)=TRUE,AK30-U30,IF(U30="","",(AK30)-(MID(RIGHT(U30,10),4,2)&amp;"/"&amp;LEFT((RIGHT(U30,10)),2)&amp;"/"&amp;RIGHT(U30,4))))</f>
        <v/>
      </c>
      <c r="AU30" s="173">
        <v>376</v>
      </c>
      <c r="AW30" s="142" t="s">
        <v>123</v>
      </c>
      <c r="BK30" s="182" t="s">
        <v>301</v>
      </c>
    </row>
    <row r="31" spans="2:63" s="142" customFormat="1" ht="21" customHeight="1" x14ac:dyDescent="0.25">
      <c r="B31" s="173" t="str">
        <f>IF(C31="HOLD RM","HOLD RM",IF(C31="BAL","WIP",IF(C31="HOLD SLT","HOLD SLT",IF(C31="MILL","RM",IF(C31="RE SLT","WIP",IF(C31="RM","RM",IF(C31="RM BAL","RM",IF(C31="RM SLT","RM",IF(C31="RR","WIP",IF(C31="SKP","WIP",IF(C31="SLT","WIP",IF(C31="CTL","WIP",IF(C31="RM SLT RUST","RM SLT RUST",0)))))))))))))&amp;"-"&amp;G31&amp;"/"&amp;IF(H31="2B","2B",IF(H31="NO.1","1D",IF(H31="FH","FH",0)))&amp;"-"&amp;IF(J31="",(TEXT(I31,"0.00")),TEXT(J31,"0.00"))&amp;"X"&amp;M31</f>
        <v>WIP-J3/FH-0.20X585</v>
      </c>
      <c r="C31" s="173" t="s">
        <v>16</v>
      </c>
      <c r="D31" s="173" t="s">
        <v>16</v>
      </c>
      <c r="E31" s="190" t="s">
        <v>302</v>
      </c>
      <c r="F31" s="190" t="s">
        <v>303</v>
      </c>
      <c r="G31" s="173" t="s">
        <v>34</v>
      </c>
      <c r="H31" s="173" t="s">
        <v>70</v>
      </c>
      <c r="I31" s="174">
        <v>0.3</v>
      </c>
      <c r="J31" s="174">
        <v>0.2</v>
      </c>
      <c r="K31" s="174"/>
      <c r="L31" s="174"/>
      <c r="M31" s="191">
        <v>585</v>
      </c>
      <c r="N31" s="176">
        <v>1.65</v>
      </c>
      <c r="O31" s="176" t="s">
        <v>114</v>
      </c>
      <c r="P31" s="177"/>
      <c r="Q31" s="179" t="s">
        <v>294</v>
      </c>
      <c r="R31" s="178" t="s">
        <v>304</v>
      </c>
      <c r="S31" s="179"/>
      <c r="T31" s="177" t="s">
        <v>305</v>
      </c>
      <c r="U31" s="177"/>
      <c r="V31" s="177" t="s">
        <v>306</v>
      </c>
      <c r="W31" s="177">
        <v>44876</v>
      </c>
      <c r="X31" s="177" t="s">
        <v>307</v>
      </c>
      <c r="Y31" s="177"/>
      <c r="Z31" s="177" t="s">
        <v>308</v>
      </c>
      <c r="AA31" s="177"/>
      <c r="AB31" s="177"/>
      <c r="AC31" s="177"/>
      <c r="AD31" s="180"/>
      <c r="AE31" s="173" t="s">
        <v>69</v>
      </c>
      <c r="AF31" s="181" t="s">
        <v>248</v>
      </c>
      <c r="AG31" s="181"/>
      <c r="AH31" s="181"/>
      <c r="AI31" s="181">
        <v>44301</v>
      </c>
      <c r="AJ31" s="181"/>
      <c r="AK31" s="181">
        <f ca="1">TODAY()</f>
        <v>44958</v>
      </c>
      <c r="AL31" s="173">
        <f ca="1">IF(AI31&lt;&gt;0,AK31-AI31,0)</f>
        <v>657</v>
      </c>
      <c r="AM31" s="173">
        <f ca="1">IF(ISNUMBER(X31)=TRUE,AK31-X31,IF(X31="","",(AK31)-(MID(RIGHT(X31,10),4,2)&amp;"/"&amp;LEFT((RIGHT(X31,10)),2)&amp;"/"&amp;RIGHT(X31,4))))</f>
        <v>412</v>
      </c>
      <c r="AN31" s="181" t="s">
        <v>309</v>
      </c>
      <c r="AO31" s="190" t="s">
        <v>310</v>
      </c>
      <c r="AP31" s="176">
        <v>8.1959999999999997</v>
      </c>
      <c r="AQ31" s="176">
        <v>8.2359999999999989</v>
      </c>
      <c r="AR31" s="176">
        <v>8.2609999999999975</v>
      </c>
      <c r="AS31" s="176">
        <v>8.2659999999999982</v>
      </c>
      <c r="AT31" s="173" t="str">
        <f>IF(ISNUMBER(U31)=TRUE,AK31-U31,IF(U31="","",(AK31)-(MID(RIGHT(U31,10),4,2)&amp;"/"&amp;LEFT((RIGHT(U31,10)),2)&amp;"/"&amp;RIGHT(U31,4))))</f>
        <v/>
      </c>
      <c r="AU31" s="173">
        <v>376</v>
      </c>
      <c r="AW31" s="142" t="s">
        <v>123</v>
      </c>
      <c r="BK31" s="182" t="s">
        <v>311</v>
      </c>
    </row>
    <row r="32" spans="2:63" s="142" customFormat="1" ht="21" customHeight="1" x14ac:dyDescent="0.25">
      <c r="B32" s="173" t="str">
        <f>IF(C32="HOLD RM","HOLD RM",IF(C32="BAL","WIP",IF(C32="HOLD SLT","HOLD SLT",IF(C32="MILL","RM",IF(C32="RE SLT","WIP",IF(C32="RM","RM",IF(C32="RM BAL","RM",IF(C32="RM SLT","RM",IF(C32="RR","WIP",IF(C32="SKP","WIP",IF(C32="SLT","WIP",IF(C32="CTL","WIP",IF(C32="RM SLT RUST","RM SLT RUST",0)))))))))))))&amp;"-"&amp;G32&amp;"/"&amp;IF(H32="2B","2B",IF(H32="NO.1","1D",IF(H32="FH","FH",0)))&amp;"-"&amp;IF(J32="",(TEXT(I32,"0.00")),TEXT(J32,"0.00"))&amp;"X"&amp;M32</f>
        <v>HOLD SLT-301/2B-1.00X625</v>
      </c>
      <c r="C32" s="173" t="s">
        <v>68</v>
      </c>
      <c r="D32" s="173" t="s">
        <v>68</v>
      </c>
      <c r="E32" s="190" t="s">
        <v>312</v>
      </c>
      <c r="F32" s="190" t="s">
        <v>313</v>
      </c>
      <c r="G32" s="173">
        <v>301</v>
      </c>
      <c r="H32" s="173" t="s">
        <v>114</v>
      </c>
      <c r="I32" s="174">
        <v>2.5</v>
      </c>
      <c r="J32" s="174">
        <v>1</v>
      </c>
      <c r="K32" s="174">
        <v>0.98</v>
      </c>
      <c r="L32" s="174">
        <v>1</v>
      </c>
      <c r="M32" s="191">
        <v>625</v>
      </c>
      <c r="N32" s="176">
        <v>10.81</v>
      </c>
      <c r="O32" s="176" t="s">
        <v>114</v>
      </c>
      <c r="P32" s="177"/>
      <c r="Q32" s="178" t="s">
        <v>314</v>
      </c>
      <c r="R32" s="178" t="s">
        <v>315</v>
      </c>
      <c r="S32" s="179" t="s">
        <v>316</v>
      </c>
      <c r="T32" s="177">
        <v>44658</v>
      </c>
      <c r="U32" s="177"/>
      <c r="V32" s="177">
        <v>44658</v>
      </c>
      <c r="W32" s="177"/>
      <c r="X32" s="177">
        <v>44661</v>
      </c>
      <c r="Y32" s="177"/>
      <c r="Z32" s="177">
        <v>44662</v>
      </c>
      <c r="AA32" s="177"/>
      <c r="AB32" s="177"/>
      <c r="AC32" s="177"/>
      <c r="AD32" s="180"/>
      <c r="AE32" s="173" t="s">
        <v>69</v>
      </c>
      <c r="AF32" s="181" t="s">
        <v>119</v>
      </c>
      <c r="AG32" s="181" t="s">
        <v>317</v>
      </c>
      <c r="AH32" s="181">
        <v>44308</v>
      </c>
      <c r="AI32" s="181">
        <v>44327</v>
      </c>
      <c r="AJ32" s="181"/>
      <c r="AK32" s="181">
        <f ca="1">TODAY()</f>
        <v>44958</v>
      </c>
      <c r="AL32" s="173">
        <f ca="1">IF(AI32&lt;&gt;0,AK32-AI32,0)</f>
        <v>631</v>
      </c>
      <c r="AM32" s="173">
        <f ca="1">IF(ISNUMBER(X32)=TRUE,AK32-X32,IF(X32="","",(AK32)-(MID(RIGHT(X32,10),4,2)&amp;"/"&amp;LEFT((RIGHT(X32,10)),2)&amp;"/"&amp;RIGHT(X32,4))))</f>
        <v>297</v>
      </c>
      <c r="AN32" s="181" t="s">
        <v>318</v>
      </c>
      <c r="AO32" s="190" t="s">
        <v>319</v>
      </c>
      <c r="AP32" s="176">
        <v>10.86</v>
      </c>
      <c r="AQ32" s="176">
        <v>10.875</v>
      </c>
      <c r="AR32" s="176">
        <v>10.899999999999999</v>
      </c>
      <c r="AS32" s="176">
        <v>10.904999999999999</v>
      </c>
      <c r="AT32" s="173" t="str">
        <f>IF(ISNUMBER(U32)=TRUE,AK32-U32,IF(U32="","",(AK32)-(MID(RIGHT(U32,10),4,2)&amp;"/"&amp;LEFT((RIGHT(U32,10)),2)&amp;"/"&amp;RIGHT(U32,4))))</f>
        <v/>
      </c>
      <c r="AU32" s="173">
        <v>387</v>
      </c>
      <c r="AW32" s="142" t="s">
        <v>123</v>
      </c>
    </row>
    <row r="33" spans="2:63" s="142" customFormat="1" ht="21" customHeight="1" x14ac:dyDescent="0.25">
      <c r="B33" s="173" t="str">
        <f>IF(C33="HOLD RM","HOLD RM",IF(C33="BAL","WIP",IF(C33="HOLD SLT","HOLD SLT",IF(C33="MILL","RM",IF(C33="RE SLT","WIP",IF(C33="RM","RM",IF(C33="RM BAL","RM",IF(C33="RM SLT","RM",IF(C33="RR","WIP",IF(C33="SKP","WIP",IF(C33="SLT","WIP",IF(C33="CTL","WIP",IF(C33="RM SLT RUST","RM SLT RUST",0)))))))))))))&amp;"-"&amp;G33&amp;"/"&amp;IF(H33="2B","2B",IF(H33="NO.1","1D",IF(H33="FH","FH",0)))&amp;"-"&amp;IF(J33="",(TEXT(I33,"0.00")),TEXT(J33,"0.00"))&amp;"X"&amp;M33</f>
        <v>HOLD SLT-J3/2B-0.39X590</v>
      </c>
      <c r="C33" s="173" t="s">
        <v>68</v>
      </c>
      <c r="D33" s="173" t="s">
        <v>68</v>
      </c>
      <c r="E33" s="190" t="s">
        <v>320</v>
      </c>
      <c r="F33" s="190" t="s">
        <v>321</v>
      </c>
      <c r="G33" s="173" t="s">
        <v>34</v>
      </c>
      <c r="H33" s="173" t="s">
        <v>114</v>
      </c>
      <c r="I33" s="174">
        <v>0.65</v>
      </c>
      <c r="J33" s="174">
        <v>0.39</v>
      </c>
      <c r="K33" s="174">
        <v>0.39</v>
      </c>
      <c r="L33" s="174">
        <v>0.4</v>
      </c>
      <c r="M33" s="191">
        <v>590</v>
      </c>
      <c r="N33" s="176">
        <v>8.06</v>
      </c>
      <c r="O33" s="176" t="s">
        <v>114</v>
      </c>
      <c r="P33" s="177"/>
      <c r="Q33" s="178" t="s">
        <v>115</v>
      </c>
      <c r="R33" s="179"/>
      <c r="S33" s="179" t="s">
        <v>322</v>
      </c>
      <c r="T33" s="177" t="s">
        <v>323</v>
      </c>
      <c r="U33" s="177"/>
      <c r="V33" s="177" t="s">
        <v>324</v>
      </c>
      <c r="W33" s="177"/>
      <c r="X33" s="177" t="s">
        <v>325</v>
      </c>
      <c r="Y33" s="177"/>
      <c r="Z33" s="177">
        <v>44377</v>
      </c>
      <c r="AA33" s="177"/>
      <c r="AB33" s="177"/>
      <c r="AC33" s="177"/>
      <c r="AD33" s="180"/>
      <c r="AE33" s="173" t="s">
        <v>69</v>
      </c>
      <c r="AF33" s="181" t="s">
        <v>119</v>
      </c>
      <c r="AG33" s="181" t="s">
        <v>326</v>
      </c>
      <c r="AH33" s="181">
        <v>44304</v>
      </c>
      <c r="AI33" s="181">
        <v>44327</v>
      </c>
      <c r="AJ33" s="181"/>
      <c r="AK33" s="181">
        <f ca="1">TODAY()</f>
        <v>44958</v>
      </c>
      <c r="AL33" s="173">
        <f ca="1">IF(AI33&lt;&gt;0,AK33-AI33,0)</f>
        <v>631</v>
      </c>
      <c r="AM33" s="173">
        <f ca="1">IF(ISNUMBER(X33)=TRUE,AK33-X33,IF(X33="","",(AK33)-(MID(RIGHT(X33,10),4,2)&amp;"/"&amp;LEFT((RIGHT(X33,10)),2)&amp;"/"&amp;RIGHT(X33,4))))</f>
        <v>238</v>
      </c>
      <c r="AN33" s="181"/>
      <c r="AO33" s="190" t="s">
        <v>327</v>
      </c>
      <c r="AP33" s="176">
        <v>8.2070000000000007</v>
      </c>
      <c r="AQ33" s="176">
        <v>8.2220000000000013</v>
      </c>
      <c r="AR33" s="176">
        <v>8.2469999999999999</v>
      </c>
      <c r="AS33" s="176">
        <v>8.2520000000000007</v>
      </c>
      <c r="AT33" s="173" t="str">
        <f>IF(ISNUMBER(U33)=TRUE,AK33-U33,IF(U33="","",(AK33)-(MID(RIGHT(U33,10),4,2)&amp;"/"&amp;LEFT((RIGHT(U33,10)),2)&amp;"/"&amp;RIGHT(U33,4))))</f>
        <v/>
      </c>
      <c r="AU33" s="173">
        <v>388</v>
      </c>
      <c r="AW33" s="142" t="s">
        <v>123</v>
      </c>
      <c r="BK33" s="182" t="s">
        <v>328</v>
      </c>
    </row>
    <row r="34" spans="2:63" s="142" customFormat="1" ht="21" customHeight="1" x14ac:dyDescent="0.25">
      <c r="B34" s="173" t="str">
        <f>IF(C34="HOLD RM","HOLD RM",IF(C34="BAL","WIP",IF(C34="HOLD SLT","HOLD SLT",IF(C34="MILL","RM",IF(C34="RE SLT","WIP",IF(C34="RM","RM",IF(C34="RM BAL","RM",IF(C34="RM SLT","RM",IF(C34="RR","WIP",IF(C34="SKP","WIP",IF(C34="SLT","WIP",IF(C34="CTL","WIP",IF(C34="RM SLT RUST","RM SLT RUST",0)))))))))))))&amp;"-"&amp;G34&amp;"/"&amp;IF(H34="2B","2B",IF(H34="NO.1","1D",IF(H34="FH","FH",0)))&amp;"-"&amp;IF(J34="",(TEXT(I34,"0.00")),TEXT(J34,"0.00"))&amp;"X"&amp;M34</f>
        <v>RM-J3/1D-2.40X595</v>
      </c>
      <c r="C34" s="173" t="s">
        <v>48</v>
      </c>
      <c r="D34" s="173" t="s">
        <v>48</v>
      </c>
      <c r="E34" s="190" t="s">
        <v>329</v>
      </c>
      <c r="F34" s="190" t="s">
        <v>330</v>
      </c>
      <c r="G34" s="173" t="s">
        <v>34</v>
      </c>
      <c r="H34" s="173" t="s">
        <v>127</v>
      </c>
      <c r="I34" s="174">
        <v>2.4</v>
      </c>
      <c r="J34" s="174"/>
      <c r="K34" s="174"/>
      <c r="L34" s="174"/>
      <c r="M34" s="191">
        <v>595</v>
      </c>
      <c r="N34" s="176">
        <v>8.2230000000000008</v>
      </c>
      <c r="O34" s="176"/>
      <c r="P34" s="177"/>
      <c r="Q34" s="178"/>
      <c r="R34" s="179"/>
      <c r="S34" s="179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80"/>
      <c r="AE34" s="173" t="s">
        <v>69</v>
      </c>
      <c r="AF34" s="181" t="s">
        <v>119</v>
      </c>
      <c r="AG34" s="181" t="s">
        <v>331</v>
      </c>
      <c r="AH34" s="181">
        <v>44303</v>
      </c>
      <c r="AI34" s="181">
        <v>44327</v>
      </c>
      <c r="AJ34" s="181"/>
      <c r="AK34" s="181">
        <f ca="1">TODAY()</f>
        <v>44958</v>
      </c>
      <c r="AL34" s="173">
        <f ca="1">IF(AI34&lt;&gt;0,AK34-AI34,0)</f>
        <v>631</v>
      </c>
      <c r="AM34" s="173" t="str">
        <f>IF(ISNUMBER(X34)=TRUE,AK34-X34,IF(X34="","",(AK34)-(MID(RIGHT(X34,10),4,2)&amp;"/"&amp;LEFT((RIGHT(X34,10)),2)&amp;"/"&amp;RIGHT(X34,4))))</f>
        <v/>
      </c>
      <c r="AN34" s="181" t="s">
        <v>332</v>
      </c>
      <c r="AO34" s="190" t="s">
        <v>333</v>
      </c>
      <c r="AP34" s="176">
        <v>8.2230000000000008</v>
      </c>
      <c r="AQ34" s="176">
        <v>8.2380000000000013</v>
      </c>
      <c r="AR34" s="176">
        <v>8.2629999999999999</v>
      </c>
      <c r="AS34" s="176">
        <v>8.2680000000000007</v>
      </c>
      <c r="AT34" s="173" t="str">
        <f>IF(ISNUMBER(U34)=TRUE,AK34-U34,IF(U34="","",(AK34)-(MID(RIGHT(U34,10),4,2)&amp;"/"&amp;LEFT((RIGHT(U34,10)),2)&amp;"/"&amp;RIGHT(U34,4))))</f>
        <v/>
      </c>
      <c r="AU34" s="173">
        <v>389</v>
      </c>
      <c r="AW34" s="142" t="s">
        <v>123</v>
      </c>
    </row>
    <row r="35" spans="2:63" s="142" customFormat="1" ht="21" customHeight="1" x14ac:dyDescent="0.25">
      <c r="B35" s="173" t="str">
        <f>IF(C35="HOLD RM","HOLD RM",IF(C35="BAL","WIP",IF(C35="HOLD SLT","HOLD SLT",IF(C35="MILL","RM",IF(C35="RE SLT","WIP",IF(C35="RM","RM",IF(C35="RM BAL","RM",IF(C35="RM SLT","RM",IF(C35="RR","WIP",IF(C35="SKP","WIP",IF(C35="SLT","WIP",IF(C35="CTL","WIP",IF(C35="RM SLT RUST","RM SLT RUST",0)))))))))))))&amp;"-"&amp;G35&amp;"/"&amp;IF(H35="2B","2B",IF(H35="NO.1","1D",IF(H35="FH","FH",0)))&amp;"-"&amp;IF(J35="",(TEXT(I35,"0.00")),TEXT(J35,"0.00"))&amp;"X"&amp;M35</f>
        <v>WIP-J3/FH-0.38X587</v>
      </c>
      <c r="C35" s="173" t="s">
        <v>16</v>
      </c>
      <c r="D35" s="173" t="s">
        <v>16</v>
      </c>
      <c r="E35" s="190" t="s">
        <v>334</v>
      </c>
      <c r="F35" s="190" t="s">
        <v>335</v>
      </c>
      <c r="G35" s="173" t="s">
        <v>34</v>
      </c>
      <c r="H35" s="173" t="s">
        <v>70</v>
      </c>
      <c r="I35" s="174">
        <v>0.71</v>
      </c>
      <c r="J35" s="174">
        <v>0.38</v>
      </c>
      <c r="K35" s="174"/>
      <c r="L35" s="174"/>
      <c r="M35" s="191">
        <v>587</v>
      </c>
      <c r="N35" s="176">
        <v>4.0999999999999996</v>
      </c>
      <c r="O35" s="176" t="s">
        <v>114</v>
      </c>
      <c r="P35" s="177"/>
      <c r="Q35" s="179" t="s">
        <v>294</v>
      </c>
      <c r="R35" s="178" t="s">
        <v>216</v>
      </c>
      <c r="S35" s="179"/>
      <c r="T35" s="177" t="s">
        <v>336</v>
      </c>
      <c r="U35" s="177">
        <v>44853</v>
      </c>
      <c r="V35" s="177">
        <v>44427</v>
      </c>
      <c r="W35" s="177" t="s">
        <v>337</v>
      </c>
      <c r="X35" s="177" t="s">
        <v>338</v>
      </c>
      <c r="Y35" s="177"/>
      <c r="Z35" s="177">
        <v>44873</v>
      </c>
      <c r="AA35" s="177"/>
      <c r="AB35" s="177"/>
      <c r="AC35" s="177"/>
      <c r="AD35" s="180"/>
      <c r="AE35" s="173" t="s">
        <v>69</v>
      </c>
      <c r="AF35" s="181" t="s">
        <v>119</v>
      </c>
      <c r="AG35" s="181" t="s">
        <v>331</v>
      </c>
      <c r="AH35" s="181">
        <v>44303</v>
      </c>
      <c r="AI35" s="181">
        <v>44327</v>
      </c>
      <c r="AJ35" s="181"/>
      <c r="AK35" s="181">
        <f ca="1">TODAY()</f>
        <v>44958</v>
      </c>
      <c r="AL35" s="173">
        <f ca="1">IF(AI35&lt;&gt;0,AK35-AI35,0)</f>
        <v>631</v>
      </c>
      <c r="AM35" s="173">
        <f ca="1">IF(ISNUMBER(X35)=TRUE,AK35-X35,IF(X35="","",(AK35)-(MID(RIGHT(X35,10),4,2)&amp;"/"&amp;LEFT((RIGHT(X35,10)),2)&amp;"/"&amp;RIGHT(X35,4))))</f>
        <v>86</v>
      </c>
      <c r="AN35" s="181" t="s">
        <v>339</v>
      </c>
      <c r="AO35" s="190" t="s">
        <v>340</v>
      </c>
      <c r="AP35" s="176">
        <v>8.1869999999999994</v>
      </c>
      <c r="AQ35" s="176">
        <v>8.202</v>
      </c>
      <c r="AR35" s="176">
        <v>8.2269999999999985</v>
      </c>
      <c r="AS35" s="176">
        <v>8.2319999999999993</v>
      </c>
      <c r="AT35" s="173">
        <f ca="1">IF(ISNUMBER(U35)=TRUE,AK35-U35,IF(U35="","",(AK35)-(MID(RIGHT(U35,10),4,2)&amp;"/"&amp;LEFT((RIGHT(U35,10)),2)&amp;"/"&amp;RIGHT(U35,4))))</f>
        <v>105</v>
      </c>
      <c r="AU35" s="173">
        <v>389</v>
      </c>
      <c r="AW35" s="142" t="s">
        <v>123</v>
      </c>
      <c r="BK35" s="182" t="s">
        <v>237</v>
      </c>
    </row>
    <row r="36" spans="2:63" s="142" customFormat="1" ht="21" customHeight="1" x14ac:dyDescent="0.25">
      <c r="B36" s="173" t="str">
        <f>IF(C36="HOLD RM","HOLD RM",IF(C36="BAL","WIP",IF(C36="HOLD SLT","HOLD SLT",IF(C36="MILL","RM",IF(C36="RE SLT","WIP",IF(C36="RM","RM",IF(C36="RM BAL","RM",IF(C36="RM SLT","RM",IF(C36="RR","WIP",IF(C36="SKP","WIP",IF(C36="SLT","WIP",IF(C36="CTL","WIP",IF(C36="RM SLT RUST","RM SLT RUST",0)))))))))))))&amp;"-"&amp;G36&amp;"/"&amp;IF(H36="2B","2B",IF(H36="NO.1","1D",IF(H36="FH","FH",0)))&amp;"-"&amp;IF(J36="",(TEXT(I36,"0.00")),TEXT(J36,"0.00"))&amp;"X"&amp;M36</f>
        <v>WIP-J3/2B-0.98X595</v>
      </c>
      <c r="C36" s="173" t="s">
        <v>18</v>
      </c>
      <c r="D36" s="173" t="s">
        <v>146</v>
      </c>
      <c r="E36" s="190" t="s">
        <v>341</v>
      </c>
      <c r="F36" s="190" t="s">
        <v>342</v>
      </c>
      <c r="G36" s="173" t="s">
        <v>34</v>
      </c>
      <c r="H36" s="173" t="s">
        <v>114</v>
      </c>
      <c r="I36" s="174">
        <v>2.4</v>
      </c>
      <c r="J36" s="174">
        <v>0.98</v>
      </c>
      <c r="K36" s="174">
        <v>1.01</v>
      </c>
      <c r="L36" s="174">
        <v>1.02</v>
      </c>
      <c r="M36" s="191">
        <v>595</v>
      </c>
      <c r="N36" s="176">
        <v>8.17</v>
      </c>
      <c r="O36" s="176" t="s">
        <v>114</v>
      </c>
      <c r="P36" s="177"/>
      <c r="Q36" s="178" t="s">
        <v>115</v>
      </c>
      <c r="R36" s="178" t="s">
        <v>343</v>
      </c>
      <c r="S36" s="179" t="s">
        <v>344</v>
      </c>
      <c r="T36" s="177">
        <v>44546</v>
      </c>
      <c r="U36" s="177"/>
      <c r="V36" s="177">
        <v>44546</v>
      </c>
      <c r="W36" s="177"/>
      <c r="X36" s="177">
        <v>44552</v>
      </c>
      <c r="Y36" s="177"/>
      <c r="Z36" s="177"/>
      <c r="AA36" s="177"/>
      <c r="AB36" s="177"/>
      <c r="AC36" s="177"/>
      <c r="AD36" s="180"/>
      <c r="AE36" s="173" t="s">
        <v>69</v>
      </c>
      <c r="AF36" s="181" t="s">
        <v>248</v>
      </c>
      <c r="AG36" s="181"/>
      <c r="AH36" s="181"/>
      <c r="AI36" s="181">
        <v>44335</v>
      </c>
      <c r="AJ36" s="181"/>
      <c r="AK36" s="181">
        <f ca="1">TODAY()</f>
        <v>44958</v>
      </c>
      <c r="AL36" s="173">
        <f ca="1">IF(AI36&lt;&gt;0,AK36-AI36,0)</f>
        <v>623</v>
      </c>
      <c r="AM36" s="173">
        <f ca="1">IF(ISNUMBER(X36)=TRUE,AK36-X36,IF(X36="","",(AK36)-(MID(RIGHT(X36,10),4,2)&amp;"/"&amp;LEFT((RIGHT(X36,10)),2)&amp;"/"&amp;RIGHT(X36,4))))</f>
        <v>406</v>
      </c>
      <c r="AN36" s="181" t="s">
        <v>345</v>
      </c>
      <c r="AO36" s="190" t="s">
        <v>346</v>
      </c>
      <c r="AP36" s="176">
        <v>8.2430000000000003</v>
      </c>
      <c r="AQ36" s="176">
        <v>8.2829999999999995</v>
      </c>
      <c r="AR36" s="176">
        <v>8.3079999999999981</v>
      </c>
      <c r="AS36" s="176">
        <v>8.3129999999999988</v>
      </c>
      <c r="AT36" s="173" t="str">
        <f>IF(ISNUMBER(U36)=TRUE,AK36-U36,IF(U36="","",(AK36)-(MID(RIGHT(U36,10),4,2)&amp;"/"&amp;LEFT((RIGHT(U36,10)),2)&amp;"/"&amp;RIGHT(U36,4))))</f>
        <v/>
      </c>
      <c r="AU36" s="173">
        <v>391</v>
      </c>
      <c r="AW36" s="142" t="s">
        <v>123</v>
      </c>
    </row>
    <row r="37" spans="2:63" s="142" customFormat="1" ht="21" customHeight="1" x14ac:dyDescent="0.25">
      <c r="B37" s="173" t="str">
        <f>IF(C37="HOLD RM","HOLD RM",IF(C37="BAL","WIP",IF(C37="HOLD SLT","HOLD SLT",IF(C37="MILL","RM",IF(C37="RE SLT","WIP",IF(C37="RM","RM",IF(C37="RM BAL","RM",IF(C37="RM SLT","RM",IF(C37="RR","WIP",IF(C37="SKP","WIP",IF(C37="SLT","WIP",IF(C37="CTL","WIP",IF(C37="RM SLT RUST","RM SLT RUST",0)))))))))))))&amp;"-"&amp;G37&amp;"/"&amp;IF(H37="2B","2B",IF(H37="NO.1","1D",IF(H37="FH","FH",0)))&amp;"-"&amp;IF(J37="",(TEXT(I37,"0.00")),TEXT(J37,"0.00"))&amp;"X"&amp;M37</f>
        <v>RM-J3/1D-2.40X600</v>
      </c>
      <c r="C37" s="173" t="s">
        <v>48</v>
      </c>
      <c r="D37" s="173" t="s">
        <v>48</v>
      </c>
      <c r="E37" s="190" t="s">
        <v>347</v>
      </c>
      <c r="F37" s="190" t="s">
        <v>348</v>
      </c>
      <c r="G37" s="173" t="s">
        <v>34</v>
      </c>
      <c r="H37" s="173" t="s">
        <v>127</v>
      </c>
      <c r="I37" s="174">
        <v>2.4</v>
      </c>
      <c r="J37" s="174"/>
      <c r="K37" s="174"/>
      <c r="L37" s="174"/>
      <c r="M37" s="191">
        <v>600</v>
      </c>
      <c r="N37" s="176">
        <v>9.6229999999999993</v>
      </c>
      <c r="O37" s="176"/>
      <c r="P37" s="173"/>
      <c r="Q37" s="178"/>
      <c r="R37" s="179"/>
      <c r="S37" s="179"/>
      <c r="T37" s="173"/>
      <c r="U37" s="173"/>
      <c r="V37" s="173"/>
      <c r="W37" s="173"/>
      <c r="X37" s="177"/>
      <c r="Y37" s="177"/>
      <c r="Z37" s="177"/>
      <c r="AA37" s="177"/>
      <c r="AB37" s="177"/>
      <c r="AC37" s="177"/>
      <c r="AD37" s="180"/>
      <c r="AE37" s="173" t="s">
        <v>69</v>
      </c>
      <c r="AF37" s="181" t="s">
        <v>349</v>
      </c>
      <c r="AG37" s="181"/>
      <c r="AH37" s="181"/>
      <c r="AI37" s="181">
        <v>44370</v>
      </c>
      <c r="AJ37" s="181"/>
      <c r="AK37" s="181">
        <f ca="1">TODAY()</f>
        <v>44958</v>
      </c>
      <c r="AL37" s="173">
        <f ca="1">IF(AI37&lt;&gt;0,AK37-AI37,0)</f>
        <v>588</v>
      </c>
      <c r="AM37" s="173" t="str">
        <f>IF(ISNUMBER(X37)=TRUE,AK37-X37,IF(X37="","",(AK37)-(MID(RIGHT(X37,10),4,2)&amp;"/"&amp;LEFT((RIGHT(X37,10)),2)&amp;"/"&amp;RIGHT(X37,4))))</f>
        <v/>
      </c>
      <c r="AN37" s="181" t="s">
        <v>350</v>
      </c>
      <c r="AO37" s="190" t="s">
        <v>351</v>
      </c>
      <c r="AP37" s="176">
        <v>9.6229999999999993</v>
      </c>
      <c r="AQ37" s="176">
        <v>9.6629999999999985</v>
      </c>
      <c r="AR37" s="176">
        <v>9.6879999999999971</v>
      </c>
      <c r="AS37" s="176">
        <v>9.6929999999999978</v>
      </c>
      <c r="AT37" s="173" t="str">
        <f>IF(ISNUMBER(U37)=TRUE,AK37-U37,IF(U37="","",(AK37)-(MID(RIGHT(U37,10),4,2)&amp;"/"&amp;LEFT((RIGHT(U37,10)),2)&amp;"/"&amp;RIGHT(U37,4))))</f>
        <v/>
      </c>
      <c r="AU37" s="173">
        <v>395</v>
      </c>
      <c r="AW37" s="142" t="s">
        <v>123</v>
      </c>
    </row>
    <row r="38" spans="2:63" s="142" customFormat="1" ht="21" customHeight="1" x14ac:dyDescent="0.25">
      <c r="B38" s="173" t="str">
        <f>IF(C38="HOLD RM","HOLD RM",IF(C38="BAL","WIP",IF(C38="HOLD SLT","HOLD SLT",IF(C38="MILL","RM",IF(C38="RE SLT","WIP",IF(C38="RM","RM",IF(C38="RM BAL","RM",IF(C38="RM SLT","RM",IF(C38="RR","WIP",IF(C38="SKP","WIP",IF(C38="SLT","WIP",IF(C38="CTL","WIP",IF(C38="RM SLT RUST","RM SLT RUST",0)))))))))))))&amp;"-"&amp;G38&amp;"/"&amp;IF(H38="2B","2B",IF(H38="NO.1","1D",IF(H38="FH","FH",0)))&amp;"-"&amp;IF(J38="",(TEXT(I38,"0.00")),TEXT(J38,"0.00"))&amp;"X"&amp;M38</f>
        <v>RM-J3/1D-2.40X600</v>
      </c>
      <c r="C38" s="173" t="s">
        <v>48</v>
      </c>
      <c r="D38" s="173" t="s">
        <v>48</v>
      </c>
      <c r="E38" s="190" t="s">
        <v>352</v>
      </c>
      <c r="F38" s="190" t="s">
        <v>353</v>
      </c>
      <c r="G38" s="173" t="s">
        <v>34</v>
      </c>
      <c r="H38" s="173" t="s">
        <v>127</v>
      </c>
      <c r="I38" s="174">
        <v>2.4</v>
      </c>
      <c r="J38" s="174"/>
      <c r="K38" s="174"/>
      <c r="L38" s="174"/>
      <c r="M38" s="191">
        <v>600</v>
      </c>
      <c r="N38" s="176">
        <v>9.6590000000000007</v>
      </c>
      <c r="O38" s="176"/>
      <c r="P38" s="177"/>
      <c r="Q38" s="178"/>
      <c r="R38" s="179"/>
      <c r="S38" s="179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80"/>
      <c r="AE38" s="173" t="s">
        <v>69</v>
      </c>
      <c r="AF38" s="181" t="s">
        <v>349</v>
      </c>
      <c r="AG38" s="181"/>
      <c r="AH38" s="181"/>
      <c r="AI38" s="181">
        <v>44370</v>
      </c>
      <c r="AJ38" s="181"/>
      <c r="AK38" s="181">
        <f ca="1">TODAY()</f>
        <v>44958</v>
      </c>
      <c r="AL38" s="173">
        <f ca="1">IF(AI38&lt;&gt;0,AK38-AI38,0)</f>
        <v>588</v>
      </c>
      <c r="AM38" s="173" t="str">
        <f>IF(ISNUMBER(X38)=TRUE,AK38-X38,IF(X38="","",(AK38)-(MID(RIGHT(X38,10),4,2)&amp;"/"&amp;LEFT((RIGHT(X38,10)),2)&amp;"/"&amp;RIGHT(X38,4))))</f>
        <v/>
      </c>
      <c r="AN38" s="181" t="s">
        <v>350</v>
      </c>
      <c r="AO38" s="190" t="s">
        <v>354</v>
      </c>
      <c r="AP38" s="176">
        <v>9.6590000000000007</v>
      </c>
      <c r="AQ38" s="176">
        <v>9.6989999999999998</v>
      </c>
      <c r="AR38" s="176">
        <v>9.7239999999999984</v>
      </c>
      <c r="AS38" s="176">
        <v>9.7289999999999992</v>
      </c>
      <c r="AT38" s="173" t="str">
        <f>IF(ISNUMBER(U38)=TRUE,AK38-U38,IF(U38="","",(AK38)-(MID(RIGHT(U38,10),4,2)&amp;"/"&amp;LEFT((RIGHT(U38,10)),2)&amp;"/"&amp;RIGHT(U38,4))))</f>
        <v/>
      </c>
      <c r="AU38" s="173">
        <v>395</v>
      </c>
      <c r="AW38" s="142" t="s">
        <v>123</v>
      </c>
    </row>
    <row r="39" spans="2:63" s="142" customFormat="1" ht="21" customHeight="1" x14ac:dyDescent="0.25">
      <c r="B39" s="173" t="str">
        <f>IF(C39="HOLD RM","HOLD RM",IF(C39="BAL","WIP",IF(C39="HOLD SLT","HOLD SLT",IF(C39="MILL","RM",IF(C39="RE SLT","WIP",IF(C39="RM","RM",IF(C39="RM BAL","RM",IF(C39="RM SLT","RM",IF(C39="RR","WIP",IF(C39="SKP","WIP",IF(C39="SLT","WIP",IF(C39="CTL","WIP",IF(C39="RM SLT RUST","RM SLT RUST",0)))))))))))))&amp;"-"&amp;G39&amp;"/"&amp;IF(H39="2B","2B",IF(H39="NO.1","1D",IF(H39="FH","FH",0)))&amp;"-"&amp;IF(J39="",(TEXT(I39,"0.00")),TEXT(J39,"0.00"))&amp;"X"&amp;M39</f>
        <v>RM-J3/1D-2.40X640</v>
      </c>
      <c r="C39" s="173" t="s">
        <v>48</v>
      </c>
      <c r="D39" s="173" t="s">
        <v>48</v>
      </c>
      <c r="E39" s="190" t="s">
        <v>355</v>
      </c>
      <c r="F39" s="190" t="s">
        <v>356</v>
      </c>
      <c r="G39" s="173" t="s">
        <v>34</v>
      </c>
      <c r="H39" s="173" t="s">
        <v>127</v>
      </c>
      <c r="I39" s="174">
        <v>2.4</v>
      </c>
      <c r="J39" s="174"/>
      <c r="K39" s="174"/>
      <c r="L39" s="174"/>
      <c r="M39" s="191">
        <v>640</v>
      </c>
      <c r="N39" s="176">
        <v>10.297000000000001</v>
      </c>
      <c r="O39" s="176"/>
      <c r="P39" s="177"/>
      <c r="Q39" s="178"/>
      <c r="R39" s="179"/>
      <c r="S39" s="179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80"/>
      <c r="AE39" s="173" t="s">
        <v>69</v>
      </c>
      <c r="AF39" s="181" t="s">
        <v>349</v>
      </c>
      <c r="AG39" s="181"/>
      <c r="AH39" s="181"/>
      <c r="AI39" s="181">
        <v>44370</v>
      </c>
      <c r="AJ39" s="181"/>
      <c r="AK39" s="181">
        <f ca="1">TODAY()</f>
        <v>44958</v>
      </c>
      <c r="AL39" s="173">
        <f ca="1">IF(AI39&lt;&gt;0,AK39-AI39,0)</f>
        <v>588</v>
      </c>
      <c r="AM39" s="173" t="str">
        <f>IF(ISNUMBER(X39)=TRUE,AK39-X39,IF(X39="","",(AK39)-(MID(RIGHT(X39,10),4,2)&amp;"/"&amp;LEFT((RIGHT(X39,10)),2)&amp;"/"&amp;RIGHT(X39,4))))</f>
        <v/>
      </c>
      <c r="AN39" s="181" t="s">
        <v>357</v>
      </c>
      <c r="AO39" s="190" t="s">
        <v>358</v>
      </c>
      <c r="AP39" s="176">
        <v>10.297000000000001</v>
      </c>
      <c r="AQ39" s="176">
        <v>10.337</v>
      </c>
      <c r="AR39" s="176">
        <v>10.361999999999998</v>
      </c>
      <c r="AS39" s="176">
        <v>10.366999999999999</v>
      </c>
      <c r="AT39" s="173" t="str">
        <f>IF(ISNUMBER(U39)=TRUE,AK39-U39,IF(U39="","",(AK39)-(MID(RIGHT(U39,10),4,2)&amp;"/"&amp;LEFT((RIGHT(U39,10)),2)&amp;"/"&amp;RIGHT(U39,4))))</f>
        <v/>
      </c>
      <c r="AU39" s="173">
        <v>395</v>
      </c>
      <c r="AW39" s="142" t="s">
        <v>123</v>
      </c>
    </row>
    <row r="40" spans="2:63" s="142" customFormat="1" ht="21" customHeight="1" x14ac:dyDescent="0.25">
      <c r="B40" s="173" t="str">
        <f>IF(C40="HOLD RM","HOLD RM",IF(C40="BAL","WIP",IF(C40="HOLD SLT","HOLD SLT",IF(C40="MILL","RM",IF(C40="RE SLT","WIP",IF(C40="RM","RM",IF(C40="RM BAL","RM",IF(C40="RM SLT","RM",IF(C40="RR","WIP",IF(C40="SKP","WIP",IF(C40="SLT","WIP",IF(C40="CTL","WIP",IF(C40="RM SLT RUST","RM SLT RUST",0)))))))))))))&amp;"-"&amp;G40&amp;"/"&amp;IF(H40="2B","2B",IF(H40="NO.1","1D",IF(H40="FH","FH",0)))&amp;"-"&amp;IF(J40="",(TEXT(I40,"0.00")),TEXT(J40,"0.00"))&amp;"X"&amp;M40</f>
        <v>WIP-J3/FH-0.51X590</v>
      </c>
      <c r="C40" s="173" t="s">
        <v>16</v>
      </c>
      <c r="D40" s="173" t="s">
        <v>16</v>
      </c>
      <c r="E40" s="190" t="s">
        <v>359</v>
      </c>
      <c r="F40" s="190" t="s">
        <v>360</v>
      </c>
      <c r="G40" s="173" t="s">
        <v>34</v>
      </c>
      <c r="H40" s="173" t="s">
        <v>70</v>
      </c>
      <c r="I40" s="174">
        <v>0.78</v>
      </c>
      <c r="J40" s="174">
        <v>0.51</v>
      </c>
      <c r="K40" s="174"/>
      <c r="L40" s="174"/>
      <c r="M40" s="191">
        <v>590</v>
      </c>
      <c r="N40" s="176">
        <v>7.97</v>
      </c>
      <c r="O40" s="176" t="s">
        <v>114</v>
      </c>
      <c r="P40" s="177"/>
      <c r="Q40" s="179" t="s">
        <v>294</v>
      </c>
      <c r="R40" s="178" t="s">
        <v>361</v>
      </c>
      <c r="S40" s="179" t="s">
        <v>362</v>
      </c>
      <c r="T40" s="177" t="s">
        <v>363</v>
      </c>
      <c r="U40" s="177"/>
      <c r="V40" s="177" t="s">
        <v>364</v>
      </c>
      <c r="W40" s="177">
        <v>44857</v>
      </c>
      <c r="X40" s="177" t="s">
        <v>365</v>
      </c>
      <c r="Y40" s="177"/>
      <c r="Z40" s="177"/>
      <c r="AA40" s="177"/>
      <c r="AB40" s="177"/>
      <c r="AC40" s="177"/>
      <c r="AD40" s="180"/>
      <c r="AE40" s="173" t="s">
        <v>69</v>
      </c>
      <c r="AF40" s="181" t="s">
        <v>349</v>
      </c>
      <c r="AG40" s="181"/>
      <c r="AH40" s="181"/>
      <c r="AI40" s="181">
        <v>44370</v>
      </c>
      <c r="AJ40" s="181"/>
      <c r="AK40" s="181">
        <f ca="1">TODAY()</f>
        <v>44958</v>
      </c>
      <c r="AL40" s="173">
        <f ca="1">IF(AI40&lt;&gt;0,AK40-AI40,0)</f>
        <v>588</v>
      </c>
      <c r="AM40" s="173">
        <f ca="1">IF(ISNUMBER(X40)=TRUE,AK40-X40,IF(X40="","",(AK40)-(MID(RIGHT(X40,10),4,2)&amp;"/"&amp;LEFT((RIGHT(X40,10)),2)&amp;"/"&amp;RIGHT(X40,4))))</f>
        <v>369</v>
      </c>
      <c r="AN40" s="181" t="s">
        <v>366</v>
      </c>
      <c r="AO40" s="190" t="s">
        <v>367</v>
      </c>
      <c r="AP40" s="176">
        <v>8.0269999999999992</v>
      </c>
      <c r="AQ40" s="176">
        <v>8.0669999999999984</v>
      </c>
      <c r="AR40" s="176">
        <v>8.091999999999997</v>
      </c>
      <c r="AS40" s="176">
        <v>8.0969999999999978</v>
      </c>
      <c r="AT40" s="173" t="str">
        <f>IF(ISNUMBER(U40)=TRUE,AK40-U40,IF(U40="","",(AK40)-(MID(RIGHT(U40,10),4,2)&amp;"/"&amp;LEFT((RIGHT(U40,10)),2)&amp;"/"&amp;RIGHT(U40,4))))</f>
        <v/>
      </c>
      <c r="AU40" s="173">
        <v>395</v>
      </c>
      <c r="AW40" s="142" t="s">
        <v>123</v>
      </c>
      <c r="BK40" s="182" t="s">
        <v>368</v>
      </c>
    </row>
    <row r="41" spans="2:63" s="142" customFormat="1" ht="21" customHeight="1" x14ac:dyDescent="0.25">
      <c r="B41" s="173" t="str">
        <f>IF(C41="HOLD RM","HOLD RM",IF(C41="BAL","WIP",IF(C41="HOLD SLT","HOLD SLT",IF(C41="MILL","RM",IF(C41="RE SLT","WIP",IF(C41="RM","RM",IF(C41="RM BAL","RM",IF(C41="RM SLT","RM",IF(C41="RR","WIP",IF(C41="SKP","WIP",IF(C41="SLT","WIP",IF(C41="CTL","WIP",IF(C41="RM SLT RUST","RM SLT RUST",0)))))))))))))&amp;"-"&amp;G41&amp;"/"&amp;IF(H41="2B","2B",IF(H41="NO.1","1D",IF(H41="FH","FH",0)))&amp;"-"&amp;IF(J41="",(TEXT(I41,"0.00")),TEXT(J41,"0.00"))&amp;"X"&amp;M41</f>
        <v>RM-J3/1D-2.40X600</v>
      </c>
      <c r="C41" s="173" t="s">
        <v>48</v>
      </c>
      <c r="D41" s="173" t="s">
        <v>48</v>
      </c>
      <c r="E41" s="190" t="s">
        <v>369</v>
      </c>
      <c r="F41" s="190" t="s">
        <v>370</v>
      </c>
      <c r="G41" s="173" t="s">
        <v>34</v>
      </c>
      <c r="H41" s="173" t="s">
        <v>127</v>
      </c>
      <c r="I41" s="174">
        <v>2.4</v>
      </c>
      <c r="J41" s="174"/>
      <c r="K41" s="174"/>
      <c r="L41" s="174"/>
      <c r="M41" s="191">
        <v>600</v>
      </c>
      <c r="N41" s="176">
        <v>9.6750000000000007</v>
      </c>
      <c r="O41" s="176"/>
      <c r="P41" s="177"/>
      <c r="Q41" s="178"/>
      <c r="R41" s="179"/>
      <c r="S41" s="179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80"/>
      <c r="AE41" s="173" t="s">
        <v>69</v>
      </c>
      <c r="AF41" s="181" t="s">
        <v>349</v>
      </c>
      <c r="AG41" s="181"/>
      <c r="AH41" s="181"/>
      <c r="AI41" s="181">
        <v>44370</v>
      </c>
      <c r="AJ41" s="181"/>
      <c r="AK41" s="181">
        <f ca="1">TODAY()</f>
        <v>44958</v>
      </c>
      <c r="AL41" s="173">
        <f ca="1">IF(AI41&lt;&gt;0,AK41-AI41,0)</f>
        <v>588</v>
      </c>
      <c r="AM41" s="173" t="str">
        <f>IF(ISNUMBER(X41)=TRUE,AK41-X41,IF(X41="","",(AK41)-(MID(RIGHT(X41,10),4,2)&amp;"/"&amp;LEFT((RIGHT(X41,10)),2)&amp;"/"&amp;RIGHT(X41,4))))</f>
        <v/>
      </c>
      <c r="AN41" s="181" t="s">
        <v>371</v>
      </c>
      <c r="AO41" s="190" t="s">
        <v>372</v>
      </c>
      <c r="AP41" s="176">
        <v>9.6750000000000007</v>
      </c>
      <c r="AQ41" s="176">
        <v>9.7149999999999999</v>
      </c>
      <c r="AR41" s="176">
        <v>9.7399999999999984</v>
      </c>
      <c r="AS41" s="176">
        <v>9.7449999999999992</v>
      </c>
      <c r="AT41" s="173" t="str">
        <f>IF(ISNUMBER(U41)=TRUE,AK41-U41,IF(U41="","",(AK41)-(MID(RIGHT(U41,10),4,2)&amp;"/"&amp;LEFT((RIGHT(U41,10)),2)&amp;"/"&amp;RIGHT(U41,4))))</f>
        <v/>
      </c>
      <c r="AU41" s="173">
        <v>395</v>
      </c>
      <c r="AW41" s="142" t="s">
        <v>123</v>
      </c>
    </row>
    <row r="42" spans="2:63" s="142" customFormat="1" ht="21" customHeight="1" x14ac:dyDescent="0.25">
      <c r="B42" s="173" t="str">
        <f>IF(C42="HOLD RM","HOLD RM",IF(C42="BAL","WIP",IF(C42="HOLD SLT","HOLD SLT",IF(C42="MILL","RM",IF(C42="RE SLT","WIP",IF(C42="RM","RM",IF(C42="RM BAL","RM",IF(C42="RM SLT","RM",IF(C42="RR","WIP",IF(C42="SKP","WIP",IF(C42="SLT","WIP",IF(C42="CTL","WIP",IF(C42="RM SLT RUST","RM SLT RUST",0)))))))))))))&amp;"-"&amp;G42&amp;"/"&amp;IF(H42="2B","2B",IF(H42="NO.1","1D",IF(H42="FH","FH",0)))&amp;"-"&amp;IF(J42="",(TEXT(I42,"0.00")),TEXT(J42,"0.00"))&amp;"X"&amp;M42</f>
        <v>RM-J3/1D-2.40X620</v>
      </c>
      <c r="C42" s="173" t="s">
        <v>13</v>
      </c>
      <c r="D42" s="173" t="s">
        <v>13</v>
      </c>
      <c r="E42" s="190" t="s">
        <v>373</v>
      </c>
      <c r="F42" s="190" t="s">
        <v>374</v>
      </c>
      <c r="G42" s="173" t="s">
        <v>34</v>
      </c>
      <c r="H42" s="173" t="s">
        <v>127</v>
      </c>
      <c r="I42" s="174">
        <v>2.4</v>
      </c>
      <c r="J42" s="174"/>
      <c r="K42" s="174"/>
      <c r="L42" s="174"/>
      <c r="M42" s="191">
        <v>620</v>
      </c>
      <c r="N42" s="176">
        <v>10.025</v>
      </c>
      <c r="O42" s="176"/>
      <c r="P42" s="177"/>
      <c r="Q42" s="178"/>
      <c r="R42" s="179"/>
      <c r="S42" s="179"/>
      <c r="T42" s="177"/>
      <c r="U42" s="177">
        <v>44953</v>
      </c>
      <c r="V42" s="177"/>
      <c r="W42" s="177"/>
      <c r="X42" s="177"/>
      <c r="Y42" s="177"/>
      <c r="Z42" s="177"/>
      <c r="AA42" s="177"/>
      <c r="AB42" s="177"/>
      <c r="AC42" s="177"/>
      <c r="AD42" s="180"/>
      <c r="AE42" s="173" t="s">
        <v>69</v>
      </c>
      <c r="AF42" s="181" t="s">
        <v>248</v>
      </c>
      <c r="AG42" s="181"/>
      <c r="AH42" s="181"/>
      <c r="AI42" s="181">
        <v>44384</v>
      </c>
      <c r="AJ42" s="181"/>
      <c r="AK42" s="181">
        <f ca="1">TODAY()</f>
        <v>44958</v>
      </c>
      <c r="AL42" s="173">
        <f ca="1">IF(AI42&lt;&gt;0,AK42-AI42,0)</f>
        <v>574</v>
      </c>
      <c r="AM42" s="173" t="str">
        <f>IF(ISNUMBER(X42)=TRUE,AK42-X42,IF(X42="","",(AK42)-(MID(RIGHT(X42,10),4,2)&amp;"/"&amp;LEFT((RIGHT(X42,10)),2)&amp;"/"&amp;RIGHT(X42,4))))</f>
        <v/>
      </c>
      <c r="AN42" s="181" t="s">
        <v>375</v>
      </c>
      <c r="AO42" s="190" t="s">
        <v>376</v>
      </c>
      <c r="AP42" s="176">
        <v>10.025</v>
      </c>
      <c r="AQ42" s="176">
        <v>10.065</v>
      </c>
      <c r="AR42" s="176">
        <v>10.089999999999998</v>
      </c>
      <c r="AS42" s="176">
        <v>10.094999999999999</v>
      </c>
      <c r="AT42" s="173">
        <f ca="1">IF(ISNUMBER(U42)=TRUE,AK42-U42,IF(U42="","",(AK42)-(MID(RIGHT(U42,10),4,2)&amp;"/"&amp;LEFT((RIGHT(U42,10)),2)&amp;"/"&amp;RIGHT(U42,4))))</f>
        <v>5</v>
      </c>
      <c r="AU42" s="173">
        <v>400</v>
      </c>
      <c r="AW42" s="142" t="s">
        <v>123</v>
      </c>
    </row>
    <row r="43" spans="2:63" s="142" customFormat="1" ht="21" customHeight="1" x14ac:dyDescent="0.25">
      <c r="B43" s="173" t="str">
        <f>IF(C43="HOLD RM","HOLD RM",IF(C43="BAL","WIP",IF(C43="HOLD SLT","HOLD SLT",IF(C43="MILL","RM",IF(C43="RE SLT","WIP",IF(C43="RM","RM",IF(C43="RM BAL","RM",IF(C43="RM SLT","RM",IF(C43="RR","WIP",IF(C43="SKP","WIP",IF(C43="SLT","WIP",IF(C43="CTL","WIP",IF(C43="RM SLT RUST","RM SLT RUST",0)))))))))))))&amp;"-"&amp;G43&amp;"/"&amp;IF(H43="2B","2B",IF(H43="NO.1","1D",IF(H43="FH","FH",0)))&amp;"-"&amp;IF(J43="",(TEXT(I43,"0.00")),TEXT(J43,"0.00"))&amp;"X"&amp;M43</f>
        <v>RM-J3/1D-2.40X620</v>
      </c>
      <c r="C43" s="173" t="s">
        <v>48</v>
      </c>
      <c r="D43" s="173" t="s">
        <v>48</v>
      </c>
      <c r="E43" s="190" t="s">
        <v>377</v>
      </c>
      <c r="F43" s="190" t="s">
        <v>378</v>
      </c>
      <c r="G43" s="173" t="s">
        <v>34</v>
      </c>
      <c r="H43" s="173" t="s">
        <v>127</v>
      </c>
      <c r="I43" s="174">
        <v>2.4</v>
      </c>
      <c r="J43" s="174"/>
      <c r="K43" s="174"/>
      <c r="L43" s="174"/>
      <c r="M43" s="191">
        <v>620</v>
      </c>
      <c r="N43" s="176">
        <v>9.9350000000000005</v>
      </c>
      <c r="O43" s="176"/>
      <c r="P43" s="177"/>
      <c r="Q43" s="178"/>
      <c r="R43" s="179"/>
      <c r="S43" s="179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80"/>
      <c r="AE43" s="173" t="s">
        <v>69</v>
      </c>
      <c r="AF43" s="181" t="s">
        <v>248</v>
      </c>
      <c r="AG43" s="181"/>
      <c r="AH43" s="181"/>
      <c r="AI43" s="181">
        <v>44384</v>
      </c>
      <c r="AJ43" s="181"/>
      <c r="AK43" s="181">
        <f ca="1">TODAY()</f>
        <v>44958</v>
      </c>
      <c r="AL43" s="173">
        <f ca="1">IF(AI43&lt;&gt;0,AK43-AI43,0)</f>
        <v>574</v>
      </c>
      <c r="AM43" s="173" t="str">
        <f>IF(ISNUMBER(X43)=TRUE,AK43-X43,IF(X43="","",(AK43)-(MID(RIGHT(X43,10),4,2)&amp;"/"&amp;LEFT((RIGHT(X43,10)),2)&amp;"/"&amp;RIGHT(X43,4))))</f>
        <v/>
      </c>
      <c r="AN43" s="181" t="s">
        <v>379</v>
      </c>
      <c r="AO43" s="190" t="s">
        <v>380</v>
      </c>
      <c r="AP43" s="176">
        <v>9.9350000000000005</v>
      </c>
      <c r="AQ43" s="176">
        <v>9.9749999999999996</v>
      </c>
      <c r="AR43" s="176">
        <v>9.9999999999999982</v>
      </c>
      <c r="AS43" s="176">
        <v>10.004999999999999</v>
      </c>
      <c r="AT43" s="173" t="str">
        <f>IF(ISNUMBER(U43)=TRUE,AK43-U43,IF(U43="","",(AK43)-(MID(RIGHT(U43,10),4,2)&amp;"/"&amp;LEFT((RIGHT(U43,10)),2)&amp;"/"&amp;RIGHT(U43,4))))</f>
        <v/>
      </c>
      <c r="AU43" s="173">
        <v>400</v>
      </c>
      <c r="AW43" s="142" t="s">
        <v>123</v>
      </c>
    </row>
    <row r="44" spans="2:63" s="142" customFormat="1" ht="21" customHeight="1" x14ac:dyDescent="0.25">
      <c r="B44" s="173" t="str">
        <f>IF(C44="HOLD RM","HOLD RM",IF(C44="BAL","WIP",IF(C44="HOLD SLT","HOLD SLT",IF(C44="MILL","RM",IF(C44="RE SLT","WIP",IF(C44="RM","RM",IF(C44="RM BAL","RM",IF(C44="RM SLT","RM",IF(C44="RR","WIP",IF(C44="SKP","WIP",IF(C44="SLT","WIP",IF(C44="CTL","WIP",IF(C44="RM SLT RUST","RM SLT RUST",0)))))))))))))&amp;"-"&amp;G44&amp;"/"&amp;IF(H44="2B","2B",IF(H44="NO.1","1D",IF(H44="FH","FH",0)))&amp;"-"&amp;IF(J44="",(TEXT(I44,"0.00")),TEXT(J44,"0.00"))&amp;"X"&amp;M44</f>
        <v>RM-J3/1D-2.40X620</v>
      </c>
      <c r="C44" s="173" t="s">
        <v>48</v>
      </c>
      <c r="D44" s="173" t="s">
        <v>48</v>
      </c>
      <c r="E44" s="190" t="s">
        <v>381</v>
      </c>
      <c r="F44" s="190" t="s">
        <v>382</v>
      </c>
      <c r="G44" s="173" t="s">
        <v>34</v>
      </c>
      <c r="H44" s="173" t="s">
        <v>127</v>
      </c>
      <c r="I44" s="174">
        <v>2.4</v>
      </c>
      <c r="J44" s="174"/>
      <c r="K44" s="174"/>
      <c r="L44" s="174"/>
      <c r="M44" s="191">
        <v>620</v>
      </c>
      <c r="N44" s="176">
        <v>4.8899999999999997</v>
      </c>
      <c r="O44" s="176"/>
      <c r="P44" s="177"/>
      <c r="Q44" s="178"/>
      <c r="R44" s="179"/>
      <c r="S44" s="179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80"/>
      <c r="AE44" s="173" t="s">
        <v>69</v>
      </c>
      <c r="AF44" s="181" t="s">
        <v>248</v>
      </c>
      <c r="AG44" s="181"/>
      <c r="AH44" s="181"/>
      <c r="AI44" s="181">
        <v>44384</v>
      </c>
      <c r="AJ44" s="181"/>
      <c r="AK44" s="181">
        <f ca="1">TODAY()</f>
        <v>44958</v>
      </c>
      <c r="AL44" s="173">
        <f ca="1">IF(AI44&lt;&gt;0,AK44-AI44,0)</f>
        <v>574</v>
      </c>
      <c r="AM44" s="173" t="str">
        <f>IF(ISNUMBER(X44)=TRUE,AK44-X44,IF(X44="","",(AK44)-(MID(RIGHT(X44,10),4,2)&amp;"/"&amp;LEFT((RIGHT(X44,10)),2)&amp;"/"&amp;RIGHT(X44,4))))</f>
        <v/>
      </c>
      <c r="AN44" s="181" t="s">
        <v>383</v>
      </c>
      <c r="AO44" s="190" t="s">
        <v>384</v>
      </c>
      <c r="AP44" s="176">
        <v>4.8899999999999997</v>
      </c>
      <c r="AQ44" s="176">
        <v>4.93</v>
      </c>
      <c r="AR44" s="176">
        <v>4.9550000000000001</v>
      </c>
      <c r="AS44" s="176">
        <v>4.96</v>
      </c>
      <c r="AT44" s="173" t="str">
        <f>IF(ISNUMBER(U44)=TRUE,AK44-U44,IF(U44="","",(AK44)-(MID(RIGHT(U44,10),4,2)&amp;"/"&amp;LEFT((RIGHT(U44,10)),2)&amp;"/"&amp;RIGHT(U44,4))))</f>
        <v/>
      </c>
      <c r="AU44" s="173">
        <v>400</v>
      </c>
      <c r="AW44" s="142" t="s">
        <v>123</v>
      </c>
    </row>
    <row r="45" spans="2:63" s="142" customFormat="1" ht="21" customHeight="1" x14ac:dyDescent="0.25">
      <c r="B45" s="173" t="str">
        <f>IF(C45="HOLD RM","HOLD RM",IF(C45="BAL","WIP",IF(C45="HOLD SLT","HOLD SLT",IF(C45="MILL","RM",IF(C45="RE SLT","WIP",IF(C45="RM","RM",IF(C45="RM BAL","RM",IF(C45="RM SLT","RM",IF(C45="RR","WIP",IF(C45="SKP","WIP",IF(C45="SLT","WIP",IF(C45="CTL","WIP",IF(C45="RM SLT RUST","RM SLT RUST",0)))))))))))))&amp;"-"&amp;G45&amp;"/"&amp;IF(H45="2B","2B",IF(H45="NO.1","1D",IF(H45="FH","FH",0)))&amp;"-"&amp;IF(J45="",(TEXT(I45,"0.00")),TEXT(J45,"0.00"))&amp;"X"&amp;M45</f>
        <v>RM-J3/1D-2.40X620</v>
      </c>
      <c r="C45" s="173" t="s">
        <v>48</v>
      </c>
      <c r="D45" s="173" t="s">
        <v>48</v>
      </c>
      <c r="E45" s="190" t="s">
        <v>385</v>
      </c>
      <c r="F45" s="190" t="s">
        <v>386</v>
      </c>
      <c r="G45" s="173" t="s">
        <v>34</v>
      </c>
      <c r="H45" s="173" t="s">
        <v>127</v>
      </c>
      <c r="I45" s="174">
        <v>2.4</v>
      </c>
      <c r="J45" s="174"/>
      <c r="K45" s="174"/>
      <c r="L45" s="174"/>
      <c r="M45" s="191">
        <v>620</v>
      </c>
      <c r="N45" s="176">
        <v>5.12</v>
      </c>
      <c r="O45" s="176"/>
      <c r="P45" s="177"/>
      <c r="Q45" s="178"/>
      <c r="R45" s="179"/>
      <c r="S45" s="179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80"/>
      <c r="AE45" s="173" t="s">
        <v>69</v>
      </c>
      <c r="AF45" s="181" t="s">
        <v>248</v>
      </c>
      <c r="AG45" s="181"/>
      <c r="AH45" s="181"/>
      <c r="AI45" s="181">
        <v>44384</v>
      </c>
      <c r="AJ45" s="181"/>
      <c r="AK45" s="181">
        <f ca="1">TODAY()</f>
        <v>44958</v>
      </c>
      <c r="AL45" s="173">
        <f ca="1">IF(AI45&lt;&gt;0,AK45-AI45,0)</f>
        <v>574</v>
      </c>
      <c r="AM45" s="173" t="str">
        <f>IF(ISNUMBER(X45)=TRUE,AK45-X45,IF(X45="","",(AK45)-(MID(RIGHT(X45,10),4,2)&amp;"/"&amp;LEFT((RIGHT(X45,10)),2)&amp;"/"&amp;RIGHT(X45,4))))</f>
        <v/>
      </c>
      <c r="AN45" s="181" t="s">
        <v>387</v>
      </c>
      <c r="AO45" s="190" t="s">
        <v>384</v>
      </c>
      <c r="AP45" s="176">
        <v>5.12</v>
      </c>
      <c r="AQ45" s="176">
        <v>5.16</v>
      </c>
      <c r="AR45" s="176">
        <v>5.1850000000000005</v>
      </c>
      <c r="AS45" s="176">
        <v>5.19</v>
      </c>
      <c r="AT45" s="173" t="str">
        <f>IF(ISNUMBER(U45)=TRUE,AK45-U45,IF(U45="","",(AK45)-(MID(RIGHT(U45,10),4,2)&amp;"/"&amp;LEFT((RIGHT(U45,10)),2)&amp;"/"&amp;RIGHT(U45,4))))</f>
        <v/>
      </c>
      <c r="AU45" s="173">
        <v>400</v>
      </c>
      <c r="AW45" s="142" t="s">
        <v>123</v>
      </c>
    </row>
    <row r="46" spans="2:63" s="142" customFormat="1" ht="21" customHeight="1" x14ac:dyDescent="0.25">
      <c r="B46" s="173" t="str">
        <f>IF(C46="HOLD RM","HOLD RM",IF(C46="BAL","WIP",IF(C46="HOLD SLT","HOLD SLT",IF(C46="MILL","RM",IF(C46="RE SLT","WIP",IF(C46="RM","RM",IF(C46="RM BAL","RM",IF(C46="RM SLT","RM",IF(C46="RR","WIP",IF(C46="SKP","WIP",IF(C46="SLT","WIP",IF(C46="CTL","WIP",IF(C46="RM SLT RUST","RM SLT RUST",0)))))))))))))&amp;"-"&amp;G46&amp;"/"&amp;IF(H46="2B","2B",IF(H46="NO.1","1D",IF(H46="FH","FH",0)))&amp;"-"&amp;IF(J46="",(TEXT(I46,"0.00")),TEXT(J46,"0.00"))&amp;"X"&amp;M46</f>
        <v>HOLD SLT-J3/2B-0.45X613</v>
      </c>
      <c r="C46" s="173" t="s">
        <v>68</v>
      </c>
      <c r="D46" s="173" t="s">
        <v>68</v>
      </c>
      <c r="E46" s="190" t="s">
        <v>388</v>
      </c>
      <c r="F46" s="190" t="s">
        <v>389</v>
      </c>
      <c r="G46" s="173" t="s">
        <v>34</v>
      </c>
      <c r="H46" s="173" t="s">
        <v>114</v>
      </c>
      <c r="I46" s="174">
        <v>0.75</v>
      </c>
      <c r="J46" s="174">
        <v>0.45</v>
      </c>
      <c r="K46" s="174">
        <v>0.44</v>
      </c>
      <c r="L46" s="174">
        <v>0.46</v>
      </c>
      <c r="M46" s="191">
        <v>613</v>
      </c>
      <c r="N46" s="176">
        <v>4.5149999999999997</v>
      </c>
      <c r="O46" s="176" t="s">
        <v>114</v>
      </c>
      <c r="P46" s="177"/>
      <c r="Q46" s="178" t="s">
        <v>390</v>
      </c>
      <c r="R46" s="179" t="s">
        <v>361</v>
      </c>
      <c r="S46" s="179" t="s">
        <v>391</v>
      </c>
      <c r="T46" s="177" t="s">
        <v>392</v>
      </c>
      <c r="U46" s="177"/>
      <c r="V46" s="177" t="s">
        <v>393</v>
      </c>
      <c r="W46" s="177"/>
      <c r="X46" s="177" t="s">
        <v>394</v>
      </c>
      <c r="Y46" s="177"/>
      <c r="Z46" s="177" t="s">
        <v>395</v>
      </c>
      <c r="AA46" s="177"/>
      <c r="AB46" s="177"/>
      <c r="AC46" s="177"/>
      <c r="AD46" s="180"/>
      <c r="AE46" s="173" t="s">
        <v>69</v>
      </c>
      <c r="AF46" s="181" t="s">
        <v>248</v>
      </c>
      <c r="AG46" s="181"/>
      <c r="AH46" s="181"/>
      <c r="AI46" s="181">
        <v>44384</v>
      </c>
      <c r="AJ46" s="181"/>
      <c r="AK46" s="181">
        <f ca="1">TODAY()</f>
        <v>44958</v>
      </c>
      <c r="AL46" s="173">
        <f ca="1">IF(AI46&lt;&gt;0,AK46-AI46,0)</f>
        <v>574</v>
      </c>
      <c r="AM46" s="173">
        <f ca="1">IF(ISNUMBER(X46)=TRUE,AK46-X46,IF(X46="","",(AK46)-(MID(RIGHT(X46,10),4,2)&amp;"/"&amp;LEFT((RIGHT(X46,10)),2)&amp;"/"&amp;RIGHT(X46,4))))</f>
        <v>290</v>
      </c>
      <c r="AN46" s="181" t="s">
        <v>396</v>
      </c>
      <c r="AO46" s="190" t="s">
        <v>397</v>
      </c>
      <c r="AP46" s="176">
        <v>9.99</v>
      </c>
      <c r="AQ46" s="176">
        <v>10.029999999999999</v>
      </c>
      <c r="AR46" s="176">
        <v>10.054999999999998</v>
      </c>
      <c r="AS46" s="176">
        <v>10.059999999999999</v>
      </c>
      <c r="AT46" s="173" t="str">
        <f>IF(ISNUMBER(U46)=TRUE,AK46-U46,IF(U46="","",(AK46)-(MID(RIGHT(U46,10),4,2)&amp;"/"&amp;LEFT((RIGHT(U46,10)),2)&amp;"/"&amp;RIGHT(U46,4))))</f>
        <v/>
      </c>
      <c r="AU46" s="173">
        <v>400</v>
      </c>
      <c r="AW46" s="142" t="s">
        <v>123</v>
      </c>
      <c r="BK46" s="182" t="s">
        <v>398</v>
      </c>
    </row>
    <row r="47" spans="2:63" s="142" customFormat="1" ht="21" customHeight="1" x14ac:dyDescent="0.25">
      <c r="B47" s="173" t="str">
        <f>IF(C47="HOLD RM","HOLD RM",IF(C47="BAL","WIP",IF(C47="HOLD SLT","HOLD SLT",IF(C47="MILL","RM",IF(C47="RE SLT","WIP",IF(C47="RM","RM",IF(C47="RM BAL","RM",IF(C47="RM SLT","RM",IF(C47="RR","WIP",IF(C47="SKP","WIP",IF(C47="SLT","WIP",IF(C47="CTL","WIP",IF(C47="RM SLT RUST","RM SLT RUST",0)))))))))))))&amp;"-"&amp;G47&amp;"/"&amp;IF(H47="2B","2B",IF(H47="NO.1","1D",IF(H47="FH","FH",0)))&amp;"-"&amp;IF(J47="",(TEXT(I47,"0.00")),TEXT(J47,"0.00"))&amp;"X"&amp;M47</f>
        <v>WIP-J3/FH-0.45X613</v>
      </c>
      <c r="C47" s="173" t="s">
        <v>16</v>
      </c>
      <c r="D47" s="173" t="s">
        <v>16</v>
      </c>
      <c r="E47" s="190" t="s">
        <v>388</v>
      </c>
      <c r="F47" s="190" t="s">
        <v>399</v>
      </c>
      <c r="G47" s="173" t="s">
        <v>34</v>
      </c>
      <c r="H47" s="173" t="s">
        <v>70</v>
      </c>
      <c r="I47" s="174">
        <v>0.75</v>
      </c>
      <c r="J47" s="174">
        <v>0.45</v>
      </c>
      <c r="K47" s="174"/>
      <c r="L47" s="174"/>
      <c r="M47" s="191">
        <v>613</v>
      </c>
      <c r="N47" s="176">
        <v>0.495</v>
      </c>
      <c r="O47" s="176" t="s">
        <v>114</v>
      </c>
      <c r="P47" s="177"/>
      <c r="Q47" s="178" t="s">
        <v>361</v>
      </c>
      <c r="R47" s="179"/>
      <c r="S47" s="179" t="s">
        <v>400</v>
      </c>
      <c r="T47" s="177" t="s">
        <v>392</v>
      </c>
      <c r="U47" s="177"/>
      <c r="V47" s="177" t="s">
        <v>393</v>
      </c>
      <c r="W47" s="177"/>
      <c r="X47" s="177">
        <v>44461</v>
      </c>
      <c r="Y47" s="177"/>
      <c r="Z47" s="177" t="s">
        <v>401</v>
      </c>
      <c r="AA47" s="177"/>
      <c r="AB47" s="177"/>
      <c r="AC47" s="177"/>
      <c r="AD47" s="180"/>
      <c r="AE47" s="173" t="s">
        <v>69</v>
      </c>
      <c r="AF47" s="181" t="s">
        <v>248</v>
      </c>
      <c r="AG47" s="181"/>
      <c r="AH47" s="181"/>
      <c r="AI47" s="181">
        <v>44384</v>
      </c>
      <c r="AJ47" s="181"/>
      <c r="AK47" s="181">
        <f ca="1">TODAY()</f>
        <v>44958</v>
      </c>
      <c r="AL47" s="173">
        <f ca="1">IF(AI47&lt;&gt;0,AK47-AI47,0)</f>
        <v>574</v>
      </c>
      <c r="AM47" s="173">
        <f ca="1">IF(ISNUMBER(X47)=TRUE,AK47-X47,IF(X47="","",(AK47)-(MID(RIGHT(X47,10),4,2)&amp;"/"&amp;LEFT((RIGHT(X47,10)),2)&amp;"/"&amp;RIGHT(X47,4))))</f>
        <v>497</v>
      </c>
      <c r="AN47" s="181" t="s">
        <v>396</v>
      </c>
      <c r="AO47" s="190" t="s">
        <v>397</v>
      </c>
      <c r="AP47" s="176">
        <v>9.99</v>
      </c>
      <c r="AQ47" s="176">
        <v>10.029999999999999</v>
      </c>
      <c r="AR47" s="176">
        <v>10.054999999999998</v>
      </c>
      <c r="AS47" s="176">
        <v>10.059999999999999</v>
      </c>
      <c r="AT47" s="173" t="str">
        <f>IF(ISNUMBER(U47)=TRUE,AK47-U47,IF(U47="","",(AK47)-(MID(RIGHT(U47,10),4,2)&amp;"/"&amp;LEFT((RIGHT(U47,10)),2)&amp;"/"&amp;RIGHT(U47,4))))</f>
        <v/>
      </c>
      <c r="AU47" s="173">
        <v>400</v>
      </c>
      <c r="AW47" s="142" t="s">
        <v>123</v>
      </c>
      <c r="BK47" s="182" t="s">
        <v>398</v>
      </c>
    </row>
    <row r="48" spans="2:63" s="142" customFormat="1" ht="21" customHeight="1" x14ac:dyDescent="0.25">
      <c r="B48" s="173" t="str">
        <f>IF(C48="HOLD RM","HOLD RM",IF(C48="BAL","WIP",IF(C48="HOLD SLT","HOLD SLT",IF(C48="MILL","RM",IF(C48="RE SLT","WIP",IF(C48="RM","RM",IF(C48="RM BAL","RM",IF(C48="RM SLT","RM",IF(C48="RR","WIP",IF(C48="SKP","WIP",IF(C48="SLT","WIP",IF(C48="CTL","WIP",IF(C48="RM SLT RUST","RM SLT RUST",0)))))))))))))&amp;"-"&amp;G48&amp;"/"&amp;IF(H48="2B","2B",IF(H48="NO.1","1D",IF(H48="FH","FH",0)))&amp;"-"&amp;IF(J48="",(TEXT(I48,"0.00")),TEXT(J48,"0.00"))&amp;"X"&amp;M48</f>
        <v>RM-J3/1D-2.40X620</v>
      </c>
      <c r="C48" s="173" t="s">
        <v>48</v>
      </c>
      <c r="D48" s="173" t="s">
        <v>48</v>
      </c>
      <c r="E48" s="190" t="s">
        <v>402</v>
      </c>
      <c r="F48" s="190" t="s">
        <v>403</v>
      </c>
      <c r="G48" s="173" t="s">
        <v>34</v>
      </c>
      <c r="H48" s="173" t="s">
        <v>127</v>
      </c>
      <c r="I48" s="174">
        <v>2.4</v>
      </c>
      <c r="J48" s="174"/>
      <c r="K48" s="174"/>
      <c r="L48" s="174"/>
      <c r="M48" s="191">
        <v>620</v>
      </c>
      <c r="N48" s="176">
        <v>5.1100000000000003</v>
      </c>
      <c r="O48" s="176"/>
      <c r="P48" s="177"/>
      <c r="Q48" s="178"/>
      <c r="R48" s="179"/>
      <c r="S48" s="179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80"/>
      <c r="AE48" s="173" t="s">
        <v>69</v>
      </c>
      <c r="AF48" s="181" t="s">
        <v>248</v>
      </c>
      <c r="AG48" s="181"/>
      <c r="AH48" s="181"/>
      <c r="AI48" s="181">
        <v>44384</v>
      </c>
      <c r="AJ48" s="181"/>
      <c r="AK48" s="181">
        <f ca="1">TODAY()</f>
        <v>44958</v>
      </c>
      <c r="AL48" s="173">
        <f ca="1">IF(AI48&lt;&gt;0,AK48-AI48,0)</f>
        <v>574</v>
      </c>
      <c r="AM48" s="173" t="str">
        <f>IF(ISNUMBER(X48)=TRUE,AK48-X48,IF(X48="","",(AK48)-(MID(RIGHT(X48,10),4,2)&amp;"/"&amp;LEFT((RIGHT(X48,10)),2)&amp;"/"&amp;RIGHT(X48,4))))</f>
        <v/>
      </c>
      <c r="AN48" s="181" t="s">
        <v>375</v>
      </c>
      <c r="AO48" s="190" t="s">
        <v>404</v>
      </c>
      <c r="AP48" s="176">
        <v>5.1100000000000003</v>
      </c>
      <c r="AQ48" s="176">
        <v>5.15</v>
      </c>
      <c r="AR48" s="176">
        <v>5.1750000000000007</v>
      </c>
      <c r="AS48" s="176">
        <v>5.1800000000000006</v>
      </c>
      <c r="AT48" s="173" t="str">
        <f>IF(ISNUMBER(U48)=TRUE,AK48-U48,IF(U48="","",(AK48)-(MID(RIGHT(U48,10),4,2)&amp;"/"&amp;LEFT((RIGHT(U48,10)),2)&amp;"/"&amp;RIGHT(U48,4))))</f>
        <v/>
      </c>
      <c r="AU48" s="173">
        <v>400</v>
      </c>
      <c r="AW48" s="142" t="s">
        <v>123</v>
      </c>
    </row>
    <row r="49" spans="2:63" s="142" customFormat="1" ht="21" customHeight="1" x14ac:dyDescent="0.25">
      <c r="B49" s="173" t="str">
        <f>IF(C49="HOLD RM","HOLD RM",IF(C49="BAL","WIP",IF(C49="HOLD SLT","HOLD SLT",IF(C49="MILL","RM",IF(C49="RE SLT","WIP",IF(C49="RM","RM",IF(C49="RM BAL","RM",IF(C49="RM SLT","RM",IF(C49="RR","WIP",IF(C49="SKP","WIP",IF(C49="SLT","WIP",IF(C49="CTL","WIP",IF(C49="RM SLT RUST","RM SLT RUST",0)))))))))))))&amp;"-"&amp;G49&amp;"/"&amp;IF(H49="2B","2B",IF(H49="NO.1","1D",IF(H49="FH","FH",0)))&amp;"-"&amp;IF(J49="",(TEXT(I49,"0.00")),TEXT(J49,"0.00"))&amp;"X"&amp;M49</f>
        <v>RM-J3/1D-2.40X680</v>
      </c>
      <c r="C49" s="173" t="s">
        <v>48</v>
      </c>
      <c r="D49" s="173" t="s">
        <v>48</v>
      </c>
      <c r="E49" s="190" t="s">
        <v>405</v>
      </c>
      <c r="F49" s="190" t="s">
        <v>406</v>
      </c>
      <c r="G49" s="173" t="s">
        <v>34</v>
      </c>
      <c r="H49" s="173" t="s">
        <v>127</v>
      </c>
      <c r="I49" s="174">
        <v>2.4</v>
      </c>
      <c r="J49" s="174"/>
      <c r="K49" s="174"/>
      <c r="L49" s="174"/>
      <c r="M49" s="191">
        <v>680</v>
      </c>
      <c r="N49" s="176">
        <v>10.98</v>
      </c>
      <c r="O49" s="176"/>
      <c r="P49" s="177"/>
      <c r="Q49" s="178"/>
      <c r="R49" s="179"/>
      <c r="S49" s="179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80"/>
      <c r="AE49" s="173" t="s">
        <v>69</v>
      </c>
      <c r="AF49" s="181" t="s">
        <v>248</v>
      </c>
      <c r="AG49" s="181"/>
      <c r="AH49" s="181"/>
      <c r="AI49" s="181">
        <v>44384</v>
      </c>
      <c r="AJ49" s="181"/>
      <c r="AK49" s="181">
        <f ca="1">TODAY()</f>
        <v>44958</v>
      </c>
      <c r="AL49" s="173">
        <f ca="1">IF(AI49&lt;&gt;0,AK49-AI49,0)</f>
        <v>574</v>
      </c>
      <c r="AM49" s="173" t="str">
        <f>IF(ISNUMBER(X49)=TRUE,AK49-X49,IF(X49="","",(AK49)-(MID(RIGHT(X49,10),4,2)&amp;"/"&amp;LEFT((RIGHT(X49,10)),2)&amp;"/"&amp;RIGHT(X49,4))))</f>
        <v/>
      </c>
      <c r="AN49" s="181" t="s">
        <v>407</v>
      </c>
      <c r="AO49" s="190" t="s">
        <v>408</v>
      </c>
      <c r="AP49" s="176">
        <v>10.98</v>
      </c>
      <c r="AQ49" s="176">
        <v>11.02</v>
      </c>
      <c r="AR49" s="176">
        <v>11.044999999999998</v>
      </c>
      <c r="AS49" s="176">
        <v>11.049999999999999</v>
      </c>
      <c r="AT49" s="173" t="str">
        <f>IF(ISNUMBER(U49)=TRUE,AK49-U49,IF(U49="","",(AK49)-(MID(RIGHT(U49,10),4,2)&amp;"/"&amp;LEFT((RIGHT(U49,10)),2)&amp;"/"&amp;RIGHT(U49,4))))</f>
        <v/>
      </c>
      <c r="AU49" s="173">
        <v>400</v>
      </c>
      <c r="AW49" s="142" t="s">
        <v>123</v>
      </c>
    </row>
    <row r="50" spans="2:63" s="142" customFormat="1" ht="21" customHeight="1" x14ac:dyDescent="0.25">
      <c r="B50" s="173" t="str">
        <f>IF(C50="HOLD RM","HOLD RM",IF(C50="BAL","WIP",IF(C50="HOLD SLT","HOLD SLT",IF(C50="MILL","RM",IF(C50="RE SLT","WIP",IF(C50="RM","RM",IF(C50="RM BAL","RM",IF(C50="RM SLT","RM",IF(C50="RR","WIP",IF(C50="SKP","WIP",IF(C50="SLT","WIP",IF(C50="CTL","WIP",IF(C50="RM SLT RUST","RM SLT RUST",0)))))))))))))&amp;"-"&amp;G50&amp;"/"&amp;IF(H50="2B","2B",IF(H50="NO.1","1D",IF(H50="FH","FH",0)))&amp;"-"&amp;IF(J50="",(TEXT(I50,"0.00")),TEXT(J50,"0.00"))&amp;"X"&amp;M50</f>
        <v>RM-J3/1D-2.40X650</v>
      </c>
      <c r="C50" s="173" t="s">
        <v>48</v>
      </c>
      <c r="D50" s="173" t="s">
        <v>48</v>
      </c>
      <c r="E50" s="190" t="s">
        <v>409</v>
      </c>
      <c r="F50" s="190" t="s">
        <v>410</v>
      </c>
      <c r="G50" s="173" t="s">
        <v>34</v>
      </c>
      <c r="H50" s="173" t="s">
        <v>127</v>
      </c>
      <c r="I50" s="174">
        <v>2.4</v>
      </c>
      <c r="J50" s="174"/>
      <c r="K50" s="174"/>
      <c r="L50" s="174"/>
      <c r="M50" s="191">
        <v>650</v>
      </c>
      <c r="N50" s="176">
        <v>10.41</v>
      </c>
      <c r="O50" s="176"/>
      <c r="P50" s="177"/>
      <c r="Q50" s="178"/>
      <c r="R50" s="179"/>
      <c r="S50" s="179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80"/>
      <c r="AE50" s="173" t="s">
        <v>69</v>
      </c>
      <c r="AF50" s="181" t="s">
        <v>248</v>
      </c>
      <c r="AG50" s="181"/>
      <c r="AH50" s="181"/>
      <c r="AI50" s="181">
        <v>44384</v>
      </c>
      <c r="AJ50" s="181"/>
      <c r="AK50" s="181">
        <f ca="1">TODAY()</f>
        <v>44958</v>
      </c>
      <c r="AL50" s="173">
        <f ca="1">IF(AI50&lt;&gt;0,AK50-AI50,0)</f>
        <v>574</v>
      </c>
      <c r="AM50" s="173" t="str">
        <f>IF(ISNUMBER(X50)=TRUE,AK50-X50,IF(X50="","",(AK50)-(MID(RIGHT(X50,10),4,2)&amp;"/"&amp;LEFT((RIGHT(X50,10)),2)&amp;"/"&amp;RIGHT(X50,4))))</f>
        <v/>
      </c>
      <c r="AN50" s="181" t="s">
        <v>411</v>
      </c>
      <c r="AO50" s="190" t="s">
        <v>412</v>
      </c>
      <c r="AP50" s="176">
        <v>10.41</v>
      </c>
      <c r="AQ50" s="176">
        <v>10.45</v>
      </c>
      <c r="AR50" s="176">
        <v>10.474999999999998</v>
      </c>
      <c r="AS50" s="176">
        <v>10.479999999999999</v>
      </c>
      <c r="AT50" s="173" t="str">
        <f>IF(ISNUMBER(U50)=TRUE,AK50-U50,IF(U50="","",(AK50)-(MID(RIGHT(U50,10),4,2)&amp;"/"&amp;LEFT((RIGHT(U50,10)),2)&amp;"/"&amp;RIGHT(U50,4))))</f>
        <v/>
      </c>
      <c r="AU50" s="173">
        <v>400</v>
      </c>
      <c r="AW50" s="142" t="s">
        <v>123</v>
      </c>
    </row>
    <row r="51" spans="2:63" s="142" customFormat="1" ht="21" customHeight="1" x14ac:dyDescent="0.25">
      <c r="B51" s="173" t="str">
        <f>IF(C51="HOLD RM","HOLD RM",IF(C51="BAL","WIP",IF(C51="HOLD SLT","HOLD SLT",IF(C51="MILL","RM",IF(C51="RE SLT","WIP",IF(C51="RM","RM",IF(C51="RM BAL","RM",IF(C51="RM SLT","RM",IF(C51="RR","WIP",IF(C51="SKP","WIP",IF(C51="SLT","WIP",IF(C51="CTL","WIP",IF(C51="RM SLT RUST","RM SLT RUST",0)))))))))))))&amp;"-"&amp;G51&amp;"/"&amp;IF(H51="2B","2B",IF(H51="NO.1","1D",IF(H51="FH","FH",0)))&amp;"-"&amp;IF(J51="",(TEXT(I51,"0.00")),TEXT(J51,"0.00"))&amp;"X"&amp;M51</f>
        <v>RM-J3/1D-2.40X620</v>
      </c>
      <c r="C51" s="173" t="s">
        <v>48</v>
      </c>
      <c r="D51" s="173" t="s">
        <v>48</v>
      </c>
      <c r="E51" s="190" t="s">
        <v>413</v>
      </c>
      <c r="F51" s="190" t="s">
        <v>414</v>
      </c>
      <c r="G51" s="173" t="s">
        <v>34</v>
      </c>
      <c r="H51" s="173" t="s">
        <v>127</v>
      </c>
      <c r="I51" s="174">
        <v>2.4</v>
      </c>
      <c r="J51" s="174"/>
      <c r="K51" s="174"/>
      <c r="L51" s="174"/>
      <c r="M51" s="191">
        <v>620</v>
      </c>
      <c r="N51" s="176">
        <v>4.9050000000000002</v>
      </c>
      <c r="O51" s="176"/>
      <c r="P51" s="177"/>
      <c r="Q51" s="178"/>
      <c r="R51" s="179"/>
      <c r="S51" s="179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80"/>
      <c r="AE51" s="173" t="s">
        <v>69</v>
      </c>
      <c r="AF51" s="181" t="s">
        <v>248</v>
      </c>
      <c r="AG51" s="181"/>
      <c r="AH51" s="181"/>
      <c r="AI51" s="181">
        <v>44384</v>
      </c>
      <c r="AJ51" s="181"/>
      <c r="AK51" s="181">
        <f ca="1">TODAY()</f>
        <v>44958</v>
      </c>
      <c r="AL51" s="173">
        <f ca="1">IF(AI51&lt;&gt;0,AK51-AI51,0)</f>
        <v>574</v>
      </c>
      <c r="AM51" s="173" t="str">
        <f>IF(ISNUMBER(X51)=TRUE,AK51-X51,IF(X51="","",(AK51)-(MID(RIGHT(X51,10),4,2)&amp;"/"&amp;LEFT((RIGHT(X51,10)),2)&amp;"/"&amp;RIGHT(X51,4))))</f>
        <v/>
      </c>
      <c r="AN51" s="181" t="s">
        <v>415</v>
      </c>
      <c r="AO51" s="190" t="s">
        <v>416</v>
      </c>
      <c r="AP51" s="176">
        <v>4.9050000000000002</v>
      </c>
      <c r="AQ51" s="176">
        <v>4.9450000000000003</v>
      </c>
      <c r="AR51" s="176">
        <v>4.9700000000000006</v>
      </c>
      <c r="AS51" s="176">
        <v>4.9750000000000005</v>
      </c>
      <c r="AT51" s="173" t="str">
        <f>IF(ISNUMBER(U51)=TRUE,AK51-U51,IF(U51="","",(AK51)-(MID(RIGHT(U51,10),4,2)&amp;"/"&amp;LEFT((RIGHT(U51,10)),2)&amp;"/"&amp;RIGHT(U51,4))))</f>
        <v/>
      </c>
      <c r="AU51" s="173">
        <v>400</v>
      </c>
      <c r="AW51" s="142" t="s">
        <v>123</v>
      </c>
    </row>
    <row r="52" spans="2:63" s="142" customFormat="1" ht="21" customHeight="1" x14ac:dyDescent="0.25">
      <c r="B52" s="173" t="str">
        <f>IF(C52="HOLD RM","HOLD RM",IF(C52="BAL","WIP",IF(C52="HOLD SLT","HOLD SLT",IF(C52="MILL","RM",IF(C52="RE SLT","WIP",IF(C52="RM","RM",IF(C52="RM BAL","RM",IF(C52="RM SLT","RM",IF(C52="RR","WIP",IF(C52="SKP","WIP",IF(C52="SLT","WIP",IF(C52="CTL","WIP",IF(C52="RM SLT RUST","RM SLT RUST",0)))))))))))))&amp;"-"&amp;G52&amp;"/"&amp;IF(H52="2B","2B",IF(H52="NO.1","1D",IF(H52="FH","FH",0)))&amp;"-"&amp;IF(J52="",(TEXT(I52,"0.00")),TEXT(J52,"0.00"))&amp;"X"&amp;M52</f>
        <v>RM-J3/1D-2.40X620</v>
      </c>
      <c r="C52" s="173" t="s">
        <v>48</v>
      </c>
      <c r="D52" s="173" t="s">
        <v>48</v>
      </c>
      <c r="E52" s="190" t="s">
        <v>417</v>
      </c>
      <c r="F52" s="190" t="s">
        <v>418</v>
      </c>
      <c r="G52" s="173" t="s">
        <v>34</v>
      </c>
      <c r="H52" s="173" t="s">
        <v>127</v>
      </c>
      <c r="I52" s="174">
        <v>2.4</v>
      </c>
      <c r="J52" s="174"/>
      <c r="K52" s="174"/>
      <c r="L52" s="174"/>
      <c r="M52" s="191">
        <v>620</v>
      </c>
      <c r="N52" s="176">
        <v>5.0250000000000004</v>
      </c>
      <c r="O52" s="176"/>
      <c r="P52" s="177"/>
      <c r="Q52" s="178"/>
      <c r="R52" s="179"/>
      <c r="S52" s="179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80"/>
      <c r="AE52" s="173" t="s">
        <v>69</v>
      </c>
      <c r="AF52" s="181" t="s">
        <v>248</v>
      </c>
      <c r="AG52" s="181"/>
      <c r="AH52" s="181"/>
      <c r="AI52" s="181">
        <v>44384</v>
      </c>
      <c r="AJ52" s="181"/>
      <c r="AK52" s="181">
        <f ca="1">TODAY()</f>
        <v>44958</v>
      </c>
      <c r="AL52" s="173">
        <f ca="1">IF(AI52&lt;&gt;0,AK52-AI52,0)</f>
        <v>574</v>
      </c>
      <c r="AM52" s="173" t="str">
        <f>IF(ISNUMBER(X52)=TRUE,AK52-X52,IF(X52="","",(AK52)-(MID(RIGHT(X52,10),4,2)&amp;"/"&amp;LEFT((RIGHT(X52,10)),2)&amp;"/"&amp;RIGHT(X52,4))))</f>
        <v/>
      </c>
      <c r="AN52" s="181" t="s">
        <v>419</v>
      </c>
      <c r="AO52" s="190" t="s">
        <v>416</v>
      </c>
      <c r="AP52" s="176">
        <v>5.0250000000000004</v>
      </c>
      <c r="AQ52" s="176">
        <v>5.0650000000000004</v>
      </c>
      <c r="AR52" s="176">
        <v>5.0900000000000007</v>
      </c>
      <c r="AS52" s="176">
        <v>5.0950000000000006</v>
      </c>
      <c r="AT52" s="173" t="str">
        <f>IF(ISNUMBER(U52)=TRUE,AK52-U52,IF(U52="","",(AK52)-(MID(RIGHT(U52,10),4,2)&amp;"/"&amp;LEFT((RIGHT(U52,10)),2)&amp;"/"&amp;RIGHT(U52,4))))</f>
        <v/>
      </c>
      <c r="AU52" s="173">
        <v>400</v>
      </c>
      <c r="AW52" s="142" t="s">
        <v>123</v>
      </c>
    </row>
    <row r="53" spans="2:63" s="142" customFormat="1" ht="21" customHeight="1" x14ac:dyDescent="0.25">
      <c r="B53" s="173" t="str">
        <f>IF(C53="HOLD RM","HOLD RM",IF(C53="BAL","WIP",IF(C53="HOLD SLT","HOLD SLT",IF(C53="MILL","RM",IF(C53="RE SLT","WIP",IF(C53="RM","RM",IF(C53="RM BAL","RM",IF(C53="RM SLT","RM",IF(C53="RR","WIP",IF(C53="SKP","WIP",IF(C53="SLT","WIP",IF(C53="CTL","WIP",IF(C53="RM SLT RUST","RM SLT RUST",0)))))))))))))&amp;"-"&amp;G53&amp;"/"&amp;IF(H53="2B","2B",IF(H53="NO.1","1D",IF(H53="FH","FH",0)))&amp;"-"&amp;IF(J53="",(TEXT(I53,"0.00")),TEXT(J53,"0.00"))&amp;"X"&amp;M53</f>
        <v>RM-J3/1D-2.40X615</v>
      </c>
      <c r="C53" s="173" t="s">
        <v>48</v>
      </c>
      <c r="D53" s="173" t="s">
        <v>48</v>
      </c>
      <c r="E53" s="190" t="s">
        <v>420</v>
      </c>
      <c r="F53" s="190" t="s">
        <v>421</v>
      </c>
      <c r="G53" s="173" t="s">
        <v>34</v>
      </c>
      <c r="H53" s="173" t="s">
        <v>127</v>
      </c>
      <c r="I53" s="174">
        <v>2.4</v>
      </c>
      <c r="J53" s="174"/>
      <c r="K53" s="174"/>
      <c r="L53" s="174"/>
      <c r="M53" s="191">
        <v>615</v>
      </c>
      <c r="N53" s="176">
        <v>4.8099999999999996</v>
      </c>
      <c r="O53" s="176"/>
      <c r="P53" s="177"/>
      <c r="Q53" s="178"/>
      <c r="R53" s="179"/>
      <c r="S53" s="179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80"/>
      <c r="AE53" s="173" t="s">
        <v>69</v>
      </c>
      <c r="AF53" s="181" t="s">
        <v>248</v>
      </c>
      <c r="AG53" s="181"/>
      <c r="AH53" s="181"/>
      <c r="AI53" s="181">
        <v>44384</v>
      </c>
      <c r="AJ53" s="181"/>
      <c r="AK53" s="181">
        <f ca="1">TODAY()</f>
        <v>44958</v>
      </c>
      <c r="AL53" s="173">
        <f ca="1">IF(AI53&lt;&gt;0,AK53-AI53,0)</f>
        <v>574</v>
      </c>
      <c r="AM53" s="173" t="str">
        <f>IF(ISNUMBER(X53)=TRUE,AK53-X53,IF(X53="","",(AK53)-(MID(RIGHT(X53,10),4,2)&amp;"/"&amp;LEFT((RIGHT(X53,10)),2)&amp;"/"&amp;RIGHT(X53,4))))</f>
        <v/>
      </c>
      <c r="AN53" s="181" t="s">
        <v>422</v>
      </c>
      <c r="AO53" s="190" t="s">
        <v>416</v>
      </c>
      <c r="AP53" s="176">
        <v>4.8099999999999996</v>
      </c>
      <c r="AQ53" s="176">
        <v>4.8499999999999996</v>
      </c>
      <c r="AR53" s="176">
        <v>4.875</v>
      </c>
      <c r="AS53" s="176">
        <v>4.88</v>
      </c>
      <c r="AT53" s="173" t="str">
        <f>IF(ISNUMBER(U53)=TRUE,AK53-U53,IF(U53="","",(AK53)-(MID(RIGHT(U53,10),4,2)&amp;"/"&amp;LEFT((RIGHT(U53,10)),2)&amp;"/"&amp;RIGHT(U53,4))))</f>
        <v/>
      </c>
      <c r="AU53" s="173">
        <v>400</v>
      </c>
      <c r="AW53" s="142" t="s">
        <v>123</v>
      </c>
    </row>
    <row r="54" spans="2:63" s="142" customFormat="1" ht="21" customHeight="1" x14ac:dyDescent="0.25">
      <c r="B54" s="173" t="str">
        <f>IF(C54="HOLD RM","HOLD RM",IF(C54="BAL","WIP",IF(C54="HOLD SLT","HOLD SLT",IF(C54="MILL","RM",IF(C54="RE SLT","WIP",IF(C54="RM","RM",IF(C54="RM BAL","RM",IF(C54="RM SLT","RM",IF(C54="RR","WIP",IF(C54="SKP","WIP",IF(C54="SLT","WIP",IF(C54="CTL","WIP",IF(C54="RM SLT RUST","RM SLT RUST",0)))))))))))))&amp;"-"&amp;G54&amp;"/"&amp;IF(H54="2B","2B",IF(H54="NO.1","1D",IF(H54="FH","FH",0)))&amp;"-"&amp;IF(J54="",(TEXT(I54,"0.00")),TEXT(J54,"0.00"))&amp;"X"&amp;M54</f>
        <v>RM-J3/1D-2.20X670</v>
      </c>
      <c r="C54" s="173" t="s">
        <v>48</v>
      </c>
      <c r="D54" s="173" t="s">
        <v>48</v>
      </c>
      <c r="E54" s="190" t="s">
        <v>423</v>
      </c>
      <c r="F54" s="190" t="s">
        <v>424</v>
      </c>
      <c r="G54" s="173" t="s">
        <v>34</v>
      </c>
      <c r="H54" s="173" t="s">
        <v>127</v>
      </c>
      <c r="I54" s="174">
        <v>2.2000000000000002</v>
      </c>
      <c r="J54" s="174"/>
      <c r="K54" s="174"/>
      <c r="L54" s="174"/>
      <c r="M54" s="191">
        <v>670</v>
      </c>
      <c r="N54" s="176">
        <v>10.525</v>
      </c>
      <c r="O54" s="176"/>
      <c r="P54" s="177"/>
      <c r="Q54" s="178"/>
      <c r="R54" s="179"/>
      <c r="S54" s="179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80"/>
      <c r="AE54" s="173" t="s">
        <v>69</v>
      </c>
      <c r="AF54" s="181" t="s">
        <v>248</v>
      </c>
      <c r="AG54" s="181"/>
      <c r="AH54" s="181"/>
      <c r="AI54" s="181">
        <v>44384</v>
      </c>
      <c r="AJ54" s="181"/>
      <c r="AK54" s="181">
        <f ca="1">TODAY()</f>
        <v>44958</v>
      </c>
      <c r="AL54" s="173">
        <f ca="1">IF(AI54&lt;&gt;0,AK54-AI54,0)</f>
        <v>574</v>
      </c>
      <c r="AM54" s="173" t="str">
        <f>IF(ISNUMBER(X54)=TRUE,AK54-X54,IF(X54="","",(AK54)-(MID(RIGHT(X54,10),4,2)&amp;"/"&amp;LEFT((RIGHT(X54,10)),2)&amp;"/"&amp;RIGHT(X54,4))))</f>
        <v/>
      </c>
      <c r="AN54" s="181" t="s">
        <v>422</v>
      </c>
      <c r="AO54" s="190" t="s">
        <v>425</v>
      </c>
      <c r="AP54" s="176">
        <v>10.525</v>
      </c>
      <c r="AQ54" s="176">
        <v>10.565</v>
      </c>
      <c r="AR54" s="176">
        <v>10.589999999999998</v>
      </c>
      <c r="AS54" s="176">
        <v>10.594999999999999</v>
      </c>
      <c r="AT54" s="173" t="str">
        <f>IF(ISNUMBER(U54)=TRUE,AK54-U54,IF(U54="","",(AK54)-(MID(RIGHT(U54,10),4,2)&amp;"/"&amp;LEFT((RIGHT(U54,10)),2)&amp;"/"&amp;RIGHT(U54,4))))</f>
        <v/>
      </c>
      <c r="AU54" s="173">
        <v>400</v>
      </c>
      <c r="AW54" s="142" t="s">
        <v>123</v>
      </c>
    </row>
    <row r="55" spans="2:63" s="142" customFormat="1" ht="21" customHeight="1" x14ac:dyDescent="0.25">
      <c r="B55" s="173" t="str">
        <f>IF(C55="HOLD RM","HOLD RM",IF(C55="BAL","WIP",IF(C55="HOLD SLT","HOLD SLT",IF(C55="MILL","RM",IF(C55="RE SLT","WIP",IF(C55="RM","RM",IF(C55="RM BAL","RM",IF(C55="RM SLT","RM",IF(C55="RR","WIP",IF(C55="SKP","WIP",IF(C55="SLT","WIP",IF(C55="CTL","WIP",0))))))))))))&amp;"-"&amp;G55&amp;"/"&amp;IF(H55="2B","2B",IF(H55="NO.1","1D",IF(H55="FH","FH",IF(H55="BA","BA",0)))&amp;"-"&amp;IF(J55="",(TEXT(I55,"0.00")),TEXT(J55,"0.00"))&amp;"X"&amp;M55)</f>
        <v>HOLD SLT-410/BA-0.25X600</v>
      </c>
      <c r="C55" s="173" t="s">
        <v>68</v>
      </c>
      <c r="D55" s="173" t="s">
        <v>68</v>
      </c>
      <c r="E55" s="190" t="s">
        <v>426</v>
      </c>
      <c r="F55" s="190" t="s">
        <v>427</v>
      </c>
      <c r="G55" s="173">
        <v>410</v>
      </c>
      <c r="H55" s="173" t="s">
        <v>158</v>
      </c>
      <c r="I55" s="174">
        <v>0.25</v>
      </c>
      <c r="J55" s="174">
        <v>0.25</v>
      </c>
      <c r="K55" s="174"/>
      <c r="L55" s="174"/>
      <c r="M55" s="191">
        <f>296+304</f>
        <v>600</v>
      </c>
      <c r="N55" s="176">
        <v>0.85499999999999998</v>
      </c>
      <c r="O55" s="176"/>
      <c r="P55" s="177"/>
      <c r="Q55" s="178" t="s">
        <v>115</v>
      </c>
      <c r="R55" s="179" t="s">
        <v>428</v>
      </c>
      <c r="S55" s="179" t="s">
        <v>429</v>
      </c>
      <c r="T55" s="177"/>
      <c r="U55" s="177"/>
      <c r="V55" s="177"/>
      <c r="W55" s="177"/>
      <c r="X55" s="177"/>
      <c r="Y55" s="177"/>
      <c r="Z55" s="177">
        <v>44555</v>
      </c>
      <c r="AA55" s="177"/>
      <c r="AB55" s="177"/>
      <c r="AC55" s="177"/>
      <c r="AD55" s="180"/>
      <c r="AE55" s="173" t="s">
        <v>158</v>
      </c>
      <c r="AF55" s="181" t="s">
        <v>430</v>
      </c>
      <c r="AG55" s="181" t="s">
        <v>431</v>
      </c>
      <c r="AH55" s="181">
        <v>44376</v>
      </c>
      <c r="AI55" s="181">
        <v>44396</v>
      </c>
      <c r="AJ55" s="181"/>
      <c r="AK55" s="181">
        <f ca="1">TODAY()</f>
        <v>44958</v>
      </c>
      <c r="AL55" s="173">
        <f ca="1">IF(AI55&lt;&gt;0,AK55-AI55,0)</f>
        <v>562</v>
      </c>
      <c r="AM55" s="173" t="str">
        <f>IF(ISNUMBER(X55)=TRUE,AK55-X55,IF(X55="","",(AK55)-(MID(RIGHT(X55,10),4,2)&amp;"/"&amp;LEFT((RIGHT(X55,10)),2)&amp;"/"&amp;RIGHT(X55,4))))</f>
        <v/>
      </c>
      <c r="AN55" s="181" t="s">
        <v>432</v>
      </c>
      <c r="AO55" s="190" t="s">
        <v>433</v>
      </c>
      <c r="AP55" s="176">
        <v>2.5630000000000002</v>
      </c>
      <c r="AQ55" s="176">
        <f>AP55+0.01</f>
        <v>2.573</v>
      </c>
      <c r="AR55" s="176">
        <v>2.5630000000000002</v>
      </c>
      <c r="AS55" s="176">
        <f>AR55+0.01</f>
        <v>2.573</v>
      </c>
      <c r="AT55" s="173" t="str">
        <f>IF(ISNUMBER(U55)=TRUE,AK55-U55,IF(U55="","",(AK55)-(MID(RIGHT(U55,10),4,2)&amp;"/"&amp;LEFT((RIGHT(U55,10)),2)&amp;"/"&amp;RIGHT(U55,4))))</f>
        <v/>
      </c>
      <c r="AU55" s="173">
        <v>407</v>
      </c>
      <c r="AW55" s="142" t="s">
        <v>123</v>
      </c>
      <c r="BK55" s="195"/>
    </row>
    <row r="56" spans="2:63" s="142" customFormat="1" ht="21" customHeight="1" x14ac:dyDescent="0.25">
      <c r="B56" s="173" t="str">
        <f>IF(C56="HOLD RM","HOLD RM",IF(C56="BAL","WIP",IF(C56="HOLD SLT","HOLD SLT",IF(C56="MILL","RM",IF(C56="RE SLT","WIP",IF(C56="RM","RM",IF(C56="RM BAL","RM",IF(C56="RM SLT","RM",IF(C56="RR","WIP",IF(C56="SKP","WIP",IF(C56="SLT","WIP",IF(C56="CTL","WIP",0))))))))))))&amp;"-"&amp;G56&amp;"/"&amp;IF(H56="2B","2B",IF(H56="NO.1","1D",IF(H56="FH","FH",IF(H56="BA","BA",0)))&amp;"-"&amp;IF(J56="",(TEXT(I56,"0.00")),TEXT(J56,"0.00"))&amp;"X"&amp;M56)</f>
        <v>RM-410/BA-0.25X600</v>
      </c>
      <c r="C56" s="173" t="s">
        <v>155</v>
      </c>
      <c r="D56" s="173" t="s">
        <v>155</v>
      </c>
      <c r="E56" s="190" t="s">
        <v>426</v>
      </c>
      <c r="F56" s="190" t="s">
        <v>434</v>
      </c>
      <c r="G56" s="173">
        <v>410</v>
      </c>
      <c r="H56" s="173" t="s">
        <v>158</v>
      </c>
      <c r="I56" s="174">
        <v>0.25</v>
      </c>
      <c r="J56" s="174">
        <v>0.25</v>
      </c>
      <c r="K56" s="174"/>
      <c r="L56" s="174"/>
      <c r="M56" s="191">
        <v>600</v>
      </c>
      <c r="N56" s="176">
        <v>1.6850000000000001</v>
      </c>
      <c r="O56" s="176"/>
      <c r="P56" s="177"/>
      <c r="Q56" s="178"/>
      <c r="R56" s="179"/>
      <c r="S56" s="179" t="s">
        <v>435</v>
      </c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80"/>
      <c r="AE56" s="173" t="s">
        <v>158</v>
      </c>
      <c r="AF56" s="181" t="s">
        <v>430</v>
      </c>
      <c r="AG56" s="181" t="s">
        <v>431</v>
      </c>
      <c r="AH56" s="181">
        <v>44376</v>
      </c>
      <c r="AI56" s="181">
        <v>44396</v>
      </c>
      <c r="AJ56" s="181"/>
      <c r="AK56" s="181">
        <f ca="1">TODAY()</f>
        <v>44958</v>
      </c>
      <c r="AL56" s="173">
        <f ca="1">IF(AI56&lt;&gt;0,AK56-AI56,0)</f>
        <v>562</v>
      </c>
      <c r="AM56" s="173" t="str">
        <f>IF(ISNUMBER(X56)=TRUE,AK56-X56,IF(X56="","",(AK56)-(MID(RIGHT(X56,10),4,2)&amp;"/"&amp;LEFT((RIGHT(X56,10)),2)&amp;"/"&amp;RIGHT(X56,4))))</f>
        <v/>
      </c>
      <c r="AN56" s="181" t="s">
        <v>432</v>
      </c>
      <c r="AO56" s="190" t="s">
        <v>433</v>
      </c>
      <c r="AP56" s="176">
        <v>2.5630000000000002</v>
      </c>
      <c r="AQ56" s="176">
        <f>AP56+0.01</f>
        <v>2.573</v>
      </c>
      <c r="AR56" s="176">
        <v>2.5630000000000002</v>
      </c>
      <c r="AS56" s="176">
        <f>AR56+0.01</f>
        <v>2.573</v>
      </c>
      <c r="AT56" s="173" t="str">
        <f>IF(ISNUMBER(U56)=TRUE,AK56-U56,IF(U56="","",(AK56)-(MID(RIGHT(U56,10),4,2)&amp;"/"&amp;LEFT((RIGHT(U56,10)),2)&amp;"/"&amp;RIGHT(U56,4))))</f>
        <v/>
      </c>
      <c r="AU56" s="173">
        <v>407</v>
      </c>
      <c r="AW56" s="142" t="s">
        <v>123</v>
      </c>
      <c r="BK56" s="195"/>
    </row>
    <row r="57" spans="2:63" s="142" customFormat="1" ht="21" customHeight="1" x14ac:dyDescent="0.25">
      <c r="B57" s="173" t="str">
        <f>IF(C57="HOLD RM","HOLD RM",IF(C57="BAL","WIP",IF(C57="HOLD SLT","HOLD SLT",IF(C57="MILL","RM",IF(C57="RE SLT","WIP",IF(C57="RM","RM",IF(C57="RM BAL","RM",IF(C57="RM SLT","RM",IF(C57="RR","WIP",IF(C57="SKP","WIP",IF(C57="SLT","WIP",IF(C57="CTL","WIP",0))))))))))))&amp;"-"&amp;G57&amp;"/"&amp;IF(H57="2B","2B",IF(H57="NO.1","1D",IF(H57="FH","FH",IF(H57="BA","BA",0)))&amp;"-"&amp;IF(J57="",(TEXT(I57,"0.00")),TEXT(J57,"0.00"))&amp;"X"&amp;M57)</f>
        <v>WIP-J3/2B</v>
      </c>
      <c r="C57" s="173" t="s">
        <v>18</v>
      </c>
      <c r="D57" s="173" t="s">
        <v>146</v>
      </c>
      <c r="E57" s="190" t="s">
        <v>436</v>
      </c>
      <c r="F57" s="190" t="s">
        <v>437</v>
      </c>
      <c r="G57" s="173" t="s">
        <v>34</v>
      </c>
      <c r="H57" s="173" t="s">
        <v>114</v>
      </c>
      <c r="I57" s="174">
        <v>0.72</v>
      </c>
      <c r="J57" s="174">
        <v>0.4</v>
      </c>
      <c r="K57" s="174">
        <v>0.39</v>
      </c>
      <c r="L57" s="174">
        <v>0.4</v>
      </c>
      <c r="M57" s="191">
        <v>610</v>
      </c>
      <c r="N57" s="176">
        <v>9.7799999999999994</v>
      </c>
      <c r="O57" s="176" t="s">
        <v>114</v>
      </c>
      <c r="P57" s="177"/>
      <c r="Q57" s="178" t="s">
        <v>115</v>
      </c>
      <c r="R57" s="179" t="s">
        <v>438</v>
      </c>
      <c r="S57" s="179" t="s">
        <v>439</v>
      </c>
      <c r="T57" s="177">
        <v>44491</v>
      </c>
      <c r="U57" s="177"/>
      <c r="V57" s="177">
        <v>44492</v>
      </c>
      <c r="W57" s="177"/>
      <c r="X57" s="177">
        <v>44718</v>
      </c>
      <c r="Y57" s="177"/>
      <c r="Z57" s="177" t="s">
        <v>440</v>
      </c>
      <c r="AA57" s="177"/>
      <c r="AB57" s="177"/>
      <c r="AC57" s="177"/>
      <c r="AD57" s="180"/>
      <c r="AE57" s="173" t="s">
        <v>70</v>
      </c>
      <c r="AF57" s="181" t="s">
        <v>248</v>
      </c>
      <c r="AG57" s="181"/>
      <c r="AH57" s="181"/>
      <c r="AI57" s="181">
        <v>44398</v>
      </c>
      <c r="AJ57" s="181"/>
      <c r="AK57" s="181">
        <f ca="1">TODAY()</f>
        <v>44958</v>
      </c>
      <c r="AL57" s="173">
        <f ca="1">IF(AI57&lt;&gt;0,AK57-AI57,0)</f>
        <v>560</v>
      </c>
      <c r="AM57" s="173">
        <f ca="1">IF(ISNUMBER(X57)=TRUE,AK57-X57,IF(X57="","",(AK57)-(MID(RIGHT(X57,10),4,2)&amp;"/"&amp;LEFT((RIGHT(X57,10)),2)&amp;"/"&amp;RIGHT(X57,4))))</f>
        <v>240</v>
      </c>
      <c r="AN57" s="181" t="s">
        <v>441</v>
      </c>
      <c r="AO57" s="190" t="s">
        <v>442</v>
      </c>
      <c r="AP57" s="176">
        <v>9.9570000000000007</v>
      </c>
      <c r="AQ57" s="176">
        <v>9.9969999999999999</v>
      </c>
      <c r="AR57" s="176">
        <v>10.021999999999998</v>
      </c>
      <c r="AS57" s="176">
        <v>10.026999999999999</v>
      </c>
      <c r="AT57" s="173" t="str">
        <f>IF(ISNUMBER(U57)=TRUE,AK57-U57,IF(U57="","",(AK57)-(MID(RIGHT(U57,10),4,2)&amp;"/"&amp;LEFT((RIGHT(U57,10)),2)&amp;"/"&amp;RIGHT(U57,4))))</f>
        <v/>
      </c>
      <c r="AU57" s="173">
        <v>408</v>
      </c>
      <c r="AW57" s="142" t="s">
        <v>123</v>
      </c>
      <c r="BK57" s="182" t="s">
        <v>443</v>
      </c>
    </row>
    <row r="58" spans="2:63" s="142" customFormat="1" ht="21" customHeight="1" x14ac:dyDescent="0.25">
      <c r="B58" s="173" t="str">
        <f>IF(C58="HOLD RM","HOLD RM",IF(C58="BAL","WIP",IF(C58="HOLD SLT","HOLD SLT",IF(C58="MILL","RM",IF(C58="RE SLT","WIP",IF(C58="RM","RM",IF(C58="RM BAL","RM",IF(C58="RM SLT","RM",IF(C58="RR","WIP",IF(C58="SKP","WIP",IF(C58="SLT","WIP",IF(C58="CTL","WIP",0))))))))))))&amp;"-"&amp;G58&amp;"/"&amp;IF(H58="2B","2B",IF(H58="NO.1","1D",IF(H58="FH","FH",IF(H58="BA","BA",0)))&amp;"-"&amp;IF(J58="",(TEXT(I58,"0.00")),TEXT(J58,"0.00"))&amp;"X"&amp;M58)</f>
        <v>WIP-J3/2B</v>
      </c>
      <c r="C58" s="173" t="s">
        <v>18</v>
      </c>
      <c r="D58" s="173" t="s">
        <v>146</v>
      </c>
      <c r="E58" s="190" t="s">
        <v>444</v>
      </c>
      <c r="F58" s="190" t="s">
        <v>445</v>
      </c>
      <c r="G58" s="173" t="s">
        <v>34</v>
      </c>
      <c r="H58" s="173" t="s">
        <v>114</v>
      </c>
      <c r="I58" s="174">
        <v>0.72</v>
      </c>
      <c r="J58" s="174">
        <v>0.4</v>
      </c>
      <c r="K58" s="174">
        <v>0.39</v>
      </c>
      <c r="L58" s="174">
        <v>0.4</v>
      </c>
      <c r="M58" s="191">
        <v>610</v>
      </c>
      <c r="N58" s="176">
        <v>9.77</v>
      </c>
      <c r="O58" s="176" t="s">
        <v>114</v>
      </c>
      <c r="P58" s="177"/>
      <c r="Q58" s="178" t="s">
        <v>115</v>
      </c>
      <c r="R58" s="179" t="s">
        <v>438</v>
      </c>
      <c r="S58" s="179" t="s">
        <v>446</v>
      </c>
      <c r="T58" s="177">
        <v>44493</v>
      </c>
      <c r="U58" s="177"/>
      <c r="V58" s="177">
        <v>44494</v>
      </c>
      <c r="W58" s="177"/>
      <c r="X58" s="177">
        <v>44720</v>
      </c>
      <c r="Y58" s="177"/>
      <c r="Z58" s="177" t="s">
        <v>440</v>
      </c>
      <c r="AA58" s="177"/>
      <c r="AB58" s="177"/>
      <c r="AC58" s="177"/>
      <c r="AD58" s="180"/>
      <c r="AE58" s="173" t="s">
        <v>70</v>
      </c>
      <c r="AF58" s="181" t="s">
        <v>248</v>
      </c>
      <c r="AG58" s="181"/>
      <c r="AH58" s="181"/>
      <c r="AI58" s="181">
        <v>44398</v>
      </c>
      <c r="AJ58" s="181"/>
      <c r="AK58" s="181">
        <f ca="1">TODAY()</f>
        <v>44958</v>
      </c>
      <c r="AL58" s="173">
        <f ca="1">IF(AI58&lt;&gt;0,AK58-AI58,0)</f>
        <v>560</v>
      </c>
      <c r="AM58" s="173">
        <f ca="1">IF(ISNUMBER(X58)=TRUE,AK58-X58,IF(X58="","",(AK58)-(MID(RIGHT(X58,10),4,2)&amp;"/"&amp;LEFT((RIGHT(X58,10)),2)&amp;"/"&amp;RIGHT(X58,4))))</f>
        <v>238</v>
      </c>
      <c r="AN58" s="181" t="s">
        <v>441</v>
      </c>
      <c r="AO58" s="190" t="s">
        <v>447</v>
      </c>
      <c r="AP58" s="176">
        <v>9.9429999999999996</v>
      </c>
      <c r="AQ58" s="176">
        <v>9.9829999999999988</v>
      </c>
      <c r="AR58" s="176">
        <v>10.007999999999997</v>
      </c>
      <c r="AS58" s="176">
        <v>10.012999999999998</v>
      </c>
      <c r="AT58" s="173" t="str">
        <f>IF(ISNUMBER(U58)=TRUE,AK58-U58,IF(U58="","",(AK58)-(MID(RIGHT(U58,10),4,2)&amp;"/"&amp;LEFT((RIGHT(U58,10)),2)&amp;"/"&amp;RIGHT(U58,4))))</f>
        <v/>
      </c>
      <c r="AU58" s="173">
        <v>408</v>
      </c>
      <c r="AW58" s="142" t="s">
        <v>123</v>
      </c>
      <c r="BK58" s="182" t="s">
        <v>448</v>
      </c>
    </row>
    <row r="59" spans="2:63" s="142" customFormat="1" ht="21" customHeight="1" x14ac:dyDescent="0.25">
      <c r="B59" s="173" t="str">
        <f>IF(C59="HOLD RM","HOLD RM",IF(C59="BAL","WIP",IF(C59="HOLD SLT","HOLD SLT",IF(C59="MILL","RM",IF(C59="RE SLT","WIP",IF(C59="RM","RM",IF(C59="RM BAL","RM",IF(C59="RM SLT","RM",IF(C59="RR","WIP",IF(C59="SKP","WIP",IF(C59="SLT","WIP",IF(C59="CTL","WIP",0))))))))))))&amp;"-"&amp;G59&amp;"/"&amp;IF(H59="2B","2B",IF(H59="NO.1","1D",IF(H59="FH","FH",IF(H59="BA","BA",0)))&amp;"-"&amp;IF(J59="",(TEXT(I59,"0.00")),TEXT(J59,"0.00"))&amp;"X"&amp;M59)</f>
        <v>RM-J3/2B</v>
      </c>
      <c r="C59" s="173" t="s">
        <v>155</v>
      </c>
      <c r="D59" s="173" t="s">
        <v>155</v>
      </c>
      <c r="E59" s="190" t="s">
        <v>449</v>
      </c>
      <c r="F59" s="190" t="s">
        <v>450</v>
      </c>
      <c r="G59" s="173" t="s">
        <v>34</v>
      </c>
      <c r="H59" s="173" t="s">
        <v>114</v>
      </c>
      <c r="I59" s="174">
        <v>0.72</v>
      </c>
      <c r="J59" s="174">
        <v>0.72</v>
      </c>
      <c r="K59" s="174"/>
      <c r="L59" s="174"/>
      <c r="M59" s="191">
        <v>620</v>
      </c>
      <c r="N59" s="176">
        <v>9.9610000000000003</v>
      </c>
      <c r="O59" s="176"/>
      <c r="P59" s="177"/>
      <c r="Q59" s="178"/>
      <c r="R59" s="179"/>
      <c r="S59" s="179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80"/>
      <c r="AE59" s="173" t="s">
        <v>114</v>
      </c>
      <c r="AF59" s="181" t="s">
        <v>248</v>
      </c>
      <c r="AG59" s="181"/>
      <c r="AH59" s="181"/>
      <c r="AI59" s="181">
        <v>44398</v>
      </c>
      <c r="AJ59" s="181"/>
      <c r="AK59" s="181">
        <f ca="1">TODAY()</f>
        <v>44958</v>
      </c>
      <c r="AL59" s="173">
        <f ca="1">IF(AI59&lt;&gt;0,AK59-AI59,0)</f>
        <v>560</v>
      </c>
      <c r="AM59" s="173" t="str">
        <f>IF(ISNUMBER(X59)=TRUE,AK59-X59,IF(X59="","",(AK59)-(MID(RIGHT(X59,10),4,2)&amp;"/"&amp;LEFT((RIGHT(X59,10)),2)&amp;"/"&amp;RIGHT(X59,4))))</f>
        <v/>
      </c>
      <c r="AN59" s="181" t="s">
        <v>451</v>
      </c>
      <c r="AO59" s="190" t="s">
        <v>452</v>
      </c>
      <c r="AP59" s="176">
        <v>9.9610000000000003</v>
      </c>
      <c r="AQ59" s="176">
        <v>10.000999999999999</v>
      </c>
      <c r="AR59" s="176">
        <v>10.025999999999998</v>
      </c>
      <c r="AS59" s="176">
        <v>10.030999999999999</v>
      </c>
      <c r="AT59" s="173" t="str">
        <f>IF(ISNUMBER(U59)=TRUE,AK59-U59,IF(U59="","",(AK59)-(MID(RIGHT(U59,10),4,2)&amp;"/"&amp;LEFT((RIGHT(U59,10)),2)&amp;"/"&amp;RIGHT(U59,4))))</f>
        <v/>
      </c>
      <c r="AU59" s="173">
        <v>408</v>
      </c>
      <c r="AW59" s="142" t="s">
        <v>123</v>
      </c>
      <c r="BK59" s="195"/>
    </row>
    <row r="60" spans="2:63" s="142" customFormat="1" ht="21" customHeight="1" x14ac:dyDescent="0.25">
      <c r="B60" s="173" t="str">
        <f>IF(C60="HOLD RM","HOLD RM",IF(C60="BAL","WIP",IF(C60="HOLD SLT","HOLD SLT",IF(C60="MILL","RM",IF(C60="RE SLT","WIP",IF(C60="RM","RM",IF(C60="RM BAL","RM",IF(C60="RM SLT","RM",IF(C60="RR","WIP",IF(C60="SKP","WIP",IF(C60="SLT","WIP",IF(C60="CTL","WIP",0))))))))))))&amp;"-"&amp;G60&amp;"/"&amp;IF(H60="2B","2B",IF(H60="NO.1","1D",IF(H60="FH","FH",IF(H60="BA","BA",0)))&amp;"-"&amp;IF(J60="",(TEXT(I60,"0.00")),TEXT(J60,"0.00"))&amp;"X"&amp;M60)</f>
        <v>RM-J3/2B</v>
      </c>
      <c r="C60" s="173" t="s">
        <v>155</v>
      </c>
      <c r="D60" s="173" t="s">
        <v>155</v>
      </c>
      <c r="E60" s="190" t="s">
        <v>453</v>
      </c>
      <c r="F60" s="190" t="s">
        <v>454</v>
      </c>
      <c r="G60" s="173" t="s">
        <v>34</v>
      </c>
      <c r="H60" s="173" t="s">
        <v>114</v>
      </c>
      <c r="I60" s="174">
        <v>0.72</v>
      </c>
      <c r="J60" s="174">
        <v>0.72</v>
      </c>
      <c r="K60" s="174"/>
      <c r="L60" s="174"/>
      <c r="M60" s="191">
        <v>620</v>
      </c>
      <c r="N60" s="176">
        <v>9.8849999999999998</v>
      </c>
      <c r="O60" s="176"/>
      <c r="P60" s="177"/>
      <c r="Q60" s="178"/>
      <c r="R60" s="179"/>
      <c r="S60" s="179"/>
      <c r="T60" s="177"/>
      <c r="U60" s="177"/>
      <c r="V60" s="177"/>
      <c r="W60" s="177"/>
      <c r="X60" s="177"/>
      <c r="Y60" s="177"/>
      <c r="Z60" s="177"/>
      <c r="AA60" s="177"/>
      <c r="AB60" s="177"/>
      <c r="AC60" s="177"/>
      <c r="AD60" s="180"/>
      <c r="AE60" s="173" t="s">
        <v>114</v>
      </c>
      <c r="AF60" s="181" t="s">
        <v>248</v>
      </c>
      <c r="AG60" s="181"/>
      <c r="AH60" s="181"/>
      <c r="AI60" s="181">
        <v>44398</v>
      </c>
      <c r="AJ60" s="181"/>
      <c r="AK60" s="181">
        <f ca="1">TODAY()</f>
        <v>44958</v>
      </c>
      <c r="AL60" s="173">
        <f ca="1">IF(AI60&lt;&gt;0,AK60-AI60,0)</f>
        <v>560</v>
      </c>
      <c r="AM60" s="173" t="str">
        <f>IF(ISNUMBER(X60)=TRUE,AK60-X60,IF(X60="","",(AK60)-(MID(RIGHT(X60,10),4,2)&amp;"/"&amp;LEFT((RIGHT(X60,10)),2)&amp;"/"&amp;RIGHT(X60,4))))</f>
        <v/>
      </c>
      <c r="AN60" s="181" t="s">
        <v>451</v>
      </c>
      <c r="AO60" s="190" t="s">
        <v>455</v>
      </c>
      <c r="AP60" s="176">
        <v>9.8849999999999998</v>
      </c>
      <c r="AQ60" s="176">
        <v>9.9249999999999989</v>
      </c>
      <c r="AR60" s="176">
        <v>9.9499999999999975</v>
      </c>
      <c r="AS60" s="176">
        <v>9.9549999999999983</v>
      </c>
      <c r="AT60" s="173" t="str">
        <f>IF(ISNUMBER(U60)=TRUE,AK60-U60,IF(U60="","",(AK60)-(MID(RIGHT(U60,10),4,2)&amp;"/"&amp;LEFT((RIGHT(U60,10)),2)&amp;"/"&amp;RIGHT(U60,4))))</f>
        <v/>
      </c>
      <c r="AU60" s="173">
        <v>408</v>
      </c>
      <c r="AW60" s="142" t="s">
        <v>123</v>
      </c>
      <c r="BK60" s="195"/>
    </row>
    <row r="61" spans="2:63" s="142" customFormat="1" ht="21" customHeight="1" x14ac:dyDescent="0.25">
      <c r="B61" s="173" t="str">
        <f>IF(C61="HOLD RM","HOLD RM",IF(C61="BAL","WIP",IF(C61="HOLD SLT","HOLD SLT",IF(C61="MILL","RM",IF(C61="RE SLT","WIP",IF(C61="RM","RM",IF(C61="RM BAL","RM",IF(C61="RM SLT","RM",IF(C61="RR","WIP",IF(C61="SKP","WIP",IF(C61="SLT","WIP",IF(C61="CTL","WIP",0))))))))))))&amp;"-"&amp;G61&amp;"/"&amp;IF(H61="2B","2B",IF(H61="NO.1","1D",IF(H61="FH","FH",IF(H61="BA","BA",0)))&amp;"-"&amp;IF(J61="",(TEXT(I61,"0.00")),TEXT(J61,"0.00"))&amp;"X"&amp;M61)</f>
        <v>RM-J3/2B</v>
      </c>
      <c r="C61" s="173" t="s">
        <v>155</v>
      </c>
      <c r="D61" s="173" t="s">
        <v>155</v>
      </c>
      <c r="E61" s="190" t="s">
        <v>456</v>
      </c>
      <c r="F61" s="190" t="s">
        <v>457</v>
      </c>
      <c r="G61" s="173" t="s">
        <v>34</v>
      </c>
      <c r="H61" s="173" t="s">
        <v>114</v>
      </c>
      <c r="I61" s="174">
        <v>0.72</v>
      </c>
      <c r="J61" s="174">
        <v>0.72</v>
      </c>
      <c r="K61" s="174"/>
      <c r="L61" s="174"/>
      <c r="M61" s="191">
        <v>620</v>
      </c>
      <c r="N61" s="176">
        <v>9.7330000000000005</v>
      </c>
      <c r="O61" s="176"/>
      <c r="P61" s="177"/>
      <c r="Q61" s="178"/>
      <c r="R61" s="179"/>
      <c r="S61" s="179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80"/>
      <c r="AE61" s="173" t="s">
        <v>114</v>
      </c>
      <c r="AF61" s="181" t="s">
        <v>248</v>
      </c>
      <c r="AG61" s="181"/>
      <c r="AH61" s="181"/>
      <c r="AI61" s="181">
        <v>44398</v>
      </c>
      <c r="AJ61" s="181"/>
      <c r="AK61" s="181">
        <f ca="1">TODAY()</f>
        <v>44958</v>
      </c>
      <c r="AL61" s="173">
        <f ca="1">IF(AI61&lt;&gt;0,AK61-AI61,0)</f>
        <v>560</v>
      </c>
      <c r="AM61" s="173" t="str">
        <f>IF(ISNUMBER(X61)=TRUE,AK61-X61,IF(X61="","",(AK61)-(MID(RIGHT(X61,10),4,2)&amp;"/"&amp;LEFT((RIGHT(X61,10)),2)&amp;"/"&amp;RIGHT(X61,4))))</f>
        <v/>
      </c>
      <c r="AN61" s="181" t="s">
        <v>458</v>
      </c>
      <c r="AO61" s="190" t="s">
        <v>459</v>
      </c>
      <c r="AP61" s="176">
        <v>9.7330000000000005</v>
      </c>
      <c r="AQ61" s="176">
        <v>9.7729999999999997</v>
      </c>
      <c r="AR61" s="176">
        <v>9.7979999999999983</v>
      </c>
      <c r="AS61" s="176">
        <v>9.802999999999999</v>
      </c>
      <c r="AT61" s="173" t="str">
        <f>IF(ISNUMBER(U61)=TRUE,AK61-U61,IF(U61="","",(AK61)-(MID(RIGHT(U61,10),4,2)&amp;"/"&amp;LEFT((RIGHT(U61,10)),2)&amp;"/"&amp;RIGHT(U61,4))))</f>
        <v/>
      </c>
      <c r="AU61" s="173">
        <v>408</v>
      </c>
      <c r="AW61" s="142" t="s">
        <v>123</v>
      </c>
      <c r="BK61" s="195"/>
    </row>
    <row r="62" spans="2:63" s="142" customFormat="1" ht="21" customHeight="1" x14ac:dyDescent="0.25">
      <c r="B62" s="173" t="str">
        <f>IF(C62="HOLD RM","HOLD RM",IF(C62="BAL","WIP",IF(C62="HOLD SLT","HOLD SLT",IF(C62="MILL","RM",IF(C62="RE SLT","WIP",IF(C62="RM","RM",IF(C62="RM BAL","RM",IF(C62="RM SLT","RM",IF(C62="RR","WIP",IF(C62="SKP","WIP",IF(C62="SLT","WIP",IF(C62="CTL","WIP",0))))))))))))&amp;"-"&amp;G62&amp;"/"&amp;IF(H62="2B","2B",IF(H62="NO.1","1D",IF(H62="FH","FH",IF(H62="BA","BA",0)))&amp;"-"&amp;IF(J62="",(TEXT(I62,"0.00")),TEXT(J62,"0.00"))&amp;"X"&amp;M62)</f>
        <v>RM-J3/2B</v>
      </c>
      <c r="C62" s="173" t="s">
        <v>155</v>
      </c>
      <c r="D62" s="173" t="s">
        <v>155</v>
      </c>
      <c r="E62" s="190" t="s">
        <v>460</v>
      </c>
      <c r="F62" s="190" t="s">
        <v>461</v>
      </c>
      <c r="G62" s="173" t="s">
        <v>34</v>
      </c>
      <c r="H62" s="173" t="s">
        <v>114</v>
      </c>
      <c r="I62" s="174">
        <v>0.72</v>
      </c>
      <c r="J62" s="174">
        <v>0.72</v>
      </c>
      <c r="K62" s="174"/>
      <c r="L62" s="174"/>
      <c r="M62" s="191">
        <v>620</v>
      </c>
      <c r="N62" s="176">
        <v>9.8230000000000004</v>
      </c>
      <c r="O62" s="176"/>
      <c r="P62" s="177"/>
      <c r="Q62" s="178"/>
      <c r="R62" s="179"/>
      <c r="S62" s="179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80"/>
      <c r="AE62" s="173" t="s">
        <v>114</v>
      </c>
      <c r="AF62" s="181" t="s">
        <v>248</v>
      </c>
      <c r="AG62" s="181"/>
      <c r="AH62" s="181"/>
      <c r="AI62" s="181">
        <v>44398</v>
      </c>
      <c r="AJ62" s="181"/>
      <c r="AK62" s="181">
        <f ca="1">TODAY()</f>
        <v>44958</v>
      </c>
      <c r="AL62" s="173">
        <f ca="1">IF(AI62&lt;&gt;0,AK62-AI62,0)</f>
        <v>560</v>
      </c>
      <c r="AM62" s="173" t="str">
        <f>IF(ISNUMBER(X62)=TRUE,AK62-X62,IF(X62="","",(AK62)-(MID(RIGHT(X62,10),4,2)&amp;"/"&amp;LEFT((RIGHT(X62,10)),2)&amp;"/"&amp;RIGHT(X62,4))))</f>
        <v/>
      </c>
      <c r="AN62" s="181" t="s">
        <v>458</v>
      </c>
      <c r="AO62" s="190" t="s">
        <v>462</v>
      </c>
      <c r="AP62" s="176">
        <v>9.8230000000000004</v>
      </c>
      <c r="AQ62" s="176">
        <v>9.8629999999999995</v>
      </c>
      <c r="AR62" s="176">
        <v>9.8879999999999981</v>
      </c>
      <c r="AS62" s="176">
        <v>9.8929999999999989</v>
      </c>
      <c r="AT62" s="173" t="str">
        <f>IF(ISNUMBER(U62)=TRUE,AK62-U62,IF(U62="","",(AK62)-(MID(RIGHT(U62,10),4,2)&amp;"/"&amp;LEFT((RIGHT(U62,10)),2)&amp;"/"&amp;RIGHT(U62,4))))</f>
        <v/>
      </c>
      <c r="AU62" s="173">
        <v>408</v>
      </c>
      <c r="AW62" s="142" t="s">
        <v>123</v>
      </c>
      <c r="BK62" s="195"/>
    </row>
    <row r="63" spans="2:63" s="142" customFormat="1" ht="21" customHeight="1" x14ac:dyDescent="0.25">
      <c r="B63" s="173" t="str">
        <f>IF(C63="HOLD RM","HOLD RM",IF(C63="BAL","WIP",IF(C63="HOLD SLT","HOLD SLT",IF(C63="MILL","RM",IF(C63="RE SLT","WIP",IF(C63="RM","RM",IF(C63="RM BAL","RM",IF(C63="RM SLT","RM",IF(C63="RR","WIP",IF(C63="SKP","WIP",IF(C63="SLT","WIP",IF(C63="CTL","WIP",0))))))))))))&amp;"-"&amp;G63&amp;"/"&amp;IF(H63="2B","2B",IF(H63="NO.1","1D",IF(H63="FH","FH",IF(H63="BA","BA",0)))&amp;"-"&amp;IF(J63="",(TEXT(I63,"0.00")),TEXT(J63,"0.00"))&amp;"X"&amp;M63)</f>
        <v>RM-J3/2B</v>
      </c>
      <c r="C63" s="173" t="s">
        <v>155</v>
      </c>
      <c r="D63" s="173" t="s">
        <v>155</v>
      </c>
      <c r="E63" s="190" t="s">
        <v>463</v>
      </c>
      <c r="F63" s="190" t="s">
        <v>464</v>
      </c>
      <c r="G63" s="173" t="s">
        <v>34</v>
      </c>
      <c r="H63" s="173" t="s">
        <v>114</v>
      </c>
      <c r="I63" s="174">
        <v>0.72</v>
      </c>
      <c r="J63" s="174">
        <v>0.72</v>
      </c>
      <c r="K63" s="174"/>
      <c r="L63" s="174"/>
      <c r="M63" s="191">
        <v>620</v>
      </c>
      <c r="N63" s="176">
        <v>9.9809999999999999</v>
      </c>
      <c r="O63" s="176"/>
      <c r="P63" s="177"/>
      <c r="Q63" s="178"/>
      <c r="R63" s="179"/>
      <c r="S63" s="179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80"/>
      <c r="AE63" s="173" t="s">
        <v>114</v>
      </c>
      <c r="AF63" s="181" t="s">
        <v>248</v>
      </c>
      <c r="AG63" s="181"/>
      <c r="AH63" s="181"/>
      <c r="AI63" s="181">
        <v>44398</v>
      </c>
      <c r="AJ63" s="181"/>
      <c r="AK63" s="181">
        <f ca="1">TODAY()</f>
        <v>44958</v>
      </c>
      <c r="AL63" s="173">
        <f ca="1">IF(AI63&lt;&gt;0,AK63-AI63,0)</f>
        <v>560</v>
      </c>
      <c r="AM63" s="173" t="str">
        <f>IF(ISNUMBER(X63)=TRUE,AK63-X63,IF(X63="","",(AK63)-(MID(RIGHT(X63,10),4,2)&amp;"/"&amp;LEFT((RIGHT(X63,10)),2)&amp;"/"&amp;RIGHT(X63,4))))</f>
        <v/>
      </c>
      <c r="AN63" s="181" t="s">
        <v>465</v>
      </c>
      <c r="AO63" s="190" t="s">
        <v>466</v>
      </c>
      <c r="AP63" s="176">
        <v>9.9809999999999999</v>
      </c>
      <c r="AQ63" s="176">
        <v>10.020999999999999</v>
      </c>
      <c r="AR63" s="176">
        <v>10.045999999999998</v>
      </c>
      <c r="AS63" s="176">
        <v>10.050999999999998</v>
      </c>
      <c r="AT63" s="173" t="str">
        <f>IF(ISNUMBER(U63)=TRUE,AK63-U63,IF(U63="","",(AK63)-(MID(RIGHT(U63,10),4,2)&amp;"/"&amp;LEFT((RIGHT(U63,10)),2)&amp;"/"&amp;RIGHT(U63,4))))</f>
        <v/>
      </c>
      <c r="AU63" s="173">
        <v>408</v>
      </c>
      <c r="AW63" s="142" t="s">
        <v>123</v>
      </c>
      <c r="BK63" s="195"/>
    </row>
    <row r="64" spans="2:63" s="142" customFormat="1" ht="21" customHeight="1" x14ac:dyDescent="0.25">
      <c r="B64" s="173" t="str">
        <f>IF(C64="HOLD RM","HOLD RM",IF(C64="BAL","WIP",IF(C64="HOLD SLT","HOLD SLT",IF(C64="MILL","RM",IF(C64="RE SLT","WIP",IF(C64="RM","RM",IF(C64="RM BAL","RM",IF(C64="RM SLT","RM",IF(C64="RR","WIP",IF(C64="SKP","WIP",IF(C64="SLT","WIP",IF(C64="CTL","WIP",0))))))))))))&amp;"-"&amp;G64&amp;"/"&amp;IF(H64="2B","2B",IF(H64="NO.1","1D",IF(H64="FH","FH",IF(H64="BA","BA",0)))&amp;"-"&amp;IF(J64="",(TEXT(I64,"0.00")),TEXT(J64,"0.00"))&amp;"X"&amp;M64)</f>
        <v>RM-J3/2B</v>
      </c>
      <c r="C64" s="173" t="s">
        <v>155</v>
      </c>
      <c r="D64" s="173" t="s">
        <v>155</v>
      </c>
      <c r="E64" s="190" t="s">
        <v>467</v>
      </c>
      <c r="F64" s="190" t="s">
        <v>468</v>
      </c>
      <c r="G64" s="173" t="s">
        <v>34</v>
      </c>
      <c r="H64" s="173" t="s">
        <v>114</v>
      </c>
      <c r="I64" s="174">
        <v>0.92</v>
      </c>
      <c r="J64" s="174">
        <v>0.92</v>
      </c>
      <c r="K64" s="174"/>
      <c r="L64" s="174"/>
      <c r="M64" s="191">
        <v>620</v>
      </c>
      <c r="N64" s="176">
        <v>10.035</v>
      </c>
      <c r="O64" s="176"/>
      <c r="P64" s="177"/>
      <c r="Q64" s="178"/>
      <c r="R64" s="179"/>
      <c r="S64" s="179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80"/>
      <c r="AE64" s="173" t="s">
        <v>114</v>
      </c>
      <c r="AF64" s="181" t="s">
        <v>248</v>
      </c>
      <c r="AG64" s="181"/>
      <c r="AH64" s="181"/>
      <c r="AI64" s="181">
        <v>44398</v>
      </c>
      <c r="AJ64" s="181"/>
      <c r="AK64" s="181">
        <f ca="1">TODAY()</f>
        <v>44958</v>
      </c>
      <c r="AL64" s="173">
        <f ca="1">IF(AI64&lt;&gt;0,AK64-AI64,0)</f>
        <v>560</v>
      </c>
      <c r="AM64" s="173" t="str">
        <f>IF(ISNUMBER(X64)=TRUE,AK64-X64,IF(X64="","",(AK64)-(MID(RIGHT(X64,10),4,2)&amp;"/"&amp;LEFT((RIGHT(X64,10)),2)&amp;"/"&amp;RIGHT(X64,4))))</f>
        <v/>
      </c>
      <c r="AN64" s="181" t="s">
        <v>465</v>
      </c>
      <c r="AO64" s="190" t="s">
        <v>442</v>
      </c>
      <c r="AP64" s="176">
        <v>10.035</v>
      </c>
      <c r="AQ64" s="176">
        <v>10.074999999999999</v>
      </c>
      <c r="AR64" s="176">
        <v>10.099999999999998</v>
      </c>
      <c r="AS64" s="176">
        <v>10.104999999999999</v>
      </c>
      <c r="AT64" s="173" t="str">
        <f>IF(ISNUMBER(U64)=TRUE,AK64-U64,IF(U64="","",(AK64)-(MID(RIGHT(U64,10),4,2)&amp;"/"&amp;LEFT((RIGHT(U64,10)),2)&amp;"/"&amp;RIGHT(U64,4))))</f>
        <v/>
      </c>
      <c r="AU64" s="173">
        <v>408</v>
      </c>
      <c r="AW64" s="142" t="s">
        <v>123</v>
      </c>
      <c r="BK64" s="195"/>
    </row>
    <row r="65" spans="2:63" s="142" customFormat="1" ht="21" customHeight="1" x14ac:dyDescent="0.25">
      <c r="B65" s="173" t="str">
        <f>IF(C65="HOLD RM","HOLD RM",IF(C65="BAL","WIP",IF(C65="HOLD SLT","HOLD SLT",IF(C65="MILL","RM",IF(C65="RE SLT","WIP",IF(C65="RM","RM",IF(C65="RM BAL","RM",IF(C65="RM SLT","RM",IF(C65="RR","WIP",IF(C65="SKP","WIP",IF(C65="SLT","WIP",IF(C65="CTL","WIP",0))))))))))))&amp;"-"&amp;G65&amp;"/"&amp;IF(H65="2B","2B",IF(H65="NO.1","1D",IF(H65="FH","FH",IF(H65="BA","BA",0)))&amp;"-"&amp;IF(J65="",(TEXT(I65,"0.00")),TEXT(J65,"0.00"))&amp;"X"&amp;M65)</f>
        <v>RM-J3/2B</v>
      </c>
      <c r="C65" s="173" t="s">
        <v>155</v>
      </c>
      <c r="D65" s="173" t="s">
        <v>155</v>
      </c>
      <c r="E65" s="190" t="s">
        <v>469</v>
      </c>
      <c r="F65" s="190" t="s">
        <v>470</v>
      </c>
      <c r="G65" s="173" t="s">
        <v>34</v>
      </c>
      <c r="H65" s="173" t="s">
        <v>114</v>
      </c>
      <c r="I65" s="174">
        <v>0.92</v>
      </c>
      <c r="J65" s="174">
        <v>0.92</v>
      </c>
      <c r="K65" s="174"/>
      <c r="L65" s="174"/>
      <c r="M65" s="191">
        <v>620</v>
      </c>
      <c r="N65" s="176">
        <v>9.9489999999999998</v>
      </c>
      <c r="O65" s="176"/>
      <c r="P65" s="177"/>
      <c r="Q65" s="178"/>
      <c r="R65" s="179"/>
      <c r="S65" s="179" t="s">
        <v>471</v>
      </c>
      <c r="T65" s="177"/>
      <c r="U65" s="177"/>
      <c r="V65" s="177"/>
      <c r="W65" s="177"/>
      <c r="X65" s="177"/>
      <c r="Y65" s="177"/>
      <c r="Z65" s="177">
        <v>44921</v>
      </c>
      <c r="AA65" s="177"/>
      <c r="AB65" s="177"/>
      <c r="AC65" s="177"/>
      <c r="AD65" s="180"/>
      <c r="AE65" s="173" t="s">
        <v>114</v>
      </c>
      <c r="AF65" s="181" t="s">
        <v>248</v>
      </c>
      <c r="AG65" s="181"/>
      <c r="AH65" s="181"/>
      <c r="AI65" s="181">
        <v>44398</v>
      </c>
      <c r="AJ65" s="181"/>
      <c r="AK65" s="181">
        <f ca="1">TODAY()</f>
        <v>44958</v>
      </c>
      <c r="AL65" s="173">
        <f ca="1">IF(AI65&lt;&gt;0,AK65-AI65,0)</f>
        <v>560</v>
      </c>
      <c r="AM65" s="173" t="str">
        <f>IF(ISNUMBER(X65)=TRUE,AK65-X65,IF(X65="","",(AK65)-(MID(RIGHT(X65,10),4,2)&amp;"/"&amp;LEFT((RIGHT(X65,10)),2)&amp;"/"&amp;RIGHT(X65,4))))</f>
        <v/>
      </c>
      <c r="AN65" s="181" t="s">
        <v>472</v>
      </c>
      <c r="AO65" s="190" t="s">
        <v>462</v>
      </c>
      <c r="AP65" s="176">
        <v>9.9489999999999998</v>
      </c>
      <c r="AQ65" s="176">
        <v>9.988999999999999</v>
      </c>
      <c r="AR65" s="176">
        <v>10.013999999999998</v>
      </c>
      <c r="AS65" s="176">
        <v>10.018999999999998</v>
      </c>
      <c r="AT65" s="173" t="str">
        <f>IF(ISNUMBER(U65)=TRUE,AK65-U65,IF(U65="","",(AK65)-(MID(RIGHT(U65,10),4,2)&amp;"/"&amp;LEFT((RIGHT(U65,10)),2)&amp;"/"&amp;RIGHT(U65,4))))</f>
        <v/>
      </c>
      <c r="AU65" s="173">
        <v>408</v>
      </c>
      <c r="AW65" s="142" t="s">
        <v>123</v>
      </c>
      <c r="BK65" s="195"/>
    </row>
    <row r="66" spans="2:63" s="142" customFormat="1" ht="21" customHeight="1" x14ac:dyDescent="0.25">
      <c r="B66" s="173" t="str">
        <f>IF(C66="HOLD RM","HOLD RM",IF(C66="BAL","WIP",IF(C66="HOLD SLT","HOLD SLT",IF(C66="MILL","RM",IF(C66="RE SLT","WIP",IF(C66="RM","RM",IF(C66="RM BAL","RM",IF(C66="RM SLT","RM",IF(C66="RR","WIP",IF(C66="SKP","WIP",IF(C66="SLT","WIP",IF(C66="CTL","WIP",0))))))))))))&amp;"-"&amp;G66&amp;"/"&amp;IF(H66="2B","2B",IF(H66="NO.1","1D",IF(H66="FH","FH",IF(H66="BA","BA",0)))&amp;"-"&amp;IF(J66="",(TEXT(I66,"0.00")),TEXT(J66,"0.00"))&amp;"X"&amp;M66)</f>
        <v>RM-J3/2B</v>
      </c>
      <c r="C66" s="173" t="s">
        <v>155</v>
      </c>
      <c r="D66" s="173" t="s">
        <v>155</v>
      </c>
      <c r="E66" s="190" t="s">
        <v>473</v>
      </c>
      <c r="F66" s="190" t="s">
        <v>474</v>
      </c>
      <c r="G66" s="173" t="s">
        <v>34</v>
      </c>
      <c r="H66" s="173" t="s">
        <v>114</v>
      </c>
      <c r="I66" s="174">
        <v>0.75</v>
      </c>
      <c r="J66" s="174">
        <v>0.75</v>
      </c>
      <c r="K66" s="174"/>
      <c r="L66" s="174"/>
      <c r="M66" s="191">
        <v>730</v>
      </c>
      <c r="N66" s="176">
        <v>6.3310000000000004</v>
      </c>
      <c r="O66" s="176"/>
      <c r="P66" s="177"/>
      <c r="Q66" s="178"/>
      <c r="R66" s="179"/>
      <c r="S66" s="179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80"/>
      <c r="AE66" s="173" t="s">
        <v>114</v>
      </c>
      <c r="AF66" s="181" t="s">
        <v>248</v>
      </c>
      <c r="AG66" s="181"/>
      <c r="AH66" s="181"/>
      <c r="AI66" s="181">
        <v>44398</v>
      </c>
      <c r="AJ66" s="181"/>
      <c r="AK66" s="181">
        <f ca="1">TODAY()</f>
        <v>44958</v>
      </c>
      <c r="AL66" s="173">
        <f ca="1">IF(AI66&lt;&gt;0,AK66-AI66,0)</f>
        <v>560</v>
      </c>
      <c r="AM66" s="173" t="str">
        <f>IF(ISNUMBER(X66)=TRUE,AK66-X66,IF(X66="","",(AK66)-(MID(RIGHT(X66,10),4,2)&amp;"/"&amp;LEFT((RIGHT(X66,10)),2)&amp;"/"&amp;RIGHT(X66,4))))</f>
        <v/>
      </c>
      <c r="AN66" s="181" t="s">
        <v>441</v>
      </c>
      <c r="AO66" s="190" t="s">
        <v>475</v>
      </c>
      <c r="AP66" s="176">
        <v>6.3310000000000004</v>
      </c>
      <c r="AQ66" s="176">
        <v>6.3710000000000004</v>
      </c>
      <c r="AR66" s="176">
        <v>6.3960000000000008</v>
      </c>
      <c r="AS66" s="176">
        <v>6.4010000000000007</v>
      </c>
      <c r="AT66" s="173" t="str">
        <f>IF(ISNUMBER(U66)=TRUE,AK66-U66,IF(U66="","",(AK66)-(MID(RIGHT(U66,10),4,2)&amp;"/"&amp;LEFT((RIGHT(U66,10)),2)&amp;"/"&amp;RIGHT(U66,4))))</f>
        <v/>
      </c>
      <c r="AU66" s="173">
        <v>408</v>
      </c>
      <c r="AW66" s="142" t="s">
        <v>123</v>
      </c>
      <c r="BK66" s="195"/>
    </row>
    <row r="67" spans="2:63" s="142" customFormat="1" ht="21" customHeight="1" x14ac:dyDescent="0.25">
      <c r="B67" s="173" t="str">
        <f>IF(C67="HOLD RM","HOLD RM",IF(C67="BAL","WIP",IF(C67="HOLD SLT","HOLD SLT",IF(C67="MILL","RM",IF(C67="RE SLT","WIP",IF(C67="RM","RM",IF(C67="RM BAL","RM",IF(C67="RM SLT","RM",IF(C67="RR","WIP",IF(C67="SKP","WIP",IF(C67="SLT","WIP",IF(C67="CTL","WIP",0))))))))))))&amp;"-"&amp;G67&amp;"/"&amp;IF(H67="2B","2B",IF(H67="NO.1","1D",IF(H67="FH","FH",IF(H67="BA","BA",0)))&amp;"-"&amp;IF(J67="",(TEXT(I67,"0.00")),TEXT(J67,"0.00"))&amp;"X"&amp;M67)</f>
        <v>RM-J3/2B</v>
      </c>
      <c r="C67" s="173" t="s">
        <v>155</v>
      </c>
      <c r="D67" s="173" t="s">
        <v>155</v>
      </c>
      <c r="E67" s="190" t="s">
        <v>476</v>
      </c>
      <c r="F67" s="190" t="s">
        <v>477</v>
      </c>
      <c r="G67" s="173" t="s">
        <v>34</v>
      </c>
      <c r="H67" s="173" t="s">
        <v>114</v>
      </c>
      <c r="I67" s="174">
        <v>0.75</v>
      </c>
      <c r="J67" s="174">
        <v>0.75</v>
      </c>
      <c r="K67" s="174"/>
      <c r="L67" s="174"/>
      <c r="M67" s="191">
        <v>730</v>
      </c>
      <c r="N67" s="176">
        <v>5.7469999999999999</v>
      </c>
      <c r="O67" s="176"/>
      <c r="P67" s="177"/>
      <c r="Q67" s="178"/>
      <c r="R67" s="179"/>
      <c r="S67" s="179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80"/>
      <c r="AE67" s="173" t="s">
        <v>114</v>
      </c>
      <c r="AF67" s="181" t="s">
        <v>248</v>
      </c>
      <c r="AG67" s="181"/>
      <c r="AH67" s="181"/>
      <c r="AI67" s="181">
        <v>44398</v>
      </c>
      <c r="AJ67" s="181"/>
      <c r="AK67" s="181">
        <f ca="1">TODAY()</f>
        <v>44958</v>
      </c>
      <c r="AL67" s="173">
        <f ca="1">IF(AI67&lt;&gt;0,AK67-AI67,0)</f>
        <v>560</v>
      </c>
      <c r="AM67" s="173" t="str">
        <f>IF(ISNUMBER(X67)=TRUE,AK67-X67,IF(X67="","",(AK67)-(MID(RIGHT(X67,10),4,2)&amp;"/"&amp;LEFT((RIGHT(X67,10)),2)&amp;"/"&amp;RIGHT(X67,4))))</f>
        <v/>
      </c>
      <c r="AN67" s="181" t="s">
        <v>458</v>
      </c>
      <c r="AO67" s="190" t="s">
        <v>478</v>
      </c>
      <c r="AP67" s="176">
        <v>5.7469999999999999</v>
      </c>
      <c r="AQ67" s="176">
        <v>5.7869999999999999</v>
      </c>
      <c r="AR67" s="176">
        <v>5.8120000000000003</v>
      </c>
      <c r="AS67" s="176">
        <v>5.8170000000000002</v>
      </c>
      <c r="AT67" s="173" t="str">
        <f>IF(ISNUMBER(U67)=TRUE,AK67-U67,IF(U67="","",(AK67)-(MID(RIGHT(U67,10),4,2)&amp;"/"&amp;LEFT((RIGHT(U67,10)),2)&amp;"/"&amp;RIGHT(U67,4))))</f>
        <v/>
      </c>
      <c r="AU67" s="173">
        <v>408</v>
      </c>
      <c r="AW67" s="142" t="s">
        <v>123</v>
      </c>
      <c r="BK67" s="195"/>
    </row>
    <row r="68" spans="2:63" s="142" customFormat="1" ht="21" customHeight="1" x14ac:dyDescent="0.25">
      <c r="B68" s="173" t="str">
        <f>IF(C68="HOLD RM","HOLD RM",IF(C68="BAL","WIP",IF(C68="HOLD SLT","HOLD SLT",IF(C68="MILL","RM",IF(C68="RE SLT","WIP",IF(C68="RM","RM",IF(C68="RM BAL","RM",IF(C68="RM SLT","RM",IF(C68="RR","WIP",IF(C68="SKP","WIP",IF(C68="SLT","WIP",IF(C68="CTL","WIP",0))))))))))))&amp;"-"&amp;G68&amp;"/"&amp;IF(H68="2B","2B",IF(H68="NO.1","1D",IF(H68="FH","FH",IF(H68="BA","BA",0)))&amp;"-"&amp;IF(J68="",(TEXT(I68,"0.00")),TEXT(J68,"0.00"))&amp;"X"&amp;M68)</f>
        <v>RM-J3/2B</v>
      </c>
      <c r="C68" s="173" t="s">
        <v>155</v>
      </c>
      <c r="D68" s="173" t="s">
        <v>155</v>
      </c>
      <c r="E68" s="190" t="s">
        <v>479</v>
      </c>
      <c r="F68" s="190" t="s">
        <v>480</v>
      </c>
      <c r="G68" s="173" t="s">
        <v>34</v>
      </c>
      <c r="H68" s="173" t="s">
        <v>114</v>
      </c>
      <c r="I68" s="174">
        <v>0.72</v>
      </c>
      <c r="J68" s="174">
        <v>0.72</v>
      </c>
      <c r="K68" s="174"/>
      <c r="L68" s="174"/>
      <c r="M68" s="191">
        <v>620</v>
      </c>
      <c r="N68" s="176">
        <v>9.3529999999999998</v>
      </c>
      <c r="O68" s="176"/>
      <c r="P68" s="177"/>
      <c r="Q68" s="178"/>
      <c r="R68" s="179"/>
      <c r="S68" s="179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80"/>
      <c r="AE68" s="173" t="s">
        <v>114</v>
      </c>
      <c r="AF68" s="181" t="s">
        <v>248</v>
      </c>
      <c r="AG68" s="181"/>
      <c r="AH68" s="181"/>
      <c r="AI68" s="181">
        <v>44398</v>
      </c>
      <c r="AJ68" s="181"/>
      <c r="AK68" s="181">
        <f ca="1">TODAY()</f>
        <v>44958</v>
      </c>
      <c r="AL68" s="173">
        <f ca="1">IF(AI68&lt;&gt;0,AK68-AI68,0)</f>
        <v>560</v>
      </c>
      <c r="AM68" s="173" t="str">
        <f>IF(ISNUMBER(X68)=TRUE,AK68-X68,IF(X68="","",(AK68)-(MID(RIGHT(X68,10),4,2)&amp;"/"&amp;LEFT((RIGHT(X68,10)),2)&amp;"/"&amp;RIGHT(X68,4))))</f>
        <v/>
      </c>
      <c r="AN68" s="181" t="s">
        <v>472</v>
      </c>
      <c r="AO68" s="190" t="s">
        <v>481</v>
      </c>
      <c r="AP68" s="176">
        <v>9.3529999999999998</v>
      </c>
      <c r="AQ68" s="176">
        <v>9.3929999999999989</v>
      </c>
      <c r="AR68" s="176">
        <v>9.4179999999999975</v>
      </c>
      <c r="AS68" s="176">
        <v>9.4229999999999983</v>
      </c>
      <c r="AT68" s="173" t="str">
        <f>IF(ISNUMBER(U68)=TRUE,AK68-U68,IF(U68="","",(AK68)-(MID(RIGHT(U68,10),4,2)&amp;"/"&amp;LEFT((RIGHT(U68,10)),2)&amp;"/"&amp;RIGHT(U68,4))))</f>
        <v/>
      </c>
      <c r="AU68" s="173">
        <v>408</v>
      </c>
      <c r="AW68" s="142" t="s">
        <v>123</v>
      </c>
      <c r="BK68" s="195"/>
    </row>
    <row r="69" spans="2:63" s="142" customFormat="1" ht="21" customHeight="1" x14ac:dyDescent="0.25">
      <c r="B69" s="173" t="str">
        <f>IF(C69="HOLD RM","HOLD RM",IF(C69="BAL","WIP",IF(C69="HOLD SLT","HOLD SLT",IF(C69="MILL","RM",IF(C69="RE SLT","WIP",IF(C69="RM","RM",IF(C69="RM BAL","RM",IF(C69="RM SLT","RM",IF(C69="RR","WIP",IF(C69="SKP","WIP",IF(C69="SLT","WIP",IF(C69="CTL","WIP",0))))))))))))&amp;"-"&amp;G69&amp;"/"&amp;IF(H69="2B","2B",IF(H69="NO.1","1D",IF(H69="FH","FH",IF(H69="BA","BA",0)))&amp;"-"&amp;IF(J69="",(TEXT(I69,"0.00")),TEXT(J69,"0.00"))&amp;"X"&amp;M69)</f>
        <v>RM-J3/2B</v>
      </c>
      <c r="C69" s="173" t="s">
        <v>155</v>
      </c>
      <c r="D69" s="173" t="s">
        <v>155</v>
      </c>
      <c r="E69" s="190" t="s">
        <v>482</v>
      </c>
      <c r="F69" s="190" t="s">
        <v>483</v>
      </c>
      <c r="G69" s="173" t="s">
        <v>34</v>
      </c>
      <c r="H69" s="173" t="s">
        <v>114</v>
      </c>
      <c r="I69" s="174">
        <v>0.72</v>
      </c>
      <c r="J69" s="174">
        <v>0.72</v>
      </c>
      <c r="K69" s="174"/>
      <c r="L69" s="174"/>
      <c r="M69" s="191">
        <v>620</v>
      </c>
      <c r="N69" s="176">
        <v>4.8949999999999996</v>
      </c>
      <c r="O69" s="176"/>
      <c r="P69" s="177"/>
      <c r="Q69" s="178"/>
      <c r="R69" s="179"/>
      <c r="S69" s="179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80"/>
      <c r="AE69" s="173" t="s">
        <v>114</v>
      </c>
      <c r="AF69" s="181" t="s">
        <v>248</v>
      </c>
      <c r="AG69" s="181"/>
      <c r="AH69" s="181"/>
      <c r="AI69" s="181">
        <v>44398</v>
      </c>
      <c r="AJ69" s="181"/>
      <c r="AK69" s="181">
        <f ca="1">TODAY()</f>
        <v>44958</v>
      </c>
      <c r="AL69" s="173">
        <f ca="1">IF(AI69&lt;&gt;0,AK69-AI69,0)</f>
        <v>560</v>
      </c>
      <c r="AM69" s="173" t="str">
        <f>IF(ISNUMBER(X69)=TRUE,AK69-X69,IF(X69="","",(AK69)-(MID(RIGHT(X69,10),4,2)&amp;"/"&amp;LEFT((RIGHT(X69,10)),2)&amp;"/"&amp;RIGHT(X69,4))))</f>
        <v/>
      </c>
      <c r="AN69" s="181" t="s">
        <v>472</v>
      </c>
      <c r="AO69" s="190" t="s">
        <v>455</v>
      </c>
      <c r="AP69" s="176">
        <v>4.8949999999999996</v>
      </c>
      <c r="AQ69" s="176">
        <v>4.9349999999999996</v>
      </c>
      <c r="AR69" s="176">
        <v>4.96</v>
      </c>
      <c r="AS69" s="176">
        <v>4.9649999999999999</v>
      </c>
      <c r="AT69" s="173" t="str">
        <f>IF(ISNUMBER(U69)=TRUE,AK69-U69,IF(U69="","",(AK69)-(MID(RIGHT(U69,10),4,2)&amp;"/"&amp;LEFT((RIGHT(U69,10)),2)&amp;"/"&amp;RIGHT(U69,4))))</f>
        <v/>
      </c>
      <c r="AU69" s="173">
        <v>408</v>
      </c>
      <c r="AW69" s="142" t="s">
        <v>123</v>
      </c>
      <c r="BK69" s="195"/>
    </row>
    <row r="70" spans="2:63" s="142" customFormat="1" ht="21" customHeight="1" x14ac:dyDescent="0.25">
      <c r="B70" s="173" t="str">
        <f>IF(C70="HOLD RM","HOLD RM",IF(C70="BAL","WIP",IF(C70="HOLD SLT","HOLD SLT",IF(C70="MILL","RM",IF(C70="RE SLT","WIP",IF(C70="RM","RM",IF(C70="RM BAL","RM",IF(C70="RM SLT","RM",IF(C70="RR","WIP",IF(C70="SKP","WIP",IF(C70="SLT","WIP",IF(C70="CTL","WIP",0))))))))))))&amp;"-"&amp;G70&amp;"/"&amp;IF(H70="2B","2B",IF(H70="NO.1","1D",IF(H70="FH","FH",IF(H70="BA","BA",0)))&amp;"-"&amp;IF(J70="",(TEXT(I70,"0.00")),TEXT(J70,"0.00"))&amp;"X"&amp;M70)</f>
        <v>RM-J3/2B</v>
      </c>
      <c r="C70" s="173" t="s">
        <v>155</v>
      </c>
      <c r="D70" s="173" t="s">
        <v>155</v>
      </c>
      <c r="E70" s="190" t="s">
        <v>484</v>
      </c>
      <c r="F70" s="190" t="s">
        <v>485</v>
      </c>
      <c r="G70" s="173" t="s">
        <v>34</v>
      </c>
      <c r="H70" s="173" t="s">
        <v>114</v>
      </c>
      <c r="I70" s="174">
        <v>0.72</v>
      </c>
      <c r="J70" s="174">
        <v>0.72</v>
      </c>
      <c r="K70" s="174"/>
      <c r="L70" s="174"/>
      <c r="M70" s="191">
        <v>620</v>
      </c>
      <c r="N70" s="176">
        <v>5.1109999999999998</v>
      </c>
      <c r="O70" s="176"/>
      <c r="P70" s="177"/>
      <c r="Q70" s="178"/>
      <c r="R70" s="179"/>
      <c r="S70" s="179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80"/>
      <c r="AE70" s="173" t="s">
        <v>114</v>
      </c>
      <c r="AF70" s="181" t="s">
        <v>248</v>
      </c>
      <c r="AG70" s="181"/>
      <c r="AH70" s="181"/>
      <c r="AI70" s="181">
        <v>44398</v>
      </c>
      <c r="AJ70" s="181"/>
      <c r="AK70" s="181">
        <f ca="1">TODAY()</f>
        <v>44958</v>
      </c>
      <c r="AL70" s="173">
        <f ca="1">IF(AI70&lt;&gt;0,AK70-AI70,0)</f>
        <v>560</v>
      </c>
      <c r="AM70" s="173" t="str">
        <f>IF(ISNUMBER(X70)=TRUE,AK70-X70,IF(X70="","",(AK70)-(MID(RIGHT(X70,10),4,2)&amp;"/"&amp;LEFT((RIGHT(X70,10)),2)&amp;"/"&amp;RIGHT(X70,4))))</f>
        <v/>
      </c>
      <c r="AN70" s="181" t="s">
        <v>465</v>
      </c>
      <c r="AO70" s="190" t="s">
        <v>455</v>
      </c>
      <c r="AP70" s="176">
        <v>5.1109999999999998</v>
      </c>
      <c r="AQ70" s="176">
        <v>5.1509999999999998</v>
      </c>
      <c r="AR70" s="176">
        <v>5.1760000000000002</v>
      </c>
      <c r="AS70" s="176">
        <v>5.181</v>
      </c>
      <c r="AT70" s="173" t="str">
        <f>IF(ISNUMBER(U70)=TRUE,AK70-U70,IF(U70="","",(AK70)-(MID(RIGHT(U70,10),4,2)&amp;"/"&amp;LEFT((RIGHT(U70,10)),2)&amp;"/"&amp;RIGHT(U70,4))))</f>
        <v/>
      </c>
      <c r="AU70" s="173">
        <v>408</v>
      </c>
      <c r="AW70" s="142" t="s">
        <v>123</v>
      </c>
      <c r="BK70" s="195"/>
    </row>
    <row r="71" spans="2:63" s="142" customFormat="1" ht="21" customHeight="1" x14ac:dyDescent="0.25">
      <c r="B71" s="173" t="str">
        <f>IF(C71="HOLD RM","HOLD RM",IF(C71="BAL","WIP",IF(C71="HOLD SLT","HOLD SLT",IF(C71="MILL","RM",IF(C71="RE SLT","WIP",IF(C71="RM","RM",IF(C71="RM BAL","RM",IF(C71="RM SLT","RM",IF(C71="RR","WIP",IF(C71="SKP","WIP",IF(C71="SLT","WIP",IF(C71="CTL","WIP",0))))))))))))&amp;"-"&amp;G71&amp;"/"&amp;IF(H71="2B","2B",IF(H71="NO.1","1D",IF(H71="FH","FH",IF(H71="BA","BA",0)))&amp;"-"&amp;IF(J71="",(TEXT(I71,"0.00")),TEXT(J71,"0.00"))&amp;"X"&amp;M71)</f>
        <v>WIP-J3/FH-0.56X620</v>
      </c>
      <c r="C71" s="173" t="s">
        <v>16</v>
      </c>
      <c r="D71" s="173" t="s">
        <v>16</v>
      </c>
      <c r="E71" s="190" t="s">
        <v>486</v>
      </c>
      <c r="F71" s="190" t="s">
        <v>487</v>
      </c>
      <c r="G71" s="173" t="s">
        <v>34</v>
      </c>
      <c r="H71" s="173" t="s">
        <v>70</v>
      </c>
      <c r="I71" s="174">
        <v>0.92</v>
      </c>
      <c r="J71" s="174">
        <v>0.56000000000000005</v>
      </c>
      <c r="K71" s="174"/>
      <c r="L71" s="174"/>
      <c r="M71" s="191">
        <v>620</v>
      </c>
      <c r="N71" s="176">
        <v>9.9550000000000001</v>
      </c>
      <c r="O71" s="176" t="s">
        <v>114</v>
      </c>
      <c r="P71" s="177"/>
      <c r="Q71" s="178" t="s">
        <v>294</v>
      </c>
      <c r="R71" s="179"/>
      <c r="S71" s="179"/>
      <c r="T71" s="177"/>
      <c r="U71" s="177"/>
      <c r="V71" s="177"/>
      <c r="W71" s="177">
        <v>44861</v>
      </c>
      <c r="X71" s="177"/>
      <c r="Y71" s="177"/>
      <c r="Z71" s="177"/>
      <c r="AA71" s="177"/>
      <c r="AB71" s="177"/>
      <c r="AC71" s="177"/>
      <c r="AD71" s="180"/>
      <c r="AE71" s="173" t="s">
        <v>114</v>
      </c>
      <c r="AF71" s="181" t="s">
        <v>248</v>
      </c>
      <c r="AG71" s="181"/>
      <c r="AH71" s="181"/>
      <c r="AI71" s="181">
        <v>44398</v>
      </c>
      <c r="AJ71" s="181"/>
      <c r="AK71" s="181">
        <f ca="1">TODAY()</f>
        <v>44958</v>
      </c>
      <c r="AL71" s="173">
        <f ca="1">IF(AI71&lt;&gt;0,AK71-AI71,0)</f>
        <v>560</v>
      </c>
      <c r="AM71" s="173" t="str">
        <f>IF(ISNUMBER(X71)=TRUE,AK71-X71,IF(X71="","",(AK71)-(MID(RIGHT(X71,10),4,2)&amp;"/"&amp;LEFT((RIGHT(X71,10)),2)&amp;"/"&amp;RIGHT(X71,4))))</f>
        <v/>
      </c>
      <c r="AN71" s="181"/>
      <c r="AO71" s="190" t="s">
        <v>488</v>
      </c>
      <c r="AP71" s="176">
        <v>9.9550000000000001</v>
      </c>
      <c r="AQ71" s="176">
        <v>9.9949999999999992</v>
      </c>
      <c r="AR71" s="176">
        <v>10.019999999999998</v>
      </c>
      <c r="AS71" s="176">
        <v>10.024999999999999</v>
      </c>
      <c r="AT71" s="173" t="str">
        <f>IF(ISNUMBER(U71)=TRUE,AK71-U71,IF(U71="","",(AK71)-(MID(RIGHT(U71,10),4,2)&amp;"/"&amp;LEFT((RIGHT(U71,10)),2)&amp;"/"&amp;RIGHT(U71,4))))</f>
        <v/>
      </c>
      <c r="AU71" s="173">
        <v>408</v>
      </c>
      <c r="AW71" s="142" t="s">
        <v>123</v>
      </c>
      <c r="BK71" s="195"/>
    </row>
    <row r="72" spans="2:63" s="142" customFormat="1" ht="21" customHeight="1" x14ac:dyDescent="0.25">
      <c r="B72" s="173" t="str">
        <f>IF(C72="HOLD RM","HOLD RM",IF(C72="BAL","WIP",IF(C72="HOLD SLT","HOLD SLT",IF(C72="MILL","RM",IF(C72="RE SLT","WIP",IF(C72="RM","RM",IF(C72="RM BAL","RM",IF(C72="RM SLT","RM",IF(C72="RR","WIP",IF(C72="SKP","WIP",IF(C72="SLT","WIP",IF(C72="CTL","WIP",0))))))))))))&amp;"-"&amp;G72&amp;"/"&amp;IF(H72="2B","2B",IF(H72="NO.1","1D",IF(H72="FH","FH",IF(H72="BA","BA",0)))&amp;"-"&amp;IF(J72="",(TEXT(I72,"0.00")),TEXT(J72,"0.00"))&amp;"X"&amp;M72)</f>
        <v>WIP-J3/FH-0.56X620</v>
      </c>
      <c r="C72" s="173" t="s">
        <v>16</v>
      </c>
      <c r="D72" s="173" t="s">
        <v>16</v>
      </c>
      <c r="E72" s="196" t="s">
        <v>489</v>
      </c>
      <c r="F72" s="190" t="s">
        <v>490</v>
      </c>
      <c r="G72" s="173" t="s">
        <v>34</v>
      </c>
      <c r="H72" s="173" t="s">
        <v>70</v>
      </c>
      <c r="I72" s="174">
        <v>0.92</v>
      </c>
      <c r="J72" s="174">
        <v>0.56000000000000005</v>
      </c>
      <c r="K72" s="174"/>
      <c r="L72" s="174"/>
      <c r="M72" s="191">
        <v>620</v>
      </c>
      <c r="N72" s="176">
        <v>9.57</v>
      </c>
      <c r="O72" s="176" t="s">
        <v>114</v>
      </c>
      <c r="P72" s="177"/>
      <c r="Q72" s="178" t="s">
        <v>294</v>
      </c>
      <c r="R72" s="179"/>
      <c r="S72" s="179"/>
      <c r="T72" s="177" t="s">
        <v>491</v>
      </c>
      <c r="U72" s="177">
        <v>44856</v>
      </c>
      <c r="V72" s="177"/>
      <c r="W72" s="177">
        <v>44858</v>
      </c>
      <c r="X72" s="177"/>
      <c r="Y72" s="177"/>
      <c r="Z72" s="177"/>
      <c r="AA72" s="177"/>
      <c r="AB72" s="177"/>
      <c r="AC72" s="177"/>
      <c r="AD72" s="180"/>
      <c r="AE72" s="173" t="s">
        <v>114</v>
      </c>
      <c r="AF72" s="181" t="s">
        <v>248</v>
      </c>
      <c r="AG72" s="181"/>
      <c r="AH72" s="181"/>
      <c r="AI72" s="181">
        <v>44398</v>
      </c>
      <c r="AJ72" s="181"/>
      <c r="AK72" s="181">
        <f ca="1">TODAY()</f>
        <v>44958</v>
      </c>
      <c r="AL72" s="173">
        <f ca="1">IF(AI72&lt;&gt;0,AK72-AI72,0)</f>
        <v>560</v>
      </c>
      <c r="AM72" s="173" t="str">
        <f>IF(ISNUMBER(X72)=TRUE,AK72-X72,IF(X72="","",(AK72)-(MID(RIGHT(X72,10),4,2)&amp;"/"&amp;LEFT((RIGHT(X72,10)),2)&amp;"/"&amp;RIGHT(X72,4))))</f>
        <v/>
      </c>
      <c r="AN72" s="181"/>
      <c r="AO72" s="190" t="s">
        <v>492</v>
      </c>
      <c r="AP72" s="176">
        <v>9.9329999999999998</v>
      </c>
      <c r="AQ72" s="176">
        <v>9.972999999999999</v>
      </c>
      <c r="AR72" s="176">
        <v>9.9979999999999976</v>
      </c>
      <c r="AS72" s="176">
        <v>10.002999999999998</v>
      </c>
      <c r="AT72" s="173">
        <f ca="1">IF(ISNUMBER(U72)=TRUE,AK72-U72,IF(U72="","",(AK72)-(MID(RIGHT(U72,10),4,2)&amp;"/"&amp;LEFT((RIGHT(U72,10)),2)&amp;"/"&amp;RIGHT(U72,4))))</f>
        <v>102</v>
      </c>
      <c r="AU72" s="173">
        <v>408</v>
      </c>
      <c r="AW72" s="142" t="s">
        <v>123</v>
      </c>
      <c r="BK72" s="195"/>
    </row>
    <row r="73" spans="2:63" s="142" customFormat="1" ht="21" customHeight="1" x14ac:dyDescent="0.25">
      <c r="B73" s="173" t="str">
        <f>IF(C73="HOLD RM","HOLD RM",IF(C73="BAL","WIP",IF(C73="HOLD SLT","HOLD SLT",IF(C73="MILL","RM",IF(C73="RE SLT","WIP",IF(C73="RM","RM",IF(C73="RM BAL","RM",IF(C73="RM SLT","RM",IF(C73="RR","WIP",IF(C73="SKP","WIP",IF(C73="SLT","WIP",IF(C73="CTL","WIP",0))))))))))))&amp;"-"&amp;G73&amp;"/"&amp;IF(H73="2B","2B",IF(H73="NO.1","1D",IF(H73="FH","FH",IF(H73="BA","BA",0)))&amp;"-"&amp;IF(J73="",(TEXT(I73,"0.00")),TEXT(J73,"0.00"))&amp;"X"&amp;M73)</f>
        <v>RM-J3/2B</v>
      </c>
      <c r="C73" s="173" t="s">
        <v>155</v>
      </c>
      <c r="D73" s="173" t="s">
        <v>155</v>
      </c>
      <c r="E73" s="190" t="s">
        <v>493</v>
      </c>
      <c r="F73" s="190" t="s">
        <v>494</v>
      </c>
      <c r="G73" s="173" t="s">
        <v>34</v>
      </c>
      <c r="H73" s="173" t="s">
        <v>114</v>
      </c>
      <c r="I73" s="174">
        <v>0.92</v>
      </c>
      <c r="J73" s="174">
        <v>0.92</v>
      </c>
      <c r="K73" s="174"/>
      <c r="L73" s="174"/>
      <c r="M73" s="191">
        <v>620</v>
      </c>
      <c r="N73" s="176">
        <v>9.9269999999999996</v>
      </c>
      <c r="O73" s="176"/>
      <c r="P73" s="177"/>
      <c r="Q73" s="178"/>
      <c r="R73" s="179"/>
      <c r="S73" s="179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80"/>
      <c r="AE73" s="173" t="s">
        <v>114</v>
      </c>
      <c r="AF73" s="181" t="s">
        <v>248</v>
      </c>
      <c r="AG73" s="181"/>
      <c r="AH73" s="181"/>
      <c r="AI73" s="181">
        <v>44398</v>
      </c>
      <c r="AJ73" s="181"/>
      <c r="AK73" s="181">
        <f ca="1">TODAY()</f>
        <v>44958</v>
      </c>
      <c r="AL73" s="173">
        <f ca="1">IF(AI73&lt;&gt;0,AK73-AI73,0)</f>
        <v>560</v>
      </c>
      <c r="AM73" s="173" t="str">
        <f>IF(ISNUMBER(X73)=TRUE,AK73-X73,IF(X73="","",(AK73)-(MID(RIGHT(X73,10),4,2)&amp;"/"&amp;LEFT((RIGHT(X73,10)),2)&amp;"/"&amp;RIGHT(X73,4))))</f>
        <v/>
      </c>
      <c r="AN73" s="181"/>
      <c r="AO73" s="190" t="s">
        <v>495</v>
      </c>
      <c r="AP73" s="176">
        <v>9.9269999999999996</v>
      </c>
      <c r="AQ73" s="176">
        <v>9.9669999999999987</v>
      </c>
      <c r="AR73" s="176">
        <v>9.9919999999999973</v>
      </c>
      <c r="AS73" s="176">
        <v>9.9969999999999981</v>
      </c>
      <c r="AT73" s="173" t="str">
        <f>IF(ISNUMBER(U73)=TRUE,AK73-U73,IF(U73="","",(AK73)-(MID(RIGHT(U73,10),4,2)&amp;"/"&amp;LEFT((RIGHT(U73,10)),2)&amp;"/"&amp;RIGHT(U73,4))))</f>
        <v/>
      </c>
      <c r="AU73" s="173">
        <v>408</v>
      </c>
      <c r="AW73" s="142" t="s">
        <v>123</v>
      </c>
      <c r="BK73" s="195"/>
    </row>
    <row r="74" spans="2:63" s="142" customFormat="1" ht="21" customHeight="1" x14ac:dyDescent="0.25">
      <c r="B74" s="173" t="str">
        <f>IF(C74="HOLD RM","HOLD RM",IF(C74="BAL","WIP",IF(C74="HOLD SLT","HOLD SLT",IF(C74="MILL","RM",IF(C74="RE SLT","WIP",IF(C74="RM","RM",IF(C74="RM BAL","RM",IF(C74="RM SLT","RM",IF(C74="RR","WIP",IF(C74="SKP","WIP",IF(C74="SLT","WIP",IF(C74="CTL","WIP",0))))))))))))&amp;"-"&amp;G74&amp;"/"&amp;IF(H74="2B","2B",IF(H74="NO.1","1D",IF(H74="FH","FH",IF(H74="BA","BA",0)))&amp;"-"&amp;IF(J74="",(TEXT(I74,"0.00")),TEXT(J74,"0.00"))&amp;"X"&amp;M74)</f>
        <v>WIP-J3/FH-0.67X610</v>
      </c>
      <c r="C74" s="173" t="s">
        <v>16</v>
      </c>
      <c r="D74" s="173" t="s">
        <v>16</v>
      </c>
      <c r="E74" s="190" t="s">
        <v>496</v>
      </c>
      <c r="F74" s="190" t="s">
        <v>497</v>
      </c>
      <c r="G74" s="173" t="s">
        <v>34</v>
      </c>
      <c r="H74" s="173" t="s">
        <v>70</v>
      </c>
      <c r="I74" s="174">
        <v>0.92</v>
      </c>
      <c r="J74" s="174">
        <v>0.67</v>
      </c>
      <c r="K74" s="174"/>
      <c r="L74" s="174"/>
      <c r="M74" s="191">
        <v>610</v>
      </c>
      <c r="N74" s="176">
        <v>9.6199999999999992</v>
      </c>
      <c r="O74" s="176" t="s">
        <v>114</v>
      </c>
      <c r="P74" s="177"/>
      <c r="Q74" s="178" t="s">
        <v>294</v>
      </c>
      <c r="R74" s="179"/>
      <c r="S74" s="179"/>
      <c r="T74" s="177"/>
      <c r="U74" s="177"/>
      <c r="V74" s="177"/>
      <c r="W74" s="177">
        <v>44854</v>
      </c>
      <c r="X74" s="177"/>
      <c r="Y74" s="177"/>
      <c r="Z74" s="177">
        <v>44859</v>
      </c>
      <c r="AA74" s="177"/>
      <c r="AB74" s="177"/>
      <c r="AC74" s="177"/>
      <c r="AD74" s="180"/>
      <c r="AE74" s="173" t="s">
        <v>114</v>
      </c>
      <c r="AF74" s="181" t="s">
        <v>248</v>
      </c>
      <c r="AG74" s="181"/>
      <c r="AH74" s="181"/>
      <c r="AI74" s="181">
        <v>44398</v>
      </c>
      <c r="AJ74" s="181"/>
      <c r="AK74" s="181">
        <f ca="1">TODAY()</f>
        <v>44958</v>
      </c>
      <c r="AL74" s="173">
        <f ca="1">IF(AI74&lt;&gt;0,AK74-AI74,0)</f>
        <v>560</v>
      </c>
      <c r="AM74" s="173" t="str">
        <f>IF(ISNUMBER(X74)=TRUE,AK74-X74,IF(X74="","",(AK74)-(MID(RIGHT(X74,10),4,2)&amp;"/"&amp;LEFT((RIGHT(X74,10)),2)&amp;"/"&amp;RIGHT(X74,4))))</f>
        <v/>
      </c>
      <c r="AN74" s="181"/>
      <c r="AO74" s="190" t="s">
        <v>495</v>
      </c>
      <c r="AP74" s="176">
        <v>9.843</v>
      </c>
      <c r="AQ74" s="176">
        <v>9.8829999999999991</v>
      </c>
      <c r="AR74" s="176">
        <v>9.9079999999999977</v>
      </c>
      <c r="AS74" s="176">
        <v>9.9129999999999985</v>
      </c>
      <c r="AT74" s="173" t="str">
        <f>IF(ISNUMBER(U74)=TRUE,AK74-U74,IF(U74="","",(AK74)-(MID(RIGHT(U74,10),4,2)&amp;"/"&amp;LEFT((RIGHT(U74,10)),2)&amp;"/"&amp;RIGHT(U74,4))))</f>
        <v/>
      </c>
      <c r="AU74" s="173">
        <v>408</v>
      </c>
      <c r="AW74" s="142" t="s">
        <v>123</v>
      </c>
      <c r="BK74" s="195"/>
    </row>
    <row r="75" spans="2:63" s="142" customFormat="1" ht="21" customHeight="1" x14ac:dyDescent="0.25">
      <c r="B75" s="173" t="str">
        <f>IF(C75="HOLD RM","HOLD RM",IF(C75="BAL","WIP",IF(C75="HOLD SLT","HOLD SLT",IF(C75="MILL","RM",IF(C75="RE SLT","WIP",IF(C75="RM","RM",IF(C75="RM BAL","RM",IF(C75="RM SLT","RM",IF(C75="RR","WIP",IF(C75="SKP","WIP",IF(C75="SLT","WIP",IF(C75="CTL","WIP",0))))))))))))&amp;"-"&amp;G75&amp;"/"&amp;IF(H75="2B","2B",IF(H75="NO.1","1D",IF(H75="FH","FH",IF(H75="BA","BA",0)))&amp;"-"&amp;IF(J75="",(TEXT(I75,"0.00")),TEXT(J75,"0.00"))&amp;"X"&amp;M75)</f>
        <v>RM-J3/2B</v>
      </c>
      <c r="C75" s="173" t="s">
        <v>155</v>
      </c>
      <c r="D75" s="173" t="s">
        <v>155</v>
      </c>
      <c r="E75" s="190" t="s">
        <v>498</v>
      </c>
      <c r="F75" s="190" t="s">
        <v>499</v>
      </c>
      <c r="G75" s="173" t="s">
        <v>34</v>
      </c>
      <c r="H75" s="173" t="s">
        <v>114</v>
      </c>
      <c r="I75" s="174">
        <v>0.92</v>
      </c>
      <c r="J75" s="174">
        <v>0.92</v>
      </c>
      <c r="K75" s="174"/>
      <c r="L75" s="174"/>
      <c r="M75" s="191">
        <v>620</v>
      </c>
      <c r="N75" s="176">
        <v>9.8789999999999996</v>
      </c>
      <c r="O75" s="176"/>
      <c r="P75" s="177"/>
      <c r="Q75" s="178"/>
      <c r="R75" s="179"/>
      <c r="S75" s="179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80"/>
      <c r="AE75" s="173" t="s">
        <v>114</v>
      </c>
      <c r="AF75" s="181" t="s">
        <v>248</v>
      </c>
      <c r="AG75" s="181"/>
      <c r="AH75" s="181"/>
      <c r="AI75" s="181">
        <v>44398</v>
      </c>
      <c r="AJ75" s="181"/>
      <c r="AK75" s="181">
        <f ca="1">TODAY()</f>
        <v>44958</v>
      </c>
      <c r="AL75" s="173">
        <f ca="1">IF(AI75&lt;&gt;0,AK75-AI75,0)</f>
        <v>560</v>
      </c>
      <c r="AM75" s="173" t="str">
        <f>IF(ISNUMBER(X75)=TRUE,AK75-X75,IF(X75="","",(AK75)-(MID(RIGHT(X75,10),4,2)&amp;"/"&amp;LEFT((RIGHT(X75,10)),2)&amp;"/"&amp;RIGHT(X75,4))))</f>
        <v/>
      </c>
      <c r="AN75" s="181"/>
      <c r="AO75" s="190" t="s">
        <v>492</v>
      </c>
      <c r="AP75" s="176">
        <v>9.8789999999999996</v>
      </c>
      <c r="AQ75" s="176">
        <v>9.9189999999999987</v>
      </c>
      <c r="AR75" s="176">
        <v>9.9439999999999973</v>
      </c>
      <c r="AS75" s="176">
        <v>9.9489999999999981</v>
      </c>
      <c r="AT75" s="173" t="str">
        <f>IF(ISNUMBER(U75)=TRUE,AK75-U75,IF(U75="","",(AK75)-(MID(RIGHT(U75,10),4,2)&amp;"/"&amp;LEFT((RIGHT(U75,10)),2)&amp;"/"&amp;RIGHT(U75,4))))</f>
        <v/>
      </c>
      <c r="AU75" s="173">
        <v>408</v>
      </c>
      <c r="AW75" s="142" t="s">
        <v>123</v>
      </c>
      <c r="BK75" s="195"/>
    </row>
    <row r="76" spans="2:63" s="142" customFormat="1" ht="21" customHeight="1" x14ac:dyDescent="0.25">
      <c r="B76" s="173" t="str">
        <f>IF(C76="HOLD RM","HOLD RM",IF(C76="BAL","WIP",IF(C76="HOLD SLT","HOLD SLT",IF(C76="MILL","RM",IF(C76="RE SLT","WIP",IF(C76="RM","RM",IF(C76="RM BAL","RM",IF(C76="RM SLT","RM",IF(C76="RR","WIP",IF(C76="SKP","WIP",IF(C76="SLT","WIP",IF(C76="CTL","WIP",0))))))))))))&amp;"-"&amp;G76&amp;"/"&amp;IF(H76="2B","2B",IF(H76="NO.1","1D",IF(H76="FH","FH",IF(H76="BA","BA",0)))&amp;"-"&amp;IF(J76="",(TEXT(I76,"0.00")),TEXT(J76,"0.00"))&amp;"X"&amp;M76)</f>
        <v>WIP-J3/FH-0.55X620</v>
      </c>
      <c r="C76" s="173" t="s">
        <v>16</v>
      </c>
      <c r="D76" s="173" t="s">
        <v>16</v>
      </c>
      <c r="E76" s="190" t="s">
        <v>500</v>
      </c>
      <c r="F76" s="190" t="s">
        <v>501</v>
      </c>
      <c r="G76" s="173" t="s">
        <v>34</v>
      </c>
      <c r="H76" s="173" t="s">
        <v>70</v>
      </c>
      <c r="I76" s="174">
        <v>0.92</v>
      </c>
      <c r="J76" s="174">
        <v>0.55000000000000004</v>
      </c>
      <c r="K76" s="174"/>
      <c r="L76" s="174"/>
      <c r="M76" s="191">
        <v>620</v>
      </c>
      <c r="N76" s="176">
        <v>9.9329999999999998</v>
      </c>
      <c r="O76" s="176" t="s">
        <v>114</v>
      </c>
      <c r="P76" s="177"/>
      <c r="Q76" s="178" t="s">
        <v>294</v>
      </c>
      <c r="R76" s="179"/>
      <c r="S76" s="179"/>
      <c r="T76" s="177"/>
      <c r="U76" s="177"/>
      <c r="V76" s="177"/>
      <c r="W76" s="177">
        <v>44864</v>
      </c>
      <c r="X76" s="177"/>
      <c r="Y76" s="177"/>
      <c r="Z76" s="177"/>
      <c r="AA76" s="177"/>
      <c r="AB76" s="177"/>
      <c r="AC76" s="177"/>
      <c r="AD76" s="180"/>
      <c r="AE76" s="173" t="s">
        <v>114</v>
      </c>
      <c r="AF76" s="181" t="s">
        <v>248</v>
      </c>
      <c r="AG76" s="181"/>
      <c r="AH76" s="181"/>
      <c r="AI76" s="181">
        <v>44398</v>
      </c>
      <c r="AJ76" s="181"/>
      <c r="AK76" s="181">
        <f ca="1">TODAY()</f>
        <v>44958</v>
      </c>
      <c r="AL76" s="173">
        <f ca="1">IF(AI76&lt;&gt;0,AK76-AI76,0)</f>
        <v>560</v>
      </c>
      <c r="AM76" s="173" t="str">
        <f>IF(ISNUMBER(X76)=TRUE,AK76-X76,IF(X76="","",(AK76)-(MID(RIGHT(X76,10),4,2)&amp;"/"&amp;LEFT((RIGHT(X76,10)),2)&amp;"/"&amp;RIGHT(X76,4))))</f>
        <v/>
      </c>
      <c r="AN76" s="181"/>
      <c r="AO76" s="190" t="s">
        <v>488</v>
      </c>
      <c r="AP76" s="176">
        <v>9.9329999999999998</v>
      </c>
      <c r="AQ76" s="176">
        <v>9.972999999999999</v>
      </c>
      <c r="AR76" s="176">
        <v>9.9979999999999976</v>
      </c>
      <c r="AS76" s="176">
        <v>10.002999999999998</v>
      </c>
      <c r="AT76" s="173" t="str">
        <f>IF(ISNUMBER(U76)=TRUE,AK76-U76,IF(U76="","",(AK76)-(MID(RIGHT(U76,10),4,2)&amp;"/"&amp;LEFT((RIGHT(U76,10)),2)&amp;"/"&amp;RIGHT(U76,4))))</f>
        <v/>
      </c>
      <c r="AU76" s="173">
        <v>408</v>
      </c>
      <c r="AW76" s="142" t="s">
        <v>123</v>
      </c>
      <c r="BK76" s="195"/>
    </row>
    <row r="77" spans="2:63" s="142" customFormat="1" ht="21" customHeight="1" x14ac:dyDescent="0.25">
      <c r="B77" s="173" t="str">
        <f>IF(C77="HOLD RM","HOLD RM",IF(C77="BAL","WIP",IF(C77="HOLD SLT","HOLD SLT",IF(C77="MILL","RM",IF(C77="RE SLT","WIP",IF(C77="RM","RM",IF(C77="RM BAL","RM",IF(C77="RM SLT","RM",IF(C77="RR","WIP",IF(C77="SKP","WIP",IF(C77="SLT","WIP",IF(C77="CTL","WIP",0))))))))))))&amp;"-"&amp;G77&amp;"/"&amp;IF(H77="2B","2B",IF(H77="NO.1","1D",IF(H77="FH","FH",IF(H77="BA","BA",0)))&amp;"-"&amp;IF(J77="",(TEXT(I77,"0.00")),TEXT(J77,"0.00"))&amp;"X"&amp;M77)</f>
        <v>RM-J3/2B</v>
      </c>
      <c r="C77" s="173" t="s">
        <v>155</v>
      </c>
      <c r="D77" s="173" t="s">
        <v>155</v>
      </c>
      <c r="E77" s="190" t="s">
        <v>502</v>
      </c>
      <c r="F77" s="190" t="s">
        <v>503</v>
      </c>
      <c r="G77" s="173" t="s">
        <v>34</v>
      </c>
      <c r="H77" s="173" t="s">
        <v>114</v>
      </c>
      <c r="I77" s="174">
        <v>0.92</v>
      </c>
      <c r="J77" s="174">
        <v>0.92</v>
      </c>
      <c r="K77" s="174"/>
      <c r="L77" s="174"/>
      <c r="M77" s="191">
        <v>620</v>
      </c>
      <c r="N77" s="176">
        <v>9.8870000000000005</v>
      </c>
      <c r="O77" s="176"/>
      <c r="P77" s="177"/>
      <c r="Q77" s="178"/>
      <c r="R77" s="179"/>
      <c r="S77" s="179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80"/>
      <c r="AE77" s="173" t="s">
        <v>114</v>
      </c>
      <c r="AF77" s="181" t="s">
        <v>248</v>
      </c>
      <c r="AG77" s="181"/>
      <c r="AH77" s="181"/>
      <c r="AI77" s="181">
        <v>44398</v>
      </c>
      <c r="AJ77" s="181"/>
      <c r="AK77" s="181">
        <f ca="1">TODAY()</f>
        <v>44958</v>
      </c>
      <c r="AL77" s="173">
        <f ca="1">IF(AI77&lt;&gt;0,AK77-AI77,0)</f>
        <v>560</v>
      </c>
      <c r="AM77" s="173" t="str">
        <f>IF(ISNUMBER(X77)=TRUE,AK77-X77,IF(X77="","",(AK77)-(MID(RIGHT(X77,10),4,2)&amp;"/"&amp;LEFT((RIGHT(X77,10)),2)&amp;"/"&amp;RIGHT(X77,4))))</f>
        <v/>
      </c>
      <c r="AN77" s="181"/>
      <c r="AO77" s="190" t="s">
        <v>504</v>
      </c>
      <c r="AP77" s="176">
        <v>9.8870000000000005</v>
      </c>
      <c r="AQ77" s="176">
        <v>9.9269999999999996</v>
      </c>
      <c r="AR77" s="176">
        <v>9.9519999999999982</v>
      </c>
      <c r="AS77" s="176">
        <v>9.956999999999999</v>
      </c>
      <c r="AT77" s="173" t="str">
        <f>IF(ISNUMBER(U77)=TRUE,AK77-U77,IF(U77="","",(AK77)-(MID(RIGHT(U77,10),4,2)&amp;"/"&amp;LEFT((RIGHT(U77,10)),2)&amp;"/"&amp;RIGHT(U77,4))))</f>
        <v/>
      </c>
      <c r="AU77" s="173">
        <v>408</v>
      </c>
      <c r="AW77" s="142" t="s">
        <v>123</v>
      </c>
      <c r="BK77" s="195"/>
    </row>
    <row r="78" spans="2:63" s="142" customFormat="1" ht="21" customHeight="1" x14ac:dyDescent="0.25">
      <c r="B78" s="173" t="str">
        <f>IF(C78="HOLD RM","HOLD RM",IF(C78="BAL","WIP",IF(C78="HOLD SLT","HOLD SLT",IF(C78="MILL","RM",IF(C78="RE SLT","WIP",IF(C78="RM","RM",IF(C78="RM BAL","RM",IF(C78="RM SLT","RM",IF(C78="RR","WIP",IF(C78="SKP","WIP",IF(C78="SLT","WIP",IF(C78="CTL","WIP",0))))))))))))&amp;"-"&amp;G78&amp;"/"&amp;IF(H78="2B","2B",IF(H78="NO.1","1D",IF(H78="FH","FH",IF(H78="BA","BA",0)))&amp;"-"&amp;IF(J78="",(TEXT(I78,"0.00")),TEXT(J78,"0.00"))&amp;"X"&amp;M78)</f>
        <v>RM-J3/2B</v>
      </c>
      <c r="C78" s="173" t="s">
        <v>155</v>
      </c>
      <c r="D78" s="173" t="s">
        <v>155</v>
      </c>
      <c r="E78" s="190" t="s">
        <v>505</v>
      </c>
      <c r="F78" s="190" t="s">
        <v>506</v>
      </c>
      <c r="G78" s="173" t="s">
        <v>34</v>
      </c>
      <c r="H78" s="173" t="s">
        <v>114</v>
      </c>
      <c r="I78" s="174">
        <v>0.92</v>
      </c>
      <c r="J78" s="174">
        <v>0.92</v>
      </c>
      <c r="K78" s="174"/>
      <c r="L78" s="174"/>
      <c r="M78" s="191">
        <v>620</v>
      </c>
      <c r="N78" s="176">
        <v>9.8569999999999993</v>
      </c>
      <c r="O78" s="176"/>
      <c r="P78" s="177"/>
      <c r="Q78" s="178"/>
      <c r="R78" s="179"/>
      <c r="S78" s="179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80"/>
      <c r="AE78" s="173" t="s">
        <v>114</v>
      </c>
      <c r="AF78" s="181" t="s">
        <v>248</v>
      </c>
      <c r="AG78" s="181"/>
      <c r="AH78" s="181"/>
      <c r="AI78" s="181">
        <v>44398</v>
      </c>
      <c r="AJ78" s="181"/>
      <c r="AK78" s="181">
        <f ca="1">TODAY()</f>
        <v>44958</v>
      </c>
      <c r="AL78" s="173">
        <f ca="1">IF(AI78&lt;&gt;0,AK78-AI78,0)</f>
        <v>560</v>
      </c>
      <c r="AM78" s="173" t="str">
        <f>IF(ISNUMBER(X78)=TRUE,AK78-X78,IF(X78="","",(AK78)-(MID(RIGHT(X78,10),4,2)&amp;"/"&amp;LEFT((RIGHT(X78,10)),2)&amp;"/"&amp;RIGHT(X78,4))))</f>
        <v/>
      </c>
      <c r="AN78" s="181"/>
      <c r="AO78" s="190" t="s">
        <v>504</v>
      </c>
      <c r="AP78" s="176">
        <v>9.8569999999999993</v>
      </c>
      <c r="AQ78" s="176">
        <v>9.8969999999999985</v>
      </c>
      <c r="AR78" s="176">
        <v>9.921999999999997</v>
      </c>
      <c r="AS78" s="176">
        <v>9.9269999999999978</v>
      </c>
      <c r="AT78" s="173" t="str">
        <f>IF(ISNUMBER(U78)=TRUE,AK78-U78,IF(U78="","",(AK78)-(MID(RIGHT(U78,10),4,2)&amp;"/"&amp;LEFT((RIGHT(U78,10)),2)&amp;"/"&amp;RIGHT(U78,4))))</f>
        <v/>
      </c>
      <c r="AU78" s="173">
        <v>408</v>
      </c>
      <c r="AW78" s="142" t="s">
        <v>123</v>
      </c>
      <c r="BK78" s="195"/>
    </row>
    <row r="79" spans="2:63" s="142" customFormat="1" ht="21" customHeight="1" x14ac:dyDescent="0.25">
      <c r="B79" s="173" t="str">
        <f>IF(C79="HOLD RM","HOLD RM",IF(C79="BAL","WIP",IF(C79="HOLD SLT","HOLD SLT",IF(C79="MILL","RM",IF(C79="RE SLT","WIP",IF(C79="RM","RM",IF(C79="RM BAL","RM",IF(C79="RM SLT","RM",IF(C79="RR","WIP",IF(C79="SKP","WIP",IF(C79="SLT","WIP",IF(C79="CTL","WIP",IF(C79="RM SLT RUST","RM SLT RUST",0)))))))))))))&amp;"-"&amp;G79&amp;"/"&amp;IF(H79="2B","2B",IF(H79="NO.1","1D",IF(H79="FH","FH",0)))&amp;"-"&amp;IF(J79="",(TEXT(I79,"0.00")),TEXT(J79,"0.00"))&amp;"X"&amp;M79</f>
        <v>RM SLT RUST-J3/2B-0.75X730</v>
      </c>
      <c r="C79" s="173" t="s">
        <v>507</v>
      </c>
      <c r="D79" s="173" t="s">
        <v>507</v>
      </c>
      <c r="E79" s="190" t="s">
        <v>508</v>
      </c>
      <c r="F79" s="190" t="s">
        <v>509</v>
      </c>
      <c r="G79" s="173" t="s">
        <v>34</v>
      </c>
      <c r="H79" s="173" t="s">
        <v>114</v>
      </c>
      <c r="I79" s="174">
        <v>0.75</v>
      </c>
      <c r="J79" s="174">
        <v>0.75</v>
      </c>
      <c r="K79" s="174"/>
      <c r="L79" s="174"/>
      <c r="M79" s="191">
        <v>730</v>
      </c>
      <c r="N79" s="176">
        <v>6.4349999999999996</v>
      </c>
      <c r="O79" s="176"/>
      <c r="P79" s="177"/>
      <c r="Q79" s="178" t="s">
        <v>510</v>
      </c>
      <c r="R79" s="178" t="s">
        <v>511</v>
      </c>
      <c r="S79" s="179" t="s">
        <v>512</v>
      </c>
      <c r="T79" s="177"/>
      <c r="U79" s="177"/>
      <c r="V79" s="177"/>
      <c r="W79" s="177"/>
      <c r="X79" s="177"/>
      <c r="Y79" s="177"/>
      <c r="Z79" s="177">
        <v>44458</v>
      </c>
      <c r="AA79" s="177"/>
      <c r="AB79" s="177"/>
      <c r="AC79" s="177"/>
      <c r="AD79" s="180"/>
      <c r="AE79" s="173" t="s">
        <v>114</v>
      </c>
      <c r="AF79" s="181" t="s">
        <v>248</v>
      </c>
      <c r="AG79" s="181"/>
      <c r="AH79" s="181"/>
      <c r="AI79" s="181">
        <v>44398</v>
      </c>
      <c r="AJ79" s="181"/>
      <c r="AK79" s="181">
        <f ca="1">TODAY()</f>
        <v>44958</v>
      </c>
      <c r="AL79" s="173">
        <f ca="1">IF(AI79&lt;&gt;0,AK79-AI79,0)</f>
        <v>560</v>
      </c>
      <c r="AM79" s="173" t="str">
        <f>IF(ISNUMBER(X79)=TRUE,AK79-X79,IF(X79="","",(AK79)-(MID(RIGHT(X79,10),4,2)&amp;"/"&amp;LEFT((RIGHT(X79,10)),2)&amp;"/"&amp;RIGHT(X79,4))))</f>
        <v/>
      </c>
      <c r="AN79" s="181"/>
      <c r="AO79" s="190" t="s">
        <v>478</v>
      </c>
      <c r="AP79" s="176">
        <v>6.4349999999999996</v>
      </c>
      <c r="AQ79" s="176">
        <v>6.4749999999999996</v>
      </c>
      <c r="AR79" s="176">
        <v>6.5</v>
      </c>
      <c r="AS79" s="176">
        <v>6.5049999999999999</v>
      </c>
      <c r="AT79" s="173" t="str">
        <f>IF(ISNUMBER(U79)=TRUE,AK79-U79,IF(U79="","",(AK79)-(MID(RIGHT(U79,10),4,2)&amp;"/"&amp;LEFT((RIGHT(U79,10)),2)&amp;"/"&amp;RIGHT(U79,4))))</f>
        <v/>
      </c>
      <c r="AU79" s="173">
        <v>408</v>
      </c>
      <c r="AW79" s="142" t="s">
        <v>123</v>
      </c>
      <c r="BK79" s="195"/>
    </row>
    <row r="80" spans="2:63" s="142" customFormat="1" ht="21" customHeight="1" x14ac:dyDescent="0.25">
      <c r="B80" s="173" t="str">
        <f>IF(C80="HOLD RM","HOLD RM",IF(C80="BAL","WIP",IF(C80="HOLD SLT","HOLD SLT",IF(C80="MILL","RM",IF(C80="RE SLT","WIP",IF(C80="RM","RM",IF(C80="RM BAL","RM",IF(C80="RM SLT","RM",IF(C80="RR","WIP",IF(C80="SKP","WIP",IF(C80="SLT","WIP",IF(C80="CTL","WIP",0))))))))))))&amp;"-"&amp;G80&amp;"/"&amp;IF(H80="2B","2B",IF(H80="NO.1","1D",IF(H80="FH","FH",IF(H80="BA","BA",0)))&amp;"-"&amp;IF(J80="",(TEXT(I80,"0.00")),TEXT(J80,"0.00"))&amp;"X"&amp;M80)</f>
        <v>RM-J3/2B</v>
      </c>
      <c r="C80" s="173" t="s">
        <v>155</v>
      </c>
      <c r="D80" s="173" t="s">
        <v>155</v>
      </c>
      <c r="E80" s="190" t="s">
        <v>513</v>
      </c>
      <c r="F80" s="190" t="s">
        <v>514</v>
      </c>
      <c r="G80" s="173" t="s">
        <v>34</v>
      </c>
      <c r="H80" s="173" t="s">
        <v>114</v>
      </c>
      <c r="I80" s="174">
        <v>0.75</v>
      </c>
      <c r="J80" s="174">
        <v>0.75</v>
      </c>
      <c r="K80" s="174"/>
      <c r="L80" s="174"/>
      <c r="M80" s="191">
        <v>730</v>
      </c>
      <c r="N80" s="176">
        <v>5.8049999999999997</v>
      </c>
      <c r="O80" s="176"/>
      <c r="P80" s="177"/>
      <c r="Q80" s="178"/>
      <c r="R80" s="179"/>
      <c r="S80" s="179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80"/>
      <c r="AE80" s="173" t="s">
        <v>114</v>
      </c>
      <c r="AF80" s="181" t="s">
        <v>248</v>
      </c>
      <c r="AG80" s="181"/>
      <c r="AH80" s="181"/>
      <c r="AI80" s="181">
        <v>44398</v>
      </c>
      <c r="AJ80" s="181"/>
      <c r="AK80" s="181">
        <f ca="1">TODAY()</f>
        <v>44958</v>
      </c>
      <c r="AL80" s="173">
        <f ca="1">IF(AI80&lt;&gt;0,AK80-AI80,0)</f>
        <v>560</v>
      </c>
      <c r="AM80" s="173" t="str">
        <f>IF(ISNUMBER(X80)=TRUE,AK80-X80,IF(X80="","",(AK80)-(MID(RIGHT(X80,10),4,2)&amp;"/"&amp;LEFT((RIGHT(X80,10)),2)&amp;"/"&amp;RIGHT(X80,4))))</f>
        <v/>
      </c>
      <c r="AN80" s="181"/>
      <c r="AO80" s="190" t="s">
        <v>515</v>
      </c>
      <c r="AP80" s="176">
        <v>5.8049999999999997</v>
      </c>
      <c r="AQ80" s="176">
        <v>5.8449999999999998</v>
      </c>
      <c r="AR80" s="176">
        <v>5.87</v>
      </c>
      <c r="AS80" s="176">
        <v>5.875</v>
      </c>
      <c r="AT80" s="173" t="str">
        <f>IF(ISNUMBER(U80)=TRUE,AK80-U80,IF(U80="","",(AK80)-(MID(RIGHT(U80,10),4,2)&amp;"/"&amp;LEFT((RIGHT(U80,10)),2)&amp;"/"&amp;RIGHT(U80,4))))</f>
        <v/>
      </c>
      <c r="AU80" s="173">
        <v>408</v>
      </c>
      <c r="AW80" s="142" t="s">
        <v>123</v>
      </c>
      <c r="BK80" s="195"/>
    </row>
    <row r="81" spans="2:63" s="142" customFormat="1" ht="21" customHeight="1" x14ac:dyDescent="0.25">
      <c r="B81" s="173" t="str">
        <f>IF(C81="HOLD RM","HOLD RM",IF(C81="BAL","WIP",IF(C81="HOLD SLT","HOLD SLT",IF(C81="MILL","RM",IF(C81="RE SLT","WIP",IF(C81="RM","RM",IF(C81="RM BAL","RM",IF(C81="RM SLT","RM",IF(C81="RR","WIP",IF(C81="SKP","WIP",IF(C81="SLT","WIP",IF(C81="CTL","WIP",0))))))))))))&amp;"-"&amp;G81&amp;"/"&amp;IF(H81="2B","2B",IF(H81="NO.1","1D",IF(H81="FH","FH",IF(H81="BA","BA",0)))&amp;"-"&amp;IF(J81="",(TEXT(I81,"0.00")),TEXT(J81,"0.00"))&amp;"X"&amp;M81)</f>
        <v>RM-J3/2B</v>
      </c>
      <c r="C81" s="173" t="s">
        <v>155</v>
      </c>
      <c r="D81" s="173" t="s">
        <v>155</v>
      </c>
      <c r="E81" s="190" t="s">
        <v>516</v>
      </c>
      <c r="F81" s="190" t="s">
        <v>517</v>
      </c>
      <c r="G81" s="173" t="s">
        <v>34</v>
      </c>
      <c r="H81" s="173" t="s">
        <v>114</v>
      </c>
      <c r="I81" s="174">
        <v>0.75</v>
      </c>
      <c r="J81" s="174">
        <v>0.75</v>
      </c>
      <c r="K81" s="174"/>
      <c r="L81" s="174"/>
      <c r="M81" s="191">
        <v>730</v>
      </c>
      <c r="N81" s="176">
        <v>5.8849999999999998</v>
      </c>
      <c r="O81" s="176"/>
      <c r="P81" s="177"/>
      <c r="Q81" s="178"/>
      <c r="R81" s="179"/>
      <c r="S81" s="179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80"/>
      <c r="AE81" s="173" t="s">
        <v>114</v>
      </c>
      <c r="AF81" s="181" t="s">
        <v>248</v>
      </c>
      <c r="AG81" s="181"/>
      <c r="AH81" s="181"/>
      <c r="AI81" s="181">
        <v>44398</v>
      </c>
      <c r="AJ81" s="181"/>
      <c r="AK81" s="181">
        <f ca="1">TODAY()</f>
        <v>44958</v>
      </c>
      <c r="AL81" s="173">
        <f ca="1">IF(AI81&lt;&gt;0,AK81-AI81,0)</f>
        <v>560</v>
      </c>
      <c r="AM81" s="173" t="str">
        <f>IF(ISNUMBER(X81)=TRUE,AK81-X81,IF(X81="","",(AK81)-(MID(RIGHT(X81,10),4,2)&amp;"/"&amp;LEFT((RIGHT(X81,10)),2)&amp;"/"&amp;RIGHT(X81,4))))</f>
        <v/>
      </c>
      <c r="AN81" s="181"/>
      <c r="AO81" s="190" t="s">
        <v>515</v>
      </c>
      <c r="AP81" s="176">
        <v>5.8849999999999998</v>
      </c>
      <c r="AQ81" s="176">
        <v>5.9249999999999998</v>
      </c>
      <c r="AR81" s="176">
        <v>5.95</v>
      </c>
      <c r="AS81" s="176">
        <v>5.9550000000000001</v>
      </c>
      <c r="AT81" s="173" t="str">
        <f>IF(ISNUMBER(U81)=TRUE,AK81-U81,IF(U81="","",(AK81)-(MID(RIGHT(U81,10),4,2)&amp;"/"&amp;LEFT((RIGHT(U81,10)),2)&amp;"/"&amp;RIGHT(U81,4))))</f>
        <v/>
      </c>
      <c r="AU81" s="173">
        <v>408</v>
      </c>
      <c r="AW81" s="142" t="s">
        <v>123</v>
      </c>
      <c r="BK81" s="195"/>
    </row>
    <row r="82" spans="2:63" s="142" customFormat="1" ht="21" customHeight="1" x14ac:dyDescent="0.25">
      <c r="B82" s="173" t="str">
        <f>IF(C82="HOLD RM","HOLD RM",IF(C82="BAL","WIP",IF(C82="HOLD SLT","HOLD SLT",IF(C82="MILL","RM",IF(C82="RE SLT","WIP",IF(C82="RM","RM",IF(C82="RM BAL","RM",IF(C82="RM SLT","RM",IF(C82="RR","WIP",IF(C82="SKP","WIP",IF(C82="SLT","WIP",IF(C82="CTL","WIP",0))))))))))))&amp;"-"&amp;G82&amp;"/"&amp;IF(H82="2B","2B",IF(H82="NO.1","1D",IF(H82="FH","FH",IF(H82="BA","BA",0)))&amp;"-"&amp;IF(J82="",(TEXT(I82,"0.00")),TEXT(J82,"0.00"))&amp;"X"&amp;M82)</f>
        <v>WIP-410/BA-0.25X310</v>
      </c>
      <c r="C82" s="173" t="s">
        <v>173</v>
      </c>
      <c r="D82" s="173" t="s">
        <v>146</v>
      </c>
      <c r="E82" s="190" t="s">
        <v>518</v>
      </c>
      <c r="F82" s="190" t="s">
        <v>519</v>
      </c>
      <c r="G82" s="173">
        <v>410</v>
      </c>
      <c r="H82" s="173" t="s">
        <v>158</v>
      </c>
      <c r="I82" s="174">
        <v>0.25</v>
      </c>
      <c r="J82" s="174">
        <v>0.25</v>
      </c>
      <c r="K82" s="174"/>
      <c r="L82" s="174"/>
      <c r="M82" s="191">
        <f>310</f>
        <v>310</v>
      </c>
      <c r="N82" s="176">
        <v>0.18</v>
      </c>
      <c r="O82" s="176"/>
      <c r="P82" s="177"/>
      <c r="Q82" s="178" t="s">
        <v>115</v>
      </c>
      <c r="R82" s="178" t="s">
        <v>428</v>
      </c>
      <c r="S82" s="179"/>
      <c r="T82" s="177"/>
      <c r="U82" s="177"/>
      <c r="V82" s="177"/>
      <c r="W82" s="177"/>
      <c r="X82" s="177"/>
      <c r="Y82" s="177"/>
      <c r="Z82" s="177">
        <v>44665</v>
      </c>
      <c r="AA82" s="177"/>
      <c r="AB82" s="177"/>
      <c r="AC82" s="177"/>
      <c r="AD82" s="180"/>
      <c r="AE82" s="173" t="s">
        <v>158</v>
      </c>
      <c r="AF82" s="181" t="s">
        <v>430</v>
      </c>
      <c r="AG82" s="181" t="s">
        <v>520</v>
      </c>
      <c r="AH82" s="181">
        <v>44389</v>
      </c>
      <c r="AI82" s="181">
        <v>44412</v>
      </c>
      <c r="AJ82" s="181"/>
      <c r="AK82" s="181">
        <f ca="1">TODAY()</f>
        <v>44958</v>
      </c>
      <c r="AL82" s="173">
        <f ca="1">IF(AI82&lt;&gt;0,AK82-AI82,0)</f>
        <v>546</v>
      </c>
      <c r="AM82" s="173" t="str">
        <f>IF(ISNUMBER(X82)=TRUE,AK82-X82,IF(X82="","",(AK82)-(MID(RIGHT(X82,10),4,2)&amp;"/"&amp;LEFT((RIGHT(X82,10)),2)&amp;"/"&amp;RIGHT(X82,4))))</f>
        <v/>
      </c>
      <c r="AN82" s="181" t="s">
        <v>521</v>
      </c>
      <c r="AO82" s="190" t="s">
        <v>522</v>
      </c>
      <c r="AP82" s="176">
        <v>1.41</v>
      </c>
      <c r="AQ82" s="176">
        <v>1.42</v>
      </c>
      <c r="AR82" s="176">
        <v>1.41</v>
      </c>
      <c r="AS82" s="176">
        <v>1.42</v>
      </c>
      <c r="AT82" s="173" t="str">
        <f>IF(ISNUMBER(U82)=TRUE,AK82-U82,IF(U82="","",(AK82)-(MID(RIGHT(U82,10),4,2)&amp;"/"&amp;LEFT((RIGHT(U82,10)),2)&amp;"/"&amp;RIGHT(U82,4))))</f>
        <v/>
      </c>
      <c r="AU82" s="173">
        <v>413</v>
      </c>
      <c r="AW82" s="142" t="s">
        <v>123</v>
      </c>
      <c r="BK82" s="195"/>
    </row>
    <row r="83" spans="2:63" s="142" customFormat="1" ht="21" customHeight="1" x14ac:dyDescent="0.25">
      <c r="B83" s="173" t="str">
        <f>IF(C83="HOLD RM","HOLD RM",IF(C83="BAL","WIP",IF(C83="HOLD SLT","HOLD SLT",IF(C83="MILL","RM",IF(C83="RE SLT","WIP",IF(C83="RM","RM",IF(C83="RM BAL","RM",IF(C83="RM SLT","RM",IF(C83="RR","WIP",IF(C83="SKP","WIP",IF(C83="SLT","WIP",IF(C83="CTL","WIP",0))))))))))))&amp;"-"&amp;G83&amp;"/"&amp;IF(H83="2B","2B",IF(H83="NO.1","1D",IF(H83="FH","FH",IF(H83="BA","BA",0)))&amp;"-"&amp;IF(J83="",(TEXT(I83,"0.00")),TEXT(J83,"0.00"))&amp;"X"&amp;M83)</f>
        <v>RM-410/BA-0.20X600</v>
      </c>
      <c r="C83" s="173" t="s">
        <v>155</v>
      </c>
      <c r="D83" s="173" t="s">
        <v>155</v>
      </c>
      <c r="E83" s="190" t="s">
        <v>523</v>
      </c>
      <c r="F83" s="190" t="s">
        <v>524</v>
      </c>
      <c r="G83" s="173">
        <v>410</v>
      </c>
      <c r="H83" s="173" t="s">
        <v>158</v>
      </c>
      <c r="I83" s="174">
        <v>0.2</v>
      </c>
      <c r="J83" s="174">
        <v>0.2</v>
      </c>
      <c r="K83" s="174"/>
      <c r="L83" s="174"/>
      <c r="M83" s="191">
        <v>600</v>
      </c>
      <c r="N83" s="176">
        <v>2.2589999999999999</v>
      </c>
      <c r="O83" s="176"/>
      <c r="P83" s="177"/>
      <c r="Q83" s="178"/>
      <c r="R83" s="179"/>
      <c r="S83" s="179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80"/>
      <c r="AE83" s="173" t="s">
        <v>158</v>
      </c>
      <c r="AF83" s="181" t="s">
        <v>430</v>
      </c>
      <c r="AG83" s="181" t="s">
        <v>520</v>
      </c>
      <c r="AH83" s="181">
        <v>44389</v>
      </c>
      <c r="AI83" s="181">
        <v>44412</v>
      </c>
      <c r="AJ83" s="181"/>
      <c r="AK83" s="181">
        <f ca="1">TODAY()</f>
        <v>44958</v>
      </c>
      <c r="AL83" s="173">
        <f ca="1">IF(AI83&lt;&gt;0,AK83-AI83,0)</f>
        <v>546</v>
      </c>
      <c r="AM83" s="173" t="str">
        <f>IF(ISNUMBER(X83)=TRUE,AK83-X83,IF(X83="","",(AK83)-(MID(RIGHT(X83,10),4,2)&amp;"/"&amp;LEFT((RIGHT(X83,10)),2)&amp;"/"&amp;RIGHT(X83,4))))</f>
        <v/>
      </c>
      <c r="AN83" s="181" t="s">
        <v>525</v>
      </c>
      <c r="AO83" s="190" t="s">
        <v>526</v>
      </c>
      <c r="AP83" s="176">
        <v>2.2589999999999999</v>
      </c>
      <c r="AQ83" s="176">
        <v>2.2689999999999997</v>
      </c>
      <c r="AR83" s="176">
        <v>2.2589999999999999</v>
      </c>
      <c r="AS83" s="176">
        <v>2.2689999999999997</v>
      </c>
      <c r="AT83" s="173" t="str">
        <f>IF(ISNUMBER(U83)=TRUE,AK83-U83,IF(U83="","",(AK83)-(MID(RIGHT(U83,10),4,2)&amp;"/"&amp;LEFT((RIGHT(U83,10)),2)&amp;"/"&amp;RIGHT(U83,4))))</f>
        <v/>
      </c>
      <c r="AU83" s="173">
        <v>413</v>
      </c>
      <c r="AW83" s="142" t="s">
        <v>123</v>
      </c>
      <c r="BK83" s="195"/>
    </row>
    <row r="84" spans="2:63" s="142" customFormat="1" ht="21" customHeight="1" x14ac:dyDescent="0.25">
      <c r="B84" s="173" t="str">
        <f>IF(C84="HOLD RM","HOLD RM",IF(C84="BAL","WIP",IF(C84="HOLD SLT","HOLD SLT",IF(C84="MILL","RM",IF(C84="RE SLT","WIP",IF(C84="RM","RM",IF(C84="RM BAL","RM",IF(C84="RM SLT","RM",IF(C84="RR","WIP",IF(C84="SKP","WIP",IF(C84="SLT","WIP",IF(C84="CTL","WIP",0))))))))))))&amp;"-"&amp;G84&amp;"/"&amp;IF(H84="2B","2B",IF(H84="NO.1","1D",IF(H84="FH","FH",IF(H84="BA","BA",0)))&amp;"-"&amp;IF(J84="",(TEXT(I84,"0.00")),TEXT(J84,"0.00"))&amp;"X"&amp;M84)</f>
        <v>RM-410/BA-0.20X600</v>
      </c>
      <c r="C84" s="173" t="s">
        <v>155</v>
      </c>
      <c r="D84" s="173" t="s">
        <v>155</v>
      </c>
      <c r="E84" s="190" t="s">
        <v>527</v>
      </c>
      <c r="F84" s="190" t="s">
        <v>528</v>
      </c>
      <c r="G84" s="173">
        <v>410</v>
      </c>
      <c r="H84" s="173" t="s">
        <v>158</v>
      </c>
      <c r="I84" s="174">
        <v>0.2</v>
      </c>
      <c r="J84" s="174">
        <v>0.2</v>
      </c>
      <c r="K84" s="174"/>
      <c r="L84" s="174"/>
      <c r="M84" s="191">
        <v>600</v>
      </c>
      <c r="N84" s="176">
        <f>2.319-0.04</f>
        <v>2.2789999999999999</v>
      </c>
      <c r="O84" s="176"/>
      <c r="P84" s="177"/>
      <c r="Q84" s="178"/>
      <c r="R84" s="179"/>
      <c r="S84" s="179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80"/>
      <c r="AE84" s="173" t="s">
        <v>158</v>
      </c>
      <c r="AF84" s="181" t="s">
        <v>430</v>
      </c>
      <c r="AG84" s="181" t="s">
        <v>520</v>
      </c>
      <c r="AH84" s="181">
        <v>44389</v>
      </c>
      <c r="AI84" s="181">
        <v>44412</v>
      </c>
      <c r="AJ84" s="181"/>
      <c r="AK84" s="181">
        <f ca="1">TODAY()</f>
        <v>44958</v>
      </c>
      <c r="AL84" s="173">
        <f ca="1">IF(AI84&lt;&gt;0,AK84-AI84,0)</f>
        <v>546</v>
      </c>
      <c r="AM84" s="173" t="str">
        <f>IF(ISNUMBER(X84)=TRUE,AK84-X84,IF(X84="","",(AK84)-(MID(RIGHT(X84,10),4,2)&amp;"/"&amp;LEFT((RIGHT(X84,10)),2)&amp;"/"&amp;RIGHT(X84,4))))</f>
        <v/>
      </c>
      <c r="AN84" s="181" t="s">
        <v>525</v>
      </c>
      <c r="AO84" s="190" t="s">
        <v>529</v>
      </c>
      <c r="AP84" s="176">
        <v>2.319</v>
      </c>
      <c r="AQ84" s="176">
        <v>2.3289999999999997</v>
      </c>
      <c r="AR84" s="176">
        <v>2.319</v>
      </c>
      <c r="AS84" s="176">
        <v>2.3289999999999997</v>
      </c>
      <c r="AT84" s="173" t="str">
        <f>IF(ISNUMBER(U84)=TRUE,AK84-U84,IF(U84="","",(AK84)-(MID(RIGHT(U84,10),4,2)&amp;"/"&amp;LEFT((RIGHT(U84,10)),2)&amp;"/"&amp;RIGHT(U84,4))))</f>
        <v/>
      </c>
      <c r="AU84" s="173">
        <v>413</v>
      </c>
      <c r="AW84" s="142" t="s">
        <v>123</v>
      </c>
      <c r="BK84" s="195"/>
    </row>
    <row r="85" spans="2:63" s="142" customFormat="1" ht="21" customHeight="1" x14ac:dyDescent="0.25">
      <c r="B85" s="173" t="str">
        <f>IF(C85="HOLD RM","HOLD RM",IF(C85="BAL","WIP",IF(C85="HOLD SLT","HOLD SLT",IF(C85="MILL","RM",IF(C85="RE SLT","WIP",IF(C85="RM","RM",IF(C85="RM BAL","RM",IF(C85="RM SLT","RM",IF(C85="RR","WIP",IF(C85="SKP","WIP",IF(C85="SLT","WIP",IF(C85="CTL","WIP",0))))))))))))&amp;"-"&amp;G85&amp;"/"&amp;IF(H85="2B","2B",IF(H85="NO.1","1D",IF(H85="FH","FH",IF(H85="BA","BA",0)))&amp;"-"&amp;IF(J85="",(TEXT(I85,"0.00")),TEXT(J85,"0.00"))&amp;"X"&amp;M85)</f>
        <v>RM-410/BA-0.20X600</v>
      </c>
      <c r="C85" s="173" t="s">
        <v>155</v>
      </c>
      <c r="D85" s="173" t="s">
        <v>155</v>
      </c>
      <c r="E85" s="190" t="s">
        <v>530</v>
      </c>
      <c r="F85" s="190" t="s">
        <v>531</v>
      </c>
      <c r="G85" s="173">
        <v>410</v>
      </c>
      <c r="H85" s="173" t="s">
        <v>158</v>
      </c>
      <c r="I85" s="174">
        <v>0.2</v>
      </c>
      <c r="J85" s="174">
        <v>0.2</v>
      </c>
      <c r="K85" s="174"/>
      <c r="L85" s="174"/>
      <c r="M85" s="191">
        <v>600</v>
      </c>
      <c r="N85" s="176">
        <v>2.234</v>
      </c>
      <c r="O85" s="176"/>
      <c r="P85" s="177"/>
      <c r="Q85" s="178"/>
      <c r="R85" s="179"/>
      <c r="S85" s="179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80"/>
      <c r="AE85" s="173" t="s">
        <v>158</v>
      </c>
      <c r="AF85" s="181" t="s">
        <v>430</v>
      </c>
      <c r="AG85" s="181" t="s">
        <v>520</v>
      </c>
      <c r="AH85" s="181">
        <v>44389</v>
      </c>
      <c r="AI85" s="181">
        <v>44412</v>
      </c>
      <c r="AJ85" s="181"/>
      <c r="AK85" s="181">
        <f ca="1">TODAY()</f>
        <v>44958</v>
      </c>
      <c r="AL85" s="173">
        <f ca="1">IF(AI85&lt;&gt;0,AK85-AI85,0)</f>
        <v>546</v>
      </c>
      <c r="AM85" s="173" t="str">
        <f>IF(ISNUMBER(X85)=TRUE,AK85-X85,IF(X85="","",(AK85)-(MID(RIGHT(X85,10),4,2)&amp;"/"&amp;LEFT((RIGHT(X85,10)),2)&amp;"/"&amp;RIGHT(X85,4))))</f>
        <v/>
      </c>
      <c r="AN85" s="181" t="s">
        <v>525</v>
      </c>
      <c r="AO85" s="190" t="s">
        <v>532</v>
      </c>
      <c r="AP85" s="176">
        <v>2.234</v>
      </c>
      <c r="AQ85" s="176">
        <v>2.2439999999999998</v>
      </c>
      <c r="AR85" s="176">
        <v>2.234</v>
      </c>
      <c r="AS85" s="176">
        <v>2.2439999999999998</v>
      </c>
      <c r="AT85" s="173" t="str">
        <f>IF(ISNUMBER(U85)=TRUE,AK85-U85,IF(U85="","",(AK85)-(MID(RIGHT(U85,10),4,2)&amp;"/"&amp;LEFT((RIGHT(U85,10)),2)&amp;"/"&amp;RIGHT(U85,4))))</f>
        <v/>
      </c>
      <c r="AU85" s="173">
        <v>413</v>
      </c>
      <c r="AW85" s="142" t="s">
        <v>123</v>
      </c>
      <c r="BK85" s="195"/>
    </row>
    <row r="86" spans="2:63" s="142" customFormat="1" ht="21" customHeight="1" x14ac:dyDescent="0.25">
      <c r="B86" s="173" t="str">
        <f>IF(C86="HOLD RM","HOLD RM",IF(C86="BAL","WIP",IF(C86="HOLD SLT","HOLD SLT",IF(C86="MILL","RM",IF(C86="RE SLT","WIP",IF(C86="RM","RM",IF(C86="RM BAL","RM",IF(C86="RM SLT","RM",IF(C86="RR","WIP",IF(C86="SKP","WIP",IF(C86="SLT","WIP",IF(C86="CTL","WIP",0))))))))))))&amp;"-"&amp;G86&amp;"/"&amp;IF(H86="2B","2B",IF(H86="NO.1","1D",IF(H86="FH","FH",IF(H86="BA","BA",0)))&amp;"-"&amp;IF(J86="",(TEXT(I86,"0.00")),TEXT(J86,"0.00"))&amp;"X"&amp;M86)</f>
        <v>RM-J3/2B</v>
      </c>
      <c r="C86" s="173" t="s">
        <v>155</v>
      </c>
      <c r="D86" s="173" t="s">
        <v>155</v>
      </c>
      <c r="E86" s="190" t="s">
        <v>533</v>
      </c>
      <c r="F86" s="190" t="s">
        <v>534</v>
      </c>
      <c r="G86" s="173" t="s">
        <v>34</v>
      </c>
      <c r="H86" s="173" t="s">
        <v>114</v>
      </c>
      <c r="I86" s="174">
        <v>0.72</v>
      </c>
      <c r="J86" s="174">
        <v>0.72</v>
      </c>
      <c r="K86" s="174"/>
      <c r="L86" s="174"/>
      <c r="M86" s="191">
        <v>620</v>
      </c>
      <c r="N86" s="176">
        <v>9.8290000000000006</v>
      </c>
      <c r="O86" s="176"/>
      <c r="P86" s="177"/>
      <c r="Q86" s="178"/>
      <c r="R86" s="179"/>
      <c r="S86" s="179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80"/>
      <c r="AE86" s="173" t="s">
        <v>114</v>
      </c>
      <c r="AF86" s="181" t="s">
        <v>248</v>
      </c>
      <c r="AG86" s="181"/>
      <c r="AH86" s="181"/>
      <c r="AI86" s="181">
        <v>44417</v>
      </c>
      <c r="AJ86" s="181"/>
      <c r="AK86" s="181">
        <f ca="1">TODAY()</f>
        <v>44958</v>
      </c>
      <c r="AL86" s="173">
        <f ca="1">IF(AI86&lt;&gt;0,AK86-AI86,0)</f>
        <v>541</v>
      </c>
      <c r="AM86" s="173" t="str">
        <f>IF(ISNUMBER(X86)=TRUE,AK86-X86,IF(X86="","",(AK86)-(MID(RIGHT(X86,10),4,2)&amp;"/"&amp;LEFT((RIGHT(X86,10)),2)&amp;"/"&amp;RIGHT(X86,4))))</f>
        <v/>
      </c>
      <c r="AN86" s="181" t="s">
        <v>535</v>
      </c>
      <c r="AO86" s="190" t="s">
        <v>536</v>
      </c>
      <c r="AP86" s="176">
        <v>9.8290000000000006</v>
      </c>
      <c r="AQ86" s="176">
        <v>9.8689999999999998</v>
      </c>
      <c r="AR86" s="176">
        <v>9.8939999999999984</v>
      </c>
      <c r="AS86" s="176">
        <v>9.8989999999999991</v>
      </c>
      <c r="AT86" s="173" t="str">
        <f>IF(ISNUMBER(U86)=TRUE,AK86-U86,IF(U86="","",(AK86)-(MID(RIGHT(U86,10),4,2)&amp;"/"&amp;LEFT((RIGHT(U86,10)),2)&amp;"/"&amp;RIGHT(U86,4))))</f>
        <v/>
      </c>
      <c r="AU86" s="173">
        <v>414</v>
      </c>
      <c r="AW86" s="142" t="s">
        <v>123</v>
      </c>
      <c r="BK86" s="195"/>
    </row>
    <row r="87" spans="2:63" s="142" customFormat="1" ht="21" customHeight="1" x14ac:dyDescent="0.25">
      <c r="B87" s="173" t="str">
        <f>IF(C87="HOLD RM","HOLD RM",IF(C87="BAL","WIP",IF(C87="HOLD SLT","HOLD SLT",IF(C87="MILL","RM",IF(C87="RE SLT","WIP",IF(C87="RM","RM",IF(C87="RM BAL","RM",IF(C87="RM SLT","RM",IF(C87="RR","WIP",IF(C87="SKP","WIP",IF(C87="SLT","WIP",IF(C87="CTL","WIP",0))))))))))))&amp;"-"&amp;G87&amp;"/"&amp;IF(H87="2B","2B",IF(H87="NO.1","1D",IF(H87="FH","FH",IF(H87="BA","BA",0)))&amp;"-"&amp;IF(J87="",(TEXT(I87,"0.00")),TEXT(J87,"0.00"))&amp;"X"&amp;M87)</f>
        <v>WIP-J3/2B</v>
      </c>
      <c r="C87" s="173" t="s">
        <v>18</v>
      </c>
      <c r="D87" s="173" t="s">
        <v>146</v>
      </c>
      <c r="E87" s="190" t="s">
        <v>537</v>
      </c>
      <c r="F87" s="190" t="s">
        <v>538</v>
      </c>
      <c r="G87" s="173" t="s">
        <v>34</v>
      </c>
      <c r="H87" s="173" t="s">
        <v>114</v>
      </c>
      <c r="I87" s="174">
        <v>0.72</v>
      </c>
      <c r="J87" s="174">
        <v>0.4</v>
      </c>
      <c r="K87" s="174">
        <v>0.4</v>
      </c>
      <c r="L87" s="174">
        <v>0.41</v>
      </c>
      <c r="M87" s="191">
        <v>610</v>
      </c>
      <c r="N87" s="176">
        <v>9.7650000000000006</v>
      </c>
      <c r="O87" s="176" t="s">
        <v>114</v>
      </c>
      <c r="P87" s="177"/>
      <c r="Q87" s="178" t="s">
        <v>115</v>
      </c>
      <c r="R87" s="179" t="s">
        <v>438</v>
      </c>
      <c r="S87" s="179"/>
      <c r="T87" s="177">
        <v>44492</v>
      </c>
      <c r="U87" s="177"/>
      <c r="V87" s="177">
        <v>44492</v>
      </c>
      <c r="W87" s="177"/>
      <c r="X87" s="177">
        <v>44719</v>
      </c>
      <c r="Y87" s="177"/>
      <c r="Z87" s="177">
        <v>44491</v>
      </c>
      <c r="AA87" s="177"/>
      <c r="AB87" s="177"/>
      <c r="AC87" s="177"/>
      <c r="AD87" s="180"/>
      <c r="AE87" s="173" t="s">
        <v>114</v>
      </c>
      <c r="AF87" s="181" t="s">
        <v>248</v>
      </c>
      <c r="AG87" s="181"/>
      <c r="AH87" s="181"/>
      <c r="AI87" s="181">
        <v>44417</v>
      </c>
      <c r="AJ87" s="181"/>
      <c r="AK87" s="181">
        <f ca="1">TODAY()</f>
        <v>44958</v>
      </c>
      <c r="AL87" s="173">
        <f ca="1">IF(AI87&lt;&gt;0,AK87-AI87,0)</f>
        <v>541</v>
      </c>
      <c r="AM87" s="173">
        <f ca="1">IF(ISNUMBER(X87)=TRUE,AK87-X87,IF(X87="","",(AK87)-(MID(RIGHT(X87,10),4,2)&amp;"/"&amp;LEFT((RIGHT(X87,10)),2)&amp;"/"&amp;RIGHT(X87,4))))</f>
        <v>239</v>
      </c>
      <c r="AN87" s="181" t="s">
        <v>539</v>
      </c>
      <c r="AO87" s="190" t="s">
        <v>540</v>
      </c>
      <c r="AP87" s="176">
        <v>9.9469999999999992</v>
      </c>
      <c r="AQ87" s="176">
        <v>9.9869999999999983</v>
      </c>
      <c r="AR87" s="176">
        <v>10.011999999999997</v>
      </c>
      <c r="AS87" s="176">
        <v>10.016999999999998</v>
      </c>
      <c r="AT87" s="173" t="str">
        <f>IF(ISNUMBER(U87)=TRUE,AK87-U87,IF(U87="","",(AK87)-(MID(RIGHT(U87,10),4,2)&amp;"/"&amp;LEFT((RIGHT(U87,10)),2)&amp;"/"&amp;RIGHT(U87,4))))</f>
        <v/>
      </c>
      <c r="AU87" s="173">
        <v>414</v>
      </c>
      <c r="AW87" s="142" t="s">
        <v>123</v>
      </c>
      <c r="BK87" s="182" t="s">
        <v>311</v>
      </c>
    </row>
    <row r="88" spans="2:63" s="142" customFormat="1" ht="21" customHeight="1" x14ac:dyDescent="0.25">
      <c r="B88" s="173" t="str">
        <f>IF(C88="HOLD RM","HOLD RM",IF(C88="BAL","WIP",IF(C88="HOLD SLT","HOLD SLT",IF(C88="MILL","RM",IF(C88="RE SLT","WIP",IF(C88="RM","RM",IF(C88="RM BAL","RM",IF(C88="RM SLT","RM",IF(C88="RR","WIP",IF(C88="SKP","WIP",IF(C88="SLT","WIP",IF(C88="CTL","WIP",0))))))))))))&amp;"-"&amp;G88&amp;"/"&amp;IF(H88="2B","2B",IF(H88="NO.1","1D",IF(H88="FH","FH",IF(H88="BA","BA",0)))&amp;"-"&amp;IF(J88="",(TEXT(I88,"0.00")),TEXT(J88,"0.00"))&amp;"X"&amp;M88)</f>
        <v>RM-J3/2B</v>
      </c>
      <c r="C88" s="173" t="s">
        <v>155</v>
      </c>
      <c r="D88" s="173" t="s">
        <v>155</v>
      </c>
      <c r="E88" s="190" t="s">
        <v>541</v>
      </c>
      <c r="F88" s="190" t="s">
        <v>542</v>
      </c>
      <c r="G88" s="173" t="s">
        <v>34</v>
      </c>
      <c r="H88" s="173" t="s">
        <v>114</v>
      </c>
      <c r="I88" s="174">
        <v>0.72</v>
      </c>
      <c r="J88" s="174">
        <v>0.72</v>
      </c>
      <c r="K88" s="174"/>
      <c r="L88" s="174"/>
      <c r="M88" s="191">
        <v>620</v>
      </c>
      <c r="N88" s="176">
        <v>9.7050000000000001</v>
      </c>
      <c r="O88" s="176"/>
      <c r="P88" s="177"/>
      <c r="Q88" s="178"/>
      <c r="R88" s="179"/>
      <c r="S88" s="179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80"/>
      <c r="AE88" s="173" t="s">
        <v>114</v>
      </c>
      <c r="AF88" s="181" t="s">
        <v>248</v>
      </c>
      <c r="AG88" s="181"/>
      <c r="AH88" s="181"/>
      <c r="AI88" s="181">
        <v>44417</v>
      </c>
      <c r="AJ88" s="181"/>
      <c r="AK88" s="181">
        <f ca="1">TODAY()</f>
        <v>44958</v>
      </c>
      <c r="AL88" s="173">
        <f ca="1">IF(AI88&lt;&gt;0,AK88-AI88,0)</f>
        <v>541</v>
      </c>
      <c r="AM88" s="173" t="str">
        <f>IF(ISNUMBER(X88)=TRUE,AK88-X88,IF(X88="","",(AK88)-(MID(RIGHT(X88,10),4,2)&amp;"/"&amp;LEFT((RIGHT(X88,10)),2)&amp;"/"&amp;RIGHT(X88,4))))</f>
        <v/>
      </c>
      <c r="AN88" s="181" t="s">
        <v>543</v>
      </c>
      <c r="AO88" s="190" t="s">
        <v>544</v>
      </c>
      <c r="AP88" s="176">
        <v>9.7050000000000001</v>
      </c>
      <c r="AQ88" s="176">
        <v>9.7449999999999992</v>
      </c>
      <c r="AR88" s="176">
        <v>9.7699999999999978</v>
      </c>
      <c r="AS88" s="176">
        <v>9.7749999999999986</v>
      </c>
      <c r="AT88" s="173" t="str">
        <f>IF(ISNUMBER(U88)=TRUE,AK88-U88,IF(U88="","",(AK88)-(MID(RIGHT(U88,10),4,2)&amp;"/"&amp;LEFT((RIGHT(U88,10)),2)&amp;"/"&amp;RIGHT(U88,4))))</f>
        <v/>
      </c>
      <c r="AU88" s="173">
        <v>414</v>
      </c>
      <c r="AW88" s="142" t="s">
        <v>123</v>
      </c>
      <c r="BK88" s="195"/>
    </row>
    <row r="89" spans="2:63" s="142" customFormat="1" ht="21" customHeight="1" x14ac:dyDescent="0.25">
      <c r="B89" s="173" t="str">
        <f>IF(C89="HOLD RM","HOLD RM",IF(C89="BAL","WIP",IF(C89="HOLD SLT","HOLD SLT",IF(C89="MILL","RM",IF(C89="RE SLT","WIP",IF(C89="RM","RM",IF(C89="RM BAL","RM",IF(C89="RM SLT","RM",IF(C89="RR","WIP",IF(C89="SKP","WIP",IF(C89="SLT","WIP",IF(C89="CTL","WIP",0))))))))))))&amp;"-"&amp;G89&amp;"/"&amp;IF(H89="2B","2B",IF(H89="NO.1","1D",IF(H89="FH","FH",IF(H89="BA","BA",0)))&amp;"-"&amp;IF(J89="",(TEXT(I89,"0.00")),TEXT(J89,"0.00"))&amp;"X"&amp;M89)</f>
        <v>WIP-J3/FH-0.45X620</v>
      </c>
      <c r="C89" s="173" t="s">
        <v>16</v>
      </c>
      <c r="D89" s="173" t="s">
        <v>16</v>
      </c>
      <c r="E89" s="190" t="s">
        <v>545</v>
      </c>
      <c r="F89" s="190" t="s">
        <v>546</v>
      </c>
      <c r="G89" s="173" t="s">
        <v>34</v>
      </c>
      <c r="H89" s="173" t="s">
        <v>70</v>
      </c>
      <c r="I89" s="174">
        <v>0.72</v>
      </c>
      <c r="J89" s="174">
        <v>0.45</v>
      </c>
      <c r="K89" s="174"/>
      <c r="L89" s="174"/>
      <c r="M89" s="191">
        <v>620</v>
      </c>
      <c r="N89" s="176">
        <f>9.977-0.05</f>
        <v>9.9269999999999996</v>
      </c>
      <c r="O89" s="176" t="s">
        <v>114</v>
      </c>
      <c r="P89" s="177"/>
      <c r="Q89" s="178" t="s">
        <v>294</v>
      </c>
      <c r="R89" s="179"/>
      <c r="S89" s="179"/>
      <c r="T89" s="177"/>
      <c r="U89" s="177"/>
      <c r="V89" s="177"/>
      <c r="W89" s="177">
        <v>44864</v>
      </c>
      <c r="X89" s="177"/>
      <c r="Y89" s="177">
        <v>44957</v>
      </c>
      <c r="Z89" s="177"/>
      <c r="AA89" s="177"/>
      <c r="AB89" s="177"/>
      <c r="AC89" s="177"/>
      <c r="AD89" s="180"/>
      <c r="AE89" s="173" t="s">
        <v>114</v>
      </c>
      <c r="AF89" s="181" t="s">
        <v>248</v>
      </c>
      <c r="AG89" s="181"/>
      <c r="AH89" s="181"/>
      <c r="AI89" s="181">
        <v>44417</v>
      </c>
      <c r="AJ89" s="181"/>
      <c r="AK89" s="181">
        <f ca="1">TODAY()</f>
        <v>44958</v>
      </c>
      <c r="AL89" s="173">
        <f ca="1">IF(AI89&lt;&gt;0,AK89-AI89,0)</f>
        <v>541</v>
      </c>
      <c r="AM89" s="173" t="str">
        <f>IF(ISNUMBER(X89)=TRUE,AK89-X89,IF(X89="","",(AK89)-(MID(RIGHT(X89,10),4,2)&amp;"/"&amp;LEFT((RIGHT(X89,10)),2)&amp;"/"&amp;RIGHT(X89,4))))</f>
        <v/>
      </c>
      <c r="AN89" s="181" t="s">
        <v>547</v>
      </c>
      <c r="AO89" s="190" t="s">
        <v>540</v>
      </c>
      <c r="AP89" s="176">
        <v>9.9770000000000003</v>
      </c>
      <c r="AQ89" s="176">
        <v>10.016999999999999</v>
      </c>
      <c r="AR89" s="176">
        <v>10.041999999999998</v>
      </c>
      <c r="AS89" s="176">
        <v>10.046999999999999</v>
      </c>
      <c r="AT89" s="173" t="str">
        <f>IF(ISNUMBER(U89)=TRUE,AK89-U89,IF(U89="","",(AK89)-(MID(RIGHT(U89,10),4,2)&amp;"/"&amp;LEFT((RIGHT(U89,10)),2)&amp;"/"&amp;RIGHT(U89,4))))</f>
        <v/>
      </c>
      <c r="AU89" s="173">
        <v>414</v>
      </c>
      <c r="AW89" s="142" t="s">
        <v>123</v>
      </c>
      <c r="BK89" s="195"/>
    </row>
    <row r="90" spans="2:63" s="142" customFormat="1" ht="21" customHeight="1" x14ac:dyDescent="0.25">
      <c r="B90" s="173" t="str">
        <f>IF(C90="HOLD RM","HOLD RM",IF(C90="BAL","WIP",IF(C90="HOLD SLT","HOLD SLT",IF(C90="MILL","RM",IF(C90="RE SLT","WIP",IF(C90="RM","RM",IF(C90="RM BAL","RM",IF(C90="RM SLT","RM",IF(C90="RR","WIP",IF(C90="SKP","WIP",IF(C90="SLT","WIP",IF(C90="CTL","WIP",0))))))))))))&amp;"-"&amp;G90&amp;"/"&amp;IF(H90="2B","2B",IF(H90="NO.1","1D",IF(H90="FH","FH",IF(H90="BA","BA",0)))&amp;"-"&amp;IF(J90="",(TEXT(I90,"0.00")),TEXT(J90,"0.00"))&amp;"X"&amp;M90)</f>
        <v>RM-J3/2B</v>
      </c>
      <c r="C90" s="173" t="s">
        <v>155</v>
      </c>
      <c r="D90" s="173" t="s">
        <v>155</v>
      </c>
      <c r="E90" s="190" t="s">
        <v>548</v>
      </c>
      <c r="F90" s="190" t="s">
        <v>549</v>
      </c>
      <c r="G90" s="173" t="s">
        <v>34</v>
      </c>
      <c r="H90" s="173" t="s">
        <v>114</v>
      </c>
      <c r="I90" s="174">
        <v>0.72</v>
      </c>
      <c r="J90" s="174">
        <v>0.72</v>
      </c>
      <c r="K90" s="174"/>
      <c r="L90" s="174"/>
      <c r="M90" s="191">
        <v>620</v>
      </c>
      <c r="N90" s="176">
        <v>9.9870000000000001</v>
      </c>
      <c r="O90" s="176"/>
      <c r="P90" s="177"/>
      <c r="Q90" s="178"/>
      <c r="R90" s="179"/>
      <c r="S90" s="179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80"/>
      <c r="AE90" s="173" t="s">
        <v>114</v>
      </c>
      <c r="AF90" s="181" t="s">
        <v>248</v>
      </c>
      <c r="AG90" s="181"/>
      <c r="AH90" s="181"/>
      <c r="AI90" s="181">
        <v>44417</v>
      </c>
      <c r="AJ90" s="181"/>
      <c r="AK90" s="181">
        <f ca="1">TODAY()</f>
        <v>44958</v>
      </c>
      <c r="AL90" s="173">
        <f ca="1">IF(AI90&lt;&gt;0,AK90-AI90,0)</f>
        <v>541</v>
      </c>
      <c r="AM90" s="173" t="str">
        <f>IF(ISNUMBER(X90)=TRUE,AK90-X90,IF(X90="","",(AK90)-(MID(RIGHT(X90,10),4,2)&amp;"/"&amp;LEFT((RIGHT(X90,10)),2)&amp;"/"&amp;RIGHT(X90,4))))</f>
        <v/>
      </c>
      <c r="AN90" s="181" t="s">
        <v>550</v>
      </c>
      <c r="AO90" s="190" t="s">
        <v>551</v>
      </c>
      <c r="AP90" s="176">
        <v>9.9870000000000001</v>
      </c>
      <c r="AQ90" s="176">
        <v>10.026999999999999</v>
      </c>
      <c r="AR90" s="176">
        <v>10.051999999999998</v>
      </c>
      <c r="AS90" s="176">
        <v>10.056999999999999</v>
      </c>
      <c r="AT90" s="173" t="str">
        <f>IF(ISNUMBER(U90)=TRUE,AK90-U90,IF(U90="","",(AK90)-(MID(RIGHT(U90,10),4,2)&amp;"/"&amp;LEFT((RIGHT(U90,10)),2)&amp;"/"&amp;RIGHT(U90,4))))</f>
        <v/>
      </c>
      <c r="AU90" s="173">
        <v>414</v>
      </c>
      <c r="AW90" s="142" t="s">
        <v>123</v>
      </c>
      <c r="BK90" s="195"/>
    </row>
    <row r="91" spans="2:63" s="142" customFormat="1" ht="21" customHeight="1" x14ac:dyDescent="0.25">
      <c r="B91" s="173" t="str">
        <f>IF(C91="HOLD RM","HOLD RM",IF(C91="BAL","WIP",IF(C91="HOLD SLT","HOLD SLT",IF(C91="MILL","RM",IF(C91="RE SLT","WIP",IF(C91="RM","RM",IF(C91="RM BAL","RM",IF(C91="RM SLT","RM",IF(C91="RR","WIP",IF(C91="SKP","WIP",IF(C91="SLT","WIP",IF(C91="CTL","WIP",0))))))))))))&amp;"-"&amp;G91&amp;"/"&amp;IF(H91="2B","2B",IF(H91="NO.1","1D",IF(H91="FH","FH",IF(H91="BA","BA",0)))&amp;"-"&amp;IF(J91="",(TEXT(I91,"0.00")),TEXT(J91,"0.00"))&amp;"X"&amp;M91)</f>
        <v>RM-J3/2B</v>
      </c>
      <c r="C91" s="173" t="s">
        <v>155</v>
      </c>
      <c r="D91" s="173" t="s">
        <v>155</v>
      </c>
      <c r="E91" s="190" t="s">
        <v>552</v>
      </c>
      <c r="F91" s="190" t="s">
        <v>553</v>
      </c>
      <c r="G91" s="173" t="s">
        <v>34</v>
      </c>
      <c r="H91" s="173" t="s">
        <v>114</v>
      </c>
      <c r="I91" s="174">
        <v>0.75</v>
      </c>
      <c r="J91" s="174">
        <v>0.75</v>
      </c>
      <c r="K91" s="174"/>
      <c r="L91" s="174"/>
      <c r="M91" s="191">
        <v>620</v>
      </c>
      <c r="N91" s="176">
        <v>9.8550000000000004</v>
      </c>
      <c r="O91" s="176"/>
      <c r="P91" s="177"/>
      <c r="Q91" s="178"/>
      <c r="R91" s="179"/>
      <c r="S91" s="179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80"/>
      <c r="AE91" s="173" t="s">
        <v>114</v>
      </c>
      <c r="AF91" s="181" t="s">
        <v>248</v>
      </c>
      <c r="AG91" s="181"/>
      <c r="AH91" s="181"/>
      <c r="AI91" s="181">
        <v>44417</v>
      </c>
      <c r="AJ91" s="181"/>
      <c r="AK91" s="181">
        <f ca="1">TODAY()</f>
        <v>44958</v>
      </c>
      <c r="AL91" s="173">
        <f ca="1">IF(AI91&lt;&gt;0,AK91-AI91,0)</f>
        <v>541</v>
      </c>
      <c r="AM91" s="173" t="str">
        <f>IF(ISNUMBER(X91)=TRUE,AK91-X91,IF(X91="","",(AK91)-(MID(RIGHT(X91,10),4,2)&amp;"/"&amp;LEFT((RIGHT(X91,10)),2)&amp;"/"&amp;RIGHT(X91,4))))</f>
        <v/>
      </c>
      <c r="AN91" s="181" t="s">
        <v>535</v>
      </c>
      <c r="AO91" s="190" t="s">
        <v>554</v>
      </c>
      <c r="AP91" s="176">
        <v>9.8550000000000004</v>
      </c>
      <c r="AQ91" s="176">
        <v>9.8949999999999996</v>
      </c>
      <c r="AR91" s="176">
        <v>9.9199999999999982</v>
      </c>
      <c r="AS91" s="176">
        <v>9.9249999999999989</v>
      </c>
      <c r="AT91" s="173" t="str">
        <f>IF(ISNUMBER(U91)=TRUE,AK91-U91,IF(U91="","",(AK91)-(MID(RIGHT(U91,10),4,2)&amp;"/"&amp;LEFT((RIGHT(U91,10)),2)&amp;"/"&amp;RIGHT(U91,4))))</f>
        <v/>
      </c>
      <c r="AU91" s="173">
        <v>414</v>
      </c>
      <c r="AW91" s="142" t="s">
        <v>123</v>
      </c>
      <c r="BK91" s="195"/>
    </row>
    <row r="92" spans="2:63" s="142" customFormat="1" ht="21" customHeight="1" x14ac:dyDescent="0.25">
      <c r="B92" s="173" t="str">
        <f>IF(C92="HOLD RM","HOLD RM",IF(C92="BAL","WIP",IF(C92="HOLD SLT","HOLD SLT",IF(C92="MILL","RM",IF(C92="RE SLT","WIP",IF(C92="RM","RM",IF(C92="RM BAL","RM",IF(C92="RM SLT","RM",IF(C92="RR","WIP",IF(C92="SKP","WIP",IF(C92="SLT","WIP",IF(C92="CTL","WIP",0))))))))))))&amp;"-"&amp;G92&amp;"/"&amp;IF(H92="2B","2B",IF(H92="NO.1","1D",IF(H92="FH","FH",IF(H92="BA","BA",0)))&amp;"-"&amp;IF(J92="",(TEXT(I92,"0.00")),TEXT(J92,"0.00"))&amp;"X"&amp;M92)</f>
        <v>RM-J3/2B</v>
      </c>
      <c r="C92" s="173" t="s">
        <v>155</v>
      </c>
      <c r="D92" s="173" t="s">
        <v>155</v>
      </c>
      <c r="E92" s="190" t="s">
        <v>555</v>
      </c>
      <c r="F92" s="190" t="s">
        <v>556</v>
      </c>
      <c r="G92" s="173" t="s">
        <v>34</v>
      </c>
      <c r="H92" s="173" t="s">
        <v>114</v>
      </c>
      <c r="I92" s="174">
        <v>0.75</v>
      </c>
      <c r="J92" s="174">
        <v>0.75</v>
      </c>
      <c r="K92" s="174"/>
      <c r="L92" s="174"/>
      <c r="M92" s="191">
        <v>620</v>
      </c>
      <c r="N92" s="176">
        <v>9.9770000000000003</v>
      </c>
      <c r="O92" s="176"/>
      <c r="P92" s="177"/>
      <c r="Q92" s="178"/>
      <c r="R92" s="179"/>
      <c r="S92" s="179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80"/>
      <c r="AE92" s="173" t="s">
        <v>114</v>
      </c>
      <c r="AF92" s="181" t="s">
        <v>248</v>
      </c>
      <c r="AG92" s="181"/>
      <c r="AH92" s="181"/>
      <c r="AI92" s="181">
        <v>44417</v>
      </c>
      <c r="AJ92" s="181"/>
      <c r="AK92" s="181">
        <f ca="1">TODAY()</f>
        <v>44958</v>
      </c>
      <c r="AL92" s="173">
        <f ca="1">IF(AI92&lt;&gt;0,AK92-AI92,0)</f>
        <v>541</v>
      </c>
      <c r="AM92" s="173" t="str">
        <f>IF(ISNUMBER(X92)=TRUE,AK92-X92,IF(X92="","",(AK92)-(MID(RIGHT(X92,10),4,2)&amp;"/"&amp;LEFT((RIGHT(X92,10)),2)&amp;"/"&amp;RIGHT(X92,4))))</f>
        <v/>
      </c>
      <c r="AN92" s="181" t="s">
        <v>557</v>
      </c>
      <c r="AO92" s="190" t="s">
        <v>558</v>
      </c>
      <c r="AP92" s="176">
        <v>9.9770000000000003</v>
      </c>
      <c r="AQ92" s="176">
        <v>10.016999999999999</v>
      </c>
      <c r="AR92" s="176">
        <v>10.041999999999998</v>
      </c>
      <c r="AS92" s="176">
        <v>10.046999999999999</v>
      </c>
      <c r="AT92" s="173" t="str">
        <f>IF(ISNUMBER(U92)=TRUE,AK92-U92,IF(U92="","",(AK92)-(MID(RIGHT(U92,10),4,2)&amp;"/"&amp;LEFT((RIGHT(U92,10)),2)&amp;"/"&amp;RIGHT(U92,4))))</f>
        <v/>
      </c>
      <c r="AU92" s="173">
        <v>414</v>
      </c>
      <c r="AW92" s="142" t="s">
        <v>123</v>
      </c>
      <c r="BK92" s="195"/>
    </row>
    <row r="93" spans="2:63" s="142" customFormat="1" ht="21" customHeight="1" x14ac:dyDescent="0.25">
      <c r="B93" s="173" t="str">
        <f>IF(C93="HOLD RM","HOLD RM",IF(C93="BAL","WIP",IF(C93="HOLD SLT","HOLD SLT",IF(C93="MILL","RM",IF(C93="RE SLT","WIP",IF(C93="RM","RM",IF(C93="RM BAL","RM",IF(C93="RM SLT","RM",IF(C93="RR","WIP",IF(C93="SKP","WIP",IF(C93="SLT","WIP",IF(C93="CTL","WIP",0))))))))))))&amp;"-"&amp;G93&amp;"/"&amp;IF(H93="2B","2B",IF(H93="NO.1","1D",IF(H93="FH","FH",IF(H93="BA","BA",0)))&amp;"-"&amp;IF(J93="",(TEXT(I93,"0.00")),TEXT(J93,"0.00"))&amp;"X"&amp;M93)</f>
        <v>RM-J3/2B</v>
      </c>
      <c r="C93" s="173" t="s">
        <v>155</v>
      </c>
      <c r="D93" s="173" t="s">
        <v>155</v>
      </c>
      <c r="E93" s="190" t="s">
        <v>559</v>
      </c>
      <c r="F93" s="190" t="s">
        <v>560</v>
      </c>
      <c r="G93" s="173" t="s">
        <v>34</v>
      </c>
      <c r="H93" s="173" t="s">
        <v>114</v>
      </c>
      <c r="I93" s="174">
        <v>0.75</v>
      </c>
      <c r="J93" s="174">
        <v>0.75</v>
      </c>
      <c r="K93" s="174"/>
      <c r="L93" s="174"/>
      <c r="M93" s="191">
        <v>620</v>
      </c>
      <c r="N93" s="176">
        <v>9.673</v>
      </c>
      <c r="O93" s="176"/>
      <c r="P93" s="177"/>
      <c r="Q93" s="178"/>
      <c r="R93" s="179"/>
      <c r="S93" s="179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80"/>
      <c r="AE93" s="173" t="s">
        <v>114</v>
      </c>
      <c r="AF93" s="181" t="s">
        <v>248</v>
      </c>
      <c r="AG93" s="181"/>
      <c r="AH93" s="181"/>
      <c r="AI93" s="181">
        <v>44417</v>
      </c>
      <c r="AJ93" s="181"/>
      <c r="AK93" s="181">
        <f ca="1">TODAY()</f>
        <v>44958</v>
      </c>
      <c r="AL93" s="173">
        <f ca="1">IF(AI93&lt;&gt;0,AK93-AI93,0)</f>
        <v>541</v>
      </c>
      <c r="AM93" s="173" t="str">
        <f>IF(ISNUMBER(X93)=TRUE,AK93-X93,IF(X93="","",(AK93)-(MID(RIGHT(X93,10),4,2)&amp;"/"&amp;LEFT((RIGHT(X93,10)),2)&amp;"/"&amp;RIGHT(X93,4))))</f>
        <v/>
      </c>
      <c r="AN93" s="181" t="s">
        <v>561</v>
      </c>
      <c r="AO93" s="190" t="s">
        <v>562</v>
      </c>
      <c r="AP93" s="176">
        <v>9.673</v>
      </c>
      <c r="AQ93" s="176">
        <v>9.7129999999999992</v>
      </c>
      <c r="AR93" s="176">
        <v>9.7379999999999978</v>
      </c>
      <c r="AS93" s="176">
        <v>9.7429999999999986</v>
      </c>
      <c r="AT93" s="173" t="str">
        <f>IF(ISNUMBER(U93)=TRUE,AK93-U93,IF(U93="","",(AK93)-(MID(RIGHT(U93,10),4,2)&amp;"/"&amp;LEFT((RIGHT(U93,10)),2)&amp;"/"&amp;RIGHT(U93,4))))</f>
        <v/>
      </c>
      <c r="AU93" s="173">
        <v>414</v>
      </c>
      <c r="AW93" s="142" t="s">
        <v>123</v>
      </c>
      <c r="BK93" s="195"/>
    </row>
    <row r="94" spans="2:63" s="142" customFormat="1" ht="21" customHeight="1" x14ac:dyDescent="0.25">
      <c r="B94" s="173" t="str">
        <f>IF(C94="HOLD RM","HOLD RM",IF(C94="BAL","WIP",IF(C94="HOLD SLT","HOLD SLT",IF(C94="MILL","RM",IF(C94="RE SLT","WIP",IF(C94="RM","RM",IF(C94="RM BAL","RM",IF(C94="RM SLT","RM",IF(C94="RR","WIP",IF(C94="SKP","WIP",IF(C94="SLT","WIP",IF(C94="CTL","WIP",0))))))))))))&amp;"-"&amp;G94&amp;"/"&amp;IF(H94="2B","2B",IF(H94="NO.1","1D",IF(H94="FH","FH",IF(H94="BA","BA",0)))&amp;"-"&amp;IF(J94="",(TEXT(I94,"0.00")),TEXT(J94,"0.00"))&amp;"X"&amp;M94)</f>
        <v>RM-J3/2B</v>
      </c>
      <c r="C94" s="173" t="s">
        <v>155</v>
      </c>
      <c r="D94" s="173" t="s">
        <v>155</v>
      </c>
      <c r="E94" s="190" t="s">
        <v>563</v>
      </c>
      <c r="F94" s="190" t="s">
        <v>564</v>
      </c>
      <c r="G94" s="173" t="s">
        <v>34</v>
      </c>
      <c r="H94" s="173" t="s">
        <v>114</v>
      </c>
      <c r="I94" s="174">
        <v>0.75</v>
      </c>
      <c r="J94" s="174">
        <v>0.75</v>
      </c>
      <c r="K94" s="174"/>
      <c r="L94" s="174"/>
      <c r="M94" s="191">
        <v>620</v>
      </c>
      <c r="N94" s="176">
        <v>9.9990000000000006</v>
      </c>
      <c r="O94" s="176"/>
      <c r="P94" s="177"/>
      <c r="Q94" s="178"/>
      <c r="R94" s="179"/>
      <c r="S94" s="179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80"/>
      <c r="AE94" s="173" t="s">
        <v>114</v>
      </c>
      <c r="AF94" s="181" t="s">
        <v>248</v>
      </c>
      <c r="AG94" s="181"/>
      <c r="AH94" s="181"/>
      <c r="AI94" s="181">
        <v>44417</v>
      </c>
      <c r="AJ94" s="181"/>
      <c r="AK94" s="181">
        <f ca="1">TODAY()</f>
        <v>44958</v>
      </c>
      <c r="AL94" s="173">
        <f ca="1">IF(AI94&lt;&gt;0,AK94-AI94,0)</f>
        <v>541</v>
      </c>
      <c r="AM94" s="173" t="str">
        <f>IF(ISNUMBER(X94)=TRUE,AK94-X94,IF(X94="","",(AK94)-(MID(RIGHT(X94,10),4,2)&amp;"/"&amp;LEFT((RIGHT(X94,10)),2)&amp;"/"&amp;RIGHT(X94,4))))</f>
        <v/>
      </c>
      <c r="AN94" s="181" t="s">
        <v>565</v>
      </c>
      <c r="AO94" s="190" t="s">
        <v>554</v>
      </c>
      <c r="AP94" s="176">
        <v>9.9990000000000006</v>
      </c>
      <c r="AQ94" s="176">
        <v>10.039</v>
      </c>
      <c r="AR94" s="176">
        <v>10.063999999999998</v>
      </c>
      <c r="AS94" s="176">
        <v>10.068999999999999</v>
      </c>
      <c r="AT94" s="173" t="str">
        <f>IF(ISNUMBER(U94)=TRUE,AK94-U94,IF(U94="","",(AK94)-(MID(RIGHT(U94,10),4,2)&amp;"/"&amp;LEFT((RIGHT(U94,10)),2)&amp;"/"&amp;RIGHT(U94,4))))</f>
        <v/>
      </c>
      <c r="AU94" s="173">
        <v>414</v>
      </c>
      <c r="AW94" s="142" t="s">
        <v>123</v>
      </c>
      <c r="BK94" s="195"/>
    </row>
    <row r="95" spans="2:63" s="142" customFormat="1" ht="21" customHeight="1" x14ac:dyDescent="0.25">
      <c r="B95" s="173" t="str">
        <f>IF(C95="HOLD RM","HOLD RM",IF(C95="BAL","WIP",IF(C95="HOLD SLT","HOLD SLT",IF(C95="MILL","RM",IF(C95="RE SLT","WIP",IF(C95="RM","RM",IF(C95="RM BAL","RM",IF(C95="RM SLT","RM",IF(C95="RR","WIP",IF(C95="SKP","WIP",IF(C95="SLT","WIP",IF(C95="CTL","WIP",0))))))))))))&amp;"-"&amp;G95&amp;"/"&amp;IF(H95="2B","2B",IF(H95="NO.1","1D",IF(H95="FH","FH",IF(H95="BA","BA",0)))&amp;"-"&amp;IF(J95="",(TEXT(I95,"0.00")),TEXT(J95,"0.00"))&amp;"X"&amp;M95)</f>
        <v>RM-J3/2B</v>
      </c>
      <c r="C95" s="173" t="s">
        <v>155</v>
      </c>
      <c r="D95" s="173" t="s">
        <v>155</v>
      </c>
      <c r="E95" s="190" t="s">
        <v>566</v>
      </c>
      <c r="F95" s="190" t="s">
        <v>567</v>
      </c>
      <c r="G95" s="173" t="s">
        <v>34</v>
      </c>
      <c r="H95" s="173" t="s">
        <v>114</v>
      </c>
      <c r="I95" s="174">
        <v>0.72</v>
      </c>
      <c r="J95" s="174">
        <v>0.72</v>
      </c>
      <c r="K95" s="174"/>
      <c r="L95" s="174"/>
      <c r="M95" s="191">
        <v>620</v>
      </c>
      <c r="N95" s="176">
        <v>9.9030000000000005</v>
      </c>
      <c r="O95" s="176"/>
      <c r="P95" s="177"/>
      <c r="Q95" s="178"/>
      <c r="R95" s="179"/>
      <c r="S95" s="179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80"/>
      <c r="AE95" s="173" t="s">
        <v>114</v>
      </c>
      <c r="AF95" s="181" t="s">
        <v>248</v>
      </c>
      <c r="AG95" s="181"/>
      <c r="AH95" s="181"/>
      <c r="AI95" s="181">
        <v>44417</v>
      </c>
      <c r="AJ95" s="181"/>
      <c r="AK95" s="181">
        <f ca="1">TODAY()</f>
        <v>44958</v>
      </c>
      <c r="AL95" s="173">
        <f ca="1">IF(AI95&lt;&gt;0,AK95-AI95,0)</f>
        <v>541</v>
      </c>
      <c r="AM95" s="173" t="str">
        <f>IF(ISNUMBER(X95)=TRUE,AK95-X95,IF(X95="","",(AK95)-(MID(RIGHT(X95,10),4,2)&amp;"/"&amp;LEFT((RIGHT(X95,10)),2)&amp;"/"&amp;RIGHT(X95,4))))</f>
        <v/>
      </c>
      <c r="AN95" s="181" t="s">
        <v>568</v>
      </c>
      <c r="AO95" s="190" t="s">
        <v>569</v>
      </c>
      <c r="AP95" s="176">
        <v>9.9030000000000005</v>
      </c>
      <c r="AQ95" s="176">
        <v>9.9429999999999996</v>
      </c>
      <c r="AR95" s="176">
        <v>9.9679999999999982</v>
      </c>
      <c r="AS95" s="176">
        <v>9.972999999999999</v>
      </c>
      <c r="AT95" s="173" t="str">
        <f>IF(ISNUMBER(U95)=TRUE,AK95-U95,IF(U95="","",(AK95)-(MID(RIGHT(U95,10),4,2)&amp;"/"&amp;LEFT((RIGHT(U95,10)),2)&amp;"/"&amp;RIGHT(U95,4))))</f>
        <v/>
      </c>
      <c r="AU95" s="173">
        <v>414</v>
      </c>
      <c r="AW95" s="142" t="s">
        <v>123</v>
      </c>
      <c r="BK95" s="195"/>
    </row>
    <row r="96" spans="2:63" s="142" customFormat="1" ht="21" customHeight="1" x14ac:dyDescent="0.25">
      <c r="B96" s="173" t="str">
        <f>IF(C96="HOLD RM","HOLD RM",IF(C96="BAL","WIP",IF(C96="HOLD SLT","HOLD SLT",IF(C96="MILL","RM",IF(C96="RE SLT","WIP",IF(C96="RM","RM",IF(C96="RM BAL","RM",IF(C96="RM SLT","RM",IF(C96="RR","WIP",IF(C96="SKP","WIP",IF(C96="SLT","WIP",IF(C96="CTL","WIP",0))))))))))))&amp;"-"&amp;G96&amp;"/"&amp;IF(H96="2B","2B",IF(H96="NO.1","1D",IF(H96="FH","FH",IF(H96="BA","BA",0)))&amp;"-"&amp;IF(J96="",(TEXT(I96,"0.00")),TEXT(J96,"0.00"))&amp;"X"&amp;M96)</f>
        <v>RM-J3/2B</v>
      </c>
      <c r="C96" s="173" t="s">
        <v>155</v>
      </c>
      <c r="D96" s="173" t="s">
        <v>155</v>
      </c>
      <c r="E96" s="190" t="s">
        <v>570</v>
      </c>
      <c r="F96" s="190" t="s">
        <v>571</v>
      </c>
      <c r="G96" s="173" t="s">
        <v>34</v>
      </c>
      <c r="H96" s="173" t="s">
        <v>114</v>
      </c>
      <c r="I96" s="174">
        <v>0.72</v>
      </c>
      <c r="J96" s="174">
        <v>0.72</v>
      </c>
      <c r="K96" s="174"/>
      <c r="L96" s="174"/>
      <c r="M96" s="191">
        <v>620</v>
      </c>
      <c r="N96" s="176">
        <v>9.9550000000000001</v>
      </c>
      <c r="O96" s="176"/>
      <c r="P96" s="177"/>
      <c r="Q96" s="178"/>
      <c r="R96" s="179"/>
      <c r="S96" s="179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80"/>
      <c r="AE96" s="173" t="s">
        <v>114</v>
      </c>
      <c r="AF96" s="181" t="s">
        <v>248</v>
      </c>
      <c r="AG96" s="181"/>
      <c r="AH96" s="181"/>
      <c r="AI96" s="181">
        <v>44417</v>
      </c>
      <c r="AJ96" s="181"/>
      <c r="AK96" s="181">
        <f ca="1">TODAY()</f>
        <v>44958</v>
      </c>
      <c r="AL96" s="173">
        <f ca="1">IF(AI96&lt;&gt;0,AK96-AI96,0)</f>
        <v>541</v>
      </c>
      <c r="AM96" s="173" t="str">
        <f>IF(ISNUMBER(X96)=TRUE,AK96-X96,IF(X96="","",(AK96)-(MID(RIGHT(X96,10),4,2)&amp;"/"&amp;LEFT((RIGHT(X96,10)),2)&amp;"/"&amp;RIGHT(X96,4))))</f>
        <v/>
      </c>
      <c r="AN96" s="181" t="s">
        <v>547</v>
      </c>
      <c r="AO96" s="190" t="s">
        <v>572</v>
      </c>
      <c r="AP96" s="176">
        <v>9.9550000000000001</v>
      </c>
      <c r="AQ96" s="176">
        <v>9.9949999999999992</v>
      </c>
      <c r="AR96" s="176">
        <v>10.019999999999998</v>
      </c>
      <c r="AS96" s="176">
        <v>10.024999999999999</v>
      </c>
      <c r="AT96" s="173" t="str">
        <f>IF(ISNUMBER(U96)=TRUE,AK96-U96,IF(U96="","",(AK96)-(MID(RIGHT(U96,10),4,2)&amp;"/"&amp;LEFT((RIGHT(U96,10)),2)&amp;"/"&amp;RIGHT(U96,4))))</f>
        <v/>
      </c>
      <c r="AU96" s="173">
        <v>414</v>
      </c>
      <c r="AW96" s="142" t="s">
        <v>123</v>
      </c>
      <c r="BK96" s="195"/>
    </row>
    <row r="97" spans="2:63" s="142" customFormat="1" ht="21" customHeight="1" x14ac:dyDescent="0.25">
      <c r="B97" s="173" t="str">
        <f>IF(C97="HOLD RM","HOLD RM",IF(C97="BAL","WIP",IF(C97="HOLD SLT","HOLD SLT",IF(C97="MILL","RM",IF(C97="RE SLT","WIP",IF(C97="RM","RM",IF(C97="RM BAL","RM",IF(C97="RM SLT","RM",IF(C97="RR","WIP",IF(C97="SKP","WIP",IF(C97="SLT","WIP",IF(C97="CTL","WIP",0))))))))))))&amp;"-"&amp;G97&amp;"/"&amp;IF(H97="2B","2B",IF(H97="NO.1","1D",IF(H97="FH","FH",IF(H97="BA","BA",0)))&amp;"-"&amp;IF(J97="",(TEXT(I97,"0.00")),TEXT(J97,"0.00"))&amp;"X"&amp;M97)</f>
        <v>RM-J3/2B</v>
      </c>
      <c r="C97" s="173" t="s">
        <v>155</v>
      </c>
      <c r="D97" s="173" t="s">
        <v>155</v>
      </c>
      <c r="E97" s="190" t="s">
        <v>573</v>
      </c>
      <c r="F97" s="190" t="s">
        <v>574</v>
      </c>
      <c r="G97" s="173" t="s">
        <v>34</v>
      </c>
      <c r="H97" s="173" t="s">
        <v>114</v>
      </c>
      <c r="I97" s="174">
        <v>0.72</v>
      </c>
      <c r="J97" s="174">
        <v>0.72</v>
      </c>
      <c r="K97" s="174"/>
      <c r="L97" s="174"/>
      <c r="M97" s="191">
        <v>620</v>
      </c>
      <c r="N97" s="176">
        <v>9.9589999999999996</v>
      </c>
      <c r="O97" s="176"/>
      <c r="P97" s="177"/>
      <c r="Q97" s="178"/>
      <c r="R97" s="179"/>
      <c r="S97" s="179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80"/>
      <c r="AE97" s="173" t="s">
        <v>114</v>
      </c>
      <c r="AF97" s="181" t="s">
        <v>248</v>
      </c>
      <c r="AG97" s="181"/>
      <c r="AH97" s="181"/>
      <c r="AI97" s="181">
        <v>44417</v>
      </c>
      <c r="AJ97" s="181"/>
      <c r="AK97" s="181">
        <f ca="1">TODAY()</f>
        <v>44958</v>
      </c>
      <c r="AL97" s="173">
        <f ca="1">IF(AI97&lt;&gt;0,AK97-AI97,0)</f>
        <v>541</v>
      </c>
      <c r="AM97" s="173" t="str">
        <f>IF(ISNUMBER(X97)=TRUE,AK97-X97,IF(X97="","",(AK97)-(MID(RIGHT(X97,10),4,2)&amp;"/"&amp;LEFT((RIGHT(X97,10)),2)&amp;"/"&amp;RIGHT(X97,4))))</f>
        <v/>
      </c>
      <c r="AN97" s="181" t="s">
        <v>575</v>
      </c>
      <c r="AO97" s="190" t="s">
        <v>576</v>
      </c>
      <c r="AP97" s="176">
        <v>9.9589999999999996</v>
      </c>
      <c r="AQ97" s="176">
        <v>9.9989999999999988</v>
      </c>
      <c r="AR97" s="176">
        <v>10.023999999999997</v>
      </c>
      <c r="AS97" s="176">
        <v>10.028999999999998</v>
      </c>
      <c r="AT97" s="173" t="str">
        <f>IF(ISNUMBER(U97)=TRUE,AK97-U97,IF(U97="","",(AK97)-(MID(RIGHT(U97,10),4,2)&amp;"/"&amp;LEFT((RIGHT(U97,10)),2)&amp;"/"&amp;RIGHT(U97,4))))</f>
        <v/>
      </c>
      <c r="AU97" s="173">
        <v>414</v>
      </c>
      <c r="AW97" s="142" t="s">
        <v>123</v>
      </c>
      <c r="BK97" s="195"/>
    </row>
    <row r="98" spans="2:63" s="142" customFormat="1" ht="21" customHeight="1" x14ac:dyDescent="0.25">
      <c r="B98" s="173" t="str">
        <f>IF(C98="HOLD RM","HOLD RM",IF(C98="BAL","WIP",IF(C98="HOLD SLT","HOLD SLT",IF(C98="MILL","RM",IF(C98="RE SLT","WIP",IF(C98="RM","RM",IF(C98="RM BAL","RM",IF(C98="RM SLT","RM",IF(C98="RR","WIP",IF(C98="SKP","WIP",IF(C98="SLT","WIP",IF(C98="CTL","WIP",0))))))))))))&amp;"-"&amp;G98&amp;"/"&amp;IF(H98="2B","2B",IF(H98="NO.1","1D",IF(H98="FH","FH",IF(H98="BA","BA",0)))&amp;"-"&amp;IF(J98="",(TEXT(I98,"0.00")),TEXT(J98,"0.00"))&amp;"X"&amp;M98)</f>
        <v>RM-J3/2B</v>
      </c>
      <c r="C98" s="173" t="s">
        <v>155</v>
      </c>
      <c r="D98" s="173" t="s">
        <v>155</v>
      </c>
      <c r="E98" s="190" t="s">
        <v>577</v>
      </c>
      <c r="F98" s="190" t="s">
        <v>578</v>
      </c>
      <c r="G98" s="173" t="s">
        <v>34</v>
      </c>
      <c r="H98" s="173" t="s">
        <v>114</v>
      </c>
      <c r="I98" s="174">
        <v>0.72</v>
      </c>
      <c r="J98" s="174">
        <v>0.72</v>
      </c>
      <c r="K98" s="174"/>
      <c r="L98" s="174"/>
      <c r="M98" s="191">
        <v>620</v>
      </c>
      <c r="N98" s="176">
        <v>9.7010000000000005</v>
      </c>
      <c r="O98" s="176"/>
      <c r="P98" s="177"/>
      <c r="Q98" s="178"/>
      <c r="R98" s="179"/>
      <c r="S98" s="179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80"/>
      <c r="AE98" s="173" t="s">
        <v>114</v>
      </c>
      <c r="AF98" s="181" t="s">
        <v>248</v>
      </c>
      <c r="AG98" s="181"/>
      <c r="AH98" s="181"/>
      <c r="AI98" s="181">
        <v>44417</v>
      </c>
      <c r="AJ98" s="181"/>
      <c r="AK98" s="181">
        <f ca="1">TODAY()</f>
        <v>44958</v>
      </c>
      <c r="AL98" s="173">
        <f ca="1">IF(AI98&lt;&gt;0,AK98-AI98,0)</f>
        <v>541</v>
      </c>
      <c r="AM98" s="173" t="str">
        <f>IF(ISNUMBER(X98)=TRUE,AK98-X98,IF(X98="","",(AK98)-(MID(RIGHT(X98,10),4,2)&amp;"/"&amp;LEFT((RIGHT(X98,10)),2)&amp;"/"&amp;RIGHT(X98,4))))</f>
        <v/>
      </c>
      <c r="AN98" s="181" t="s">
        <v>579</v>
      </c>
      <c r="AO98" s="190" t="s">
        <v>459</v>
      </c>
      <c r="AP98" s="176">
        <v>9.7010000000000005</v>
      </c>
      <c r="AQ98" s="176">
        <v>9.7409999999999997</v>
      </c>
      <c r="AR98" s="176">
        <v>9.7659999999999982</v>
      </c>
      <c r="AS98" s="176">
        <v>9.770999999999999</v>
      </c>
      <c r="AT98" s="173" t="str">
        <f>IF(ISNUMBER(U98)=TRUE,AK98-U98,IF(U98="","",(AK98)-(MID(RIGHT(U98,10),4,2)&amp;"/"&amp;LEFT((RIGHT(U98,10)),2)&amp;"/"&amp;RIGHT(U98,4))))</f>
        <v/>
      </c>
      <c r="AU98" s="173">
        <v>414</v>
      </c>
      <c r="AW98" s="142" t="s">
        <v>123</v>
      </c>
      <c r="BK98" s="195"/>
    </row>
    <row r="99" spans="2:63" s="142" customFormat="1" ht="21" customHeight="1" x14ac:dyDescent="0.25">
      <c r="B99" s="173" t="str">
        <f>IF(C99="HOLD RM","HOLD RM",IF(C99="BAL","WIP",IF(C99="HOLD SLT","HOLD SLT",IF(C99="MILL","RM",IF(C99="RE SLT","WIP",IF(C99="RM","RM",IF(C99="RM BAL","RM",IF(C99="RM SLT","RM",IF(C99="RR","WIP",IF(C99="SKP","WIP",IF(C99="SLT","WIP",IF(C99="CTL","WIP",0))))))))))))&amp;"-"&amp;G99&amp;"/"&amp;IF(H99="2B","2B",IF(H99="NO.1","1D",IF(H99="FH","FH",IF(H99="BA","BA",0)))&amp;"-"&amp;IF(J99="",(TEXT(I99,"0.00")),TEXT(J99,"0.00"))&amp;"X"&amp;M99)</f>
        <v>RM-J3/2B</v>
      </c>
      <c r="C99" s="173" t="s">
        <v>155</v>
      </c>
      <c r="D99" s="173" t="s">
        <v>155</v>
      </c>
      <c r="E99" s="190" t="s">
        <v>580</v>
      </c>
      <c r="F99" s="190" t="s">
        <v>581</v>
      </c>
      <c r="G99" s="173" t="s">
        <v>34</v>
      </c>
      <c r="H99" s="173" t="s">
        <v>114</v>
      </c>
      <c r="I99" s="174">
        <v>0.75</v>
      </c>
      <c r="J99" s="174">
        <v>0.75</v>
      </c>
      <c r="K99" s="174"/>
      <c r="L99" s="174"/>
      <c r="M99" s="191">
        <v>620</v>
      </c>
      <c r="N99" s="176">
        <v>9.9329999999999998</v>
      </c>
      <c r="O99" s="176"/>
      <c r="P99" s="177"/>
      <c r="Q99" s="178"/>
      <c r="R99" s="179"/>
      <c r="S99" s="179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80"/>
      <c r="AE99" s="173" t="s">
        <v>114</v>
      </c>
      <c r="AF99" s="181" t="s">
        <v>248</v>
      </c>
      <c r="AG99" s="181"/>
      <c r="AH99" s="181"/>
      <c r="AI99" s="181">
        <v>44417</v>
      </c>
      <c r="AJ99" s="181"/>
      <c r="AK99" s="181">
        <f ca="1">TODAY()</f>
        <v>44958</v>
      </c>
      <c r="AL99" s="173">
        <f ca="1">IF(AI99&lt;&gt;0,AK99-AI99,0)</f>
        <v>541</v>
      </c>
      <c r="AM99" s="173" t="str">
        <f>IF(ISNUMBER(X99)=TRUE,AK99-X99,IF(X99="","",(AK99)-(MID(RIGHT(X99,10),4,2)&amp;"/"&amp;LEFT((RIGHT(X99,10)),2)&amp;"/"&amp;RIGHT(X99,4))))</f>
        <v/>
      </c>
      <c r="AN99" s="181" t="s">
        <v>565</v>
      </c>
      <c r="AO99" s="190" t="s">
        <v>582</v>
      </c>
      <c r="AP99" s="176">
        <v>9.9329999999999998</v>
      </c>
      <c r="AQ99" s="176">
        <v>9.972999999999999</v>
      </c>
      <c r="AR99" s="176">
        <v>9.9979999999999976</v>
      </c>
      <c r="AS99" s="176">
        <v>10.002999999999998</v>
      </c>
      <c r="AT99" s="173" t="str">
        <f>IF(ISNUMBER(U99)=TRUE,AK99-U99,IF(U99="","",(AK99)-(MID(RIGHT(U99,10),4,2)&amp;"/"&amp;LEFT((RIGHT(U99,10)),2)&amp;"/"&amp;RIGHT(U99,4))))</f>
        <v/>
      </c>
      <c r="AU99" s="173">
        <v>414</v>
      </c>
      <c r="AW99" s="142" t="s">
        <v>123</v>
      </c>
      <c r="BK99" s="195"/>
    </row>
    <row r="100" spans="2:63" s="142" customFormat="1" ht="21" customHeight="1" x14ac:dyDescent="0.25">
      <c r="B100" s="173" t="str">
        <f>IF(C100="HOLD RM","HOLD RM",IF(C100="BAL","WIP",IF(C100="HOLD SLT","HOLD SLT",IF(C100="MILL","RM",IF(C100="RE SLT","WIP",IF(C100="RM","RM",IF(C100="RM BAL","RM",IF(C100="RM SLT","RM",IF(C100="RR","WIP",IF(C100="SKP","WIP",IF(C100="SLT","WIP",IF(C100="CTL","WIP",0))))))))))))&amp;"-"&amp;G100&amp;"/"&amp;IF(H100="2B","2B",IF(H100="NO.1","1D",IF(H100="FH","FH",IF(H100="BA","BA",0)))&amp;"-"&amp;IF(J100="",(TEXT(I100,"0.00")),TEXT(J100,"0.00"))&amp;"X"&amp;M100)</f>
        <v>RM-J3/2B</v>
      </c>
      <c r="C100" s="173" t="s">
        <v>155</v>
      </c>
      <c r="D100" s="173" t="s">
        <v>155</v>
      </c>
      <c r="E100" s="190" t="s">
        <v>583</v>
      </c>
      <c r="F100" s="190" t="s">
        <v>584</v>
      </c>
      <c r="G100" s="173" t="s">
        <v>34</v>
      </c>
      <c r="H100" s="173" t="s">
        <v>114</v>
      </c>
      <c r="I100" s="174">
        <v>0.75</v>
      </c>
      <c r="J100" s="174">
        <v>0.75</v>
      </c>
      <c r="K100" s="174"/>
      <c r="L100" s="174"/>
      <c r="M100" s="191">
        <v>620</v>
      </c>
      <c r="N100" s="176">
        <v>9.7530000000000001</v>
      </c>
      <c r="O100" s="176"/>
      <c r="P100" s="177"/>
      <c r="Q100" s="178"/>
      <c r="R100" s="179"/>
      <c r="S100" s="179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80"/>
      <c r="AE100" s="173" t="s">
        <v>114</v>
      </c>
      <c r="AF100" s="181" t="s">
        <v>248</v>
      </c>
      <c r="AG100" s="181"/>
      <c r="AH100" s="181"/>
      <c r="AI100" s="181">
        <v>44417</v>
      </c>
      <c r="AJ100" s="181"/>
      <c r="AK100" s="181">
        <f ca="1">TODAY()</f>
        <v>44958</v>
      </c>
      <c r="AL100" s="173">
        <f ca="1">IF(AI100&lt;&gt;0,AK100-AI100,0)</f>
        <v>541</v>
      </c>
      <c r="AM100" s="173" t="str">
        <f>IF(ISNUMBER(X100)=TRUE,AK100-X100,IF(X100="","",(AK100)-(MID(RIGHT(X100,10),4,2)&amp;"/"&amp;LEFT((RIGHT(X100,10)),2)&amp;"/"&amp;RIGHT(X100,4))))</f>
        <v/>
      </c>
      <c r="AN100" s="181" t="s">
        <v>557</v>
      </c>
      <c r="AO100" s="190" t="s">
        <v>536</v>
      </c>
      <c r="AP100" s="176">
        <v>9.7530000000000001</v>
      </c>
      <c r="AQ100" s="176">
        <v>9.7929999999999993</v>
      </c>
      <c r="AR100" s="176">
        <v>9.8179999999999978</v>
      </c>
      <c r="AS100" s="176">
        <v>9.8229999999999986</v>
      </c>
      <c r="AT100" s="173" t="str">
        <f>IF(ISNUMBER(U100)=TRUE,AK100-U100,IF(U100="","",(AK100)-(MID(RIGHT(U100,10),4,2)&amp;"/"&amp;LEFT((RIGHT(U100,10)),2)&amp;"/"&amp;RIGHT(U100,4))))</f>
        <v/>
      </c>
      <c r="AU100" s="173">
        <v>414</v>
      </c>
      <c r="AW100" s="142" t="s">
        <v>123</v>
      </c>
      <c r="BK100" s="195"/>
    </row>
    <row r="101" spans="2:63" s="142" customFormat="1" ht="21" customHeight="1" x14ac:dyDescent="0.25">
      <c r="B101" s="173" t="str">
        <f>IF(C101="HOLD RM","HOLD RM",IF(C101="BAL","WIP",IF(C101="HOLD SLT","HOLD SLT",IF(C101="MILL","RM",IF(C101="RE SLT","WIP",IF(C101="RM","RM",IF(C101="RM BAL","RM",IF(C101="RM SLT","RM",IF(C101="RR","WIP",IF(C101="SKP","WIP",IF(C101="SLT","WIP",IF(C101="CTL","WIP",0))))))))))))&amp;"-"&amp;G101&amp;"/"&amp;IF(H101="2B","2B",IF(H101="NO.1","1D",IF(H101="FH","FH",IF(H101="BA","BA",0)))&amp;"-"&amp;IF(J101="",(TEXT(I101,"0.00")),TEXT(J101,"0.00"))&amp;"X"&amp;M101)</f>
        <v>RM-J3/2B</v>
      </c>
      <c r="C101" s="173" t="s">
        <v>155</v>
      </c>
      <c r="D101" s="173" t="s">
        <v>155</v>
      </c>
      <c r="E101" s="190" t="s">
        <v>585</v>
      </c>
      <c r="F101" s="190" t="s">
        <v>586</v>
      </c>
      <c r="G101" s="173" t="s">
        <v>34</v>
      </c>
      <c r="H101" s="173" t="s">
        <v>114</v>
      </c>
      <c r="I101" s="174">
        <v>0.75</v>
      </c>
      <c r="J101" s="174">
        <v>0.75</v>
      </c>
      <c r="K101" s="174"/>
      <c r="L101" s="174"/>
      <c r="M101" s="191">
        <v>620</v>
      </c>
      <c r="N101" s="176">
        <v>9.9090000000000007</v>
      </c>
      <c r="O101" s="176"/>
      <c r="P101" s="177"/>
      <c r="Q101" s="178"/>
      <c r="R101" s="179"/>
      <c r="S101" s="179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80"/>
      <c r="AE101" s="173" t="s">
        <v>114</v>
      </c>
      <c r="AF101" s="181" t="s">
        <v>248</v>
      </c>
      <c r="AG101" s="181"/>
      <c r="AH101" s="181"/>
      <c r="AI101" s="181">
        <v>44417</v>
      </c>
      <c r="AJ101" s="181"/>
      <c r="AK101" s="181">
        <f ca="1">TODAY()</f>
        <v>44958</v>
      </c>
      <c r="AL101" s="173">
        <f ca="1">IF(AI101&lt;&gt;0,AK101-AI101,0)</f>
        <v>541</v>
      </c>
      <c r="AM101" s="173" t="str">
        <f>IF(ISNUMBER(X101)=TRUE,AK101-X101,IF(X101="","",(AK101)-(MID(RIGHT(X101,10),4,2)&amp;"/"&amp;LEFT((RIGHT(X101,10)),2)&amp;"/"&amp;RIGHT(X101,4))))</f>
        <v/>
      </c>
      <c r="AN101" s="181" t="s">
        <v>561</v>
      </c>
      <c r="AO101" s="190" t="s">
        <v>587</v>
      </c>
      <c r="AP101" s="176">
        <v>9.9090000000000007</v>
      </c>
      <c r="AQ101" s="176">
        <v>9.9489999999999998</v>
      </c>
      <c r="AR101" s="176">
        <v>9.9739999999999984</v>
      </c>
      <c r="AS101" s="176">
        <v>9.9789999999999992</v>
      </c>
      <c r="AT101" s="173" t="str">
        <f>IF(ISNUMBER(U101)=TRUE,AK101-U101,IF(U101="","",(AK101)-(MID(RIGHT(U101,10),4,2)&amp;"/"&amp;LEFT((RIGHT(U101,10)),2)&amp;"/"&amp;RIGHT(U101,4))))</f>
        <v/>
      </c>
      <c r="AU101" s="173">
        <v>414</v>
      </c>
      <c r="AW101" s="142" t="s">
        <v>123</v>
      </c>
      <c r="BK101" s="195"/>
    </row>
    <row r="102" spans="2:63" s="142" customFormat="1" ht="21" customHeight="1" x14ac:dyDescent="0.25">
      <c r="B102" s="173" t="str">
        <f>IF(C102="HOLD RM","HOLD RM",IF(C102="BAL","WIP",IF(C102="HOLD SLT","HOLD SLT",IF(C102="MILL","RM",IF(C102="RE SLT","WIP",IF(C102="RM","RM",IF(C102="RM BAL","RM",IF(C102="RM SLT","RM",IF(C102="RR","WIP",IF(C102="SKP","WIP",IF(C102="SLT","WIP",IF(C102="CTL","WIP",0))))))))))))&amp;"-"&amp;G102&amp;"/"&amp;IF(H102="2B","2B",IF(H102="NO.1","1D",IF(H102="FH","FH",IF(H102="BA","BA",0)))&amp;"-"&amp;IF(J102="",(TEXT(I102,"0.00")),TEXT(J102,"0.00"))&amp;"X"&amp;M102)</f>
        <v>RM-J3/2B</v>
      </c>
      <c r="C102" s="173" t="s">
        <v>155</v>
      </c>
      <c r="D102" s="173" t="s">
        <v>155</v>
      </c>
      <c r="E102" s="190" t="s">
        <v>588</v>
      </c>
      <c r="F102" s="190" t="s">
        <v>589</v>
      </c>
      <c r="G102" s="173" t="s">
        <v>34</v>
      </c>
      <c r="H102" s="173" t="s">
        <v>114</v>
      </c>
      <c r="I102" s="174">
        <v>0.63</v>
      </c>
      <c r="J102" s="174">
        <v>0.63</v>
      </c>
      <c r="K102" s="174"/>
      <c r="L102" s="174"/>
      <c r="M102" s="191">
        <v>620</v>
      </c>
      <c r="N102" s="176">
        <v>9.9269999999999996</v>
      </c>
      <c r="O102" s="176"/>
      <c r="P102" s="177"/>
      <c r="Q102" s="178"/>
      <c r="R102" s="179"/>
      <c r="S102" s="179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80"/>
      <c r="AE102" s="173" t="s">
        <v>114</v>
      </c>
      <c r="AF102" s="181" t="s">
        <v>248</v>
      </c>
      <c r="AG102" s="181"/>
      <c r="AH102" s="181"/>
      <c r="AI102" s="181">
        <v>44417</v>
      </c>
      <c r="AJ102" s="181"/>
      <c r="AK102" s="181">
        <f ca="1">TODAY()</f>
        <v>44958</v>
      </c>
      <c r="AL102" s="173">
        <f ca="1">IF(AI102&lt;&gt;0,AK102-AI102,0)</f>
        <v>541</v>
      </c>
      <c r="AM102" s="173" t="str">
        <f>IF(ISNUMBER(X102)=TRUE,AK102-X102,IF(X102="","",(AK102)-(MID(RIGHT(X102,10),4,2)&amp;"/"&amp;LEFT((RIGHT(X102,10)),2)&amp;"/"&amp;RIGHT(X102,4))))</f>
        <v/>
      </c>
      <c r="AN102" s="181" t="s">
        <v>575</v>
      </c>
      <c r="AO102" s="190" t="s">
        <v>590</v>
      </c>
      <c r="AP102" s="176">
        <v>9.9269999999999996</v>
      </c>
      <c r="AQ102" s="176">
        <v>9.9669999999999987</v>
      </c>
      <c r="AR102" s="176">
        <v>9.9919999999999973</v>
      </c>
      <c r="AS102" s="176">
        <v>9.9969999999999981</v>
      </c>
      <c r="AT102" s="173" t="str">
        <f>IF(ISNUMBER(U102)=TRUE,AK102-U102,IF(U102="","",(AK102)-(MID(RIGHT(U102,10),4,2)&amp;"/"&amp;LEFT((RIGHT(U102,10)),2)&amp;"/"&amp;RIGHT(U102,4))))</f>
        <v/>
      </c>
      <c r="AU102" s="173">
        <v>414</v>
      </c>
      <c r="AW102" s="142" t="s">
        <v>123</v>
      </c>
      <c r="BK102" s="195"/>
    </row>
    <row r="103" spans="2:63" s="142" customFormat="1" ht="21" customHeight="1" x14ac:dyDescent="0.25">
      <c r="B103" s="173" t="str">
        <f>IF(C103="HOLD RM","HOLD RM",IF(C103="BAL","WIP",IF(C103="HOLD SLT","HOLD SLT",IF(C103="MILL","RM",IF(C103="RE SLT","WIP",IF(C103="RM","RM",IF(C103="RM BAL","RM",IF(C103="RM SLT","RM",IF(C103="RR","WIP",IF(C103="SKP","WIP",IF(C103="SLT","WIP",IF(C103="CTL","WIP",0))))))))))))&amp;"-"&amp;G103&amp;"/"&amp;IF(H103="2B","2B",IF(H103="NO.1","1D",IF(H103="FH","FH",IF(H103="BA","BA",0)))&amp;"-"&amp;IF(J103="",(TEXT(I103,"0.00")),TEXT(J103,"0.00"))&amp;"X"&amp;M103)</f>
        <v>RM-J3/2B</v>
      </c>
      <c r="C103" s="173" t="s">
        <v>155</v>
      </c>
      <c r="D103" s="173" t="s">
        <v>155</v>
      </c>
      <c r="E103" s="190" t="s">
        <v>591</v>
      </c>
      <c r="F103" s="190" t="s">
        <v>592</v>
      </c>
      <c r="G103" s="173" t="s">
        <v>34</v>
      </c>
      <c r="H103" s="173" t="s">
        <v>114</v>
      </c>
      <c r="I103" s="174">
        <v>0.74</v>
      </c>
      <c r="J103" s="174">
        <v>0.74</v>
      </c>
      <c r="K103" s="174"/>
      <c r="L103" s="174"/>
      <c r="M103" s="191">
        <v>730</v>
      </c>
      <c r="N103" s="176">
        <v>5.8550000000000004</v>
      </c>
      <c r="O103" s="176"/>
      <c r="P103" s="177"/>
      <c r="Q103" s="178"/>
      <c r="R103" s="179"/>
      <c r="S103" s="179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80"/>
      <c r="AE103" s="173" t="s">
        <v>114</v>
      </c>
      <c r="AF103" s="181" t="s">
        <v>248</v>
      </c>
      <c r="AG103" s="181"/>
      <c r="AH103" s="181"/>
      <c r="AI103" s="181">
        <v>44417</v>
      </c>
      <c r="AJ103" s="181"/>
      <c r="AK103" s="181">
        <f ca="1">TODAY()</f>
        <v>44958</v>
      </c>
      <c r="AL103" s="173">
        <f ca="1">IF(AI103&lt;&gt;0,AK103-AI103,0)</f>
        <v>541</v>
      </c>
      <c r="AM103" s="173" t="str">
        <f>IF(ISNUMBER(X103)=TRUE,AK103-X103,IF(X103="","",(AK103)-(MID(RIGHT(X103,10),4,2)&amp;"/"&amp;LEFT((RIGHT(X103,10)),2)&amp;"/"&amp;RIGHT(X103,4))))</f>
        <v/>
      </c>
      <c r="AN103" s="181" t="s">
        <v>557</v>
      </c>
      <c r="AO103" s="190" t="s">
        <v>593</v>
      </c>
      <c r="AP103" s="176">
        <v>5.8550000000000004</v>
      </c>
      <c r="AQ103" s="176">
        <v>5.8950000000000005</v>
      </c>
      <c r="AR103" s="176">
        <v>5.9200000000000008</v>
      </c>
      <c r="AS103" s="176">
        <v>5.9250000000000007</v>
      </c>
      <c r="AT103" s="173" t="str">
        <f>IF(ISNUMBER(U103)=TRUE,AK103-U103,IF(U103="","",(AK103)-(MID(RIGHT(U103,10),4,2)&amp;"/"&amp;LEFT((RIGHT(U103,10)),2)&amp;"/"&amp;RIGHT(U103,4))))</f>
        <v/>
      </c>
      <c r="AU103" s="173">
        <v>414</v>
      </c>
      <c r="AW103" s="142" t="s">
        <v>123</v>
      </c>
      <c r="BK103" s="195"/>
    </row>
    <row r="104" spans="2:63" s="142" customFormat="1" ht="21" customHeight="1" x14ac:dyDescent="0.25">
      <c r="B104" s="173" t="str">
        <f>IF(C104="HOLD RM","HOLD RM",IF(C104="BAL","WIP",IF(C104="HOLD SLT","HOLD SLT",IF(C104="MILL","RM",IF(C104="RE SLT","WIP",IF(C104="RM","RM",IF(C104="RM BAL","RM",IF(C104="RM SLT","RM",IF(C104="RR","WIP",IF(C104="SKP","WIP",IF(C104="SLT","WIP",IF(C104="CTL","WIP",IF(C104="RM SLT RUST","RM SLT RUST",0)))))))))))))&amp;"-"&amp;G104&amp;"/"&amp;IF(H104="2B","2B",IF(H104="NO.1","1D",IF(H104="FH","FH",0)))&amp;"-"&amp;IF(J104="",(TEXT(I104,"0.00")),TEXT(J104,"0.00"))&amp;"X"&amp;M104</f>
        <v>RM SLT RUST-J3/2B-0.74X730</v>
      </c>
      <c r="C104" s="173" t="s">
        <v>507</v>
      </c>
      <c r="D104" s="173" t="s">
        <v>507</v>
      </c>
      <c r="E104" s="190" t="s">
        <v>594</v>
      </c>
      <c r="F104" s="190" t="s">
        <v>595</v>
      </c>
      <c r="G104" s="173" t="s">
        <v>34</v>
      </c>
      <c r="H104" s="173" t="s">
        <v>114</v>
      </c>
      <c r="I104" s="174">
        <v>0.74</v>
      </c>
      <c r="J104" s="174">
        <v>0.74</v>
      </c>
      <c r="K104" s="174"/>
      <c r="L104" s="174"/>
      <c r="M104" s="191">
        <v>730</v>
      </c>
      <c r="N104" s="176">
        <v>5.8570000000000002</v>
      </c>
      <c r="O104" s="176"/>
      <c r="P104" s="177"/>
      <c r="Q104" s="178" t="s">
        <v>510</v>
      </c>
      <c r="R104" s="179"/>
      <c r="S104" s="179" t="s">
        <v>512</v>
      </c>
      <c r="T104" s="177"/>
      <c r="U104" s="177"/>
      <c r="V104" s="177"/>
      <c r="W104" s="177"/>
      <c r="X104" s="177"/>
      <c r="Y104" s="177"/>
      <c r="Z104" s="177">
        <v>44467</v>
      </c>
      <c r="AA104" s="177"/>
      <c r="AB104" s="177"/>
      <c r="AC104" s="177"/>
      <c r="AD104" s="180"/>
      <c r="AE104" s="173" t="s">
        <v>114</v>
      </c>
      <c r="AF104" s="181" t="s">
        <v>248</v>
      </c>
      <c r="AG104" s="181"/>
      <c r="AH104" s="181"/>
      <c r="AI104" s="181">
        <v>44417</v>
      </c>
      <c r="AJ104" s="181"/>
      <c r="AK104" s="181">
        <f ca="1">TODAY()</f>
        <v>44958</v>
      </c>
      <c r="AL104" s="173">
        <f ca="1">IF(AI104&lt;&gt;0,AK104-AI104,0)</f>
        <v>541</v>
      </c>
      <c r="AM104" s="173" t="str">
        <f>IF(ISNUMBER(X104)=TRUE,AK104-X104,IF(X104="","",(AK104)-(MID(RIGHT(X104,10),4,2)&amp;"/"&amp;LEFT((RIGHT(X104,10)),2)&amp;"/"&amp;RIGHT(X104,4))))</f>
        <v/>
      </c>
      <c r="AN104" s="181" t="s">
        <v>568</v>
      </c>
      <c r="AO104" s="190" t="s">
        <v>587</v>
      </c>
      <c r="AP104" s="176">
        <v>5.8570000000000002</v>
      </c>
      <c r="AQ104" s="176">
        <v>5.8970000000000002</v>
      </c>
      <c r="AR104" s="176">
        <v>5.9220000000000006</v>
      </c>
      <c r="AS104" s="176">
        <v>5.9270000000000005</v>
      </c>
      <c r="AT104" s="173" t="str">
        <f>IF(ISNUMBER(U104)=TRUE,AK104-U104,IF(U104="","",(AK104)-(MID(RIGHT(U104,10),4,2)&amp;"/"&amp;LEFT((RIGHT(U104,10)),2)&amp;"/"&amp;RIGHT(U104,4))))</f>
        <v/>
      </c>
      <c r="AU104" s="173">
        <v>414</v>
      </c>
      <c r="AW104" s="142" t="s">
        <v>123</v>
      </c>
      <c r="BK104" s="195"/>
    </row>
    <row r="105" spans="2:63" s="142" customFormat="1" ht="21" customHeight="1" x14ac:dyDescent="0.25">
      <c r="B105" s="173" t="str">
        <f>IF(C105="HOLD RM","HOLD RM",IF(C105="BAL","WIP",IF(C105="HOLD SLT","HOLD SLT",IF(C105="MILL","RM",IF(C105="RE SLT","WIP",IF(C105="RM","RM",IF(C105="RM BAL","RM",IF(C105="RM SLT","RM",IF(C105="RR","WIP",IF(C105="SKP","WIP",IF(C105="SLT","WIP",IF(C105="CTL","WIP",0))))))))))))&amp;"-"&amp;G105&amp;"/"&amp;IF(H105="2B","2B",IF(H105="NO.1","1D",IF(H105="FH","FH",IF(H105="BA","BA",0)))&amp;"-"&amp;IF(J105="",(TEXT(I105,"0.00")),TEXT(J105,"0.00"))&amp;"X"&amp;M105)</f>
        <v>RM-J3/2B</v>
      </c>
      <c r="C105" s="173" t="s">
        <v>155</v>
      </c>
      <c r="D105" s="173" t="s">
        <v>155</v>
      </c>
      <c r="E105" s="190" t="s">
        <v>596</v>
      </c>
      <c r="F105" s="190" t="s">
        <v>597</v>
      </c>
      <c r="G105" s="173" t="s">
        <v>34</v>
      </c>
      <c r="H105" s="173" t="s">
        <v>114</v>
      </c>
      <c r="I105" s="174">
        <v>0.74</v>
      </c>
      <c r="J105" s="174">
        <v>0.74</v>
      </c>
      <c r="K105" s="174"/>
      <c r="L105" s="174"/>
      <c r="M105" s="191">
        <v>730</v>
      </c>
      <c r="N105" s="176">
        <v>5.9189999999999996</v>
      </c>
      <c r="O105" s="176"/>
      <c r="P105" s="177"/>
      <c r="Q105" s="178"/>
      <c r="R105" s="179"/>
      <c r="S105" s="179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80"/>
      <c r="AE105" s="173" t="s">
        <v>114</v>
      </c>
      <c r="AF105" s="181" t="s">
        <v>248</v>
      </c>
      <c r="AG105" s="181"/>
      <c r="AH105" s="181"/>
      <c r="AI105" s="181">
        <v>44417</v>
      </c>
      <c r="AJ105" s="181"/>
      <c r="AK105" s="181">
        <f ca="1">TODAY()</f>
        <v>44958</v>
      </c>
      <c r="AL105" s="173">
        <f ca="1">IF(AI105&lt;&gt;0,AK105-AI105,0)</f>
        <v>541</v>
      </c>
      <c r="AM105" s="173" t="str">
        <f>IF(ISNUMBER(X105)=TRUE,AK105-X105,IF(X105="","",(AK105)-(MID(RIGHT(X105,10),4,2)&amp;"/"&amp;LEFT((RIGHT(X105,10)),2)&amp;"/"&amp;RIGHT(X105,4))))</f>
        <v/>
      </c>
      <c r="AN105" s="181" t="s">
        <v>598</v>
      </c>
      <c r="AO105" s="190" t="s">
        <v>599</v>
      </c>
      <c r="AP105" s="176">
        <v>5.9189999999999996</v>
      </c>
      <c r="AQ105" s="176">
        <v>5.9589999999999996</v>
      </c>
      <c r="AR105" s="176">
        <v>5.984</v>
      </c>
      <c r="AS105" s="176">
        <v>5.9889999999999999</v>
      </c>
      <c r="AT105" s="173" t="str">
        <f>IF(ISNUMBER(U105)=TRUE,AK105-U105,IF(U105="","",(AK105)-(MID(RIGHT(U105,10),4,2)&amp;"/"&amp;LEFT((RIGHT(U105,10)),2)&amp;"/"&amp;RIGHT(U105,4))))</f>
        <v/>
      </c>
      <c r="AU105" s="173">
        <v>414</v>
      </c>
      <c r="AW105" s="142" t="s">
        <v>123</v>
      </c>
      <c r="BK105" s="195"/>
    </row>
    <row r="106" spans="2:63" s="142" customFormat="1" ht="21" customHeight="1" x14ac:dyDescent="0.25">
      <c r="B106" s="173" t="str">
        <f>IF(C106="HOLD RM","HOLD RM",IF(C106="BAL","WIP",IF(C106="HOLD SLT","HOLD SLT",IF(C106="MILL","RM",IF(C106="RE SLT","WIP",IF(C106="RM","RM",IF(C106="RM BAL","RM",IF(C106="RM SLT","RM",IF(C106="RR","WIP",IF(C106="SKP","WIP",IF(C106="SLT","WIP",IF(C106="CTL","WIP",IF(C106="RM SLT RUST","RM SLT RUST",0)))))))))))))&amp;"-"&amp;G106&amp;"/"&amp;IF(H106="2B","2B",IF(H106="NO.1","1D",IF(H106="FH","FH",0)))&amp;"-"&amp;IF(J106="",(TEXT(I106,"0.00")),TEXT(J106,"0.00"))&amp;"X"&amp;M106</f>
        <v>RM SLT RUST-J3/2B-0.74X730</v>
      </c>
      <c r="C106" s="173" t="s">
        <v>507</v>
      </c>
      <c r="D106" s="173" t="s">
        <v>507</v>
      </c>
      <c r="E106" s="190" t="s">
        <v>600</v>
      </c>
      <c r="F106" s="190" t="s">
        <v>601</v>
      </c>
      <c r="G106" s="173" t="s">
        <v>34</v>
      </c>
      <c r="H106" s="173" t="s">
        <v>114</v>
      </c>
      <c r="I106" s="174">
        <v>0.74</v>
      </c>
      <c r="J106" s="174">
        <v>0.74</v>
      </c>
      <c r="K106" s="174"/>
      <c r="L106" s="174"/>
      <c r="M106" s="191">
        <v>730</v>
      </c>
      <c r="N106" s="176">
        <v>5.8570000000000002</v>
      </c>
      <c r="O106" s="176"/>
      <c r="P106" s="177"/>
      <c r="Q106" s="178" t="s">
        <v>510</v>
      </c>
      <c r="R106" s="179"/>
      <c r="S106" s="179" t="s">
        <v>512</v>
      </c>
      <c r="T106" s="177"/>
      <c r="U106" s="177"/>
      <c r="V106" s="177"/>
      <c r="W106" s="177"/>
      <c r="X106" s="177"/>
      <c r="Y106" s="177"/>
      <c r="Z106" s="177">
        <v>44467</v>
      </c>
      <c r="AA106" s="177"/>
      <c r="AB106" s="177"/>
      <c r="AC106" s="177"/>
      <c r="AD106" s="180"/>
      <c r="AE106" s="173" t="s">
        <v>114</v>
      </c>
      <c r="AF106" s="181" t="s">
        <v>248</v>
      </c>
      <c r="AG106" s="181"/>
      <c r="AH106" s="181"/>
      <c r="AI106" s="181">
        <v>44417</v>
      </c>
      <c r="AJ106" s="181"/>
      <c r="AK106" s="181">
        <f ca="1">TODAY()</f>
        <v>44958</v>
      </c>
      <c r="AL106" s="173">
        <f ca="1">IF(AI106&lt;&gt;0,AK106-AI106,0)</f>
        <v>541</v>
      </c>
      <c r="AM106" s="173" t="str">
        <f>IF(ISNUMBER(X106)=TRUE,AK106-X106,IF(X106="","",(AK106)-(MID(RIGHT(X106,10),4,2)&amp;"/"&amp;LEFT((RIGHT(X106,10)),2)&amp;"/"&amp;RIGHT(X106,4))))</f>
        <v/>
      </c>
      <c r="AN106" s="181" t="s">
        <v>543</v>
      </c>
      <c r="AO106" s="190" t="s">
        <v>599</v>
      </c>
      <c r="AP106" s="176">
        <v>5.8570000000000002</v>
      </c>
      <c r="AQ106" s="176">
        <v>5.8970000000000002</v>
      </c>
      <c r="AR106" s="176">
        <v>5.9220000000000006</v>
      </c>
      <c r="AS106" s="176">
        <v>5.9270000000000005</v>
      </c>
      <c r="AT106" s="173" t="str">
        <f>IF(ISNUMBER(U106)=TRUE,AK106-U106,IF(U106="","",(AK106)-(MID(RIGHT(U106,10),4,2)&amp;"/"&amp;LEFT((RIGHT(U106,10)),2)&amp;"/"&amp;RIGHT(U106,4))))</f>
        <v/>
      </c>
      <c r="AU106" s="173">
        <v>414</v>
      </c>
      <c r="AW106" s="142" t="s">
        <v>123</v>
      </c>
      <c r="BK106" s="195"/>
    </row>
    <row r="107" spans="2:63" s="142" customFormat="1" ht="21" customHeight="1" x14ac:dyDescent="0.25">
      <c r="B107" s="173" t="str">
        <f>IF(C107="HOLD RM","HOLD RM",IF(C107="BAL","WIP",IF(C107="HOLD SLT","HOLD SLT",IF(C107="MILL","RM",IF(C107="RE SLT","WIP",IF(C107="RM","RM",IF(C107="RM BAL","RM",IF(C107="RM SLT","RM",IF(C107="RR","WIP",IF(C107="SKP","WIP",IF(C107="SLT","WIP",IF(C107="CTL","WIP",IF(C107="RM SLT RUST","RM SLT RUST",0)))))))))))))&amp;"-"&amp;G107&amp;"/"&amp;IF(H107="2B","2B",IF(H107="NO.1","1D",IF(H107="FH","FH",0)))&amp;"-"&amp;IF(J107="",(TEXT(I107,"0.00")),TEXT(J107,"0.00"))&amp;"X"&amp;M107</f>
        <v>RM SLT RUST-J3/2B-0.75X730</v>
      </c>
      <c r="C107" s="173" t="s">
        <v>507</v>
      </c>
      <c r="D107" s="173" t="s">
        <v>507</v>
      </c>
      <c r="E107" s="190" t="s">
        <v>602</v>
      </c>
      <c r="F107" s="190" t="s">
        <v>603</v>
      </c>
      <c r="G107" s="173" t="s">
        <v>34</v>
      </c>
      <c r="H107" s="173" t="s">
        <v>114</v>
      </c>
      <c r="I107" s="174">
        <v>0.75</v>
      </c>
      <c r="J107" s="174">
        <v>0.75</v>
      </c>
      <c r="K107" s="174"/>
      <c r="L107" s="174"/>
      <c r="M107" s="191">
        <v>730</v>
      </c>
      <c r="N107" s="176">
        <v>5.8449999999999998</v>
      </c>
      <c r="O107" s="176"/>
      <c r="P107" s="177"/>
      <c r="Q107" s="178" t="s">
        <v>510</v>
      </c>
      <c r="R107" s="179"/>
      <c r="S107" s="179" t="s">
        <v>512</v>
      </c>
      <c r="T107" s="177"/>
      <c r="U107" s="177"/>
      <c r="V107" s="177"/>
      <c r="W107" s="177"/>
      <c r="X107" s="177"/>
      <c r="Y107" s="177"/>
      <c r="Z107" s="177">
        <v>44462</v>
      </c>
      <c r="AA107" s="177"/>
      <c r="AB107" s="177"/>
      <c r="AC107" s="177"/>
      <c r="AD107" s="180"/>
      <c r="AE107" s="173" t="s">
        <v>114</v>
      </c>
      <c r="AF107" s="181" t="s">
        <v>248</v>
      </c>
      <c r="AG107" s="181"/>
      <c r="AH107" s="181"/>
      <c r="AI107" s="181">
        <v>44417</v>
      </c>
      <c r="AJ107" s="181"/>
      <c r="AK107" s="181">
        <f ca="1">TODAY()</f>
        <v>44958</v>
      </c>
      <c r="AL107" s="173">
        <f ca="1">IF(AI107&lt;&gt;0,AK107-AI107,0)</f>
        <v>541</v>
      </c>
      <c r="AM107" s="173" t="str">
        <f>IF(ISNUMBER(X107)=TRUE,AK107-X107,IF(X107="","",(AK107)-(MID(RIGHT(X107,10),4,2)&amp;"/"&amp;LEFT((RIGHT(X107,10)),2)&amp;"/"&amp;RIGHT(X107,4))))</f>
        <v/>
      </c>
      <c r="AN107" s="181" t="s">
        <v>579</v>
      </c>
      <c r="AO107" s="190" t="s">
        <v>582</v>
      </c>
      <c r="AP107" s="176">
        <v>5.8449999999999998</v>
      </c>
      <c r="AQ107" s="176">
        <v>5.8849999999999998</v>
      </c>
      <c r="AR107" s="176">
        <v>5.91</v>
      </c>
      <c r="AS107" s="176">
        <v>5.915</v>
      </c>
      <c r="AT107" s="173" t="str">
        <f>IF(ISNUMBER(U107)=TRUE,AK107-U107,IF(U107="","",(AK107)-(MID(RIGHT(U107,10),4,2)&amp;"/"&amp;LEFT((RIGHT(U107,10)),2)&amp;"/"&amp;RIGHT(U107,4))))</f>
        <v/>
      </c>
      <c r="AU107" s="173">
        <v>414</v>
      </c>
      <c r="AW107" s="142" t="s">
        <v>123</v>
      </c>
      <c r="BK107" s="195"/>
    </row>
    <row r="108" spans="2:63" s="142" customFormat="1" ht="21" customHeight="1" x14ac:dyDescent="0.25">
      <c r="B108" s="173" t="str">
        <f>IF(C108="HOLD RM","HOLD RM",IF(C108="BAL","WIP",IF(C108="HOLD SLT","HOLD SLT",IF(C108="MILL","RM",IF(C108="RE SLT","WIP",IF(C108="RM","RM",IF(C108="RM BAL","RM",IF(C108="RM SLT","RM",IF(C108="RR","WIP",IF(C108="SKP","WIP",IF(C108="SLT","WIP",IF(C108="CTL","WIP",IF(C108="RM SLT RUST","RM SLT RUST",0)))))))))))))&amp;"-"&amp;G108&amp;"/"&amp;IF(H108="2B","2B",IF(H108="NO.1","1D",IF(H108="FH","FH",0)))&amp;"-"&amp;IF(J108="",(TEXT(I108,"0.00")),TEXT(J108,"0.00"))&amp;"X"&amp;M108</f>
        <v>RM SLT RUST-J3/2B-0.75X730</v>
      </c>
      <c r="C108" s="173" t="s">
        <v>507</v>
      </c>
      <c r="D108" s="173" t="s">
        <v>507</v>
      </c>
      <c r="E108" s="190" t="s">
        <v>604</v>
      </c>
      <c r="F108" s="190" t="s">
        <v>605</v>
      </c>
      <c r="G108" s="173" t="s">
        <v>34</v>
      </c>
      <c r="H108" s="173" t="s">
        <v>114</v>
      </c>
      <c r="I108" s="174">
        <v>0.75</v>
      </c>
      <c r="J108" s="174">
        <v>0.75</v>
      </c>
      <c r="K108" s="174"/>
      <c r="L108" s="174"/>
      <c r="M108" s="191">
        <v>730</v>
      </c>
      <c r="N108" s="176">
        <v>5.835</v>
      </c>
      <c r="O108" s="176"/>
      <c r="P108" s="177"/>
      <c r="Q108" s="178" t="s">
        <v>510</v>
      </c>
      <c r="R108" s="179"/>
      <c r="S108" s="179" t="s">
        <v>606</v>
      </c>
      <c r="T108" s="177"/>
      <c r="U108" s="177"/>
      <c r="V108" s="177"/>
      <c r="W108" s="177"/>
      <c r="X108" s="177"/>
      <c r="Y108" s="177"/>
      <c r="Z108" s="177" t="s">
        <v>607</v>
      </c>
      <c r="AA108" s="177"/>
      <c r="AB108" s="177"/>
      <c r="AC108" s="177"/>
      <c r="AD108" s="180"/>
      <c r="AE108" s="173" t="s">
        <v>114</v>
      </c>
      <c r="AF108" s="181" t="s">
        <v>248</v>
      </c>
      <c r="AG108" s="181"/>
      <c r="AH108" s="181"/>
      <c r="AI108" s="181">
        <v>44417</v>
      </c>
      <c r="AJ108" s="181"/>
      <c r="AK108" s="181">
        <f ca="1">TODAY()</f>
        <v>44958</v>
      </c>
      <c r="AL108" s="173">
        <f ca="1">IF(AI108&lt;&gt;0,AK108-AI108,0)</f>
        <v>541</v>
      </c>
      <c r="AM108" s="173" t="str">
        <f>IF(ISNUMBER(X108)=TRUE,AK108-X108,IF(X108="","",(AK108)-(MID(RIGHT(X108,10),4,2)&amp;"/"&amp;LEFT((RIGHT(X108,10)),2)&amp;"/"&amp;RIGHT(X108,4))))</f>
        <v/>
      </c>
      <c r="AN108" s="181" t="s">
        <v>550</v>
      </c>
      <c r="AO108" s="190" t="s">
        <v>608</v>
      </c>
      <c r="AP108" s="176">
        <v>5.835</v>
      </c>
      <c r="AQ108" s="176">
        <v>5.875</v>
      </c>
      <c r="AR108" s="176">
        <v>5.9</v>
      </c>
      <c r="AS108" s="176">
        <v>5.9050000000000002</v>
      </c>
      <c r="AT108" s="173" t="str">
        <f>IF(ISNUMBER(U108)=TRUE,AK108-U108,IF(U108="","",(AK108)-(MID(RIGHT(U108,10),4,2)&amp;"/"&amp;LEFT((RIGHT(U108,10)),2)&amp;"/"&amp;RIGHT(U108,4))))</f>
        <v/>
      </c>
      <c r="AU108" s="173">
        <v>414</v>
      </c>
      <c r="AW108" s="142" t="s">
        <v>123</v>
      </c>
      <c r="BK108" s="182" t="s">
        <v>368</v>
      </c>
    </row>
    <row r="109" spans="2:63" s="142" customFormat="1" ht="21" customHeight="1" x14ac:dyDescent="0.25">
      <c r="B109" s="173" t="str">
        <f>IF(C109="HOLD RM","HOLD RM",IF(C109="BAL","WIP",IF(C109="HOLD SLT","HOLD SLT",IF(C109="MILL","RM",IF(C109="RE SLT","WIP",IF(C109="RM","RM",IF(C109="RM BAL","RM",IF(C109="RM SLT","RM",IF(C109="RR","WIP",IF(C109="SKP","WIP",IF(C109="SLT","WIP",IF(C109="CTL","WIP",IF(C109="RM SLT RUST","RM SLT RUST",0)))))))))))))&amp;"-"&amp;G109&amp;"/"&amp;IF(H109="2B","2B",IF(H109="NO.1","1D",IF(H109="FH","FH",0)))&amp;"-"&amp;IF(J109="",(TEXT(I109,"0.00")),TEXT(J109,"0.00"))&amp;"X"&amp;M109</f>
        <v>RM SLT RUST-J3/2B-0.75X730</v>
      </c>
      <c r="C109" s="173" t="s">
        <v>507</v>
      </c>
      <c r="D109" s="173" t="s">
        <v>507</v>
      </c>
      <c r="E109" s="190" t="s">
        <v>609</v>
      </c>
      <c r="F109" s="190" t="s">
        <v>610</v>
      </c>
      <c r="G109" s="173" t="s">
        <v>34</v>
      </c>
      <c r="H109" s="173" t="s">
        <v>114</v>
      </c>
      <c r="I109" s="174">
        <v>0.75</v>
      </c>
      <c r="J109" s="174">
        <v>0.75</v>
      </c>
      <c r="K109" s="174"/>
      <c r="L109" s="174"/>
      <c r="M109" s="191">
        <v>730</v>
      </c>
      <c r="N109" s="176">
        <v>5.8550000000000004</v>
      </c>
      <c r="O109" s="176"/>
      <c r="P109" s="177"/>
      <c r="Q109" s="178" t="s">
        <v>510</v>
      </c>
      <c r="R109" s="179"/>
      <c r="S109" s="179" t="s">
        <v>606</v>
      </c>
      <c r="T109" s="177"/>
      <c r="U109" s="177"/>
      <c r="V109" s="177"/>
      <c r="W109" s="177"/>
      <c r="X109" s="177"/>
      <c r="Y109" s="177"/>
      <c r="Z109" s="177" t="s">
        <v>607</v>
      </c>
      <c r="AA109" s="177"/>
      <c r="AB109" s="177"/>
      <c r="AC109" s="177"/>
      <c r="AD109" s="180"/>
      <c r="AE109" s="173" t="s">
        <v>114</v>
      </c>
      <c r="AF109" s="181" t="s">
        <v>248</v>
      </c>
      <c r="AG109" s="181"/>
      <c r="AH109" s="181"/>
      <c r="AI109" s="181">
        <v>44417</v>
      </c>
      <c r="AJ109" s="181"/>
      <c r="AK109" s="181">
        <f ca="1">TODAY()</f>
        <v>44958</v>
      </c>
      <c r="AL109" s="173">
        <f ca="1">IF(AI109&lt;&gt;0,AK109-AI109,0)</f>
        <v>541</v>
      </c>
      <c r="AM109" s="173" t="str">
        <f>IF(ISNUMBER(X109)=TRUE,AK109-X109,IF(X109="","",(AK109)-(MID(RIGHT(X109,10),4,2)&amp;"/"&amp;LEFT((RIGHT(X109,10)),2)&amp;"/"&amp;RIGHT(X109,4))))</f>
        <v/>
      </c>
      <c r="AN109" s="181" t="s">
        <v>575</v>
      </c>
      <c r="AO109" s="190" t="s">
        <v>582</v>
      </c>
      <c r="AP109" s="176">
        <v>5.8550000000000004</v>
      </c>
      <c r="AQ109" s="176">
        <v>5.8950000000000005</v>
      </c>
      <c r="AR109" s="176">
        <v>5.9200000000000008</v>
      </c>
      <c r="AS109" s="176">
        <v>5.9250000000000007</v>
      </c>
      <c r="AT109" s="173" t="str">
        <f>IF(ISNUMBER(U109)=TRUE,AK109-U109,IF(U109="","",(AK109)-(MID(RIGHT(U109,10),4,2)&amp;"/"&amp;LEFT((RIGHT(U109,10)),2)&amp;"/"&amp;RIGHT(U109,4))))</f>
        <v/>
      </c>
      <c r="AU109" s="173">
        <v>414</v>
      </c>
      <c r="AW109" s="142" t="s">
        <v>123</v>
      </c>
      <c r="BK109" s="182" t="s">
        <v>611</v>
      </c>
    </row>
    <row r="110" spans="2:63" s="142" customFormat="1" ht="21" customHeight="1" x14ac:dyDescent="0.25">
      <c r="B110" s="173" t="str">
        <f>IF(C110="HOLD RM","HOLD RM",IF(C110="BAL","WIP",IF(C110="HOLD SLT","HOLD SLT",IF(C110="MILL","RM",IF(C110="RE SLT","WIP",IF(C110="RM","RM",IF(C110="RM BAL","RM",IF(C110="RM SLT","RM",IF(C110="RR","WIP",IF(C110="SKP","WIP",IF(C110="SLT","WIP",IF(C110="CTL","WIP",IF(C110="RM SLT RUST","RM SLT RUST",0)))))))))))))&amp;"-"&amp;G110&amp;"/"&amp;IF(H110="2B","2B",IF(H110="NO.1","1D",IF(H110="FH","FH",0)))&amp;"-"&amp;IF(J110="",(TEXT(I110,"0.00")),TEXT(J110,"0.00"))&amp;"X"&amp;M110</f>
        <v>WIP-304/304L/2B-0.40X765</v>
      </c>
      <c r="C110" s="173" t="s">
        <v>18</v>
      </c>
      <c r="D110" s="173" t="s">
        <v>146</v>
      </c>
      <c r="E110" s="190" t="s">
        <v>612</v>
      </c>
      <c r="F110" s="190" t="s">
        <v>613</v>
      </c>
      <c r="G110" s="173" t="s">
        <v>614</v>
      </c>
      <c r="H110" s="173" t="s">
        <v>114</v>
      </c>
      <c r="I110" s="174">
        <v>0.6</v>
      </c>
      <c r="J110" s="174">
        <v>0.4</v>
      </c>
      <c r="K110" s="174">
        <v>0.39</v>
      </c>
      <c r="L110" s="174">
        <v>0.41</v>
      </c>
      <c r="M110" s="191">
        <v>765</v>
      </c>
      <c r="N110" s="176">
        <v>10.795</v>
      </c>
      <c r="O110" s="176" t="s">
        <v>114</v>
      </c>
      <c r="P110" s="177"/>
      <c r="Q110" s="178" t="s">
        <v>183</v>
      </c>
      <c r="R110" s="178" t="s">
        <v>615</v>
      </c>
      <c r="S110" s="179" t="s">
        <v>616</v>
      </c>
      <c r="T110" s="177" t="s">
        <v>617</v>
      </c>
      <c r="U110" s="177"/>
      <c r="V110" s="177" t="s">
        <v>618</v>
      </c>
      <c r="W110" s="177"/>
      <c r="X110" s="177" t="s">
        <v>619</v>
      </c>
      <c r="Y110" s="177"/>
      <c r="Z110" s="177">
        <v>44454</v>
      </c>
      <c r="AA110" s="177"/>
      <c r="AB110" s="177"/>
      <c r="AC110" s="177"/>
      <c r="AD110" s="180"/>
      <c r="AE110" s="173" t="s">
        <v>69</v>
      </c>
      <c r="AF110" s="181" t="s">
        <v>142</v>
      </c>
      <c r="AG110" s="181" t="s">
        <v>620</v>
      </c>
      <c r="AH110" s="181"/>
      <c r="AI110" s="181">
        <v>44431</v>
      </c>
      <c r="AJ110" s="181"/>
      <c r="AK110" s="181">
        <f ca="1">TODAY()</f>
        <v>44958</v>
      </c>
      <c r="AL110" s="173">
        <f ca="1">IF(AI110&lt;&gt;0,AK110-AI110,0)</f>
        <v>527</v>
      </c>
      <c r="AM110" s="173">
        <f ca="1">IF(ISNUMBER(X110)=TRUE,AK110-X110,IF(X110="","",(AK110)-(MID(RIGHT(X110,10),4,2)&amp;"/"&amp;LEFT((RIGHT(X110,10)),2)&amp;"/"&amp;RIGHT(X110,4))))</f>
        <v>500</v>
      </c>
      <c r="AN110" s="181"/>
      <c r="AO110" s="190" t="s">
        <v>621</v>
      </c>
      <c r="AP110" s="176">
        <v>12.085000000000001</v>
      </c>
      <c r="AQ110" s="176">
        <v>12.095000000000001</v>
      </c>
      <c r="AR110" s="176">
        <v>12.12</v>
      </c>
      <c r="AS110" s="176">
        <v>12.125</v>
      </c>
      <c r="AT110" s="173" t="str">
        <f>IF(ISNUMBER(U110)=TRUE,AK110-U110,IF(U110="","",(AK110)-(MID(RIGHT(U110,10),4,2)&amp;"/"&amp;LEFT((RIGHT(U110,10)),2)&amp;"/"&amp;RIGHT(U110,4))))</f>
        <v/>
      </c>
      <c r="AU110" s="173">
        <v>417</v>
      </c>
      <c r="AW110" s="142" t="s">
        <v>123</v>
      </c>
      <c r="BK110" s="182" t="s">
        <v>622</v>
      </c>
    </row>
    <row r="111" spans="2:63" s="142" customFormat="1" ht="21" customHeight="1" x14ac:dyDescent="0.25">
      <c r="B111" s="173" t="str">
        <f>IF(C111="HOLD RM","HOLD RM",IF(C111="BAL","WIP",IF(C111="HOLD SLT","HOLD SLT",IF(C111="MILL","RM",IF(C111="RE SLT","WIP",IF(C111="RM","RM",IF(C111="RM BAL","RM",IF(C111="RM SLT","RM",IF(C111="RR","WIP",IF(C111="SKP","WIP",IF(C111="SLT","WIP",IF(C111="CTL","WIP",IF(C111="RM SLT RUST","RM SLT RUST",0)))))))))))))&amp;"-"&amp;G111&amp;"/"&amp;IF(H111="2B","2B",IF(H111="NO.1","1D",IF(H111="FH","FH",0)))&amp;"-"&amp;IF(J111="",(TEXT(I111,"0.00")),TEXT(J111,"0.00"))&amp;"X"&amp;M111</f>
        <v>WIP-304/304L/2B-0.30X758</v>
      </c>
      <c r="C111" s="173" t="s">
        <v>18</v>
      </c>
      <c r="D111" s="173" t="s">
        <v>146</v>
      </c>
      <c r="E111" s="190" t="s">
        <v>623</v>
      </c>
      <c r="F111" s="190" t="s">
        <v>624</v>
      </c>
      <c r="G111" s="173" t="s">
        <v>614</v>
      </c>
      <c r="H111" s="173" t="s">
        <v>114</v>
      </c>
      <c r="I111" s="174">
        <v>0.57999999999999996</v>
      </c>
      <c r="J111" s="174">
        <v>0.3</v>
      </c>
      <c r="K111" s="174">
        <v>0.32</v>
      </c>
      <c r="L111" s="174">
        <v>0.33</v>
      </c>
      <c r="M111" s="191">
        <v>758</v>
      </c>
      <c r="N111" s="176">
        <v>5.9050000000000002</v>
      </c>
      <c r="O111" s="176" t="s">
        <v>114</v>
      </c>
      <c r="P111" s="177"/>
      <c r="Q111" s="178" t="s">
        <v>115</v>
      </c>
      <c r="R111" s="178" t="s">
        <v>625</v>
      </c>
      <c r="S111" s="179" t="s">
        <v>626</v>
      </c>
      <c r="T111" s="177" t="s">
        <v>627</v>
      </c>
      <c r="U111" s="177"/>
      <c r="V111" s="177" t="s">
        <v>628</v>
      </c>
      <c r="W111" s="177"/>
      <c r="X111" s="177" t="s">
        <v>629</v>
      </c>
      <c r="Y111" s="177"/>
      <c r="Z111" s="177">
        <v>44460</v>
      </c>
      <c r="AA111" s="177"/>
      <c r="AB111" s="177"/>
      <c r="AC111" s="177"/>
      <c r="AD111" s="180"/>
      <c r="AE111" s="173" t="s">
        <v>69</v>
      </c>
      <c r="AF111" s="181" t="s">
        <v>142</v>
      </c>
      <c r="AG111" s="181" t="s">
        <v>630</v>
      </c>
      <c r="AH111" s="181"/>
      <c r="AI111" s="181">
        <v>44431</v>
      </c>
      <c r="AJ111" s="181"/>
      <c r="AK111" s="181">
        <f ca="1">TODAY()</f>
        <v>44958</v>
      </c>
      <c r="AL111" s="173">
        <f ca="1">IF(AI111&lt;&gt;0,AK111-AI111,0)</f>
        <v>527</v>
      </c>
      <c r="AM111" s="173">
        <f ca="1">IF(ISNUMBER(X111)=TRUE,AK111-X111,IF(X111="","",(AK111)-(MID(RIGHT(X111,10),4,2)&amp;"/"&amp;LEFT((RIGHT(X111,10)),2)&amp;"/"&amp;RIGHT(X111,4))))</f>
        <v>496</v>
      </c>
      <c r="AN111" s="181"/>
      <c r="AO111" s="190" t="s">
        <v>631</v>
      </c>
      <c r="AP111" s="176">
        <v>12.055</v>
      </c>
      <c r="AQ111" s="176">
        <v>12.065</v>
      </c>
      <c r="AR111" s="176">
        <v>12.089999999999998</v>
      </c>
      <c r="AS111" s="176">
        <v>12.094999999999999</v>
      </c>
      <c r="AT111" s="173" t="str">
        <f>IF(ISNUMBER(U111)=TRUE,AK111-U111,IF(U111="","",(AK111)-(MID(RIGHT(U111,10),4,2)&amp;"/"&amp;LEFT((RIGHT(U111,10)),2)&amp;"/"&amp;RIGHT(U111,4))))</f>
        <v/>
      </c>
      <c r="AU111" s="173">
        <v>417</v>
      </c>
      <c r="AW111" s="142" t="s">
        <v>123</v>
      </c>
      <c r="BK111" s="182" t="s">
        <v>632</v>
      </c>
    </row>
    <row r="112" spans="2:63" s="142" customFormat="1" ht="21" customHeight="1" x14ac:dyDescent="0.25">
      <c r="B112" s="173" t="str">
        <f>IF(C112="HOLD RM","HOLD RM",IF(C112="BAL","WIP",IF(C112="HOLD SLT","HOLD SLT",IF(C112="MILL","RM",IF(C112="RE SLT","WIP",IF(C112="RM","RM",IF(C112="RM BAL","RM",IF(C112="RM SLT","RM",IF(C112="RR","WIP",IF(C112="SKP","WIP",IF(C112="SLT","WIP",IF(C112="CTL","WIP",IF(C112="RM SLT RUST","RM SLT RUST",0)))))))))))))&amp;"-"&amp;G112&amp;"/"&amp;IF(H112="2B","2B",IF(H112="NO.1","1D",IF(H112="FH","FH",0)))&amp;"-"&amp;IF(J112="",(TEXT(I112,"0.00")),TEXT(J112,"0.00"))&amp;"X"&amp;M112</f>
        <v>WIP-304/304L/2B-0.40X763</v>
      </c>
      <c r="C112" s="173" t="s">
        <v>18</v>
      </c>
      <c r="D112" s="173" t="s">
        <v>146</v>
      </c>
      <c r="E112" s="190" t="s">
        <v>633</v>
      </c>
      <c r="F112" s="190" t="s">
        <v>634</v>
      </c>
      <c r="G112" s="173" t="s">
        <v>614</v>
      </c>
      <c r="H112" s="173" t="s">
        <v>114</v>
      </c>
      <c r="I112" s="174">
        <v>0.8</v>
      </c>
      <c r="J112" s="174">
        <v>0.4</v>
      </c>
      <c r="K112" s="174">
        <v>0.4</v>
      </c>
      <c r="L112" s="174">
        <v>0.41</v>
      </c>
      <c r="M112" s="191">
        <v>763</v>
      </c>
      <c r="N112" s="176">
        <v>7.4749999999999996</v>
      </c>
      <c r="O112" s="176" t="s">
        <v>114</v>
      </c>
      <c r="P112" s="177"/>
      <c r="Q112" s="178" t="s">
        <v>216</v>
      </c>
      <c r="R112" s="178" t="s">
        <v>635</v>
      </c>
      <c r="S112" s="179" t="s">
        <v>636</v>
      </c>
      <c r="T112" s="177" t="s">
        <v>637</v>
      </c>
      <c r="U112" s="177"/>
      <c r="V112" s="177" t="s">
        <v>637</v>
      </c>
      <c r="W112" s="177"/>
      <c r="X112" s="177" t="s">
        <v>638</v>
      </c>
      <c r="Y112" s="177"/>
      <c r="Z112" s="177" t="s">
        <v>639</v>
      </c>
      <c r="AA112" s="177"/>
      <c r="AB112" s="177"/>
      <c r="AC112" s="177"/>
      <c r="AD112" s="180"/>
      <c r="AE112" s="173" t="s">
        <v>69</v>
      </c>
      <c r="AF112" s="181" t="s">
        <v>142</v>
      </c>
      <c r="AG112" s="181" t="s">
        <v>630</v>
      </c>
      <c r="AH112" s="181"/>
      <c r="AI112" s="181">
        <v>44431</v>
      </c>
      <c r="AJ112" s="181"/>
      <c r="AK112" s="181">
        <f ca="1">TODAY()</f>
        <v>44958</v>
      </c>
      <c r="AL112" s="173">
        <f ca="1">IF(AI112&lt;&gt;0,AK112-AI112,0)</f>
        <v>527</v>
      </c>
      <c r="AM112" s="173">
        <f ca="1">IF(ISNUMBER(X112)=TRUE,AK112-X112,IF(X112="","",(AK112)-(MID(RIGHT(X112,10),4,2)&amp;"/"&amp;LEFT((RIGHT(X112,10)),2)&amp;"/"&amp;RIGHT(X112,4))))</f>
        <v>504</v>
      </c>
      <c r="AN112" s="181"/>
      <c r="AO112" s="190" t="s">
        <v>640</v>
      </c>
      <c r="AP112" s="176">
        <v>10.484999999999999</v>
      </c>
      <c r="AQ112" s="176">
        <v>10.494999999999999</v>
      </c>
      <c r="AR112" s="176">
        <v>10.519999999999998</v>
      </c>
      <c r="AS112" s="176">
        <v>10.524999999999999</v>
      </c>
      <c r="AT112" s="173" t="str">
        <f>IF(ISNUMBER(U112)=TRUE,AK112-U112,IF(U112="","",(AK112)-(MID(RIGHT(U112,10),4,2)&amp;"/"&amp;LEFT((RIGHT(U112,10)),2)&amp;"/"&amp;RIGHT(U112,4))))</f>
        <v/>
      </c>
      <c r="AU112" s="173">
        <v>417</v>
      </c>
      <c r="AW112" s="142" t="s">
        <v>123</v>
      </c>
      <c r="BK112" s="182" t="s">
        <v>641</v>
      </c>
    </row>
    <row r="113" spans="2:63" s="142" customFormat="1" ht="21" customHeight="1" x14ac:dyDescent="0.25">
      <c r="B113" s="173" t="str">
        <f>IF(C113="HOLD RM","HOLD RM",IF(C113="BAL","WIP",IF(C113="HOLD SLT","HOLD SLT",IF(C113="MILL","RM",IF(C113="RE SLT","WIP",IF(C113="RM","RM",IF(C113="RM BAL","RM",IF(C113="RM SLT","RM",IF(C113="RR","WIP",IF(C113="SKP","WIP",IF(C113="SLT","WIP",IF(C113="CTL","WIP",IF(C113="RM SLT RUST","RM SLT RUST",0)))))))))))))&amp;"-"&amp;G113&amp;"/"&amp;IF(H113="2B","2B",IF(H113="NO.1","1D",IF(H113="FH","FH",0)))&amp;"-"&amp;IF(J113="",(TEXT(I113,"0.00")),TEXT(J113,"0.00"))&amp;"X"&amp;M113</f>
        <v>WIP-304L/FH-0.40X761</v>
      </c>
      <c r="C113" s="173" t="s">
        <v>16</v>
      </c>
      <c r="D113" s="173" t="s">
        <v>16</v>
      </c>
      <c r="E113" s="190" t="s">
        <v>642</v>
      </c>
      <c r="F113" s="190" t="s">
        <v>643</v>
      </c>
      <c r="G113" s="173" t="s">
        <v>182</v>
      </c>
      <c r="H113" s="173" t="s">
        <v>70</v>
      </c>
      <c r="I113" s="174">
        <v>0.78</v>
      </c>
      <c r="J113" s="174">
        <v>0.4</v>
      </c>
      <c r="K113" s="174"/>
      <c r="L113" s="174"/>
      <c r="M113" s="191">
        <v>761</v>
      </c>
      <c r="N113" s="176">
        <v>8.3550000000000004</v>
      </c>
      <c r="O113" s="176" t="s">
        <v>114</v>
      </c>
      <c r="P113" s="177"/>
      <c r="Q113" s="178" t="s">
        <v>314</v>
      </c>
      <c r="R113" s="178" t="s">
        <v>644</v>
      </c>
      <c r="S113" s="179" t="s">
        <v>645</v>
      </c>
      <c r="T113" s="177" t="s">
        <v>646</v>
      </c>
      <c r="U113" s="177"/>
      <c r="V113" s="177" t="s">
        <v>647</v>
      </c>
      <c r="W113" s="177"/>
      <c r="X113" s="177">
        <v>44566</v>
      </c>
      <c r="Y113" s="177"/>
      <c r="Z113" s="177">
        <v>44566</v>
      </c>
      <c r="AA113" s="177"/>
      <c r="AB113" s="177"/>
      <c r="AC113" s="177"/>
      <c r="AD113" s="180"/>
      <c r="AE113" s="173" t="s">
        <v>69</v>
      </c>
      <c r="AF113" s="181" t="s">
        <v>142</v>
      </c>
      <c r="AG113" s="181" t="s">
        <v>648</v>
      </c>
      <c r="AH113" s="181"/>
      <c r="AI113" s="181">
        <v>44496</v>
      </c>
      <c r="AJ113" s="181"/>
      <c r="AK113" s="181">
        <f ca="1">TODAY()</f>
        <v>44958</v>
      </c>
      <c r="AL113" s="173">
        <f ca="1">IF(AI113&lt;&gt;0,AK113-AI113,0)</f>
        <v>462</v>
      </c>
      <c r="AM113" s="173">
        <f ca="1">IF(ISNUMBER(X113)=TRUE,AK113-X113,IF(X113="","",(AK113)-(MID(RIGHT(X113,10),4,2)&amp;"/"&amp;LEFT((RIGHT(X113,10)),2)&amp;"/"&amp;RIGHT(X113,4))))</f>
        <v>392</v>
      </c>
      <c r="AN113" s="181"/>
      <c r="AO113" s="190" t="s">
        <v>649</v>
      </c>
      <c r="AP113" s="176">
        <v>12.175000000000001</v>
      </c>
      <c r="AQ113" s="176">
        <v>12.185</v>
      </c>
      <c r="AR113" s="176">
        <v>12.209999999999999</v>
      </c>
      <c r="AS113" s="176">
        <v>12.215</v>
      </c>
      <c r="AT113" s="173" t="str">
        <f>IF(ISNUMBER(U113)=TRUE,AK113-U113,IF(U113="","",(AK113)-(MID(RIGHT(U113,10),4,2)&amp;"/"&amp;LEFT((RIGHT(U113,10)),2)&amp;"/"&amp;RIGHT(U113,4))))</f>
        <v/>
      </c>
      <c r="AU113" s="173">
        <v>421</v>
      </c>
      <c r="AW113" s="142" t="s">
        <v>123</v>
      </c>
      <c r="BK113" s="182" t="s">
        <v>443</v>
      </c>
    </row>
    <row r="114" spans="2:63" s="142" customFormat="1" ht="21" customHeight="1" x14ac:dyDescent="0.25">
      <c r="B114" s="173" t="str">
        <f>IF(C114="HOLD RM","HOLD RM",IF(C114="BAL","WIP",IF(C114="HOLD SLT","HOLD SLT",IF(C114="MILL","RM",IF(C114="RE SLT","WIP",IF(C114="RM","RM",IF(C114="RM BAL","RM",IF(C114="RM SLT","RM",IF(C114="RR","WIP",IF(C114="SKP","WIP",IF(C114="SLT","WIP",IF(C114="CTL","WIP",IF(C114="RM SLT RUST","RM SLT RUST",0)))))))))))))&amp;"-"&amp;G114&amp;"/"&amp;IF(H114="2B","2B",IF(H114="NO.1","1D",IF(H114="FH","FH",0)))&amp;"-"&amp;IF(J114="",(TEXT(I114,"0.00")),TEXT(J114,"0.00"))&amp;"X"&amp;M114</f>
        <v>WIP-304L/2B-0.40X761</v>
      </c>
      <c r="C114" s="173" t="s">
        <v>18</v>
      </c>
      <c r="D114" s="173" t="s">
        <v>146</v>
      </c>
      <c r="E114" s="190" t="s">
        <v>650</v>
      </c>
      <c r="F114" s="190" t="s">
        <v>651</v>
      </c>
      <c r="G114" s="173" t="s">
        <v>182</v>
      </c>
      <c r="H114" s="173" t="s">
        <v>114</v>
      </c>
      <c r="I114" s="174">
        <v>0.78</v>
      </c>
      <c r="J114" s="174">
        <v>0.4</v>
      </c>
      <c r="K114" s="174">
        <v>0.4</v>
      </c>
      <c r="L114" s="174">
        <v>0.42</v>
      </c>
      <c r="M114" s="191">
        <v>761</v>
      </c>
      <c r="N114" s="176">
        <v>4.24</v>
      </c>
      <c r="O114" s="176" t="s">
        <v>114</v>
      </c>
      <c r="P114" s="177"/>
      <c r="Q114" s="178" t="s">
        <v>216</v>
      </c>
      <c r="R114" s="178" t="s">
        <v>644</v>
      </c>
      <c r="S114" s="179" t="s">
        <v>230</v>
      </c>
      <c r="T114" s="177" t="s">
        <v>646</v>
      </c>
      <c r="U114" s="177"/>
      <c r="V114" s="177" t="s">
        <v>652</v>
      </c>
      <c r="W114" s="177"/>
      <c r="X114" s="177" t="s">
        <v>653</v>
      </c>
      <c r="Y114" s="177"/>
      <c r="Z114" s="177">
        <v>44566</v>
      </c>
      <c r="AA114" s="177"/>
      <c r="AB114" s="177"/>
      <c r="AC114" s="177"/>
      <c r="AD114" s="180"/>
      <c r="AE114" s="173" t="s">
        <v>69</v>
      </c>
      <c r="AF114" s="181" t="s">
        <v>142</v>
      </c>
      <c r="AG114" s="181" t="s">
        <v>648</v>
      </c>
      <c r="AH114" s="181"/>
      <c r="AI114" s="181">
        <v>44496</v>
      </c>
      <c r="AJ114" s="181"/>
      <c r="AK114" s="181">
        <f ca="1">TODAY()</f>
        <v>44958</v>
      </c>
      <c r="AL114" s="173">
        <f ca="1">IF(AI114&lt;&gt;0,AK114-AI114,0)</f>
        <v>462</v>
      </c>
      <c r="AM114" s="173">
        <f ca="1">IF(ISNUMBER(X114)=TRUE,AK114-X114,IF(X114="","",(AK114)-(MID(RIGHT(X114,10),4,2)&amp;"/"&amp;LEFT((RIGHT(X114,10)),2)&amp;"/"&amp;RIGHT(X114,4))))</f>
        <v>381</v>
      </c>
      <c r="AN114" s="181"/>
      <c r="AO114" s="190" t="s">
        <v>654</v>
      </c>
      <c r="AP114" s="176">
        <v>8.5050000000000008</v>
      </c>
      <c r="AQ114" s="176">
        <v>8.5150000000000006</v>
      </c>
      <c r="AR114" s="176">
        <v>8.5399999999999991</v>
      </c>
      <c r="AS114" s="176">
        <v>8.5449999999999999</v>
      </c>
      <c r="AT114" s="173" t="str">
        <f>IF(ISNUMBER(U114)=TRUE,AK114-U114,IF(U114="","",(AK114)-(MID(RIGHT(U114,10),4,2)&amp;"/"&amp;LEFT((RIGHT(U114,10)),2)&amp;"/"&amp;RIGHT(U114,4))))</f>
        <v/>
      </c>
      <c r="AU114" s="173">
        <v>421</v>
      </c>
      <c r="AW114" s="142" t="s">
        <v>123</v>
      </c>
      <c r="BK114" s="182" t="s">
        <v>311</v>
      </c>
    </row>
    <row r="115" spans="2:63" s="142" customFormat="1" ht="21" customHeight="1" x14ac:dyDescent="0.25">
      <c r="B115" s="173" t="str">
        <f>IF(C115="HOLD RM","HOLD RM",IF(C115="BAL","WIP",IF(C115="HOLD SLT","HOLD SLT",IF(C115="MILL","RM",IF(C115="RE SLT","WIP",IF(C115="RM","RM",IF(C115="RM BAL","RM",IF(C115="RM SLT","RM",IF(C115="RR","WIP",IF(C115="SKP","WIP",IF(C115="SLT","WIP",IF(C115="CTL","WIP",IF(C115="RM SLT RUST","RM SLT RUST",0)))))))))))))&amp;"-"&amp;G115&amp;"/"&amp;IF(H115="2B","2B",IF(H115="NO.1","1D",IF(H115="FH","FH",0)))&amp;"-"&amp;IF(J115="",(TEXT(I115,"0.00")),TEXT(J115,"0.00"))&amp;"X"&amp;M115</f>
        <v>WIP-304L/2B-0.80X607</v>
      </c>
      <c r="C115" s="173" t="s">
        <v>173</v>
      </c>
      <c r="D115" s="173" t="s">
        <v>146</v>
      </c>
      <c r="E115" s="190" t="s">
        <v>655</v>
      </c>
      <c r="F115" s="190" t="s">
        <v>656</v>
      </c>
      <c r="G115" s="173" t="s">
        <v>182</v>
      </c>
      <c r="H115" s="173" t="s">
        <v>114</v>
      </c>
      <c r="I115" s="174">
        <v>1.5</v>
      </c>
      <c r="J115" s="174">
        <v>0.8</v>
      </c>
      <c r="K115" s="174">
        <v>0.79</v>
      </c>
      <c r="L115" s="174">
        <v>0.91</v>
      </c>
      <c r="M115" s="191">
        <v>607</v>
      </c>
      <c r="N115" s="176">
        <v>3.91</v>
      </c>
      <c r="O115" s="176" t="s">
        <v>114</v>
      </c>
      <c r="P115" s="177"/>
      <c r="Q115" s="178" t="s">
        <v>183</v>
      </c>
      <c r="R115" s="178" t="s">
        <v>657</v>
      </c>
      <c r="S115" s="179" t="s">
        <v>658</v>
      </c>
      <c r="T115" s="177" t="s">
        <v>659</v>
      </c>
      <c r="U115" s="177"/>
      <c r="V115" s="177" t="s">
        <v>659</v>
      </c>
      <c r="W115" s="177"/>
      <c r="X115" s="177" t="s">
        <v>660</v>
      </c>
      <c r="Y115" s="177"/>
      <c r="Z115" s="177" t="s">
        <v>661</v>
      </c>
      <c r="AA115" s="177"/>
      <c r="AB115" s="177"/>
      <c r="AC115" s="177"/>
      <c r="AD115" s="180"/>
      <c r="AE115" s="173" t="s">
        <v>69</v>
      </c>
      <c r="AF115" s="181" t="s">
        <v>142</v>
      </c>
      <c r="AG115" s="181" t="s">
        <v>662</v>
      </c>
      <c r="AH115" s="181"/>
      <c r="AI115" s="181">
        <v>44516</v>
      </c>
      <c r="AJ115" s="181"/>
      <c r="AK115" s="181">
        <f ca="1">TODAY()</f>
        <v>44958</v>
      </c>
      <c r="AL115" s="173">
        <f ca="1">IF(AI115&lt;&gt;0,AK115-AI115,0)</f>
        <v>442</v>
      </c>
      <c r="AM115" s="173">
        <f ca="1">IF(ISNUMBER(X115)=TRUE,AK115-X115,IF(X115="","",(AK115)-(MID(RIGHT(X115,10),4,2)&amp;"/"&amp;LEFT((RIGHT(X115,10)),2)&amp;"/"&amp;RIGHT(X115,4))))</f>
        <v>311</v>
      </c>
      <c r="AN115" s="181"/>
      <c r="AO115" s="190" t="s">
        <v>663</v>
      </c>
      <c r="AP115" s="176">
        <v>10.29</v>
      </c>
      <c r="AQ115" s="176">
        <v>10.3</v>
      </c>
      <c r="AR115" s="176">
        <v>10.324999999999999</v>
      </c>
      <c r="AS115" s="176">
        <v>10.33</v>
      </c>
      <c r="AT115" s="173" t="str">
        <f>IF(ISNUMBER(U115)=TRUE,AK115-U115,IF(U115="","",(AK115)-(MID(RIGHT(U115,10),4,2)&amp;"/"&amp;LEFT((RIGHT(U115,10)),2)&amp;"/"&amp;RIGHT(U115,4))))</f>
        <v/>
      </c>
      <c r="AU115" s="173">
        <v>422</v>
      </c>
      <c r="AW115" s="142" t="s">
        <v>123</v>
      </c>
    </row>
    <row r="116" spans="2:63" s="142" customFormat="1" ht="21" customHeight="1" x14ac:dyDescent="0.25">
      <c r="B116" s="173" t="str">
        <f>IF(C116="HOLD RM","HOLD RM",IF(C116="BAL","WIP",IF(C116="HOLD SLT","HOLD SLT",IF(C116="MILL","RM",IF(C116="RE SLT","WIP",IF(C116="RM","RM",IF(C116="RM BAL","RM",IF(C116="RM SLT","RM",IF(C116="RR","WIP",IF(C116="SKP","WIP",IF(C116="SLT","WIP",IF(C116="CTL","WIP",IF(C116="RM SLT RUST","RM SLT RUST",0)))))))))))))&amp;"-"&amp;G116&amp;"/"&amp;IF(H116="2B","2B",IF(H116="NO.1","1D",IF(H116="FH","FH",0)))&amp;"-"&amp;IF(J116="",(TEXT(I116,"0.00")),TEXT(J116,"0.00"))&amp;"X"&amp;M116</f>
        <v>HOLD SLT-304L/2B-0.89X766</v>
      </c>
      <c r="C116" s="173" t="s">
        <v>68</v>
      </c>
      <c r="D116" s="173" t="s">
        <v>68</v>
      </c>
      <c r="E116" s="190" t="s">
        <v>664</v>
      </c>
      <c r="F116" s="193" t="s">
        <v>665</v>
      </c>
      <c r="G116" s="173" t="s">
        <v>182</v>
      </c>
      <c r="H116" s="173" t="s">
        <v>114</v>
      </c>
      <c r="I116" s="174">
        <v>2.99</v>
      </c>
      <c r="J116" s="174">
        <v>0.89</v>
      </c>
      <c r="K116" s="174">
        <v>0.87</v>
      </c>
      <c r="L116" s="174">
        <v>0.88</v>
      </c>
      <c r="M116" s="191">
        <v>766</v>
      </c>
      <c r="N116" s="176">
        <v>2.7050000000000001</v>
      </c>
      <c r="O116" s="176" t="s">
        <v>114</v>
      </c>
      <c r="P116" s="177"/>
      <c r="Q116" s="178" t="s">
        <v>115</v>
      </c>
      <c r="R116" s="178" t="s">
        <v>666</v>
      </c>
      <c r="S116" s="179" t="s">
        <v>667</v>
      </c>
      <c r="T116" s="177">
        <v>44637</v>
      </c>
      <c r="U116" s="177"/>
      <c r="V116" s="177">
        <v>44637</v>
      </c>
      <c r="W116" s="177"/>
      <c r="X116" s="177">
        <v>44641</v>
      </c>
      <c r="Y116" s="177"/>
      <c r="Z116" s="177"/>
      <c r="AA116" s="177"/>
      <c r="AB116" s="177"/>
      <c r="AC116" s="177"/>
      <c r="AD116" s="180" t="s">
        <v>668</v>
      </c>
      <c r="AE116" s="173" t="s">
        <v>69</v>
      </c>
      <c r="AF116" s="181" t="s">
        <v>142</v>
      </c>
      <c r="AG116" s="181" t="s">
        <v>662</v>
      </c>
      <c r="AH116" s="181"/>
      <c r="AI116" s="181">
        <v>44554</v>
      </c>
      <c r="AJ116" s="181"/>
      <c r="AK116" s="181">
        <f ca="1">TODAY()</f>
        <v>44958</v>
      </c>
      <c r="AL116" s="173">
        <f ca="1">IF(AI116&lt;&gt;0,AK116-AI116,0)</f>
        <v>404</v>
      </c>
      <c r="AM116" s="173">
        <f ca="1">IF(ISNUMBER(X116)=TRUE,AK116-X116,IF(X116="","",(AK116)-(MID(RIGHT(X116,10),4,2)&amp;"/"&amp;LEFT((RIGHT(X116,10)),2)&amp;"/"&amp;RIGHT(X116,4))))</f>
        <v>317</v>
      </c>
      <c r="AN116" s="181"/>
      <c r="AO116" s="190" t="s">
        <v>669</v>
      </c>
      <c r="AP116" s="176">
        <v>12.1</v>
      </c>
      <c r="AQ116" s="176">
        <v>12.11</v>
      </c>
      <c r="AR116" s="176">
        <v>12.134999999999998</v>
      </c>
      <c r="AS116" s="176">
        <v>12.139999999999999</v>
      </c>
      <c r="AT116" s="173" t="str">
        <f>IF(ISNUMBER(U116)=TRUE,AK116-U116,IF(U116="","",(AK116)-(MID(RIGHT(U116,10),4,2)&amp;"/"&amp;LEFT((RIGHT(U116,10)),2)&amp;"/"&amp;RIGHT(U116,4))))</f>
        <v/>
      </c>
      <c r="AU116" s="173">
        <v>424</v>
      </c>
      <c r="AW116" s="142" t="s">
        <v>123</v>
      </c>
    </row>
    <row r="117" spans="2:63" s="142" customFormat="1" ht="21" customHeight="1" x14ac:dyDescent="0.25">
      <c r="B117" s="173" t="str">
        <f>IF(C117="HOLD RM","HOLD RM",IF(C117="BAL","WIP",IF(C117="HOLD SLT","HOLD SLT",IF(C117="MILL","RM",IF(C117="RE SLT","WIP",IF(C117="RM","RM",IF(C117="RM BAL","RM",IF(C117="RM SLT","RM",IF(C117="RR","WIP",IF(C117="SKP","WIP",IF(C117="SLT","WIP",IF(C117="CTL","WIP",IF(C117="RM SLT RUST","RM SLT RUST",0)))))))))))))&amp;"-"&amp;G117&amp;"/"&amp;IF(H117="2B","2B",IF(H117="NO.1","1D",IF(H117="FH","FH",0)))&amp;"-"&amp;IF(J117="",(TEXT(I117,"0.00")),TEXT(J117,"0.00"))&amp;"X"&amp;M117</f>
        <v>WIP-304L/2B-0.40X765</v>
      </c>
      <c r="C117" s="173" t="s">
        <v>18</v>
      </c>
      <c r="D117" s="173" t="s">
        <v>146</v>
      </c>
      <c r="E117" s="190" t="s">
        <v>670</v>
      </c>
      <c r="F117" s="190" t="s">
        <v>671</v>
      </c>
      <c r="G117" s="173" t="s">
        <v>182</v>
      </c>
      <c r="H117" s="173" t="s">
        <v>114</v>
      </c>
      <c r="I117" s="174">
        <v>0.78</v>
      </c>
      <c r="J117" s="174">
        <v>0.4</v>
      </c>
      <c r="K117" s="174">
        <v>0.39</v>
      </c>
      <c r="L117" s="174">
        <v>0.41</v>
      </c>
      <c r="M117" s="191">
        <v>765</v>
      </c>
      <c r="N117" s="176">
        <v>4.0449999999999999</v>
      </c>
      <c r="O117" s="176" t="s">
        <v>114</v>
      </c>
      <c r="P117" s="177"/>
      <c r="Q117" s="178" t="s">
        <v>115</v>
      </c>
      <c r="R117" s="178" t="s">
        <v>657</v>
      </c>
      <c r="S117" s="179" t="s">
        <v>230</v>
      </c>
      <c r="T117" s="177" t="s">
        <v>672</v>
      </c>
      <c r="U117" s="177"/>
      <c r="V117" s="177" t="s">
        <v>672</v>
      </c>
      <c r="W117" s="177"/>
      <c r="X117" s="177" t="s">
        <v>673</v>
      </c>
      <c r="Y117" s="177"/>
      <c r="Z117" s="177">
        <v>44702</v>
      </c>
      <c r="AA117" s="177"/>
      <c r="AB117" s="177"/>
      <c r="AC117" s="177"/>
      <c r="AD117" s="180" t="s">
        <v>674</v>
      </c>
      <c r="AE117" s="173" t="s">
        <v>69</v>
      </c>
      <c r="AF117" s="181" t="s">
        <v>142</v>
      </c>
      <c r="AG117" s="181" t="s">
        <v>662</v>
      </c>
      <c r="AH117" s="181"/>
      <c r="AI117" s="181">
        <v>44554</v>
      </c>
      <c r="AJ117" s="181"/>
      <c r="AK117" s="181">
        <f ca="1">TODAY()</f>
        <v>44958</v>
      </c>
      <c r="AL117" s="173">
        <f ca="1">IF(AI117&lt;&gt;0,AK117-AI117,0)</f>
        <v>404</v>
      </c>
      <c r="AM117" s="173">
        <f ca="1">IF(ISNUMBER(X117)=TRUE,AK117-X117,IF(X117="","",(AK117)-(MID(RIGHT(X117,10),4,2)&amp;"/"&amp;LEFT((RIGHT(X117,10)),2)&amp;"/"&amp;RIGHT(X117,4))))</f>
        <v>329</v>
      </c>
      <c r="AN117" s="181"/>
      <c r="AO117" s="190" t="s">
        <v>675</v>
      </c>
      <c r="AP117" s="176">
        <v>8.6199999999999992</v>
      </c>
      <c r="AQ117" s="176">
        <v>8.6300000000000008</v>
      </c>
      <c r="AR117" s="176">
        <v>8.6549999999999994</v>
      </c>
      <c r="AS117" s="176">
        <v>8.66</v>
      </c>
      <c r="AT117" s="173" t="str">
        <f>IF(ISNUMBER(U117)=TRUE,AK117-U117,IF(U117="","",(AK117)-(MID(RIGHT(U117,10),4,2)&amp;"/"&amp;LEFT((RIGHT(U117,10)),2)&amp;"/"&amp;RIGHT(U117,4))))</f>
        <v/>
      </c>
      <c r="AU117" s="173">
        <v>424</v>
      </c>
      <c r="AW117" s="142" t="s">
        <v>123</v>
      </c>
    </row>
    <row r="118" spans="2:63" s="142" customFormat="1" ht="21" customHeight="1" x14ac:dyDescent="0.25">
      <c r="B118" s="173" t="str">
        <f>IF(C118="HOLD RM","HOLD RM",IF(C118="BAL","WIP",IF(C118="HOLD SLT","HOLD SLT",IF(C118="MILL","RM",IF(C118="RE SLT","WIP",IF(C118="RM","RM",IF(C118="RM BAL","RM",IF(C118="RM SLT","RM",IF(C118="RR","WIP",IF(C118="SKP","WIP",IF(C118="SLT","WIP",IF(C118="CTL","WIP",IF(C118="RM SLT RUST","RM SLT RUST",0)))))))))))))&amp;"-"&amp;G118&amp;"/"&amp;IF(H118="2B","2B",IF(H118="NO.1","1D",IF(H118="FH","FH",0)))&amp;"-"&amp;IF(J118="",(TEXT(I118,"0.00")),TEXT(J118,"0.00"))&amp;"X"&amp;M118</f>
        <v>RM-J3/1D-2.20X735</v>
      </c>
      <c r="C118" s="173" t="s">
        <v>48</v>
      </c>
      <c r="D118" s="173" t="s">
        <v>48</v>
      </c>
      <c r="E118" s="190" t="s">
        <v>676</v>
      </c>
      <c r="F118" s="190" t="s">
        <v>677</v>
      </c>
      <c r="G118" s="173" t="s">
        <v>34</v>
      </c>
      <c r="H118" s="173" t="s">
        <v>127</v>
      </c>
      <c r="I118" s="174">
        <v>2.2000000000000002</v>
      </c>
      <c r="J118" s="174"/>
      <c r="K118" s="174"/>
      <c r="L118" s="174"/>
      <c r="M118" s="191">
        <v>735</v>
      </c>
      <c r="N118" s="176">
        <v>11.846</v>
      </c>
      <c r="O118" s="176"/>
      <c r="P118" s="177"/>
      <c r="Q118" s="178"/>
      <c r="R118" s="179"/>
      <c r="S118" s="179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80"/>
      <c r="AE118" s="173" t="s">
        <v>69</v>
      </c>
      <c r="AF118" s="181" t="s">
        <v>248</v>
      </c>
      <c r="AG118" s="181" t="s">
        <v>678</v>
      </c>
      <c r="AH118" s="181">
        <v>44621</v>
      </c>
      <c r="AI118" s="181">
        <v>44644</v>
      </c>
      <c r="AJ118" s="181"/>
      <c r="AK118" s="181">
        <f ca="1">TODAY()</f>
        <v>44958</v>
      </c>
      <c r="AL118" s="173">
        <f ca="1">IF(AI118&lt;&gt;0,AK118-AI118,0)</f>
        <v>314</v>
      </c>
      <c r="AM118" s="173" t="str">
        <f>IF(ISNUMBER(X118)=TRUE,AK118-X118,IF(X118="","",(AK118)-(MID(RIGHT(X118,10),4,2)&amp;"/"&amp;LEFT((RIGHT(X118,10)),2)&amp;"/"&amp;RIGHT(X118,4))))</f>
        <v/>
      </c>
      <c r="AN118" s="181" t="s">
        <v>679</v>
      </c>
      <c r="AO118" s="190" t="s">
        <v>680</v>
      </c>
      <c r="AP118" s="176">
        <v>11.846</v>
      </c>
      <c r="AQ118" s="176">
        <v>11.885999999999999</v>
      </c>
      <c r="AR118" s="176">
        <v>11.910999999999998</v>
      </c>
      <c r="AS118" s="176">
        <v>11.915999999999999</v>
      </c>
      <c r="AT118" s="173" t="str">
        <f>IF(ISNUMBER(U118)=TRUE,AK118-U118,IF(U118="","",(AK118)-(MID(RIGHT(U118,10),4,2)&amp;"/"&amp;LEFT((RIGHT(U118,10)),2)&amp;"/"&amp;RIGHT(U118,4))))</f>
        <v/>
      </c>
      <c r="AU118" s="173">
        <v>427</v>
      </c>
      <c r="AW118" s="142" t="s">
        <v>123</v>
      </c>
    </row>
    <row r="119" spans="2:63" s="142" customFormat="1" ht="21" customHeight="1" x14ac:dyDescent="0.25">
      <c r="B119" s="173" t="str">
        <f>IF(C119="HOLD RM","HOLD RM",IF(C119="BAL","WIP",IF(C119="HOLD SLT","HOLD SLT",IF(C119="MILL","RM",IF(C119="RE SLT","WIP",IF(C119="RM","RM",IF(C119="RM BAL","RM",IF(C119="RM SLT","RM",IF(C119="RR","WIP",IF(C119="SKP","WIP",IF(C119="SLT","WIP",IF(C119="CTL","WIP",IF(C119="RM SLT RUST","RM SLT RUST",0)))))))))))))&amp;"-"&amp;G119&amp;"/"&amp;IF(H119="2B","2B",IF(H119="NO.1","1D",IF(H119="FH","FH",0)))&amp;"-"&amp;IF(J119="",(TEXT(I119,"0.00")),TEXT(J119,"0.00"))&amp;"X"&amp;M119</f>
        <v>RM-J3/1D-2.20X620</v>
      </c>
      <c r="C119" s="173" t="s">
        <v>48</v>
      </c>
      <c r="D119" s="173" t="s">
        <v>48</v>
      </c>
      <c r="E119" s="190" t="s">
        <v>681</v>
      </c>
      <c r="F119" s="190" t="s">
        <v>682</v>
      </c>
      <c r="G119" s="173" t="s">
        <v>34</v>
      </c>
      <c r="H119" s="173" t="s">
        <v>127</v>
      </c>
      <c r="I119" s="174">
        <v>2.2000000000000002</v>
      </c>
      <c r="J119" s="174"/>
      <c r="K119" s="174"/>
      <c r="L119" s="174"/>
      <c r="M119" s="191">
        <v>620</v>
      </c>
      <c r="N119" s="176">
        <v>11.843999999999999</v>
      </c>
      <c r="O119" s="176"/>
      <c r="P119" s="177"/>
      <c r="Q119" s="178"/>
      <c r="R119" s="179"/>
      <c r="S119" s="179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80"/>
      <c r="AE119" s="173" t="s">
        <v>69</v>
      </c>
      <c r="AF119" s="181" t="s">
        <v>248</v>
      </c>
      <c r="AG119" s="181" t="s">
        <v>678</v>
      </c>
      <c r="AH119" s="181">
        <v>44621</v>
      </c>
      <c r="AI119" s="181">
        <v>44644</v>
      </c>
      <c r="AJ119" s="181"/>
      <c r="AK119" s="181">
        <f ca="1">TODAY()</f>
        <v>44958</v>
      </c>
      <c r="AL119" s="173">
        <f ca="1">IF(AI119&lt;&gt;0,AK119-AI119,0)</f>
        <v>314</v>
      </c>
      <c r="AM119" s="173" t="str">
        <f>IF(ISNUMBER(X119)=TRUE,AK119-X119,IF(X119="","",(AK119)-(MID(RIGHT(X119,10),4,2)&amp;"/"&amp;LEFT((RIGHT(X119,10)),2)&amp;"/"&amp;RIGHT(X119,4))))</f>
        <v/>
      </c>
      <c r="AN119" s="181" t="s">
        <v>683</v>
      </c>
      <c r="AO119" s="190" t="s">
        <v>684</v>
      </c>
      <c r="AP119" s="176">
        <v>11.843999999999999</v>
      </c>
      <c r="AQ119" s="176">
        <v>11.884</v>
      </c>
      <c r="AR119" s="176">
        <v>11.908999999999999</v>
      </c>
      <c r="AS119" s="176">
        <v>11.914</v>
      </c>
      <c r="AT119" s="173" t="str">
        <f>IF(ISNUMBER(U119)=TRUE,AK119-U119,IF(U119="","",(AK119)-(MID(RIGHT(U119,10),4,2)&amp;"/"&amp;LEFT((RIGHT(U119,10)),2)&amp;"/"&amp;RIGHT(U119,4))))</f>
        <v/>
      </c>
      <c r="AU119" s="173">
        <v>427</v>
      </c>
      <c r="AW119" s="142" t="s">
        <v>123</v>
      </c>
    </row>
    <row r="120" spans="2:63" s="142" customFormat="1" ht="21" customHeight="1" x14ac:dyDescent="0.25">
      <c r="B120" s="173" t="str">
        <f>IF(C120="HOLD RM","HOLD RM",IF(C120="BAL","WIP",IF(C120="HOLD SLT","HOLD SLT",IF(C120="MILL","RM",IF(C120="RE SLT","WIP",IF(C120="RM","RM",IF(C120="RM BAL","RM",IF(C120="RM SLT","RM",IF(C120="RR","WIP",IF(C120="SKP","WIP",IF(C120="SLT","WIP",IF(C120="CTL","WIP",IF(C120="RM SLT RUST","RM SLT RUST",0)))))))))))))&amp;"-"&amp;G120&amp;"/"&amp;IF(H120="2B","2B",IF(H120="NO.1","1D",IF(H120="FH","FH",0)))&amp;"-"&amp;IF(J120="",(TEXT(I120,"0.00")),TEXT(J120,"0.00"))&amp;"X"&amp;M120</f>
        <v>RM-J3/1D-2.20X620</v>
      </c>
      <c r="C120" s="173" t="s">
        <v>13</v>
      </c>
      <c r="D120" s="173" t="s">
        <v>13</v>
      </c>
      <c r="E120" s="190" t="s">
        <v>685</v>
      </c>
      <c r="F120" s="190" t="s">
        <v>686</v>
      </c>
      <c r="G120" s="173" t="s">
        <v>34</v>
      </c>
      <c r="H120" s="173" t="s">
        <v>127</v>
      </c>
      <c r="I120" s="174">
        <v>2.2000000000000002</v>
      </c>
      <c r="J120" s="174"/>
      <c r="K120" s="174"/>
      <c r="L120" s="174"/>
      <c r="M120" s="191">
        <v>620</v>
      </c>
      <c r="N120" s="176">
        <v>10.298999999999999</v>
      </c>
      <c r="O120" s="176"/>
      <c r="P120" s="177"/>
      <c r="Q120" s="178"/>
      <c r="R120" s="179"/>
      <c r="S120" s="179"/>
      <c r="T120" s="177"/>
      <c r="U120" s="177">
        <v>44955</v>
      </c>
      <c r="V120" s="177"/>
      <c r="W120" s="177"/>
      <c r="X120" s="177"/>
      <c r="Y120" s="177"/>
      <c r="Z120" s="177"/>
      <c r="AA120" s="177"/>
      <c r="AB120" s="177"/>
      <c r="AC120" s="177"/>
      <c r="AD120" s="180"/>
      <c r="AE120" s="173" t="s">
        <v>69</v>
      </c>
      <c r="AF120" s="181" t="s">
        <v>248</v>
      </c>
      <c r="AG120" s="181" t="s">
        <v>678</v>
      </c>
      <c r="AH120" s="181">
        <v>44621</v>
      </c>
      <c r="AI120" s="181">
        <v>44644</v>
      </c>
      <c r="AJ120" s="181"/>
      <c r="AK120" s="181">
        <f ca="1">TODAY()</f>
        <v>44958</v>
      </c>
      <c r="AL120" s="173">
        <f ca="1">IF(AI120&lt;&gt;0,AK120-AI120,0)</f>
        <v>314</v>
      </c>
      <c r="AM120" s="173" t="str">
        <f>IF(ISNUMBER(X120)=TRUE,AK120-X120,IF(X120="","",(AK120)-(MID(RIGHT(X120,10),4,2)&amp;"/"&amp;LEFT((RIGHT(X120,10)),2)&amp;"/"&amp;RIGHT(X120,4))))</f>
        <v/>
      </c>
      <c r="AN120" s="181" t="s">
        <v>687</v>
      </c>
      <c r="AO120" s="190" t="s">
        <v>688</v>
      </c>
      <c r="AP120" s="176">
        <v>10.298999999999999</v>
      </c>
      <c r="AQ120" s="176">
        <v>10.339</v>
      </c>
      <c r="AR120" s="176">
        <v>10.363999999999999</v>
      </c>
      <c r="AS120" s="176">
        <v>10.369</v>
      </c>
      <c r="AT120" s="173">
        <f ca="1">IF(ISNUMBER(U120)=TRUE,AK120-U120,IF(U120="","",(AK120)-(MID(RIGHT(U120,10),4,2)&amp;"/"&amp;LEFT((RIGHT(U120,10)),2)&amp;"/"&amp;RIGHT(U120,4))))</f>
        <v>3</v>
      </c>
      <c r="AU120" s="173">
        <v>427</v>
      </c>
      <c r="AW120" s="142" t="s">
        <v>123</v>
      </c>
    </row>
    <row r="121" spans="2:63" s="142" customFormat="1" ht="21" customHeight="1" x14ac:dyDescent="0.25">
      <c r="B121" s="173" t="str">
        <f>IF(C121="HOLD RM","HOLD RM",IF(C121="BAL","WIP",IF(C121="HOLD SLT","HOLD SLT",IF(C121="MILL","RM",IF(C121="RE SLT","WIP",IF(C121="RM","RM",IF(C121="RM BAL","RM",IF(C121="RM SLT","RM",IF(C121="RR","WIP",IF(C121="SKP","WIP",IF(C121="SLT","WIP",IF(C121="CTL","WIP",IF(C121="RM SLT RUST","RM SLT RUST",0)))))))))))))&amp;"-"&amp;G121&amp;"/"&amp;IF(H121="2B","2B",IF(H121="NO.1","1D",IF(H121="FH","FH",0)))&amp;"-"&amp;IF(J121="",(TEXT(I121,"0.00")),TEXT(J121,"0.00"))&amp;"X"&amp;M121</f>
        <v>RM-J3/1D-2.40X620</v>
      </c>
      <c r="C121" s="173" t="s">
        <v>13</v>
      </c>
      <c r="D121" s="173" t="s">
        <v>13</v>
      </c>
      <c r="E121" s="190" t="s">
        <v>689</v>
      </c>
      <c r="F121" s="190" t="s">
        <v>690</v>
      </c>
      <c r="G121" s="173" t="s">
        <v>34</v>
      </c>
      <c r="H121" s="173" t="s">
        <v>127</v>
      </c>
      <c r="I121" s="174">
        <v>2.4</v>
      </c>
      <c r="J121" s="174"/>
      <c r="K121" s="174"/>
      <c r="L121" s="174"/>
      <c r="M121" s="191">
        <v>620</v>
      </c>
      <c r="N121" s="176">
        <v>10.154</v>
      </c>
      <c r="O121" s="176"/>
      <c r="P121" s="177"/>
      <c r="Q121" s="178"/>
      <c r="R121" s="179"/>
      <c r="S121" s="179"/>
      <c r="T121" s="177"/>
      <c r="U121" s="177">
        <v>44951</v>
      </c>
      <c r="V121" s="177"/>
      <c r="W121" s="177"/>
      <c r="X121" s="177"/>
      <c r="Y121" s="177"/>
      <c r="Z121" s="177"/>
      <c r="AA121" s="177"/>
      <c r="AB121" s="177"/>
      <c r="AC121" s="177"/>
      <c r="AD121" s="180"/>
      <c r="AE121" s="173" t="s">
        <v>69</v>
      </c>
      <c r="AF121" s="181" t="s">
        <v>248</v>
      </c>
      <c r="AG121" s="181" t="s">
        <v>678</v>
      </c>
      <c r="AH121" s="181">
        <v>44621</v>
      </c>
      <c r="AI121" s="181">
        <v>44644</v>
      </c>
      <c r="AJ121" s="181"/>
      <c r="AK121" s="181">
        <f ca="1">TODAY()</f>
        <v>44958</v>
      </c>
      <c r="AL121" s="173">
        <f ca="1">IF(AI121&lt;&gt;0,AK121-AI121,0)</f>
        <v>314</v>
      </c>
      <c r="AM121" s="173" t="str">
        <f>IF(ISNUMBER(X121)=TRUE,AK121-X121,IF(X121="","",(AK121)-(MID(RIGHT(X121,10),4,2)&amp;"/"&amp;LEFT((RIGHT(X121,10)),2)&amp;"/"&amp;RIGHT(X121,4))))</f>
        <v/>
      </c>
      <c r="AN121" s="181" t="s">
        <v>691</v>
      </c>
      <c r="AO121" s="190" t="s">
        <v>692</v>
      </c>
      <c r="AP121" s="176">
        <v>10.154</v>
      </c>
      <c r="AQ121" s="176">
        <v>10.194000000000001</v>
      </c>
      <c r="AR121" s="176">
        <v>10.218999999999999</v>
      </c>
      <c r="AS121" s="176">
        <v>10.224</v>
      </c>
      <c r="AT121" s="173">
        <f ca="1">IF(ISNUMBER(U121)=TRUE,AK121-U121,IF(U121="","",(AK121)-(MID(RIGHT(U121,10),4,2)&amp;"/"&amp;LEFT((RIGHT(U121,10)),2)&amp;"/"&amp;RIGHT(U121,4))))</f>
        <v>7</v>
      </c>
      <c r="AU121" s="173">
        <v>427</v>
      </c>
      <c r="AW121" s="142" t="s">
        <v>123</v>
      </c>
    </row>
    <row r="122" spans="2:63" s="142" customFormat="1" ht="21" customHeight="1" x14ac:dyDescent="0.25">
      <c r="B122" s="173" t="str">
        <f>IF(C122="HOLD RM","HOLD RM",IF(C122="BAL","WIP",IF(C122="HOLD SLT","HOLD SLT",IF(C122="MILL","RM",IF(C122="RE SLT","WIP",IF(C122="RM","RM",IF(C122="RM BAL","RM",IF(C122="RM SLT","RM",IF(C122="RR","WIP",IF(C122="SKP","WIP",IF(C122="SLT","WIP",IF(C122="CTL","WIP",IF(C122="RM SLT RUST","RM SLT RUST",0)))))))))))))&amp;"-"&amp;G122&amp;"/"&amp;IF(H122="2B","2B",IF(H122="NO.1","1D",IF(H122="FH","FH",0)))&amp;"-"&amp;IF(J122="",(TEXT(I122,"0.00")),TEXT(J122,"0.00"))&amp;"X"&amp;M122</f>
        <v>RM-J3/1D-2.40X620</v>
      </c>
      <c r="C122" s="173" t="s">
        <v>48</v>
      </c>
      <c r="D122" s="173" t="s">
        <v>48</v>
      </c>
      <c r="E122" s="190" t="s">
        <v>693</v>
      </c>
      <c r="F122" s="190" t="s">
        <v>694</v>
      </c>
      <c r="G122" s="173" t="s">
        <v>34</v>
      </c>
      <c r="H122" s="173" t="s">
        <v>127</v>
      </c>
      <c r="I122" s="174">
        <v>2.4</v>
      </c>
      <c r="J122" s="174"/>
      <c r="K122" s="174"/>
      <c r="L122" s="174"/>
      <c r="M122" s="191">
        <v>620</v>
      </c>
      <c r="N122" s="176">
        <v>10.231</v>
      </c>
      <c r="O122" s="176"/>
      <c r="P122" s="177"/>
      <c r="Q122" s="178"/>
      <c r="R122" s="179"/>
      <c r="S122" s="179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80"/>
      <c r="AE122" s="173" t="s">
        <v>69</v>
      </c>
      <c r="AF122" s="181" t="s">
        <v>248</v>
      </c>
      <c r="AG122" s="181" t="s">
        <v>678</v>
      </c>
      <c r="AH122" s="181">
        <v>44621</v>
      </c>
      <c r="AI122" s="181">
        <v>44644</v>
      </c>
      <c r="AJ122" s="181"/>
      <c r="AK122" s="181">
        <f ca="1">TODAY()</f>
        <v>44958</v>
      </c>
      <c r="AL122" s="173">
        <f ca="1">IF(AI122&lt;&gt;0,AK122-AI122,0)</f>
        <v>314</v>
      </c>
      <c r="AM122" s="173" t="str">
        <f>IF(ISNUMBER(X122)=TRUE,AK122-X122,IF(X122="","",(AK122)-(MID(RIGHT(X122,10),4,2)&amp;"/"&amp;LEFT((RIGHT(X122,10)),2)&amp;"/"&amp;RIGHT(X122,4))))</f>
        <v/>
      </c>
      <c r="AN122" s="181" t="s">
        <v>695</v>
      </c>
      <c r="AO122" s="190" t="s">
        <v>692</v>
      </c>
      <c r="AP122" s="176">
        <v>10.231</v>
      </c>
      <c r="AQ122" s="176">
        <v>10.271000000000001</v>
      </c>
      <c r="AR122" s="176">
        <v>10.295999999999999</v>
      </c>
      <c r="AS122" s="176">
        <v>10.301</v>
      </c>
      <c r="AT122" s="173" t="str">
        <f>IF(ISNUMBER(U122)=TRUE,AK122-U122,IF(U122="","",(AK122)-(MID(RIGHT(U122,10),4,2)&amp;"/"&amp;LEFT((RIGHT(U122,10)),2)&amp;"/"&amp;RIGHT(U122,4))))</f>
        <v/>
      </c>
      <c r="AU122" s="173">
        <v>427</v>
      </c>
      <c r="AW122" s="142" t="s">
        <v>123</v>
      </c>
    </row>
    <row r="123" spans="2:63" s="142" customFormat="1" ht="21" customHeight="1" x14ac:dyDescent="0.25">
      <c r="B123" s="173" t="str">
        <f>IF(C123="HOLD RM","HOLD RM",IF(C123="BAL","WIP",IF(C123="HOLD SLT","HOLD SLT",IF(C123="MILL","RM",IF(C123="RE SLT","WIP",IF(C123="RM","RM",IF(C123="RM BAL","RM",IF(C123="RM SLT","RM",IF(C123="RR","WIP",IF(C123="SKP","WIP",IF(C123="SLT","WIP",IF(C123="CTL","WIP",IF(C123="RM SLT RUST","RM SLT RUST",0)))))))))))))&amp;"-"&amp;G123&amp;"/"&amp;IF(H123="2B","2B",IF(H123="NO.1","1D",IF(H123="FH","FH",0)))&amp;"-"&amp;IF(J123="",(TEXT(I123,"0.00")),TEXT(J123,"0.00"))&amp;"X"&amp;M123</f>
        <v>RM-J3/1D-2.40X620</v>
      </c>
      <c r="C123" s="173" t="s">
        <v>48</v>
      </c>
      <c r="D123" s="173" t="s">
        <v>48</v>
      </c>
      <c r="E123" s="190" t="s">
        <v>696</v>
      </c>
      <c r="F123" s="190" t="s">
        <v>697</v>
      </c>
      <c r="G123" s="173" t="s">
        <v>34</v>
      </c>
      <c r="H123" s="173" t="s">
        <v>127</v>
      </c>
      <c r="I123" s="174">
        <v>2.4</v>
      </c>
      <c r="J123" s="174"/>
      <c r="K123" s="174"/>
      <c r="L123" s="174"/>
      <c r="M123" s="191">
        <v>620</v>
      </c>
      <c r="N123" s="176">
        <v>9.94</v>
      </c>
      <c r="O123" s="176"/>
      <c r="P123" s="177"/>
      <c r="Q123" s="178"/>
      <c r="R123" s="179"/>
      <c r="S123" s="179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80"/>
      <c r="AE123" s="173" t="s">
        <v>69</v>
      </c>
      <c r="AF123" s="181" t="s">
        <v>248</v>
      </c>
      <c r="AG123" s="181" t="s">
        <v>678</v>
      </c>
      <c r="AH123" s="181">
        <v>44621</v>
      </c>
      <c r="AI123" s="181">
        <v>44644</v>
      </c>
      <c r="AJ123" s="181"/>
      <c r="AK123" s="181">
        <f ca="1">TODAY()</f>
        <v>44958</v>
      </c>
      <c r="AL123" s="173">
        <f ca="1">IF(AI123&lt;&gt;0,AK123-AI123,0)</f>
        <v>314</v>
      </c>
      <c r="AM123" s="173" t="str">
        <f>IF(ISNUMBER(X123)=TRUE,AK123-X123,IF(X123="","",(AK123)-(MID(RIGHT(X123,10),4,2)&amp;"/"&amp;LEFT((RIGHT(X123,10)),2)&amp;"/"&amp;RIGHT(X123,4))))</f>
        <v/>
      </c>
      <c r="AN123" s="181" t="s">
        <v>698</v>
      </c>
      <c r="AO123" s="190" t="s">
        <v>699</v>
      </c>
      <c r="AP123" s="176">
        <v>9.94</v>
      </c>
      <c r="AQ123" s="176">
        <v>9.98</v>
      </c>
      <c r="AR123" s="176">
        <v>10.004999999999999</v>
      </c>
      <c r="AS123" s="176">
        <v>10.01</v>
      </c>
      <c r="AT123" s="173" t="str">
        <f>IF(ISNUMBER(U123)=TRUE,AK123-U123,IF(U123="","",(AK123)-(MID(RIGHT(U123,10),4,2)&amp;"/"&amp;LEFT((RIGHT(U123,10)),2)&amp;"/"&amp;RIGHT(U123,4))))</f>
        <v/>
      </c>
      <c r="AU123" s="173">
        <v>427</v>
      </c>
      <c r="AW123" s="142" t="s">
        <v>123</v>
      </c>
    </row>
    <row r="124" spans="2:63" s="142" customFormat="1" ht="21" customHeight="1" x14ac:dyDescent="0.25">
      <c r="B124" s="173" t="str">
        <f>IF(C124="HOLD RM","HOLD RM",IF(C124="BAL","WIP",IF(C124="HOLD SLT","HOLD SLT",IF(C124="MILL","RM",IF(C124="RE SLT","WIP",IF(C124="RM","RM",IF(C124="RM BAL","RM",IF(C124="RM SLT","RM",IF(C124="RR","WIP",IF(C124="SKP","WIP",IF(C124="SLT","WIP",IF(C124="CTL","WIP",IF(C124="RM SLT RUST","RM SLT RUST",0)))))))))))))&amp;"-"&amp;G124&amp;"/"&amp;IF(H124="2B","2B",IF(H124="NO.1","1D",IF(H124="FH","FH",0)))&amp;"-"&amp;IF(J124="",(TEXT(I124,"0.00")),TEXT(J124,"0.00"))&amp;"X"&amp;M124</f>
        <v>RM-J3/1D-2.40X620</v>
      </c>
      <c r="C124" s="173" t="s">
        <v>48</v>
      </c>
      <c r="D124" s="173" t="s">
        <v>48</v>
      </c>
      <c r="E124" s="190" t="s">
        <v>700</v>
      </c>
      <c r="F124" s="190" t="s">
        <v>701</v>
      </c>
      <c r="G124" s="173" t="s">
        <v>34</v>
      </c>
      <c r="H124" s="173" t="s">
        <v>127</v>
      </c>
      <c r="I124" s="174">
        <v>2.4</v>
      </c>
      <c r="J124" s="174"/>
      <c r="K124" s="174"/>
      <c r="L124" s="174"/>
      <c r="M124" s="191">
        <v>620</v>
      </c>
      <c r="N124" s="176">
        <v>9.875</v>
      </c>
      <c r="O124" s="176"/>
      <c r="P124" s="177"/>
      <c r="Q124" s="178"/>
      <c r="R124" s="179"/>
      <c r="S124" s="179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80"/>
      <c r="AE124" s="173" t="s">
        <v>69</v>
      </c>
      <c r="AF124" s="181" t="s">
        <v>248</v>
      </c>
      <c r="AG124" s="181" t="s">
        <v>678</v>
      </c>
      <c r="AH124" s="181">
        <v>44621</v>
      </c>
      <c r="AI124" s="181">
        <v>44644</v>
      </c>
      <c r="AJ124" s="181"/>
      <c r="AK124" s="181">
        <f ca="1">TODAY()</f>
        <v>44958</v>
      </c>
      <c r="AL124" s="173">
        <f ca="1">IF(AI124&lt;&gt;0,AK124-AI124,0)</f>
        <v>314</v>
      </c>
      <c r="AM124" s="173" t="str">
        <f>IF(ISNUMBER(X124)=TRUE,AK124-X124,IF(X124="","",(AK124)-(MID(RIGHT(X124,10),4,2)&amp;"/"&amp;LEFT((RIGHT(X124,10)),2)&amp;"/"&amp;RIGHT(X124,4))))</f>
        <v/>
      </c>
      <c r="AN124" s="181" t="s">
        <v>695</v>
      </c>
      <c r="AO124" s="190" t="s">
        <v>699</v>
      </c>
      <c r="AP124" s="176">
        <v>9.875</v>
      </c>
      <c r="AQ124" s="176">
        <v>9.9149999999999991</v>
      </c>
      <c r="AR124" s="176">
        <v>9.9399999999999977</v>
      </c>
      <c r="AS124" s="176">
        <v>9.9449999999999985</v>
      </c>
      <c r="AT124" s="173" t="str">
        <f>IF(ISNUMBER(U124)=TRUE,AK124-U124,IF(U124="","",(AK124)-(MID(RIGHT(U124,10),4,2)&amp;"/"&amp;LEFT((RIGHT(U124,10)),2)&amp;"/"&amp;RIGHT(U124,4))))</f>
        <v/>
      </c>
      <c r="AU124" s="173">
        <v>427</v>
      </c>
      <c r="AW124" s="142" t="s">
        <v>123</v>
      </c>
    </row>
    <row r="125" spans="2:63" s="142" customFormat="1" ht="21" customHeight="1" x14ac:dyDescent="0.25">
      <c r="B125" s="173" t="str">
        <f>IF(C125="HOLD RM","HOLD RM",IF(C125="BAL","WIP",IF(C125="HOLD SLT","HOLD SLT",IF(C125="MILL","RM",IF(C125="RE SLT","WIP",IF(C125="RM","RM",IF(C125="RM BAL","RM",IF(C125="RM SLT","RM",IF(C125="RR","WIP",IF(C125="SKP","WIP",IF(C125="SLT","WIP",IF(C125="CTL","WIP",IF(C125="RM SLT RUST","RM SLT RUST",0)))))))))))))&amp;"-"&amp;G125&amp;"/"&amp;IF(H125="2B","2B",IF(H125="NO.1","1D",IF(H125="FH","FH",0)))&amp;"-"&amp;IF(J125="",(TEXT(I125,"0.00")),TEXT(J125,"0.00"))&amp;"X"&amp;M125</f>
        <v>RM-J3/1D-2.40X620</v>
      </c>
      <c r="C125" s="173" t="s">
        <v>48</v>
      </c>
      <c r="D125" s="173" t="s">
        <v>48</v>
      </c>
      <c r="E125" s="190" t="s">
        <v>702</v>
      </c>
      <c r="F125" s="190" t="s">
        <v>703</v>
      </c>
      <c r="G125" s="173" t="s">
        <v>34</v>
      </c>
      <c r="H125" s="173" t="s">
        <v>127</v>
      </c>
      <c r="I125" s="174">
        <v>2.4</v>
      </c>
      <c r="J125" s="174"/>
      <c r="K125" s="174"/>
      <c r="L125" s="174"/>
      <c r="M125" s="191">
        <v>620</v>
      </c>
      <c r="N125" s="176">
        <v>9.8390000000000004</v>
      </c>
      <c r="O125" s="176"/>
      <c r="P125" s="177"/>
      <c r="Q125" s="178"/>
      <c r="R125" s="179"/>
      <c r="S125" s="179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80"/>
      <c r="AE125" s="173" t="s">
        <v>69</v>
      </c>
      <c r="AF125" s="181" t="s">
        <v>248</v>
      </c>
      <c r="AG125" s="181" t="s">
        <v>678</v>
      </c>
      <c r="AH125" s="181">
        <v>44621</v>
      </c>
      <c r="AI125" s="181">
        <v>44644</v>
      </c>
      <c r="AJ125" s="181"/>
      <c r="AK125" s="181">
        <f ca="1">TODAY()</f>
        <v>44958</v>
      </c>
      <c r="AL125" s="173">
        <f ca="1">IF(AI125&lt;&gt;0,AK125-AI125,0)</f>
        <v>314</v>
      </c>
      <c r="AM125" s="173" t="str">
        <f>IF(ISNUMBER(X125)=TRUE,AK125-X125,IF(X125="","",(AK125)-(MID(RIGHT(X125,10),4,2)&amp;"/"&amp;LEFT((RIGHT(X125,10)),2)&amp;"/"&amp;RIGHT(X125,4))))</f>
        <v/>
      </c>
      <c r="AN125" s="181" t="s">
        <v>704</v>
      </c>
      <c r="AO125" s="190" t="s">
        <v>705</v>
      </c>
      <c r="AP125" s="176">
        <v>9.8390000000000004</v>
      </c>
      <c r="AQ125" s="176">
        <v>9.8789999999999996</v>
      </c>
      <c r="AR125" s="176">
        <v>9.9039999999999981</v>
      </c>
      <c r="AS125" s="176">
        <v>9.9089999999999989</v>
      </c>
      <c r="AT125" s="173" t="str">
        <f>IF(ISNUMBER(U125)=TRUE,AK125-U125,IF(U125="","",(AK125)-(MID(RIGHT(U125,10),4,2)&amp;"/"&amp;LEFT((RIGHT(U125,10)),2)&amp;"/"&amp;RIGHT(U125,4))))</f>
        <v/>
      </c>
      <c r="AU125" s="173">
        <v>427</v>
      </c>
      <c r="AW125" s="142" t="s">
        <v>123</v>
      </c>
    </row>
    <row r="126" spans="2:63" s="142" customFormat="1" ht="21" customHeight="1" x14ac:dyDescent="0.25">
      <c r="B126" s="173" t="str">
        <f>IF(C126="HOLD RM","HOLD RM",IF(C126="BAL","WIP",IF(C126="HOLD SLT","HOLD SLT",IF(C126="MILL","RM",IF(C126="RE SLT","WIP",IF(C126="RM","RM",IF(C126="RM BAL","RM",IF(C126="RM SLT","RM",IF(C126="RR","WIP",IF(C126="SKP","WIP",IF(C126="SLT","WIP",IF(C126="CTL","WIP",IF(C126="RM SLT RUST","RM SLT RUST",0)))))))))))))&amp;"-"&amp;G126&amp;"/"&amp;IF(H126="2B","2B",IF(H126="NO.1","1D",IF(H126="FH","FH",0)))&amp;"-"&amp;IF(J126="",(TEXT(I126,"0.00")),TEXT(J126,"0.00"))&amp;"X"&amp;M126</f>
        <v>RM-J3/1D-2.40X620</v>
      </c>
      <c r="C126" s="173" t="s">
        <v>48</v>
      </c>
      <c r="D126" s="173" t="s">
        <v>48</v>
      </c>
      <c r="E126" s="190" t="s">
        <v>706</v>
      </c>
      <c r="F126" s="190" t="s">
        <v>707</v>
      </c>
      <c r="G126" s="173" t="s">
        <v>34</v>
      </c>
      <c r="H126" s="173" t="s">
        <v>127</v>
      </c>
      <c r="I126" s="174">
        <v>2.4</v>
      </c>
      <c r="J126" s="174"/>
      <c r="K126" s="174"/>
      <c r="L126" s="174"/>
      <c r="M126" s="191">
        <v>620</v>
      </c>
      <c r="N126" s="176">
        <v>10.163</v>
      </c>
      <c r="O126" s="176"/>
      <c r="P126" s="177"/>
      <c r="Q126" s="178"/>
      <c r="R126" s="179"/>
      <c r="S126" s="179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80"/>
      <c r="AE126" s="173" t="s">
        <v>69</v>
      </c>
      <c r="AF126" s="181" t="s">
        <v>248</v>
      </c>
      <c r="AG126" s="181" t="s">
        <v>678</v>
      </c>
      <c r="AH126" s="181">
        <v>44621</v>
      </c>
      <c r="AI126" s="181">
        <v>44644</v>
      </c>
      <c r="AJ126" s="181"/>
      <c r="AK126" s="181">
        <f ca="1">TODAY()</f>
        <v>44958</v>
      </c>
      <c r="AL126" s="173">
        <f ca="1">IF(AI126&lt;&gt;0,AK126-AI126,0)</f>
        <v>314</v>
      </c>
      <c r="AM126" s="173" t="str">
        <f>IF(ISNUMBER(X126)=TRUE,AK126-X126,IF(X126="","",(AK126)-(MID(RIGHT(X126,10),4,2)&amp;"/"&amp;LEFT((RIGHT(X126,10)),2)&amp;"/"&amp;RIGHT(X126,4))))</f>
        <v/>
      </c>
      <c r="AN126" s="181" t="s">
        <v>704</v>
      </c>
      <c r="AO126" s="190" t="s">
        <v>708</v>
      </c>
      <c r="AP126" s="176">
        <v>10.163</v>
      </c>
      <c r="AQ126" s="176">
        <v>10.202999999999999</v>
      </c>
      <c r="AR126" s="176">
        <v>10.227999999999998</v>
      </c>
      <c r="AS126" s="176">
        <v>10.232999999999999</v>
      </c>
      <c r="AT126" s="173" t="str">
        <f>IF(ISNUMBER(U126)=TRUE,AK126-U126,IF(U126="","",(AK126)-(MID(RIGHT(U126,10),4,2)&amp;"/"&amp;LEFT((RIGHT(U126,10)),2)&amp;"/"&amp;RIGHT(U126,4))))</f>
        <v/>
      </c>
      <c r="AU126" s="173">
        <v>427</v>
      </c>
      <c r="AW126" s="142" t="s">
        <v>123</v>
      </c>
    </row>
    <row r="127" spans="2:63" s="142" customFormat="1" ht="21" customHeight="1" x14ac:dyDescent="0.25">
      <c r="B127" s="173" t="str">
        <f>IF(C127="HOLD RM","HOLD RM",IF(C127="BAL","WIP",IF(C127="HOLD SLT","HOLD SLT",IF(C127="MILL","RM",IF(C127="RE SLT","WIP",IF(C127="RM","RM",IF(C127="RM BAL","RM",IF(C127="RM SLT","RM",IF(C127="RR","WIP",IF(C127="SKP","WIP",IF(C127="SLT","WIP",IF(C127="CTL","WIP",IF(C127="RM SLT RUST","RM SLT RUST",0)))))))))))))&amp;"-"&amp;G127&amp;"/"&amp;IF(H127="2B","2B",IF(H127="NO.1","1D",IF(H127="FH","FH",0)))&amp;"-"&amp;IF(J127="",(TEXT(I127,"0.00")),TEXT(J127,"0.00"))&amp;"X"&amp;M127</f>
        <v>RM-J3/1D-2.40X620</v>
      </c>
      <c r="C127" s="173" t="s">
        <v>48</v>
      </c>
      <c r="D127" s="173" t="s">
        <v>48</v>
      </c>
      <c r="E127" s="190" t="s">
        <v>709</v>
      </c>
      <c r="F127" s="190" t="s">
        <v>710</v>
      </c>
      <c r="G127" s="173" t="s">
        <v>34</v>
      </c>
      <c r="H127" s="173" t="s">
        <v>127</v>
      </c>
      <c r="I127" s="174">
        <v>2.4</v>
      </c>
      <c r="J127" s="174"/>
      <c r="K127" s="174"/>
      <c r="L127" s="174"/>
      <c r="M127" s="191">
        <v>620</v>
      </c>
      <c r="N127" s="176">
        <v>10.186999999999999</v>
      </c>
      <c r="O127" s="176"/>
      <c r="P127" s="177"/>
      <c r="Q127" s="178"/>
      <c r="R127" s="179"/>
      <c r="S127" s="179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80"/>
      <c r="AE127" s="173" t="s">
        <v>69</v>
      </c>
      <c r="AF127" s="181" t="s">
        <v>248</v>
      </c>
      <c r="AG127" s="181" t="s">
        <v>678</v>
      </c>
      <c r="AH127" s="181">
        <v>44621</v>
      </c>
      <c r="AI127" s="181">
        <v>44644</v>
      </c>
      <c r="AJ127" s="181"/>
      <c r="AK127" s="181">
        <f ca="1">TODAY()</f>
        <v>44958</v>
      </c>
      <c r="AL127" s="173">
        <f ca="1">IF(AI127&lt;&gt;0,AK127-AI127,0)</f>
        <v>314</v>
      </c>
      <c r="AM127" s="173" t="str">
        <f>IF(ISNUMBER(X127)=TRUE,AK127-X127,IF(X127="","",(AK127)-(MID(RIGHT(X127,10),4,2)&amp;"/"&amp;LEFT((RIGHT(X127,10)),2)&amp;"/"&amp;RIGHT(X127,4))))</f>
        <v/>
      </c>
      <c r="AN127" s="181" t="s">
        <v>711</v>
      </c>
      <c r="AO127" s="190" t="s">
        <v>708</v>
      </c>
      <c r="AP127" s="176">
        <v>10.186999999999999</v>
      </c>
      <c r="AQ127" s="176">
        <v>10.227</v>
      </c>
      <c r="AR127" s="176">
        <v>10.251999999999999</v>
      </c>
      <c r="AS127" s="176">
        <v>10.257</v>
      </c>
      <c r="AT127" s="173" t="str">
        <f>IF(ISNUMBER(U127)=TRUE,AK127-U127,IF(U127="","",(AK127)-(MID(RIGHT(U127,10),4,2)&amp;"/"&amp;LEFT((RIGHT(U127,10)),2)&amp;"/"&amp;RIGHT(U127,4))))</f>
        <v/>
      </c>
      <c r="AU127" s="173">
        <v>427</v>
      </c>
      <c r="AW127" s="142" t="s">
        <v>123</v>
      </c>
    </row>
    <row r="128" spans="2:63" s="142" customFormat="1" ht="21" customHeight="1" x14ac:dyDescent="0.25">
      <c r="B128" s="173" t="str">
        <f>IF(C128="HOLD RM","HOLD RM",IF(C128="BAL","WIP",IF(C128="HOLD SLT","HOLD SLT",IF(C128="MILL","RM",IF(C128="RE SLT","WIP",IF(C128="RM","RM",IF(C128="RM BAL","RM",IF(C128="RM SLT","RM",IF(C128="RR","WIP",IF(C128="SKP","WIP",IF(C128="SLT","WIP",IF(C128="CTL","WIP",IF(C128="RM SLT RUST","RM SLT RUST",0)))))))))))))&amp;"-"&amp;G128&amp;"/"&amp;IF(H128="2B","2B",IF(H128="NO.1","1D",IF(H128="FH","FH",0)))&amp;"-"&amp;IF(J128="",(TEXT(I128,"0.00")),TEXT(J128,"0.00"))&amp;"X"&amp;M128</f>
        <v>RM-J3/1D-2.40X620</v>
      </c>
      <c r="C128" s="173" t="s">
        <v>48</v>
      </c>
      <c r="D128" s="173" t="s">
        <v>48</v>
      </c>
      <c r="E128" s="190" t="s">
        <v>712</v>
      </c>
      <c r="F128" s="190" t="s">
        <v>713</v>
      </c>
      <c r="G128" s="173" t="s">
        <v>34</v>
      </c>
      <c r="H128" s="173" t="s">
        <v>127</v>
      </c>
      <c r="I128" s="174">
        <v>2.4</v>
      </c>
      <c r="J128" s="174"/>
      <c r="K128" s="174"/>
      <c r="L128" s="174"/>
      <c r="M128" s="191">
        <v>620</v>
      </c>
      <c r="N128" s="176">
        <v>9.6460000000000008</v>
      </c>
      <c r="O128" s="176"/>
      <c r="P128" s="177"/>
      <c r="Q128" s="178"/>
      <c r="R128" s="179"/>
      <c r="S128" s="179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80"/>
      <c r="AE128" s="173" t="s">
        <v>69</v>
      </c>
      <c r="AF128" s="181" t="s">
        <v>248</v>
      </c>
      <c r="AG128" s="181" t="s">
        <v>678</v>
      </c>
      <c r="AH128" s="181">
        <v>44621</v>
      </c>
      <c r="AI128" s="181">
        <v>44644</v>
      </c>
      <c r="AJ128" s="181"/>
      <c r="AK128" s="181">
        <f ca="1">TODAY()</f>
        <v>44958</v>
      </c>
      <c r="AL128" s="173">
        <f ca="1">IF(AI128&lt;&gt;0,AK128-AI128,0)</f>
        <v>314</v>
      </c>
      <c r="AM128" s="173" t="str">
        <f>IF(ISNUMBER(X128)=TRUE,AK128-X128,IF(X128="","",(AK128)-(MID(RIGHT(X128,10),4,2)&amp;"/"&amp;LEFT((RIGHT(X128,10)),2)&amp;"/"&amp;RIGHT(X128,4))))</f>
        <v/>
      </c>
      <c r="AN128" s="181" t="s">
        <v>683</v>
      </c>
      <c r="AO128" s="190" t="s">
        <v>705</v>
      </c>
      <c r="AP128" s="176">
        <v>9.6460000000000008</v>
      </c>
      <c r="AQ128" s="176">
        <v>9.6859999999999999</v>
      </c>
      <c r="AR128" s="176">
        <v>9.7109999999999985</v>
      </c>
      <c r="AS128" s="176">
        <v>9.7159999999999993</v>
      </c>
      <c r="AT128" s="173" t="str">
        <f>IF(ISNUMBER(U128)=TRUE,AK128-U128,IF(U128="","",(AK128)-(MID(RIGHT(U128,10),4,2)&amp;"/"&amp;LEFT((RIGHT(U128,10)),2)&amp;"/"&amp;RIGHT(U128,4))))</f>
        <v/>
      </c>
      <c r="AU128" s="173">
        <v>427</v>
      </c>
      <c r="AW128" s="142" t="s">
        <v>123</v>
      </c>
    </row>
    <row r="129" spans="2:49" s="142" customFormat="1" ht="21" customHeight="1" x14ac:dyDescent="0.25">
      <c r="B129" s="173" t="str">
        <f>IF(C129="HOLD RM","HOLD RM",IF(C129="BAL","WIP",IF(C129="HOLD SLT","HOLD SLT",IF(C129="MILL","RM",IF(C129="RE SLT","WIP",IF(C129="RM","RM",IF(C129="RM BAL","RM",IF(C129="RM SLT","RM",IF(C129="RR","WIP",IF(C129="SKP","WIP",IF(C129="SLT","WIP",IF(C129="CTL","WIP",IF(C129="RM SLT RUST","RM SLT RUST",0)))))))))))))&amp;"-"&amp;G129&amp;"/"&amp;IF(H129="2B","2B",IF(H129="NO.1","1D",IF(H129="FH","FH",0)))&amp;"-"&amp;IF(J129="",(TEXT(I129,"0.00")),TEXT(J129,"0.00"))&amp;"X"&amp;M129</f>
        <v>WIP-J3/FH-1.42X620</v>
      </c>
      <c r="C129" s="173" t="s">
        <v>16</v>
      </c>
      <c r="D129" s="173" t="s">
        <v>16</v>
      </c>
      <c r="E129" s="190" t="s">
        <v>714</v>
      </c>
      <c r="F129" s="190" t="s">
        <v>715</v>
      </c>
      <c r="G129" s="173" t="s">
        <v>34</v>
      </c>
      <c r="H129" s="173" t="s">
        <v>70</v>
      </c>
      <c r="I129" s="174">
        <v>2.4</v>
      </c>
      <c r="J129" s="174">
        <v>1.42</v>
      </c>
      <c r="K129" s="174"/>
      <c r="L129" s="174"/>
      <c r="M129" s="191">
        <v>620</v>
      </c>
      <c r="N129" s="176">
        <v>9.609</v>
      </c>
      <c r="O129" s="176" t="s">
        <v>114</v>
      </c>
      <c r="P129" s="177"/>
      <c r="Q129" s="178" t="s">
        <v>361</v>
      </c>
      <c r="R129" s="179"/>
      <c r="S129" s="179"/>
      <c r="T129" s="177">
        <v>44907</v>
      </c>
      <c r="U129" s="177"/>
      <c r="V129" s="177"/>
      <c r="W129" s="177">
        <v>44909</v>
      </c>
      <c r="X129" s="177"/>
      <c r="Y129" s="177"/>
      <c r="Z129" s="177"/>
      <c r="AA129" s="177"/>
      <c r="AB129" s="177"/>
      <c r="AC129" s="177"/>
      <c r="AD129" s="180"/>
      <c r="AE129" s="173" t="s">
        <v>69</v>
      </c>
      <c r="AF129" s="181" t="s">
        <v>248</v>
      </c>
      <c r="AG129" s="181" t="s">
        <v>678</v>
      </c>
      <c r="AH129" s="181">
        <v>44621</v>
      </c>
      <c r="AI129" s="181">
        <v>44644</v>
      </c>
      <c r="AJ129" s="181"/>
      <c r="AK129" s="181">
        <f ca="1">TODAY()</f>
        <v>44958</v>
      </c>
      <c r="AL129" s="173">
        <f ca="1">IF(AI129&lt;&gt;0,AK129-AI129,0)</f>
        <v>314</v>
      </c>
      <c r="AM129" s="173" t="str">
        <f>IF(ISNUMBER(X129)=TRUE,AK129-X129,IF(X129="","",(AK129)-(MID(RIGHT(X129,10),4,2)&amp;"/"&amp;LEFT((RIGHT(X129,10)),2)&amp;"/"&amp;RIGHT(X129,4))))</f>
        <v/>
      </c>
      <c r="AN129" s="181" t="s">
        <v>679</v>
      </c>
      <c r="AO129" s="190" t="s">
        <v>705</v>
      </c>
      <c r="AP129" s="176">
        <v>9.609</v>
      </c>
      <c r="AQ129" s="176">
        <v>9.6489999999999991</v>
      </c>
      <c r="AR129" s="176">
        <v>9.6739999999999977</v>
      </c>
      <c r="AS129" s="176">
        <v>9.6789999999999985</v>
      </c>
      <c r="AT129" s="173" t="str">
        <f>IF(ISNUMBER(U129)=TRUE,AK129-U129,IF(U129="","",(AK129)-(MID(RIGHT(U129,10),4,2)&amp;"/"&amp;LEFT((RIGHT(U129,10)),2)&amp;"/"&amp;RIGHT(U129,4))))</f>
        <v/>
      </c>
      <c r="AU129" s="173">
        <v>427</v>
      </c>
      <c r="AW129" s="142" t="s">
        <v>123</v>
      </c>
    </row>
    <row r="130" spans="2:49" s="142" customFormat="1" ht="21" customHeight="1" x14ac:dyDescent="0.25">
      <c r="B130" s="173" t="str">
        <f>IF(C130="HOLD RM","HOLD RM",IF(C130="BAL","WIP",IF(C130="HOLD SLT","HOLD SLT",IF(C130="MILL","RM",IF(C130="RE SLT","WIP",IF(C130="RM","RM",IF(C130="RM BAL","RM",IF(C130="RM SLT","RM",IF(C130="RR","WIP",IF(C130="SKP","WIP",IF(C130="SLT","WIP",IF(C130="CTL","WIP",IF(C130="RM SLT RUST","RM SLT RUST",0)))))))))))))&amp;"-"&amp;G130&amp;"/"&amp;IF(H130="2B","2B",IF(H130="NO.1","1D",IF(H130="FH","FH",0)))&amp;"-"&amp;IF(J130="",(TEXT(I130,"0.00")),TEXT(J130,"0.00"))&amp;"X"&amp;M130</f>
        <v>RM-J3/1D-2.40X620</v>
      </c>
      <c r="C130" s="173" t="s">
        <v>48</v>
      </c>
      <c r="D130" s="173" t="s">
        <v>48</v>
      </c>
      <c r="E130" s="190" t="s">
        <v>716</v>
      </c>
      <c r="F130" s="190" t="s">
        <v>717</v>
      </c>
      <c r="G130" s="173" t="s">
        <v>34</v>
      </c>
      <c r="H130" s="173" t="s">
        <v>127</v>
      </c>
      <c r="I130" s="174">
        <v>2.4</v>
      </c>
      <c r="J130" s="174"/>
      <c r="K130" s="174"/>
      <c r="L130" s="174"/>
      <c r="M130" s="191">
        <v>620</v>
      </c>
      <c r="N130" s="176">
        <v>9.6769999999999996</v>
      </c>
      <c r="O130" s="176"/>
      <c r="P130" s="177"/>
      <c r="Q130" s="178"/>
      <c r="R130" s="179"/>
      <c r="S130" s="179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80"/>
      <c r="AE130" s="173" t="s">
        <v>69</v>
      </c>
      <c r="AF130" s="181" t="s">
        <v>248</v>
      </c>
      <c r="AG130" s="181" t="s">
        <v>678</v>
      </c>
      <c r="AH130" s="181">
        <v>44621</v>
      </c>
      <c r="AI130" s="181">
        <v>44644</v>
      </c>
      <c r="AJ130" s="181"/>
      <c r="AK130" s="181">
        <f ca="1">TODAY()</f>
        <v>44958</v>
      </c>
      <c r="AL130" s="173">
        <f ca="1">IF(AI130&lt;&gt;0,AK130-AI130,0)</f>
        <v>314</v>
      </c>
      <c r="AM130" s="173" t="str">
        <f>IF(ISNUMBER(X130)=TRUE,AK130-X130,IF(X130="","",(AK130)-(MID(RIGHT(X130,10),4,2)&amp;"/"&amp;LEFT((RIGHT(X130,10)),2)&amp;"/"&amp;RIGHT(X130,4))))</f>
        <v/>
      </c>
      <c r="AN130" s="181" t="s">
        <v>691</v>
      </c>
      <c r="AO130" s="190" t="s">
        <v>718</v>
      </c>
      <c r="AP130" s="176">
        <v>9.6769999999999996</v>
      </c>
      <c r="AQ130" s="176">
        <v>9.7170000000000005</v>
      </c>
      <c r="AR130" s="176">
        <v>9.7419999999999991</v>
      </c>
      <c r="AS130" s="176">
        <v>9.7469999999999999</v>
      </c>
      <c r="AT130" s="173" t="str">
        <f>IF(ISNUMBER(U130)=TRUE,AK130-U130,IF(U130="","",(AK130)-(MID(RIGHT(U130,10),4,2)&amp;"/"&amp;LEFT((RIGHT(U130,10)),2)&amp;"/"&amp;RIGHT(U130,4))))</f>
        <v/>
      </c>
      <c r="AU130" s="173">
        <v>427</v>
      </c>
      <c r="AW130" s="142" t="s">
        <v>123</v>
      </c>
    </row>
    <row r="131" spans="2:49" s="142" customFormat="1" ht="21" customHeight="1" x14ac:dyDescent="0.25">
      <c r="B131" s="173" t="str">
        <f>IF(C131="HOLD RM","HOLD RM",IF(C131="BAL","WIP",IF(C131="HOLD SLT","HOLD SLT",IF(C131="MILL","RM",IF(C131="RE SLT","WIP",IF(C131="RM","RM",IF(C131="RM BAL","RM",IF(C131="RM SLT","RM",IF(C131="RR","WIP",IF(C131="SKP","WIP",IF(C131="SLT","WIP",IF(C131="CTL","WIP",IF(C131="RM SLT RUST","RM SLT RUST",0)))))))))))))&amp;"-"&amp;G131&amp;"/"&amp;IF(H131="2B","2B",IF(H131="NO.1","1D",IF(H131="FH","FH",0)))&amp;"-"&amp;IF(J131="",(TEXT(I131,"0.00")),TEXT(J131,"0.00"))&amp;"X"&amp;M131</f>
        <v>RM-J3/1D-2.40X620</v>
      </c>
      <c r="C131" s="173" t="s">
        <v>48</v>
      </c>
      <c r="D131" s="173" t="s">
        <v>48</v>
      </c>
      <c r="E131" s="190" t="s">
        <v>719</v>
      </c>
      <c r="F131" s="190" t="s">
        <v>720</v>
      </c>
      <c r="G131" s="173" t="s">
        <v>34</v>
      </c>
      <c r="H131" s="173" t="s">
        <v>127</v>
      </c>
      <c r="I131" s="174">
        <v>2.4</v>
      </c>
      <c r="J131" s="174"/>
      <c r="K131" s="174"/>
      <c r="L131" s="174"/>
      <c r="M131" s="191">
        <v>620</v>
      </c>
      <c r="N131" s="176">
        <v>9.8620000000000001</v>
      </c>
      <c r="O131" s="176"/>
      <c r="P131" s="177"/>
      <c r="Q131" s="178"/>
      <c r="R131" s="179"/>
      <c r="S131" s="179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80"/>
      <c r="AE131" s="173" t="s">
        <v>69</v>
      </c>
      <c r="AF131" s="181" t="s">
        <v>248</v>
      </c>
      <c r="AG131" s="181" t="s">
        <v>678</v>
      </c>
      <c r="AH131" s="181">
        <v>44621</v>
      </c>
      <c r="AI131" s="181">
        <v>44644</v>
      </c>
      <c r="AJ131" s="181"/>
      <c r="AK131" s="181">
        <f ca="1">TODAY()</f>
        <v>44958</v>
      </c>
      <c r="AL131" s="173">
        <f ca="1">IF(AI131&lt;&gt;0,AK131-AI131,0)</f>
        <v>314</v>
      </c>
      <c r="AM131" s="173" t="str">
        <f>IF(ISNUMBER(X131)=TRUE,AK131-X131,IF(X131="","",(AK131)-(MID(RIGHT(X131,10),4,2)&amp;"/"&amp;LEFT((RIGHT(X131,10)),2)&amp;"/"&amp;RIGHT(X131,4))))</f>
        <v/>
      </c>
      <c r="AN131" s="181" t="s">
        <v>698</v>
      </c>
      <c r="AO131" s="190" t="s">
        <v>721</v>
      </c>
      <c r="AP131" s="176">
        <v>9.8620000000000001</v>
      </c>
      <c r="AQ131" s="176">
        <v>9.9019999999999992</v>
      </c>
      <c r="AR131" s="176">
        <v>9.9269999999999978</v>
      </c>
      <c r="AS131" s="176">
        <v>9.9319999999999986</v>
      </c>
      <c r="AT131" s="173" t="str">
        <f>IF(ISNUMBER(U131)=TRUE,AK131-U131,IF(U131="","",(AK131)-(MID(RIGHT(U131,10),4,2)&amp;"/"&amp;LEFT((RIGHT(U131,10)),2)&amp;"/"&amp;RIGHT(U131,4))))</f>
        <v/>
      </c>
      <c r="AU131" s="173">
        <v>427</v>
      </c>
      <c r="AW131" s="142" t="s">
        <v>123</v>
      </c>
    </row>
    <row r="132" spans="2:49" s="142" customFormat="1" ht="21" customHeight="1" x14ac:dyDescent="0.25">
      <c r="B132" s="173" t="str">
        <f>IF(C132="HOLD RM","HOLD RM",IF(C132="BAL","WIP",IF(C132="HOLD SLT","HOLD SLT",IF(C132="MILL","RM",IF(C132="RE SLT","WIP",IF(C132="RM","RM",IF(C132="RM BAL","RM",IF(C132="RM SLT","RM",IF(C132="RR","WIP",IF(C132="SKP","WIP",IF(C132="SLT","WIP",IF(C132="CTL","WIP",IF(C132="RM SLT RUST","RM SLT RUST",0)))))))))))))&amp;"-"&amp;G132&amp;"/"&amp;IF(H132="2B","2B",IF(H132="NO.1","1D",IF(H132="FH","FH",0)))&amp;"-"&amp;IF(J132="",(TEXT(I132,"0.00")),TEXT(J132,"0.00"))&amp;"X"&amp;M132</f>
        <v>RM-J3/1D-2.40X620</v>
      </c>
      <c r="C132" s="173" t="s">
        <v>48</v>
      </c>
      <c r="D132" s="173" t="s">
        <v>48</v>
      </c>
      <c r="E132" s="190" t="s">
        <v>722</v>
      </c>
      <c r="F132" s="190" t="s">
        <v>723</v>
      </c>
      <c r="G132" s="173" t="s">
        <v>34</v>
      </c>
      <c r="H132" s="173" t="s">
        <v>127</v>
      </c>
      <c r="I132" s="174">
        <v>2.4</v>
      </c>
      <c r="J132" s="174"/>
      <c r="K132" s="174"/>
      <c r="L132" s="174"/>
      <c r="M132" s="191">
        <v>620</v>
      </c>
      <c r="N132" s="176">
        <v>9.8179999999999996</v>
      </c>
      <c r="O132" s="176"/>
      <c r="P132" s="177"/>
      <c r="Q132" s="178"/>
      <c r="R132" s="179"/>
      <c r="S132" s="179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80"/>
      <c r="AE132" s="173" t="s">
        <v>69</v>
      </c>
      <c r="AF132" s="181" t="s">
        <v>248</v>
      </c>
      <c r="AG132" s="181" t="s">
        <v>678</v>
      </c>
      <c r="AH132" s="181">
        <v>44621</v>
      </c>
      <c r="AI132" s="181">
        <v>44644</v>
      </c>
      <c r="AJ132" s="181"/>
      <c r="AK132" s="181">
        <f ca="1">TODAY()</f>
        <v>44958</v>
      </c>
      <c r="AL132" s="173">
        <f ca="1">IF(AI132&lt;&gt;0,AK132-AI132,0)</f>
        <v>314</v>
      </c>
      <c r="AM132" s="173" t="str">
        <f>IF(ISNUMBER(X132)=TRUE,AK132-X132,IF(X132="","",(AK132)-(MID(RIGHT(X132,10),4,2)&amp;"/"&amp;LEFT((RIGHT(X132,10)),2)&amp;"/"&amp;RIGHT(X132,4))))</f>
        <v/>
      </c>
      <c r="AN132" s="181" t="s">
        <v>687</v>
      </c>
      <c r="AO132" s="190" t="s">
        <v>721</v>
      </c>
      <c r="AP132" s="176">
        <v>9.8179999999999996</v>
      </c>
      <c r="AQ132" s="176">
        <v>9.8580000000000005</v>
      </c>
      <c r="AR132" s="176">
        <v>9.8829999999999991</v>
      </c>
      <c r="AS132" s="176">
        <v>9.8879999999999999</v>
      </c>
      <c r="AT132" s="173" t="str">
        <f>IF(ISNUMBER(U132)=TRUE,AK132-U132,IF(U132="","",(AK132)-(MID(RIGHT(U132,10),4,2)&amp;"/"&amp;LEFT((RIGHT(U132,10)),2)&amp;"/"&amp;RIGHT(U132,4))))</f>
        <v/>
      </c>
      <c r="AU132" s="173">
        <v>427</v>
      </c>
      <c r="AW132" s="142" t="s">
        <v>123</v>
      </c>
    </row>
    <row r="133" spans="2:49" s="142" customFormat="1" ht="21" customHeight="1" x14ac:dyDescent="0.25">
      <c r="B133" s="173" t="str">
        <f>IF(C133="HOLD RM","HOLD RM",IF(C133="BAL","WIP",IF(C133="HOLD SLT","HOLD SLT",IF(C133="MILL","RM",IF(C133="RE SLT","WIP",IF(C133="RM","RM",IF(C133="RM BAL","RM",IF(C133="RM SLT","RM",IF(C133="RR","WIP",IF(C133="SKP","WIP",IF(C133="SLT","WIP",IF(C133="CTL","WIP",IF(C133="RM SLT RUST","RM SLT RUST",0)))))))))))))&amp;"-"&amp;G133&amp;"/"&amp;IF(H133="2B","2B",IF(H133="NO.1","1D",IF(H133="FH","FH",0)))&amp;"-"&amp;IF(J133="",(TEXT(I133,"0.00")),TEXT(J133,"0.00"))&amp;"X"&amp;M133</f>
        <v>RM-J3/1D-2.20X620</v>
      </c>
      <c r="C133" s="173" t="s">
        <v>48</v>
      </c>
      <c r="D133" s="173" t="s">
        <v>48</v>
      </c>
      <c r="E133" s="190" t="s">
        <v>724</v>
      </c>
      <c r="F133" s="190" t="s">
        <v>725</v>
      </c>
      <c r="G133" s="173" t="s">
        <v>34</v>
      </c>
      <c r="H133" s="173" t="s">
        <v>127</v>
      </c>
      <c r="I133" s="174">
        <v>2.2000000000000002</v>
      </c>
      <c r="J133" s="174"/>
      <c r="K133" s="174"/>
      <c r="L133" s="174"/>
      <c r="M133" s="191">
        <v>620</v>
      </c>
      <c r="N133" s="176">
        <v>5.1950000000000003</v>
      </c>
      <c r="O133" s="176"/>
      <c r="P133" s="177"/>
      <c r="Q133" s="178"/>
      <c r="R133" s="179"/>
      <c r="S133" s="179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80"/>
      <c r="AE133" s="173" t="s">
        <v>69</v>
      </c>
      <c r="AF133" s="181" t="s">
        <v>248</v>
      </c>
      <c r="AG133" s="181" t="s">
        <v>678</v>
      </c>
      <c r="AH133" s="181">
        <v>44621</v>
      </c>
      <c r="AI133" s="181">
        <v>44644</v>
      </c>
      <c r="AJ133" s="181"/>
      <c r="AK133" s="181">
        <f ca="1">TODAY()</f>
        <v>44958</v>
      </c>
      <c r="AL133" s="173">
        <f ca="1">IF(AI133&lt;&gt;0,AK133-AI133,0)</f>
        <v>314</v>
      </c>
      <c r="AM133" s="173" t="str">
        <f>IF(ISNUMBER(X133)=TRUE,AK133-X133,IF(X133="","",(AK133)-(MID(RIGHT(X133,10),4,2)&amp;"/"&amp;LEFT((RIGHT(X133,10)),2)&amp;"/"&amp;RIGHT(X133,4))))</f>
        <v/>
      </c>
      <c r="AN133" s="181" t="s">
        <v>704</v>
      </c>
      <c r="AO133" s="190" t="s">
        <v>708</v>
      </c>
      <c r="AP133" s="176">
        <v>5.1950000000000003</v>
      </c>
      <c r="AQ133" s="176">
        <v>5.2350000000000003</v>
      </c>
      <c r="AR133" s="176">
        <v>5.2600000000000007</v>
      </c>
      <c r="AS133" s="176">
        <v>5.2650000000000006</v>
      </c>
      <c r="AT133" s="173" t="str">
        <f>IF(ISNUMBER(U133)=TRUE,AK133-U133,IF(U133="","",(AK133)-(MID(RIGHT(U133,10),4,2)&amp;"/"&amp;LEFT((RIGHT(U133,10)),2)&amp;"/"&amp;RIGHT(U133,4))))</f>
        <v/>
      </c>
      <c r="AU133" s="173">
        <v>427</v>
      </c>
      <c r="AW133" s="142" t="s">
        <v>123</v>
      </c>
    </row>
    <row r="134" spans="2:49" s="142" customFormat="1" ht="21" customHeight="1" x14ac:dyDescent="0.25">
      <c r="B134" s="173" t="str">
        <f>IF(C134="HOLD RM","HOLD RM",IF(C134="BAL","WIP",IF(C134="HOLD SLT","HOLD SLT",IF(C134="MILL","RM",IF(C134="RE SLT","WIP",IF(C134="RM","RM",IF(C134="RM BAL","RM",IF(C134="RM SLT","RM",IF(C134="RR","WIP",IF(C134="SKP","WIP",IF(C134="SLT","WIP",IF(C134="CTL","WIP",IF(C134="RM SLT RUST","RM SLT RUST",0)))))))))))))&amp;"-"&amp;G134&amp;"/"&amp;IF(H134="2B","2B",IF(H134="NO.1","1D",IF(H134="FH","FH",0)))&amp;"-"&amp;IF(J134="",(TEXT(I134,"0.00")),TEXT(J134,"0.00"))&amp;"X"&amp;M134</f>
        <v>RM-J3/1D-2.20X620</v>
      </c>
      <c r="C134" s="173" t="s">
        <v>48</v>
      </c>
      <c r="D134" s="173" t="s">
        <v>48</v>
      </c>
      <c r="E134" s="190" t="s">
        <v>726</v>
      </c>
      <c r="F134" s="190" t="s">
        <v>727</v>
      </c>
      <c r="G134" s="173" t="s">
        <v>34</v>
      </c>
      <c r="H134" s="173" t="s">
        <v>127</v>
      </c>
      <c r="I134" s="174">
        <v>2.2000000000000002</v>
      </c>
      <c r="J134" s="174"/>
      <c r="K134" s="174"/>
      <c r="L134" s="174"/>
      <c r="M134" s="191">
        <v>620</v>
      </c>
      <c r="N134" s="176">
        <v>5.1740000000000004</v>
      </c>
      <c r="O134" s="176"/>
      <c r="P134" s="177"/>
      <c r="Q134" s="178"/>
      <c r="R134" s="179"/>
      <c r="S134" s="179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80"/>
      <c r="AE134" s="173" t="s">
        <v>69</v>
      </c>
      <c r="AF134" s="181" t="s">
        <v>248</v>
      </c>
      <c r="AG134" s="181" t="s">
        <v>678</v>
      </c>
      <c r="AH134" s="181">
        <v>44621</v>
      </c>
      <c r="AI134" s="181">
        <v>44644</v>
      </c>
      <c r="AJ134" s="181"/>
      <c r="AK134" s="181">
        <f ca="1">TODAY()</f>
        <v>44958</v>
      </c>
      <c r="AL134" s="173">
        <f ca="1">IF(AI134&lt;&gt;0,AK134-AI134,0)</f>
        <v>314</v>
      </c>
      <c r="AM134" s="173" t="str">
        <f>IF(ISNUMBER(X134)=TRUE,AK134-X134,IF(X134="","",(AK134)-(MID(RIGHT(X134,10),4,2)&amp;"/"&amp;LEFT((RIGHT(X134,10)),2)&amp;"/"&amp;RIGHT(X134,4))))</f>
        <v/>
      </c>
      <c r="AN134" s="181" t="s">
        <v>711</v>
      </c>
      <c r="AO134" s="190" t="s">
        <v>688</v>
      </c>
      <c r="AP134" s="176">
        <v>5.1740000000000004</v>
      </c>
      <c r="AQ134" s="176">
        <v>5.2140000000000004</v>
      </c>
      <c r="AR134" s="176">
        <v>5.2390000000000008</v>
      </c>
      <c r="AS134" s="176">
        <v>5.2440000000000007</v>
      </c>
      <c r="AT134" s="173" t="str">
        <f>IF(ISNUMBER(U134)=TRUE,AK134-U134,IF(U134="","",(AK134)-(MID(RIGHT(U134,10),4,2)&amp;"/"&amp;LEFT((RIGHT(U134,10)),2)&amp;"/"&amp;RIGHT(U134,4))))</f>
        <v/>
      </c>
      <c r="AU134" s="173">
        <v>427</v>
      </c>
      <c r="AW134" s="142" t="s">
        <v>123</v>
      </c>
    </row>
    <row r="135" spans="2:49" s="142" customFormat="1" ht="21" customHeight="1" x14ac:dyDescent="0.25">
      <c r="B135" s="173" t="str">
        <f>IF(C135="HOLD RM","HOLD RM",IF(C135="BAL","WIP",IF(C135="HOLD SLT","HOLD SLT",IF(C135="MILL","RM",IF(C135="RE SLT","WIP",IF(C135="RM","RM",IF(C135="RM BAL","RM",IF(C135="RM SLT","RM",IF(C135="RR","WIP",IF(C135="SKP","WIP",IF(C135="SLT","WIP",IF(C135="CTL","WIP",IF(C135="RM SLT RUST","RM SLT RUST",0)))))))))))))&amp;"-"&amp;G135&amp;"/"&amp;IF(H135="2B","2B",IF(H135="NO.1","1D",IF(H135="FH","FH",0)))&amp;"-"&amp;IF(J135="",(TEXT(I135,"0.00")),TEXT(J135,"0.00"))&amp;"X"&amp;M135</f>
        <v>RM-J3/1D-2.40X620</v>
      </c>
      <c r="C135" s="173" t="s">
        <v>48</v>
      </c>
      <c r="D135" s="173" t="s">
        <v>48</v>
      </c>
      <c r="E135" s="190" t="s">
        <v>728</v>
      </c>
      <c r="F135" s="190" t="s">
        <v>729</v>
      </c>
      <c r="G135" s="173" t="s">
        <v>34</v>
      </c>
      <c r="H135" s="173" t="s">
        <v>127</v>
      </c>
      <c r="I135" s="174">
        <v>2.4</v>
      </c>
      <c r="J135" s="174"/>
      <c r="K135" s="174"/>
      <c r="L135" s="174"/>
      <c r="M135" s="191">
        <v>620</v>
      </c>
      <c r="N135" s="176">
        <v>12.101000000000001</v>
      </c>
      <c r="O135" s="176"/>
      <c r="P135" s="177"/>
      <c r="Q135" s="178"/>
      <c r="R135" s="179"/>
      <c r="S135" s="179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80"/>
      <c r="AE135" s="173" t="s">
        <v>69</v>
      </c>
      <c r="AF135" s="181" t="s">
        <v>248</v>
      </c>
      <c r="AG135" s="181" t="s">
        <v>678</v>
      </c>
      <c r="AH135" s="181">
        <v>44621</v>
      </c>
      <c r="AI135" s="181">
        <v>44644</v>
      </c>
      <c r="AJ135" s="181"/>
      <c r="AK135" s="181">
        <f ca="1">TODAY()</f>
        <v>44958</v>
      </c>
      <c r="AL135" s="173">
        <f ca="1">IF(AI135&lt;&gt;0,AK135-AI135,0)</f>
        <v>314</v>
      </c>
      <c r="AM135" s="173" t="str">
        <f>IF(ISNUMBER(X135)=TRUE,AK135-X135,IF(X135="","",(AK135)-(MID(RIGHT(X135,10),4,2)&amp;"/"&amp;LEFT((RIGHT(X135,10)),2)&amp;"/"&amp;RIGHT(X135,4))))</f>
        <v/>
      </c>
      <c r="AN135" s="181" t="s">
        <v>730</v>
      </c>
      <c r="AO135" s="190" t="s">
        <v>688</v>
      </c>
      <c r="AP135" s="176">
        <v>12.101000000000001</v>
      </c>
      <c r="AQ135" s="176">
        <v>12.141</v>
      </c>
      <c r="AR135" s="176">
        <v>12.165999999999999</v>
      </c>
      <c r="AS135" s="176">
        <v>12.170999999999999</v>
      </c>
      <c r="AT135" s="173" t="str">
        <f>IF(ISNUMBER(U135)=TRUE,AK135-U135,IF(U135="","",(AK135)-(MID(RIGHT(U135,10),4,2)&amp;"/"&amp;LEFT((RIGHT(U135,10)),2)&amp;"/"&amp;RIGHT(U135,4))))</f>
        <v/>
      </c>
      <c r="AU135" s="173">
        <v>427</v>
      </c>
      <c r="AW135" s="142" t="s">
        <v>123</v>
      </c>
    </row>
    <row r="136" spans="2:49" s="142" customFormat="1" ht="21" customHeight="1" x14ac:dyDescent="0.25">
      <c r="B136" s="173" t="str">
        <f>IF(C136="HOLD RM","HOLD RM",IF(C136="BAL","WIP",IF(C136="HOLD SLT","HOLD SLT",IF(C136="MILL","RM",IF(C136="RE SLT","WIP",IF(C136="RM","RM",IF(C136="RM BAL","RM",IF(C136="RM SLT","RM",IF(C136="RR","WIP",IF(C136="SKP","WIP",IF(C136="SLT","WIP",IF(C136="CTL","WIP",IF(C136="RM SLT RUST","RM SLT RUST",0)))))))))))))&amp;"-"&amp;G136&amp;"/"&amp;IF(H136="2B","2B",IF(H136="NO.1","1D",IF(H136="FH","FH",0)))&amp;"-"&amp;IF(J136="",(TEXT(I136,"0.00")),TEXT(J136,"0.00"))&amp;"X"&amp;M136</f>
        <v>RM-J3/1D-2.40X620</v>
      </c>
      <c r="C136" s="173" t="s">
        <v>48</v>
      </c>
      <c r="D136" s="173" t="s">
        <v>48</v>
      </c>
      <c r="E136" s="190" t="s">
        <v>731</v>
      </c>
      <c r="F136" s="190" t="s">
        <v>732</v>
      </c>
      <c r="G136" s="173" t="s">
        <v>34</v>
      </c>
      <c r="H136" s="173" t="s">
        <v>127</v>
      </c>
      <c r="I136" s="174">
        <v>2.4</v>
      </c>
      <c r="J136" s="174"/>
      <c r="K136" s="174"/>
      <c r="L136" s="174"/>
      <c r="M136" s="191">
        <v>620</v>
      </c>
      <c r="N136" s="176">
        <v>5.0780000000000003</v>
      </c>
      <c r="O136" s="176"/>
      <c r="P136" s="177"/>
      <c r="Q136" s="178"/>
      <c r="R136" s="179"/>
      <c r="S136" s="179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80"/>
      <c r="AE136" s="173" t="s">
        <v>69</v>
      </c>
      <c r="AF136" s="181" t="s">
        <v>248</v>
      </c>
      <c r="AG136" s="181" t="s">
        <v>678</v>
      </c>
      <c r="AH136" s="181">
        <v>44621</v>
      </c>
      <c r="AI136" s="181">
        <v>44644</v>
      </c>
      <c r="AJ136" s="181"/>
      <c r="AK136" s="181">
        <f ca="1">TODAY()</f>
        <v>44958</v>
      </c>
      <c r="AL136" s="173">
        <f ca="1">IF(AI136&lt;&gt;0,AK136-AI136,0)</f>
        <v>314</v>
      </c>
      <c r="AM136" s="173" t="str">
        <f>IF(ISNUMBER(X136)=TRUE,AK136-X136,IF(X136="","",(AK136)-(MID(RIGHT(X136,10),4,2)&amp;"/"&amp;LEFT((RIGHT(X136,10)),2)&amp;"/"&amp;RIGHT(X136,4))))</f>
        <v/>
      </c>
      <c r="AN136" s="181" t="s">
        <v>733</v>
      </c>
      <c r="AO136" s="190" t="s">
        <v>734</v>
      </c>
      <c r="AP136" s="176">
        <v>5.0780000000000003</v>
      </c>
      <c r="AQ136" s="176">
        <v>5.1180000000000003</v>
      </c>
      <c r="AR136" s="176">
        <v>5.1430000000000007</v>
      </c>
      <c r="AS136" s="176">
        <v>5.1480000000000006</v>
      </c>
      <c r="AT136" s="173" t="str">
        <f>IF(ISNUMBER(U136)=TRUE,AK136-U136,IF(U136="","",(AK136)-(MID(RIGHT(U136,10),4,2)&amp;"/"&amp;LEFT((RIGHT(U136,10)),2)&amp;"/"&amp;RIGHT(U136,4))))</f>
        <v/>
      </c>
      <c r="AU136" s="173">
        <v>427</v>
      </c>
      <c r="AW136" s="142" t="s">
        <v>123</v>
      </c>
    </row>
    <row r="137" spans="2:49" s="142" customFormat="1" ht="21" customHeight="1" x14ac:dyDescent="0.25">
      <c r="B137" s="173" t="str">
        <f>IF(C137="HOLD RM","HOLD RM",IF(C137="BAL","WIP",IF(C137="HOLD SLT","HOLD SLT",IF(C137="MILL","RM",IF(C137="RE SLT","WIP",IF(C137="RM","RM",IF(C137="RM BAL","RM",IF(C137="RM SLT","RM",IF(C137="RR","WIP",IF(C137="SKP","WIP",IF(C137="SLT","WIP",IF(C137="CTL","WIP",IF(C137="RM SLT RUST","RM SLT RUST",0)))))))))))))&amp;"-"&amp;G137&amp;"/"&amp;IF(H137="2B","2B",IF(H137="NO.1","1D",IF(H137="FH","FH",0)))&amp;"-"&amp;IF(J137="",(TEXT(I137,"0.00")),TEXT(J137,"0.00"))&amp;"X"&amp;M137</f>
        <v>RM-J3/1D-2.40X620</v>
      </c>
      <c r="C137" s="173" t="s">
        <v>48</v>
      </c>
      <c r="D137" s="173" t="s">
        <v>48</v>
      </c>
      <c r="E137" s="190" t="s">
        <v>735</v>
      </c>
      <c r="F137" s="190" t="s">
        <v>736</v>
      </c>
      <c r="G137" s="173" t="s">
        <v>34</v>
      </c>
      <c r="H137" s="173" t="s">
        <v>127</v>
      </c>
      <c r="I137" s="174">
        <v>2.4</v>
      </c>
      <c r="J137" s="174"/>
      <c r="K137" s="174"/>
      <c r="L137" s="174"/>
      <c r="M137" s="191">
        <v>620</v>
      </c>
      <c r="N137" s="176">
        <v>5.14</v>
      </c>
      <c r="O137" s="176"/>
      <c r="P137" s="177"/>
      <c r="Q137" s="178"/>
      <c r="R137" s="179"/>
      <c r="S137" s="179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80"/>
      <c r="AE137" s="173" t="s">
        <v>69</v>
      </c>
      <c r="AF137" s="181" t="s">
        <v>248</v>
      </c>
      <c r="AG137" s="181" t="s">
        <v>678</v>
      </c>
      <c r="AH137" s="181">
        <v>44621</v>
      </c>
      <c r="AI137" s="181">
        <v>44644</v>
      </c>
      <c r="AJ137" s="181"/>
      <c r="AK137" s="181">
        <f ca="1">TODAY()</f>
        <v>44958</v>
      </c>
      <c r="AL137" s="173">
        <f ca="1">IF(AI137&lt;&gt;0,AK137-AI137,0)</f>
        <v>314</v>
      </c>
      <c r="AM137" s="173" t="str">
        <f>IF(ISNUMBER(X137)=TRUE,AK137-X137,IF(X137="","",(AK137)-(MID(RIGHT(X137,10),4,2)&amp;"/"&amp;LEFT((RIGHT(X137,10)),2)&amp;"/"&amp;RIGHT(X137,4))))</f>
        <v/>
      </c>
      <c r="AN137" s="181" t="s">
        <v>679</v>
      </c>
      <c r="AO137" s="190" t="s">
        <v>734</v>
      </c>
      <c r="AP137" s="176">
        <v>5.14</v>
      </c>
      <c r="AQ137" s="176">
        <v>5.18</v>
      </c>
      <c r="AR137" s="176">
        <v>5.2050000000000001</v>
      </c>
      <c r="AS137" s="176">
        <v>5.21</v>
      </c>
      <c r="AT137" s="173" t="str">
        <f>IF(ISNUMBER(U137)=TRUE,AK137-U137,IF(U137="","",(AK137)-(MID(RIGHT(U137,10),4,2)&amp;"/"&amp;LEFT((RIGHT(U137,10)),2)&amp;"/"&amp;RIGHT(U137,4))))</f>
        <v/>
      </c>
      <c r="AU137" s="173">
        <v>427</v>
      </c>
      <c r="AW137" s="142" t="s">
        <v>123</v>
      </c>
    </row>
    <row r="138" spans="2:49" s="142" customFormat="1" ht="21" customHeight="1" x14ac:dyDescent="0.25">
      <c r="B138" s="173" t="str">
        <f>IF(C138="HOLD RM","HOLD RM",IF(C138="BAL","WIP",IF(C138="HOLD SLT","HOLD SLT",IF(C138="MILL","RM",IF(C138="RE SLT","WIP",IF(C138="RM","RM",IF(C138="RM BAL","RM",IF(C138="RM SLT","RM",IF(C138="RR","WIP",IF(C138="SKP","WIP",IF(C138="SLT","WIP",IF(C138="CTL","WIP",IF(C138="RM SLT RUST","RM SLT RUST",0)))))))))))))&amp;"-"&amp;G138&amp;"/"&amp;IF(H138="2B","2B",IF(H138="NO.1","1D",IF(H138="FH","FH",0)))&amp;"-"&amp;IF(J138="",(TEXT(I138,"0.00")),TEXT(J138,"0.00"))&amp;"X"&amp;M138</f>
        <v>RM-J3/1D-2.40X620</v>
      </c>
      <c r="C138" s="173" t="s">
        <v>13</v>
      </c>
      <c r="D138" s="173" t="s">
        <v>13</v>
      </c>
      <c r="E138" s="190" t="s">
        <v>737</v>
      </c>
      <c r="F138" s="190" t="s">
        <v>738</v>
      </c>
      <c r="G138" s="173" t="s">
        <v>34</v>
      </c>
      <c r="H138" s="173" t="s">
        <v>127</v>
      </c>
      <c r="I138" s="174">
        <v>2.4</v>
      </c>
      <c r="J138" s="174"/>
      <c r="K138" s="174"/>
      <c r="L138" s="174"/>
      <c r="M138" s="191">
        <v>620</v>
      </c>
      <c r="N138" s="176">
        <v>10.156000000000001</v>
      </c>
      <c r="O138" s="176"/>
      <c r="P138" s="177"/>
      <c r="Q138" s="178"/>
      <c r="R138" s="179"/>
      <c r="S138" s="179"/>
      <c r="T138" s="177"/>
      <c r="U138" s="177">
        <v>44954</v>
      </c>
      <c r="V138" s="177"/>
      <c r="W138" s="177"/>
      <c r="X138" s="177"/>
      <c r="Y138" s="177"/>
      <c r="Z138" s="177"/>
      <c r="AA138" s="177"/>
      <c r="AB138" s="177"/>
      <c r="AC138" s="177"/>
      <c r="AD138" s="180"/>
      <c r="AE138" s="173" t="s">
        <v>69</v>
      </c>
      <c r="AF138" s="181" t="s">
        <v>248</v>
      </c>
      <c r="AG138" s="181" t="s">
        <v>678</v>
      </c>
      <c r="AH138" s="181">
        <v>44621</v>
      </c>
      <c r="AI138" s="181">
        <v>44644</v>
      </c>
      <c r="AJ138" s="181"/>
      <c r="AK138" s="181">
        <f ca="1">TODAY()</f>
        <v>44958</v>
      </c>
      <c r="AL138" s="173">
        <f ca="1">IF(AI138&lt;&gt;0,AK138-AI138,0)</f>
        <v>314</v>
      </c>
      <c r="AM138" s="173" t="str">
        <f>IF(ISNUMBER(X138)=TRUE,AK138-X138,IF(X138="","",(AK138)-(MID(RIGHT(X138,10),4,2)&amp;"/"&amp;LEFT((RIGHT(X138,10)),2)&amp;"/"&amp;RIGHT(X138,4))))</f>
        <v/>
      </c>
      <c r="AN138" s="181" t="s">
        <v>730</v>
      </c>
      <c r="AO138" s="190" t="s">
        <v>739</v>
      </c>
      <c r="AP138" s="176">
        <v>10.156000000000001</v>
      </c>
      <c r="AQ138" s="176">
        <v>10.196</v>
      </c>
      <c r="AR138" s="176">
        <v>10.220999999999998</v>
      </c>
      <c r="AS138" s="176">
        <v>10.225999999999999</v>
      </c>
      <c r="AT138" s="173">
        <f ca="1">IF(ISNUMBER(U138)=TRUE,AK138-U138,IF(U138="","",(AK138)-(MID(RIGHT(U138,10),4,2)&amp;"/"&amp;LEFT((RIGHT(U138,10)),2)&amp;"/"&amp;RIGHT(U138,4))))</f>
        <v>4</v>
      </c>
      <c r="AU138" s="173">
        <v>427</v>
      </c>
      <c r="AW138" s="142" t="s">
        <v>123</v>
      </c>
    </row>
    <row r="139" spans="2:49" s="142" customFormat="1" ht="21" customHeight="1" x14ac:dyDescent="0.25">
      <c r="B139" s="173" t="str">
        <f>IF(C139="HOLD RM","HOLD RM",IF(C139="BAL","WIP",IF(C139="HOLD SLT","HOLD SLT",IF(C139="MILL","RM",IF(C139="RE SLT","WIP",IF(C139="RM","RM",IF(C139="RM BAL","RM",IF(C139="RM SLT","RM",IF(C139="RR","WIP",IF(C139="SKP","WIP",IF(C139="SLT","WIP",IF(C139="CTL","WIP",IF(C139="RM SLT RUST","RM SLT RUST",0)))))))))))))&amp;"-"&amp;G139&amp;"/"&amp;IF(H139="2B","2B",IF(H139="NO.1","1D",IF(H139="FH","FH",0)))&amp;"-"&amp;IF(J139="",(TEXT(I139,"0.00")),TEXT(J139,"0.00"))&amp;"X"&amp;M139</f>
        <v>RM-J3/1D-2.40X620</v>
      </c>
      <c r="C139" s="173" t="s">
        <v>48</v>
      </c>
      <c r="D139" s="173" t="s">
        <v>48</v>
      </c>
      <c r="E139" s="190" t="s">
        <v>740</v>
      </c>
      <c r="F139" s="190" t="s">
        <v>741</v>
      </c>
      <c r="G139" s="173" t="s">
        <v>34</v>
      </c>
      <c r="H139" s="173" t="s">
        <v>127</v>
      </c>
      <c r="I139" s="174">
        <v>2.4</v>
      </c>
      <c r="J139" s="174"/>
      <c r="K139" s="174"/>
      <c r="L139" s="174"/>
      <c r="M139" s="191">
        <v>620</v>
      </c>
      <c r="N139" s="176">
        <v>10.144</v>
      </c>
      <c r="O139" s="176"/>
      <c r="P139" s="177"/>
      <c r="Q139" s="178"/>
      <c r="R139" s="179"/>
      <c r="S139" s="179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80"/>
      <c r="AE139" s="173" t="s">
        <v>69</v>
      </c>
      <c r="AF139" s="181" t="s">
        <v>248</v>
      </c>
      <c r="AG139" s="181" t="s">
        <v>678</v>
      </c>
      <c r="AH139" s="181">
        <v>44621</v>
      </c>
      <c r="AI139" s="181">
        <v>44644</v>
      </c>
      <c r="AJ139" s="181"/>
      <c r="AK139" s="181">
        <f ca="1">TODAY()</f>
        <v>44958</v>
      </c>
      <c r="AL139" s="173">
        <f ca="1">IF(AI139&lt;&gt;0,AK139-AI139,0)</f>
        <v>314</v>
      </c>
      <c r="AM139" s="173" t="str">
        <f>IF(ISNUMBER(X139)=TRUE,AK139-X139,IF(X139="","",(AK139)-(MID(RIGHT(X139,10),4,2)&amp;"/"&amp;LEFT((RIGHT(X139,10)),2)&amp;"/"&amp;RIGHT(X139,4))))</f>
        <v/>
      </c>
      <c r="AN139" s="181" t="s">
        <v>742</v>
      </c>
      <c r="AO139" s="190" t="s">
        <v>739</v>
      </c>
      <c r="AP139" s="176">
        <v>10.144</v>
      </c>
      <c r="AQ139" s="176">
        <v>10.183999999999999</v>
      </c>
      <c r="AR139" s="176">
        <v>10.208999999999998</v>
      </c>
      <c r="AS139" s="176">
        <v>10.213999999999999</v>
      </c>
      <c r="AT139" s="173" t="str">
        <f>IF(ISNUMBER(U139)=TRUE,AK139-U139,IF(U139="","",(AK139)-(MID(RIGHT(U139,10),4,2)&amp;"/"&amp;LEFT((RIGHT(U139,10)),2)&amp;"/"&amp;RIGHT(U139,4))))</f>
        <v/>
      </c>
      <c r="AU139" s="173">
        <v>427</v>
      </c>
      <c r="AW139" s="142" t="s">
        <v>123</v>
      </c>
    </row>
    <row r="140" spans="2:49" s="142" customFormat="1" ht="21" customHeight="1" x14ac:dyDescent="0.25">
      <c r="B140" s="173" t="str">
        <f>IF(C140="HOLD RM","HOLD RM",IF(C140="BAL","WIP",IF(C140="HOLD SLT","HOLD SLT",IF(C140="MILL","RM",IF(C140="RE SLT","WIP",IF(C140="RM","RM",IF(C140="RM BAL","RM",IF(C140="RM SLT","RM",IF(C140="RR","WIP",IF(C140="SKP","WIP",IF(C140="SLT","WIP",IF(C140="CTL","WIP",IF(C140="RM SLT RUST","RM SLT RUST",0)))))))))))))&amp;"-"&amp;G140&amp;"/"&amp;IF(H140="2B","2B",IF(H140="NO.1","1D",IF(H140="FH","FH",0)))&amp;"-"&amp;IF(J140="",(TEXT(I140,"0.00")),TEXT(J140,"0.00"))&amp;"X"&amp;M140</f>
        <v>RM-J3/1D-2.40X620</v>
      </c>
      <c r="C140" s="173" t="s">
        <v>48</v>
      </c>
      <c r="D140" s="173" t="s">
        <v>48</v>
      </c>
      <c r="E140" s="190" t="s">
        <v>743</v>
      </c>
      <c r="F140" s="190" t="s">
        <v>744</v>
      </c>
      <c r="G140" s="173" t="s">
        <v>34</v>
      </c>
      <c r="H140" s="173" t="s">
        <v>127</v>
      </c>
      <c r="I140" s="174">
        <v>2.4</v>
      </c>
      <c r="J140" s="174"/>
      <c r="K140" s="174"/>
      <c r="L140" s="174"/>
      <c r="M140" s="191">
        <v>620</v>
      </c>
      <c r="N140" s="176">
        <v>9.8409999999999993</v>
      </c>
      <c r="O140" s="176"/>
      <c r="P140" s="177"/>
      <c r="Q140" s="178"/>
      <c r="R140" s="179"/>
      <c r="S140" s="179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80"/>
      <c r="AE140" s="173" t="s">
        <v>69</v>
      </c>
      <c r="AF140" s="181" t="s">
        <v>248</v>
      </c>
      <c r="AG140" s="181" t="s">
        <v>678</v>
      </c>
      <c r="AH140" s="181">
        <v>44621</v>
      </c>
      <c r="AI140" s="181">
        <v>44644</v>
      </c>
      <c r="AJ140" s="181"/>
      <c r="AK140" s="181">
        <f ca="1">TODAY()</f>
        <v>44958</v>
      </c>
      <c r="AL140" s="173">
        <f ca="1">IF(AI140&lt;&gt;0,AK140-AI140,0)</f>
        <v>314</v>
      </c>
      <c r="AM140" s="173" t="str">
        <f>IF(ISNUMBER(X140)=TRUE,AK140-X140,IF(X140="","",(AK140)-(MID(RIGHT(X140,10),4,2)&amp;"/"&amp;LEFT((RIGHT(X140,10)),2)&amp;"/"&amp;RIGHT(X140,4))))</f>
        <v/>
      </c>
      <c r="AN140" s="181" t="s">
        <v>733</v>
      </c>
      <c r="AO140" s="190" t="s">
        <v>745</v>
      </c>
      <c r="AP140" s="176">
        <v>9.8409999999999993</v>
      </c>
      <c r="AQ140" s="176">
        <v>9.8810000000000002</v>
      </c>
      <c r="AR140" s="176">
        <v>9.9059999999999988</v>
      </c>
      <c r="AS140" s="176">
        <v>9.9109999999999996</v>
      </c>
      <c r="AT140" s="173" t="str">
        <f>IF(ISNUMBER(U140)=TRUE,AK140-U140,IF(U140="","",(AK140)-(MID(RIGHT(U140,10),4,2)&amp;"/"&amp;LEFT((RIGHT(U140,10)),2)&amp;"/"&amp;RIGHT(U140,4))))</f>
        <v/>
      </c>
      <c r="AU140" s="173">
        <v>427</v>
      </c>
      <c r="AW140" s="142" t="s">
        <v>123</v>
      </c>
    </row>
    <row r="141" spans="2:49" s="142" customFormat="1" ht="21" customHeight="1" x14ac:dyDescent="0.25">
      <c r="B141" s="173" t="str">
        <f>IF(C141="HOLD RM","HOLD RM",IF(C141="BAL","WIP",IF(C141="HOLD SLT","HOLD SLT",IF(C141="MILL","RM",IF(C141="RE SLT","WIP",IF(C141="RM","RM",IF(C141="RM BAL","RM",IF(C141="RM SLT","RM",IF(C141="RR","WIP",IF(C141="SKP","WIP",IF(C141="SLT","WIP",IF(C141="CTL","WIP",IF(C141="RM SLT RUST","RM SLT RUST",0)))))))))))))&amp;"-"&amp;G141&amp;"/"&amp;IF(H141="2B","2B",IF(H141="NO.1","1D",IF(H141="FH","FH",0)))&amp;"-"&amp;IF(J141="",(TEXT(I141,"0.00")),TEXT(J141,"0.00"))&amp;"X"&amp;M141</f>
        <v>RM-J3/1D-2.40X620</v>
      </c>
      <c r="C141" s="173" t="s">
        <v>48</v>
      </c>
      <c r="D141" s="173" t="s">
        <v>48</v>
      </c>
      <c r="E141" s="190" t="s">
        <v>746</v>
      </c>
      <c r="F141" s="190" t="s">
        <v>747</v>
      </c>
      <c r="G141" s="173" t="s">
        <v>34</v>
      </c>
      <c r="H141" s="173" t="s">
        <v>127</v>
      </c>
      <c r="I141" s="174">
        <v>2.4</v>
      </c>
      <c r="J141" s="174"/>
      <c r="K141" s="174"/>
      <c r="L141" s="174"/>
      <c r="M141" s="191">
        <v>620</v>
      </c>
      <c r="N141" s="176">
        <v>9.8390000000000004</v>
      </c>
      <c r="O141" s="176"/>
      <c r="P141" s="177"/>
      <c r="Q141" s="178"/>
      <c r="R141" s="179"/>
      <c r="S141" s="179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80"/>
      <c r="AE141" s="173" t="s">
        <v>69</v>
      </c>
      <c r="AF141" s="181" t="s">
        <v>248</v>
      </c>
      <c r="AG141" s="181" t="s">
        <v>678</v>
      </c>
      <c r="AH141" s="181">
        <v>44621</v>
      </c>
      <c r="AI141" s="181">
        <v>44644</v>
      </c>
      <c r="AJ141" s="181"/>
      <c r="AK141" s="181">
        <f ca="1">TODAY()</f>
        <v>44958</v>
      </c>
      <c r="AL141" s="173">
        <f ca="1">IF(AI141&lt;&gt;0,AK141-AI141,0)</f>
        <v>314</v>
      </c>
      <c r="AM141" s="173" t="str">
        <f>IF(ISNUMBER(X141)=TRUE,AK141-X141,IF(X141="","",(AK141)-(MID(RIGHT(X141,10),4,2)&amp;"/"&amp;LEFT((RIGHT(X141,10)),2)&amp;"/"&amp;RIGHT(X141,4))))</f>
        <v/>
      </c>
      <c r="AN141" s="181" t="s">
        <v>742</v>
      </c>
      <c r="AO141" s="190" t="s">
        <v>745</v>
      </c>
      <c r="AP141" s="176">
        <v>9.8390000000000004</v>
      </c>
      <c r="AQ141" s="176">
        <v>9.8789999999999996</v>
      </c>
      <c r="AR141" s="176">
        <v>9.9039999999999981</v>
      </c>
      <c r="AS141" s="176">
        <v>9.9089999999999989</v>
      </c>
      <c r="AT141" s="173" t="str">
        <f>IF(ISNUMBER(U141)=TRUE,AK141-U141,IF(U141="","",(AK141)-(MID(RIGHT(U141,10),4,2)&amp;"/"&amp;LEFT((RIGHT(U141,10)),2)&amp;"/"&amp;RIGHT(U141,4))))</f>
        <v/>
      </c>
      <c r="AU141" s="173">
        <v>427</v>
      </c>
      <c r="AW141" s="142" t="s">
        <v>123</v>
      </c>
    </row>
    <row r="142" spans="2:49" s="142" customFormat="1" ht="21" customHeight="1" x14ac:dyDescent="0.25">
      <c r="B142" s="173" t="str">
        <f>IF(C142="HOLD RM","HOLD RM",IF(C142="BAL","WIP",IF(C142="HOLD SLT","HOLD SLT",IF(C142="MILL","RM",IF(C142="RE SLT","WIP",IF(C142="RM","RM",IF(C142="RM BAL","RM",IF(C142="RM SLT","RM",IF(C142="RR","WIP",IF(C142="SKP","WIP",IF(C142="SLT","WIP",IF(C142="CTL","WIP",IF(C142="RM SLT RUST","RM SLT RUST",0)))))))))))))&amp;"-"&amp;G142&amp;"/"&amp;IF(H142="2B","2B",IF(H142="NO.1","1D",IF(H142="FH","FH",0)))&amp;"-"&amp;IF(J142="",(TEXT(I142,"0.00")),TEXT(J142,"0.00"))&amp;"X"&amp;M142</f>
        <v>HOLD SLT-304L/2B-0.50X761</v>
      </c>
      <c r="C142" s="173" t="s">
        <v>68</v>
      </c>
      <c r="D142" s="173" t="s">
        <v>68</v>
      </c>
      <c r="E142" s="190" t="s">
        <v>748</v>
      </c>
      <c r="F142" s="190" t="s">
        <v>749</v>
      </c>
      <c r="G142" s="173" t="s">
        <v>182</v>
      </c>
      <c r="H142" s="173" t="s">
        <v>114</v>
      </c>
      <c r="I142" s="174">
        <v>1.05</v>
      </c>
      <c r="J142" s="174">
        <v>0.5</v>
      </c>
      <c r="K142" s="174"/>
      <c r="L142" s="174"/>
      <c r="M142" s="191">
        <v>761</v>
      </c>
      <c r="N142" s="176">
        <v>3.7749999999999999</v>
      </c>
      <c r="O142" s="176" t="s">
        <v>114</v>
      </c>
      <c r="P142" s="177"/>
      <c r="Q142" s="178" t="s">
        <v>183</v>
      </c>
      <c r="R142" s="178" t="s">
        <v>750</v>
      </c>
      <c r="S142" s="179" t="s">
        <v>751</v>
      </c>
      <c r="T142" s="177" t="s">
        <v>752</v>
      </c>
      <c r="U142" s="177"/>
      <c r="V142" s="177" t="s">
        <v>753</v>
      </c>
      <c r="W142" s="177"/>
      <c r="X142" s="177" t="s">
        <v>754</v>
      </c>
      <c r="Y142" s="177"/>
      <c r="Z142" s="177" t="s">
        <v>755</v>
      </c>
      <c r="AA142" s="177"/>
      <c r="AB142" s="177"/>
      <c r="AC142" s="177"/>
      <c r="AD142" s="180" t="s">
        <v>756</v>
      </c>
      <c r="AE142" s="173" t="s">
        <v>69</v>
      </c>
      <c r="AF142" s="181" t="s">
        <v>142</v>
      </c>
      <c r="AG142" s="181" t="s">
        <v>757</v>
      </c>
      <c r="AH142" s="181"/>
      <c r="AI142" s="181">
        <v>44651</v>
      </c>
      <c r="AJ142" s="181"/>
      <c r="AK142" s="181">
        <f ca="1">TODAY()</f>
        <v>44958</v>
      </c>
      <c r="AL142" s="173">
        <f ca="1">IF(AI142&lt;&gt;0,AK142-AI142,0)</f>
        <v>307</v>
      </c>
      <c r="AM142" s="173">
        <f ca="1">IF(ISNUMBER(X142)=TRUE,AK142-X142,IF(X142="","",(AK142)-(MID(RIGHT(X142,10),4,2)&amp;"/"&amp;LEFT((RIGHT(X142,10)),2)&amp;"/"&amp;RIGHT(X142,4))))</f>
        <v>194</v>
      </c>
      <c r="AN142" s="181"/>
      <c r="AO142" s="190" t="s">
        <v>758</v>
      </c>
      <c r="AP142" s="176">
        <v>11.97</v>
      </c>
      <c r="AQ142" s="176">
        <v>11.98</v>
      </c>
      <c r="AR142" s="176">
        <v>12.004999999999999</v>
      </c>
      <c r="AS142" s="176">
        <v>12.01</v>
      </c>
      <c r="AT142" s="173" t="str">
        <f>IF(ISNUMBER(U142)=TRUE,AK142-U142,IF(U142="","",(AK142)-(MID(RIGHT(U142,10),4,2)&amp;"/"&amp;LEFT((RIGHT(U142,10)),2)&amp;"/"&amp;RIGHT(U142,4))))</f>
        <v/>
      </c>
      <c r="AU142" s="173">
        <v>430</v>
      </c>
      <c r="AW142" s="142" t="s">
        <v>123</v>
      </c>
    </row>
    <row r="143" spans="2:49" s="142" customFormat="1" ht="21" customHeight="1" x14ac:dyDescent="0.25">
      <c r="B143" s="173" t="str">
        <f>IF(C143="HOLD RM","HOLD RM",IF(C143="BAL","WIP",IF(C143="HOLD SLT","HOLD SLT",IF(C143="MILL","RM",IF(C143="RE SLT","WIP",IF(C143="RM","RM",IF(C143="RM BAL","RM",IF(C143="RM SLT","RM",IF(C143="RR","WIP",IF(C143="SKP","WIP",IF(C143="SLT","WIP",IF(C143="CTL","WIP",IF(C143="RM SLT RUST","RM SLT RUST",0)))))))))))))&amp;"-"&amp;G143&amp;"/"&amp;IF(H143="2B","2B",IF(H143="NO.1","1D",IF(H143="FH","FH",0)))&amp;"-"&amp;IF(J143="",(TEXT(I143,"0.00")),TEXT(J143,"0.00"))&amp;"X"&amp;M143</f>
        <v>WIP-304L/2B-0.50X762</v>
      </c>
      <c r="C143" s="173" t="s">
        <v>18</v>
      </c>
      <c r="D143" s="173" t="s">
        <v>146</v>
      </c>
      <c r="E143" s="190" t="s">
        <v>759</v>
      </c>
      <c r="F143" s="190" t="s">
        <v>760</v>
      </c>
      <c r="G143" s="173" t="s">
        <v>182</v>
      </c>
      <c r="H143" s="173" t="s">
        <v>114</v>
      </c>
      <c r="I143" s="174">
        <v>0.9</v>
      </c>
      <c r="J143" s="174">
        <v>0.5</v>
      </c>
      <c r="K143" s="174">
        <v>0.49</v>
      </c>
      <c r="L143" s="174">
        <v>0.5</v>
      </c>
      <c r="M143" s="191">
        <v>762</v>
      </c>
      <c r="N143" s="176">
        <v>1.635</v>
      </c>
      <c r="O143" s="176" t="s">
        <v>114</v>
      </c>
      <c r="P143" s="177"/>
      <c r="Q143" s="178" t="s">
        <v>183</v>
      </c>
      <c r="R143" s="178" t="s">
        <v>761</v>
      </c>
      <c r="S143" s="179" t="s">
        <v>762</v>
      </c>
      <c r="T143" s="177" t="s">
        <v>763</v>
      </c>
      <c r="U143" s="177"/>
      <c r="V143" s="177" t="s">
        <v>763</v>
      </c>
      <c r="W143" s="177"/>
      <c r="X143" s="177" t="s">
        <v>764</v>
      </c>
      <c r="Y143" s="177"/>
      <c r="Z143" s="177" t="s">
        <v>765</v>
      </c>
      <c r="AA143" s="177"/>
      <c r="AB143" s="177"/>
      <c r="AC143" s="177"/>
      <c r="AD143" s="180" t="s">
        <v>766</v>
      </c>
      <c r="AE143" s="173" t="s">
        <v>69</v>
      </c>
      <c r="AF143" s="181" t="s">
        <v>142</v>
      </c>
      <c r="AG143" s="181" t="s">
        <v>757</v>
      </c>
      <c r="AH143" s="181"/>
      <c r="AI143" s="181">
        <v>44651</v>
      </c>
      <c r="AJ143" s="181"/>
      <c r="AK143" s="181">
        <f ca="1">TODAY()</f>
        <v>44958</v>
      </c>
      <c r="AL143" s="173">
        <f ca="1">IF(AI143&lt;&gt;0,AK143-AI143,0)</f>
        <v>307</v>
      </c>
      <c r="AM143" s="173">
        <f ca="1">IF(ISNUMBER(X143)=TRUE,AK143-X143,IF(X143="","",(AK143)-(MID(RIGHT(X143,10),4,2)&amp;"/"&amp;LEFT((RIGHT(X143,10)),2)&amp;"/"&amp;RIGHT(X143,4))))</f>
        <v>223</v>
      </c>
      <c r="AN143" s="181"/>
      <c r="AO143" s="190" t="s">
        <v>767</v>
      </c>
      <c r="AP143" s="176">
        <v>12.08</v>
      </c>
      <c r="AQ143" s="176">
        <v>12.09</v>
      </c>
      <c r="AR143" s="176">
        <v>12.114999999999998</v>
      </c>
      <c r="AS143" s="176">
        <v>12.12</v>
      </c>
      <c r="AT143" s="173" t="str">
        <f>IF(ISNUMBER(U143)=TRUE,AK143-U143,IF(U143="","",(AK143)-(MID(RIGHT(U143,10),4,2)&amp;"/"&amp;LEFT((RIGHT(U143,10)),2)&amp;"/"&amp;RIGHT(U143,4))))</f>
        <v/>
      </c>
      <c r="AU143" s="173">
        <v>430</v>
      </c>
      <c r="AW143" s="142" t="s">
        <v>123</v>
      </c>
    </row>
    <row r="144" spans="2:49" s="142" customFormat="1" ht="21" customHeight="1" x14ac:dyDescent="0.25">
      <c r="B144" s="173" t="str">
        <f>IF(C144="HOLD RM","HOLD RM",IF(C144="BAL","WIP",IF(C144="HOLD SLT","HOLD SLT",IF(C144="MILL","RM",IF(C144="RE SLT","WIP",IF(C144="RM","RM",IF(C144="RM BAL","RM",IF(C144="RM SLT","RM",IF(C144="RR","WIP",IF(C144="SKP","WIP",IF(C144="SLT","WIP",IF(C144="CTL","WIP",IF(C144="RM SLT RUST","RM SLT RUST",0)))))))))))))&amp;"-"&amp;G144&amp;"/"&amp;IF(H144="2B","2B",IF(H144="NO.1","1D",IF(H144="FH","FH",0)))&amp;"-"&amp;IF(J144="",(TEXT(I144,"0.00")),TEXT(J144,"0.00"))&amp;"X"&amp;M144</f>
        <v>WIP-304L/FH-0.40X760</v>
      </c>
      <c r="C144" s="173" t="s">
        <v>16</v>
      </c>
      <c r="D144" s="173" t="s">
        <v>16</v>
      </c>
      <c r="E144" s="190" t="s">
        <v>768</v>
      </c>
      <c r="F144" s="190" t="s">
        <v>769</v>
      </c>
      <c r="G144" s="173" t="s">
        <v>182</v>
      </c>
      <c r="H144" s="173" t="s">
        <v>70</v>
      </c>
      <c r="I144" s="174">
        <v>0.7</v>
      </c>
      <c r="J144" s="174">
        <v>0.4</v>
      </c>
      <c r="K144" s="174"/>
      <c r="L144" s="174"/>
      <c r="M144" s="191">
        <v>760</v>
      </c>
      <c r="N144" s="176">
        <v>3.4550000000000001</v>
      </c>
      <c r="O144" s="176" t="s">
        <v>114</v>
      </c>
      <c r="P144" s="177"/>
      <c r="Q144" s="178" t="s">
        <v>184</v>
      </c>
      <c r="R144" s="178" t="s">
        <v>761</v>
      </c>
      <c r="S144" s="179"/>
      <c r="T144" s="177" t="s">
        <v>770</v>
      </c>
      <c r="U144" s="177"/>
      <c r="V144" s="177" t="s">
        <v>770</v>
      </c>
      <c r="W144" s="177"/>
      <c r="X144" s="177" t="s">
        <v>771</v>
      </c>
      <c r="Y144" s="177"/>
      <c r="Z144" s="177" t="s">
        <v>772</v>
      </c>
      <c r="AA144" s="177"/>
      <c r="AB144" s="177"/>
      <c r="AC144" s="177"/>
      <c r="AD144" s="180" t="s">
        <v>773</v>
      </c>
      <c r="AE144" s="173" t="s">
        <v>69</v>
      </c>
      <c r="AF144" s="181" t="s">
        <v>142</v>
      </c>
      <c r="AG144" s="181" t="s">
        <v>757</v>
      </c>
      <c r="AH144" s="181"/>
      <c r="AI144" s="181">
        <v>44651</v>
      </c>
      <c r="AJ144" s="181"/>
      <c r="AK144" s="181">
        <f ca="1">TODAY()</f>
        <v>44958</v>
      </c>
      <c r="AL144" s="173">
        <f ca="1">IF(AI144&lt;&gt;0,AK144-AI144,0)</f>
        <v>307</v>
      </c>
      <c r="AM144" s="173">
        <f ca="1">IF(ISNUMBER(X144)=TRUE,AK144-X144,IF(X144="","",(AK144)-(MID(RIGHT(X144,10),4,2)&amp;"/"&amp;LEFT((RIGHT(X144,10)),2)&amp;"/"&amp;RIGHT(X144,4))))</f>
        <v>143</v>
      </c>
      <c r="AN144" s="181"/>
      <c r="AO144" s="190" t="s">
        <v>774</v>
      </c>
      <c r="AP144" s="176">
        <v>10.35</v>
      </c>
      <c r="AQ144" s="176">
        <v>10.36</v>
      </c>
      <c r="AR144" s="176">
        <v>10.384999999999998</v>
      </c>
      <c r="AS144" s="176">
        <v>10.389999999999999</v>
      </c>
      <c r="AT144" s="173" t="str">
        <f>IF(ISNUMBER(U144)=TRUE,AK144-U144,IF(U144="","",(AK144)-(MID(RIGHT(U144,10),4,2)&amp;"/"&amp;LEFT((RIGHT(U144,10)),2)&amp;"/"&amp;RIGHT(U144,4))))</f>
        <v/>
      </c>
      <c r="AU144" s="173">
        <v>430</v>
      </c>
      <c r="AW144" s="142" t="s">
        <v>123</v>
      </c>
    </row>
    <row r="145" spans="2:49" s="142" customFormat="1" ht="21" customHeight="1" x14ac:dyDescent="0.25">
      <c r="B145" s="173" t="str">
        <f>IF(C145="HOLD RM","HOLD RM",IF(C145="BAL","WIP",IF(C145="HOLD SLT","HOLD SLT",IF(C145="MILL","RM",IF(C145="RE SLT","WIP",IF(C145="RM","RM",IF(C145="RM BAL","RM",IF(C145="RM SLT","RM",IF(C145="RR","WIP",IF(C145="SKP","WIP",IF(C145="SLT","WIP",IF(C145="CTL","WIP",IF(C145="RM SLT RUST","RM SLT RUST",0)))))))))))))&amp;"-"&amp;G145&amp;"/"&amp;IF(H145="2B","2B",IF(H145="NO.1","1D",IF(H145="FH","FH",0)))&amp;"-"&amp;IF(J145="",(TEXT(I145,"0.00")),TEXT(J145,"0.00"))&amp;"X"&amp;M145</f>
        <v>WIP-304L/2B-0.80X768</v>
      </c>
      <c r="C145" s="173" t="s">
        <v>775</v>
      </c>
      <c r="D145" s="173" t="s">
        <v>776</v>
      </c>
      <c r="E145" s="190" t="s">
        <v>777</v>
      </c>
      <c r="F145" s="190" t="s">
        <v>778</v>
      </c>
      <c r="G145" s="173" t="s">
        <v>182</v>
      </c>
      <c r="H145" s="173" t="s">
        <v>114</v>
      </c>
      <c r="I145" s="174">
        <v>1.45</v>
      </c>
      <c r="J145" s="174">
        <v>0.8</v>
      </c>
      <c r="K145" s="174"/>
      <c r="L145" s="174"/>
      <c r="M145" s="191">
        <v>768</v>
      </c>
      <c r="N145" s="176">
        <v>5.26</v>
      </c>
      <c r="O145" s="176" t="s">
        <v>114</v>
      </c>
      <c r="P145" s="177"/>
      <c r="Q145" s="178" t="s">
        <v>314</v>
      </c>
      <c r="R145" s="178" t="s">
        <v>779</v>
      </c>
      <c r="S145" s="179" t="s">
        <v>780</v>
      </c>
      <c r="T145" s="177" t="s">
        <v>781</v>
      </c>
      <c r="U145" s="177"/>
      <c r="V145" s="177" t="s">
        <v>782</v>
      </c>
      <c r="W145" s="177"/>
      <c r="X145" s="177" t="s">
        <v>783</v>
      </c>
      <c r="Y145" s="177"/>
      <c r="Z145" s="177">
        <v>44771</v>
      </c>
      <c r="AA145" s="177"/>
      <c r="AB145" s="177"/>
      <c r="AC145" s="177"/>
      <c r="AD145" s="180" t="s">
        <v>773</v>
      </c>
      <c r="AE145" s="173" t="s">
        <v>69</v>
      </c>
      <c r="AF145" s="181" t="s">
        <v>142</v>
      </c>
      <c r="AG145" s="181" t="s">
        <v>757</v>
      </c>
      <c r="AH145" s="181"/>
      <c r="AI145" s="181">
        <v>44651</v>
      </c>
      <c r="AJ145" s="181"/>
      <c r="AK145" s="181">
        <f ca="1">TODAY()</f>
        <v>44958</v>
      </c>
      <c r="AL145" s="173">
        <f ca="1">IF(AI145&lt;&gt;0,AK145-AI145,0)</f>
        <v>307</v>
      </c>
      <c r="AM145" s="173">
        <f ca="1">IF(ISNUMBER(X145)=TRUE,AK145-X145,IF(X145="","",(AK145)-(MID(RIGHT(X145,10),4,2)&amp;"/"&amp;LEFT((RIGHT(X145,10)),2)&amp;"/"&amp;RIGHT(X145,4))))</f>
        <v>194</v>
      </c>
      <c r="AN145" s="181"/>
      <c r="AO145" s="190" t="s">
        <v>784</v>
      </c>
      <c r="AP145" s="176">
        <v>12.01</v>
      </c>
      <c r="AQ145" s="176">
        <v>12.02</v>
      </c>
      <c r="AR145" s="176">
        <v>12.044999999999998</v>
      </c>
      <c r="AS145" s="176">
        <v>12.049999999999999</v>
      </c>
      <c r="AT145" s="173" t="str">
        <f>IF(ISNUMBER(U145)=TRUE,AK145-U145,IF(U145="","",(AK145)-(MID(RIGHT(U145,10),4,2)&amp;"/"&amp;LEFT((RIGHT(U145,10)),2)&amp;"/"&amp;RIGHT(U145,4))))</f>
        <v/>
      </c>
      <c r="AU145" s="173">
        <v>430</v>
      </c>
      <c r="AW145" s="142" t="s">
        <v>123</v>
      </c>
    </row>
    <row r="146" spans="2:49" s="142" customFormat="1" ht="21" customHeight="1" x14ac:dyDescent="0.25">
      <c r="B146" s="173" t="str">
        <f>IF(C146="HOLD RM","HOLD RM",IF(C146="BAL","WIP",IF(C146="HOLD SLT","HOLD SLT",IF(C146="MILL","RM",IF(C146="RE SLT","WIP",IF(C146="RM","RM",IF(C146="RM BAL","RM",IF(C146="RM SLT","RM",IF(C146="RR","WIP",IF(C146="SKP","WIP",IF(C146="SLT","WIP",IF(C146="CTL","WIP",IF(C146="RM SLT RUST","RM SLT RUST",0)))))))))))))&amp;"-"&amp;G146&amp;"/"&amp;IF(H146="2B","2B",IF(H146="NO.1","1D",IF(H146="FH","FH",0)))&amp;"-"&amp;IF(J146="",(TEXT(I146,"0.00")),TEXT(J146,"0.00"))&amp;"X"&amp;M146</f>
        <v>WIP-304L/2B-0.80X768</v>
      </c>
      <c r="C146" s="173" t="s">
        <v>18</v>
      </c>
      <c r="D146" s="173" t="s">
        <v>146</v>
      </c>
      <c r="E146" s="190" t="s">
        <v>777</v>
      </c>
      <c r="F146" s="190" t="s">
        <v>785</v>
      </c>
      <c r="G146" s="173" t="s">
        <v>182</v>
      </c>
      <c r="H146" s="173" t="s">
        <v>114</v>
      </c>
      <c r="I146" s="174">
        <v>1.45</v>
      </c>
      <c r="J146" s="174">
        <v>0.8</v>
      </c>
      <c r="K146" s="174">
        <v>0.8</v>
      </c>
      <c r="L146" s="174">
        <v>0.81</v>
      </c>
      <c r="M146" s="191">
        <v>768</v>
      </c>
      <c r="N146" s="176">
        <v>5.6550000000000002</v>
      </c>
      <c r="O146" s="176" t="s">
        <v>114</v>
      </c>
      <c r="P146" s="177"/>
      <c r="Q146" s="178" t="s">
        <v>183</v>
      </c>
      <c r="R146" s="178" t="s">
        <v>786</v>
      </c>
      <c r="S146" s="179" t="s">
        <v>787</v>
      </c>
      <c r="T146" s="177" t="s">
        <v>782</v>
      </c>
      <c r="U146" s="177"/>
      <c r="V146" s="177" t="s">
        <v>782</v>
      </c>
      <c r="W146" s="177"/>
      <c r="X146" s="177" t="s">
        <v>788</v>
      </c>
      <c r="Y146" s="177"/>
      <c r="Z146" s="177"/>
      <c r="AA146" s="177"/>
      <c r="AB146" s="177"/>
      <c r="AC146" s="177"/>
      <c r="AD146" s="180" t="s">
        <v>773</v>
      </c>
      <c r="AE146" s="173" t="s">
        <v>69</v>
      </c>
      <c r="AF146" s="181" t="s">
        <v>142</v>
      </c>
      <c r="AG146" s="181" t="s">
        <v>757</v>
      </c>
      <c r="AH146" s="181"/>
      <c r="AI146" s="181">
        <v>44651</v>
      </c>
      <c r="AJ146" s="181"/>
      <c r="AK146" s="181">
        <f ca="1">TODAY()</f>
        <v>44958</v>
      </c>
      <c r="AL146" s="173">
        <f ca="1">IF(AI146&lt;&gt;0,AK146-AI146,0)</f>
        <v>307</v>
      </c>
      <c r="AM146" s="173">
        <f ca="1">IF(ISNUMBER(X146)=TRUE,AK146-X146,IF(X146="","",(AK146)-(MID(RIGHT(X146,10),4,2)&amp;"/"&amp;LEFT((RIGHT(X146,10)),2)&amp;"/"&amp;RIGHT(X146,4))))</f>
        <v>199</v>
      </c>
      <c r="AN146" s="181"/>
      <c r="AO146" s="190" t="s">
        <v>784</v>
      </c>
      <c r="AP146" s="176">
        <v>12.01</v>
      </c>
      <c r="AQ146" s="176">
        <v>12.02</v>
      </c>
      <c r="AR146" s="176">
        <v>12.044999999999998</v>
      </c>
      <c r="AS146" s="176">
        <v>12.049999999999999</v>
      </c>
      <c r="AT146" s="173" t="str">
        <f>IF(ISNUMBER(U146)=TRUE,AK146-U146,IF(U146="","",(AK146)-(MID(RIGHT(U146,10),4,2)&amp;"/"&amp;LEFT((RIGHT(U146,10)),2)&amp;"/"&amp;RIGHT(U146,4))))</f>
        <v/>
      </c>
      <c r="AU146" s="173">
        <v>430</v>
      </c>
      <c r="AW146" s="142" t="s">
        <v>123</v>
      </c>
    </row>
    <row r="147" spans="2:49" s="142" customFormat="1" ht="21" customHeight="1" x14ac:dyDescent="0.25">
      <c r="B147" s="173" t="str">
        <f>IF(C147="HOLD RM","HOLD RM",IF(C147="BAL","WIP",IF(C147="HOLD SLT","HOLD SLT",IF(C147="MILL","RM",IF(C147="RE SLT","WIP",IF(C147="RM","RM",IF(C147="RM BAL","RM",IF(C147="RM SLT","RM",IF(C147="RR","WIP",IF(C147="SKP","WIP",IF(C147="SLT","WIP",IF(C147="CTL","WIP",IF(C147="RM SLT RUST","RM SLT RUST",0)))))))))))))&amp;"-"&amp;G147&amp;"/"&amp;IF(H147="2B","2B",IF(H147="NO.1","1D",IF(H147="FH","FH",0)))&amp;"-"&amp;IF(J147="",(TEXT(I147,"0.00")),TEXT(J147,"0.00"))&amp;"X"&amp;M147</f>
        <v>WIP-J3/FH-0.18X610</v>
      </c>
      <c r="C147" s="173" t="s">
        <v>16</v>
      </c>
      <c r="D147" s="173" t="s">
        <v>16</v>
      </c>
      <c r="E147" s="190" t="s">
        <v>789</v>
      </c>
      <c r="F147" s="190" t="s">
        <v>790</v>
      </c>
      <c r="G147" s="173" t="s">
        <v>34</v>
      </c>
      <c r="H147" s="173" t="s">
        <v>70</v>
      </c>
      <c r="I147" s="174">
        <v>0.3</v>
      </c>
      <c r="J147" s="174">
        <v>0.18</v>
      </c>
      <c r="K147" s="174"/>
      <c r="L147" s="174"/>
      <c r="M147" s="191">
        <v>610</v>
      </c>
      <c r="N147" s="176">
        <v>4.93</v>
      </c>
      <c r="O147" s="176" t="s">
        <v>114</v>
      </c>
      <c r="P147" s="177"/>
      <c r="Q147" s="178" t="s">
        <v>294</v>
      </c>
      <c r="R147" s="179"/>
      <c r="S147" s="179"/>
      <c r="T147" s="177" t="s">
        <v>791</v>
      </c>
      <c r="U147" s="177">
        <v>44857</v>
      </c>
      <c r="V147" s="177">
        <v>44700</v>
      </c>
      <c r="W147" s="177" t="s">
        <v>792</v>
      </c>
      <c r="X147" s="177" t="s">
        <v>793</v>
      </c>
      <c r="Y147" s="177"/>
      <c r="Z147" s="177" t="s">
        <v>794</v>
      </c>
      <c r="AA147" s="177"/>
      <c r="AB147" s="177"/>
      <c r="AC147" s="177"/>
      <c r="AD147" s="180"/>
      <c r="AE147" s="173" t="s">
        <v>69</v>
      </c>
      <c r="AF147" s="181" t="s">
        <v>119</v>
      </c>
      <c r="AG147" s="181" t="s">
        <v>795</v>
      </c>
      <c r="AH147" s="181">
        <v>44624</v>
      </c>
      <c r="AI147" s="181">
        <v>44658</v>
      </c>
      <c r="AJ147" s="181"/>
      <c r="AK147" s="181">
        <f ca="1">TODAY()</f>
        <v>44958</v>
      </c>
      <c r="AL147" s="173">
        <f ca="1">IF(AI147&lt;&gt;0,AK147-AI147,0)</f>
        <v>300</v>
      </c>
      <c r="AM147" s="173">
        <f ca="1">IF(ISNUMBER(X147)=TRUE,AK147-X147,IF(X147="","",(AK147)-(MID(RIGHT(X147,10),4,2)&amp;"/"&amp;LEFT((RIGHT(X147,10)),2)&amp;"/"&amp;RIGHT(X147,4))))</f>
        <v>79</v>
      </c>
      <c r="AN147" s="181" t="s">
        <v>796</v>
      </c>
      <c r="AO147" s="190" t="s">
        <v>705</v>
      </c>
      <c r="AP147" s="176">
        <v>9.9380000000000006</v>
      </c>
      <c r="AQ147" s="176">
        <v>9.9580000000000002</v>
      </c>
      <c r="AR147" s="176">
        <v>9.9829999999999988</v>
      </c>
      <c r="AS147" s="176">
        <v>9.9879999999999995</v>
      </c>
      <c r="AT147" s="173">
        <f ca="1">IF(ISNUMBER(U147)=TRUE,AK147-U147,IF(U147="","",(AK147)-(MID(RIGHT(U147,10),4,2)&amp;"/"&amp;LEFT((RIGHT(U147,10)),2)&amp;"/"&amp;RIGHT(U147,4))))</f>
        <v>101</v>
      </c>
      <c r="AU147" s="173">
        <v>431</v>
      </c>
      <c r="AW147" s="142" t="s">
        <v>123</v>
      </c>
    </row>
    <row r="148" spans="2:49" s="142" customFormat="1" ht="21" customHeight="1" x14ac:dyDescent="0.25">
      <c r="B148" s="173" t="str">
        <f>IF(C148="HOLD RM","HOLD RM",IF(C148="BAL","WIP",IF(C148="HOLD SLT","HOLD SLT",IF(C148="MILL","RM",IF(C148="RE SLT","WIP",IF(C148="RM","RM",IF(C148="RM BAL","RM",IF(C148="RM SLT","RM",IF(C148="RR","WIP",IF(C148="SKP","WIP",IF(C148="SLT","WIP",IF(C148="CTL","WIP",IF(C148="RM SLT RUST","RM SLT RUST",0)))))))))))))&amp;"-"&amp;G148&amp;"/"&amp;IF(H148="2B","2B",IF(H148="NO.1","1D",IF(H148="FH","FH",0)))&amp;"-"&amp;IF(J148="",(TEXT(I148,"0.00")),TEXT(J148,"0.00"))&amp;"X"&amp;M148</f>
        <v>WIP-J3/2B-0.50X610</v>
      </c>
      <c r="C148" s="173" t="s">
        <v>775</v>
      </c>
      <c r="D148" s="173" t="s">
        <v>776</v>
      </c>
      <c r="E148" s="190" t="s">
        <v>789</v>
      </c>
      <c r="F148" s="190" t="s">
        <v>797</v>
      </c>
      <c r="G148" s="173" t="s">
        <v>34</v>
      </c>
      <c r="H148" s="173" t="s">
        <v>114</v>
      </c>
      <c r="I148" s="174">
        <v>0.75</v>
      </c>
      <c r="J148" s="174">
        <v>0.5</v>
      </c>
      <c r="K148" s="174">
        <v>0.5</v>
      </c>
      <c r="L148" s="174">
        <v>0.52</v>
      </c>
      <c r="M148" s="191">
        <v>610</v>
      </c>
      <c r="N148" s="176">
        <v>4.7350000000000003</v>
      </c>
      <c r="O148" s="176" t="s">
        <v>114</v>
      </c>
      <c r="P148" s="177"/>
      <c r="Q148" s="178" t="s">
        <v>294</v>
      </c>
      <c r="R148" s="179"/>
      <c r="S148" s="179"/>
      <c r="T148" s="177">
        <v>44699</v>
      </c>
      <c r="U148" s="177">
        <v>44857</v>
      </c>
      <c r="V148" s="177">
        <v>44700</v>
      </c>
      <c r="W148" s="177">
        <v>44859</v>
      </c>
      <c r="X148" s="177" t="s">
        <v>798</v>
      </c>
      <c r="Y148" s="177"/>
      <c r="Z148" s="177" t="s">
        <v>794</v>
      </c>
      <c r="AA148" s="177"/>
      <c r="AB148" s="177"/>
      <c r="AC148" s="177"/>
      <c r="AD148" s="180"/>
      <c r="AE148" s="173" t="s">
        <v>69</v>
      </c>
      <c r="AF148" s="181" t="s">
        <v>119</v>
      </c>
      <c r="AG148" s="181" t="s">
        <v>795</v>
      </c>
      <c r="AH148" s="181">
        <v>44624</v>
      </c>
      <c r="AI148" s="181">
        <v>44658</v>
      </c>
      <c r="AJ148" s="181"/>
      <c r="AK148" s="181">
        <f ca="1">TODAY()</f>
        <v>44958</v>
      </c>
      <c r="AL148" s="173">
        <f ca="1">IF(AI148&lt;&gt;0,AK148-AI148,0)</f>
        <v>300</v>
      </c>
      <c r="AM148" s="173">
        <f ca="1">IF(ISNUMBER(X148)=TRUE,AK148-X148,IF(X148="","",(AK148)-(MID(RIGHT(X148,10),4,2)&amp;"/"&amp;LEFT((RIGHT(X148,10)),2)&amp;"/"&amp;RIGHT(X148,4))))</f>
        <v>81</v>
      </c>
      <c r="AN148" s="181" t="s">
        <v>796</v>
      </c>
      <c r="AO148" s="190" t="s">
        <v>705</v>
      </c>
      <c r="AP148" s="176">
        <v>9.9380000000000006</v>
      </c>
      <c r="AQ148" s="176">
        <v>9.9580000000000002</v>
      </c>
      <c r="AR148" s="176">
        <v>9.9829999999999988</v>
      </c>
      <c r="AS148" s="176">
        <v>9.9879999999999995</v>
      </c>
      <c r="AT148" s="173">
        <f ca="1">IF(ISNUMBER(U148)=TRUE,AK148-U148,IF(U148="","",(AK148)-(MID(RIGHT(U148,10),4,2)&amp;"/"&amp;LEFT((RIGHT(U148,10)),2)&amp;"/"&amp;RIGHT(U148,4))))</f>
        <v>101</v>
      </c>
      <c r="AU148" s="173">
        <v>431</v>
      </c>
      <c r="AW148" s="142" t="s">
        <v>123</v>
      </c>
    </row>
    <row r="149" spans="2:49" s="142" customFormat="1" ht="21" customHeight="1" x14ac:dyDescent="0.25">
      <c r="B149" s="173" t="str">
        <f>IF(C149="HOLD RM","HOLD RM",IF(C149="BAL","WIP",IF(C149="HOLD SLT","HOLD SLT",IF(C149="MILL","RM",IF(C149="RE SLT","WIP",IF(C149="RM","RM",IF(C149="RM BAL","RM",IF(C149="RM SLT","RM",IF(C149="RR","WIP",IF(C149="SKP","WIP",IF(C149="SLT","WIP",IF(C149="CTL","WIP",IF(C149="RM SLT RUST","RM SLT RUST",0)))))))))))))&amp;"-"&amp;G149&amp;"/"&amp;IF(H149="2B","2B",IF(H149="NO.1","1D",IF(H149="FH","FH",0)))&amp;"-"&amp;IF(J149="",(TEXT(I149,"0.00")),TEXT(J149,"0.00"))&amp;"X"&amp;M149</f>
        <v>RM-J3/1D-2.40X620</v>
      </c>
      <c r="C149" s="173" t="s">
        <v>13</v>
      </c>
      <c r="D149" s="173" t="s">
        <v>13</v>
      </c>
      <c r="E149" s="190" t="s">
        <v>799</v>
      </c>
      <c r="F149" s="190" t="s">
        <v>800</v>
      </c>
      <c r="G149" s="173" t="s">
        <v>34</v>
      </c>
      <c r="H149" s="173" t="s">
        <v>127</v>
      </c>
      <c r="I149" s="174">
        <v>2.4</v>
      </c>
      <c r="J149" s="174"/>
      <c r="K149" s="174"/>
      <c r="L149" s="174"/>
      <c r="M149" s="191">
        <v>620</v>
      </c>
      <c r="N149" s="176">
        <v>10.105</v>
      </c>
      <c r="O149" s="176"/>
      <c r="P149" s="177"/>
      <c r="Q149" s="178"/>
      <c r="R149" s="179"/>
      <c r="S149" s="179"/>
      <c r="T149" s="177"/>
      <c r="U149" s="177">
        <v>44951</v>
      </c>
      <c r="V149" s="177"/>
      <c r="W149" s="177"/>
      <c r="X149" s="177"/>
      <c r="Y149" s="177"/>
      <c r="Z149" s="177"/>
      <c r="AA149" s="177"/>
      <c r="AB149" s="177"/>
      <c r="AC149" s="177"/>
      <c r="AD149" s="180"/>
      <c r="AE149" s="173" t="s">
        <v>69</v>
      </c>
      <c r="AF149" s="181" t="s">
        <v>119</v>
      </c>
      <c r="AG149" s="181" t="s">
        <v>795</v>
      </c>
      <c r="AH149" s="181">
        <v>44624</v>
      </c>
      <c r="AI149" s="181">
        <v>44658</v>
      </c>
      <c r="AJ149" s="181"/>
      <c r="AK149" s="181">
        <f ca="1">TODAY()</f>
        <v>44958</v>
      </c>
      <c r="AL149" s="173">
        <f ca="1">IF(AI149&lt;&gt;0,AK149-AI149,0)</f>
        <v>300</v>
      </c>
      <c r="AM149" s="173" t="str">
        <f>IF(ISNUMBER(X149)=TRUE,AK149-X149,IF(X149="","",(AK149)-(MID(RIGHT(X149,10),4,2)&amp;"/"&amp;LEFT((RIGHT(X149,10)),2)&amp;"/"&amp;RIGHT(X149,4))))</f>
        <v/>
      </c>
      <c r="AN149" s="181" t="s">
        <v>801</v>
      </c>
      <c r="AO149" s="190" t="s">
        <v>802</v>
      </c>
      <c r="AP149" s="176">
        <v>10.105</v>
      </c>
      <c r="AQ149" s="176">
        <v>10.125</v>
      </c>
      <c r="AR149" s="176">
        <v>10.149999999999999</v>
      </c>
      <c r="AS149" s="176">
        <v>10.154999999999999</v>
      </c>
      <c r="AT149" s="173">
        <f ca="1">IF(ISNUMBER(U149)=TRUE,AK149-U149,IF(U149="","",(AK149)-(MID(RIGHT(U149,10),4,2)&amp;"/"&amp;LEFT((RIGHT(U149,10)),2)&amp;"/"&amp;RIGHT(U149,4))))</f>
        <v>7</v>
      </c>
      <c r="AU149" s="173">
        <v>431</v>
      </c>
      <c r="AW149" s="142" t="s">
        <v>123</v>
      </c>
    </row>
    <row r="150" spans="2:49" s="142" customFormat="1" ht="21" customHeight="1" x14ac:dyDescent="0.25">
      <c r="B150" s="173" t="str">
        <f>IF(C150="HOLD RM","HOLD RM",IF(C150="BAL","WIP",IF(C150="HOLD SLT","HOLD SLT",IF(C150="MILL","RM",IF(C150="RE SLT","WIP",IF(C150="RM","RM",IF(C150="RM BAL","RM",IF(C150="RM SLT","RM",IF(C150="RR","WIP",IF(C150="SKP","WIP",IF(C150="SLT","WIP",IF(C150="CTL","WIP",IF(C150="RM SLT RUST","RM SLT RUST",0)))))))))))))&amp;"-"&amp;G150&amp;"/"&amp;IF(H150="2B","2B",IF(H150="NO.1","1D",IF(H150="FH","FH",0)))&amp;"-"&amp;IF(J150="",(TEXT(I150,"0.00")),TEXT(J150,"0.00"))&amp;"X"&amp;M150</f>
        <v>WIP-J3/FH-0.55X620</v>
      </c>
      <c r="C150" s="173" t="s">
        <v>16</v>
      </c>
      <c r="D150" s="173" t="s">
        <v>16</v>
      </c>
      <c r="E150" s="190" t="s">
        <v>803</v>
      </c>
      <c r="F150" s="190" t="s">
        <v>804</v>
      </c>
      <c r="G150" s="173" t="s">
        <v>34</v>
      </c>
      <c r="H150" s="173" t="s">
        <v>70</v>
      </c>
      <c r="I150" s="174">
        <v>0.91</v>
      </c>
      <c r="J150" s="174">
        <v>0.55000000000000004</v>
      </c>
      <c r="K150" s="174"/>
      <c r="L150" s="174"/>
      <c r="M150" s="191">
        <v>620</v>
      </c>
      <c r="N150" s="176">
        <v>10.15</v>
      </c>
      <c r="O150" s="176" t="s">
        <v>114</v>
      </c>
      <c r="P150" s="177"/>
      <c r="Q150" s="178" t="s">
        <v>294</v>
      </c>
      <c r="R150" s="178" t="s">
        <v>805</v>
      </c>
      <c r="S150" s="179"/>
      <c r="T150" s="177">
        <v>44698</v>
      </c>
      <c r="U150" s="177"/>
      <c r="V150" s="177">
        <v>44698</v>
      </c>
      <c r="W150" s="177">
        <v>44872</v>
      </c>
      <c r="X150" s="177">
        <v>44700</v>
      </c>
      <c r="Y150" s="177"/>
      <c r="Z150" s="177">
        <v>44701</v>
      </c>
      <c r="AA150" s="177"/>
      <c r="AB150" s="177"/>
      <c r="AC150" s="177"/>
      <c r="AD150" s="180"/>
      <c r="AE150" s="173" t="s">
        <v>69</v>
      </c>
      <c r="AF150" s="181" t="s">
        <v>119</v>
      </c>
      <c r="AG150" s="181" t="s">
        <v>795</v>
      </c>
      <c r="AH150" s="181">
        <v>44624</v>
      </c>
      <c r="AI150" s="181">
        <v>44658</v>
      </c>
      <c r="AJ150" s="181"/>
      <c r="AK150" s="181">
        <f ca="1">TODAY()</f>
        <v>44958</v>
      </c>
      <c r="AL150" s="173">
        <f ca="1">IF(AI150&lt;&gt;0,AK150-AI150,0)</f>
        <v>300</v>
      </c>
      <c r="AM150" s="173">
        <f ca="1">IF(ISNUMBER(X150)=TRUE,AK150-X150,IF(X150="","",(AK150)-(MID(RIGHT(X150,10),4,2)&amp;"/"&amp;LEFT((RIGHT(X150,10)),2)&amp;"/"&amp;RIGHT(X150,4))))</f>
        <v>258</v>
      </c>
      <c r="AN150" s="181" t="s">
        <v>806</v>
      </c>
      <c r="AO150" s="190" t="s">
        <v>734</v>
      </c>
      <c r="AP150" s="176">
        <v>10.175000000000001</v>
      </c>
      <c r="AQ150" s="176">
        <v>10.195</v>
      </c>
      <c r="AR150" s="176">
        <v>10.219999999999999</v>
      </c>
      <c r="AS150" s="176">
        <v>10.225</v>
      </c>
      <c r="AT150" s="173" t="str">
        <f>IF(ISNUMBER(U150)=TRUE,AK150-U150,IF(U150="","",(AK150)-(MID(RIGHT(U150,10),4,2)&amp;"/"&amp;LEFT((RIGHT(U150,10)),2)&amp;"/"&amp;RIGHT(U150,4))))</f>
        <v/>
      </c>
      <c r="AU150" s="173">
        <v>431</v>
      </c>
      <c r="AW150" s="142" t="s">
        <v>123</v>
      </c>
    </row>
    <row r="151" spans="2:49" s="142" customFormat="1" ht="21" customHeight="1" x14ac:dyDescent="0.25">
      <c r="B151" s="173" t="str">
        <f>IF(C151="HOLD RM","HOLD RM",IF(C151="BAL","WIP",IF(C151="HOLD SLT","HOLD SLT",IF(C151="MILL","RM",IF(C151="RE SLT","WIP",IF(C151="RM","RM",IF(C151="RM BAL","RM",IF(C151="RM SLT","RM",IF(C151="RR","WIP",IF(C151="SKP","WIP",IF(C151="SLT","WIP",IF(C151="CTL","WIP",IF(C151="RM SLT RUST","RM SLT RUST",0)))))))))))))&amp;"-"&amp;G151&amp;"/"&amp;IF(H151="2B","2B",IF(H151="NO.1","1D",IF(H151="FH","FH",0)))&amp;"-"&amp;IF(J151="",(TEXT(I151,"0.00")),TEXT(J151,"0.00"))&amp;"X"&amp;M151</f>
        <v>WIP-J3/FH-0.75X620</v>
      </c>
      <c r="C151" s="173" t="s">
        <v>16</v>
      </c>
      <c r="D151" s="173" t="s">
        <v>16</v>
      </c>
      <c r="E151" s="190" t="s">
        <v>807</v>
      </c>
      <c r="F151" s="190" t="s">
        <v>808</v>
      </c>
      <c r="G151" s="173" t="s">
        <v>34</v>
      </c>
      <c r="H151" s="173" t="s">
        <v>70</v>
      </c>
      <c r="I151" s="174">
        <v>2.4</v>
      </c>
      <c r="J151" s="174">
        <v>0.75</v>
      </c>
      <c r="K151" s="174"/>
      <c r="L151" s="174"/>
      <c r="M151" s="191">
        <v>620</v>
      </c>
      <c r="N151" s="176">
        <v>9.9760000000000009</v>
      </c>
      <c r="O151" s="176" t="s">
        <v>114</v>
      </c>
      <c r="P151" s="177"/>
      <c r="Q151" s="178" t="s">
        <v>295</v>
      </c>
      <c r="R151" s="179"/>
      <c r="S151" s="179"/>
      <c r="T151" s="177">
        <v>44907</v>
      </c>
      <c r="U151" s="177"/>
      <c r="V151" s="177"/>
      <c r="W151" s="177">
        <v>44909</v>
      </c>
      <c r="X151" s="177"/>
      <c r="Y151" s="177"/>
      <c r="Z151" s="177"/>
      <c r="AA151" s="177"/>
      <c r="AB151" s="177"/>
      <c r="AC151" s="177"/>
      <c r="AD151" s="180"/>
      <c r="AE151" s="173" t="s">
        <v>69</v>
      </c>
      <c r="AF151" s="181" t="s">
        <v>119</v>
      </c>
      <c r="AG151" s="181" t="s">
        <v>795</v>
      </c>
      <c r="AH151" s="181">
        <v>44624</v>
      </c>
      <c r="AI151" s="181">
        <v>44658</v>
      </c>
      <c r="AJ151" s="181"/>
      <c r="AK151" s="181">
        <f ca="1">TODAY()</f>
        <v>44958</v>
      </c>
      <c r="AL151" s="173">
        <f ca="1">IF(AI151&lt;&gt;0,AK151-AI151,0)</f>
        <v>300</v>
      </c>
      <c r="AM151" s="173" t="str">
        <f>IF(ISNUMBER(X151)=TRUE,AK151-X151,IF(X151="","",(AK151)-(MID(RIGHT(X151,10),4,2)&amp;"/"&amp;LEFT((RIGHT(X151,10)),2)&amp;"/"&amp;RIGHT(X151,4))))</f>
        <v/>
      </c>
      <c r="AN151" s="181" t="s">
        <v>809</v>
      </c>
      <c r="AO151" s="190" t="s">
        <v>810</v>
      </c>
      <c r="AP151" s="176">
        <v>9.9760000000000009</v>
      </c>
      <c r="AQ151" s="176">
        <v>9.9960000000000004</v>
      </c>
      <c r="AR151" s="176">
        <v>10.020999999999999</v>
      </c>
      <c r="AS151" s="176">
        <v>10.026</v>
      </c>
      <c r="AT151" s="173" t="str">
        <f>IF(ISNUMBER(U151)=TRUE,AK151-U151,IF(U151="","",(AK151)-(MID(RIGHT(U151,10),4,2)&amp;"/"&amp;LEFT((RIGHT(U151,10)),2)&amp;"/"&amp;RIGHT(U151,4))))</f>
        <v/>
      </c>
      <c r="AU151" s="173">
        <v>431</v>
      </c>
      <c r="AW151" s="142" t="s">
        <v>123</v>
      </c>
    </row>
    <row r="152" spans="2:49" s="142" customFormat="1" ht="21" customHeight="1" x14ac:dyDescent="0.25">
      <c r="B152" s="173" t="str">
        <f>IF(C152="HOLD RM","HOLD RM",IF(C152="BAL","WIP",IF(C152="HOLD SLT","HOLD SLT",IF(C152="MILL","RM",IF(C152="RE SLT","WIP",IF(C152="RM","RM",IF(C152="RM BAL","RM",IF(C152="RM SLT","RM",IF(C152="RR","WIP",IF(C152="SKP","WIP",IF(C152="SLT","WIP",IF(C152="CTL","WIP",IF(C152="RM SLT RUST","RM SLT RUST",0)))))))))))))&amp;"-"&amp;G152&amp;"/"&amp;IF(H152="2B","2B",IF(H152="NO.1","1D",IF(H152="FH","FH",0)))&amp;"-"&amp;IF(J152="",(TEXT(I152,"0.00")),TEXT(J152,"0.00"))&amp;"X"&amp;M152</f>
        <v>RM-J3/1D-2.40X620</v>
      </c>
      <c r="C152" s="173" t="s">
        <v>48</v>
      </c>
      <c r="D152" s="173" t="s">
        <v>48</v>
      </c>
      <c r="E152" s="190" t="s">
        <v>811</v>
      </c>
      <c r="F152" s="190" t="s">
        <v>812</v>
      </c>
      <c r="G152" s="173" t="s">
        <v>34</v>
      </c>
      <c r="H152" s="173" t="s">
        <v>127</v>
      </c>
      <c r="I152" s="174">
        <v>2.4</v>
      </c>
      <c r="J152" s="174"/>
      <c r="K152" s="174"/>
      <c r="L152" s="174"/>
      <c r="M152" s="191">
        <v>620</v>
      </c>
      <c r="N152" s="176">
        <v>10.172000000000001</v>
      </c>
      <c r="O152" s="176"/>
      <c r="P152" s="177"/>
      <c r="Q152" s="178"/>
      <c r="R152" s="179"/>
      <c r="S152" s="179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80"/>
      <c r="AE152" s="173" t="s">
        <v>69</v>
      </c>
      <c r="AF152" s="181" t="s">
        <v>119</v>
      </c>
      <c r="AG152" s="181" t="s">
        <v>795</v>
      </c>
      <c r="AH152" s="181">
        <v>44624</v>
      </c>
      <c r="AI152" s="181">
        <v>44658</v>
      </c>
      <c r="AJ152" s="181"/>
      <c r="AK152" s="181">
        <f ca="1">TODAY()</f>
        <v>44958</v>
      </c>
      <c r="AL152" s="173">
        <f ca="1">IF(AI152&lt;&gt;0,AK152-AI152,0)</f>
        <v>300</v>
      </c>
      <c r="AM152" s="173" t="str">
        <f>IF(ISNUMBER(X152)=TRUE,AK152-X152,IF(X152="","",(AK152)-(MID(RIGHT(X152,10),4,2)&amp;"/"&amp;LEFT((RIGHT(X152,10)),2)&amp;"/"&amp;RIGHT(X152,4))))</f>
        <v/>
      </c>
      <c r="AN152" s="181" t="s">
        <v>813</v>
      </c>
      <c r="AO152" s="190" t="s">
        <v>814</v>
      </c>
      <c r="AP152" s="176">
        <v>10.172000000000001</v>
      </c>
      <c r="AQ152" s="176">
        <v>10.192</v>
      </c>
      <c r="AR152" s="176">
        <v>10.216999999999999</v>
      </c>
      <c r="AS152" s="176">
        <v>10.222</v>
      </c>
      <c r="AT152" s="173" t="str">
        <f>IF(ISNUMBER(U152)=TRUE,AK152-U152,IF(U152="","",(AK152)-(MID(RIGHT(U152,10),4,2)&amp;"/"&amp;LEFT((RIGHT(U152,10)),2)&amp;"/"&amp;RIGHT(U152,4))))</f>
        <v/>
      </c>
      <c r="AU152" s="173">
        <v>431</v>
      </c>
      <c r="AW152" s="142" t="s">
        <v>123</v>
      </c>
    </row>
    <row r="153" spans="2:49" s="142" customFormat="1" ht="21" customHeight="1" x14ac:dyDescent="0.25">
      <c r="B153" s="173" t="str">
        <f>IF(C153="HOLD RM","HOLD RM",IF(C153="BAL","WIP",IF(C153="HOLD SLT","HOLD SLT",IF(C153="MILL","RM",IF(C153="RE SLT","WIP",IF(C153="RM","RM",IF(C153="RM BAL","RM",IF(C153="RM SLT","RM",IF(C153="RR","WIP",IF(C153="SKP","WIP",IF(C153="SLT","WIP",IF(C153="CTL","WIP",IF(C153="RM SLT RUST","RM SLT RUST",0)))))))))))))&amp;"-"&amp;G153&amp;"/"&amp;IF(H153="2B","2B",IF(H153="NO.1","1D",IF(H153="FH","FH",0)))&amp;"-"&amp;IF(J153="",(TEXT(I153,"0.00")),TEXT(J153,"0.00"))&amp;"X"&amp;M153</f>
        <v>RM-J3/1D-2.40X620</v>
      </c>
      <c r="C153" s="173" t="s">
        <v>48</v>
      </c>
      <c r="D153" s="173" t="s">
        <v>48</v>
      </c>
      <c r="E153" s="190" t="s">
        <v>815</v>
      </c>
      <c r="F153" s="190" t="s">
        <v>816</v>
      </c>
      <c r="G153" s="173" t="s">
        <v>34</v>
      </c>
      <c r="H153" s="173" t="s">
        <v>127</v>
      </c>
      <c r="I153" s="174">
        <v>2.4</v>
      </c>
      <c r="J153" s="174"/>
      <c r="K153" s="174"/>
      <c r="L153" s="174"/>
      <c r="M153" s="191">
        <v>620</v>
      </c>
      <c r="N153" s="176">
        <v>10.198</v>
      </c>
      <c r="O153" s="176"/>
      <c r="P153" s="177"/>
      <c r="Q153" s="178"/>
      <c r="R153" s="179"/>
      <c r="S153" s="179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80"/>
      <c r="AE153" s="173" t="s">
        <v>69</v>
      </c>
      <c r="AF153" s="181" t="s">
        <v>119</v>
      </c>
      <c r="AG153" s="181" t="s">
        <v>795</v>
      </c>
      <c r="AH153" s="181">
        <v>44624</v>
      </c>
      <c r="AI153" s="181">
        <v>44658</v>
      </c>
      <c r="AJ153" s="181"/>
      <c r="AK153" s="181">
        <f ca="1">TODAY()</f>
        <v>44958</v>
      </c>
      <c r="AL153" s="173">
        <f ca="1">IF(AI153&lt;&gt;0,AK153-AI153,0)</f>
        <v>300</v>
      </c>
      <c r="AM153" s="173" t="str">
        <f>IF(ISNUMBER(X153)=TRUE,AK153-X153,IF(X153="","",(AK153)-(MID(RIGHT(X153,10),4,2)&amp;"/"&amp;LEFT((RIGHT(X153,10)),2)&amp;"/"&amp;RIGHT(X153,4))))</f>
        <v/>
      </c>
      <c r="AN153" s="181" t="s">
        <v>801</v>
      </c>
      <c r="AO153" s="190" t="s">
        <v>814</v>
      </c>
      <c r="AP153" s="176">
        <v>10.198</v>
      </c>
      <c r="AQ153" s="176">
        <v>10.218</v>
      </c>
      <c r="AR153" s="176">
        <v>10.242999999999999</v>
      </c>
      <c r="AS153" s="176">
        <v>10.247999999999999</v>
      </c>
      <c r="AT153" s="173" t="str">
        <f>IF(ISNUMBER(U153)=TRUE,AK153-U153,IF(U153="","",(AK153)-(MID(RIGHT(U153,10),4,2)&amp;"/"&amp;LEFT((RIGHT(U153,10)),2)&amp;"/"&amp;RIGHT(U153,4))))</f>
        <v/>
      </c>
      <c r="AU153" s="173">
        <v>431</v>
      </c>
      <c r="AW153" s="142" t="s">
        <v>123</v>
      </c>
    </row>
    <row r="154" spans="2:49" s="142" customFormat="1" ht="21" customHeight="1" x14ac:dyDescent="0.25">
      <c r="B154" s="173" t="str">
        <f>IF(C154="HOLD RM","HOLD RM",IF(C154="BAL","WIP",IF(C154="HOLD SLT","HOLD SLT",IF(C154="MILL","RM",IF(C154="RE SLT","WIP",IF(C154="RM","RM",IF(C154="RM BAL","RM",IF(C154="RM SLT","RM",IF(C154="RR","WIP",IF(C154="SKP","WIP",IF(C154="SLT","WIP",IF(C154="CTL","WIP",IF(C154="RM SLT RUST","RM SLT RUST",0)))))))))))))&amp;"-"&amp;G154&amp;"/"&amp;IF(H154="2B","2B",IF(H154="NO.1","1D",IF(H154="FH","FH",0)))&amp;"-"&amp;IF(J154="",(TEXT(I154,"0.00")),TEXT(J154,"0.00"))&amp;"X"&amp;M154</f>
        <v>RM-J3/1D-2.40X620</v>
      </c>
      <c r="C154" s="173" t="s">
        <v>48</v>
      </c>
      <c r="D154" s="173" t="s">
        <v>48</v>
      </c>
      <c r="E154" s="190" t="s">
        <v>817</v>
      </c>
      <c r="F154" s="190" t="s">
        <v>818</v>
      </c>
      <c r="G154" s="173" t="s">
        <v>34</v>
      </c>
      <c r="H154" s="173" t="s">
        <v>127</v>
      </c>
      <c r="I154" s="174">
        <v>2.4</v>
      </c>
      <c r="J154" s="174"/>
      <c r="K154" s="174"/>
      <c r="L154" s="174"/>
      <c r="M154" s="191">
        <v>620</v>
      </c>
      <c r="N154" s="176">
        <v>5.1479999999999997</v>
      </c>
      <c r="O154" s="176"/>
      <c r="P154" s="177"/>
      <c r="Q154" s="178"/>
      <c r="R154" s="179"/>
      <c r="S154" s="179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80"/>
      <c r="AE154" s="173" t="s">
        <v>69</v>
      </c>
      <c r="AF154" s="181" t="s">
        <v>248</v>
      </c>
      <c r="AG154" s="181" t="s">
        <v>819</v>
      </c>
      <c r="AH154" s="181">
        <v>44640</v>
      </c>
      <c r="AI154" s="181">
        <v>44665</v>
      </c>
      <c r="AJ154" s="181"/>
      <c r="AK154" s="181">
        <f ca="1">TODAY()</f>
        <v>44958</v>
      </c>
      <c r="AL154" s="173">
        <f ca="1">IF(AI154&lt;&gt;0,AK154-AI154,0)</f>
        <v>293</v>
      </c>
      <c r="AM154" s="173" t="str">
        <f>IF(ISNUMBER(X154)=TRUE,AK154-X154,IF(X154="","",(AK154)-(MID(RIGHT(X154,10),4,2)&amp;"/"&amp;LEFT((RIGHT(X154,10)),2)&amp;"/"&amp;RIGHT(X154,4))))</f>
        <v/>
      </c>
      <c r="AN154" s="181"/>
      <c r="AO154" s="190" t="s">
        <v>739</v>
      </c>
      <c r="AP154" s="176">
        <v>5.1479999999999997</v>
      </c>
      <c r="AQ154" s="176">
        <v>5.1879999999999997</v>
      </c>
      <c r="AR154" s="176">
        <v>5.2130000000000001</v>
      </c>
      <c r="AS154" s="176">
        <v>5.218</v>
      </c>
      <c r="AT154" s="173" t="str">
        <f>IF(ISNUMBER(U154)=TRUE,AK154-U154,IF(U154="","",(AK154)-(MID(RIGHT(U154,10),4,2)&amp;"/"&amp;LEFT((RIGHT(U154,10)),2)&amp;"/"&amp;RIGHT(U154,4))))</f>
        <v/>
      </c>
      <c r="AU154" s="173">
        <v>432</v>
      </c>
      <c r="AW154" s="142" t="s">
        <v>123</v>
      </c>
    </row>
    <row r="155" spans="2:49" s="142" customFormat="1" ht="21" customHeight="1" x14ac:dyDescent="0.25">
      <c r="B155" s="173" t="str">
        <f>IF(C155="HOLD RM","HOLD RM",IF(C155="BAL","WIP",IF(C155="HOLD SLT","HOLD SLT",IF(C155="MILL","RM",IF(C155="RE SLT","WIP",IF(C155="RM","RM",IF(C155="RM BAL","RM",IF(C155="RM SLT","RM",IF(C155="RR","WIP",IF(C155="SKP","WIP",IF(C155="SLT","WIP",IF(C155="CTL","WIP",IF(C155="RM SLT RUST","RM SLT RUST",0)))))))))))))&amp;"-"&amp;G155&amp;"/"&amp;IF(H155="2B","2B",IF(H155="NO.1","1D",IF(H155="FH","FH",0)))&amp;"-"&amp;IF(J155="",(TEXT(I155,"0.00")),TEXT(J155,"0.00"))&amp;"X"&amp;M155</f>
        <v>RM-J3/1D-2.20X620</v>
      </c>
      <c r="C155" s="173" t="s">
        <v>48</v>
      </c>
      <c r="D155" s="173" t="s">
        <v>48</v>
      </c>
      <c r="E155" s="190" t="s">
        <v>820</v>
      </c>
      <c r="F155" s="190" t="s">
        <v>821</v>
      </c>
      <c r="G155" s="173" t="s">
        <v>34</v>
      </c>
      <c r="H155" s="173" t="s">
        <v>127</v>
      </c>
      <c r="I155" s="174">
        <v>2.2000000000000002</v>
      </c>
      <c r="J155" s="174"/>
      <c r="K155" s="174"/>
      <c r="L155" s="174"/>
      <c r="M155" s="191">
        <v>620</v>
      </c>
      <c r="N155" s="176">
        <v>9.9600000000000009</v>
      </c>
      <c r="O155" s="176"/>
      <c r="P155" s="177"/>
      <c r="Q155" s="178"/>
      <c r="R155" s="179"/>
      <c r="S155" s="179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80"/>
      <c r="AE155" s="173" t="s">
        <v>69</v>
      </c>
      <c r="AF155" s="181" t="s">
        <v>248</v>
      </c>
      <c r="AG155" s="181" t="s">
        <v>819</v>
      </c>
      <c r="AH155" s="181">
        <v>44640</v>
      </c>
      <c r="AI155" s="181">
        <v>44665</v>
      </c>
      <c r="AJ155" s="181"/>
      <c r="AK155" s="181">
        <f ca="1">TODAY()</f>
        <v>44958</v>
      </c>
      <c r="AL155" s="173">
        <f ca="1">IF(AI155&lt;&gt;0,AK155-AI155,0)</f>
        <v>293</v>
      </c>
      <c r="AM155" s="173" t="str">
        <f>IF(ISNUMBER(X155)=TRUE,AK155-X155,IF(X155="","",(AK155)-(MID(RIGHT(X155,10),4,2)&amp;"/"&amp;LEFT((RIGHT(X155,10)),2)&amp;"/"&amp;RIGHT(X155,4))))</f>
        <v/>
      </c>
      <c r="AN155" s="181"/>
      <c r="AO155" s="190" t="s">
        <v>822</v>
      </c>
      <c r="AP155" s="176">
        <v>9.9600000000000009</v>
      </c>
      <c r="AQ155" s="176">
        <v>10</v>
      </c>
      <c r="AR155" s="176">
        <v>10.024999999999999</v>
      </c>
      <c r="AS155" s="176">
        <v>10.029999999999999</v>
      </c>
      <c r="AT155" s="173" t="str">
        <f>IF(ISNUMBER(U155)=TRUE,AK155-U155,IF(U155="","",(AK155)-(MID(RIGHT(U155,10),4,2)&amp;"/"&amp;LEFT((RIGHT(U155,10)),2)&amp;"/"&amp;RIGHT(U155,4))))</f>
        <v/>
      </c>
      <c r="AU155" s="173">
        <v>432</v>
      </c>
      <c r="AW155" s="142" t="s">
        <v>123</v>
      </c>
    </row>
    <row r="156" spans="2:49" s="142" customFormat="1" ht="21" customHeight="1" x14ac:dyDescent="0.25">
      <c r="B156" s="173" t="str">
        <f>IF(C156="HOLD RM","HOLD RM",IF(C156="BAL","WIP",IF(C156="HOLD SLT","HOLD SLT",IF(C156="MILL","RM",IF(C156="RE SLT","WIP",IF(C156="RM","RM",IF(C156="RM BAL","RM",IF(C156="RM SLT","RM",IF(C156="RR","WIP",IF(C156="SKP","WIP",IF(C156="SLT","WIP",IF(C156="CTL","WIP",IF(C156="RM SLT RUST","RM SLT RUST",0)))))))))))))&amp;"-"&amp;G156&amp;"/"&amp;IF(H156="2B","2B",IF(H156="NO.1","1D",IF(H156="FH","FH",0)))&amp;"-"&amp;IF(J156="",(TEXT(I156,"0.00")),TEXT(J156,"0.00"))&amp;"X"&amp;M156</f>
        <v>WIP-J3/FH-1.40X620</v>
      </c>
      <c r="C156" s="173" t="s">
        <v>16</v>
      </c>
      <c r="D156" s="173" t="s">
        <v>16</v>
      </c>
      <c r="E156" s="190" t="s">
        <v>823</v>
      </c>
      <c r="F156" s="190" t="s">
        <v>824</v>
      </c>
      <c r="G156" s="173" t="s">
        <v>34</v>
      </c>
      <c r="H156" s="173" t="s">
        <v>70</v>
      </c>
      <c r="I156" s="174">
        <v>2.4</v>
      </c>
      <c r="J156" s="174">
        <v>1.4</v>
      </c>
      <c r="K156" s="174"/>
      <c r="L156" s="174"/>
      <c r="M156" s="191">
        <v>620</v>
      </c>
      <c r="N156" s="176">
        <v>4.968</v>
      </c>
      <c r="O156" s="176" t="s">
        <v>114</v>
      </c>
      <c r="P156" s="177"/>
      <c r="Q156" s="178" t="s">
        <v>295</v>
      </c>
      <c r="R156" s="179"/>
      <c r="S156" s="179"/>
      <c r="T156" s="177">
        <v>44907</v>
      </c>
      <c r="U156" s="177"/>
      <c r="V156" s="177"/>
      <c r="W156" s="177">
        <v>44909</v>
      </c>
      <c r="X156" s="177"/>
      <c r="Y156" s="177"/>
      <c r="Z156" s="177"/>
      <c r="AA156" s="177"/>
      <c r="AB156" s="177"/>
      <c r="AC156" s="177"/>
      <c r="AD156" s="180"/>
      <c r="AE156" s="173" t="s">
        <v>69</v>
      </c>
      <c r="AF156" s="181" t="s">
        <v>248</v>
      </c>
      <c r="AG156" s="181" t="s">
        <v>819</v>
      </c>
      <c r="AH156" s="181">
        <v>44640</v>
      </c>
      <c r="AI156" s="181">
        <v>44665</v>
      </c>
      <c r="AJ156" s="181"/>
      <c r="AK156" s="181">
        <f ca="1">TODAY()</f>
        <v>44958</v>
      </c>
      <c r="AL156" s="173">
        <f ca="1">IF(AI156&lt;&gt;0,AK156-AI156,0)</f>
        <v>293</v>
      </c>
      <c r="AM156" s="173" t="str">
        <f>IF(ISNUMBER(X156)=TRUE,AK156-X156,IF(X156="","",(AK156)-(MID(RIGHT(X156,10),4,2)&amp;"/"&amp;LEFT((RIGHT(X156,10)),2)&amp;"/"&amp;RIGHT(X156,4))))</f>
        <v/>
      </c>
      <c r="AN156" s="181"/>
      <c r="AO156" s="190" t="s">
        <v>825</v>
      </c>
      <c r="AP156" s="176">
        <v>4.968</v>
      </c>
      <c r="AQ156" s="176">
        <v>5.008</v>
      </c>
      <c r="AR156" s="176">
        <v>5.0330000000000004</v>
      </c>
      <c r="AS156" s="176">
        <v>5.0380000000000003</v>
      </c>
      <c r="AT156" s="173" t="str">
        <f>IF(ISNUMBER(U156)=TRUE,AK156-U156,IF(U156="","",(AK156)-(MID(RIGHT(U156,10),4,2)&amp;"/"&amp;LEFT((RIGHT(U156,10)),2)&amp;"/"&amp;RIGHT(U156,4))))</f>
        <v/>
      </c>
      <c r="AU156" s="173">
        <v>432</v>
      </c>
      <c r="AW156" s="142" t="s">
        <v>123</v>
      </c>
    </row>
    <row r="157" spans="2:49" s="142" customFormat="1" ht="21" customHeight="1" x14ac:dyDescent="0.25">
      <c r="B157" s="173" t="str">
        <f>IF(C157="HOLD RM","HOLD RM",IF(C157="BAL","WIP",IF(C157="HOLD SLT","HOLD SLT",IF(C157="MILL","RM",IF(C157="RE SLT","WIP",IF(C157="RM","RM",IF(C157="RM BAL","RM",IF(C157="RM SLT","RM",IF(C157="RR","WIP",IF(C157="SKP","WIP",IF(C157="SLT","WIP",IF(C157="CTL","WIP",IF(C157="RM SLT RUST","RM SLT RUST",0)))))))))))))&amp;"-"&amp;G157&amp;"/"&amp;IF(H157="2B","2B",IF(H157="NO.1","1D",IF(H157="FH","FH",0)))&amp;"-"&amp;IF(J157="",(TEXT(I157,"0.00")),TEXT(J157,"0.00"))&amp;"X"&amp;M157</f>
        <v>RM-J3/1D-2.40X620</v>
      </c>
      <c r="C157" s="173" t="s">
        <v>48</v>
      </c>
      <c r="D157" s="173" t="s">
        <v>48</v>
      </c>
      <c r="E157" s="190" t="s">
        <v>826</v>
      </c>
      <c r="F157" s="190" t="s">
        <v>827</v>
      </c>
      <c r="G157" s="173" t="s">
        <v>34</v>
      </c>
      <c r="H157" s="173" t="s">
        <v>127</v>
      </c>
      <c r="I157" s="174">
        <v>2.4</v>
      </c>
      <c r="J157" s="174"/>
      <c r="K157" s="174"/>
      <c r="L157" s="174"/>
      <c r="M157" s="191">
        <v>620</v>
      </c>
      <c r="N157" s="176">
        <v>5.0960000000000001</v>
      </c>
      <c r="O157" s="176"/>
      <c r="P157" s="177"/>
      <c r="Q157" s="178"/>
      <c r="R157" s="179"/>
      <c r="S157" s="179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80"/>
      <c r="AE157" s="173" t="s">
        <v>69</v>
      </c>
      <c r="AF157" s="181" t="s">
        <v>248</v>
      </c>
      <c r="AG157" s="181" t="s">
        <v>819</v>
      </c>
      <c r="AH157" s="181">
        <v>44640</v>
      </c>
      <c r="AI157" s="181">
        <v>44665</v>
      </c>
      <c r="AJ157" s="181"/>
      <c r="AK157" s="181">
        <f ca="1">TODAY()</f>
        <v>44958</v>
      </c>
      <c r="AL157" s="173">
        <f ca="1">IF(AI157&lt;&gt;0,AK157-AI157,0)</f>
        <v>293</v>
      </c>
      <c r="AM157" s="173" t="str">
        <f>IF(ISNUMBER(X157)=TRUE,AK157-X157,IF(X157="","",(AK157)-(MID(RIGHT(X157,10),4,2)&amp;"/"&amp;LEFT((RIGHT(X157,10)),2)&amp;"/"&amp;RIGHT(X157,4))))</f>
        <v/>
      </c>
      <c r="AN157" s="181"/>
      <c r="AO157" s="190" t="s">
        <v>825</v>
      </c>
      <c r="AP157" s="176">
        <v>5.0960000000000001</v>
      </c>
      <c r="AQ157" s="176">
        <v>5.1360000000000001</v>
      </c>
      <c r="AR157" s="176">
        <v>5.1610000000000005</v>
      </c>
      <c r="AS157" s="176">
        <v>5.1660000000000004</v>
      </c>
      <c r="AT157" s="173" t="str">
        <f>IF(ISNUMBER(U157)=TRUE,AK157-U157,IF(U157="","",(AK157)-(MID(RIGHT(U157,10),4,2)&amp;"/"&amp;LEFT((RIGHT(U157,10)),2)&amp;"/"&amp;RIGHT(U157,4))))</f>
        <v/>
      </c>
      <c r="AU157" s="173">
        <v>432</v>
      </c>
      <c r="AW157" s="142" t="s">
        <v>123</v>
      </c>
    </row>
    <row r="158" spans="2:49" s="142" customFormat="1" ht="21" customHeight="1" x14ac:dyDescent="0.25">
      <c r="B158" s="173" t="str">
        <f>IF(C158="HOLD RM","HOLD RM",IF(C158="BAL","WIP",IF(C158="HOLD SLT","HOLD SLT",IF(C158="MILL","RM",IF(C158="RE SLT","WIP",IF(C158="RM","RM",IF(C158="RM BAL","RM",IF(C158="RM SLT","RM",IF(C158="RR","WIP",IF(C158="SKP","WIP",IF(C158="SLT","WIP",IF(C158="CTL","WIP",IF(C158="RM SLT RUST","RM SLT RUST",0)))))))))))))&amp;"-"&amp;G158&amp;"/"&amp;IF(H158="2B","2B",IF(H158="NO.1","1D",IF(H158="FH","FH",0)))&amp;"-"&amp;IF(J158="",(TEXT(I158,"0.00")),TEXT(J158,"0.00"))&amp;"X"&amp;M158</f>
        <v>RM-J3/1D-2.40X620</v>
      </c>
      <c r="C158" s="173" t="s">
        <v>48</v>
      </c>
      <c r="D158" s="173" t="s">
        <v>48</v>
      </c>
      <c r="E158" s="190" t="s">
        <v>828</v>
      </c>
      <c r="F158" s="190" t="s">
        <v>829</v>
      </c>
      <c r="G158" s="173" t="s">
        <v>34</v>
      </c>
      <c r="H158" s="173" t="s">
        <v>127</v>
      </c>
      <c r="I158" s="174">
        <v>2.4</v>
      </c>
      <c r="J158" s="174"/>
      <c r="K158" s="174"/>
      <c r="L158" s="174"/>
      <c r="M158" s="191">
        <v>620</v>
      </c>
      <c r="N158" s="176">
        <v>5.0750000000000002</v>
      </c>
      <c r="O158" s="176"/>
      <c r="P158" s="177"/>
      <c r="Q158" s="178"/>
      <c r="R158" s="179"/>
      <c r="S158" s="179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80"/>
      <c r="AE158" s="173" t="s">
        <v>69</v>
      </c>
      <c r="AF158" s="181" t="s">
        <v>248</v>
      </c>
      <c r="AG158" s="181" t="s">
        <v>819</v>
      </c>
      <c r="AH158" s="181">
        <v>44640</v>
      </c>
      <c r="AI158" s="181">
        <v>44665</v>
      </c>
      <c r="AJ158" s="181"/>
      <c r="AK158" s="181">
        <f ca="1">TODAY()</f>
        <v>44958</v>
      </c>
      <c r="AL158" s="173">
        <f ca="1">IF(AI158&lt;&gt;0,AK158-AI158,0)</f>
        <v>293</v>
      </c>
      <c r="AM158" s="173" t="str">
        <f>IF(ISNUMBER(X158)=TRUE,AK158-X158,IF(X158="","",(AK158)-(MID(RIGHT(X158,10),4,2)&amp;"/"&amp;LEFT((RIGHT(X158,10)),2)&amp;"/"&amp;RIGHT(X158,4))))</f>
        <v/>
      </c>
      <c r="AN158" s="181"/>
      <c r="AO158" s="190" t="s">
        <v>830</v>
      </c>
      <c r="AP158" s="176">
        <v>5.0750000000000002</v>
      </c>
      <c r="AQ158" s="176">
        <v>5.1150000000000002</v>
      </c>
      <c r="AR158" s="176">
        <v>5.1400000000000006</v>
      </c>
      <c r="AS158" s="176">
        <v>5.1450000000000005</v>
      </c>
      <c r="AT158" s="173" t="str">
        <f>IF(ISNUMBER(U158)=TRUE,AK158-U158,IF(U158="","",(AK158)-(MID(RIGHT(U158,10),4,2)&amp;"/"&amp;LEFT((RIGHT(U158,10)),2)&amp;"/"&amp;RIGHT(U158,4))))</f>
        <v/>
      </c>
      <c r="AU158" s="173">
        <v>432</v>
      </c>
      <c r="AW158" s="142" t="s">
        <v>123</v>
      </c>
    </row>
    <row r="159" spans="2:49" s="142" customFormat="1" ht="21" customHeight="1" x14ac:dyDescent="0.25">
      <c r="B159" s="173" t="str">
        <f>IF(C159="HOLD RM","HOLD RM",IF(C159="BAL","WIP",IF(C159="HOLD SLT","HOLD SLT",IF(C159="MILL","RM",IF(C159="RE SLT","WIP",IF(C159="RM","RM",IF(C159="RM BAL","RM",IF(C159="RM SLT","RM",IF(C159="RR","WIP",IF(C159="SKP","WIP",IF(C159="SLT","WIP",IF(C159="CTL","WIP",IF(C159="RM SLT RUST","RM SLT RUST",0)))))))))))))&amp;"-"&amp;G159&amp;"/"&amp;IF(H159="2B","2B",IF(H159="NO.1","1D",IF(H159="FH","FH",0)))&amp;"-"&amp;IF(J159="",(TEXT(I159,"0.00")),TEXT(J159,"0.00"))&amp;"X"&amp;M159</f>
        <v>RM-J3/1D-2.40X620</v>
      </c>
      <c r="C159" s="173" t="s">
        <v>48</v>
      </c>
      <c r="D159" s="173" t="s">
        <v>48</v>
      </c>
      <c r="E159" s="190" t="s">
        <v>831</v>
      </c>
      <c r="F159" s="190" t="s">
        <v>832</v>
      </c>
      <c r="G159" s="173" t="s">
        <v>34</v>
      </c>
      <c r="H159" s="173" t="s">
        <v>127</v>
      </c>
      <c r="I159" s="174">
        <v>2.4</v>
      </c>
      <c r="J159" s="174"/>
      <c r="K159" s="174"/>
      <c r="L159" s="174"/>
      <c r="M159" s="191">
        <v>620</v>
      </c>
      <c r="N159" s="176">
        <v>5.0579999999999998</v>
      </c>
      <c r="O159" s="176"/>
      <c r="P159" s="177"/>
      <c r="Q159" s="178"/>
      <c r="R159" s="179"/>
      <c r="S159" s="179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80"/>
      <c r="AE159" s="173" t="s">
        <v>69</v>
      </c>
      <c r="AF159" s="181" t="s">
        <v>248</v>
      </c>
      <c r="AG159" s="181" t="s">
        <v>819</v>
      </c>
      <c r="AH159" s="181">
        <v>44640</v>
      </c>
      <c r="AI159" s="181">
        <v>44665</v>
      </c>
      <c r="AJ159" s="181"/>
      <c r="AK159" s="181">
        <f ca="1">TODAY()</f>
        <v>44958</v>
      </c>
      <c r="AL159" s="173">
        <f ca="1">IF(AI159&lt;&gt;0,AK159-AI159,0)</f>
        <v>293</v>
      </c>
      <c r="AM159" s="173" t="str">
        <f>IF(ISNUMBER(X159)=TRUE,AK159-X159,IF(X159="","",(AK159)-(MID(RIGHT(X159,10),4,2)&amp;"/"&amp;LEFT((RIGHT(X159,10)),2)&amp;"/"&amp;RIGHT(X159,4))))</f>
        <v/>
      </c>
      <c r="AN159" s="181"/>
      <c r="AO159" s="190" t="s">
        <v>830</v>
      </c>
      <c r="AP159" s="176">
        <v>5.0579999999999998</v>
      </c>
      <c r="AQ159" s="176">
        <v>5.0979999999999999</v>
      </c>
      <c r="AR159" s="176">
        <v>5.1230000000000002</v>
      </c>
      <c r="AS159" s="176">
        <v>5.1280000000000001</v>
      </c>
      <c r="AT159" s="173" t="str">
        <f>IF(ISNUMBER(U159)=TRUE,AK159-U159,IF(U159="","",(AK159)-(MID(RIGHT(U159,10),4,2)&amp;"/"&amp;LEFT((RIGHT(U159,10)),2)&amp;"/"&amp;RIGHT(U159,4))))</f>
        <v/>
      </c>
      <c r="AU159" s="173">
        <v>432</v>
      </c>
      <c r="AW159" s="142" t="s">
        <v>123</v>
      </c>
    </row>
    <row r="160" spans="2:49" s="142" customFormat="1" ht="21" customHeight="1" x14ac:dyDescent="0.25">
      <c r="B160" s="173" t="str">
        <f>IF(C160="HOLD RM","HOLD RM",IF(C160="BAL","WIP",IF(C160="HOLD SLT","HOLD SLT",IF(C160="MILL","RM",IF(C160="RE SLT","WIP",IF(C160="RM","RM",IF(C160="RM BAL","RM",IF(C160="RM SLT","RM",IF(C160="RR","WIP",IF(C160="SKP","WIP",IF(C160="SLT","WIP",IF(C160="CTL","WIP",IF(C160="RM SLT RUST","RM SLT RUST",0)))))))))))))&amp;"-"&amp;G160&amp;"/"&amp;IF(H160="2B","2B",IF(H160="NO.1","1D",IF(H160="FH","FH",0)))&amp;"-"&amp;IF(J160="",(TEXT(I160,"0.00")),TEXT(J160,"0.00"))&amp;"X"&amp;M160</f>
        <v>RM-J3/1D-2.40X620</v>
      </c>
      <c r="C160" s="173" t="s">
        <v>48</v>
      </c>
      <c r="D160" s="173" t="s">
        <v>48</v>
      </c>
      <c r="E160" s="190" t="s">
        <v>833</v>
      </c>
      <c r="F160" s="190" t="s">
        <v>834</v>
      </c>
      <c r="G160" s="173" t="s">
        <v>34</v>
      </c>
      <c r="H160" s="173" t="s">
        <v>127</v>
      </c>
      <c r="I160" s="174">
        <v>2.4</v>
      </c>
      <c r="J160" s="174"/>
      <c r="K160" s="174"/>
      <c r="L160" s="174"/>
      <c r="M160" s="191">
        <v>620</v>
      </c>
      <c r="N160" s="176">
        <v>9.8870000000000005</v>
      </c>
      <c r="O160" s="176"/>
      <c r="P160" s="177"/>
      <c r="Q160" s="178"/>
      <c r="R160" s="179"/>
      <c r="S160" s="179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80"/>
      <c r="AE160" s="173" t="s">
        <v>69</v>
      </c>
      <c r="AF160" s="181" t="s">
        <v>248</v>
      </c>
      <c r="AG160" s="181" t="s">
        <v>819</v>
      </c>
      <c r="AH160" s="181">
        <v>44640</v>
      </c>
      <c r="AI160" s="181">
        <v>44665</v>
      </c>
      <c r="AJ160" s="181"/>
      <c r="AK160" s="181">
        <f ca="1">TODAY()</f>
        <v>44958</v>
      </c>
      <c r="AL160" s="173">
        <f ca="1">IF(AI160&lt;&gt;0,AK160-AI160,0)</f>
        <v>293</v>
      </c>
      <c r="AM160" s="173" t="str">
        <f>IF(ISNUMBER(X160)=TRUE,AK160-X160,IF(X160="","",(AK160)-(MID(RIGHT(X160,10),4,2)&amp;"/"&amp;LEFT((RIGHT(X160,10)),2)&amp;"/"&amp;RIGHT(X160,4))))</f>
        <v/>
      </c>
      <c r="AN160" s="181"/>
      <c r="AO160" s="190" t="s">
        <v>835</v>
      </c>
      <c r="AP160" s="176">
        <v>9.8870000000000005</v>
      </c>
      <c r="AQ160" s="176">
        <v>9.9269999999999996</v>
      </c>
      <c r="AR160" s="176">
        <v>9.9519999999999982</v>
      </c>
      <c r="AS160" s="176">
        <v>9.956999999999999</v>
      </c>
      <c r="AT160" s="173" t="str">
        <f>IF(ISNUMBER(U160)=TRUE,AK160-U160,IF(U160="","",(AK160)-(MID(RIGHT(U160,10),4,2)&amp;"/"&amp;LEFT((RIGHT(U160,10)),2)&amp;"/"&amp;RIGHT(U160,4))))</f>
        <v/>
      </c>
      <c r="AU160" s="173">
        <v>432</v>
      </c>
      <c r="AW160" s="142" t="s">
        <v>123</v>
      </c>
    </row>
    <row r="161" spans="2:49" s="142" customFormat="1" ht="21" customHeight="1" x14ac:dyDescent="0.25">
      <c r="B161" s="173" t="str">
        <f>IF(C161="HOLD RM","HOLD RM",IF(C161="BAL","WIP",IF(C161="HOLD SLT","HOLD SLT",IF(C161="MILL","RM",IF(C161="RE SLT","WIP",IF(C161="RM","RM",IF(C161="RM BAL","RM",IF(C161="RM SLT","RM",IF(C161="RR","WIP",IF(C161="SKP","WIP",IF(C161="SLT","WIP",IF(C161="CTL","WIP",IF(C161="RM SLT RUST","RM SLT RUST",0)))))))))))))&amp;"-"&amp;G161&amp;"/"&amp;IF(H161="2B","2B",IF(H161="NO.1","1D",IF(H161="FH","FH",0)))&amp;"-"&amp;IF(J161="",(TEXT(I161,"0.00")),TEXT(J161,"0.00"))&amp;"X"&amp;M161</f>
        <v>WIP-J3/2B-1.41X620</v>
      </c>
      <c r="C161" s="173" t="s">
        <v>18</v>
      </c>
      <c r="D161" s="173" t="s">
        <v>836</v>
      </c>
      <c r="E161" s="190" t="s">
        <v>837</v>
      </c>
      <c r="F161" s="190" t="s">
        <v>838</v>
      </c>
      <c r="G161" s="173" t="s">
        <v>34</v>
      </c>
      <c r="H161" s="173" t="s">
        <v>114</v>
      </c>
      <c r="I161" s="174">
        <v>2.4</v>
      </c>
      <c r="J161" s="174">
        <v>1.41</v>
      </c>
      <c r="K161" s="174">
        <v>1.43</v>
      </c>
      <c r="L161" s="174">
        <v>1.44</v>
      </c>
      <c r="M161" s="191">
        <v>620</v>
      </c>
      <c r="N161" s="176">
        <v>4.7549999999999999</v>
      </c>
      <c r="O161" s="176" t="s">
        <v>114</v>
      </c>
      <c r="P161" s="177"/>
      <c r="Q161" s="178" t="s">
        <v>361</v>
      </c>
      <c r="R161" s="179"/>
      <c r="S161" s="179"/>
      <c r="T161" s="177">
        <v>44890</v>
      </c>
      <c r="U161" s="177"/>
      <c r="V161" s="177"/>
      <c r="W161" s="177">
        <v>44893</v>
      </c>
      <c r="X161" s="177">
        <v>44913</v>
      </c>
      <c r="Y161" s="177"/>
      <c r="Z161" s="177"/>
      <c r="AA161" s="177"/>
      <c r="AB161" s="177"/>
      <c r="AC161" s="177"/>
      <c r="AD161" s="180"/>
      <c r="AE161" s="173" t="s">
        <v>69</v>
      </c>
      <c r="AF161" s="181" t="s">
        <v>248</v>
      </c>
      <c r="AG161" s="181" t="s">
        <v>819</v>
      </c>
      <c r="AH161" s="181">
        <v>44640</v>
      </c>
      <c r="AI161" s="181">
        <v>44665</v>
      </c>
      <c r="AJ161" s="181"/>
      <c r="AK161" s="181">
        <f ca="1">TODAY()</f>
        <v>44958</v>
      </c>
      <c r="AL161" s="173">
        <f ca="1">IF(AI161&lt;&gt;0,AK161-AI161,0)</f>
        <v>293</v>
      </c>
      <c r="AM161" s="173">
        <f ca="1">IF(ISNUMBER(X161)=TRUE,AK161-X161,IF(X161="","",(AK161)-(MID(RIGHT(X161,10),4,2)&amp;"/"&amp;LEFT((RIGHT(X161,10)),2)&amp;"/"&amp;RIGHT(X161,4))))</f>
        <v>45</v>
      </c>
      <c r="AN161" s="181"/>
      <c r="AO161" s="190" t="s">
        <v>835</v>
      </c>
      <c r="AP161" s="176">
        <v>9.8780000000000001</v>
      </c>
      <c r="AQ161" s="176">
        <v>9.9179999999999993</v>
      </c>
      <c r="AR161" s="176">
        <v>9.9429999999999978</v>
      </c>
      <c r="AS161" s="176">
        <v>9.9479999999999986</v>
      </c>
      <c r="AT161" s="173" t="str">
        <f>IF(ISNUMBER(U161)=TRUE,AK161-U161,IF(U161="","",(AK161)-(MID(RIGHT(U161,10),4,2)&amp;"/"&amp;LEFT((RIGHT(U161,10)),2)&amp;"/"&amp;RIGHT(U161,4))))</f>
        <v/>
      </c>
      <c r="AU161" s="173">
        <v>432</v>
      </c>
      <c r="AW161" s="142" t="s">
        <v>123</v>
      </c>
    </row>
    <row r="162" spans="2:49" s="142" customFormat="1" ht="21" customHeight="1" x14ac:dyDescent="0.25">
      <c r="B162" s="173" t="str">
        <f>IF(C162="HOLD RM","HOLD RM",IF(C162="BAL","WIP",IF(C162="HOLD SLT","HOLD SLT",IF(C162="MILL","RM",IF(C162="RE SLT","WIP",IF(C162="RM","RM",IF(C162="RM BAL","RM",IF(C162="RM SLT","RM",IF(C162="RR","WIP",IF(C162="SKP","WIP",IF(C162="SLT","WIP",IF(C162="CTL","WIP",IF(C162="RM SLT RUST","RM SLT RUST",0)))))))))))))&amp;"-"&amp;G162&amp;"/"&amp;IF(H162="2B","2B",IF(H162="NO.1","1D",IF(H162="FH","FH",0)))&amp;"-"&amp;IF(J162="",(TEXT(I162,"0.00")),TEXT(J162,"0.00"))&amp;"X"&amp;M162</f>
        <v>RM-J3/1D-2.40X620</v>
      </c>
      <c r="C162" s="173" t="s">
        <v>48</v>
      </c>
      <c r="D162" s="173" t="s">
        <v>48</v>
      </c>
      <c r="E162" s="190" t="s">
        <v>839</v>
      </c>
      <c r="F162" s="190" t="s">
        <v>840</v>
      </c>
      <c r="G162" s="173" t="s">
        <v>34</v>
      </c>
      <c r="H162" s="173" t="s">
        <v>127</v>
      </c>
      <c r="I162" s="174">
        <v>2.4</v>
      </c>
      <c r="J162" s="174"/>
      <c r="K162" s="174"/>
      <c r="L162" s="174"/>
      <c r="M162" s="191">
        <v>620</v>
      </c>
      <c r="N162" s="176">
        <v>10.077999999999999</v>
      </c>
      <c r="O162" s="176"/>
      <c r="P162" s="177"/>
      <c r="Q162" s="178"/>
      <c r="R162" s="179"/>
      <c r="S162" s="179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80"/>
      <c r="AE162" s="173" t="s">
        <v>69</v>
      </c>
      <c r="AF162" s="181" t="s">
        <v>248</v>
      </c>
      <c r="AG162" s="181" t="s">
        <v>819</v>
      </c>
      <c r="AH162" s="181">
        <v>44640</v>
      </c>
      <c r="AI162" s="181">
        <v>44665</v>
      </c>
      <c r="AJ162" s="181"/>
      <c r="AK162" s="181">
        <f ca="1">TODAY()</f>
        <v>44958</v>
      </c>
      <c r="AL162" s="173">
        <f ca="1">IF(AI162&lt;&gt;0,AK162-AI162,0)</f>
        <v>293</v>
      </c>
      <c r="AM162" s="173" t="str">
        <f>IF(ISNUMBER(X162)=TRUE,AK162-X162,IF(X162="","",(AK162)-(MID(RIGHT(X162,10),4,2)&amp;"/"&amp;LEFT((RIGHT(X162,10)),2)&amp;"/"&amp;RIGHT(X162,4))))</f>
        <v/>
      </c>
      <c r="AN162" s="181"/>
      <c r="AO162" s="190" t="s">
        <v>841</v>
      </c>
      <c r="AP162" s="176">
        <v>10.077999999999999</v>
      </c>
      <c r="AQ162" s="176">
        <v>10.117999999999999</v>
      </c>
      <c r="AR162" s="176">
        <v>10.142999999999997</v>
      </c>
      <c r="AS162" s="176">
        <v>10.147999999999998</v>
      </c>
      <c r="AT162" s="173" t="str">
        <f>IF(ISNUMBER(U162)=TRUE,AK162-U162,IF(U162="","",(AK162)-(MID(RIGHT(U162,10),4,2)&amp;"/"&amp;LEFT((RIGHT(U162,10)),2)&amp;"/"&amp;RIGHT(U162,4))))</f>
        <v/>
      </c>
      <c r="AU162" s="173">
        <v>432</v>
      </c>
      <c r="AW162" s="142" t="s">
        <v>123</v>
      </c>
    </row>
    <row r="163" spans="2:49" s="142" customFormat="1" ht="21" customHeight="1" x14ac:dyDescent="0.25">
      <c r="B163" s="173" t="str">
        <f>IF(C163="HOLD RM","HOLD RM",IF(C163="BAL","WIP",IF(C163="HOLD SLT","HOLD SLT",IF(C163="MILL","RM",IF(C163="RE SLT","WIP",IF(C163="RM","RM",IF(C163="RM BAL","RM",IF(C163="RM SLT","RM",IF(C163="RR","WIP",IF(C163="SKP","WIP",IF(C163="SLT","WIP",IF(C163="CTL","WIP",IF(C163="RM SLT RUST","RM SLT RUST",0)))))))))))))&amp;"-"&amp;G163&amp;"/"&amp;IF(H163="2B","2B",IF(H163="NO.1","1D",IF(H163="FH","FH",0)))&amp;"-"&amp;IF(J163="",(TEXT(I163,"0.00")),TEXT(J163,"0.00"))&amp;"X"&amp;M163</f>
        <v>RM-J3/1D-2.40X730</v>
      </c>
      <c r="C163" s="173" t="s">
        <v>48</v>
      </c>
      <c r="D163" s="173" t="s">
        <v>48</v>
      </c>
      <c r="E163" s="190" t="s">
        <v>842</v>
      </c>
      <c r="F163" s="190" t="s">
        <v>843</v>
      </c>
      <c r="G163" s="173" t="s">
        <v>34</v>
      </c>
      <c r="H163" s="173" t="s">
        <v>127</v>
      </c>
      <c r="I163" s="174">
        <v>2.4</v>
      </c>
      <c r="J163" s="174"/>
      <c r="K163" s="174"/>
      <c r="L163" s="174"/>
      <c r="M163" s="191">
        <v>730</v>
      </c>
      <c r="N163" s="176">
        <v>11.865</v>
      </c>
      <c r="O163" s="176"/>
      <c r="P163" s="177"/>
      <c r="Q163" s="178"/>
      <c r="R163" s="179"/>
      <c r="S163" s="179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80"/>
      <c r="AE163" s="173" t="s">
        <v>69</v>
      </c>
      <c r="AF163" s="181" t="s">
        <v>248</v>
      </c>
      <c r="AG163" s="181" t="s">
        <v>819</v>
      </c>
      <c r="AH163" s="181">
        <v>44640</v>
      </c>
      <c r="AI163" s="181">
        <v>44665</v>
      </c>
      <c r="AJ163" s="181"/>
      <c r="AK163" s="181">
        <f ca="1">TODAY()</f>
        <v>44958</v>
      </c>
      <c r="AL163" s="173">
        <f ca="1">IF(AI163&lt;&gt;0,AK163-AI163,0)</f>
        <v>293</v>
      </c>
      <c r="AM163" s="173" t="str">
        <f>IF(ISNUMBER(X163)=TRUE,AK163-X163,IF(X163="","",(AK163)-(MID(RIGHT(X163,10),4,2)&amp;"/"&amp;LEFT((RIGHT(X163,10)),2)&amp;"/"&amp;RIGHT(X163,4))))</f>
        <v/>
      </c>
      <c r="AN163" s="181"/>
      <c r="AO163" s="190" t="s">
        <v>844</v>
      </c>
      <c r="AP163" s="176">
        <v>11.865</v>
      </c>
      <c r="AQ163" s="176">
        <v>11.904999999999999</v>
      </c>
      <c r="AR163" s="176">
        <v>11.929999999999998</v>
      </c>
      <c r="AS163" s="176">
        <v>11.934999999999999</v>
      </c>
      <c r="AT163" s="173" t="str">
        <f>IF(ISNUMBER(U163)=TRUE,AK163-U163,IF(U163="","",(AK163)-(MID(RIGHT(U163,10),4,2)&amp;"/"&amp;LEFT((RIGHT(U163,10)),2)&amp;"/"&amp;RIGHT(U163,4))))</f>
        <v/>
      </c>
      <c r="AU163" s="173">
        <v>432</v>
      </c>
      <c r="AW163" s="142" t="s">
        <v>123</v>
      </c>
    </row>
    <row r="164" spans="2:49" s="142" customFormat="1" ht="21" customHeight="1" x14ac:dyDescent="0.25">
      <c r="B164" s="173" t="str">
        <f>IF(C164="HOLD RM","HOLD RM",IF(C164="BAL","WIP",IF(C164="HOLD SLT","HOLD SLT",IF(C164="MILL","RM",IF(C164="RE SLT","WIP",IF(C164="RM","RM",IF(C164="RM BAL","RM",IF(C164="RM SLT","RM",IF(C164="RR","WIP",IF(C164="SKP","WIP",IF(C164="SLT","WIP",IF(C164="CTL","WIP",IF(C164="RM SLT RUST","RM SLT RUST",0)))))))))))))&amp;"-"&amp;G164&amp;"/"&amp;IF(H164="2B","2B",IF(H164="NO.1","1D",IF(H164="FH","FH",0)))&amp;"-"&amp;IF(J164="",(TEXT(I164,"0.00")),TEXT(J164,"0.00"))&amp;"X"&amp;M164</f>
        <v>RM-J3/1D-2.40X640</v>
      </c>
      <c r="C164" s="173" t="s">
        <v>48</v>
      </c>
      <c r="D164" s="173" t="s">
        <v>48</v>
      </c>
      <c r="E164" s="190" t="s">
        <v>845</v>
      </c>
      <c r="F164" s="190" t="s">
        <v>846</v>
      </c>
      <c r="G164" s="173" t="s">
        <v>34</v>
      </c>
      <c r="H164" s="173" t="s">
        <v>127</v>
      </c>
      <c r="I164" s="174">
        <v>2.4</v>
      </c>
      <c r="J164" s="174"/>
      <c r="K164" s="174"/>
      <c r="L164" s="174"/>
      <c r="M164" s="191">
        <v>640</v>
      </c>
      <c r="N164" s="176">
        <v>10.45</v>
      </c>
      <c r="O164" s="176"/>
      <c r="P164" s="177"/>
      <c r="Q164" s="178"/>
      <c r="R164" s="179"/>
      <c r="S164" s="179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80"/>
      <c r="AE164" s="173" t="s">
        <v>69</v>
      </c>
      <c r="AF164" s="181" t="s">
        <v>248</v>
      </c>
      <c r="AG164" s="181" t="s">
        <v>819</v>
      </c>
      <c r="AH164" s="181">
        <v>44640</v>
      </c>
      <c r="AI164" s="181">
        <v>44665</v>
      </c>
      <c r="AJ164" s="181"/>
      <c r="AK164" s="181">
        <f ca="1">TODAY()</f>
        <v>44958</v>
      </c>
      <c r="AL164" s="173">
        <f ca="1">IF(AI164&lt;&gt;0,AK164-AI164,0)</f>
        <v>293</v>
      </c>
      <c r="AM164" s="173" t="str">
        <f>IF(ISNUMBER(X164)=TRUE,AK164-X164,IF(X164="","",(AK164)-(MID(RIGHT(X164,10),4,2)&amp;"/"&amp;LEFT((RIGHT(X164,10)),2)&amp;"/"&amp;RIGHT(X164,4))))</f>
        <v/>
      </c>
      <c r="AN164" s="181"/>
      <c r="AO164" s="190" t="s">
        <v>847</v>
      </c>
      <c r="AP164" s="176">
        <v>10.45</v>
      </c>
      <c r="AQ164" s="176">
        <v>10.489999999999998</v>
      </c>
      <c r="AR164" s="176">
        <v>10.514999999999997</v>
      </c>
      <c r="AS164" s="176">
        <v>10.519999999999998</v>
      </c>
      <c r="AT164" s="173" t="str">
        <f>IF(ISNUMBER(U164)=TRUE,AK164-U164,IF(U164="","",(AK164)-(MID(RIGHT(U164,10),4,2)&amp;"/"&amp;LEFT((RIGHT(U164,10)),2)&amp;"/"&amp;RIGHT(U164,4))))</f>
        <v/>
      </c>
      <c r="AU164" s="173">
        <v>432</v>
      </c>
      <c r="AW164" s="142" t="s">
        <v>123</v>
      </c>
    </row>
    <row r="165" spans="2:49" s="142" customFormat="1" ht="21" customHeight="1" x14ac:dyDescent="0.25">
      <c r="B165" s="173" t="str">
        <f>IF(C165="HOLD RM","HOLD RM",IF(C165="BAL","WIP",IF(C165="HOLD SLT","HOLD SLT",IF(C165="MILL","RM",IF(C165="RE SLT","WIP",IF(C165="RM","RM",IF(C165="RM BAL","RM",IF(C165="RM SLT","RM",IF(C165="RR","WIP",IF(C165="SKP","WIP",IF(C165="SLT","WIP",IF(C165="CTL","WIP",IF(C165="RM SLT RUST","RM SLT RUST",0)))))))))))))&amp;"-"&amp;G165&amp;"/"&amp;IF(H165="2B","2B",IF(H165="NO.1","1D",IF(H165="FH","FH",0)))&amp;"-"&amp;IF(J165="",(TEXT(I165,"0.00")),TEXT(J165,"0.00"))&amp;"X"&amp;M165</f>
        <v>RM-J3/1D-2.40X730</v>
      </c>
      <c r="C165" s="173" t="s">
        <v>48</v>
      </c>
      <c r="D165" s="173" t="s">
        <v>48</v>
      </c>
      <c r="E165" s="190" t="s">
        <v>848</v>
      </c>
      <c r="F165" s="190" t="s">
        <v>849</v>
      </c>
      <c r="G165" s="173" t="s">
        <v>34</v>
      </c>
      <c r="H165" s="173" t="s">
        <v>127</v>
      </c>
      <c r="I165" s="174">
        <v>2.4</v>
      </c>
      <c r="J165" s="174"/>
      <c r="K165" s="174"/>
      <c r="L165" s="174"/>
      <c r="M165" s="191">
        <v>730</v>
      </c>
      <c r="N165" s="176">
        <v>11.846</v>
      </c>
      <c r="O165" s="176"/>
      <c r="P165" s="177"/>
      <c r="Q165" s="178"/>
      <c r="R165" s="179"/>
      <c r="S165" s="179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80"/>
      <c r="AE165" s="173" t="s">
        <v>69</v>
      </c>
      <c r="AF165" s="181" t="s">
        <v>248</v>
      </c>
      <c r="AG165" s="181" t="s">
        <v>819</v>
      </c>
      <c r="AH165" s="181">
        <v>44640</v>
      </c>
      <c r="AI165" s="181">
        <v>44665</v>
      </c>
      <c r="AJ165" s="181"/>
      <c r="AK165" s="181">
        <f ca="1">TODAY()</f>
        <v>44958</v>
      </c>
      <c r="AL165" s="173">
        <f ca="1">IF(AI165&lt;&gt;0,AK165-AI165,0)</f>
        <v>293</v>
      </c>
      <c r="AM165" s="173" t="str">
        <f>IF(ISNUMBER(X165)=TRUE,AK165-X165,IF(X165="","",(AK165)-(MID(RIGHT(X165,10),4,2)&amp;"/"&amp;LEFT((RIGHT(X165,10)),2)&amp;"/"&amp;RIGHT(X165,4))))</f>
        <v/>
      </c>
      <c r="AN165" s="181"/>
      <c r="AO165" s="190" t="s">
        <v>850</v>
      </c>
      <c r="AP165" s="176">
        <v>11.846</v>
      </c>
      <c r="AQ165" s="176">
        <v>11.885999999999999</v>
      </c>
      <c r="AR165" s="176">
        <v>11.910999999999998</v>
      </c>
      <c r="AS165" s="176">
        <v>11.915999999999999</v>
      </c>
      <c r="AT165" s="173" t="str">
        <f>IF(ISNUMBER(U165)=TRUE,AK165-U165,IF(U165="","",(AK165)-(MID(RIGHT(U165,10),4,2)&amp;"/"&amp;LEFT((RIGHT(U165,10)),2)&amp;"/"&amp;RIGHT(U165,4))))</f>
        <v/>
      </c>
      <c r="AU165" s="173">
        <v>432</v>
      </c>
      <c r="AW165" s="142" t="s">
        <v>123</v>
      </c>
    </row>
    <row r="166" spans="2:49" s="142" customFormat="1" ht="21" customHeight="1" x14ac:dyDescent="0.25">
      <c r="B166" s="173" t="str">
        <f>IF(C166="HOLD RM","HOLD RM",IF(C166="BAL","WIP",IF(C166="HOLD SLT","HOLD SLT",IF(C166="MILL","RM",IF(C166="RE SLT","WIP",IF(C166="RM","RM",IF(C166="RM BAL","RM",IF(C166="RM SLT","RM",IF(C166="RR","WIP",IF(C166="SKP","WIP",IF(C166="SLT","WIP",IF(C166="CTL","WIP",IF(C166="RM SLT RUST","RM SLT RUST",0)))))))))))))&amp;"-"&amp;G166&amp;"/"&amp;IF(H166="2B","2B",IF(H166="NO.1","1D",IF(H166="FH","FH",0)))&amp;"-"&amp;IF(J166="",(TEXT(I166,"0.00")),TEXT(J166,"0.00"))&amp;"X"&amp;M166</f>
        <v>WIP-J3/FH-1.12X620</v>
      </c>
      <c r="C166" s="173" t="s">
        <v>16</v>
      </c>
      <c r="D166" s="173" t="s">
        <v>16</v>
      </c>
      <c r="E166" s="190" t="s">
        <v>851</v>
      </c>
      <c r="F166" s="190" t="s">
        <v>852</v>
      </c>
      <c r="G166" s="173" t="s">
        <v>34</v>
      </c>
      <c r="H166" s="173" t="s">
        <v>70</v>
      </c>
      <c r="I166" s="174">
        <v>2.4</v>
      </c>
      <c r="J166" s="174">
        <v>1.1200000000000001</v>
      </c>
      <c r="K166" s="174"/>
      <c r="L166" s="174"/>
      <c r="M166" s="191">
        <v>620</v>
      </c>
      <c r="N166" s="176">
        <v>9.9860000000000007</v>
      </c>
      <c r="O166" s="176" t="s">
        <v>114</v>
      </c>
      <c r="P166" s="177"/>
      <c r="Q166" s="178" t="s">
        <v>361</v>
      </c>
      <c r="R166" s="179"/>
      <c r="S166" s="179"/>
      <c r="T166" s="177">
        <v>44904</v>
      </c>
      <c r="U166" s="177"/>
      <c r="V166" s="177"/>
      <c r="W166" s="177">
        <v>44908</v>
      </c>
      <c r="X166" s="177"/>
      <c r="Y166" s="177"/>
      <c r="Z166" s="177"/>
      <c r="AA166" s="177"/>
      <c r="AB166" s="177"/>
      <c r="AC166" s="177"/>
      <c r="AD166" s="180"/>
      <c r="AE166" s="173" t="s">
        <v>69</v>
      </c>
      <c r="AF166" s="181" t="s">
        <v>248</v>
      </c>
      <c r="AG166" s="181" t="s">
        <v>819</v>
      </c>
      <c r="AH166" s="181">
        <v>44640</v>
      </c>
      <c r="AI166" s="181">
        <v>44665</v>
      </c>
      <c r="AJ166" s="181"/>
      <c r="AK166" s="181">
        <f ca="1">TODAY()</f>
        <v>44958</v>
      </c>
      <c r="AL166" s="173">
        <f ca="1">IF(AI166&lt;&gt;0,AK166-AI166,0)</f>
        <v>293</v>
      </c>
      <c r="AM166" s="173" t="str">
        <f>IF(ISNUMBER(X166)=TRUE,AK166-X166,IF(X166="","",(AK166)-(MID(RIGHT(X166,10),4,2)&amp;"/"&amp;LEFT((RIGHT(X166,10)),2)&amp;"/"&amp;RIGHT(X166,4))))</f>
        <v/>
      </c>
      <c r="AN166" s="181"/>
      <c r="AO166" s="190" t="s">
        <v>853</v>
      </c>
      <c r="AP166" s="176">
        <v>9.9860000000000007</v>
      </c>
      <c r="AQ166" s="176">
        <v>10.026</v>
      </c>
      <c r="AR166" s="176">
        <v>10.050999999999998</v>
      </c>
      <c r="AS166" s="176">
        <v>10.055999999999999</v>
      </c>
      <c r="AT166" s="173" t="str">
        <f>IF(ISNUMBER(U166)=TRUE,AK166-U166,IF(U166="","",(AK166)-(MID(RIGHT(U166,10),4,2)&amp;"/"&amp;LEFT((RIGHT(U166,10)),2)&amp;"/"&amp;RIGHT(U166,4))))</f>
        <v/>
      </c>
      <c r="AU166" s="173">
        <v>432</v>
      </c>
      <c r="AW166" s="142" t="s">
        <v>123</v>
      </c>
    </row>
    <row r="167" spans="2:49" s="142" customFormat="1" ht="21" customHeight="1" x14ac:dyDescent="0.25">
      <c r="B167" s="173" t="str">
        <f>IF(C167="HOLD RM","HOLD RM",IF(C167="BAL","WIP",IF(C167="HOLD SLT","HOLD SLT",IF(C167="MILL","RM",IF(C167="RE SLT","WIP",IF(C167="RM","RM",IF(C167="RM BAL","RM",IF(C167="RM SLT","RM",IF(C167="RR","WIP",IF(C167="SKP","WIP",IF(C167="SLT","WIP",IF(C167="CTL","WIP",IF(C167="RM SLT RUST","RM SLT RUST",0)))))))))))))&amp;"-"&amp;G167&amp;"/"&amp;IF(H167="2B","2B",IF(H167="NO.1","1D",IF(H167="FH","FH",0)))&amp;"-"&amp;IF(J167="",(TEXT(I167,"0.00")),TEXT(J167,"0.00"))&amp;"X"&amp;M167</f>
        <v>WIP-J3/2B-0.91X620</v>
      </c>
      <c r="C167" s="173" t="s">
        <v>775</v>
      </c>
      <c r="D167" s="173" t="s">
        <v>776</v>
      </c>
      <c r="E167" s="190" t="s">
        <v>854</v>
      </c>
      <c r="F167" s="190" t="s">
        <v>855</v>
      </c>
      <c r="G167" s="173" t="s">
        <v>34</v>
      </c>
      <c r="H167" s="173" t="s">
        <v>114</v>
      </c>
      <c r="I167" s="174">
        <v>2.4</v>
      </c>
      <c r="J167" s="174">
        <v>0.91</v>
      </c>
      <c r="K167" s="174"/>
      <c r="L167" s="174"/>
      <c r="M167" s="191">
        <v>620</v>
      </c>
      <c r="N167" s="176">
        <v>9.875</v>
      </c>
      <c r="O167" s="176" t="s">
        <v>114</v>
      </c>
      <c r="P167" s="177"/>
      <c r="Q167" s="178" t="s">
        <v>314</v>
      </c>
      <c r="R167" s="178" t="s">
        <v>361</v>
      </c>
      <c r="S167" s="179"/>
      <c r="T167" s="177">
        <v>44887</v>
      </c>
      <c r="U167" s="177"/>
      <c r="V167" s="177"/>
      <c r="W167" s="177">
        <v>44888</v>
      </c>
      <c r="X167" s="177"/>
      <c r="Y167" s="177">
        <v>44955</v>
      </c>
      <c r="Z167" s="177"/>
      <c r="AA167" s="177"/>
      <c r="AB167" s="177"/>
      <c r="AC167" s="177"/>
      <c r="AD167" s="180"/>
      <c r="AE167" s="173" t="s">
        <v>69</v>
      </c>
      <c r="AF167" s="181" t="s">
        <v>119</v>
      </c>
      <c r="AG167" s="181" t="s">
        <v>856</v>
      </c>
      <c r="AH167" s="181">
        <v>44675</v>
      </c>
      <c r="AI167" s="181">
        <v>44699</v>
      </c>
      <c r="AJ167" s="181"/>
      <c r="AK167" s="181">
        <f ca="1">TODAY()</f>
        <v>44958</v>
      </c>
      <c r="AL167" s="173">
        <f ca="1">IF(AI167&lt;&gt;0,AK167-AI167,0)</f>
        <v>259</v>
      </c>
      <c r="AM167" s="173" t="str">
        <f>IF(ISNUMBER(X167)=TRUE,AK167-X167,IF(X167="","",(AK167)-(MID(RIGHT(X167,10),4,2)&amp;"/"&amp;LEFT((RIGHT(X167,10)),2)&amp;"/"&amp;RIGHT(X167,4))))</f>
        <v/>
      </c>
      <c r="AN167" s="181" t="s">
        <v>857</v>
      </c>
      <c r="AO167" s="190" t="s">
        <v>858</v>
      </c>
      <c r="AP167" s="176">
        <v>9.9580000000000002</v>
      </c>
      <c r="AQ167" s="176">
        <v>9.9779999999999998</v>
      </c>
      <c r="AR167" s="176">
        <v>10.002999999999998</v>
      </c>
      <c r="AS167" s="176">
        <v>10.007999999999999</v>
      </c>
      <c r="AT167" s="173" t="str">
        <f>IF(ISNUMBER(U167)=TRUE,AK167-U167,IF(U167="","",(AK167)-(MID(RIGHT(U167,10),4,2)&amp;"/"&amp;LEFT((RIGHT(U167,10)),2)&amp;"/"&amp;RIGHT(U167,4))))</f>
        <v/>
      </c>
      <c r="AU167" s="173">
        <v>436</v>
      </c>
      <c r="AW167" s="142" t="s">
        <v>123</v>
      </c>
    </row>
    <row r="168" spans="2:49" s="142" customFormat="1" ht="21" customHeight="1" x14ac:dyDescent="0.25">
      <c r="B168" s="173" t="str">
        <f>IF(C168="HOLD RM","HOLD RM",IF(C168="BAL","WIP",IF(C168="HOLD SLT","HOLD SLT",IF(C168="MILL","RM",IF(C168="RE SLT","WIP",IF(C168="RM","RM",IF(C168="RM BAL","RM",IF(C168="RM SLT","RM",IF(C168="RR","WIP",IF(C168="SKP","WIP",IF(C168="SLT","WIP",IF(C168="CTL","WIP",IF(C168="RM SLT RUST","RM SLT RUST",0)))))))))))))&amp;"-"&amp;G168&amp;"/"&amp;IF(H168="2B","2B",IF(H168="NO.1","1D",IF(H168="FH","FH",0)))&amp;"-"&amp;IF(J168="",(TEXT(I168,"0.00")),TEXT(J168,"0.00"))&amp;"X"&amp;M168</f>
        <v>WIP-J3/FH-0.91X620</v>
      </c>
      <c r="C168" s="173" t="s">
        <v>16</v>
      </c>
      <c r="D168" s="173" t="s">
        <v>16</v>
      </c>
      <c r="E168" s="190" t="s">
        <v>859</v>
      </c>
      <c r="F168" s="190" t="s">
        <v>860</v>
      </c>
      <c r="G168" s="173" t="s">
        <v>34</v>
      </c>
      <c r="H168" s="173" t="s">
        <v>70</v>
      </c>
      <c r="I168" s="174">
        <v>2.4</v>
      </c>
      <c r="J168" s="174">
        <v>0.91</v>
      </c>
      <c r="K168" s="174"/>
      <c r="L168" s="174"/>
      <c r="M168" s="191">
        <v>620</v>
      </c>
      <c r="N168" s="176">
        <v>10.035</v>
      </c>
      <c r="O168" s="176" t="s">
        <v>114</v>
      </c>
      <c r="P168" s="177"/>
      <c r="Q168" s="178" t="s">
        <v>361</v>
      </c>
      <c r="R168" s="179"/>
      <c r="S168" s="179"/>
      <c r="T168" s="177">
        <v>44889</v>
      </c>
      <c r="U168" s="177"/>
      <c r="V168" s="177"/>
      <c r="W168" s="177">
        <v>44890</v>
      </c>
      <c r="X168" s="177"/>
      <c r="Y168" s="177"/>
      <c r="Z168" s="177"/>
      <c r="AA168" s="177"/>
      <c r="AB168" s="177"/>
      <c r="AC168" s="177"/>
      <c r="AD168" s="180"/>
      <c r="AE168" s="173" t="s">
        <v>69</v>
      </c>
      <c r="AF168" s="181" t="s">
        <v>119</v>
      </c>
      <c r="AG168" s="181" t="s">
        <v>856</v>
      </c>
      <c r="AH168" s="181">
        <v>44675</v>
      </c>
      <c r="AI168" s="181">
        <v>44699</v>
      </c>
      <c r="AJ168" s="181"/>
      <c r="AK168" s="181">
        <f ca="1">TODAY()</f>
        <v>44958</v>
      </c>
      <c r="AL168" s="173">
        <f ca="1">IF(AI168&lt;&gt;0,AK168-AI168,0)</f>
        <v>259</v>
      </c>
      <c r="AM168" s="173" t="str">
        <f>IF(ISNUMBER(X168)=TRUE,AK168-X168,IF(X168="","",(AK168)-(MID(RIGHT(X168,10),4,2)&amp;"/"&amp;LEFT((RIGHT(X168,10)),2)&amp;"/"&amp;RIGHT(X168,4))))</f>
        <v/>
      </c>
      <c r="AN168" s="181" t="s">
        <v>861</v>
      </c>
      <c r="AO168" s="190" t="s">
        <v>858</v>
      </c>
      <c r="AP168" s="176">
        <v>10.037000000000001</v>
      </c>
      <c r="AQ168" s="176">
        <v>10.057</v>
      </c>
      <c r="AR168" s="176">
        <v>10.081999999999999</v>
      </c>
      <c r="AS168" s="176">
        <v>10.087</v>
      </c>
      <c r="AT168" s="173" t="str">
        <f>IF(ISNUMBER(U168)=TRUE,AK168-U168,IF(U168="","",(AK168)-(MID(RIGHT(U168,10),4,2)&amp;"/"&amp;LEFT((RIGHT(U168,10)),2)&amp;"/"&amp;RIGHT(U168,4))))</f>
        <v/>
      </c>
      <c r="AU168" s="173">
        <v>436</v>
      </c>
      <c r="AW168" s="142" t="s">
        <v>123</v>
      </c>
    </row>
    <row r="169" spans="2:49" s="142" customFormat="1" ht="21" customHeight="1" x14ac:dyDescent="0.25">
      <c r="B169" s="173" t="str">
        <f>IF(C169="HOLD RM","HOLD RM",IF(C169="BAL","WIP",IF(C169="HOLD SLT","HOLD SLT",IF(C169="MILL","RM",IF(C169="RE SLT","WIP",IF(C169="RM","RM",IF(C169="RM BAL","RM",IF(C169="RM SLT","RM",IF(C169="RR","WIP",IF(C169="SKP","WIP",IF(C169="SLT","WIP",IF(C169="CTL","WIP",IF(C169="RM SLT RUST","RM SLT RUST",0)))))))))))))&amp;"-"&amp;G169&amp;"/"&amp;IF(H169="2B","2B",IF(H169="NO.1","1D",IF(H169="FH","FH",0)))&amp;"-"&amp;IF(J169="",(TEXT(I169,"0.00")),TEXT(J169,"0.00"))&amp;"X"&amp;M169</f>
        <v>RM-J3/1D-2.40X620</v>
      </c>
      <c r="C169" s="173" t="s">
        <v>48</v>
      </c>
      <c r="D169" s="173" t="s">
        <v>48</v>
      </c>
      <c r="E169" s="190" t="s">
        <v>862</v>
      </c>
      <c r="F169" s="190" t="s">
        <v>863</v>
      </c>
      <c r="G169" s="173" t="s">
        <v>34</v>
      </c>
      <c r="H169" s="173" t="s">
        <v>127</v>
      </c>
      <c r="I169" s="174">
        <v>2.4</v>
      </c>
      <c r="J169" s="174"/>
      <c r="K169" s="174"/>
      <c r="L169" s="174"/>
      <c r="M169" s="191">
        <v>620</v>
      </c>
      <c r="N169" s="176">
        <v>9.8840000000000003</v>
      </c>
      <c r="O169" s="176"/>
      <c r="P169" s="177"/>
      <c r="Q169" s="178"/>
      <c r="R169" s="179"/>
      <c r="S169" s="179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80"/>
      <c r="AE169" s="173" t="s">
        <v>69</v>
      </c>
      <c r="AF169" s="181" t="s">
        <v>119</v>
      </c>
      <c r="AG169" s="181" t="s">
        <v>856</v>
      </c>
      <c r="AH169" s="181">
        <v>44675</v>
      </c>
      <c r="AI169" s="181">
        <v>44699</v>
      </c>
      <c r="AJ169" s="181"/>
      <c r="AK169" s="181">
        <f ca="1">TODAY()</f>
        <v>44958</v>
      </c>
      <c r="AL169" s="173">
        <f ca="1">IF(AI169&lt;&gt;0,AK169-AI169,0)</f>
        <v>259</v>
      </c>
      <c r="AM169" s="173" t="str">
        <f>IF(ISNUMBER(X169)=TRUE,AK169-X169,IF(X169="","",(AK169)-(MID(RIGHT(X169,10),4,2)&amp;"/"&amp;LEFT((RIGHT(X169,10)),2)&amp;"/"&amp;RIGHT(X169,4))))</f>
        <v/>
      </c>
      <c r="AN169" s="181" t="s">
        <v>864</v>
      </c>
      <c r="AO169" s="190" t="s">
        <v>865</v>
      </c>
      <c r="AP169" s="176">
        <v>9.8840000000000003</v>
      </c>
      <c r="AQ169" s="176">
        <v>9.9039999999999999</v>
      </c>
      <c r="AR169" s="176">
        <v>9.9289999999999985</v>
      </c>
      <c r="AS169" s="176">
        <v>9.9339999999999993</v>
      </c>
      <c r="AT169" s="173" t="str">
        <f>IF(ISNUMBER(U169)=TRUE,AK169-U169,IF(U169="","",(AK169)-(MID(RIGHT(U169,10),4,2)&amp;"/"&amp;LEFT((RIGHT(U169,10)),2)&amp;"/"&amp;RIGHT(U169,4))))</f>
        <v/>
      </c>
      <c r="AU169" s="173">
        <v>436</v>
      </c>
      <c r="AW169" s="142" t="s">
        <v>123</v>
      </c>
    </row>
    <row r="170" spans="2:49" s="142" customFormat="1" ht="21" customHeight="1" x14ac:dyDescent="0.25">
      <c r="B170" s="173" t="str">
        <f>IF(C170="HOLD RM","HOLD RM",IF(C170="BAL","WIP",IF(C170="HOLD SLT","HOLD SLT",IF(C170="MILL","RM",IF(C170="RE SLT","WIP",IF(C170="RM","RM",IF(C170="RM BAL","RM",IF(C170="RM SLT","RM",IF(C170="RR","WIP",IF(C170="SKP","WIP",IF(C170="SLT","WIP",IF(C170="CTL","WIP",IF(C170="RM SLT RUST","RM SLT RUST",0)))))))))))))&amp;"-"&amp;G170&amp;"/"&amp;IF(H170="2B","2B",IF(H170="NO.1","1D",IF(H170="FH","FH",0)))&amp;"-"&amp;IF(J170="",(TEXT(I170,"0.00")),TEXT(J170,"0.00"))&amp;"X"&amp;M170</f>
        <v>WIP-J3/FH-1.40X620</v>
      </c>
      <c r="C170" s="173" t="s">
        <v>16</v>
      </c>
      <c r="D170" s="173" t="s">
        <v>16</v>
      </c>
      <c r="E170" s="190" t="s">
        <v>866</v>
      </c>
      <c r="F170" s="190" t="s">
        <v>867</v>
      </c>
      <c r="G170" s="173" t="s">
        <v>34</v>
      </c>
      <c r="H170" s="173" t="s">
        <v>70</v>
      </c>
      <c r="I170" s="174">
        <v>2.4</v>
      </c>
      <c r="J170" s="174">
        <v>1.4</v>
      </c>
      <c r="K170" s="174"/>
      <c r="L170" s="174"/>
      <c r="M170" s="191">
        <v>620</v>
      </c>
      <c r="N170" s="176">
        <v>9.9559999999999995</v>
      </c>
      <c r="O170" s="176" t="s">
        <v>114</v>
      </c>
      <c r="P170" s="177"/>
      <c r="Q170" s="178" t="s">
        <v>295</v>
      </c>
      <c r="R170" s="179"/>
      <c r="S170" s="179"/>
      <c r="T170" s="177">
        <v>44907</v>
      </c>
      <c r="U170" s="177">
        <v>44946</v>
      </c>
      <c r="V170" s="177"/>
      <c r="W170" s="177">
        <v>44908</v>
      </c>
      <c r="X170" s="177"/>
      <c r="Y170" s="177"/>
      <c r="Z170" s="177"/>
      <c r="AA170" s="177"/>
      <c r="AB170" s="177"/>
      <c r="AC170" s="177"/>
      <c r="AD170" s="180"/>
      <c r="AE170" s="173" t="s">
        <v>69</v>
      </c>
      <c r="AF170" s="181" t="s">
        <v>119</v>
      </c>
      <c r="AG170" s="181" t="s">
        <v>856</v>
      </c>
      <c r="AH170" s="181">
        <v>44675</v>
      </c>
      <c r="AI170" s="181">
        <v>44699</v>
      </c>
      <c r="AJ170" s="181"/>
      <c r="AK170" s="181">
        <f ca="1">TODAY()</f>
        <v>44958</v>
      </c>
      <c r="AL170" s="173">
        <f ca="1">IF(AI170&lt;&gt;0,AK170-AI170,0)</f>
        <v>259</v>
      </c>
      <c r="AM170" s="173" t="str">
        <f>IF(ISNUMBER(X170)=TRUE,AK170-X170,IF(X170="","",(AK170)-(MID(RIGHT(X170,10),4,2)&amp;"/"&amp;LEFT((RIGHT(X170,10)),2)&amp;"/"&amp;RIGHT(X170,4))))</f>
        <v/>
      </c>
      <c r="AN170" s="181" t="s">
        <v>864</v>
      </c>
      <c r="AO170" s="190" t="s">
        <v>865</v>
      </c>
      <c r="AP170" s="176">
        <v>9.9559999999999995</v>
      </c>
      <c r="AQ170" s="176">
        <v>9.9759999999999991</v>
      </c>
      <c r="AR170" s="176">
        <v>10.000999999999998</v>
      </c>
      <c r="AS170" s="176">
        <v>10.005999999999998</v>
      </c>
      <c r="AT170" s="173">
        <f ca="1">IF(ISNUMBER(U170)=TRUE,AK170-U170,IF(U170="","",(AK170)-(MID(RIGHT(U170,10),4,2)&amp;"/"&amp;LEFT((RIGHT(U170,10)),2)&amp;"/"&amp;RIGHT(U170,4))))</f>
        <v>12</v>
      </c>
      <c r="AU170" s="173">
        <v>436</v>
      </c>
      <c r="AW170" s="142" t="s">
        <v>123</v>
      </c>
    </row>
    <row r="171" spans="2:49" s="142" customFormat="1" ht="21" customHeight="1" x14ac:dyDescent="0.25">
      <c r="B171" s="173" t="str">
        <f>IF(C171="HOLD RM","HOLD RM",IF(C171="BAL","WIP",IF(C171="HOLD SLT","HOLD SLT",IF(C171="MILL","RM",IF(C171="RE SLT","WIP",IF(C171="RM","RM",IF(C171="RM BAL","RM",IF(C171="RM SLT","RM",IF(C171="RR","WIP",IF(C171="SKP","WIP",IF(C171="SLT","WIP",IF(C171="CTL","WIP",IF(C171="RM SLT RUST","RM SLT RUST",0)))))))))))))&amp;"-"&amp;G171&amp;"/"&amp;IF(H171="2B","2B",IF(H171="NO.1","1D",IF(H171="FH","FH",0)))&amp;"-"&amp;IF(J171="",(TEXT(I171,"0.00")),TEXT(J171,"0.00"))&amp;"X"&amp;M171</f>
        <v>RM-J3/1D-2.20X620</v>
      </c>
      <c r="C171" s="173" t="s">
        <v>48</v>
      </c>
      <c r="D171" s="173" t="s">
        <v>48</v>
      </c>
      <c r="E171" s="190" t="s">
        <v>868</v>
      </c>
      <c r="F171" s="190" t="s">
        <v>869</v>
      </c>
      <c r="G171" s="173" t="s">
        <v>34</v>
      </c>
      <c r="H171" s="173" t="s">
        <v>127</v>
      </c>
      <c r="I171" s="174">
        <v>2.2000000000000002</v>
      </c>
      <c r="J171" s="174"/>
      <c r="K171" s="174"/>
      <c r="L171" s="174"/>
      <c r="M171" s="191">
        <v>620</v>
      </c>
      <c r="N171" s="176">
        <v>9.9179999999999993</v>
      </c>
      <c r="O171" s="176"/>
      <c r="P171" s="177"/>
      <c r="Q171" s="178"/>
      <c r="R171" s="179"/>
      <c r="S171" s="179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80"/>
      <c r="AE171" s="173" t="s">
        <v>69</v>
      </c>
      <c r="AF171" s="181" t="s">
        <v>119</v>
      </c>
      <c r="AG171" s="181" t="s">
        <v>856</v>
      </c>
      <c r="AH171" s="181">
        <v>44675</v>
      </c>
      <c r="AI171" s="181">
        <v>44699</v>
      </c>
      <c r="AJ171" s="181"/>
      <c r="AK171" s="181">
        <f ca="1">TODAY()</f>
        <v>44958</v>
      </c>
      <c r="AL171" s="173">
        <f ca="1">IF(AI171&lt;&gt;0,AK171-AI171,0)</f>
        <v>259</v>
      </c>
      <c r="AM171" s="173" t="str">
        <f>IF(ISNUMBER(X171)=TRUE,AK171-X171,IF(X171="","",(AK171)-(MID(RIGHT(X171,10),4,2)&amp;"/"&amp;LEFT((RIGHT(X171,10)),2)&amp;"/"&amp;RIGHT(X171,4))))</f>
        <v/>
      </c>
      <c r="AN171" s="181" t="s">
        <v>870</v>
      </c>
      <c r="AO171" s="190" t="s">
        <v>871</v>
      </c>
      <c r="AP171" s="176">
        <v>9.9179999999999993</v>
      </c>
      <c r="AQ171" s="176">
        <v>9.9379999999999988</v>
      </c>
      <c r="AR171" s="176">
        <v>9.9629999999999974</v>
      </c>
      <c r="AS171" s="176">
        <v>9.9679999999999982</v>
      </c>
      <c r="AT171" s="173" t="str">
        <f>IF(ISNUMBER(U171)=TRUE,AK171-U171,IF(U171="","",(AK171)-(MID(RIGHT(U171,10),4,2)&amp;"/"&amp;LEFT((RIGHT(U171,10)),2)&amp;"/"&amp;RIGHT(U171,4))))</f>
        <v/>
      </c>
      <c r="AU171" s="173">
        <v>436</v>
      </c>
      <c r="AW171" s="142" t="s">
        <v>123</v>
      </c>
    </row>
    <row r="172" spans="2:49" s="142" customFormat="1" ht="21" customHeight="1" x14ac:dyDescent="0.25">
      <c r="B172" s="173" t="str">
        <f>IF(C172="HOLD RM","HOLD RM",IF(C172="BAL","WIP",IF(C172="HOLD SLT","HOLD SLT",IF(C172="MILL","RM",IF(C172="RE SLT","WIP",IF(C172="RM","RM",IF(C172="RM BAL","RM",IF(C172="RM SLT","RM",IF(C172="RR","WIP",IF(C172="SKP","WIP",IF(C172="SLT","WIP",IF(C172="CTL","WIP",IF(C172="RM SLT RUST","RM SLT RUST",0)))))))))))))&amp;"-"&amp;G172&amp;"/"&amp;IF(H172="2B","2B",IF(H172="NO.1","1D",IF(H172="FH","FH",0)))&amp;"-"&amp;IF(J172="",(TEXT(I172,"0.00")),TEXT(J172,"0.00"))&amp;"X"&amp;M172</f>
        <v>RM-J3/1D-2.20X620</v>
      </c>
      <c r="C172" s="173" t="s">
        <v>48</v>
      </c>
      <c r="D172" s="173" t="s">
        <v>48</v>
      </c>
      <c r="E172" s="190" t="s">
        <v>872</v>
      </c>
      <c r="F172" s="190" t="s">
        <v>873</v>
      </c>
      <c r="G172" s="173" t="s">
        <v>34</v>
      </c>
      <c r="H172" s="173" t="s">
        <v>127</v>
      </c>
      <c r="I172" s="174">
        <v>2.2000000000000002</v>
      </c>
      <c r="J172" s="174"/>
      <c r="K172" s="174"/>
      <c r="L172" s="174"/>
      <c r="M172" s="191">
        <v>620</v>
      </c>
      <c r="N172" s="176">
        <v>9.9120000000000008</v>
      </c>
      <c r="O172" s="176"/>
      <c r="P172" s="177"/>
      <c r="Q172" s="178"/>
      <c r="R172" s="179"/>
      <c r="S172" s="179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80"/>
      <c r="AE172" s="173" t="s">
        <v>69</v>
      </c>
      <c r="AF172" s="181" t="s">
        <v>119</v>
      </c>
      <c r="AG172" s="181" t="s">
        <v>856</v>
      </c>
      <c r="AH172" s="181">
        <v>44675</v>
      </c>
      <c r="AI172" s="181">
        <v>44699</v>
      </c>
      <c r="AJ172" s="181"/>
      <c r="AK172" s="181">
        <f ca="1">TODAY()</f>
        <v>44958</v>
      </c>
      <c r="AL172" s="173">
        <f ca="1">IF(AI172&lt;&gt;0,AK172-AI172,0)</f>
        <v>259</v>
      </c>
      <c r="AM172" s="173" t="str">
        <f>IF(ISNUMBER(X172)=TRUE,AK172-X172,IF(X172="","",(AK172)-(MID(RIGHT(X172,10),4,2)&amp;"/"&amp;LEFT((RIGHT(X172,10)),2)&amp;"/"&amp;RIGHT(X172,4))))</f>
        <v/>
      </c>
      <c r="AN172" s="181" t="s">
        <v>874</v>
      </c>
      <c r="AO172" s="190" t="s">
        <v>871</v>
      </c>
      <c r="AP172" s="176">
        <v>9.9120000000000008</v>
      </c>
      <c r="AQ172" s="176">
        <v>9.9320000000000004</v>
      </c>
      <c r="AR172" s="176">
        <v>9.956999999999999</v>
      </c>
      <c r="AS172" s="176">
        <v>9.9619999999999997</v>
      </c>
      <c r="AT172" s="173" t="str">
        <f>IF(ISNUMBER(U172)=TRUE,AK172-U172,IF(U172="","",(AK172)-(MID(RIGHT(U172,10),4,2)&amp;"/"&amp;LEFT((RIGHT(U172,10)),2)&amp;"/"&amp;RIGHT(U172,4))))</f>
        <v/>
      </c>
      <c r="AU172" s="173">
        <v>436</v>
      </c>
      <c r="AW172" s="142" t="s">
        <v>123</v>
      </c>
    </row>
    <row r="173" spans="2:49" s="142" customFormat="1" ht="21" customHeight="1" x14ac:dyDescent="0.25">
      <c r="B173" s="173" t="str">
        <f>IF(C173="HOLD RM","HOLD RM",IF(C173="BAL","WIP",IF(C173="HOLD SLT","HOLD SLT",IF(C173="MILL","RM",IF(C173="RE SLT","WIP",IF(C173="RM","RM",IF(C173="RM BAL","RM",IF(C173="RM SLT","RM",IF(C173="RR","WIP",IF(C173="SKP","WIP",IF(C173="SLT","WIP",IF(C173="CTL","WIP",IF(C173="RM SLT RUST","RM SLT RUST",0)))))))))))))&amp;"-"&amp;G173&amp;"/"&amp;IF(H173="2B","2B",IF(H173="NO.1","1D",IF(H173="FH","FH",0)))&amp;"-"&amp;IF(J173="",(TEXT(I173,"0.00")),TEXT(J173,"0.00"))&amp;"X"&amp;M173</f>
        <v>WIP-J3/2B-0.91X620</v>
      </c>
      <c r="C173" s="173" t="s">
        <v>18</v>
      </c>
      <c r="D173" s="173" t="s">
        <v>836</v>
      </c>
      <c r="E173" s="190" t="s">
        <v>875</v>
      </c>
      <c r="F173" s="190" t="s">
        <v>876</v>
      </c>
      <c r="G173" s="173" t="s">
        <v>34</v>
      </c>
      <c r="H173" s="173" t="s">
        <v>114</v>
      </c>
      <c r="I173" s="174">
        <v>2.4</v>
      </c>
      <c r="J173" s="174">
        <v>0.91</v>
      </c>
      <c r="K173" s="174">
        <v>0.88</v>
      </c>
      <c r="L173" s="174">
        <v>0.91</v>
      </c>
      <c r="M173" s="191">
        <v>620</v>
      </c>
      <c r="N173" s="176">
        <v>9.83</v>
      </c>
      <c r="O173" s="176" t="s">
        <v>114</v>
      </c>
      <c r="P173" s="177"/>
      <c r="Q173" s="178" t="s">
        <v>361</v>
      </c>
      <c r="R173" s="179"/>
      <c r="S173" s="179"/>
      <c r="T173" s="177">
        <v>44888</v>
      </c>
      <c r="U173" s="177"/>
      <c r="V173" s="177"/>
      <c r="W173" s="177">
        <v>44889</v>
      </c>
      <c r="X173" s="177">
        <v>44956</v>
      </c>
      <c r="Y173" s="177">
        <v>44956</v>
      </c>
      <c r="Z173" s="177"/>
      <c r="AA173" s="177"/>
      <c r="AB173" s="177"/>
      <c r="AC173" s="177"/>
      <c r="AD173" s="180"/>
      <c r="AE173" s="173" t="s">
        <v>69</v>
      </c>
      <c r="AF173" s="181" t="s">
        <v>119</v>
      </c>
      <c r="AG173" s="181" t="s">
        <v>856</v>
      </c>
      <c r="AH173" s="181">
        <v>44675</v>
      </c>
      <c r="AI173" s="181">
        <v>44699</v>
      </c>
      <c r="AJ173" s="181"/>
      <c r="AK173" s="181">
        <f ca="1">TODAY()</f>
        <v>44958</v>
      </c>
      <c r="AL173" s="173">
        <f ca="1">IF(AI173&lt;&gt;0,AK173-AI173,0)</f>
        <v>259</v>
      </c>
      <c r="AM173" s="173">
        <f ca="1">IF(ISNUMBER(X173)=TRUE,AK173-X173,IF(X173="","",(AK173)-(MID(RIGHT(X173,10),4,2)&amp;"/"&amp;LEFT((RIGHT(X173,10)),2)&amp;"/"&amp;RIGHT(X173,4))))</f>
        <v>2</v>
      </c>
      <c r="AN173" s="181" t="s">
        <v>877</v>
      </c>
      <c r="AO173" s="190" t="s">
        <v>814</v>
      </c>
      <c r="AP173" s="176">
        <v>10.130000000000001</v>
      </c>
      <c r="AQ173" s="176">
        <v>10.15</v>
      </c>
      <c r="AR173" s="176">
        <v>10.174999999999999</v>
      </c>
      <c r="AS173" s="176">
        <v>10.18</v>
      </c>
      <c r="AT173" s="173" t="str">
        <f>IF(ISNUMBER(U173)=TRUE,AK173-U173,IF(U173="","",(AK173)-(MID(RIGHT(U173,10),4,2)&amp;"/"&amp;LEFT((RIGHT(U173,10)),2)&amp;"/"&amp;RIGHT(U173,4))))</f>
        <v/>
      </c>
      <c r="AU173" s="173">
        <v>436</v>
      </c>
      <c r="AW173" s="142" t="s">
        <v>123</v>
      </c>
    </row>
    <row r="174" spans="2:49" s="142" customFormat="1" ht="21" customHeight="1" x14ac:dyDescent="0.25">
      <c r="B174" s="173" t="str">
        <f>IF(C174="HOLD RM","HOLD RM",IF(C174="BAL","WIP",IF(C174="HOLD SLT","HOLD SLT",IF(C174="MILL","RM",IF(C174="RE SLT","WIP",IF(C174="RM","RM",IF(C174="RM BAL","RM",IF(C174="RM SLT","RM",IF(C174="RR","WIP",IF(C174="SKP","WIP",IF(C174="SLT","WIP",IF(C174="CTL","WIP",IF(C174="RM SLT RUST","RM SLT RUST",0)))))))))))))&amp;"-"&amp;G174&amp;"/"&amp;IF(H174="2B","2B",IF(H174="NO.1","1D",IF(H174="FH","FH",0)))&amp;"-"&amp;IF(J174="",(TEXT(I174,"0.00")),TEXT(J174,"0.00"))&amp;"X"&amp;M174</f>
        <v>WIP-J3/FH-0.50X620</v>
      </c>
      <c r="C174" s="173" t="s">
        <v>16</v>
      </c>
      <c r="D174" s="173" t="s">
        <v>16</v>
      </c>
      <c r="E174" s="190" t="s">
        <v>878</v>
      </c>
      <c r="F174" s="190" t="s">
        <v>879</v>
      </c>
      <c r="G174" s="173" t="s">
        <v>34</v>
      </c>
      <c r="H174" s="173" t="s">
        <v>70</v>
      </c>
      <c r="I174" s="174">
        <v>0.89</v>
      </c>
      <c r="J174" s="174">
        <v>0.5</v>
      </c>
      <c r="K174" s="174"/>
      <c r="L174" s="174"/>
      <c r="M174" s="191">
        <v>620</v>
      </c>
      <c r="N174" s="176">
        <v>10.02</v>
      </c>
      <c r="O174" s="176" t="s">
        <v>114</v>
      </c>
      <c r="P174" s="177"/>
      <c r="Q174" s="178" t="s">
        <v>294</v>
      </c>
      <c r="R174" s="178" t="s">
        <v>295</v>
      </c>
      <c r="S174" s="179"/>
      <c r="T174" s="177">
        <v>44733</v>
      </c>
      <c r="U174" s="177"/>
      <c r="V174" s="177">
        <v>44733</v>
      </c>
      <c r="W174" s="177" t="s">
        <v>880</v>
      </c>
      <c r="X174" s="177" t="s">
        <v>881</v>
      </c>
      <c r="Y174" s="177"/>
      <c r="Z174" s="177">
        <v>44754</v>
      </c>
      <c r="AA174" s="177"/>
      <c r="AB174" s="177"/>
      <c r="AC174" s="177"/>
      <c r="AD174" s="180"/>
      <c r="AE174" s="173" t="s">
        <v>69</v>
      </c>
      <c r="AF174" s="181" t="s">
        <v>119</v>
      </c>
      <c r="AG174" s="181" t="s">
        <v>856</v>
      </c>
      <c r="AH174" s="181">
        <v>44675</v>
      </c>
      <c r="AI174" s="181">
        <v>44699</v>
      </c>
      <c r="AJ174" s="181"/>
      <c r="AK174" s="181">
        <f ca="1">TODAY()</f>
        <v>44958</v>
      </c>
      <c r="AL174" s="173">
        <f ca="1">IF(AI174&lt;&gt;0,AK174-AI174,0)</f>
        <v>259</v>
      </c>
      <c r="AM174" s="173">
        <f ca="1">IF(ISNUMBER(X174)=TRUE,AK174-X174,IF(X174="","",(AK174)-(MID(RIGHT(X174,10),4,2)&amp;"/"&amp;LEFT((RIGHT(X174,10)),2)&amp;"/"&amp;RIGHT(X174,4))))</f>
        <v>94</v>
      </c>
      <c r="AN174" s="181" t="s">
        <v>877</v>
      </c>
      <c r="AO174" s="190" t="s">
        <v>688</v>
      </c>
      <c r="AP174" s="176">
        <v>10.086</v>
      </c>
      <c r="AQ174" s="176">
        <v>10.106</v>
      </c>
      <c r="AR174" s="176">
        <v>10.130999999999998</v>
      </c>
      <c r="AS174" s="176">
        <v>10.135999999999999</v>
      </c>
      <c r="AT174" s="173" t="str">
        <f>IF(ISNUMBER(U174)=TRUE,AK174-U174,IF(U174="","",(AK174)-(MID(RIGHT(U174,10),4,2)&amp;"/"&amp;LEFT((RIGHT(U174,10)),2)&amp;"/"&amp;RIGHT(U174,4))))</f>
        <v/>
      </c>
      <c r="AU174" s="173">
        <v>436</v>
      </c>
      <c r="AW174" s="142" t="s">
        <v>123</v>
      </c>
    </row>
    <row r="175" spans="2:49" s="142" customFormat="1" ht="21" customHeight="1" x14ac:dyDescent="0.25">
      <c r="B175" s="173" t="str">
        <f>IF(C175="HOLD RM","HOLD RM",IF(C175="BAL","WIP",IF(C175="HOLD SLT","HOLD SLT",IF(C175="MILL","RM",IF(C175="RE SLT","WIP",IF(C175="RM","RM",IF(C175="RM BAL","RM",IF(C175="RM SLT","RM",IF(C175="RR","WIP",IF(C175="SKP","WIP",IF(C175="SLT","WIP",IF(C175="CTL","WIP",IF(C175="RM SLT RUST","RM SLT RUST",0)))))))))))))&amp;"-"&amp;G175&amp;"/"&amp;IF(H175="2B","2B",IF(H175="NO.1","1D",IF(H175="FH","FH",0)))&amp;"-"&amp;IF(J175="",(TEXT(I175,"0.00")),TEXT(J175,"0.00"))&amp;"X"&amp;M175</f>
        <v>RM-J3/1D-2.40X620</v>
      </c>
      <c r="C175" s="173" t="s">
        <v>48</v>
      </c>
      <c r="D175" s="173" t="s">
        <v>48</v>
      </c>
      <c r="E175" s="190" t="s">
        <v>882</v>
      </c>
      <c r="F175" s="190" t="s">
        <v>883</v>
      </c>
      <c r="G175" s="173" t="s">
        <v>34</v>
      </c>
      <c r="H175" s="173" t="s">
        <v>127</v>
      </c>
      <c r="I175" s="174">
        <v>2.4</v>
      </c>
      <c r="J175" s="174"/>
      <c r="K175" s="174"/>
      <c r="L175" s="174"/>
      <c r="M175" s="191">
        <v>620</v>
      </c>
      <c r="N175" s="176">
        <v>10.01</v>
      </c>
      <c r="O175" s="176"/>
      <c r="P175" s="177"/>
      <c r="Q175" s="178"/>
      <c r="R175" s="179"/>
      <c r="S175" s="179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80"/>
      <c r="AE175" s="173" t="s">
        <v>69</v>
      </c>
      <c r="AF175" s="181" t="s">
        <v>119</v>
      </c>
      <c r="AG175" s="181" t="s">
        <v>856</v>
      </c>
      <c r="AH175" s="181">
        <v>44675</v>
      </c>
      <c r="AI175" s="181">
        <v>44699</v>
      </c>
      <c r="AJ175" s="181"/>
      <c r="AK175" s="181">
        <f ca="1">TODAY()</f>
        <v>44958</v>
      </c>
      <c r="AL175" s="173">
        <f ca="1">IF(AI175&lt;&gt;0,AK175-AI175,0)</f>
        <v>259</v>
      </c>
      <c r="AM175" s="173" t="str">
        <f>IF(ISNUMBER(X175)=TRUE,AK175-X175,IF(X175="","",(AK175)-(MID(RIGHT(X175,10),4,2)&amp;"/"&amp;LEFT((RIGHT(X175,10)),2)&amp;"/"&amp;RIGHT(X175,4))))</f>
        <v/>
      </c>
      <c r="AN175" s="181" t="s">
        <v>861</v>
      </c>
      <c r="AO175" s="190" t="s">
        <v>884</v>
      </c>
      <c r="AP175" s="176">
        <v>10.01</v>
      </c>
      <c r="AQ175" s="176">
        <v>10.029999999999999</v>
      </c>
      <c r="AR175" s="176">
        <v>10.054999999999998</v>
      </c>
      <c r="AS175" s="176">
        <v>10.059999999999999</v>
      </c>
      <c r="AT175" s="173" t="str">
        <f>IF(ISNUMBER(U175)=TRUE,AK175-U175,IF(U175="","",(AK175)-(MID(RIGHT(U175,10),4,2)&amp;"/"&amp;LEFT((RIGHT(U175,10)),2)&amp;"/"&amp;RIGHT(U175,4))))</f>
        <v/>
      </c>
      <c r="AU175" s="173">
        <v>436</v>
      </c>
      <c r="AW175" s="142" t="s">
        <v>123</v>
      </c>
    </row>
    <row r="176" spans="2:49" s="142" customFormat="1" ht="21" customHeight="1" x14ac:dyDescent="0.25">
      <c r="B176" s="173" t="str">
        <f>IF(C176="HOLD RM","HOLD RM",IF(C176="BAL","WIP",IF(C176="HOLD SLT","HOLD SLT",IF(C176="MILL","RM",IF(C176="RE SLT","WIP",IF(C176="RM","RM",IF(C176="RM BAL","RM",IF(C176="RM SLT","RM",IF(C176="RR","WIP",IF(C176="SKP","WIP",IF(C176="SLT","WIP",IF(C176="CTL","WIP",IF(C176="RM SLT RUST","RM SLT RUST",0)))))))))))))&amp;"-"&amp;G176&amp;"/"&amp;IF(H176="2B","2B",IF(H176="NO.1","1D",IF(H176="FH","FH",0)))&amp;"-"&amp;IF(J176="",(TEXT(I176,"0.00")),TEXT(J176,"0.00"))&amp;"X"&amp;M176</f>
        <v>RM-J3/1D-2.40X620</v>
      </c>
      <c r="C176" s="173" t="s">
        <v>48</v>
      </c>
      <c r="D176" s="173" t="s">
        <v>48</v>
      </c>
      <c r="E176" s="190" t="s">
        <v>885</v>
      </c>
      <c r="F176" s="190" t="s">
        <v>886</v>
      </c>
      <c r="G176" s="173" t="s">
        <v>34</v>
      </c>
      <c r="H176" s="173" t="s">
        <v>127</v>
      </c>
      <c r="I176" s="174">
        <v>2.4</v>
      </c>
      <c r="J176" s="174"/>
      <c r="K176" s="174"/>
      <c r="L176" s="174"/>
      <c r="M176" s="191">
        <v>620</v>
      </c>
      <c r="N176" s="176">
        <v>10.096</v>
      </c>
      <c r="O176" s="176"/>
      <c r="P176" s="177"/>
      <c r="Q176" s="178"/>
      <c r="R176" s="179"/>
      <c r="S176" s="179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80"/>
      <c r="AE176" s="173" t="s">
        <v>69</v>
      </c>
      <c r="AF176" s="181" t="s">
        <v>119</v>
      </c>
      <c r="AG176" s="181" t="s">
        <v>856</v>
      </c>
      <c r="AH176" s="181">
        <v>44675</v>
      </c>
      <c r="AI176" s="181">
        <v>44699</v>
      </c>
      <c r="AJ176" s="181"/>
      <c r="AK176" s="181">
        <f ca="1">TODAY()</f>
        <v>44958</v>
      </c>
      <c r="AL176" s="173">
        <f ca="1">IF(AI176&lt;&gt;0,AK176-AI176,0)</f>
        <v>259</v>
      </c>
      <c r="AM176" s="173" t="str">
        <f>IF(ISNUMBER(X176)=TRUE,AK176-X176,IF(X176="","",(AK176)-(MID(RIGHT(X176,10),4,2)&amp;"/"&amp;LEFT((RIGHT(X176,10)),2)&amp;"/"&amp;RIGHT(X176,4))))</f>
        <v/>
      </c>
      <c r="AN176" s="181" t="s">
        <v>887</v>
      </c>
      <c r="AO176" s="190" t="s">
        <v>888</v>
      </c>
      <c r="AP176" s="176">
        <v>10.096</v>
      </c>
      <c r="AQ176" s="176">
        <v>10.116</v>
      </c>
      <c r="AR176" s="176">
        <v>10.140999999999998</v>
      </c>
      <c r="AS176" s="176">
        <v>10.145999999999999</v>
      </c>
      <c r="AT176" s="173" t="str">
        <f>IF(ISNUMBER(U176)=TRUE,AK176-U176,IF(U176="","",(AK176)-(MID(RIGHT(U176,10),4,2)&amp;"/"&amp;LEFT((RIGHT(U176,10)),2)&amp;"/"&amp;RIGHT(U176,4))))</f>
        <v/>
      </c>
      <c r="AU176" s="173">
        <v>436</v>
      </c>
      <c r="AW176" s="142" t="s">
        <v>123</v>
      </c>
    </row>
    <row r="177" spans="2:49" s="142" customFormat="1" ht="21" customHeight="1" x14ac:dyDescent="0.25">
      <c r="B177" s="173" t="str">
        <f>IF(C177="HOLD RM","HOLD RM",IF(C177="BAL","WIP",IF(C177="HOLD SLT","HOLD SLT",IF(C177="MILL","RM",IF(C177="RE SLT","WIP",IF(C177="RM","RM",IF(C177="RM BAL","RM",IF(C177="RM SLT","RM",IF(C177="RR","WIP",IF(C177="SKP","WIP",IF(C177="SLT","WIP",IF(C177="CTL","WIP",IF(C177="RM SLT RUST","RM SLT RUST",0)))))))))))))&amp;"-"&amp;G177&amp;"/"&amp;IF(H177="2B","2B",IF(H177="NO.1","1D",IF(H177="FH","FH",0)))&amp;"-"&amp;IF(J177="",(TEXT(I177,"0.00")),TEXT(J177,"0.00"))&amp;"X"&amp;M177</f>
        <v>RM-J3/1D-2.20X620</v>
      </c>
      <c r="C177" s="173" t="s">
        <v>48</v>
      </c>
      <c r="D177" s="173" t="s">
        <v>48</v>
      </c>
      <c r="E177" s="190" t="s">
        <v>889</v>
      </c>
      <c r="F177" s="190" t="s">
        <v>890</v>
      </c>
      <c r="G177" s="173" t="s">
        <v>34</v>
      </c>
      <c r="H177" s="173" t="s">
        <v>127</v>
      </c>
      <c r="I177" s="174">
        <v>2.2000000000000002</v>
      </c>
      <c r="J177" s="174"/>
      <c r="K177" s="174"/>
      <c r="L177" s="174"/>
      <c r="M177" s="191">
        <v>620</v>
      </c>
      <c r="N177" s="176">
        <v>10.003</v>
      </c>
      <c r="O177" s="176"/>
      <c r="P177" s="177"/>
      <c r="Q177" s="178"/>
      <c r="R177" s="179"/>
      <c r="S177" s="179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80"/>
      <c r="AE177" s="173" t="s">
        <v>69</v>
      </c>
      <c r="AF177" s="181" t="s">
        <v>119</v>
      </c>
      <c r="AG177" s="181" t="s">
        <v>891</v>
      </c>
      <c r="AH177" s="181">
        <v>44667</v>
      </c>
      <c r="AI177" s="181">
        <v>44706</v>
      </c>
      <c r="AJ177" s="181"/>
      <c r="AK177" s="181">
        <f ca="1">TODAY()</f>
        <v>44958</v>
      </c>
      <c r="AL177" s="173">
        <f ca="1">IF(AI177&lt;&gt;0,AK177-AI177,0)</f>
        <v>252</v>
      </c>
      <c r="AM177" s="173" t="str">
        <f>IF(ISNUMBER(X177)=TRUE,AK177-X177,IF(X177="","",(AK177)-(MID(RIGHT(X177,10),4,2)&amp;"/"&amp;LEFT((RIGHT(X177,10)),2)&amp;"/"&amp;RIGHT(X177,4))))</f>
        <v/>
      </c>
      <c r="AN177" s="181" t="s">
        <v>892</v>
      </c>
      <c r="AO177" s="190" t="s">
        <v>893</v>
      </c>
      <c r="AP177" s="176">
        <v>10.003</v>
      </c>
      <c r="AQ177" s="176">
        <v>10.023</v>
      </c>
      <c r="AR177" s="176">
        <v>10.047999999999998</v>
      </c>
      <c r="AS177" s="176">
        <v>10.052999999999999</v>
      </c>
      <c r="AT177" s="173" t="str">
        <f>IF(ISNUMBER(U177)=TRUE,AK177-U177,IF(U177="","",(AK177)-(MID(RIGHT(U177,10),4,2)&amp;"/"&amp;LEFT((RIGHT(U177,10)),2)&amp;"/"&amp;RIGHT(U177,4))))</f>
        <v/>
      </c>
      <c r="AU177" s="173">
        <v>437</v>
      </c>
      <c r="AW177" s="142" t="s">
        <v>123</v>
      </c>
    </row>
    <row r="178" spans="2:49" s="142" customFormat="1" ht="21" customHeight="1" x14ac:dyDescent="0.25">
      <c r="B178" s="173" t="str">
        <f>IF(C178="HOLD RM","HOLD RM",IF(C178="BAL","WIP",IF(C178="HOLD SLT","HOLD SLT",IF(C178="MILL","RM",IF(C178="RE SLT","WIP",IF(C178="RM","RM",IF(C178="RM BAL","RM",IF(C178="RM SLT","RM",IF(C178="RR","WIP",IF(C178="SKP","WIP",IF(C178="SLT","WIP",IF(C178="CTL","WIP",IF(C178="RM SLT RUST","RM SLT RUST",0)))))))))))))&amp;"-"&amp;G178&amp;"/"&amp;IF(H178="2B","2B",IF(H178="NO.1","1D",IF(H178="FH","FH",0)))&amp;"-"&amp;IF(J178="",(TEXT(I178,"0.00")),TEXT(J178,"0.00"))&amp;"X"&amp;M178</f>
        <v>RM-J3/1D-2.20X620</v>
      </c>
      <c r="C178" s="173" t="s">
        <v>48</v>
      </c>
      <c r="D178" s="173" t="s">
        <v>48</v>
      </c>
      <c r="E178" s="190" t="s">
        <v>894</v>
      </c>
      <c r="F178" s="190" t="s">
        <v>895</v>
      </c>
      <c r="G178" s="173" t="s">
        <v>34</v>
      </c>
      <c r="H178" s="173" t="s">
        <v>127</v>
      </c>
      <c r="I178" s="174">
        <v>2.2000000000000002</v>
      </c>
      <c r="J178" s="174"/>
      <c r="K178" s="174"/>
      <c r="L178" s="174"/>
      <c r="M178" s="191">
        <v>620</v>
      </c>
      <c r="N178" s="176">
        <v>10.022</v>
      </c>
      <c r="O178" s="176"/>
      <c r="P178" s="177"/>
      <c r="Q178" s="178"/>
      <c r="R178" s="179"/>
      <c r="S178" s="179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80"/>
      <c r="AE178" s="173" t="s">
        <v>69</v>
      </c>
      <c r="AF178" s="181" t="s">
        <v>119</v>
      </c>
      <c r="AG178" s="181" t="s">
        <v>891</v>
      </c>
      <c r="AH178" s="181">
        <v>44667</v>
      </c>
      <c r="AI178" s="181">
        <v>44706</v>
      </c>
      <c r="AJ178" s="181"/>
      <c r="AK178" s="181">
        <f ca="1">TODAY()</f>
        <v>44958</v>
      </c>
      <c r="AL178" s="173">
        <f ca="1">IF(AI178&lt;&gt;0,AK178-AI178,0)</f>
        <v>252</v>
      </c>
      <c r="AM178" s="173" t="str">
        <f>IF(ISNUMBER(X178)=TRUE,AK178-X178,IF(X178="","",(AK178)-(MID(RIGHT(X178,10),4,2)&amp;"/"&amp;LEFT((RIGHT(X178,10)),2)&amp;"/"&amp;RIGHT(X178,4))))</f>
        <v/>
      </c>
      <c r="AN178" s="181" t="s">
        <v>892</v>
      </c>
      <c r="AO178" s="190" t="s">
        <v>893</v>
      </c>
      <c r="AP178" s="176">
        <v>10.022</v>
      </c>
      <c r="AQ178" s="176">
        <v>10.042</v>
      </c>
      <c r="AR178" s="176">
        <v>10.066999999999998</v>
      </c>
      <c r="AS178" s="176">
        <v>10.071999999999999</v>
      </c>
      <c r="AT178" s="173" t="str">
        <f>IF(ISNUMBER(U178)=TRUE,AK178-U178,IF(U178="","",(AK178)-(MID(RIGHT(U178,10),4,2)&amp;"/"&amp;LEFT((RIGHT(U178,10)),2)&amp;"/"&amp;RIGHT(U178,4))))</f>
        <v/>
      </c>
      <c r="AU178" s="173">
        <v>437</v>
      </c>
      <c r="AW178" s="142" t="s">
        <v>123</v>
      </c>
    </row>
    <row r="179" spans="2:49" s="142" customFormat="1" ht="21" customHeight="1" x14ac:dyDescent="0.25">
      <c r="B179" s="173" t="str">
        <f>IF(C179="HOLD RM","HOLD RM",IF(C179="BAL","WIP",IF(C179="HOLD SLT","HOLD SLT",IF(C179="MILL","RM",IF(C179="RE SLT","WIP",IF(C179="RM","RM",IF(C179="RM BAL","RM",IF(C179="RM SLT","RM",IF(C179="RR","WIP",IF(C179="SKP","WIP",IF(C179="SLT","WIP",IF(C179="CTL","WIP",IF(C179="RM SLT RUST","RM SLT RUST",0)))))))))))))&amp;"-"&amp;G179&amp;"/"&amp;IF(H179="2B","2B",IF(H179="NO.1","1D",IF(H179="FH","FH",0)))&amp;"-"&amp;IF(J179="",(TEXT(I179,"0.00")),TEXT(J179,"0.00"))&amp;"X"&amp;M179</f>
        <v>RM-J3/1D-2.40X620</v>
      </c>
      <c r="C179" s="173" t="s">
        <v>48</v>
      </c>
      <c r="D179" s="173" t="s">
        <v>48</v>
      </c>
      <c r="E179" s="190" t="s">
        <v>896</v>
      </c>
      <c r="F179" s="190" t="s">
        <v>897</v>
      </c>
      <c r="G179" s="173" t="s">
        <v>34</v>
      </c>
      <c r="H179" s="173" t="s">
        <v>127</v>
      </c>
      <c r="I179" s="174">
        <v>2.4</v>
      </c>
      <c r="J179" s="174"/>
      <c r="K179" s="174"/>
      <c r="L179" s="174"/>
      <c r="M179" s="191">
        <v>620</v>
      </c>
      <c r="N179" s="176">
        <v>10</v>
      </c>
      <c r="O179" s="176"/>
      <c r="P179" s="177"/>
      <c r="Q179" s="178"/>
      <c r="R179" s="179"/>
      <c r="S179" s="179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80"/>
      <c r="AE179" s="173" t="s">
        <v>69</v>
      </c>
      <c r="AF179" s="181" t="s">
        <v>119</v>
      </c>
      <c r="AG179" s="181" t="s">
        <v>891</v>
      </c>
      <c r="AH179" s="181">
        <v>44667</v>
      </c>
      <c r="AI179" s="181">
        <v>44706</v>
      </c>
      <c r="AJ179" s="181"/>
      <c r="AK179" s="181">
        <f ca="1">TODAY()</f>
        <v>44958</v>
      </c>
      <c r="AL179" s="173">
        <f ca="1">IF(AI179&lt;&gt;0,AK179-AI179,0)</f>
        <v>252</v>
      </c>
      <c r="AM179" s="173" t="str">
        <f>IF(ISNUMBER(X179)=TRUE,AK179-X179,IF(X179="","",(AK179)-(MID(RIGHT(X179,10),4,2)&amp;"/"&amp;LEFT((RIGHT(X179,10)),2)&amp;"/"&amp;RIGHT(X179,4))))</f>
        <v/>
      </c>
      <c r="AN179" s="181" t="s">
        <v>898</v>
      </c>
      <c r="AO179" s="190" t="s">
        <v>899</v>
      </c>
      <c r="AP179" s="176">
        <v>10</v>
      </c>
      <c r="AQ179" s="176">
        <v>10.02</v>
      </c>
      <c r="AR179" s="176">
        <v>10.044999999999998</v>
      </c>
      <c r="AS179" s="176">
        <v>10.049999999999999</v>
      </c>
      <c r="AT179" s="173" t="str">
        <f>IF(ISNUMBER(U179)=TRUE,AK179-U179,IF(U179="","",(AK179)-(MID(RIGHT(U179,10),4,2)&amp;"/"&amp;LEFT((RIGHT(U179,10)),2)&amp;"/"&amp;RIGHT(U179,4))))</f>
        <v/>
      </c>
      <c r="AU179" s="173">
        <v>437</v>
      </c>
      <c r="AW179" s="142" t="s">
        <v>123</v>
      </c>
    </row>
    <row r="180" spans="2:49" s="142" customFormat="1" ht="21" customHeight="1" x14ac:dyDescent="0.25">
      <c r="B180" s="173" t="str">
        <f>IF(C180="HOLD RM","HOLD RM",IF(C180="BAL","WIP",IF(C180="HOLD SLT","HOLD SLT",IF(C180="MILL","RM",IF(C180="RE SLT","WIP",IF(C180="RM","RM",IF(C180="RM BAL","RM",IF(C180="RM SLT","RM",IF(C180="RR","WIP",IF(C180="SKP","WIP",IF(C180="SLT","WIP",IF(C180="CTL","WIP",IF(C180="RM SLT RUST","RM SLT RUST",0)))))))))))))&amp;"-"&amp;G180&amp;"/"&amp;IF(H180="2B","2B",IF(H180="NO.1","1D",IF(H180="FH","FH",0)))&amp;"-"&amp;IF(J180="",(TEXT(I180,"0.00")),TEXT(J180,"0.00"))&amp;"X"&amp;M180</f>
        <v>RM-J3/1D-2.20X620</v>
      </c>
      <c r="C180" s="173" t="s">
        <v>48</v>
      </c>
      <c r="D180" s="173" t="s">
        <v>48</v>
      </c>
      <c r="E180" s="190" t="s">
        <v>900</v>
      </c>
      <c r="F180" s="190" t="s">
        <v>901</v>
      </c>
      <c r="G180" s="173" t="s">
        <v>34</v>
      </c>
      <c r="H180" s="173" t="s">
        <v>127</v>
      </c>
      <c r="I180" s="174">
        <v>2.2000000000000002</v>
      </c>
      <c r="J180" s="174"/>
      <c r="K180" s="174"/>
      <c r="L180" s="174"/>
      <c r="M180" s="191">
        <v>620</v>
      </c>
      <c r="N180" s="176">
        <v>10.01</v>
      </c>
      <c r="O180" s="176"/>
      <c r="P180" s="177"/>
      <c r="Q180" s="178"/>
      <c r="R180" s="179"/>
      <c r="S180" s="179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80"/>
      <c r="AE180" s="173" t="s">
        <v>69</v>
      </c>
      <c r="AF180" s="181" t="s">
        <v>119</v>
      </c>
      <c r="AG180" s="181" t="s">
        <v>891</v>
      </c>
      <c r="AH180" s="181">
        <v>44667</v>
      </c>
      <c r="AI180" s="181">
        <v>44706</v>
      </c>
      <c r="AJ180" s="181"/>
      <c r="AK180" s="181">
        <f ca="1">TODAY()</f>
        <v>44958</v>
      </c>
      <c r="AL180" s="173">
        <f ca="1">IF(AI180&lt;&gt;0,AK180-AI180,0)</f>
        <v>252</v>
      </c>
      <c r="AM180" s="173" t="str">
        <f>IF(ISNUMBER(X180)=TRUE,AK180-X180,IF(X180="","",(AK180)-(MID(RIGHT(X180,10),4,2)&amp;"/"&amp;LEFT((RIGHT(X180,10)),2)&amp;"/"&amp;RIGHT(X180,4))))</f>
        <v/>
      </c>
      <c r="AN180" s="181" t="s">
        <v>902</v>
      </c>
      <c r="AO180" s="190" t="s">
        <v>903</v>
      </c>
      <c r="AP180" s="176">
        <v>10.01</v>
      </c>
      <c r="AQ180" s="176">
        <v>10.029999999999999</v>
      </c>
      <c r="AR180" s="176">
        <v>10.054999999999998</v>
      </c>
      <c r="AS180" s="176">
        <v>10.059999999999999</v>
      </c>
      <c r="AT180" s="173" t="str">
        <f>IF(ISNUMBER(U180)=TRUE,AK180-U180,IF(U180="","",(AK180)-(MID(RIGHT(U180,10),4,2)&amp;"/"&amp;LEFT((RIGHT(U180,10)),2)&amp;"/"&amp;RIGHT(U180,4))))</f>
        <v/>
      </c>
      <c r="AU180" s="173">
        <v>437</v>
      </c>
      <c r="AW180" s="142" t="s">
        <v>123</v>
      </c>
    </row>
    <row r="181" spans="2:49" s="142" customFormat="1" ht="21" customHeight="1" x14ac:dyDescent="0.25">
      <c r="B181" s="173" t="str">
        <f>IF(C181="HOLD RM","HOLD RM",IF(C181="BAL","WIP",IF(C181="HOLD SLT","HOLD SLT",IF(C181="MILL","RM",IF(C181="RE SLT","WIP",IF(C181="RM","RM",IF(C181="RM BAL","RM",IF(C181="RM SLT","RM",IF(C181="RR","WIP",IF(C181="SKP","WIP",IF(C181="SLT","WIP",IF(C181="CTL","WIP",IF(C181="RM SLT RUST","RM SLT RUST",0)))))))))))))&amp;"-"&amp;G181&amp;"/"&amp;IF(H181="2B","2B",IF(H181="NO.1","1D",IF(H181="FH","FH",0)))&amp;"-"&amp;IF(J181="",(TEXT(I181,"0.00")),TEXT(J181,"0.00"))&amp;"X"&amp;M181</f>
        <v>RM-J3/1D-2.20X620</v>
      </c>
      <c r="C181" s="173" t="s">
        <v>48</v>
      </c>
      <c r="D181" s="173" t="s">
        <v>48</v>
      </c>
      <c r="E181" s="190" t="s">
        <v>904</v>
      </c>
      <c r="F181" s="190" t="s">
        <v>905</v>
      </c>
      <c r="G181" s="173" t="s">
        <v>34</v>
      </c>
      <c r="H181" s="173" t="s">
        <v>127</v>
      </c>
      <c r="I181" s="174">
        <v>2.2000000000000002</v>
      </c>
      <c r="J181" s="174"/>
      <c r="K181" s="174"/>
      <c r="L181" s="174"/>
      <c r="M181" s="191">
        <v>620</v>
      </c>
      <c r="N181" s="176">
        <v>10.09</v>
      </c>
      <c r="O181" s="176"/>
      <c r="P181" s="177"/>
      <c r="Q181" s="178"/>
      <c r="R181" s="179"/>
      <c r="S181" s="179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80"/>
      <c r="AE181" s="173" t="s">
        <v>69</v>
      </c>
      <c r="AF181" s="181" t="s">
        <v>119</v>
      </c>
      <c r="AG181" s="181" t="s">
        <v>891</v>
      </c>
      <c r="AH181" s="181">
        <v>44667</v>
      </c>
      <c r="AI181" s="181">
        <v>44706</v>
      </c>
      <c r="AJ181" s="181"/>
      <c r="AK181" s="181">
        <f ca="1">TODAY()</f>
        <v>44958</v>
      </c>
      <c r="AL181" s="173">
        <f ca="1">IF(AI181&lt;&gt;0,AK181-AI181,0)</f>
        <v>252</v>
      </c>
      <c r="AM181" s="173" t="str">
        <f>IF(ISNUMBER(X181)=TRUE,AK181-X181,IF(X181="","",(AK181)-(MID(RIGHT(X181,10),4,2)&amp;"/"&amp;LEFT((RIGHT(X181,10)),2)&amp;"/"&amp;RIGHT(X181,4))))</f>
        <v/>
      </c>
      <c r="AN181" s="181" t="s">
        <v>902</v>
      </c>
      <c r="AO181" s="190" t="s">
        <v>903</v>
      </c>
      <c r="AP181" s="176">
        <v>10.09</v>
      </c>
      <c r="AQ181" s="176">
        <v>10.11</v>
      </c>
      <c r="AR181" s="176">
        <v>10.134999999999998</v>
      </c>
      <c r="AS181" s="176">
        <v>10.139999999999999</v>
      </c>
      <c r="AT181" s="173" t="str">
        <f>IF(ISNUMBER(U181)=TRUE,AK181-U181,IF(U181="","",(AK181)-(MID(RIGHT(U181,10),4,2)&amp;"/"&amp;LEFT((RIGHT(U181,10)),2)&amp;"/"&amp;RIGHT(U181,4))))</f>
        <v/>
      </c>
      <c r="AU181" s="173">
        <v>437</v>
      </c>
      <c r="AW181" s="142" t="s">
        <v>123</v>
      </c>
    </row>
    <row r="182" spans="2:49" s="142" customFormat="1" ht="21" customHeight="1" x14ac:dyDescent="0.25">
      <c r="B182" s="173" t="str">
        <f>IF(C182="HOLD RM","HOLD RM",IF(C182="BAL","WIP",IF(C182="HOLD SLT","HOLD SLT",IF(C182="MILL","RM",IF(C182="RE SLT","WIP",IF(C182="RM","RM",IF(C182="RM BAL","RM",IF(C182="RM SLT","RM",IF(C182="RR","WIP",IF(C182="SKP","WIP",IF(C182="SLT","WIP",IF(C182="CTL","WIP",IF(C182="RM SLT RUST","RM SLT RUST",0)))))))))))))&amp;"-"&amp;G182&amp;"/"&amp;IF(H182="2B","2B",IF(H182="NO.1","1D",IF(H182="FH","FH",0)))&amp;"-"&amp;IF(J182="",(TEXT(I182,"0.00")),TEXT(J182,"0.00"))&amp;"X"&amp;M182</f>
        <v>RM-J3/1D-2.20X620</v>
      </c>
      <c r="C182" s="173" t="s">
        <v>48</v>
      </c>
      <c r="D182" s="173" t="s">
        <v>48</v>
      </c>
      <c r="E182" s="190" t="s">
        <v>906</v>
      </c>
      <c r="F182" s="190" t="s">
        <v>907</v>
      </c>
      <c r="G182" s="173" t="s">
        <v>34</v>
      </c>
      <c r="H182" s="173" t="s">
        <v>127</v>
      </c>
      <c r="I182" s="174">
        <v>2.2000000000000002</v>
      </c>
      <c r="J182" s="174"/>
      <c r="K182" s="174"/>
      <c r="L182" s="174"/>
      <c r="M182" s="191">
        <v>620</v>
      </c>
      <c r="N182" s="176">
        <v>10.006</v>
      </c>
      <c r="O182" s="176"/>
      <c r="P182" s="177"/>
      <c r="Q182" s="178"/>
      <c r="R182" s="179"/>
      <c r="S182" s="179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80"/>
      <c r="AE182" s="173" t="s">
        <v>69</v>
      </c>
      <c r="AF182" s="181" t="s">
        <v>119</v>
      </c>
      <c r="AG182" s="181" t="s">
        <v>891</v>
      </c>
      <c r="AH182" s="181">
        <v>44667</v>
      </c>
      <c r="AI182" s="181">
        <v>44706</v>
      </c>
      <c r="AJ182" s="181"/>
      <c r="AK182" s="181">
        <f ca="1">TODAY()</f>
        <v>44958</v>
      </c>
      <c r="AL182" s="173">
        <f ca="1">IF(AI182&lt;&gt;0,AK182-AI182,0)</f>
        <v>252</v>
      </c>
      <c r="AM182" s="173" t="str">
        <f>IF(ISNUMBER(X182)=TRUE,AK182-X182,IF(X182="","",(AK182)-(MID(RIGHT(X182,10),4,2)&amp;"/"&amp;LEFT((RIGHT(X182,10)),2)&amp;"/"&amp;RIGHT(X182,4))))</f>
        <v/>
      </c>
      <c r="AN182" s="181" t="s">
        <v>908</v>
      </c>
      <c r="AO182" s="190" t="s">
        <v>909</v>
      </c>
      <c r="AP182" s="176">
        <v>10.006</v>
      </c>
      <c r="AQ182" s="176">
        <v>10.026</v>
      </c>
      <c r="AR182" s="176">
        <v>10.050999999999998</v>
      </c>
      <c r="AS182" s="176">
        <v>10.055999999999999</v>
      </c>
      <c r="AT182" s="173" t="str">
        <f>IF(ISNUMBER(U182)=TRUE,AK182-U182,IF(U182="","",(AK182)-(MID(RIGHT(U182,10),4,2)&amp;"/"&amp;LEFT((RIGHT(U182,10)),2)&amp;"/"&amp;RIGHT(U182,4))))</f>
        <v/>
      </c>
      <c r="AU182" s="173">
        <v>437</v>
      </c>
      <c r="AW182" s="142" t="s">
        <v>123</v>
      </c>
    </row>
    <row r="183" spans="2:49" s="142" customFormat="1" ht="21" customHeight="1" x14ac:dyDescent="0.25">
      <c r="B183" s="173" t="str">
        <f>IF(C183="HOLD RM","HOLD RM",IF(C183="BAL","WIP",IF(C183="HOLD SLT","HOLD SLT",IF(C183="MILL","RM",IF(C183="RE SLT","WIP",IF(C183="RM","RM",IF(C183="RM BAL","RM",IF(C183="RM SLT","RM",IF(C183="RR","WIP",IF(C183="SKP","WIP",IF(C183="SLT","WIP",IF(C183="CTL","WIP",IF(C183="RM SLT RUST","RM SLT RUST",0)))))))))))))&amp;"-"&amp;G183&amp;"/"&amp;IF(H183="2B","2B",IF(H183="NO.1","1D",IF(H183="FH","FH",0)))&amp;"-"&amp;IF(J183="",(TEXT(I183,"0.00")),TEXT(J183,"0.00"))&amp;"X"&amp;M183</f>
        <v>RM-J3/1D-2.20X620</v>
      </c>
      <c r="C183" s="173" t="s">
        <v>48</v>
      </c>
      <c r="D183" s="173" t="s">
        <v>48</v>
      </c>
      <c r="E183" s="190" t="s">
        <v>910</v>
      </c>
      <c r="F183" s="190" t="s">
        <v>911</v>
      </c>
      <c r="G183" s="173" t="s">
        <v>34</v>
      </c>
      <c r="H183" s="173" t="s">
        <v>127</v>
      </c>
      <c r="I183" s="174">
        <v>2.2000000000000002</v>
      </c>
      <c r="J183" s="174"/>
      <c r="K183" s="174"/>
      <c r="L183" s="174"/>
      <c r="M183" s="191">
        <v>620</v>
      </c>
      <c r="N183" s="176">
        <v>10.124000000000001</v>
      </c>
      <c r="O183" s="176"/>
      <c r="P183" s="177"/>
      <c r="Q183" s="178"/>
      <c r="R183" s="179"/>
      <c r="S183" s="179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80"/>
      <c r="AE183" s="173" t="s">
        <v>69</v>
      </c>
      <c r="AF183" s="181" t="s">
        <v>119</v>
      </c>
      <c r="AG183" s="181" t="s">
        <v>891</v>
      </c>
      <c r="AH183" s="181">
        <v>44667</v>
      </c>
      <c r="AI183" s="181">
        <v>44706</v>
      </c>
      <c r="AJ183" s="181"/>
      <c r="AK183" s="181">
        <f ca="1">TODAY()</f>
        <v>44958</v>
      </c>
      <c r="AL183" s="173">
        <f ca="1">IF(AI183&lt;&gt;0,AK183-AI183,0)</f>
        <v>252</v>
      </c>
      <c r="AM183" s="173" t="str">
        <f>IF(ISNUMBER(X183)=TRUE,AK183-X183,IF(X183="","",(AK183)-(MID(RIGHT(X183,10),4,2)&amp;"/"&amp;LEFT((RIGHT(X183,10)),2)&amp;"/"&amp;RIGHT(X183,4))))</f>
        <v/>
      </c>
      <c r="AN183" s="181" t="s">
        <v>912</v>
      </c>
      <c r="AO183" s="190" t="s">
        <v>909</v>
      </c>
      <c r="AP183" s="176">
        <v>10.124000000000001</v>
      </c>
      <c r="AQ183" s="176">
        <v>10.144</v>
      </c>
      <c r="AR183" s="176">
        <v>10.168999999999999</v>
      </c>
      <c r="AS183" s="176">
        <v>10.173999999999999</v>
      </c>
      <c r="AT183" s="173" t="str">
        <f>IF(ISNUMBER(U183)=TRUE,AK183-U183,IF(U183="","",(AK183)-(MID(RIGHT(U183,10),4,2)&amp;"/"&amp;LEFT((RIGHT(U183,10)),2)&amp;"/"&amp;RIGHT(U183,4))))</f>
        <v/>
      </c>
      <c r="AU183" s="173">
        <v>437</v>
      </c>
      <c r="AW183" s="142" t="s">
        <v>123</v>
      </c>
    </row>
    <row r="184" spans="2:49" s="142" customFormat="1" ht="21" customHeight="1" x14ac:dyDescent="0.25">
      <c r="B184" s="173" t="str">
        <f>IF(C184="HOLD RM","HOLD RM",IF(C184="BAL","WIP",IF(C184="HOLD SLT","HOLD SLT",IF(C184="MILL","RM",IF(C184="RE SLT","WIP",IF(C184="RM","RM",IF(C184="RM BAL","RM",IF(C184="RM SLT","RM",IF(C184="RR","WIP",IF(C184="SKP","WIP",IF(C184="SLT","WIP",IF(C184="CTL","WIP",IF(C184="RM SLT RUST","RM SLT RUST",0)))))))))))))&amp;"-"&amp;G184&amp;"/"&amp;IF(H184="2B","2B",IF(H184="NO.1","1D",IF(H184="FH","FH",0)))&amp;"-"&amp;IF(J184="",(TEXT(I184,"0.00")),TEXT(J184,"0.00"))&amp;"X"&amp;M184</f>
        <v>RM-J3/1D-2.40X620</v>
      </c>
      <c r="C184" s="173" t="s">
        <v>48</v>
      </c>
      <c r="D184" s="173" t="s">
        <v>48</v>
      </c>
      <c r="E184" s="190" t="s">
        <v>913</v>
      </c>
      <c r="F184" s="190" t="s">
        <v>914</v>
      </c>
      <c r="G184" s="173" t="s">
        <v>34</v>
      </c>
      <c r="H184" s="173" t="s">
        <v>127</v>
      </c>
      <c r="I184" s="174">
        <v>2.4</v>
      </c>
      <c r="J184" s="174"/>
      <c r="K184" s="174"/>
      <c r="L184" s="174"/>
      <c r="M184" s="191">
        <v>620</v>
      </c>
      <c r="N184" s="176">
        <v>10.029999999999999</v>
      </c>
      <c r="O184" s="176"/>
      <c r="P184" s="177"/>
      <c r="Q184" s="178"/>
      <c r="R184" s="179"/>
      <c r="S184" s="179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80"/>
      <c r="AE184" s="173" t="s">
        <v>69</v>
      </c>
      <c r="AF184" s="181" t="s">
        <v>119</v>
      </c>
      <c r="AG184" s="181" t="s">
        <v>891</v>
      </c>
      <c r="AH184" s="181">
        <v>44667</v>
      </c>
      <c r="AI184" s="181">
        <v>44706</v>
      </c>
      <c r="AJ184" s="181"/>
      <c r="AK184" s="181">
        <f ca="1">TODAY()</f>
        <v>44958</v>
      </c>
      <c r="AL184" s="173">
        <f ca="1">IF(AI184&lt;&gt;0,AK184-AI184,0)</f>
        <v>252</v>
      </c>
      <c r="AM184" s="173" t="str">
        <f>IF(ISNUMBER(X184)=TRUE,AK184-X184,IF(X184="","",(AK184)-(MID(RIGHT(X184,10),4,2)&amp;"/"&amp;LEFT((RIGHT(X184,10)),2)&amp;"/"&amp;RIGHT(X184,4))))</f>
        <v/>
      </c>
      <c r="AN184" s="181" t="s">
        <v>915</v>
      </c>
      <c r="AO184" s="190" t="s">
        <v>916</v>
      </c>
      <c r="AP184" s="176">
        <v>10.029999999999999</v>
      </c>
      <c r="AQ184" s="176">
        <v>10.049999999999999</v>
      </c>
      <c r="AR184" s="176">
        <v>10.074999999999998</v>
      </c>
      <c r="AS184" s="176">
        <v>10.079999999999998</v>
      </c>
      <c r="AT184" s="173" t="str">
        <f>IF(ISNUMBER(U184)=TRUE,AK184-U184,IF(U184="","",(AK184)-(MID(RIGHT(U184,10),4,2)&amp;"/"&amp;LEFT((RIGHT(U184,10)),2)&amp;"/"&amp;RIGHT(U184,4))))</f>
        <v/>
      </c>
      <c r="AU184" s="173">
        <v>437</v>
      </c>
      <c r="AW184" s="142" t="s">
        <v>123</v>
      </c>
    </row>
    <row r="185" spans="2:49" s="142" customFormat="1" ht="21" customHeight="1" x14ac:dyDescent="0.25">
      <c r="B185" s="173" t="str">
        <f>IF(C185="HOLD RM","HOLD RM",IF(C185="BAL","WIP",IF(C185="HOLD SLT","HOLD SLT",IF(C185="MILL","RM",IF(C185="RE SLT","WIP",IF(C185="RM","RM",IF(C185="RM BAL","RM",IF(C185="RM SLT","RM",IF(C185="RR","WIP",IF(C185="SKP","WIP",IF(C185="SLT","WIP",IF(C185="CTL","WIP",IF(C185="RM SLT RUST","RM SLT RUST",0)))))))))))))&amp;"-"&amp;G185&amp;"/"&amp;IF(H185="2B","2B",IF(H185="NO.1","1D",IF(H185="FH","FH",0)))&amp;"-"&amp;IF(J185="",(TEXT(I185,"0.00")),TEXT(J185,"0.00"))&amp;"X"&amp;M185</f>
        <v>RM-J3/1D-2.40X620</v>
      </c>
      <c r="C185" s="173" t="s">
        <v>48</v>
      </c>
      <c r="D185" s="173" t="s">
        <v>48</v>
      </c>
      <c r="E185" s="190" t="s">
        <v>917</v>
      </c>
      <c r="F185" s="190" t="s">
        <v>918</v>
      </c>
      <c r="G185" s="173" t="s">
        <v>34</v>
      </c>
      <c r="H185" s="173" t="s">
        <v>127</v>
      </c>
      <c r="I185" s="174">
        <v>2.4</v>
      </c>
      <c r="J185" s="174"/>
      <c r="K185" s="174"/>
      <c r="L185" s="174"/>
      <c r="M185" s="191">
        <v>620</v>
      </c>
      <c r="N185" s="176">
        <v>10.035</v>
      </c>
      <c r="O185" s="176"/>
      <c r="P185" s="177"/>
      <c r="Q185" s="178"/>
      <c r="R185" s="179"/>
      <c r="S185" s="179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80"/>
      <c r="AE185" s="173" t="s">
        <v>69</v>
      </c>
      <c r="AF185" s="181" t="s">
        <v>119</v>
      </c>
      <c r="AG185" s="181" t="s">
        <v>891</v>
      </c>
      <c r="AH185" s="181">
        <v>44667</v>
      </c>
      <c r="AI185" s="181">
        <v>44706</v>
      </c>
      <c r="AJ185" s="181"/>
      <c r="AK185" s="181">
        <f ca="1">TODAY()</f>
        <v>44958</v>
      </c>
      <c r="AL185" s="173">
        <f ca="1">IF(AI185&lt;&gt;0,AK185-AI185,0)</f>
        <v>252</v>
      </c>
      <c r="AM185" s="173" t="str">
        <f>IF(ISNUMBER(X185)=TRUE,AK185-X185,IF(X185="","",(AK185)-(MID(RIGHT(X185,10),4,2)&amp;"/"&amp;LEFT((RIGHT(X185,10)),2)&amp;"/"&amp;RIGHT(X185,4))))</f>
        <v/>
      </c>
      <c r="AN185" s="181" t="s">
        <v>919</v>
      </c>
      <c r="AO185" s="190" t="s">
        <v>916</v>
      </c>
      <c r="AP185" s="176">
        <v>10.035</v>
      </c>
      <c r="AQ185" s="176">
        <v>10.055</v>
      </c>
      <c r="AR185" s="176">
        <v>10.079999999999998</v>
      </c>
      <c r="AS185" s="176">
        <v>10.084999999999999</v>
      </c>
      <c r="AT185" s="173" t="str">
        <f>IF(ISNUMBER(U185)=TRUE,AK185-U185,IF(U185="","",(AK185)-(MID(RIGHT(U185,10),4,2)&amp;"/"&amp;LEFT((RIGHT(U185,10)),2)&amp;"/"&amp;RIGHT(U185,4))))</f>
        <v/>
      </c>
      <c r="AU185" s="173">
        <v>437</v>
      </c>
      <c r="AW185" s="142" t="s">
        <v>123</v>
      </c>
    </row>
    <row r="186" spans="2:49" s="142" customFormat="1" ht="21" customHeight="1" x14ac:dyDescent="0.25">
      <c r="B186" s="173" t="str">
        <f>IF(C186="HOLD RM","HOLD RM",IF(C186="BAL","WIP",IF(C186="HOLD SLT","HOLD SLT",IF(C186="MILL","RM",IF(C186="RE SLT","WIP",IF(C186="RM","RM",IF(C186="RM BAL","RM",IF(C186="RM SLT","RM",IF(C186="RR","WIP",IF(C186="SKP","WIP",IF(C186="SLT","WIP",IF(C186="CTL","WIP",IF(C186="RM SLT RUST","RM SLT RUST",0)))))))))))))&amp;"-"&amp;G186&amp;"/"&amp;IF(H186="2B","2B",IF(H186="NO.1","1D",IF(H186="FH","FH",0)))&amp;"-"&amp;IF(J186="",(TEXT(I186,"0.00")),TEXT(J186,"0.00"))&amp;"X"&amp;M186</f>
        <v>RM-J3/1D-2.40X620</v>
      </c>
      <c r="C186" s="173" t="s">
        <v>13</v>
      </c>
      <c r="D186" s="173" t="s">
        <v>13</v>
      </c>
      <c r="E186" s="190" t="s">
        <v>920</v>
      </c>
      <c r="F186" s="190" t="s">
        <v>921</v>
      </c>
      <c r="G186" s="173" t="s">
        <v>34</v>
      </c>
      <c r="H186" s="173" t="s">
        <v>127</v>
      </c>
      <c r="I186" s="174">
        <v>2.4</v>
      </c>
      <c r="J186" s="174"/>
      <c r="K186" s="174"/>
      <c r="L186" s="174"/>
      <c r="M186" s="191">
        <v>620</v>
      </c>
      <c r="N186" s="176">
        <v>10.022</v>
      </c>
      <c r="O186" s="176"/>
      <c r="P186" s="177"/>
      <c r="Q186" s="178"/>
      <c r="R186" s="179"/>
      <c r="S186" s="179"/>
      <c r="T186" s="177">
        <v>44943</v>
      </c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80"/>
      <c r="AE186" s="173" t="s">
        <v>69</v>
      </c>
      <c r="AF186" s="181" t="s">
        <v>119</v>
      </c>
      <c r="AG186" s="181" t="s">
        <v>891</v>
      </c>
      <c r="AH186" s="181">
        <v>44667</v>
      </c>
      <c r="AI186" s="181">
        <v>44706</v>
      </c>
      <c r="AJ186" s="181"/>
      <c r="AK186" s="181">
        <f ca="1">TODAY()</f>
        <v>44958</v>
      </c>
      <c r="AL186" s="173">
        <f ca="1">IF(AI186&lt;&gt;0,AK186-AI186,0)</f>
        <v>252</v>
      </c>
      <c r="AM186" s="173" t="str">
        <f>IF(ISNUMBER(X186)=TRUE,AK186-X186,IF(X186="","",(AK186)-(MID(RIGHT(X186,10),4,2)&amp;"/"&amp;LEFT((RIGHT(X186,10)),2)&amp;"/"&amp;RIGHT(X186,4))))</f>
        <v/>
      </c>
      <c r="AN186" s="181" t="s">
        <v>919</v>
      </c>
      <c r="AO186" s="190" t="s">
        <v>916</v>
      </c>
      <c r="AP186" s="176">
        <v>10.022</v>
      </c>
      <c r="AQ186" s="176">
        <v>10.042</v>
      </c>
      <c r="AR186" s="176">
        <v>10.066999999999998</v>
      </c>
      <c r="AS186" s="176">
        <v>10.071999999999999</v>
      </c>
      <c r="AT186" s="173" t="str">
        <f>IF(ISNUMBER(U186)=TRUE,AK186-U186,IF(U186="","",(AK186)-(MID(RIGHT(U186,10),4,2)&amp;"/"&amp;LEFT((RIGHT(U186,10)),2)&amp;"/"&amp;RIGHT(U186,4))))</f>
        <v/>
      </c>
      <c r="AU186" s="173">
        <v>437</v>
      </c>
      <c r="AW186" s="142" t="s">
        <v>123</v>
      </c>
    </row>
    <row r="187" spans="2:49" s="142" customFormat="1" ht="21" customHeight="1" x14ac:dyDescent="0.25">
      <c r="B187" s="173" t="str">
        <f>IF(C187="HOLD RM","HOLD RM",IF(C187="BAL","WIP",IF(C187="HOLD SLT","HOLD SLT",IF(C187="MILL","RM",IF(C187="RE SLT","WIP",IF(C187="RM","RM",IF(C187="RM BAL","RM",IF(C187="RM SLT","RM",IF(C187="RR","WIP",IF(C187="SKP","WIP",IF(C187="SLT","WIP",IF(C187="CTL","WIP",IF(C187="RM SLT RUST","RM SLT RUST",0)))))))))))))&amp;"-"&amp;G187&amp;"/"&amp;IF(H187="2B","2B",IF(H187="NO.1","1D",IF(H187="FH","FH",0)))&amp;"-"&amp;IF(J187="",(TEXT(I187,"0.00")),TEXT(J187,"0.00"))&amp;"X"&amp;M187</f>
        <v>RM-J3/1D-2.20X620</v>
      </c>
      <c r="C187" s="173" t="s">
        <v>48</v>
      </c>
      <c r="D187" s="173" t="s">
        <v>48</v>
      </c>
      <c r="E187" s="190" t="s">
        <v>922</v>
      </c>
      <c r="F187" s="190" t="s">
        <v>923</v>
      </c>
      <c r="G187" s="173" t="s">
        <v>34</v>
      </c>
      <c r="H187" s="173" t="s">
        <v>127</v>
      </c>
      <c r="I187" s="174">
        <v>2.2000000000000002</v>
      </c>
      <c r="J187" s="174"/>
      <c r="K187" s="174"/>
      <c r="L187" s="174"/>
      <c r="M187" s="191">
        <v>620</v>
      </c>
      <c r="N187" s="176">
        <v>10.044</v>
      </c>
      <c r="O187" s="176"/>
      <c r="P187" s="177"/>
      <c r="Q187" s="178"/>
      <c r="R187" s="179"/>
      <c r="S187" s="179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80"/>
      <c r="AE187" s="173" t="s">
        <v>69</v>
      </c>
      <c r="AF187" s="181" t="s">
        <v>248</v>
      </c>
      <c r="AG187" s="181" t="s">
        <v>924</v>
      </c>
      <c r="AH187" s="181">
        <v>44697</v>
      </c>
      <c r="AI187" s="181">
        <v>44721</v>
      </c>
      <c r="AJ187" s="181"/>
      <c r="AK187" s="181">
        <f ca="1">TODAY()</f>
        <v>44958</v>
      </c>
      <c r="AL187" s="173">
        <f ca="1">IF(AI187&lt;&gt;0,AK187-AI187,0)</f>
        <v>237</v>
      </c>
      <c r="AM187" s="173" t="str">
        <f>IF(ISNUMBER(X187)=TRUE,AK187-X187,IF(X187="","",(AK187)-(MID(RIGHT(X187,10),4,2)&amp;"/"&amp;LEFT((RIGHT(X187,10)),2)&amp;"/"&amp;RIGHT(X187,4))))</f>
        <v/>
      </c>
      <c r="AN187" s="181" t="s">
        <v>925</v>
      </c>
      <c r="AO187" s="190" t="s">
        <v>926</v>
      </c>
      <c r="AP187" s="176">
        <v>10.044</v>
      </c>
      <c r="AQ187" s="176">
        <v>10.084</v>
      </c>
      <c r="AR187" s="176">
        <v>10.108999999999998</v>
      </c>
      <c r="AS187" s="176">
        <v>10.113999999999999</v>
      </c>
      <c r="AT187" s="173" t="str">
        <f>IF(ISNUMBER(U187)=TRUE,AK187-U187,IF(U187="","",(AK187)-(MID(RIGHT(U187,10),4,2)&amp;"/"&amp;LEFT((RIGHT(U187,10)),2)&amp;"/"&amp;RIGHT(U187,4))))</f>
        <v/>
      </c>
      <c r="AU187" s="173">
        <v>440</v>
      </c>
      <c r="AW187" s="142" t="s">
        <v>123</v>
      </c>
    </row>
    <row r="188" spans="2:49" s="142" customFormat="1" ht="21" customHeight="1" x14ac:dyDescent="0.25">
      <c r="B188" s="173" t="str">
        <f>IF(C188="HOLD RM","HOLD RM",IF(C188="BAL","WIP",IF(C188="HOLD SLT","HOLD SLT",IF(C188="MILL","RM",IF(C188="RE SLT","WIP",IF(C188="RM","RM",IF(C188="RM BAL","RM",IF(C188="RM SLT","RM",IF(C188="RR","WIP",IF(C188="SKP","WIP",IF(C188="SLT","WIP",IF(C188="CTL","WIP",IF(C188="RM SLT RUST","RM SLT RUST",0)))))))))))))&amp;"-"&amp;G188&amp;"/"&amp;IF(H188="2B","2B",IF(H188="NO.1","1D",IF(H188="FH","FH",0)))&amp;"-"&amp;IF(J188="",(TEXT(I188,"0.00")),TEXT(J188,"0.00"))&amp;"X"&amp;M188</f>
        <v>RM-J3/1D-2.20X690</v>
      </c>
      <c r="C188" s="173" t="s">
        <v>48</v>
      </c>
      <c r="D188" s="173" t="s">
        <v>48</v>
      </c>
      <c r="E188" s="190" t="s">
        <v>927</v>
      </c>
      <c r="F188" s="190" t="s">
        <v>928</v>
      </c>
      <c r="G188" s="173" t="s">
        <v>34</v>
      </c>
      <c r="H188" s="173" t="s">
        <v>127</v>
      </c>
      <c r="I188" s="174">
        <v>2.2000000000000002</v>
      </c>
      <c r="J188" s="174"/>
      <c r="K188" s="174"/>
      <c r="L188" s="174"/>
      <c r="M188" s="191">
        <v>690</v>
      </c>
      <c r="N188" s="176">
        <v>11.266</v>
      </c>
      <c r="O188" s="176"/>
      <c r="P188" s="177"/>
      <c r="Q188" s="178"/>
      <c r="R188" s="179"/>
      <c r="S188" s="179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80"/>
      <c r="AE188" s="173" t="s">
        <v>69</v>
      </c>
      <c r="AF188" s="181" t="s">
        <v>248</v>
      </c>
      <c r="AG188" s="181" t="s">
        <v>924</v>
      </c>
      <c r="AH188" s="181">
        <v>44697</v>
      </c>
      <c r="AI188" s="181">
        <v>44721</v>
      </c>
      <c r="AJ188" s="181"/>
      <c r="AK188" s="181">
        <f ca="1">TODAY()</f>
        <v>44958</v>
      </c>
      <c r="AL188" s="173">
        <f ca="1">IF(AI188&lt;&gt;0,AK188-AI188,0)</f>
        <v>237</v>
      </c>
      <c r="AM188" s="173" t="str">
        <f>IF(ISNUMBER(X188)=TRUE,AK188-X188,IF(X188="","",(AK188)-(MID(RIGHT(X188,10),4,2)&amp;"/"&amp;LEFT((RIGHT(X188,10)),2)&amp;"/"&amp;RIGHT(X188,4))))</f>
        <v/>
      </c>
      <c r="AN188" s="181" t="s">
        <v>929</v>
      </c>
      <c r="AO188" s="190" t="s">
        <v>930</v>
      </c>
      <c r="AP188" s="176">
        <v>11.266</v>
      </c>
      <c r="AQ188" s="176">
        <v>11.305999999999999</v>
      </c>
      <c r="AR188" s="176">
        <v>11.330999999999998</v>
      </c>
      <c r="AS188" s="176">
        <v>11.335999999999999</v>
      </c>
      <c r="AT188" s="173" t="str">
        <f>IF(ISNUMBER(U188)=TRUE,AK188-U188,IF(U188="","",(AK188)-(MID(RIGHT(U188,10),4,2)&amp;"/"&amp;LEFT((RIGHT(U188,10)),2)&amp;"/"&amp;RIGHT(U188,4))))</f>
        <v/>
      </c>
      <c r="AU188" s="173">
        <v>440</v>
      </c>
      <c r="AW188" s="142" t="s">
        <v>123</v>
      </c>
    </row>
    <row r="189" spans="2:49" s="142" customFormat="1" ht="21" customHeight="1" x14ac:dyDescent="0.25">
      <c r="B189" s="173" t="str">
        <f>IF(C189="HOLD RM","HOLD RM",IF(C189="BAL","WIP",IF(C189="HOLD SLT","HOLD SLT",IF(C189="MILL","RM",IF(C189="RE SLT","WIP",IF(C189="RM","RM",IF(C189="RM BAL","RM",IF(C189="RM SLT","RM",IF(C189="RR","WIP",IF(C189="SKP","WIP",IF(C189="SLT","WIP",IF(C189="CTL","WIP",IF(C189="RM SLT RUST","RM SLT RUST",0)))))))))))))&amp;"-"&amp;G189&amp;"/"&amp;IF(H189="2B","2B",IF(H189="NO.1","1D",IF(H189="FH","FH",0)))&amp;"-"&amp;IF(J189="",(TEXT(I189,"0.00")),TEXT(J189,"0.00"))&amp;"X"&amp;M189</f>
        <v>RM-J3/1D-2.20X620</v>
      </c>
      <c r="C189" s="173" t="s">
        <v>48</v>
      </c>
      <c r="D189" s="173" t="s">
        <v>48</v>
      </c>
      <c r="E189" s="190" t="s">
        <v>931</v>
      </c>
      <c r="F189" s="190" t="s">
        <v>932</v>
      </c>
      <c r="G189" s="173" t="s">
        <v>34</v>
      </c>
      <c r="H189" s="173" t="s">
        <v>127</v>
      </c>
      <c r="I189" s="174">
        <v>2.2000000000000002</v>
      </c>
      <c r="J189" s="174"/>
      <c r="K189" s="174"/>
      <c r="L189" s="174"/>
      <c r="M189" s="191">
        <v>620</v>
      </c>
      <c r="N189" s="176">
        <v>10.039999999999999</v>
      </c>
      <c r="O189" s="176"/>
      <c r="P189" s="177"/>
      <c r="Q189" s="178"/>
      <c r="R189" s="179"/>
      <c r="S189" s="179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80"/>
      <c r="AE189" s="173" t="s">
        <v>69</v>
      </c>
      <c r="AF189" s="181" t="s">
        <v>248</v>
      </c>
      <c r="AG189" s="181" t="s">
        <v>924</v>
      </c>
      <c r="AH189" s="181">
        <v>44697</v>
      </c>
      <c r="AI189" s="181">
        <v>44721</v>
      </c>
      <c r="AJ189" s="181"/>
      <c r="AK189" s="181">
        <f ca="1">TODAY()</f>
        <v>44958</v>
      </c>
      <c r="AL189" s="173">
        <f ca="1">IF(AI189&lt;&gt;0,AK189-AI189,0)</f>
        <v>237</v>
      </c>
      <c r="AM189" s="173" t="str">
        <f>IF(ISNUMBER(X189)=TRUE,AK189-X189,IF(X189="","",(AK189)-(MID(RIGHT(X189,10),4,2)&amp;"/"&amp;LEFT((RIGHT(X189,10)),2)&amp;"/"&amp;RIGHT(X189,4))))</f>
        <v/>
      </c>
      <c r="AN189" s="181" t="s">
        <v>933</v>
      </c>
      <c r="AO189" s="190" t="s">
        <v>934</v>
      </c>
      <c r="AP189" s="176">
        <v>10.039999999999999</v>
      </c>
      <c r="AQ189" s="176">
        <v>10.079999999999998</v>
      </c>
      <c r="AR189" s="176">
        <v>10.104999999999997</v>
      </c>
      <c r="AS189" s="176">
        <v>10.109999999999998</v>
      </c>
      <c r="AT189" s="173" t="str">
        <f>IF(ISNUMBER(U189)=TRUE,AK189-U189,IF(U189="","",(AK189)-(MID(RIGHT(U189,10),4,2)&amp;"/"&amp;LEFT((RIGHT(U189,10)),2)&amp;"/"&amp;RIGHT(U189,4))))</f>
        <v/>
      </c>
      <c r="AU189" s="173">
        <v>440</v>
      </c>
      <c r="AW189" s="142" t="s">
        <v>123</v>
      </c>
    </row>
    <row r="190" spans="2:49" s="142" customFormat="1" ht="21" customHeight="1" x14ac:dyDescent="0.25">
      <c r="B190" s="173" t="str">
        <f>IF(C190="HOLD RM","HOLD RM",IF(C190="BAL","WIP",IF(C190="HOLD SLT","HOLD SLT",IF(C190="MILL","RM",IF(C190="RE SLT","WIP",IF(C190="RM","RM",IF(C190="RM BAL","RM",IF(C190="RM SLT","RM",IF(C190="RR","WIP",IF(C190="SKP","WIP",IF(C190="SLT","WIP",IF(C190="CTL","WIP",IF(C190="RM SLT RUST","RM SLT RUST",0)))))))))))))&amp;"-"&amp;G190&amp;"/"&amp;IF(H190="2B","2B",IF(H190="NO.1","1D",IF(H190="FH","FH",0)))&amp;"-"&amp;IF(J190="",(TEXT(I190,"0.00")),TEXT(J190,"0.00"))&amp;"X"&amp;M190</f>
        <v>RM-J3/1D-2.20X620</v>
      </c>
      <c r="C190" s="173" t="s">
        <v>48</v>
      </c>
      <c r="D190" s="173" t="s">
        <v>48</v>
      </c>
      <c r="E190" s="190" t="s">
        <v>935</v>
      </c>
      <c r="F190" s="190" t="s">
        <v>936</v>
      </c>
      <c r="G190" s="173" t="s">
        <v>34</v>
      </c>
      <c r="H190" s="173" t="s">
        <v>127</v>
      </c>
      <c r="I190" s="174">
        <v>2.2000000000000002</v>
      </c>
      <c r="J190" s="174"/>
      <c r="K190" s="174"/>
      <c r="L190" s="174"/>
      <c r="M190" s="191">
        <v>620</v>
      </c>
      <c r="N190" s="176">
        <v>10.086</v>
      </c>
      <c r="O190" s="176"/>
      <c r="P190" s="177"/>
      <c r="Q190" s="178"/>
      <c r="R190" s="179"/>
      <c r="S190" s="179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80"/>
      <c r="AE190" s="173" t="s">
        <v>69</v>
      </c>
      <c r="AF190" s="181" t="s">
        <v>248</v>
      </c>
      <c r="AG190" s="181" t="s">
        <v>924</v>
      </c>
      <c r="AH190" s="181">
        <v>44697</v>
      </c>
      <c r="AI190" s="181">
        <v>44721</v>
      </c>
      <c r="AJ190" s="181"/>
      <c r="AK190" s="181">
        <f ca="1">TODAY()</f>
        <v>44958</v>
      </c>
      <c r="AL190" s="173">
        <f ca="1">IF(AI190&lt;&gt;0,AK190-AI190,0)</f>
        <v>237</v>
      </c>
      <c r="AM190" s="173" t="str">
        <f>IF(ISNUMBER(X190)=TRUE,AK190-X190,IF(X190="","",(AK190)-(MID(RIGHT(X190,10),4,2)&amp;"/"&amp;LEFT((RIGHT(X190,10)),2)&amp;"/"&amp;RIGHT(X190,4))))</f>
        <v/>
      </c>
      <c r="AN190" s="181" t="s">
        <v>933</v>
      </c>
      <c r="AO190" s="190" t="s">
        <v>850</v>
      </c>
      <c r="AP190" s="176">
        <v>10.086</v>
      </c>
      <c r="AQ190" s="176">
        <v>10.125999999999999</v>
      </c>
      <c r="AR190" s="176">
        <v>10.150999999999998</v>
      </c>
      <c r="AS190" s="176">
        <v>10.155999999999999</v>
      </c>
      <c r="AT190" s="173" t="str">
        <f>IF(ISNUMBER(U190)=TRUE,AK190-U190,IF(U190="","",(AK190)-(MID(RIGHT(U190,10),4,2)&amp;"/"&amp;LEFT((RIGHT(U190,10)),2)&amp;"/"&amp;RIGHT(U190,4))))</f>
        <v/>
      </c>
      <c r="AU190" s="173">
        <v>440</v>
      </c>
      <c r="AW190" s="142" t="s">
        <v>123</v>
      </c>
    </row>
    <row r="191" spans="2:49" s="142" customFormat="1" ht="21" customHeight="1" x14ac:dyDescent="0.25">
      <c r="B191" s="173" t="str">
        <f>IF(C191="HOLD RM","HOLD RM",IF(C191="BAL","WIP",IF(C191="HOLD SLT","HOLD SLT",IF(C191="MILL","RM",IF(C191="RE SLT","WIP",IF(C191="RM","RM",IF(C191="RM BAL","RM",IF(C191="RM SLT","RM",IF(C191="RR","WIP",IF(C191="SKP","WIP",IF(C191="SLT","WIP",IF(C191="CTL","WIP",IF(C191="RM SLT RUST","RM SLT RUST",0)))))))))))))&amp;"-"&amp;G191&amp;"/"&amp;IF(H191="2B","2B",IF(H191="NO.1","1D",IF(H191="FH","FH",0)))&amp;"-"&amp;IF(J191="",(TEXT(I191,"0.00")),TEXT(J191,"0.00"))&amp;"X"&amp;M191</f>
        <v>RM-J3/1D-2.20X620</v>
      </c>
      <c r="C191" s="173" t="s">
        <v>48</v>
      </c>
      <c r="D191" s="173" t="s">
        <v>48</v>
      </c>
      <c r="E191" s="190" t="s">
        <v>937</v>
      </c>
      <c r="F191" s="190" t="s">
        <v>938</v>
      </c>
      <c r="G191" s="173" t="s">
        <v>34</v>
      </c>
      <c r="H191" s="173" t="s">
        <v>127</v>
      </c>
      <c r="I191" s="174">
        <v>2.2000000000000002</v>
      </c>
      <c r="J191" s="174"/>
      <c r="K191" s="174"/>
      <c r="L191" s="174"/>
      <c r="M191" s="191">
        <v>620</v>
      </c>
      <c r="N191" s="176">
        <v>10.122</v>
      </c>
      <c r="O191" s="176"/>
      <c r="P191" s="177"/>
      <c r="Q191" s="178"/>
      <c r="R191" s="179"/>
      <c r="S191" s="179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80"/>
      <c r="AE191" s="173" t="s">
        <v>69</v>
      </c>
      <c r="AF191" s="181" t="s">
        <v>248</v>
      </c>
      <c r="AG191" s="181" t="s">
        <v>924</v>
      </c>
      <c r="AH191" s="181">
        <v>44697</v>
      </c>
      <c r="AI191" s="181">
        <v>44721</v>
      </c>
      <c r="AJ191" s="181"/>
      <c r="AK191" s="181">
        <f ca="1">TODAY()</f>
        <v>44958</v>
      </c>
      <c r="AL191" s="173">
        <f ca="1">IF(AI191&lt;&gt;0,AK191-AI191,0)</f>
        <v>237</v>
      </c>
      <c r="AM191" s="173" t="str">
        <f>IF(ISNUMBER(X191)=TRUE,AK191-X191,IF(X191="","",(AK191)-(MID(RIGHT(X191,10),4,2)&amp;"/"&amp;LEFT((RIGHT(X191,10)),2)&amp;"/"&amp;RIGHT(X191,4))))</f>
        <v/>
      </c>
      <c r="AN191" s="181" t="s">
        <v>939</v>
      </c>
      <c r="AO191" s="190" t="s">
        <v>909</v>
      </c>
      <c r="AP191" s="176">
        <v>10.122</v>
      </c>
      <c r="AQ191" s="176">
        <v>10.161999999999999</v>
      </c>
      <c r="AR191" s="176">
        <v>10.186999999999998</v>
      </c>
      <c r="AS191" s="176">
        <v>10.191999999999998</v>
      </c>
      <c r="AT191" s="173" t="str">
        <f>IF(ISNUMBER(U191)=TRUE,AK191-U191,IF(U191="","",(AK191)-(MID(RIGHT(U191,10),4,2)&amp;"/"&amp;LEFT((RIGHT(U191,10)),2)&amp;"/"&amp;RIGHT(U191,4))))</f>
        <v/>
      </c>
      <c r="AU191" s="173">
        <v>440</v>
      </c>
      <c r="AW191" s="142" t="s">
        <v>123</v>
      </c>
    </row>
    <row r="192" spans="2:49" s="142" customFormat="1" ht="21" customHeight="1" x14ac:dyDescent="0.25">
      <c r="B192" s="173" t="str">
        <f>IF(C192="HOLD RM","HOLD RM",IF(C192="BAL","WIP",IF(C192="HOLD SLT","HOLD SLT",IF(C192="MILL","RM",IF(C192="RE SLT","WIP",IF(C192="RM","RM",IF(C192="RM BAL","RM",IF(C192="RM SLT","RM",IF(C192="RR","WIP",IF(C192="SKP","WIP",IF(C192="SLT","WIP",IF(C192="CTL","WIP",IF(C192="RM SLT RUST","RM SLT RUST",0)))))))))))))&amp;"-"&amp;G192&amp;"/"&amp;IF(H192="2B","2B",IF(H192="NO.1","1D",IF(H192="FH","FH",0)))&amp;"-"&amp;IF(J192="",(TEXT(I192,"0.00")),TEXT(J192,"0.00"))&amp;"X"&amp;M192</f>
        <v>RM-J3/1D-2.40X620</v>
      </c>
      <c r="C192" s="173" t="s">
        <v>48</v>
      </c>
      <c r="D192" s="173" t="s">
        <v>48</v>
      </c>
      <c r="E192" s="190" t="s">
        <v>940</v>
      </c>
      <c r="F192" s="190" t="s">
        <v>941</v>
      </c>
      <c r="G192" s="173" t="s">
        <v>34</v>
      </c>
      <c r="H192" s="173" t="s">
        <v>127</v>
      </c>
      <c r="I192" s="174">
        <v>2.4</v>
      </c>
      <c r="J192" s="174"/>
      <c r="K192" s="174"/>
      <c r="L192" s="174"/>
      <c r="M192" s="191">
        <v>620</v>
      </c>
      <c r="N192" s="176">
        <v>5.0439999999999996</v>
      </c>
      <c r="O192" s="176"/>
      <c r="P192" s="177"/>
      <c r="Q192" s="178"/>
      <c r="R192" s="179"/>
      <c r="S192" s="179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80"/>
      <c r="AE192" s="173" t="s">
        <v>69</v>
      </c>
      <c r="AF192" s="181" t="s">
        <v>248</v>
      </c>
      <c r="AG192" s="181" t="s">
        <v>924</v>
      </c>
      <c r="AH192" s="181">
        <v>44697</v>
      </c>
      <c r="AI192" s="181">
        <v>44721</v>
      </c>
      <c r="AJ192" s="181"/>
      <c r="AK192" s="181">
        <f ca="1">TODAY()</f>
        <v>44958</v>
      </c>
      <c r="AL192" s="173">
        <f ca="1">IF(AI192&lt;&gt;0,AK192-AI192,0)</f>
        <v>237</v>
      </c>
      <c r="AM192" s="173" t="str">
        <f>IF(ISNUMBER(X192)=TRUE,AK192-X192,IF(X192="","",(AK192)-(MID(RIGHT(X192,10),4,2)&amp;"/"&amp;LEFT((RIGHT(X192,10)),2)&amp;"/"&amp;RIGHT(X192,4))))</f>
        <v/>
      </c>
      <c r="AN192" s="181" t="s">
        <v>942</v>
      </c>
      <c r="AO192" s="190" t="s">
        <v>943</v>
      </c>
      <c r="AP192" s="176">
        <v>5.0439999999999996</v>
      </c>
      <c r="AQ192" s="176">
        <v>5.0839999999999996</v>
      </c>
      <c r="AR192" s="176">
        <v>5.109</v>
      </c>
      <c r="AS192" s="176">
        <v>5.1139999999999999</v>
      </c>
      <c r="AT192" s="173" t="str">
        <f>IF(ISNUMBER(U192)=TRUE,AK192-U192,IF(U192="","",(AK192)-(MID(RIGHT(U192,10),4,2)&amp;"/"&amp;LEFT((RIGHT(U192,10)),2)&amp;"/"&amp;RIGHT(U192,4))))</f>
        <v/>
      </c>
      <c r="AU192" s="173">
        <v>440</v>
      </c>
      <c r="AW192" s="142" t="s">
        <v>123</v>
      </c>
    </row>
    <row r="193" spans="2:49" s="142" customFormat="1" ht="21" customHeight="1" x14ac:dyDescent="0.25">
      <c r="B193" s="173" t="str">
        <f>IF(C193="HOLD RM","HOLD RM",IF(C193="BAL","WIP",IF(C193="HOLD SLT","HOLD SLT",IF(C193="MILL","RM",IF(C193="RE SLT","WIP",IF(C193="RM","RM",IF(C193="RM BAL","RM",IF(C193="RM SLT","RM",IF(C193="RR","WIP",IF(C193="SKP","WIP",IF(C193="SLT","WIP",IF(C193="CTL","WIP",IF(C193="RM SLT RUST","RM SLT RUST",0)))))))))))))&amp;"-"&amp;G193&amp;"/"&amp;IF(H193="2B","2B",IF(H193="NO.1","1D",IF(H193="FH","FH",0)))&amp;"-"&amp;IF(J193="",(TEXT(I193,"0.00")),TEXT(J193,"0.00"))&amp;"X"&amp;M193</f>
        <v>RM-J3/1D-2.40X620</v>
      </c>
      <c r="C193" s="173" t="s">
        <v>48</v>
      </c>
      <c r="D193" s="173" t="s">
        <v>48</v>
      </c>
      <c r="E193" s="190" t="s">
        <v>944</v>
      </c>
      <c r="F193" s="190" t="s">
        <v>945</v>
      </c>
      <c r="G193" s="173" t="s">
        <v>34</v>
      </c>
      <c r="H193" s="173" t="s">
        <v>127</v>
      </c>
      <c r="I193" s="174">
        <v>2.4</v>
      </c>
      <c r="J193" s="174"/>
      <c r="K193" s="174"/>
      <c r="L193" s="174"/>
      <c r="M193" s="191">
        <v>620</v>
      </c>
      <c r="N193" s="176">
        <v>5.1310000000000002</v>
      </c>
      <c r="O193" s="176"/>
      <c r="P193" s="177"/>
      <c r="Q193" s="178"/>
      <c r="R193" s="179"/>
      <c r="S193" s="179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80"/>
      <c r="AE193" s="173" t="s">
        <v>69</v>
      </c>
      <c r="AF193" s="181" t="s">
        <v>248</v>
      </c>
      <c r="AG193" s="181" t="s">
        <v>924</v>
      </c>
      <c r="AH193" s="181">
        <v>44697</v>
      </c>
      <c r="AI193" s="181">
        <v>44721</v>
      </c>
      <c r="AJ193" s="181"/>
      <c r="AK193" s="181">
        <f ca="1">TODAY()</f>
        <v>44958</v>
      </c>
      <c r="AL193" s="173">
        <f ca="1">IF(AI193&lt;&gt;0,AK193-AI193,0)</f>
        <v>237</v>
      </c>
      <c r="AM193" s="173" t="str">
        <f>IF(ISNUMBER(X193)=TRUE,AK193-X193,IF(X193="","",(AK193)-(MID(RIGHT(X193,10),4,2)&amp;"/"&amp;LEFT((RIGHT(X193,10)),2)&amp;"/"&amp;RIGHT(X193,4))))</f>
        <v/>
      </c>
      <c r="AN193" s="181" t="s">
        <v>939</v>
      </c>
      <c r="AO193" s="190" t="s">
        <v>943</v>
      </c>
      <c r="AP193" s="176">
        <v>5.1310000000000002</v>
      </c>
      <c r="AQ193" s="176">
        <v>5.1710000000000003</v>
      </c>
      <c r="AR193" s="176">
        <v>5.1960000000000006</v>
      </c>
      <c r="AS193" s="176">
        <v>5.2010000000000005</v>
      </c>
      <c r="AT193" s="173" t="str">
        <f>IF(ISNUMBER(U193)=TRUE,AK193-U193,IF(U193="","",(AK193)-(MID(RIGHT(U193,10),4,2)&amp;"/"&amp;LEFT((RIGHT(U193,10)),2)&amp;"/"&amp;RIGHT(U193,4))))</f>
        <v/>
      </c>
      <c r="AU193" s="173">
        <v>440</v>
      </c>
      <c r="AW193" s="142" t="s">
        <v>123</v>
      </c>
    </row>
    <row r="194" spans="2:49" s="142" customFormat="1" ht="21" customHeight="1" x14ac:dyDescent="0.25">
      <c r="B194" s="173" t="str">
        <f>IF(C194="HOLD RM","HOLD RM",IF(C194="BAL","WIP",IF(C194="HOLD SLT","HOLD SLT",IF(C194="MILL","RM",IF(C194="RE SLT","WIP",IF(C194="RM","RM",IF(C194="RM BAL","RM",IF(C194="RM SLT","RM",IF(C194="RR","WIP",IF(C194="SKP","WIP",IF(C194="SLT","WIP",IF(C194="CTL","WIP",IF(C194="RM SLT RUST","RM SLT RUST",0)))))))))))))&amp;"-"&amp;G194&amp;"/"&amp;IF(H194="2B","2B",IF(H194="NO.1","1D",IF(H194="FH","FH",0)))&amp;"-"&amp;IF(J194="",(TEXT(I194,"0.00")),TEXT(J194,"0.00"))&amp;"X"&amp;M194</f>
        <v>RM-J3/1D-2.20X620</v>
      </c>
      <c r="C194" s="173" t="s">
        <v>48</v>
      </c>
      <c r="D194" s="173" t="s">
        <v>48</v>
      </c>
      <c r="E194" s="190" t="s">
        <v>946</v>
      </c>
      <c r="F194" s="190" t="s">
        <v>947</v>
      </c>
      <c r="G194" s="173" t="s">
        <v>34</v>
      </c>
      <c r="H194" s="173" t="s">
        <v>127</v>
      </c>
      <c r="I194" s="174">
        <v>2.2000000000000002</v>
      </c>
      <c r="J194" s="174"/>
      <c r="K194" s="174"/>
      <c r="L194" s="174"/>
      <c r="M194" s="191">
        <v>620</v>
      </c>
      <c r="N194" s="176">
        <v>4.92</v>
      </c>
      <c r="O194" s="176"/>
      <c r="P194" s="177"/>
      <c r="Q194" s="178"/>
      <c r="R194" s="179"/>
      <c r="S194" s="179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80"/>
      <c r="AE194" s="173" t="s">
        <v>69</v>
      </c>
      <c r="AF194" s="181" t="s">
        <v>248</v>
      </c>
      <c r="AG194" s="181" t="s">
        <v>924</v>
      </c>
      <c r="AH194" s="181">
        <v>44697</v>
      </c>
      <c r="AI194" s="181">
        <v>44721</v>
      </c>
      <c r="AJ194" s="181"/>
      <c r="AK194" s="181">
        <f ca="1">TODAY()</f>
        <v>44958</v>
      </c>
      <c r="AL194" s="173">
        <f ca="1">IF(AI194&lt;&gt;0,AK194-AI194,0)</f>
        <v>237</v>
      </c>
      <c r="AM194" s="173" t="str">
        <f>IF(ISNUMBER(X194)=TRUE,AK194-X194,IF(X194="","",(AK194)-(MID(RIGHT(X194,10),4,2)&amp;"/"&amp;LEFT((RIGHT(X194,10)),2)&amp;"/"&amp;RIGHT(X194,4))))</f>
        <v/>
      </c>
      <c r="AN194" s="181" t="s">
        <v>948</v>
      </c>
      <c r="AO194" s="190" t="s">
        <v>949</v>
      </c>
      <c r="AP194" s="176">
        <v>4.92</v>
      </c>
      <c r="AQ194" s="176">
        <v>4.96</v>
      </c>
      <c r="AR194" s="176">
        <v>4.9850000000000003</v>
      </c>
      <c r="AS194" s="176">
        <v>4.99</v>
      </c>
      <c r="AT194" s="173" t="str">
        <f>IF(ISNUMBER(U194)=TRUE,AK194-U194,IF(U194="","",(AK194)-(MID(RIGHT(U194,10),4,2)&amp;"/"&amp;LEFT((RIGHT(U194,10)),2)&amp;"/"&amp;RIGHT(U194,4))))</f>
        <v/>
      </c>
      <c r="AU194" s="173">
        <v>440</v>
      </c>
      <c r="AW194" s="142" t="s">
        <v>123</v>
      </c>
    </row>
    <row r="195" spans="2:49" s="142" customFormat="1" ht="21" customHeight="1" x14ac:dyDescent="0.25">
      <c r="B195" s="173" t="str">
        <f>IF(C195="HOLD RM","HOLD RM",IF(C195="BAL","WIP",IF(C195="HOLD SLT","HOLD SLT",IF(C195="MILL","RM",IF(C195="RE SLT","WIP",IF(C195="RM","RM",IF(C195="RM BAL","RM",IF(C195="RM SLT","RM",IF(C195="RR","WIP",IF(C195="SKP","WIP",IF(C195="SLT","WIP",IF(C195="CTL","WIP",IF(C195="RM SLT RUST","RM SLT RUST",0)))))))))))))&amp;"-"&amp;G195&amp;"/"&amp;IF(H195="2B","2B",IF(H195="NO.1","1D",IF(H195="FH","FH",0)))&amp;"-"&amp;IF(J195="",(TEXT(I195,"0.00")),TEXT(J195,"0.00"))&amp;"X"&amp;M195</f>
        <v>RM-J3/1D-2.20X610</v>
      </c>
      <c r="C195" s="173" t="s">
        <v>48</v>
      </c>
      <c r="D195" s="173" t="s">
        <v>48</v>
      </c>
      <c r="E195" s="190" t="s">
        <v>950</v>
      </c>
      <c r="F195" s="190" t="s">
        <v>951</v>
      </c>
      <c r="G195" s="173" t="s">
        <v>34</v>
      </c>
      <c r="H195" s="173" t="s">
        <v>127</v>
      </c>
      <c r="I195" s="174">
        <v>2.2000000000000002</v>
      </c>
      <c r="J195" s="174"/>
      <c r="K195" s="174"/>
      <c r="L195" s="174"/>
      <c r="M195" s="191">
        <v>610</v>
      </c>
      <c r="N195" s="176">
        <v>4.798</v>
      </c>
      <c r="O195" s="176"/>
      <c r="P195" s="177"/>
      <c r="Q195" s="178"/>
      <c r="R195" s="179"/>
      <c r="S195" s="179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80"/>
      <c r="AE195" s="173" t="s">
        <v>69</v>
      </c>
      <c r="AF195" s="181" t="s">
        <v>248</v>
      </c>
      <c r="AG195" s="181" t="s">
        <v>924</v>
      </c>
      <c r="AH195" s="181">
        <v>44697</v>
      </c>
      <c r="AI195" s="181">
        <v>44721</v>
      </c>
      <c r="AJ195" s="181"/>
      <c r="AK195" s="181">
        <f ca="1">TODAY()</f>
        <v>44958</v>
      </c>
      <c r="AL195" s="173">
        <f ca="1">IF(AI195&lt;&gt;0,AK195-AI195,0)</f>
        <v>237</v>
      </c>
      <c r="AM195" s="173" t="str">
        <f>IF(ISNUMBER(X195)=TRUE,AK195-X195,IF(X195="","",(AK195)-(MID(RIGHT(X195,10),4,2)&amp;"/"&amp;LEFT((RIGHT(X195,10)),2)&amp;"/"&amp;RIGHT(X195,4))))</f>
        <v/>
      </c>
      <c r="AN195" s="181" t="s">
        <v>952</v>
      </c>
      <c r="AO195" s="190" t="s">
        <v>953</v>
      </c>
      <c r="AP195" s="176">
        <v>4.798</v>
      </c>
      <c r="AQ195" s="176">
        <v>4.8380000000000001</v>
      </c>
      <c r="AR195" s="176">
        <v>4.8630000000000004</v>
      </c>
      <c r="AS195" s="176">
        <v>4.8680000000000003</v>
      </c>
      <c r="AT195" s="173" t="str">
        <f>IF(ISNUMBER(U195)=TRUE,AK195-U195,IF(U195="","",(AK195)-(MID(RIGHT(U195,10),4,2)&amp;"/"&amp;LEFT((RIGHT(U195,10)),2)&amp;"/"&amp;RIGHT(U195,4))))</f>
        <v/>
      </c>
      <c r="AU195" s="173">
        <v>440</v>
      </c>
      <c r="AW195" s="142" t="s">
        <v>123</v>
      </c>
    </row>
    <row r="196" spans="2:49" s="142" customFormat="1" ht="21" customHeight="1" x14ac:dyDescent="0.25">
      <c r="B196" s="173" t="str">
        <f>IF(C196="HOLD RM","HOLD RM",IF(C196="BAL","WIP",IF(C196="HOLD SLT","HOLD SLT",IF(C196="MILL","RM",IF(C196="RE SLT","WIP",IF(C196="RM","RM",IF(C196="RM BAL","RM",IF(C196="RM SLT","RM",IF(C196="RR","WIP",IF(C196="SKP","WIP",IF(C196="SLT","WIP",IF(C196="CTL","WIP",IF(C196="RM SLT RUST","RM SLT RUST",0)))))))))))))&amp;"-"&amp;G196&amp;"/"&amp;IF(H196="2B","2B",IF(H196="NO.1","1D",IF(H196="FH","FH",0)))&amp;"-"&amp;IF(J196="",(TEXT(I196,"0.00")),TEXT(J196,"0.00"))&amp;"X"&amp;M196</f>
        <v>RM-J3/1D-2.20X620</v>
      </c>
      <c r="C196" s="173" t="s">
        <v>48</v>
      </c>
      <c r="D196" s="173" t="s">
        <v>48</v>
      </c>
      <c r="E196" s="190" t="s">
        <v>954</v>
      </c>
      <c r="F196" s="190" t="s">
        <v>955</v>
      </c>
      <c r="G196" s="173" t="s">
        <v>34</v>
      </c>
      <c r="H196" s="173" t="s">
        <v>127</v>
      </c>
      <c r="I196" s="174">
        <v>2.2000000000000002</v>
      </c>
      <c r="J196" s="174"/>
      <c r="K196" s="174"/>
      <c r="L196" s="174"/>
      <c r="M196" s="191">
        <v>620</v>
      </c>
      <c r="N196" s="176">
        <v>5.1219999999999999</v>
      </c>
      <c r="O196" s="176"/>
      <c r="P196" s="177"/>
      <c r="Q196" s="178"/>
      <c r="R196" s="179"/>
      <c r="S196" s="179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80"/>
      <c r="AE196" s="173" t="s">
        <v>69</v>
      </c>
      <c r="AF196" s="181" t="s">
        <v>248</v>
      </c>
      <c r="AG196" s="181" t="s">
        <v>924</v>
      </c>
      <c r="AH196" s="181">
        <v>44697</v>
      </c>
      <c r="AI196" s="181">
        <v>44721</v>
      </c>
      <c r="AJ196" s="181"/>
      <c r="AK196" s="181">
        <f ca="1">TODAY()</f>
        <v>44958</v>
      </c>
      <c r="AL196" s="173">
        <f ca="1">IF(AI196&lt;&gt;0,AK196-AI196,0)</f>
        <v>237</v>
      </c>
      <c r="AM196" s="173" t="str">
        <f>IF(ISNUMBER(X196)=TRUE,AK196-X196,IF(X196="","",(AK196)-(MID(RIGHT(X196,10),4,2)&amp;"/"&amp;LEFT((RIGHT(X196,10)),2)&amp;"/"&amp;RIGHT(X196,4))))</f>
        <v/>
      </c>
      <c r="AN196" s="181" t="s">
        <v>956</v>
      </c>
      <c r="AO196" s="190" t="s">
        <v>953</v>
      </c>
      <c r="AP196" s="176">
        <v>5.1219999999999999</v>
      </c>
      <c r="AQ196" s="176">
        <v>5.1619999999999999</v>
      </c>
      <c r="AR196" s="176">
        <v>5.1870000000000003</v>
      </c>
      <c r="AS196" s="176">
        <v>5.1920000000000002</v>
      </c>
      <c r="AT196" s="173" t="str">
        <f>IF(ISNUMBER(U196)=TRUE,AK196-U196,IF(U196="","",(AK196)-(MID(RIGHT(U196,10),4,2)&amp;"/"&amp;LEFT((RIGHT(U196,10)),2)&amp;"/"&amp;RIGHT(U196,4))))</f>
        <v/>
      </c>
      <c r="AU196" s="173">
        <v>440</v>
      </c>
      <c r="AW196" s="142" t="s">
        <v>123</v>
      </c>
    </row>
    <row r="197" spans="2:49" s="142" customFormat="1" ht="21" customHeight="1" x14ac:dyDescent="0.25">
      <c r="B197" s="173" t="str">
        <f>IF(C197="HOLD RM","HOLD RM",IF(C197="BAL","WIP",IF(C197="HOLD SLT","HOLD SLT",IF(C197="MILL","RM",IF(C197="RE SLT","WIP",IF(C197="RM","RM",IF(C197="RM BAL","RM",IF(C197="RM SLT","RM",IF(C197="RR","WIP",IF(C197="SKP","WIP",IF(C197="SLT","WIP",IF(C197="CTL","WIP",IF(C197="RM SLT RUST","RM SLT RUST",0)))))))))))))&amp;"-"&amp;G197&amp;"/"&amp;IF(H197="2B","2B",IF(H197="NO.1","1D",IF(H197="FH","FH",0)))&amp;"-"&amp;IF(J197="",(TEXT(I197,"0.00")),TEXT(J197,"0.00"))&amp;"X"&amp;M197</f>
        <v>RM-J3/1D-2.20X620</v>
      </c>
      <c r="C197" s="173" t="s">
        <v>48</v>
      </c>
      <c r="D197" s="173" t="s">
        <v>48</v>
      </c>
      <c r="E197" s="190" t="s">
        <v>957</v>
      </c>
      <c r="F197" s="190" t="s">
        <v>958</v>
      </c>
      <c r="G197" s="173" t="s">
        <v>34</v>
      </c>
      <c r="H197" s="173" t="s">
        <v>127</v>
      </c>
      <c r="I197" s="174">
        <v>2.2000000000000002</v>
      </c>
      <c r="J197" s="174"/>
      <c r="K197" s="174"/>
      <c r="L197" s="174"/>
      <c r="M197" s="191">
        <v>620</v>
      </c>
      <c r="N197" s="176">
        <v>9.9819999999999993</v>
      </c>
      <c r="O197" s="176"/>
      <c r="P197" s="177"/>
      <c r="Q197" s="178"/>
      <c r="R197" s="179"/>
      <c r="S197" s="179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80"/>
      <c r="AE197" s="173" t="s">
        <v>69</v>
      </c>
      <c r="AF197" s="181" t="s">
        <v>248</v>
      </c>
      <c r="AG197" s="181" t="s">
        <v>924</v>
      </c>
      <c r="AH197" s="181">
        <v>44697</v>
      </c>
      <c r="AI197" s="181">
        <v>44721</v>
      </c>
      <c r="AJ197" s="181"/>
      <c r="AK197" s="181">
        <f ca="1">TODAY()</f>
        <v>44958</v>
      </c>
      <c r="AL197" s="173">
        <f ca="1">IF(AI197&lt;&gt;0,AK197-AI197,0)</f>
        <v>237</v>
      </c>
      <c r="AM197" s="173" t="str">
        <f>IF(ISNUMBER(X197)=TRUE,AK197-X197,IF(X197="","",(AK197)-(MID(RIGHT(X197,10),4,2)&amp;"/"&amp;LEFT((RIGHT(X197,10)),2)&amp;"/"&amp;RIGHT(X197,4))))</f>
        <v/>
      </c>
      <c r="AN197" s="181" t="s">
        <v>925</v>
      </c>
      <c r="AO197" s="190" t="s">
        <v>959</v>
      </c>
      <c r="AP197" s="176">
        <v>9.9819999999999993</v>
      </c>
      <c r="AQ197" s="176">
        <v>10.021999999999998</v>
      </c>
      <c r="AR197" s="176">
        <v>10.046999999999997</v>
      </c>
      <c r="AS197" s="176">
        <v>10.051999999999998</v>
      </c>
      <c r="AT197" s="173" t="str">
        <f>IF(ISNUMBER(U197)=TRUE,AK197-U197,IF(U197="","",(AK197)-(MID(RIGHT(U197,10),4,2)&amp;"/"&amp;LEFT((RIGHT(U197,10)),2)&amp;"/"&amp;RIGHT(U197,4))))</f>
        <v/>
      </c>
      <c r="AU197" s="173">
        <v>440</v>
      </c>
      <c r="AW197" s="142" t="s">
        <v>123</v>
      </c>
    </row>
    <row r="198" spans="2:49" s="142" customFormat="1" ht="21" customHeight="1" x14ac:dyDescent="0.25">
      <c r="B198" s="173" t="str">
        <f>IF(C198="HOLD RM","HOLD RM",IF(C198="BAL","WIP",IF(C198="HOLD SLT","HOLD SLT",IF(C198="MILL","RM",IF(C198="RE SLT","WIP",IF(C198="RM","RM",IF(C198="RM BAL","RM",IF(C198="RM SLT","RM",IF(C198="RR","WIP",IF(C198="SKP","WIP",IF(C198="SLT","WIP",IF(C198="CTL","WIP",IF(C198="RM SLT RUST","RM SLT RUST",0)))))))))))))&amp;"-"&amp;G198&amp;"/"&amp;IF(H198="2B","2B",IF(H198="NO.1","1D",IF(H198="FH","FH",0)))&amp;"-"&amp;IF(J198="",(TEXT(I198,"0.00")),TEXT(J198,"0.00"))&amp;"X"&amp;M198</f>
        <v>RM-J3/1D-2.40X620</v>
      </c>
      <c r="C198" s="173" t="s">
        <v>48</v>
      </c>
      <c r="D198" s="173" t="s">
        <v>48</v>
      </c>
      <c r="E198" s="190" t="s">
        <v>960</v>
      </c>
      <c r="F198" s="190" t="s">
        <v>961</v>
      </c>
      <c r="G198" s="173" t="s">
        <v>34</v>
      </c>
      <c r="H198" s="173" t="s">
        <v>127</v>
      </c>
      <c r="I198" s="174">
        <v>2.4</v>
      </c>
      <c r="J198" s="174"/>
      <c r="K198" s="174"/>
      <c r="L198" s="174"/>
      <c r="M198" s="191">
        <v>620</v>
      </c>
      <c r="N198" s="176">
        <v>5.1100000000000003</v>
      </c>
      <c r="O198" s="176"/>
      <c r="P198" s="177"/>
      <c r="Q198" s="178"/>
      <c r="R198" s="179"/>
      <c r="S198" s="179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80"/>
      <c r="AE198" s="173" t="s">
        <v>69</v>
      </c>
      <c r="AF198" s="181" t="s">
        <v>248</v>
      </c>
      <c r="AG198" s="181" t="s">
        <v>924</v>
      </c>
      <c r="AH198" s="181">
        <v>44697</v>
      </c>
      <c r="AI198" s="181">
        <v>44721</v>
      </c>
      <c r="AJ198" s="181"/>
      <c r="AK198" s="181">
        <f ca="1">TODAY()</f>
        <v>44958</v>
      </c>
      <c r="AL198" s="173">
        <f ca="1">IF(AI198&lt;&gt;0,AK198-AI198,0)</f>
        <v>237</v>
      </c>
      <c r="AM198" s="173" t="str">
        <f>IF(ISNUMBER(X198)=TRUE,AK198-X198,IF(X198="","",(AK198)-(MID(RIGHT(X198,10),4,2)&amp;"/"&amp;LEFT((RIGHT(X198,10)),2)&amp;"/"&amp;RIGHT(X198,4))))</f>
        <v/>
      </c>
      <c r="AN198" s="181" t="s">
        <v>962</v>
      </c>
      <c r="AO198" s="190" t="s">
        <v>963</v>
      </c>
      <c r="AP198" s="176">
        <v>5.1100000000000003</v>
      </c>
      <c r="AQ198" s="176">
        <v>5.15</v>
      </c>
      <c r="AR198" s="176">
        <v>5.1750000000000007</v>
      </c>
      <c r="AS198" s="176">
        <v>5.1800000000000006</v>
      </c>
      <c r="AT198" s="173" t="str">
        <f>IF(ISNUMBER(U198)=TRUE,AK198-U198,IF(U198="","",(AK198)-(MID(RIGHT(U198,10),4,2)&amp;"/"&amp;LEFT((RIGHT(U198,10)),2)&amp;"/"&amp;RIGHT(U198,4))))</f>
        <v/>
      </c>
      <c r="AU198" s="173">
        <v>440</v>
      </c>
      <c r="AW198" s="142" t="s">
        <v>123</v>
      </c>
    </row>
    <row r="199" spans="2:49" s="142" customFormat="1" ht="21" customHeight="1" x14ac:dyDescent="0.25">
      <c r="B199" s="173" t="str">
        <f>IF(C199="HOLD RM","HOLD RM",IF(C199="BAL","WIP",IF(C199="HOLD SLT","HOLD SLT",IF(C199="MILL","RM",IF(C199="RE SLT","WIP",IF(C199="RM","RM",IF(C199="RM BAL","RM",IF(C199="RM SLT","RM",IF(C199="RR","WIP",IF(C199="SKP","WIP",IF(C199="SLT","WIP",IF(C199="CTL","WIP",IF(C199="RM SLT RUST","RM SLT RUST",0)))))))))))))&amp;"-"&amp;G199&amp;"/"&amp;IF(H199="2B","2B",IF(H199="NO.1","1D",IF(H199="FH","FH",0)))&amp;"-"&amp;IF(J199="",(TEXT(I199,"0.00")),TEXT(J199,"0.00"))&amp;"X"&amp;M199</f>
        <v>RM-J3/1D-2.40X620</v>
      </c>
      <c r="C199" s="173" t="s">
        <v>48</v>
      </c>
      <c r="D199" s="173" t="s">
        <v>48</v>
      </c>
      <c r="E199" s="190" t="s">
        <v>964</v>
      </c>
      <c r="F199" s="190" t="s">
        <v>965</v>
      </c>
      <c r="G199" s="173" t="s">
        <v>34</v>
      </c>
      <c r="H199" s="173" t="s">
        <v>127</v>
      </c>
      <c r="I199" s="174">
        <v>2.4</v>
      </c>
      <c r="J199" s="174"/>
      <c r="K199" s="174"/>
      <c r="L199" s="174"/>
      <c r="M199" s="191">
        <v>620</v>
      </c>
      <c r="N199" s="176">
        <v>5.09</v>
      </c>
      <c r="O199" s="176"/>
      <c r="P199" s="177"/>
      <c r="Q199" s="178"/>
      <c r="R199" s="179"/>
      <c r="S199" s="179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80"/>
      <c r="AE199" s="173" t="s">
        <v>69</v>
      </c>
      <c r="AF199" s="181" t="s">
        <v>248</v>
      </c>
      <c r="AG199" s="181" t="s">
        <v>924</v>
      </c>
      <c r="AH199" s="181">
        <v>44697</v>
      </c>
      <c r="AI199" s="181">
        <v>44721</v>
      </c>
      <c r="AJ199" s="181"/>
      <c r="AK199" s="181">
        <f ca="1">TODAY()</f>
        <v>44958</v>
      </c>
      <c r="AL199" s="173">
        <f ca="1">IF(AI199&lt;&gt;0,AK199-AI199,0)</f>
        <v>237</v>
      </c>
      <c r="AM199" s="173" t="str">
        <f>IF(ISNUMBER(X199)=TRUE,AK199-X199,IF(X199="","",(AK199)-(MID(RIGHT(X199,10),4,2)&amp;"/"&amp;LEFT((RIGHT(X199,10)),2)&amp;"/"&amp;RIGHT(X199,4))))</f>
        <v/>
      </c>
      <c r="AN199" s="181" t="s">
        <v>966</v>
      </c>
      <c r="AO199" s="190" t="s">
        <v>963</v>
      </c>
      <c r="AP199" s="176">
        <v>5.09</v>
      </c>
      <c r="AQ199" s="176">
        <v>5.13</v>
      </c>
      <c r="AR199" s="176">
        <v>5.1550000000000002</v>
      </c>
      <c r="AS199" s="176">
        <v>5.16</v>
      </c>
      <c r="AT199" s="173" t="str">
        <f>IF(ISNUMBER(U199)=TRUE,AK199-U199,IF(U199="","",(AK199)-(MID(RIGHT(U199,10),4,2)&amp;"/"&amp;LEFT((RIGHT(U199,10)),2)&amp;"/"&amp;RIGHT(U199,4))))</f>
        <v/>
      </c>
      <c r="AU199" s="173">
        <v>440</v>
      </c>
      <c r="AW199" s="142" t="s">
        <v>123</v>
      </c>
    </row>
    <row r="200" spans="2:49" s="142" customFormat="1" ht="21" customHeight="1" x14ac:dyDescent="0.25">
      <c r="B200" s="173" t="str">
        <f>IF(C200="HOLD RM","HOLD RM",IF(C200="BAL","WIP",IF(C200="HOLD SLT","HOLD SLT",IF(C200="MILL","RM",IF(C200="RE SLT","WIP",IF(C200="RM","RM",IF(C200="RM BAL","RM",IF(C200="RM SLT","RM",IF(C200="RR","WIP",IF(C200="SKP","WIP",IF(C200="SLT","WIP",IF(C200="CTL","WIP",IF(C200="RM SLT RUST","RM SLT RUST",0)))))))))))))&amp;"-"&amp;G200&amp;"/"&amp;IF(H200="2B","2B",IF(H200="NO.1","1D",IF(H200="FH","FH",0)))&amp;"-"&amp;IF(J200="",(TEXT(I200,"0.00")),TEXT(J200,"0.00"))&amp;"X"&amp;M200</f>
        <v>RM-J3/1D-2.40X620</v>
      </c>
      <c r="C200" s="173" t="s">
        <v>48</v>
      </c>
      <c r="D200" s="173" t="s">
        <v>48</v>
      </c>
      <c r="E200" s="190" t="s">
        <v>967</v>
      </c>
      <c r="F200" s="190" t="s">
        <v>968</v>
      </c>
      <c r="G200" s="173" t="s">
        <v>34</v>
      </c>
      <c r="H200" s="173" t="s">
        <v>127</v>
      </c>
      <c r="I200" s="174">
        <v>2.4</v>
      </c>
      <c r="J200" s="174"/>
      <c r="K200" s="174"/>
      <c r="L200" s="174"/>
      <c r="M200" s="191">
        <v>620</v>
      </c>
      <c r="N200" s="176">
        <v>4.9880000000000004</v>
      </c>
      <c r="O200" s="176"/>
      <c r="P200" s="177"/>
      <c r="Q200" s="178"/>
      <c r="R200" s="179"/>
      <c r="S200" s="179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80"/>
      <c r="AE200" s="173" t="s">
        <v>69</v>
      </c>
      <c r="AF200" s="181" t="s">
        <v>248</v>
      </c>
      <c r="AG200" s="181" t="s">
        <v>924</v>
      </c>
      <c r="AH200" s="181">
        <v>44697</v>
      </c>
      <c r="AI200" s="181">
        <v>44721</v>
      </c>
      <c r="AJ200" s="181"/>
      <c r="AK200" s="181">
        <f ca="1">TODAY()</f>
        <v>44958</v>
      </c>
      <c r="AL200" s="173">
        <f ca="1">IF(AI200&lt;&gt;0,AK200-AI200,0)</f>
        <v>237</v>
      </c>
      <c r="AM200" s="173" t="str">
        <f>IF(ISNUMBER(X200)=TRUE,AK200-X200,IF(X200="","",(AK200)-(MID(RIGHT(X200,10),4,2)&amp;"/"&amp;LEFT((RIGHT(X200,10)),2)&amp;"/"&amp;RIGHT(X200,4))))</f>
        <v/>
      </c>
      <c r="AN200" s="181" t="s">
        <v>966</v>
      </c>
      <c r="AO200" s="190" t="s">
        <v>969</v>
      </c>
      <c r="AP200" s="176">
        <v>4.9880000000000004</v>
      </c>
      <c r="AQ200" s="176">
        <v>5.0280000000000005</v>
      </c>
      <c r="AR200" s="176">
        <v>5.0530000000000008</v>
      </c>
      <c r="AS200" s="176">
        <v>5.0580000000000007</v>
      </c>
      <c r="AT200" s="173" t="str">
        <f>IF(ISNUMBER(U200)=TRUE,AK200-U200,IF(U200="","",(AK200)-(MID(RIGHT(U200,10),4,2)&amp;"/"&amp;LEFT((RIGHT(U200,10)),2)&amp;"/"&amp;RIGHT(U200,4))))</f>
        <v/>
      </c>
      <c r="AU200" s="173">
        <v>440</v>
      </c>
      <c r="AW200" s="142" t="s">
        <v>123</v>
      </c>
    </row>
    <row r="201" spans="2:49" s="142" customFormat="1" ht="21" customHeight="1" x14ac:dyDescent="0.25">
      <c r="B201" s="173" t="str">
        <f>IF(C201="HOLD RM","HOLD RM",IF(C201="BAL","WIP",IF(C201="HOLD SLT","HOLD SLT",IF(C201="MILL","RM",IF(C201="RE SLT","WIP",IF(C201="RM","RM",IF(C201="RM BAL","RM",IF(C201="RM SLT","RM",IF(C201="RR","WIP",IF(C201="SKP","WIP",IF(C201="SLT","WIP",IF(C201="CTL","WIP",IF(C201="RM SLT RUST","RM SLT RUST",0)))))))))))))&amp;"-"&amp;G201&amp;"/"&amp;IF(H201="2B","2B",IF(H201="NO.1","1D",IF(H201="FH","FH",0)))&amp;"-"&amp;IF(J201="",(TEXT(I201,"0.00")),TEXT(J201,"0.00"))&amp;"X"&amp;M201</f>
        <v>RM-J3/1D-2.40X620</v>
      </c>
      <c r="C201" s="173" t="s">
        <v>48</v>
      </c>
      <c r="D201" s="173" t="s">
        <v>48</v>
      </c>
      <c r="E201" s="190" t="s">
        <v>970</v>
      </c>
      <c r="F201" s="190" t="s">
        <v>971</v>
      </c>
      <c r="G201" s="173" t="s">
        <v>34</v>
      </c>
      <c r="H201" s="173" t="s">
        <v>127</v>
      </c>
      <c r="I201" s="174">
        <v>2.4</v>
      </c>
      <c r="J201" s="174"/>
      <c r="K201" s="174"/>
      <c r="L201" s="174"/>
      <c r="M201" s="191">
        <v>620</v>
      </c>
      <c r="N201" s="176">
        <v>5.0730000000000004</v>
      </c>
      <c r="O201" s="176"/>
      <c r="P201" s="177"/>
      <c r="Q201" s="178"/>
      <c r="R201" s="179"/>
      <c r="S201" s="179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80"/>
      <c r="AE201" s="173" t="s">
        <v>69</v>
      </c>
      <c r="AF201" s="181" t="s">
        <v>248</v>
      </c>
      <c r="AG201" s="181" t="s">
        <v>924</v>
      </c>
      <c r="AH201" s="181">
        <v>44697</v>
      </c>
      <c r="AI201" s="181">
        <v>44721</v>
      </c>
      <c r="AJ201" s="181"/>
      <c r="AK201" s="181">
        <f ca="1">TODAY()</f>
        <v>44958</v>
      </c>
      <c r="AL201" s="173">
        <f ca="1">IF(AI201&lt;&gt;0,AK201-AI201,0)</f>
        <v>237</v>
      </c>
      <c r="AM201" s="173" t="str">
        <f>IF(ISNUMBER(X201)=TRUE,AK201-X201,IF(X201="","",(AK201)-(MID(RIGHT(X201,10),4,2)&amp;"/"&amp;LEFT((RIGHT(X201,10)),2)&amp;"/"&amp;RIGHT(X201,4))))</f>
        <v/>
      </c>
      <c r="AN201" s="181" t="s">
        <v>948</v>
      </c>
      <c r="AO201" s="190" t="s">
        <v>969</v>
      </c>
      <c r="AP201" s="176">
        <v>5.0730000000000004</v>
      </c>
      <c r="AQ201" s="176">
        <v>5.1130000000000004</v>
      </c>
      <c r="AR201" s="176">
        <v>5.1380000000000008</v>
      </c>
      <c r="AS201" s="176">
        <v>5.1430000000000007</v>
      </c>
      <c r="AT201" s="173" t="str">
        <f>IF(ISNUMBER(U201)=TRUE,AK201-U201,IF(U201="","",(AK201)-(MID(RIGHT(U201,10),4,2)&amp;"/"&amp;LEFT((RIGHT(U201,10)),2)&amp;"/"&amp;RIGHT(U201,4))))</f>
        <v/>
      </c>
      <c r="AU201" s="173">
        <v>440</v>
      </c>
      <c r="AW201" s="142" t="s">
        <v>123</v>
      </c>
    </row>
    <row r="202" spans="2:49" s="142" customFormat="1" ht="21" customHeight="1" x14ac:dyDescent="0.25">
      <c r="B202" s="173" t="str">
        <f>IF(C202="HOLD RM","HOLD RM",IF(C202="BAL","WIP",IF(C202="HOLD SLT","HOLD SLT",IF(C202="MILL","RM",IF(C202="RE SLT","WIP",IF(C202="RM","RM",IF(C202="RM BAL","RM",IF(C202="RM SLT","RM",IF(C202="RR","WIP",IF(C202="SKP","WIP",IF(C202="SLT","WIP",IF(C202="CTL","WIP",IF(C202="RM SLT RUST","RM SLT RUST",0)))))))))))))&amp;"-"&amp;G202&amp;"/"&amp;IF(H202="2B","2B",IF(H202="NO.1","1D",IF(H202="FH","FH",0)))&amp;"-"&amp;IF(J202="",(TEXT(I202,"0.00")),TEXT(J202,"0.00"))&amp;"X"&amp;M202</f>
        <v>RM-J3/1D-2.20X620</v>
      </c>
      <c r="C202" s="173" t="s">
        <v>48</v>
      </c>
      <c r="D202" s="173" t="s">
        <v>48</v>
      </c>
      <c r="E202" s="190" t="s">
        <v>972</v>
      </c>
      <c r="F202" s="190" t="s">
        <v>973</v>
      </c>
      <c r="G202" s="173" t="s">
        <v>34</v>
      </c>
      <c r="H202" s="173" t="s">
        <v>127</v>
      </c>
      <c r="I202" s="174">
        <v>2.2000000000000002</v>
      </c>
      <c r="J202" s="174"/>
      <c r="K202" s="174"/>
      <c r="L202" s="174"/>
      <c r="M202" s="191">
        <v>620</v>
      </c>
      <c r="N202" s="176">
        <v>4.9640000000000004</v>
      </c>
      <c r="O202" s="176"/>
      <c r="P202" s="177"/>
      <c r="Q202" s="178"/>
      <c r="R202" s="179"/>
      <c r="S202" s="179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80"/>
      <c r="AE202" s="173" t="s">
        <v>69</v>
      </c>
      <c r="AF202" s="181" t="s">
        <v>248</v>
      </c>
      <c r="AG202" s="181" t="s">
        <v>924</v>
      </c>
      <c r="AH202" s="181">
        <v>44697</v>
      </c>
      <c r="AI202" s="181">
        <v>44721</v>
      </c>
      <c r="AJ202" s="181"/>
      <c r="AK202" s="181">
        <f ca="1">TODAY()</f>
        <v>44958</v>
      </c>
      <c r="AL202" s="173">
        <f ca="1">IF(AI202&lt;&gt;0,AK202-AI202,0)</f>
        <v>237</v>
      </c>
      <c r="AM202" s="173" t="str">
        <f>IF(ISNUMBER(X202)=TRUE,AK202-X202,IF(X202="","",(AK202)-(MID(RIGHT(X202,10),4,2)&amp;"/"&amp;LEFT((RIGHT(X202,10)),2)&amp;"/"&amp;RIGHT(X202,4))))</f>
        <v/>
      </c>
      <c r="AN202" s="181" t="s">
        <v>925</v>
      </c>
      <c r="AO202" s="190" t="s">
        <v>974</v>
      </c>
      <c r="AP202" s="176">
        <v>4.9640000000000004</v>
      </c>
      <c r="AQ202" s="176">
        <v>5.0040000000000004</v>
      </c>
      <c r="AR202" s="176">
        <v>5.0290000000000008</v>
      </c>
      <c r="AS202" s="176">
        <v>5.0340000000000007</v>
      </c>
      <c r="AT202" s="173" t="str">
        <f>IF(ISNUMBER(U202)=TRUE,AK202-U202,IF(U202="","",(AK202)-(MID(RIGHT(U202,10),4,2)&amp;"/"&amp;LEFT((RIGHT(U202,10)),2)&amp;"/"&amp;RIGHT(U202,4))))</f>
        <v/>
      </c>
      <c r="AU202" s="173">
        <v>440</v>
      </c>
      <c r="AW202" s="142" t="s">
        <v>123</v>
      </c>
    </row>
    <row r="203" spans="2:49" s="142" customFormat="1" ht="21" customHeight="1" x14ac:dyDescent="0.25">
      <c r="B203" s="173" t="str">
        <f>IF(C203="HOLD RM","HOLD RM",IF(C203="BAL","WIP",IF(C203="HOLD SLT","HOLD SLT",IF(C203="MILL","RM",IF(C203="RE SLT","WIP",IF(C203="RM","RM",IF(C203="RM BAL","RM",IF(C203="RM SLT","RM",IF(C203="RR","WIP",IF(C203="SKP","WIP",IF(C203="SLT","WIP",IF(C203="CTL","WIP",IF(C203="RM SLT RUST","RM SLT RUST",0)))))))))))))&amp;"-"&amp;G203&amp;"/"&amp;IF(H203="2B","2B",IF(H203="NO.1","1D",IF(H203="FH","FH",0)))&amp;"-"&amp;IF(J203="",(TEXT(I203,"0.00")),TEXT(J203,"0.00"))&amp;"X"&amp;M203</f>
        <v>RM-J3/1D-2.20X620</v>
      </c>
      <c r="C203" s="173" t="s">
        <v>48</v>
      </c>
      <c r="D203" s="173" t="s">
        <v>48</v>
      </c>
      <c r="E203" s="190" t="s">
        <v>975</v>
      </c>
      <c r="F203" s="190" t="s">
        <v>976</v>
      </c>
      <c r="G203" s="173" t="s">
        <v>34</v>
      </c>
      <c r="H203" s="173" t="s">
        <v>127</v>
      </c>
      <c r="I203" s="174">
        <v>2.2000000000000002</v>
      </c>
      <c r="J203" s="174"/>
      <c r="K203" s="174"/>
      <c r="L203" s="174"/>
      <c r="M203" s="191">
        <v>620</v>
      </c>
      <c r="N203" s="176">
        <v>5.07</v>
      </c>
      <c r="O203" s="176"/>
      <c r="P203" s="177"/>
      <c r="Q203" s="178"/>
      <c r="R203" s="179"/>
      <c r="S203" s="179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80"/>
      <c r="AE203" s="173" t="s">
        <v>69</v>
      </c>
      <c r="AF203" s="181" t="s">
        <v>248</v>
      </c>
      <c r="AG203" s="181" t="s">
        <v>924</v>
      </c>
      <c r="AH203" s="181">
        <v>44697</v>
      </c>
      <c r="AI203" s="181">
        <v>44721</v>
      </c>
      <c r="AJ203" s="181"/>
      <c r="AK203" s="181">
        <f ca="1">TODAY()</f>
        <v>44958</v>
      </c>
      <c r="AL203" s="173">
        <f ca="1">IF(AI203&lt;&gt;0,AK203-AI203,0)</f>
        <v>237</v>
      </c>
      <c r="AM203" s="173" t="str">
        <f>IF(ISNUMBER(X203)=TRUE,AK203-X203,IF(X203="","",(AK203)-(MID(RIGHT(X203,10),4,2)&amp;"/"&amp;LEFT((RIGHT(X203,10)),2)&amp;"/"&amp;RIGHT(X203,4))))</f>
        <v/>
      </c>
      <c r="AN203" s="181" t="s">
        <v>948</v>
      </c>
      <c r="AO203" s="190" t="s">
        <v>974</v>
      </c>
      <c r="AP203" s="176">
        <v>5.07</v>
      </c>
      <c r="AQ203" s="176">
        <v>5.1100000000000003</v>
      </c>
      <c r="AR203" s="176">
        <v>5.1350000000000007</v>
      </c>
      <c r="AS203" s="176">
        <v>5.1400000000000006</v>
      </c>
      <c r="AT203" s="173" t="str">
        <f>IF(ISNUMBER(U203)=TRUE,AK203-U203,IF(U203="","",(AK203)-(MID(RIGHT(U203,10),4,2)&amp;"/"&amp;LEFT((RIGHT(U203,10)),2)&amp;"/"&amp;RIGHT(U203,4))))</f>
        <v/>
      </c>
      <c r="AU203" s="173">
        <v>440</v>
      </c>
      <c r="AW203" s="142" t="s">
        <v>123</v>
      </c>
    </row>
    <row r="204" spans="2:49" s="142" customFormat="1" ht="21" customHeight="1" x14ac:dyDescent="0.25">
      <c r="B204" s="173" t="str">
        <f>IF(C204="HOLD RM","HOLD RM",IF(C204="BAL","WIP",IF(C204="HOLD SLT","HOLD SLT",IF(C204="MILL","RM",IF(C204="RE SLT","WIP",IF(C204="RM","RM",IF(C204="RM BAL","RM",IF(C204="RM SLT","RM",IF(C204="RR","WIP",IF(C204="SKP","WIP",IF(C204="SLT","WIP",IF(C204="CTL","WIP",IF(C204="RM SLT RUST","RM SLT RUST",0)))))))))))))&amp;"-"&amp;G204&amp;"/"&amp;IF(H204="2B","2B",IF(H204="NO.1","1D",IF(H204="FH","FH",0)))&amp;"-"&amp;IF(J204="",(TEXT(I204,"0.00")),TEXT(J204,"0.00"))&amp;"X"&amp;M204</f>
        <v>RM-J3/1D-2.20X620</v>
      </c>
      <c r="C204" s="173" t="s">
        <v>48</v>
      </c>
      <c r="D204" s="173" t="s">
        <v>48</v>
      </c>
      <c r="E204" s="190" t="s">
        <v>977</v>
      </c>
      <c r="F204" s="190" t="s">
        <v>978</v>
      </c>
      <c r="G204" s="173" t="s">
        <v>34</v>
      </c>
      <c r="H204" s="173" t="s">
        <v>127</v>
      </c>
      <c r="I204" s="174">
        <v>2.2000000000000002</v>
      </c>
      <c r="J204" s="174"/>
      <c r="K204" s="174"/>
      <c r="L204" s="174"/>
      <c r="M204" s="191">
        <v>620</v>
      </c>
      <c r="N204" s="176">
        <v>4.99</v>
      </c>
      <c r="O204" s="176"/>
      <c r="P204" s="177"/>
      <c r="Q204" s="178"/>
      <c r="R204" s="179"/>
      <c r="S204" s="179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80"/>
      <c r="AE204" s="173" t="s">
        <v>69</v>
      </c>
      <c r="AF204" s="181" t="s">
        <v>248</v>
      </c>
      <c r="AG204" s="181" t="s">
        <v>924</v>
      </c>
      <c r="AH204" s="181">
        <v>44697</v>
      </c>
      <c r="AI204" s="181">
        <v>44721</v>
      </c>
      <c r="AJ204" s="181"/>
      <c r="AK204" s="181">
        <f ca="1">TODAY()</f>
        <v>44958</v>
      </c>
      <c r="AL204" s="173">
        <f ca="1">IF(AI204&lt;&gt;0,AK204-AI204,0)</f>
        <v>237</v>
      </c>
      <c r="AM204" s="173" t="str">
        <f>IF(ISNUMBER(X204)=TRUE,AK204-X204,IF(X204="","",(AK204)-(MID(RIGHT(X204,10),4,2)&amp;"/"&amp;LEFT((RIGHT(X204,10)),2)&amp;"/"&amp;RIGHT(X204,4))))</f>
        <v/>
      </c>
      <c r="AN204" s="181" t="s">
        <v>929</v>
      </c>
      <c r="AO204" s="190" t="s">
        <v>974</v>
      </c>
      <c r="AP204" s="176">
        <v>4.99</v>
      </c>
      <c r="AQ204" s="176">
        <v>5.03</v>
      </c>
      <c r="AR204" s="176">
        <v>5.0550000000000006</v>
      </c>
      <c r="AS204" s="176">
        <v>5.0600000000000005</v>
      </c>
      <c r="AT204" s="173" t="str">
        <f>IF(ISNUMBER(U204)=TRUE,AK204-U204,IF(U204="","",(AK204)-(MID(RIGHT(U204,10),4,2)&amp;"/"&amp;LEFT((RIGHT(U204,10)),2)&amp;"/"&amp;RIGHT(U204,4))))</f>
        <v/>
      </c>
      <c r="AU204" s="173">
        <v>440</v>
      </c>
      <c r="AW204" s="142" t="s">
        <v>123</v>
      </c>
    </row>
    <row r="205" spans="2:49" s="142" customFormat="1" ht="21" customHeight="1" x14ac:dyDescent="0.25">
      <c r="B205" s="173" t="str">
        <f>IF(C205="HOLD RM","HOLD RM",IF(C205="BAL","WIP",IF(C205="HOLD SLT","HOLD SLT",IF(C205="MILL","RM",IF(C205="RE SLT","WIP",IF(C205="RM","RM",IF(C205="RM BAL","RM",IF(C205="RM SLT","RM",IF(C205="RR","WIP",IF(C205="SKP","WIP",IF(C205="SLT","WIP",IF(C205="CTL","WIP",IF(C205="RM SLT RUST","RM SLT RUST",0)))))))))))))&amp;"-"&amp;G205&amp;"/"&amp;IF(H205="2B","2B",IF(H205="NO.1","1D",IF(H205="FH","FH",0)))&amp;"-"&amp;IF(J205="",(TEXT(I205,"0.00")),TEXT(J205,"0.00"))&amp;"X"&amp;M205</f>
        <v>RM-J3/1D-2.20X620</v>
      </c>
      <c r="C205" s="173" t="s">
        <v>48</v>
      </c>
      <c r="D205" s="173" t="s">
        <v>48</v>
      </c>
      <c r="E205" s="190" t="s">
        <v>979</v>
      </c>
      <c r="F205" s="190" t="s">
        <v>980</v>
      </c>
      <c r="G205" s="173" t="s">
        <v>34</v>
      </c>
      <c r="H205" s="173" t="s">
        <v>127</v>
      </c>
      <c r="I205" s="174">
        <v>2.2000000000000002</v>
      </c>
      <c r="J205" s="174"/>
      <c r="K205" s="174"/>
      <c r="L205" s="174"/>
      <c r="M205" s="191">
        <v>620</v>
      </c>
      <c r="N205" s="176">
        <v>5.0960000000000001</v>
      </c>
      <c r="O205" s="176"/>
      <c r="P205" s="177"/>
      <c r="Q205" s="178"/>
      <c r="R205" s="179"/>
      <c r="S205" s="179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80"/>
      <c r="AE205" s="173" t="s">
        <v>69</v>
      </c>
      <c r="AF205" s="181" t="s">
        <v>248</v>
      </c>
      <c r="AG205" s="181" t="s">
        <v>924</v>
      </c>
      <c r="AH205" s="181">
        <v>44697</v>
      </c>
      <c r="AI205" s="181">
        <v>44721</v>
      </c>
      <c r="AJ205" s="181"/>
      <c r="AK205" s="181">
        <f ca="1">TODAY()</f>
        <v>44958</v>
      </c>
      <c r="AL205" s="173">
        <f ca="1">IF(AI205&lt;&gt;0,AK205-AI205,0)</f>
        <v>237</v>
      </c>
      <c r="AM205" s="173" t="str">
        <f>IF(ISNUMBER(X205)=TRUE,AK205-X205,IF(X205="","",(AK205)-(MID(RIGHT(X205,10),4,2)&amp;"/"&amp;LEFT((RIGHT(X205,10)),2)&amp;"/"&amp;RIGHT(X205,4))))</f>
        <v/>
      </c>
      <c r="AN205" s="181" t="s">
        <v>948</v>
      </c>
      <c r="AO205" s="190" t="s">
        <v>974</v>
      </c>
      <c r="AP205" s="176">
        <v>5.0960000000000001</v>
      </c>
      <c r="AQ205" s="176">
        <v>5.1360000000000001</v>
      </c>
      <c r="AR205" s="176">
        <v>5.1610000000000005</v>
      </c>
      <c r="AS205" s="176">
        <v>5.1660000000000004</v>
      </c>
      <c r="AT205" s="173" t="str">
        <f>IF(ISNUMBER(U205)=TRUE,AK205-U205,IF(U205="","",(AK205)-(MID(RIGHT(U205,10),4,2)&amp;"/"&amp;LEFT((RIGHT(U205,10)),2)&amp;"/"&amp;RIGHT(U205,4))))</f>
        <v/>
      </c>
      <c r="AU205" s="173">
        <v>440</v>
      </c>
      <c r="AW205" s="142" t="s">
        <v>123</v>
      </c>
    </row>
    <row r="206" spans="2:49" s="142" customFormat="1" ht="21" customHeight="1" x14ac:dyDescent="0.25">
      <c r="B206" s="173" t="str">
        <f>IF(C206="HOLD RM","HOLD RM",IF(C206="BAL","WIP",IF(C206="HOLD SLT","HOLD SLT",IF(C206="MILL","RM",IF(C206="RE SLT","WIP",IF(C206="RM","RM",IF(C206="RM BAL","RM",IF(C206="RM SLT","RM",IF(C206="RR","WIP",IF(C206="SKP","WIP",IF(C206="SLT","WIP",IF(C206="CTL","WIP",IF(C206="RM SLT RUST","RM SLT RUST",0)))))))))))))&amp;"-"&amp;G206&amp;"/"&amp;IF(H206="2B","2B",IF(H206="NO.1","1D",IF(H206="FH","FH",0)))&amp;"-"&amp;IF(J206="",(TEXT(I206,"0.00")),TEXT(J206,"0.00"))&amp;"X"&amp;M206</f>
        <v>RM-J3/1D-2.20X620</v>
      </c>
      <c r="C206" s="173" t="s">
        <v>48</v>
      </c>
      <c r="D206" s="173" t="s">
        <v>48</v>
      </c>
      <c r="E206" s="190" t="s">
        <v>981</v>
      </c>
      <c r="F206" s="190" t="s">
        <v>982</v>
      </c>
      <c r="G206" s="173" t="s">
        <v>34</v>
      </c>
      <c r="H206" s="173" t="s">
        <v>127</v>
      </c>
      <c r="I206" s="174">
        <v>2.2000000000000002</v>
      </c>
      <c r="J206" s="174"/>
      <c r="K206" s="174"/>
      <c r="L206" s="174"/>
      <c r="M206" s="191">
        <v>620</v>
      </c>
      <c r="N206" s="176">
        <v>10.092000000000001</v>
      </c>
      <c r="O206" s="176"/>
      <c r="P206" s="177"/>
      <c r="Q206" s="178"/>
      <c r="R206" s="179"/>
      <c r="S206" s="179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80"/>
      <c r="AE206" s="173" t="s">
        <v>69</v>
      </c>
      <c r="AF206" s="181" t="s">
        <v>248</v>
      </c>
      <c r="AG206" s="181" t="s">
        <v>924</v>
      </c>
      <c r="AH206" s="181">
        <v>44697</v>
      </c>
      <c r="AI206" s="181">
        <v>44721</v>
      </c>
      <c r="AJ206" s="181"/>
      <c r="AK206" s="181">
        <f ca="1">TODAY()</f>
        <v>44958</v>
      </c>
      <c r="AL206" s="173">
        <f ca="1">IF(AI206&lt;&gt;0,AK206-AI206,0)</f>
        <v>237</v>
      </c>
      <c r="AM206" s="173" t="str">
        <f>IF(ISNUMBER(X206)=TRUE,AK206-X206,IF(X206="","",(AK206)-(MID(RIGHT(X206,10),4,2)&amp;"/"&amp;LEFT((RIGHT(X206,10)),2)&amp;"/"&amp;RIGHT(X206,4))))</f>
        <v/>
      </c>
      <c r="AN206" s="181" t="s">
        <v>952</v>
      </c>
      <c r="AO206" s="190" t="s">
        <v>983</v>
      </c>
      <c r="AP206" s="176">
        <v>10.092000000000001</v>
      </c>
      <c r="AQ206" s="176">
        <v>10.132</v>
      </c>
      <c r="AR206" s="176">
        <v>10.156999999999998</v>
      </c>
      <c r="AS206" s="176">
        <v>10.161999999999999</v>
      </c>
      <c r="AT206" s="173" t="str">
        <f>IF(ISNUMBER(U206)=TRUE,AK206-U206,IF(U206="","",(AK206)-(MID(RIGHT(U206,10),4,2)&amp;"/"&amp;LEFT((RIGHT(U206,10)),2)&amp;"/"&amp;RIGHT(U206,4))))</f>
        <v/>
      </c>
      <c r="AU206" s="173">
        <v>440</v>
      </c>
      <c r="AW206" s="142" t="s">
        <v>123</v>
      </c>
    </row>
    <row r="207" spans="2:49" s="142" customFormat="1" ht="21" customHeight="1" x14ac:dyDescent="0.25">
      <c r="B207" s="173" t="str">
        <f>IF(C207="HOLD RM","HOLD RM",IF(C207="BAL","WIP",IF(C207="HOLD SLT","HOLD SLT",IF(C207="MILL","RM",IF(C207="RE SLT","WIP",IF(C207="RM","RM",IF(C207="RM BAL","RM",IF(C207="RM SLT","RM",IF(C207="RR","WIP",IF(C207="SKP","WIP",IF(C207="SLT","WIP",IF(C207="CTL","WIP",IF(C207="RM SLT RUST","RM SLT RUST",0)))))))))))))&amp;"-"&amp;G207&amp;"/"&amp;IF(H207="2B","2B",IF(H207="NO.1","1D",IF(H207="FH","FH",0)))&amp;"-"&amp;IF(J207="",(TEXT(I207,"0.00")),TEXT(J207,"0.00"))&amp;"X"&amp;M207</f>
        <v>WIP-304/FH-0.30X761</v>
      </c>
      <c r="C207" s="173" t="s">
        <v>16</v>
      </c>
      <c r="D207" s="173" t="s">
        <v>16</v>
      </c>
      <c r="E207" s="190" t="s">
        <v>984</v>
      </c>
      <c r="F207" s="190" t="s">
        <v>985</v>
      </c>
      <c r="G207" s="173">
        <v>304</v>
      </c>
      <c r="H207" s="173" t="s">
        <v>70</v>
      </c>
      <c r="I207" s="174">
        <v>0.6</v>
      </c>
      <c r="J207" s="174">
        <v>0.3</v>
      </c>
      <c r="K207" s="174"/>
      <c r="L207" s="174"/>
      <c r="M207" s="191">
        <v>761</v>
      </c>
      <c r="N207" s="176">
        <v>1.62</v>
      </c>
      <c r="O207" s="176" t="s">
        <v>114</v>
      </c>
      <c r="P207" s="177"/>
      <c r="Q207" s="178" t="s">
        <v>115</v>
      </c>
      <c r="R207" s="178" t="s">
        <v>986</v>
      </c>
      <c r="S207" s="179"/>
      <c r="T207" s="177" t="s">
        <v>987</v>
      </c>
      <c r="U207" s="177"/>
      <c r="V207" s="177" t="s">
        <v>987</v>
      </c>
      <c r="W207" s="177"/>
      <c r="X207" s="177">
        <v>44775</v>
      </c>
      <c r="Y207" s="177"/>
      <c r="Z207" s="177" t="s">
        <v>988</v>
      </c>
      <c r="AA207" s="177"/>
      <c r="AB207" s="177"/>
      <c r="AC207" s="177"/>
      <c r="AD207" s="180" t="s">
        <v>989</v>
      </c>
      <c r="AE207" s="173" t="s">
        <v>69</v>
      </c>
      <c r="AF207" s="181" t="s">
        <v>142</v>
      </c>
      <c r="AG207" s="181" t="s">
        <v>990</v>
      </c>
      <c r="AH207" s="181"/>
      <c r="AI207" s="181">
        <v>44727</v>
      </c>
      <c r="AJ207" s="181"/>
      <c r="AK207" s="181">
        <f ca="1">TODAY()</f>
        <v>44958</v>
      </c>
      <c r="AL207" s="173">
        <f ca="1">IF(AI207&lt;&gt;0,AK207-AI207,0)</f>
        <v>231</v>
      </c>
      <c r="AM207" s="173">
        <f ca="1">IF(ISNUMBER(X207)=TRUE,AK207-X207,IF(X207="","",(AK207)-(MID(RIGHT(X207,10),4,2)&amp;"/"&amp;LEFT((RIGHT(X207,10)),2)&amp;"/"&amp;RIGHT(X207,4))))</f>
        <v>183</v>
      </c>
      <c r="AN207" s="181"/>
      <c r="AO207" s="190" t="s">
        <v>991</v>
      </c>
      <c r="AP207" s="176">
        <v>10.494999999999999</v>
      </c>
      <c r="AQ207" s="176">
        <v>10.504999999999999</v>
      </c>
      <c r="AR207" s="176">
        <v>10.529999999999998</v>
      </c>
      <c r="AS207" s="176">
        <v>10.534999999999998</v>
      </c>
      <c r="AT207" s="173" t="str">
        <f>IF(ISNUMBER(U207)=TRUE,AK207-U207,IF(U207="","",(AK207)-(MID(RIGHT(U207,10),4,2)&amp;"/"&amp;LEFT((RIGHT(U207,10)),2)&amp;"/"&amp;RIGHT(U207,4))))</f>
        <v/>
      </c>
      <c r="AU207" s="173">
        <v>441</v>
      </c>
      <c r="AW207" s="142" t="s">
        <v>123</v>
      </c>
    </row>
    <row r="208" spans="2:49" s="142" customFormat="1" ht="21" customHeight="1" x14ac:dyDescent="0.25">
      <c r="B208" s="173" t="str">
        <f>IF(C208="HOLD RM","HOLD RM",IF(C208="BAL","WIP",IF(C208="HOLD SLT","HOLD SLT",IF(C208="MILL","RM",IF(C208="RE SLT","WIP",IF(C208="RM","RM",IF(C208="RM BAL","RM",IF(C208="RM SLT","RM",IF(C208="RR","WIP",IF(C208="SKP","WIP",IF(C208="SLT","WIP",IF(C208="CTL","WIP",IF(C208="RM SLT RUST","RM SLT RUST",0)))))))))))))&amp;"-"&amp;G208&amp;"/"&amp;IF(H208="2B","2B",IF(H208="NO.1","1D",IF(H208="FH","FH",0)))&amp;"-"&amp;IF(J208="",(TEXT(I208,"0.00")),TEXT(J208,"0.00"))&amp;"X"&amp;M208</f>
        <v>RM-J3/1D-2.20X620</v>
      </c>
      <c r="C208" s="173" t="s">
        <v>48</v>
      </c>
      <c r="D208" s="173" t="s">
        <v>48</v>
      </c>
      <c r="E208" s="190" t="s">
        <v>992</v>
      </c>
      <c r="F208" s="190" t="s">
        <v>993</v>
      </c>
      <c r="G208" s="173" t="s">
        <v>34</v>
      </c>
      <c r="H208" s="173" t="s">
        <v>127</v>
      </c>
      <c r="I208" s="174">
        <v>2.2000000000000002</v>
      </c>
      <c r="J208" s="174"/>
      <c r="K208" s="174"/>
      <c r="L208" s="174"/>
      <c r="M208" s="191">
        <v>620</v>
      </c>
      <c r="N208" s="176">
        <v>10</v>
      </c>
      <c r="O208" s="176"/>
      <c r="P208" s="177"/>
      <c r="Q208" s="178"/>
      <c r="R208" s="179"/>
      <c r="S208" s="179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80"/>
      <c r="AE208" s="173" t="s">
        <v>69</v>
      </c>
      <c r="AF208" s="181" t="s">
        <v>119</v>
      </c>
      <c r="AG208" s="181" t="s">
        <v>994</v>
      </c>
      <c r="AH208" s="181">
        <v>44713</v>
      </c>
      <c r="AI208" s="181">
        <v>44747</v>
      </c>
      <c r="AJ208" s="181"/>
      <c r="AK208" s="181">
        <f ca="1">TODAY()</f>
        <v>44958</v>
      </c>
      <c r="AL208" s="173">
        <f ca="1">IF(AI208&lt;&gt;0,AK208-AI208,0)</f>
        <v>211</v>
      </c>
      <c r="AM208" s="173" t="str">
        <f>IF(ISNUMBER(X208)=TRUE,AK208-X208,IF(X208="","",(AK208)-(MID(RIGHT(X208,10),4,2)&amp;"/"&amp;LEFT((RIGHT(X208,10)),2)&amp;"/"&amp;RIGHT(X208,4))))</f>
        <v/>
      </c>
      <c r="AN208" s="181" t="s">
        <v>995</v>
      </c>
      <c r="AO208" s="190" t="s">
        <v>996</v>
      </c>
      <c r="AP208" s="176">
        <v>10</v>
      </c>
      <c r="AQ208" s="176">
        <v>10.02</v>
      </c>
      <c r="AR208" s="176">
        <v>10.044999999999998</v>
      </c>
      <c r="AS208" s="176">
        <v>10.049999999999999</v>
      </c>
      <c r="AT208" s="173" t="str">
        <f>IF(ISNUMBER(U208)=TRUE,AK208-U208,IF(U208="","",(AK208)-(MID(RIGHT(U208,10),4,2)&amp;"/"&amp;LEFT((RIGHT(U208,10)),2)&amp;"/"&amp;RIGHT(U208,4))))</f>
        <v/>
      </c>
      <c r="AU208" s="173">
        <v>442</v>
      </c>
      <c r="AW208" s="142" t="s">
        <v>123</v>
      </c>
    </row>
    <row r="209" spans="2:49" s="142" customFormat="1" ht="21" customHeight="1" x14ac:dyDescent="0.25">
      <c r="B209" s="173" t="str">
        <f>IF(C209="HOLD RM","HOLD RM",IF(C209="BAL","WIP",IF(C209="HOLD SLT","HOLD SLT",IF(C209="MILL","RM",IF(C209="RE SLT","WIP",IF(C209="RM","RM",IF(C209="RM BAL","RM",IF(C209="RM SLT","RM",IF(C209="RR","WIP",IF(C209="SKP","WIP",IF(C209="SLT","WIP",IF(C209="CTL","WIP",IF(C209="RM SLT RUST","RM SLT RUST",0)))))))))))))&amp;"-"&amp;G209&amp;"/"&amp;IF(H209="2B","2B",IF(H209="NO.1","1D",IF(H209="FH","FH",0)))&amp;"-"&amp;IF(J209="",(TEXT(I209,"0.00")),TEXT(J209,"0.00"))&amp;"X"&amp;M209</f>
        <v>RM-J3/1D-2.20X620</v>
      </c>
      <c r="C209" s="173" t="s">
        <v>48</v>
      </c>
      <c r="D209" s="173" t="s">
        <v>48</v>
      </c>
      <c r="E209" s="190" t="s">
        <v>997</v>
      </c>
      <c r="F209" s="190" t="s">
        <v>998</v>
      </c>
      <c r="G209" s="173" t="s">
        <v>34</v>
      </c>
      <c r="H209" s="173" t="s">
        <v>127</v>
      </c>
      <c r="I209" s="174">
        <v>2.2000000000000002</v>
      </c>
      <c r="J209" s="174"/>
      <c r="K209" s="174"/>
      <c r="L209" s="174"/>
      <c r="M209" s="191">
        <v>620</v>
      </c>
      <c r="N209" s="176">
        <v>10.012</v>
      </c>
      <c r="O209" s="176"/>
      <c r="P209" s="177"/>
      <c r="Q209" s="178"/>
      <c r="R209" s="179"/>
      <c r="S209" s="179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80"/>
      <c r="AE209" s="173" t="s">
        <v>69</v>
      </c>
      <c r="AF209" s="181" t="s">
        <v>119</v>
      </c>
      <c r="AG209" s="181" t="s">
        <v>994</v>
      </c>
      <c r="AH209" s="181">
        <v>44713</v>
      </c>
      <c r="AI209" s="181">
        <v>44747</v>
      </c>
      <c r="AJ209" s="181"/>
      <c r="AK209" s="181">
        <f ca="1">TODAY()</f>
        <v>44958</v>
      </c>
      <c r="AL209" s="173">
        <f ca="1">IF(AI209&lt;&gt;0,AK209-AI209,0)</f>
        <v>211</v>
      </c>
      <c r="AM209" s="173" t="str">
        <f>IF(ISNUMBER(X209)=TRUE,AK209-X209,IF(X209="","",(AK209)-(MID(RIGHT(X209,10),4,2)&amp;"/"&amp;LEFT((RIGHT(X209,10)),2)&amp;"/"&amp;RIGHT(X209,4))))</f>
        <v/>
      </c>
      <c r="AN209" s="181" t="s">
        <v>999</v>
      </c>
      <c r="AO209" s="190" t="s">
        <v>1000</v>
      </c>
      <c r="AP209" s="176">
        <v>10.012</v>
      </c>
      <c r="AQ209" s="176">
        <v>10.032</v>
      </c>
      <c r="AR209" s="176">
        <v>10.056999999999999</v>
      </c>
      <c r="AS209" s="176">
        <v>10.061999999999999</v>
      </c>
      <c r="AT209" s="173" t="str">
        <f>IF(ISNUMBER(U209)=TRUE,AK209-U209,IF(U209="","",(AK209)-(MID(RIGHT(U209,10),4,2)&amp;"/"&amp;LEFT((RIGHT(U209,10)),2)&amp;"/"&amp;RIGHT(U209,4))))</f>
        <v/>
      </c>
      <c r="AU209" s="173">
        <v>442</v>
      </c>
      <c r="AW209" s="142" t="s">
        <v>123</v>
      </c>
    </row>
    <row r="210" spans="2:49" s="142" customFormat="1" ht="21" customHeight="1" x14ac:dyDescent="0.25">
      <c r="B210" s="173" t="str">
        <f>IF(C210="HOLD RM","HOLD RM",IF(C210="BAL","WIP",IF(C210="HOLD SLT","HOLD SLT",IF(C210="MILL","RM",IF(C210="RE SLT","WIP",IF(C210="RM","RM",IF(C210="RM BAL","RM",IF(C210="RM SLT","RM",IF(C210="RR","WIP",IF(C210="SKP","WIP",IF(C210="SLT","WIP",IF(C210="CTL","WIP",IF(C210="RM SLT RUST","RM SLT RUST",0)))))))))))))&amp;"-"&amp;G210&amp;"/"&amp;IF(H210="2B","2B",IF(H210="NO.1","1D",IF(H210="FH","FH",0)))&amp;"-"&amp;IF(J210="",(TEXT(I210,"0.00")),TEXT(J210,"0.00"))&amp;"X"&amp;M210</f>
        <v>WIP-J3/FH-0.75X620</v>
      </c>
      <c r="C210" s="173" t="s">
        <v>16</v>
      </c>
      <c r="D210" s="173" t="s">
        <v>16</v>
      </c>
      <c r="E210" s="190" t="s">
        <v>1001</v>
      </c>
      <c r="F210" s="190" t="s">
        <v>1002</v>
      </c>
      <c r="G210" s="173" t="s">
        <v>34</v>
      </c>
      <c r="H210" s="173" t="s">
        <v>70</v>
      </c>
      <c r="I210" s="174">
        <v>2.2000000000000002</v>
      </c>
      <c r="J210" s="174">
        <v>0.75</v>
      </c>
      <c r="K210" s="174"/>
      <c r="L210" s="174"/>
      <c r="M210" s="191">
        <v>620</v>
      </c>
      <c r="N210" s="176">
        <v>10.11</v>
      </c>
      <c r="O210" s="176" t="s">
        <v>114</v>
      </c>
      <c r="P210" s="177"/>
      <c r="Q210" s="178" t="s">
        <v>295</v>
      </c>
      <c r="R210" s="179"/>
      <c r="S210" s="179"/>
      <c r="T210" s="177">
        <v>44785</v>
      </c>
      <c r="U210" s="177"/>
      <c r="V210" s="177">
        <v>44785</v>
      </c>
      <c r="W210" s="177"/>
      <c r="X210" s="177"/>
      <c r="Y210" s="177"/>
      <c r="Z210" s="177"/>
      <c r="AA210" s="177"/>
      <c r="AB210" s="177"/>
      <c r="AC210" s="177"/>
      <c r="AD210" s="180"/>
      <c r="AE210" s="173" t="s">
        <v>69</v>
      </c>
      <c r="AF210" s="181" t="s">
        <v>119</v>
      </c>
      <c r="AG210" s="181" t="s">
        <v>994</v>
      </c>
      <c r="AH210" s="181">
        <v>44713</v>
      </c>
      <c r="AI210" s="181">
        <v>44747</v>
      </c>
      <c r="AJ210" s="181"/>
      <c r="AK210" s="181">
        <f ca="1">TODAY()</f>
        <v>44958</v>
      </c>
      <c r="AL210" s="173">
        <f ca="1">IF(AI210&lt;&gt;0,AK210-AI210,0)</f>
        <v>211</v>
      </c>
      <c r="AM210" s="173" t="str">
        <f>IF(ISNUMBER(X210)=TRUE,AK210-X210,IF(X210="","",(AK210)-(MID(RIGHT(X210,10),4,2)&amp;"/"&amp;LEFT((RIGHT(X210,10)),2)&amp;"/"&amp;RIGHT(X210,4))))</f>
        <v/>
      </c>
      <c r="AN210" s="181" t="s">
        <v>1003</v>
      </c>
      <c r="AO210" s="190" t="s">
        <v>1004</v>
      </c>
      <c r="AP210" s="176">
        <v>10.1</v>
      </c>
      <c r="AQ210" s="176">
        <v>10.119999999999999</v>
      </c>
      <c r="AR210" s="176">
        <v>10.144999999999998</v>
      </c>
      <c r="AS210" s="176">
        <v>10.149999999999999</v>
      </c>
      <c r="AT210" s="173" t="str">
        <f>IF(ISNUMBER(U210)=TRUE,AK210-U210,IF(U210="","",(AK210)-(MID(RIGHT(U210,10),4,2)&amp;"/"&amp;LEFT((RIGHT(U210,10)),2)&amp;"/"&amp;RIGHT(U210,4))))</f>
        <v/>
      </c>
      <c r="AU210" s="173">
        <v>442</v>
      </c>
      <c r="AW210" s="142" t="s">
        <v>123</v>
      </c>
    </row>
    <row r="211" spans="2:49" s="142" customFormat="1" ht="21" customHeight="1" x14ac:dyDescent="0.25">
      <c r="B211" s="173" t="str">
        <f>IF(C211="HOLD RM","HOLD RM",IF(C211="BAL","WIP",IF(C211="HOLD SLT","HOLD SLT",IF(C211="MILL","RM",IF(C211="RE SLT","WIP",IF(C211="RM","RM",IF(C211="RM BAL","RM",IF(C211="RM SLT","RM",IF(C211="RR","WIP",IF(C211="SKP","WIP",IF(C211="SLT","WIP",IF(C211="CTL","WIP",IF(C211="RM SLT RUST","RM SLT RUST",0)))))))))))))&amp;"-"&amp;G211&amp;"/"&amp;IF(H211="2B","2B",IF(H211="NO.1","1D",IF(H211="FH","FH",0)))&amp;"-"&amp;IF(J211="",(TEXT(I211,"0.00")),TEXT(J211,"0.00"))&amp;"X"&amp;M211</f>
        <v>RM-J3/1D-2.20X620</v>
      </c>
      <c r="C211" s="173" t="s">
        <v>48</v>
      </c>
      <c r="D211" s="173" t="s">
        <v>48</v>
      </c>
      <c r="E211" s="190" t="s">
        <v>1005</v>
      </c>
      <c r="F211" s="190" t="s">
        <v>1006</v>
      </c>
      <c r="G211" s="173" t="s">
        <v>34</v>
      </c>
      <c r="H211" s="173" t="s">
        <v>127</v>
      </c>
      <c r="I211" s="174">
        <v>2.2000000000000002</v>
      </c>
      <c r="J211" s="174"/>
      <c r="K211" s="174"/>
      <c r="L211" s="174"/>
      <c r="M211" s="191">
        <v>620</v>
      </c>
      <c r="N211" s="176">
        <v>10.08</v>
      </c>
      <c r="O211" s="176"/>
      <c r="P211" s="177"/>
      <c r="Q211" s="178"/>
      <c r="R211" s="179"/>
      <c r="S211" s="179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80"/>
      <c r="AE211" s="173" t="s">
        <v>69</v>
      </c>
      <c r="AF211" s="181" t="s">
        <v>119</v>
      </c>
      <c r="AG211" s="181" t="s">
        <v>994</v>
      </c>
      <c r="AH211" s="181">
        <v>44713</v>
      </c>
      <c r="AI211" s="181">
        <v>44747</v>
      </c>
      <c r="AJ211" s="181"/>
      <c r="AK211" s="181">
        <f ca="1">TODAY()</f>
        <v>44958</v>
      </c>
      <c r="AL211" s="173">
        <f ca="1">IF(AI211&lt;&gt;0,AK211-AI211,0)</f>
        <v>211</v>
      </c>
      <c r="AM211" s="173" t="str">
        <f>IF(ISNUMBER(X211)=TRUE,AK211-X211,IF(X211="","",(AK211)-(MID(RIGHT(X211,10),4,2)&amp;"/"&amp;LEFT((RIGHT(X211,10)),2)&amp;"/"&amp;RIGHT(X211,4))))</f>
        <v/>
      </c>
      <c r="AN211" s="181" t="s">
        <v>999</v>
      </c>
      <c r="AO211" s="190" t="s">
        <v>1007</v>
      </c>
      <c r="AP211" s="176">
        <v>10.08</v>
      </c>
      <c r="AQ211" s="176">
        <v>10.1</v>
      </c>
      <c r="AR211" s="176">
        <v>10.124999999999998</v>
      </c>
      <c r="AS211" s="176">
        <v>10.129999999999999</v>
      </c>
      <c r="AT211" s="173" t="str">
        <f>IF(ISNUMBER(U211)=TRUE,AK211-U211,IF(U211="","",(AK211)-(MID(RIGHT(U211,10),4,2)&amp;"/"&amp;LEFT((RIGHT(U211,10)),2)&amp;"/"&amp;RIGHT(U211,4))))</f>
        <v/>
      </c>
      <c r="AU211" s="173">
        <v>442</v>
      </c>
      <c r="AW211" s="142" t="s">
        <v>123</v>
      </c>
    </row>
    <row r="212" spans="2:49" s="142" customFormat="1" ht="21" customHeight="1" x14ac:dyDescent="0.25">
      <c r="B212" s="173" t="str">
        <f>IF(C212="HOLD RM","HOLD RM",IF(C212="BAL","WIP",IF(C212="HOLD SLT","HOLD SLT",IF(C212="MILL","RM",IF(C212="RE SLT","WIP",IF(C212="RM","RM",IF(C212="RM BAL","RM",IF(C212="RM SLT","RM",IF(C212="RR","WIP",IF(C212="SKP","WIP",IF(C212="SLT","WIP",IF(C212="CTL","WIP",IF(C212="RM SLT RUST","RM SLT RUST",0)))))))))))))&amp;"-"&amp;G212&amp;"/"&amp;IF(H212="2B","2B",IF(H212="NO.1","1D",IF(H212="FH","FH",0)))&amp;"-"&amp;IF(J212="",(TEXT(I212,"0.00")),TEXT(J212,"0.00"))&amp;"X"&amp;M212</f>
        <v>RM-J3/1D-2.20X620</v>
      </c>
      <c r="C212" s="173" t="s">
        <v>48</v>
      </c>
      <c r="D212" s="173" t="s">
        <v>48</v>
      </c>
      <c r="E212" s="190" t="s">
        <v>1008</v>
      </c>
      <c r="F212" s="190" t="s">
        <v>1009</v>
      </c>
      <c r="G212" s="173" t="s">
        <v>34</v>
      </c>
      <c r="H212" s="173" t="s">
        <v>127</v>
      </c>
      <c r="I212" s="174">
        <v>2.2000000000000002</v>
      </c>
      <c r="J212" s="174"/>
      <c r="K212" s="174"/>
      <c r="L212" s="174"/>
      <c r="M212" s="191">
        <v>620</v>
      </c>
      <c r="N212" s="176">
        <v>10.09</v>
      </c>
      <c r="O212" s="176"/>
      <c r="P212" s="177"/>
      <c r="Q212" s="178"/>
      <c r="R212" s="179"/>
      <c r="S212" s="179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80"/>
      <c r="AE212" s="173" t="s">
        <v>69</v>
      </c>
      <c r="AF212" s="181" t="s">
        <v>119</v>
      </c>
      <c r="AG212" s="181" t="s">
        <v>994</v>
      </c>
      <c r="AH212" s="181">
        <v>44713</v>
      </c>
      <c r="AI212" s="181">
        <v>44747</v>
      </c>
      <c r="AJ212" s="181"/>
      <c r="AK212" s="181">
        <f ca="1">TODAY()</f>
        <v>44958</v>
      </c>
      <c r="AL212" s="173">
        <f ca="1">IF(AI212&lt;&gt;0,AK212-AI212,0)</f>
        <v>211</v>
      </c>
      <c r="AM212" s="173" t="str">
        <f>IF(ISNUMBER(X212)=TRUE,AK212-X212,IF(X212="","",(AK212)-(MID(RIGHT(X212,10),4,2)&amp;"/"&amp;LEFT((RIGHT(X212,10)),2)&amp;"/"&amp;RIGHT(X212,4))))</f>
        <v/>
      </c>
      <c r="AN212" s="181" t="s">
        <v>1010</v>
      </c>
      <c r="AO212" s="190" t="s">
        <v>1004</v>
      </c>
      <c r="AP212" s="176">
        <v>10.09</v>
      </c>
      <c r="AQ212" s="176">
        <v>10.11</v>
      </c>
      <c r="AR212" s="176">
        <v>10.134999999999998</v>
      </c>
      <c r="AS212" s="176">
        <v>10.139999999999999</v>
      </c>
      <c r="AT212" s="173" t="str">
        <f>IF(ISNUMBER(U212)=TRUE,AK212-U212,IF(U212="","",(AK212)-(MID(RIGHT(U212,10),4,2)&amp;"/"&amp;LEFT((RIGHT(U212,10)),2)&amp;"/"&amp;RIGHT(U212,4))))</f>
        <v/>
      </c>
      <c r="AU212" s="173">
        <v>442</v>
      </c>
      <c r="AW212" s="142" t="s">
        <v>123</v>
      </c>
    </row>
    <row r="213" spans="2:49" s="142" customFormat="1" ht="21" customHeight="1" x14ac:dyDescent="0.25">
      <c r="B213" s="173" t="str">
        <f>IF(C213="HOLD RM","HOLD RM",IF(C213="BAL","WIP",IF(C213="HOLD SLT","HOLD SLT",IF(C213="MILL","RM",IF(C213="RE SLT","WIP",IF(C213="RM","RM",IF(C213="RM BAL","RM",IF(C213="RM SLT","RM",IF(C213="RR","WIP",IF(C213="SKP","WIP",IF(C213="SLT","WIP",IF(C213="CTL","WIP",IF(C213="RM SLT RUST","RM SLT RUST",0)))))))))))))&amp;"-"&amp;G213&amp;"/"&amp;IF(H213="2B","2B",IF(H213="NO.1","1D",IF(H213="FH","FH",0)))&amp;"-"&amp;IF(J213="",(TEXT(I213,"0.00")),TEXT(J213,"0.00"))&amp;"X"&amp;M213</f>
        <v>RM-J3/1D-2.20X620</v>
      </c>
      <c r="C213" s="173" t="s">
        <v>48</v>
      </c>
      <c r="D213" s="173" t="s">
        <v>48</v>
      </c>
      <c r="E213" s="190" t="s">
        <v>1011</v>
      </c>
      <c r="F213" s="190" t="s">
        <v>1012</v>
      </c>
      <c r="G213" s="173" t="s">
        <v>34</v>
      </c>
      <c r="H213" s="173" t="s">
        <v>127</v>
      </c>
      <c r="I213" s="174">
        <v>2.2000000000000002</v>
      </c>
      <c r="J213" s="174"/>
      <c r="K213" s="174"/>
      <c r="L213" s="174"/>
      <c r="M213" s="191">
        <v>620</v>
      </c>
      <c r="N213" s="176">
        <v>10.039999999999999</v>
      </c>
      <c r="O213" s="176"/>
      <c r="P213" s="177"/>
      <c r="Q213" s="178"/>
      <c r="R213" s="179"/>
      <c r="S213" s="179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80"/>
      <c r="AE213" s="173" t="s">
        <v>69</v>
      </c>
      <c r="AF213" s="181" t="s">
        <v>119</v>
      </c>
      <c r="AG213" s="181" t="s">
        <v>994</v>
      </c>
      <c r="AH213" s="181">
        <v>44713</v>
      </c>
      <c r="AI213" s="181">
        <v>44747</v>
      </c>
      <c r="AJ213" s="181"/>
      <c r="AK213" s="181">
        <f ca="1">TODAY()</f>
        <v>44958</v>
      </c>
      <c r="AL213" s="173">
        <f ca="1">IF(AI213&lt;&gt;0,AK213-AI213,0)</f>
        <v>211</v>
      </c>
      <c r="AM213" s="173" t="str">
        <f>IF(ISNUMBER(X213)=TRUE,AK213-X213,IF(X213="","",(AK213)-(MID(RIGHT(X213,10),4,2)&amp;"/"&amp;LEFT((RIGHT(X213,10)),2)&amp;"/"&amp;RIGHT(X213,4))))</f>
        <v/>
      </c>
      <c r="AN213" s="181" t="s">
        <v>1013</v>
      </c>
      <c r="AO213" s="190" t="s">
        <v>1004</v>
      </c>
      <c r="AP213" s="176">
        <v>10.039999999999999</v>
      </c>
      <c r="AQ213" s="176">
        <v>10.059999999999999</v>
      </c>
      <c r="AR213" s="176">
        <v>10.084999999999997</v>
      </c>
      <c r="AS213" s="176">
        <v>10.089999999999998</v>
      </c>
      <c r="AT213" s="173" t="str">
        <f>IF(ISNUMBER(U213)=TRUE,AK213-U213,IF(U213="","",(AK213)-(MID(RIGHT(U213,10),4,2)&amp;"/"&amp;LEFT((RIGHT(U213,10)),2)&amp;"/"&amp;RIGHT(U213,4))))</f>
        <v/>
      </c>
      <c r="AU213" s="173">
        <v>442</v>
      </c>
      <c r="AW213" s="142" t="s">
        <v>123</v>
      </c>
    </row>
    <row r="214" spans="2:49" s="142" customFormat="1" ht="21" customHeight="1" x14ac:dyDescent="0.25">
      <c r="B214" s="173" t="str">
        <f>IF(C214="HOLD RM","HOLD RM",IF(C214="BAL","WIP",IF(C214="HOLD SLT","HOLD SLT",IF(C214="MILL","RM",IF(C214="RE SLT","WIP",IF(C214="RM","RM",IF(C214="RM BAL","RM",IF(C214="RM SLT","RM",IF(C214="RR","WIP",IF(C214="SKP","WIP",IF(C214="SLT","WIP",IF(C214="CTL","WIP",IF(C214="RM SLT RUST","RM SLT RUST",0)))))))))))))&amp;"-"&amp;G214&amp;"/"&amp;IF(H214="2B","2B",IF(H214="NO.1","1D",IF(H214="FH","FH",0)))&amp;"-"&amp;IF(J214="",(TEXT(I214,"0.00")),TEXT(J214,"0.00"))&amp;"X"&amp;M214</f>
        <v>RM-J3/1D-2.20X620</v>
      </c>
      <c r="C214" s="173" t="s">
        <v>48</v>
      </c>
      <c r="D214" s="173" t="s">
        <v>48</v>
      </c>
      <c r="E214" s="190" t="s">
        <v>1014</v>
      </c>
      <c r="F214" s="190" t="s">
        <v>1015</v>
      </c>
      <c r="G214" s="173" t="s">
        <v>34</v>
      </c>
      <c r="H214" s="173" t="s">
        <v>127</v>
      </c>
      <c r="I214" s="174">
        <v>2.2000000000000002</v>
      </c>
      <c r="J214" s="174"/>
      <c r="K214" s="174"/>
      <c r="L214" s="174"/>
      <c r="M214" s="191">
        <v>620</v>
      </c>
      <c r="N214" s="176">
        <v>10.039999999999999</v>
      </c>
      <c r="O214" s="176"/>
      <c r="P214" s="177"/>
      <c r="Q214" s="178"/>
      <c r="R214" s="179"/>
      <c r="S214" s="179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80"/>
      <c r="AE214" s="173" t="s">
        <v>69</v>
      </c>
      <c r="AF214" s="181" t="s">
        <v>119</v>
      </c>
      <c r="AG214" s="181" t="s">
        <v>994</v>
      </c>
      <c r="AH214" s="181">
        <v>44713</v>
      </c>
      <c r="AI214" s="181">
        <v>44747</v>
      </c>
      <c r="AJ214" s="181"/>
      <c r="AK214" s="181">
        <f ca="1">TODAY()</f>
        <v>44958</v>
      </c>
      <c r="AL214" s="173">
        <f ca="1">IF(AI214&lt;&gt;0,AK214-AI214,0)</f>
        <v>211</v>
      </c>
      <c r="AM214" s="173" t="str">
        <f>IF(ISNUMBER(X214)=TRUE,AK214-X214,IF(X214="","",(AK214)-(MID(RIGHT(X214,10),4,2)&amp;"/"&amp;LEFT((RIGHT(X214,10)),2)&amp;"/"&amp;RIGHT(X214,4))))</f>
        <v/>
      </c>
      <c r="AN214" s="181" t="s">
        <v>1016</v>
      </c>
      <c r="AO214" s="190" t="s">
        <v>1017</v>
      </c>
      <c r="AP214" s="176">
        <v>10.039999999999999</v>
      </c>
      <c r="AQ214" s="176">
        <v>10.059999999999999</v>
      </c>
      <c r="AR214" s="176">
        <v>10.084999999999997</v>
      </c>
      <c r="AS214" s="176">
        <v>10.089999999999998</v>
      </c>
      <c r="AT214" s="173" t="str">
        <f>IF(ISNUMBER(U214)=TRUE,AK214-U214,IF(U214="","",(AK214)-(MID(RIGHT(U214,10),4,2)&amp;"/"&amp;LEFT((RIGHT(U214,10)),2)&amp;"/"&amp;RIGHT(U214,4))))</f>
        <v/>
      </c>
      <c r="AU214" s="173">
        <v>442</v>
      </c>
      <c r="AW214" s="142" t="s">
        <v>123</v>
      </c>
    </row>
    <row r="215" spans="2:49" s="142" customFormat="1" ht="21" customHeight="1" x14ac:dyDescent="0.25">
      <c r="B215" s="173" t="str">
        <f>IF(C215="HOLD RM","HOLD RM",IF(C215="BAL","WIP",IF(C215="HOLD SLT","HOLD SLT",IF(C215="MILL","RM",IF(C215="RE SLT","WIP",IF(C215="RM","RM",IF(C215="RM BAL","RM",IF(C215="RM SLT","RM",IF(C215="RR","WIP",IF(C215="SKP","WIP",IF(C215="SLT","WIP",IF(C215="CTL","WIP",IF(C215="RM SLT RUST","RM SLT RUST",0)))))))))))))&amp;"-"&amp;G215&amp;"/"&amp;IF(H215="2B","2B",IF(H215="NO.1","1D",IF(H215="FH","FH",0)))&amp;"-"&amp;IF(J215="",(TEXT(I215,"0.00")),TEXT(J215,"0.00"))&amp;"X"&amp;M215</f>
        <v>RM-J3/1D-2.20X620</v>
      </c>
      <c r="C215" s="173" t="s">
        <v>48</v>
      </c>
      <c r="D215" s="173" t="s">
        <v>48</v>
      </c>
      <c r="E215" s="190" t="s">
        <v>1018</v>
      </c>
      <c r="F215" s="190" t="s">
        <v>1019</v>
      </c>
      <c r="G215" s="173" t="s">
        <v>34</v>
      </c>
      <c r="H215" s="173" t="s">
        <v>127</v>
      </c>
      <c r="I215" s="174">
        <v>2.2000000000000002</v>
      </c>
      <c r="J215" s="174"/>
      <c r="K215" s="174"/>
      <c r="L215" s="174"/>
      <c r="M215" s="191">
        <v>620</v>
      </c>
      <c r="N215" s="176">
        <v>10.065</v>
      </c>
      <c r="O215" s="176"/>
      <c r="P215" s="177"/>
      <c r="Q215" s="178"/>
      <c r="R215" s="179"/>
      <c r="S215" s="179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80"/>
      <c r="AE215" s="173" t="s">
        <v>69</v>
      </c>
      <c r="AF215" s="181" t="s">
        <v>119</v>
      </c>
      <c r="AG215" s="181" t="s">
        <v>994</v>
      </c>
      <c r="AH215" s="181">
        <v>44713</v>
      </c>
      <c r="AI215" s="181">
        <v>44747</v>
      </c>
      <c r="AJ215" s="181"/>
      <c r="AK215" s="181">
        <f ca="1">TODAY()</f>
        <v>44958</v>
      </c>
      <c r="AL215" s="173">
        <f ca="1">IF(AI215&lt;&gt;0,AK215-AI215,0)</f>
        <v>211</v>
      </c>
      <c r="AM215" s="173" t="str">
        <f>IF(ISNUMBER(X215)=TRUE,AK215-X215,IF(X215="","",(AK215)-(MID(RIGHT(X215,10),4,2)&amp;"/"&amp;LEFT((RIGHT(X215,10)),2)&amp;"/"&amp;RIGHT(X215,4))))</f>
        <v/>
      </c>
      <c r="AN215" s="181" t="s">
        <v>1013</v>
      </c>
      <c r="AO215" s="190" t="s">
        <v>1020</v>
      </c>
      <c r="AP215" s="176">
        <v>10.065</v>
      </c>
      <c r="AQ215" s="176">
        <v>10.084999999999999</v>
      </c>
      <c r="AR215" s="176">
        <v>10.109999999999998</v>
      </c>
      <c r="AS215" s="176">
        <v>10.114999999999998</v>
      </c>
      <c r="AT215" s="173" t="str">
        <f>IF(ISNUMBER(U215)=TRUE,AK215-U215,IF(U215="","",(AK215)-(MID(RIGHT(U215,10),4,2)&amp;"/"&amp;LEFT((RIGHT(U215,10)),2)&amp;"/"&amp;RIGHT(U215,4))))</f>
        <v/>
      </c>
      <c r="AU215" s="173">
        <v>442</v>
      </c>
      <c r="AW215" s="142" t="s">
        <v>123</v>
      </c>
    </row>
    <row r="216" spans="2:49" s="142" customFormat="1" ht="21" customHeight="1" x14ac:dyDescent="0.25">
      <c r="B216" s="173" t="str">
        <f>IF(C216="HOLD RM","HOLD RM",IF(C216="BAL","WIP",IF(C216="HOLD SLT","HOLD SLT",IF(C216="MILL","RM",IF(C216="RE SLT","WIP",IF(C216="RM","RM",IF(C216="RM BAL","RM",IF(C216="RM SLT","RM",IF(C216="RR","WIP",IF(C216="SKP","WIP",IF(C216="SLT","WIP",IF(C216="CTL","WIP",IF(C216="RM SLT RUST","RM SLT RUST",0)))))))))))))&amp;"-"&amp;G216&amp;"/"&amp;IF(H216="2B","2B",IF(H216="NO.1","1D",IF(H216="FH","FH",0)))&amp;"-"&amp;IF(J216="",(TEXT(I216,"0.00")),TEXT(J216,"0.00"))&amp;"X"&amp;M216</f>
        <v>RM-J3/1D-2.20X620</v>
      </c>
      <c r="C216" s="173" t="s">
        <v>48</v>
      </c>
      <c r="D216" s="173" t="s">
        <v>48</v>
      </c>
      <c r="E216" s="190" t="s">
        <v>1021</v>
      </c>
      <c r="F216" s="190" t="s">
        <v>1022</v>
      </c>
      <c r="G216" s="173" t="s">
        <v>34</v>
      </c>
      <c r="H216" s="173" t="s">
        <v>127</v>
      </c>
      <c r="I216" s="174">
        <v>2.2000000000000002</v>
      </c>
      <c r="J216" s="174"/>
      <c r="K216" s="174"/>
      <c r="L216" s="174"/>
      <c r="M216" s="191">
        <v>620</v>
      </c>
      <c r="N216" s="176">
        <v>10.06</v>
      </c>
      <c r="O216" s="176"/>
      <c r="P216" s="177"/>
      <c r="Q216" s="178"/>
      <c r="R216" s="179"/>
      <c r="S216" s="179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80"/>
      <c r="AE216" s="173" t="s">
        <v>69</v>
      </c>
      <c r="AF216" s="181" t="s">
        <v>119</v>
      </c>
      <c r="AG216" s="181" t="s">
        <v>994</v>
      </c>
      <c r="AH216" s="181">
        <v>44713</v>
      </c>
      <c r="AI216" s="181">
        <v>44747</v>
      </c>
      <c r="AJ216" s="181"/>
      <c r="AK216" s="181">
        <f ca="1">TODAY()</f>
        <v>44958</v>
      </c>
      <c r="AL216" s="173">
        <f ca="1">IF(AI216&lt;&gt;0,AK216-AI216,0)</f>
        <v>211</v>
      </c>
      <c r="AM216" s="173" t="str">
        <f>IF(ISNUMBER(X216)=TRUE,AK216-X216,IF(X216="","",(AK216)-(MID(RIGHT(X216,10),4,2)&amp;"/"&amp;LEFT((RIGHT(X216,10)),2)&amp;"/"&amp;RIGHT(X216,4))))</f>
        <v/>
      </c>
      <c r="AN216" s="181" t="s">
        <v>1023</v>
      </c>
      <c r="AO216" s="190" t="s">
        <v>1024</v>
      </c>
      <c r="AP216" s="176">
        <v>10.06</v>
      </c>
      <c r="AQ216" s="176">
        <v>10.08</v>
      </c>
      <c r="AR216" s="176">
        <v>10.104999999999999</v>
      </c>
      <c r="AS216" s="176">
        <v>10.11</v>
      </c>
      <c r="AT216" s="173" t="str">
        <f>IF(ISNUMBER(U216)=TRUE,AK216-U216,IF(U216="","",(AK216)-(MID(RIGHT(U216,10),4,2)&amp;"/"&amp;LEFT((RIGHT(U216,10)),2)&amp;"/"&amp;RIGHT(U216,4))))</f>
        <v/>
      </c>
      <c r="AU216" s="173">
        <v>442</v>
      </c>
      <c r="AW216" s="142" t="s">
        <v>123</v>
      </c>
    </row>
    <row r="217" spans="2:49" s="142" customFormat="1" ht="21" customHeight="1" x14ac:dyDescent="0.25">
      <c r="B217" s="173" t="str">
        <f>IF(C217="HOLD RM","HOLD RM",IF(C217="BAL","WIP",IF(C217="HOLD SLT","HOLD SLT",IF(C217="MILL","RM",IF(C217="RE SLT","WIP",IF(C217="RM","RM",IF(C217="RM BAL","RM",IF(C217="RM SLT","RM",IF(C217="RR","WIP",IF(C217="SKP","WIP",IF(C217="SLT","WIP",IF(C217="CTL","WIP",IF(C217="RM SLT RUST","RM SLT RUST",0)))))))))))))&amp;"-"&amp;G217&amp;"/"&amp;IF(H217="2B","2B",IF(H217="NO.1","1D",IF(H217="FH","FH",0)))&amp;"-"&amp;IF(J217="",(TEXT(I217,"0.00")),TEXT(J217,"0.00"))&amp;"X"&amp;M217</f>
        <v>RM-J3/1D-2.20X620</v>
      </c>
      <c r="C217" s="173" t="s">
        <v>48</v>
      </c>
      <c r="D217" s="173" t="s">
        <v>48</v>
      </c>
      <c r="E217" s="190" t="s">
        <v>1025</v>
      </c>
      <c r="F217" s="190" t="s">
        <v>1026</v>
      </c>
      <c r="G217" s="173" t="s">
        <v>34</v>
      </c>
      <c r="H217" s="173" t="s">
        <v>127</v>
      </c>
      <c r="I217" s="174">
        <v>2.2000000000000002</v>
      </c>
      <c r="J217" s="174"/>
      <c r="K217" s="174"/>
      <c r="L217" s="174"/>
      <c r="M217" s="191">
        <v>620</v>
      </c>
      <c r="N217" s="176">
        <v>10.06</v>
      </c>
      <c r="O217" s="176"/>
      <c r="P217" s="177"/>
      <c r="Q217" s="178"/>
      <c r="R217" s="179"/>
      <c r="S217" s="179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80"/>
      <c r="AE217" s="173" t="s">
        <v>69</v>
      </c>
      <c r="AF217" s="181" t="s">
        <v>119</v>
      </c>
      <c r="AG217" s="181" t="s">
        <v>994</v>
      </c>
      <c r="AH217" s="181">
        <v>44713</v>
      </c>
      <c r="AI217" s="181">
        <v>44747</v>
      </c>
      <c r="AJ217" s="181"/>
      <c r="AK217" s="181">
        <f ca="1">TODAY()</f>
        <v>44958</v>
      </c>
      <c r="AL217" s="173">
        <f ca="1">IF(AI217&lt;&gt;0,AK217-AI217,0)</f>
        <v>211</v>
      </c>
      <c r="AM217" s="173" t="str">
        <f>IF(ISNUMBER(X217)=TRUE,AK217-X217,IF(X217="","",(AK217)-(MID(RIGHT(X217,10),4,2)&amp;"/"&amp;LEFT((RIGHT(X217,10)),2)&amp;"/"&amp;RIGHT(X217,4))))</f>
        <v/>
      </c>
      <c r="AN217" s="181" t="s">
        <v>1027</v>
      </c>
      <c r="AO217" s="190" t="s">
        <v>1024</v>
      </c>
      <c r="AP217" s="176">
        <v>10.06</v>
      </c>
      <c r="AQ217" s="176">
        <v>10.08</v>
      </c>
      <c r="AR217" s="176">
        <v>10.104999999999999</v>
      </c>
      <c r="AS217" s="176">
        <v>10.11</v>
      </c>
      <c r="AT217" s="173" t="str">
        <f>IF(ISNUMBER(U217)=TRUE,AK217-U217,IF(U217="","",(AK217)-(MID(RIGHT(U217,10),4,2)&amp;"/"&amp;LEFT((RIGHT(U217,10)),2)&amp;"/"&amp;RIGHT(U217,4))))</f>
        <v/>
      </c>
      <c r="AU217" s="173">
        <v>442</v>
      </c>
      <c r="AW217" s="142" t="s">
        <v>123</v>
      </c>
    </row>
    <row r="218" spans="2:49" s="142" customFormat="1" ht="21" customHeight="1" x14ac:dyDescent="0.25">
      <c r="B218" s="173" t="str">
        <f>IF(C218="HOLD RM","HOLD RM",IF(C218="BAL","WIP",IF(C218="HOLD SLT","HOLD SLT",IF(C218="MILL","RM",IF(C218="RE SLT","WIP",IF(C218="RM","RM",IF(C218="RM BAL","RM",IF(C218="RM SLT","RM",IF(C218="RR","WIP",IF(C218="SKP","WIP",IF(C218="SLT","WIP",IF(C218="CTL","WIP",IF(C218="RM SLT RUST","RM SLT RUST",0)))))))))))))&amp;"-"&amp;G218&amp;"/"&amp;IF(H218="2B","2B",IF(H218="NO.1","1D",IF(H218="FH","FH",0)))&amp;"-"&amp;IF(J218="",(TEXT(I218,"0.00")),TEXT(J218,"0.00"))&amp;"X"&amp;M218</f>
        <v>RM-J3/1D-2.20X620</v>
      </c>
      <c r="C218" s="173" t="s">
        <v>48</v>
      </c>
      <c r="D218" s="173" t="s">
        <v>48</v>
      </c>
      <c r="E218" s="190" t="s">
        <v>1028</v>
      </c>
      <c r="F218" s="190" t="s">
        <v>1029</v>
      </c>
      <c r="G218" s="173" t="s">
        <v>34</v>
      </c>
      <c r="H218" s="173" t="s">
        <v>127</v>
      </c>
      <c r="I218" s="174">
        <v>2.2000000000000002</v>
      </c>
      <c r="J218" s="174"/>
      <c r="K218" s="174"/>
      <c r="L218" s="174"/>
      <c r="M218" s="191">
        <v>620</v>
      </c>
      <c r="N218" s="176">
        <v>10.044</v>
      </c>
      <c r="O218" s="176"/>
      <c r="P218" s="177"/>
      <c r="Q218" s="178"/>
      <c r="R218" s="179"/>
      <c r="S218" s="179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80"/>
      <c r="AE218" s="173" t="s">
        <v>69</v>
      </c>
      <c r="AF218" s="181" t="s">
        <v>119</v>
      </c>
      <c r="AG218" s="181" t="s">
        <v>994</v>
      </c>
      <c r="AH218" s="181">
        <v>44713</v>
      </c>
      <c r="AI218" s="181">
        <v>44747</v>
      </c>
      <c r="AJ218" s="181"/>
      <c r="AK218" s="181">
        <f ca="1">TODAY()</f>
        <v>44958</v>
      </c>
      <c r="AL218" s="173">
        <f ca="1">IF(AI218&lt;&gt;0,AK218-AI218,0)</f>
        <v>211</v>
      </c>
      <c r="AM218" s="173" t="str">
        <f>IF(ISNUMBER(X218)=TRUE,AK218-X218,IF(X218="","",(AK218)-(MID(RIGHT(X218,10),4,2)&amp;"/"&amp;LEFT((RIGHT(X218,10)),2)&amp;"/"&amp;RIGHT(X218,4))))</f>
        <v/>
      </c>
      <c r="AN218" s="181" t="s">
        <v>1030</v>
      </c>
      <c r="AO218" s="190" t="s">
        <v>1031</v>
      </c>
      <c r="AP218" s="176">
        <v>10.044</v>
      </c>
      <c r="AQ218" s="176">
        <v>10.064</v>
      </c>
      <c r="AR218" s="176">
        <v>10.088999999999999</v>
      </c>
      <c r="AS218" s="176">
        <v>10.093999999999999</v>
      </c>
      <c r="AT218" s="173" t="str">
        <f>IF(ISNUMBER(U218)=TRUE,AK218-U218,IF(U218="","",(AK218)-(MID(RIGHT(U218,10),4,2)&amp;"/"&amp;LEFT((RIGHT(U218,10)),2)&amp;"/"&amp;RIGHT(U218,4))))</f>
        <v/>
      </c>
      <c r="AU218" s="173">
        <v>442</v>
      </c>
      <c r="AW218" s="142" t="s">
        <v>123</v>
      </c>
    </row>
    <row r="219" spans="2:49" s="142" customFormat="1" ht="21" customHeight="1" x14ac:dyDescent="0.25">
      <c r="B219" s="173" t="str">
        <f>IF(C219="HOLD RM","HOLD RM",IF(C219="BAL","WIP",IF(C219="HOLD SLT","HOLD SLT",IF(C219="MILL","RM",IF(C219="RE SLT","WIP",IF(C219="RM","RM",IF(C219="RM BAL","RM",IF(C219="RM SLT","RM",IF(C219="RR","WIP",IF(C219="SKP","WIP",IF(C219="SLT","WIP",IF(C219="CTL","WIP",IF(C219="RM SLT RUST","RM SLT RUST",0)))))))))))))&amp;"-"&amp;G219&amp;"/"&amp;IF(H219="2B","2B",IF(H219="NO.1","1D",IF(H219="FH","FH",0)))&amp;"-"&amp;IF(J219="",(TEXT(I219,"0.00")),TEXT(J219,"0.00"))&amp;"X"&amp;M219</f>
        <v>RM-J3/1D-2.20X620</v>
      </c>
      <c r="C219" s="173" t="s">
        <v>48</v>
      </c>
      <c r="D219" s="173" t="s">
        <v>48</v>
      </c>
      <c r="E219" s="190" t="s">
        <v>1032</v>
      </c>
      <c r="F219" s="190" t="s">
        <v>1033</v>
      </c>
      <c r="G219" s="173" t="s">
        <v>34</v>
      </c>
      <c r="H219" s="173" t="s">
        <v>127</v>
      </c>
      <c r="I219" s="174">
        <v>2.2000000000000002</v>
      </c>
      <c r="J219" s="174"/>
      <c r="K219" s="174"/>
      <c r="L219" s="174"/>
      <c r="M219" s="191">
        <v>620</v>
      </c>
      <c r="N219" s="176">
        <v>10.036</v>
      </c>
      <c r="O219" s="176"/>
      <c r="P219" s="177"/>
      <c r="Q219" s="178"/>
      <c r="R219" s="179"/>
      <c r="S219" s="179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80"/>
      <c r="AE219" s="173" t="s">
        <v>69</v>
      </c>
      <c r="AF219" s="181" t="s">
        <v>119</v>
      </c>
      <c r="AG219" s="181" t="s">
        <v>994</v>
      </c>
      <c r="AH219" s="181">
        <v>44713</v>
      </c>
      <c r="AI219" s="181">
        <v>44747</v>
      </c>
      <c r="AJ219" s="181"/>
      <c r="AK219" s="181">
        <f ca="1">TODAY()</f>
        <v>44958</v>
      </c>
      <c r="AL219" s="173">
        <f ca="1">IF(AI219&lt;&gt;0,AK219-AI219,0)</f>
        <v>211</v>
      </c>
      <c r="AM219" s="173" t="str">
        <f>IF(ISNUMBER(X219)=TRUE,AK219-X219,IF(X219="","",(AK219)-(MID(RIGHT(X219,10),4,2)&amp;"/"&amp;LEFT((RIGHT(X219,10)),2)&amp;"/"&amp;RIGHT(X219,4))))</f>
        <v/>
      </c>
      <c r="AN219" s="181" t="s">
        <v>1027</v>
      </c>
      <c r="AO219" s="190" t="s">
        <v>1031</v>
      </c>
      <c r="AP219" s="176">
        <v>10.036</v>
      </c>
      <c r="AQ219" s="176">
        <v>10.055999999999999</v>
      </c>
      <c r="AR219" s="176">
        <v>10.080999999999998</v>
      </c>
      <c r="AS219" s="176">
        <v>10.085999999999999</v>
      </c>
      <c r="AT219" s="173" t="str">
        <f>IF(ISNUMBER(U219)=TRUE,AK219-U219,IF(U219="","",(AK219)-(MID(RIGHT(U219,10),4,2)&amp;"/"&amp;LEFT((RIGHT(U219,10)),2)&amp;"/"&amp;RIGHT(U219,4))))</f>
        <v/>
      </c>
      <c r="AU219" s="173">
        <v>442</v>
      </c>
      <c r="AW219" s="142" t="s">
        <v>123</v>
      </c>
    </row>
    <row r="220" spans="2:49" s="142" customFormat="1" ht="21" customHeight="1" x14ac:dyDescent="0.25">
      <c r="B220" s="173" t="str">
        <f>IF(C220="HOLD RM","HOLD RM",IF(C220="BAL","WIP",IF(C220="HOLD SLT","HOLD SLT",IF(C220="MILL","RM",IF(C220="RE SLT","WIP",IF(C220="RM","RM",IF(C220="RM BAL","RM",IF(C220="RM SLT","RM",IF(C220="RR","WIP",IF(C220="SKP","WIP",IF(C220="SLT","WIP",IF(C220="CTL","WIP",IF(C220="RM SLT RUST","RM SLT RUST",0)))))))))))))&amp;"-"&amp;G220&amp;"/"&amp;IF(H220="2B","2B",IF(H220="NO.1","1D",IF(H220="FH","FH",0)))&amp;"-"&amp;IF(J220="",(TEXT(I220,"0.00")),TEXT(J220,"0.00"))&amp;"X"&amp;M220</f>
        <v>RM-J3/1D-2.20X620</v>
      </c>
      <c r="C220" s="173" t="s">
        <v>48</v>
      </c>
      <c r="D220" s="173" t="s">
        <v>48</v>
      </c>
      <c r="E220" s="190" t="s">
        <v>1034</v>
      </c>
      <c r="F220" s="190" t="s">
        <v>1035</v>
      </c>
      <c r="G220" s="173" t="s">
        <v>34</v>
      </c>
      <c r="H220" s="173" t="s">
        <v>127</v>
      </c>
      <c r="I220" s="174">
        <v>2.2000000000000002</v>
      </c>
      <c r="J220" s="174"/>
      <c r="K220" s="174"/>
      <c r="L220" s="174"/>
      <c r="M220" s="191">
        <v>620</v>
      </c>
      <c r="N220" s="176">
        <v>10.045999999999999</v>
      </c>
      <c r="O220" s="176"/>
      <c r="P220" s="177"/>
      <c r="Q220" s="178"/>
      <c r="R220" s="179"/>
      <c r="S220" s="179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80"/>
      <c r="AE220" s="173" t="s">
        <v>69</v>
      </c>
      <c r="AF220" s="181" t="s">
        <v>119</v>
      </c>
      <c r="AG220" s="181" t="s">
        <v>994</v>
      </c>
      <c r="AH220" s="181">
        <v>44713</v>
      </c>
      <c r="AI220" s="181">
        <v>44747</v>
      </c>
      <c r="AJ220" s="181"/>
      <c r="AK220" s="181">
        <f ca="1">TODAY()</f>
        <v>44958</v>
      </c>
      <c r="AL220" s="173">
        <f ca="1">IF(AI220&lt;&gt;0,AK220-AI220,0)</f>
        <v>211</v>
      </c>
      <c r="AM220" s="173" t="str">
        <f>IF(ISNUMBER(X220)=TRUE,AK220-X220,IF(X220="","",(AK220)-(MID(RIGHT(X220,10),4,2)&amp;"/"&amp;LEFT((RIGHT(X220,10)),2)&amp;"/"&amp;RIGHT(X220,4))))</f>
        <v/>
      </c>
      <c r="AN220" s="181" t="s">
        <v>1036</v>
      </c>
      <c r="AO220" s="190" t="s">
        <v>1037</v>
      </c>
      <c r="AP220" s="176">
        <v>10.045999999999999</v>
      </c>
      <c r="AQ220" s="176">
        <v>10.065999999999999</v>
      </c>
      <c r="AR220" s="176">
        <v>10.090999999999998</v>
      </c>
      <c r="AS220" s="176">
        <v>10.095999999999998</v>
      </c>
      <c r="AT220" s="173" t="str">
        <f>IF(ISNUMBER(U220)=TRUE,AK220-U220,IF(U220="","",(AK220)-(MID(RIGHT(U220,10),4,2)&amp;"/"&amp;LEFT((RIGHT(U220,10)),2)&amp;"/"&amp;RIGHT(U220,4))))</f>
        <v/>
      </c>
      <c r="AU220" s="173">
        <v>442</v>
      </c>
      <c r="AW220" s="142" t="s">
        <v>123</v>
      </c>
    </row>
    <row r="221" spans="2:49" s="142" customFormat="1" ht="21" customHeight="1" x14ac:dyDescent="0.25">
      <c r="B221" s="173" t="str">
        <f>IF(C221="HOLD RM","HOLD RM",IF(C221="BAL","WIP",IF(C221="HOLD SLT","HOLD SLT",IF(C221="MILL","RM",IF(C221="RE SLT","WIP",IF(C221="RM","RM",IF(C221="RM BAL","RM",IF(C221="RM SLT","RM",IF(C221="RR","WIP",IF(C221="SKP","WIP",IF(C221="SLT","WIP",IF(C221="CTL","WIP",IF(C221="RM SLT RUST","RM SLT RUST",0)))))))))))))&amp;"-"&amp;G221&amp;"/"&amp;IF(H221="2B","2B",IF(H221="NO.1","1D",IF(H221="FH","FH",0)))&amp;"-"&amp;IF(J221="",(TEXT(I221,"0.00")),TEXT(J221,"0.00"))&amp;"X"&amp;M221</f>
        <v>RM-J3/1D-2.20X620</v>
      </c>
      <c r="C221" s="173" t="s">
        <v>48</v>
      </c>
      <c r="D221" s="173" t="s">
        <v>48</v>
      </c>
      <c r="E221" s="190" t="s">
        <v>1038</v>
      </c>
      <c r="F221" s="190" t="s">
        <v>1039</v>
      </c>
      <c r="G221" s="173" t="s">
        <v>34</v>
      </c>
      <c r="H221" s="173" t="s">
        <v>127</v>
      </c>
      <c r="I221" s="174">
        <v>2.2000000000000002</v>
      </c>
      <c r="J221" s="174"/>
      <c r="K221" s="174"/>
      <c r="L221" s="174"/>
      <c r="M221" s="191">
        <v>620</v>
      </c>
      <c r="N221" s="176">
        <v>10.019</v>
      </c>
      <c r="O221" s="176"/>
      <c r="P221" s="177"/>
      <c r="Q221" s="178"/>
      <c r="R221" s="179"/>
      <c r="S221" s="179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80"/>
      <c r="AE221" s="173" t="s">
        <v>69</v>
      </c>
      <c r="AF221" s="181" t="s">
        <v>119</v>
      </c>
      <c r="AG221" s="181" t="s">
        <v>994</v>
      </c>
      <c r="AH221" s="181">
        <v>44713</v>
      </c>
      <c r="AI221" s="181">
        <v>44747</v>
      </c>
      <c r="AJ221" s="181"/>
      <c r="AK221" s="181">
        <f ca="1">TODAY()</f>
        <v>44958</v>
      </c>
      <c r="AL221" s="173">
        <f ca="1">IF(AI221&lt;&gt;0,AK221-AI221,0)</f>
        <v>211</v>
      </c>
      <c r="AM221" s="173" t="str">
        <f>IF(ISNUMBER(X221)=TRUE,AK221-X221,IF(X221="","",(AK221)-(MID(RIGHT(X221,10),4,2)&amp;"/"&amp;LEFT((RIGHT(X221,10)),2)&amp;"/"&amp;RIGHT(X221,4))))</f>
        <v/>
      </c>
      <c r="AN221" s="181" t="s">
        <v>1040</v>
      </c>
      <c r="AO221" s="190" t="s">
        <v>1037</v>
      </c>
      <c r="AP221" s="176">
        <v>10.019</v>
      </c>
      <c r="AQ221" s="176">
        <v>10.039</v>
      </c>
      <c r="AR221" s="176">
        <v>10.063999999999998</v>
      </c>
      <c r="AS221" s="176">
        <v>10.068999999999999</v>
      </c>
      <c r="AT221" s="173" t="str">
        <f>IF(ISNUMBER(U221)=TRUE,AK221-U221,IF(U221="","",(AK221)-(MID(RIGHT(U221,10),4,2)&amp;"/"&amp;LEFT((RIGHT(U221,10)),2)&amp;"/"&amp;RIGHT(U221,4))))</f>
        <v/>
      </c>
      <c r="AU221" s="173">
        <v>442</v>
      </c>
      <c r="AW221" s="142" t="s">
        <v>123</v>
      </c>
    </row>
    <row r="222" spans="2:49" s="142" customFormat="1" ht="21" customHeight="1" x14ac:dyDescent="0.25">
      <c r="B222" s="173" t="str">
        <f>IF(C222="HOLD RM","HOLD RM",IF(C222="BAL","WIP",IF(C222="HOLD SLT","HOLD SLT",IF(C222="MILL","RM",IF(C222="RE SLT","WIP",IF(C222="RM","RM",IF(C222="RM BAL","RM",IF(C222="RM SLT","RM",IF(C222="RR","WIP",IF(C222="SKP","WIP",IF(C222="SLT","WIP",IF(C222="CTL","WIP",IF(C222="RM SLT RUST","RM SLT RUST",0)))))))))))))&amp;"-"&amp;G222&amp;"/"&amp;IF(H222="2B","2B",IF(H222="NO.1","1D",IF(H222="FH","FH",0)))&amp;"-"&amp;IF(J222="",(TEXT(I222,"0.00")),TEXT(J222,"0.00"))&amp;"X"&amp;M222</f>
        <v>RM-J3/1D-2.20X620</v>
      </c>
      <c r="C222" s="173" t="s">
        <v>48</v>
      </c>
      <c r="D222" s="173" t="s">
        <v>48</v>
      </c>
      <c r="E222" s="190" t="s">
        <v>1041</v>
      </c>
      <c r="F222" s="190" t="s">
        <v>1042</v>
      </c>
      <c r="G222" s="173" t="s">
        <v>34</v>
      </c>
      <c r="H222" s="173" t="s">
        <v>127</v>
      </c>
      <c r="I222" s="174">
        <v>2.2000000000000002</v>
      </c>
      <c r="J222" s="174"/>
      <c r="K222" s="174"/>
      <c r="L222" s="174"/>
      <c r="M222" s="191">
        <v>620</v>
      </c>
      <c r="N222" s="176">
        <v>9.9130000000000003</v>
      </c>
      <c r="O222" s="176"/>
      <c r="P222" s="177"/>
      <c r="Q222" s="178"/>
      <c r="R222" s="179"/>
      <c r="S222" s="179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80"/>
      <c r="AE222" s="173" t="s">
        <v>69</v>
      </c>
      <c r="AF222" s="181" t="s">
        <v>119</v>
      </c>
      <c r="AG222" s="181" t="s">
        <v>994</v>
      </c>
      <c r="AH222" s="181">
        <v>44713</v>
      </c>
      <c r="AI222" s="181">
        <v>44747</v>
      </c>
      <c r="AJ222" s="181"/>
      <c r="AK222" s="181">
        <f ca="1">TODAY()</f>
        <v>44958</v>
      </c>
      <c r="AL222" s="173">
        <f ca="1">IF(AI222&lt;&gt;0,AK222-AI222,0)</f>
        <v>211</v>
      </c>
      <c r="AM222" s="173" t="str">
        <f>IF(ISNUMBER(X222)=TRUE,AK222-X222,IF(X222="","",(AK222)-(MID(RIGHT(X222,10),4,2)&amp;"/"&amp;LEFT((RIGHT(X222,10)),2)&amp;"/"&amp;RIGHT(X222,4))))</f>
        <v/>
      </c>
      <c r="AN222" s="181" t="s">
        <v>1043</v>
      </c>
      <c r="AO222" s="190" t="s">
        <v>1044</v>
      </c>
      <c r="AP222" s="176">
        <v>9.9130000000000003</v>
      </c>
      <c r="AQ222" s="176">
        <v>9.9329999999999998</v>
      </c>
      <c r="AR222" s="176">
        <v>9.9579999999999984</v>
      </c>
      <c r="AS222" s="176">
        <v>9.9629999999999992</v>
      </c>
      <c r="AT222" s="173" t="str">
        <f>IF(ISNUMBER(U222)=TRUE,AK222-U222,IF(U222="","",(AK222)-(MID(RIGHT(U222,10),4,2)&amp;"/"&amp;LEFT((RIGHT(U222,10)),2)&amp;"/"&amp;RIGHT(U222,4))))</f>
        <v/>
      </c>
      <c r="AU222" s="173">
        <v>442</v>
      </c>
      <c r="AW222" s="142" t="s">
        <v>123</v>
      </c>
    </row>
    <row r="223" spans="2:49" s="142" customFormat="1" ht="21" customHeight="1" x14ac:dyDescent="0.25">
      <c r="B223" s="173" t="str">
        <f>IF(C223="HOLD RM","HOLD RM",IF(C223="BAL","WIP",IF(C223="HOLD SLT","HOLD SLT",IF(C223="MILL","RM",IF(C223="RE SLT","WIP",IF(C223="RM","RM",IF(C223="RM BAL","RM",IF(C223="RM SLT","RM",IF(C223="RR","WIP",IF(C223="SKP","WIP",IF(C223="SLT","WIP",IF(C223="CTL","WIP",IF(C223="RM SLT RUST","RM SLT RUST",0)))))))))))))&amp;"-"&amp;G223&amp;"/"&amp;IF(H223="2B","2B",IF(H223="NO.1","1D",IF(H223="FH","FH",0)))&amp;"-"&amp;IF(J223="",(TEXT(I223,"0.00")),TEXT(J223,"0.00"))&amp;"X"&amp;M223</f>
        <v>RM-J3/1D-2.20X620</v>
      </c>
      <c r="C223" s="173" t="s">
        <v>48</v>
      </c>
      <c r="D223" s="173" t="s">
        <v>48</v>
      </c>
      <c r="E223" s="190" t="s">
        <v>1045</v>
      </c>
      <c r="F223" s="190" t="s">
        <v>1046</v>
      </c>
      <c r="G223" s="173" t="s">
        <v>34</v>
      </c>
      <c r="H223" s="173" t="s">
        <v>127</v>
      </c>
      <c r="I223" s="174">
        <v>2.2000000000000002</v>
      </c>
      <c r="J223" s="174"/>
      <c r="K223" s="174"/>
      <c r="L223" s="174"/>
      <c r="M223" s="191">
        <v>620</v>
      </c>
      <c r="N223" s="176">
        <v>9.8719999999999999</v>
      </c>
      <c r="O223" s="176"/>
      <c r="P223" s="177"/>
      <c r="Q223" s="178"/>
      <c r="R223" s="179"/>
      <c r="S223" s="179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80"/>
      <c r="AE223" s="173" t="s">
        <v>69</v>
      </c>
      <c r="AF223" s="181" t="s">
        <v>119</v>
      </c>
      <c r="AG223" s="181" t="s">
        <v>994</v>
      </c>
      <c r="AH223" s="181">
        <v>44713</v>
      </c>
      <c r="AI223" s="181">
        <v>44747</v>
      </c>
      <c r="AJ223" s="181"/>
      <c r="AK223" s="181">
        <f ca="1">TODAY()</f>
        <v>44958</v>
      </c>
      <c r="AL223" s="173">
        <f ca="1">IF(AI223&lt;&gt;0,AK223-AI223,0)</f>
        <v>211</v>
      </c>
      <c r="AM223" s="173" t="str">
        <f>IF(ISNUMBER(X223)=TRUE,AK223-X223,IF(X223="","",(AK223)-(MID(RIGHT(X223,10),4,2)&amp;"/"&amp;LEFT((RIGHT(X223,10)),2)&amp;"/"&amp;RIGHT(X223,4))))</f>
        <v/>
      </c>
      <c r="AN223" s="181" t="s">
        <v>1047</v>
      </c>
      <c r="AO223" s="190" t="s">
        <v>1044</v>
      </c>
      <c r="AP223" s="176">
        <v>9.8719999999999999</v>
      </c>
      <c r="AQ223" s="176">
        <v>9.8919999999999995</v>
      </c>
      <c r="AR223" s="176">
        <v>9.916999999999998</v>
      </c>
      <c r="AS223" s="176">
        <v>9.9219999999999988</v>
      </c>
      <c r="AT223" s="173" t="str">
        <f>IF(ISNUMBER(U223)=TRUE,AK223-U223,IF(U223="","",(AK223)-(MID(RIGHT(U223,10),4,2)&amp;"/"&amp;LEFT((RIGHT(U223,10)),2)&amp;"/"&amp;RIGHT(U223,4))))</f>
        <v/>
      </c>
      <c r="AU223" s="173">
        <v>442</v>
      </c>
      <c r="AW223" s="142" t="s">
        <v>123</v>
      </c>
    </row>
    <row r="224" spans="2:49" s="142" customFormat="1" ht="21" customHeight="1" x14ac:dyDescent="0.25">
      <c r="B224" s="173" t="str">
        <f>IF(C224="HOLD RM","HOLD RM",IF(C224="BAL","WIP",IF(C224="HOLD SLT","HOLD SLT",IF(C224="MILL","RM",IF(C224="RE SLT","WIP",IF(C224="RM","RM",IF(C224="RM BAL","RM",IF(C224="RM SLT","RM",IF(C224="RR","WIP",IF(C224="SKP","WIP",IF(C224="SLT","WIP",IF(C224="CTL","WIP",IF(C224="RM SLT RUST","RM SLT RUST",0)))))))))))))&amp;"-"&amp;G224&amp;"/"&amp;IF(H224="2B","2B",IF(H224="NO.1","1D",IF(H224="FH","FH",0)))&amp;"-"&amp;IF(J224="",(TEXT(I224,"0.00")),TEXT(J224,"0.00"))&amp;"X"&amp;M224</f>
        <v>HOLD SLT-304L/2B-0.50X770</v>
      </c>
      <c r="C224" s="173" t="s">
        <v>68</v>
      </c>
      <c r="D224" s="173" t="s">
        <v>68</v>
      </c>
      <c r="E224" s="190" t="s">
        <v>1048</v>
      </c>
      <c r="F224" s="190" t="s">
        <v>1049</v>
      </c>
      <c r="G224" s="173" t="s">
        <v>182</v>
      </c>
      <c r="H224" s="173" t="s">
        <v>114</v>
      </c>
      <c r="I224" s="174">
        <v>2.76</v>
      </c>
      <c r="J224" s="174">
        <v>0.5</v>
      </c>
      <c r="K224" s="174">
        <v>0.49</v>
      </c>
      <c r="L224" s="174">
        <v>0.5</v>
      </c>
      <c r="M224" s="191">
        <v>770</v>
      </c>
      <c r="N224" s="176">
        <v>6.1749999999999998</v>
      </c>
      <c r="O224" s="176" t="s">
        <v>114</v>
      </c>
      <c r="P224" s="177"/>
      <c r="Q224" s="178" t="s">
        <v>183</v>
      </c>
      <c r="R224" s="178" t="s">
        <v>1050</v>
      </c>
      <c r="S224" s="179" t="s">
        <v>1051</v>
      </c>
      <c r="T224" s="177">
        <v>44787</v>
      </c>
      <c r="U224" s="177"/>
      <c r="V224" s="177">
        <v>44788</v>
      </c>
      <c r="W224" s="177"/>
      <c r="X224" s="177">
        <v>44791</v>
      </c>
      <c r="Y224" s="177"/>
      <c r="Z224" s="177">
        <v>44791</v>
      </c>
      <c r="AA224" s="177"/>
      <c r="AB224" s="177"/>
      <c r="AC224" s="177"/>
      <c r="AD224" s="180" t="s">
        <v>1052</v>
      </c>
      <c r="AE224" s="173" t="s">
        <v>69</v>
      </c>
      <c r="AF224" s="181" t="s">
        <v>142</v>
      </c>
      <c r="AG224" s="181" t="s">
        <v>1053</v>
      </c>
      <c r="AH224" s="181"/>
      <c r="AI224" s="181">
        <v>44760</v>
      </c>
      <c r="AJ224" s="181"/>
      <c r="AK224" s="181">
        <f ca="1">TODAY()</f>
        <v>44958</v>
      </c>
      <c r="AL224" s="173">
        <f ca="1">IF(AI224&lt;&gt;0,AK224-AI224,0)</f>
        <v>198</v>
      </c>
      <c r="AM224" s="173">
        <f ca="1">IF(ISNUMBER(X224)=TRUE,AK224-X224,IF(X224="","",(AK224)-(MID(RIGHT(X224,10),4,2)&amp;"/"&amp;LEFT((RIGHT(X224,10)),2)&amp;"/"&amp;RIGHT(X224,4))))</f>
        <v>167</v>
      </c>
      <c r="AN224" s="181"/>
      <c r="AO224" s="190" t="s">
        <v>1054</v>
      </c>
      <c r="AP224" s="176">
        <v>10.435</v>
      </c>
      <c r="AQ224" s="176">
        <v>10.445</v>
      </c>
      <c r="AR224" s="176">
        <v>10.469999999999999</v>
      </c>
      <c r="AS224" s="176">
        <v>10.475</v>
      </c>
      <c r="AT224" s="173" t="str">
        <f>IF(ISNUMBER(U224)=TRUE,AK224-U224,IF(U224="","",(AK224)-(MID(RIGHT(U224,10),4,2)&amp;"/"&amp;LEFT((RIGHT(U224,10)),2)&amp;"/"&amp;RIGHT(U224,4))))</f>
        <v/>
      </c>
      <c r="AU224" s="173">
        <v>443</v>
      </c>
      <c r="AW224" s="142" t="s">
        <v>123</v>
      </c>
    </row>
    <row r="225" spans="2:49" s="142" customFormat="1" ht="21" customHeight="1" x14ac:dyDescent="0.25">
      <c r="B225" s="173" t="str">
        <f>IF(C225="HOLD RM","HOLD RM",IF(C225="BAL","WIP",IF(C225="HOLD SLT","HOLD SLT",IF(C225="MILL","RM",IF(C225="RE SLT","WIP",IF(C225="RM","RM",IF(C225="RM BAL","RM",IF(C225="RM SLT","RM",IF(C225="RR","WIP",IF(C225="SKP","WIP",IF(C225="SLT","WIP",IF(C225="CTL","WIP",IF(C225="RM SLT RUST","RM SLT RUST",0)))))))))))))&amp;"-"&amp;G225&amp;"/"&amp;IF(H225="2B","2B",IF(H225="NO.1","1D",IF(H225="FH","FH",0)))&amp;"-"&amp;IF(J225="",(TEXT(I225,"0.00")),TEXT(J225,"0.00"))&amp;"X"&amp;M225</f>
        <v>WIP-304L/FH-0.65X760</v>
      </c>
      <c r="C225" s="173" t="s">
        <v>16</v>
      </c>
      <c r="D225" s="173" t="s">
        <v>16</v>
      </c>
      <c r="E225" s="190" t="s">
        <v>1055</v>
      </c>
      <c r="F225" s="190" t="s">
        <v>1056</v>
      </c>
      <c r="G225" s="173" t="s">
        <v>182</v>
      </c>
      <c r="H225" s="173" t="s">
        <v>70</v>
      </c>
      <c r="I225" s="174">
        <v>0.95</v>
      </c>
      <c r="J225" s="174">
        <v>0.65</v>
      </c>
      <c r="K225" s="174"/>
      <c r="L225" s="174"/>
      <c r="M225" s="191">
        <v>760</v>
      </c>
      <c r="N225" s="176">
        <v>11.975</v>
      </c>
      <c r="O225" s="176" t="s">
        <v>114</v>
      </c>
      <c r="P225" s="177"/>
      <c r="Q225" s="178" t="s">
        <v>314</v>
      </c>
      <c r="R225" s="178" t="s">
        <v>1057</v>
      </c>
      <c r="S225" s="179" t="s">
        <v>1058</v>
      </c>
      <c r="T225" s="177" t="s">
        <v>1059</v>
      </c>
      <c r="U225" s="177"/>
      <c r="V225" s="177" t="s">
        <v>1059</v>
      </c>
      <c r="W225" s="177"/>
      <c r="X225" s="177">
        <v>44782</v>
      </c>
      <c r="Y225" s="177"/>
      <c r="Z225" s="177" t="s">
        <v>1060</v>
      </c>
      <c r="AA225" s="177"/>
      <c r="AB225" s="177"/>
      <c r="AC225" s="177"/>
      <c r="AD225" s="180" t="s">
        <v>1061</v>
      </c>
      <c r="AE225" s="173" t="s">
        <v>69</v>
      </c>
      <c r="AF225" s="181" t="s">
        <v>142</v>
      </c>
      <c r="AG225" s="181" t="s">
        <v>1053</v>
      </c>
      <c r="AH225" s="181"/>
      <c r="AI225" s="181">
        <v>44760</v>
      </c>
      <c r="AJ225" s="181"/>
      <c r="AK225" s="181">
        <f ca="1">TODAY()</f>
        <v>44958</v>
      </c>
      <c r="AL225" s="173">
        <f ca="1">IF(AI225&lt;&gt;0,AK225-AI225,0)</f>
        <v>198</v>
      </c>
      <c r="AM225" s="173">
        <f ca="1">IF(ISNUMBER(X225)=TRUE,AK225-X225,IF(X225="","",(AK225)-(MID(RIGHT(X225,10),4,2)&amp;"/"&amp;LEFT((RIGHT(X225,10)),2)&amp;"/"&amp;RIGHT(X225,4))))</f>
        <v>176</v>
      </c>
      <c r="AN225" s="181"/>
      <c r="AO225" s="190" t="s">
        <v>1062</v>
      </c>
      <c r="AP225" s="176">
        <v>12.11</v>
      </c>
      <c r="AQ225" s="176">
        <v>12.12</v>
      </c>
      <c r="AR225" s="176">
        <v>12.144999999999998</v>
      </c>
      <c r="AS225" s="176">
        <v>12.149999999999999</v>
      </c>
      <c r="AT225" s="173" t="str">
        <f>IF(ISNUMBER(U225)=TRUE,AK225-U225,IF(U225="","",(AK225)-(MID(RIGHT(U225,10),4,2)&amp;"/"&amp;LEFT((RIGHT(U225,10)),2)&amp;"/"&amp;RIGHT(U225,4))))</f>
        <v/>
      </c>
      <c r="AU225" s="173">
        <v>443</v>
      </c>
      <c r="AW225" s="142" t="s">
        <v>123</v>
      </c>
    </row>
    <row r="226" spans="2:49" s="142" customFormat="1" ht="21" customHeight="1" x14ac:dyDescent="0.25">
      <c r="B226" s="173" t="str">
        <f>IF(C226="HOLD RM","HOLD RM",IF(C226="BAL","WIP",IF(C226="HOLD SLT","HOLD SLT",IF(C226="MILL","RM",IF(C226="RE SLT","WIP",IF(C226="RM","RM",IF(C226="RM BAL","RM",IF(C226="RM SLT","RM",IF(C226="RR","WIP",IF(C226="SKP","WIP",IF(C226="SLT","WIP",IF(C226="CTL","WIP",IF(C226="RM SLT RUST","RM SLT RUST",0)))))))))))))&amp;"-"&amp;G226&amp;"/"&amp;IF(H226="2B","2B",IF(H226="NO.1","1D",IF(H226="FH","FH",0)))&amp;"-"&amp;IF(J226="",(TEXT(I226,"0.00")),TEXT(J226,"0.00"))&amp;"X"&amp;M226</f>
        <v>WIP-J3/FH-0.95X620</v>
      </c>
      <c r="C226" s="173" t="s">
        <v>16</v>
      </c>
      <c r="D226" s="173" t="s">
        <v>16</v>
      </c>
      <c r="E226" s="190" t="s">
        <v>1063</v>
      </c>
      <c r="F226" s="190" t="s">
        <v>1064</v>
      </c>
      <c r="G226" s="173" t="s">
        <v>34</v>
      </c>
      <c r="H226" s="173" t="s">
        <v>70</v>
      </c>
      <c r="I226" s="174">
        <v>2.4</v>
      </c>
      <c r="J226" s="174">
        <v>0.95</v>
      </c>
      <c r="K226" s="174"/>
      <c r="L226" s="174"/>
      <c r="M226" s="191">
        <v>620</v>
      </c>
      <c r="N226" s="176">
        <v>10.029999999999999</v>
      </c>
      <c r="O226" s="176" t="s">
        <v>114</v>
      </c>
      <c r="P226" s="177"/>
      <c r="Q226" s="178" t="s">
        <v>295</v>
      </c>
      <c r="R226" s="179"/>
      <c r="S226" s="179"/>
      <c r="T226" s="177">
        <v>44848</v>
      </c>
      <c r="U226" s="177"/>
      <c r="V226" s="177">
        <v>44848</v>
      </c>
      <c r="W226" s="177"/>
      <c r="X226" s="177"/>
      <c r="Y226" s="177"/>
      <c r="Z226" s="177"/>
      <c r="AA226" s="177"/>
      <c r="AB226" s="177"/>
      <c r="AC226" s="177"/>
      <c r="AD226" s="180"/>
      <c r="AE226" s="173" t="s">
        <v>69</v>
      </c>
      <c r="AF226" s="181" t="s">
        <v>1065</v>
      </c>
      <c r="AG226" s="181" t="s">
        <v>1066</v>
      </c>
      <c r="AH226" s="181">
        <v>44729</v>
      </c>
      <c r="AI226" s="181">
        <v>44767</v>
      </c>
      <c r="AJ226" s="181"/>
      <c r="AK226" s="181">
        <f ca="1">TODAY()</f>
        <v>44958</v>
      </c>
      <c r="AL226" s="173">
        <f ca="1">IF(AI226&lt;&gt;0,AK226-AI226,0)</f>
        <v>191</v>
      </c>
      <c r="AM226" s="173" t="str">
        <f>IF(ISNUMBER(X226)=TRUE,AK226-X226,IF(X226="","",(AK226)-(MID(RIGHT(X226,10),4,2)&amp;"/"&amp;LEFT((RIGHT(X226,10)),2)&amp;"/"&amp;RIGHT(X226,4))))</f>
        <v/>
      </c>
      <c r="AN226" s="181"/>
      <c r="AO226" s="190" t="s">
        <v>1067</v>
      </c>
      <c r="AP226" s="176">
        <v>10.02</v>
      </c>
      <c r="AQ226" s="176">
        <v>10.059999999999999</v>
      </c>
      <c r="AR226" s="176">
        <v>10.084999999999997</v>
      </c>
      <c r="AS226" s="176">
        <v>10.089999999999998</v>
      </c>
      <c r="AT226" s="173" t="str">
        <f>IF(ISNUMBER(U226)=TRUE,AK226-U226,IF(U226="","",(AK226)-(MID(RIGHT(U226,10),4,2)&amp;"/"&amp;LEFT((RIGHT(U226,10)),2)&amp;"/"&amp;RIGHT(U226,4))))</f>
        <v/>
      </c>
      <c r="AU226" s="173">
        <v>444</v>
      </c>
      <c r="AW226" s="142" t="s">
        <v>123</v>
      </c>
    </row>
    <row r="227" spans="2:49" s="142" customFormat="1" ht="21" customHeight="1" x14ac:dyDescent="0.25">
      <c r="B227" s="173" t="str">
        <f>IF(C227="HOLD RM","HOLD RM",IF(C227="BAL","WIP",IF(C227="HOLD SLT","HOLD SLT",IF(C227="MILL","RM",IF(C227="RE SLT","WIP",IF(C227="RM","RM",IF(C227="RM BAL","RM",IF(C227="RM SLT","RM",IF(C227="RR","WIP",IF(C227="SKP","WIP",IF(C227="SLT","WIP",IF(C227="CTL","WIP",IF(C227="RM SLT RUST","RM SLT RUST",0)))))))))))))&amp;"-"&amp;G227&amp;"/"&amp;IF(H227="2B","2B",IF(H227="NO.1","1D",IF(H227="FH","FH",0)))&amp;"-"&amp;IF(J227="",(TEXT(I227,"0.00")),TEXT(J227,"0.00"))&amp;"X"&amp;M227</f>
        <v>WIP-J3/FH-0.95X620</v>
      </c>
      <c r="C227" s="173" t="s">
        <v>16</v>
      </c>
      <c r="D227" s="173" t="s">
        <v>16</v>
      </c>
      <c r="E227" s="190" t="s">
        <v>1068</v>
      </c>
      <c r="F227" s="190" t="s">
        <v>1069</v>
      </c>
      <c r="G227" s="173" t="s">
        <v>34</v>
      </c>
      <c r="H227" s="173" t="s">
        <v>70</v>
      </c>
      <c r="I227" s="174">
        <v>2.4</v>
      </c>
      <c r="J227" s="174">
        <v>0.95</v>
      </c>
      <c r="K227" s="174"/>
      <c r="L227" s="174"/>
      <c r="M227" s="191">
        <v>620</v>
      </c>
      <c r="N227" s="176">
        <v>10</v>
      </c>
      <c r="O227" s="176" t="s">
        <v>114</v>
      </c>
      <c r="P227" s="177"/>
      <c r="Q227" s="178" t="s">
        <v>295</v>
      </c>
      <c r="R227" s="179"/>
      <c r="S227" s="179"/>
      <c r="T227" s="177">
        <v>44848</v>
      </c>
      <c r="U227" s="177"/>
      <c r="V227" s="177">
        <v>44848</v>
      </c>
      <c r="W227" s="177"/>
      <c r="X227" s="177"/>
      <c r="Y227" s="177"/>
      <c r="Z227" s="177"/>
      <c r="AA227" s="177"/>
      <c r="AB227" s="177"/>
      <c r="AC227" s="177"/>
      <c r="AD227" s="180"/>
      <c r="AE227" s="173" t="s">
        <v>69</v>
      </c>
      <c r="AF227" s="181" t="s">
        <v>1065</v>
      </c>
      <c r="AG227" s="181" t="s">
        <v>1066</v>
      </c>
      <c r="AH227" s="181">
        <v>44729</v>
      </c>
      <c r="AI227" s="181">
        <v>44767</v>
      </c>
      <c r="AJ227" s="181"/>
      <c r="AK227" s="181">
        <f ca="1">TODAY()</f>
        <v>44958</v>
      </c>
      <c r="AL227" s="173">
        <f ca="1">IF(AI227&lt;&gt;0,AK227-AI227,0)</f>
        <v>191</v>
      </c>
      <c r="AM227" s="173" t="str">
        <f>IF(ISNUMBER(X227)=TRUE,AK227-X227,IF(X227="","",(AK227)-(MID(RIGHT(X227,10),4,2)&amp;"/"&amp;LEFT((RIGHT(X227,10)),2)&amp;"/"&amp;RIGHT(X227,4))))</f>
        <v/>
      </c>
      <c r="AN227" s="181"/>
      <c r="AO227" s="190" t="s">
        <v>1067</v>
      </c>
      <c r="AP227" s="176">
        <v>10.01</v>
      </c>
      <c r="AQ227" s="176">
        <v>10.049999999999999</v>
      </c>
      <c r="AR227" s="176">
        <v>10.074999999999998</v>
      </c>
      <c r="AS227" s="176">
        <v>10.079999999999998</v>
      </c>
      <c r="AT227" s="173" t="str">
        <f>IF(ISNUMBER(U227)=TRUE,AK227-U227,IF(U227="","",(AK227)-(MID(RIGHT(U227,10),4,2)&amp;"/"&amp;LEFT((RIGHT(U227,10)),2)&amp;"/"&amp;RIGHT(U227,4))))</f>
        <v/>
      </c>
      <c r="AU227" s="173">
        <v>444</v>
      </c>
      <c r="AW227" s="142" t="s">
        <v>123</v>
      </c>
    </row>
    <row r="228" spans="2:49" s="142" customFormat="1" ht="21" customHeight="1" x14ac:dyDescent="0.25">
      <c r="B228" s="173" t="str">
        <f>IF(C228="HOLD RM","HOLD RM",IF(C228="BAL","WIP",IF(C228="HOLD SLT","HOLD SLT",IF(C228="MILL","RM",IF(C228="RE SLT","WIP",IF(C228="RM","RM",IF(C228="RM BAL","RM",IF(C228="RM SLT","RM",IF(C228="RR","WIP",IF(C228="SKP","WIP",IF(C228="SLT","WIP",IF(C228="CTL","WIP",IF(C228="RM SLT RUST","RM SLT RUST",0)))))))))))))&amp;"-"&amp;G228&amp;"/"&amp;IF(H228="2B","2B",IF(H228="NO.1","1D",IF(H228="FH","FH",0)))&amp;"-"&amp;IF(J228="",(TEXT(I228,"0.00")),TEXT(J228,"0.00"))&amp;"X"&amp;M228</f>
        <v>RM-J3/1D-2.20X620</v>
      </c>
      <c r="C228" s="173" t="s">
        <v>48</v>
      </c>
      <c r="D228" s="173" t="s">
        <v>48</v>
      </c>
      <c r="E228" s="190" t="s">
        <v>1070</v>
      </c>
      <c r="F228" s="190" t="s">
        <v>1071</v>
      </c>
      <c r="G228" s="173" t="s">
        <v>34</v>
      </c>
      <c r="H228" s="173" t="s">
        <v>127</v>
      </c>
      <c r="I228" s="174">
        <v>2.2000000000000002</v>
      </c>
      <c r="J228" s="174"/>
      <c r="K228" s="174"/>
      <c r="L228" s="174"/>
      <c r="M228" s="191">
        <v>620</v>
      </c>
      <c r="N228" s="176">
        <v>10.045999999999999</v>
      </c>
      <c r="O228" s="176"/>
      <c r="P228" s="177"/>
      <c r="Q228" s="178"/>
      <c r="R228" s="179"/>
      <c r="S228" s="179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80"/>
      <c r="AE228" s="173" t="s">
        <v>69</v>
      </c>
      <c r="AF228" s="181" t="s">
        <v>1065</v>
      </c>
      <c r="AG228" s="181" t="s">
        <v>1066</v>
      </c>
      <c r="AH228" s="181">
        <v>44729</v>
      </c>
      <c r="AI228" s="181">
        <v>44767</v>
      </c>
      <c r="AJ228" s="181"/>
      <c r="AK228" s="181">
        <f ca="1">TODAY()</f>
        <v>44958</v>
      </c>
      <c r="AL228" s="173">
        <f ca="1">IF(AI228&lt;&gt;0,AK228-AI228,0)</f>
        <v>191</v>
      </c>
      <c r="AM228" s="173" t="str">
        <f>IF(ISNUMBER(X228)=TRUE,AK228-X228,IF(X228="","",(AK228)-(MID(RIGHT(X228,10),4,2)&amp;"/"&amp;LEFT((RIGHT(X228,10)),2)&amp;"/"&amp;RIGHT(X228,4))))</f>
        <v/>
      </c>
      <c r="AN228" s="181"/>
      <c r="AO228" s="190" t="s">
        <v>1044</v>
      </c>
      <c r="AP228" s="176">
        <v>10.045999999999999</v>
      </c>
      <c r="AQ228" s="176">
        <v>10.085999999999999</v>
      </c>
      <c r="AR228" s="176">
        <v>10.110999999999997</v>
      </c>
      <c r="AS228" s="176">
        <v>10.115999999999998</v>
      </c>
      <c r="AT228" s="173" t="str">
        <f>IF(ISNUMBER(U228)=TRUE,AK228-U228,IF(U228="","",(AK228)-(MID(RIGHT(U228,10),4,2)&amp;"/"&amp;LEFT((RIGHT(U228,10)),2)&amp;"/"&amp;RIGHT(U228,4))))</f>
        <v/>
      </c>
      <c r="AU228" s="173">
        <v>444</v>
      </c>
      <c r="AW228" s="142" t="s">
        <v>123</v>
      </c>
    </row>
    <row r="229" spans="2:49" s="142" customFormat="1" ht="21" customHeight="1" x14ac:dyDescent="0.25">
      <c r="B229" s="173" t="str">
        <f>IF(C229="HOLD RM","HOLD RM",IF(C229="BAL","WIP",IF(C229="HOLD SLT","HOLD SLT",IF(C229="MILL","RM",IF(C229="RE SLT","WIP",IF(C229="RM","RM",IF(C229="RM BAL","RM",IF(C229="RM SLT","RM",IF(C229="RR","WIP",IF(C229="SKP","WIP",IF(C229="SLT","WIP",IF(C229="CTL","WIP",IF(C229="RM SLT RUST","RM SLT RUST",0)))))))))))))&amp;"-"&amp;G229&amp;"/"&amp;IF(H229="2B","2B",IF(H229="NO.1","1D",IF(H229="FH","FH",0)))&amp;"-"&amp;IF(J229="",(TEXT(I229,"0.00")),TEXT(J229,"0.00"))&amp;"X"&amp;M229</f>
        <v>WIP-J3/FH-0.75X620</v>
      </c>
      <c r="C229" s="173" t="s">
        <v>16</v>
      </c>
      <c r="D229" s="173" t="s">
        <v>16</v>
      </c>
      <c r="E229" s="190" t="s">
        <v>1072</v>
      </c>
      <c r="F229" s="190" t="s">
        <v>1073</v>
      </c>
      <c r="G229" s="173" t="s">
        <v>34</v>
      </c>
      <c r="H229" s="173" t="s">
        <v>70</v>
      </c>
      <c r="I229" s="174">
        <v>2.2000000000000002</v>
      </c>
      <c r="J229" s="174">
        <v>0.75</v>
      </c>
      <c r="K229" s="174"/>
      <c r="L229" s="174"/>
      <c r="M229" s="191">
        <v>620</v>
      </c>
      <c r="N229" s="176">
        <v>10.02</v>
      </c>
      <c r="O229" s="176" t="s">
        <v>114</v>
      </c>
      <c r="P229" s="177"/>
      <c r="Q229" s="178" t="s">
        <v>295</v>
      </c>
      <c r="R229" s="179"/>
      <c r="S229" s="179"/>
      <c r="T229" s="177">
        <v>44848</v>
      </c>
      <c r="U229" s="177"/>
      <c r="V229" s="177">
        <v>44848</v>
      </c>
      <c r="W229" s="177"/>
      <c r="X229" s="177"/>
      <c r="Y229" s="177"/>
      <c r="Z229" s="177"/>
      <c r="AA229" s="177"/>
      <c r="AB229" s="177"/>
      <c r="AC229" s="177"/>
      <c r="AD229" s="180"/>
      <c r="AE229" s="173" t="s">
        <v>69</v>
      </c>
      <c r="AF229" s="181" t="s">
        <v>1065</v>
      </c>
      <c r="AG229" s="181" t="s">
        <v>1066</v>
      </c>
      <c r="AH229" s="181">
        <v>44729</v>
      </c>
      <c r="AI229" s="181">
        <v>44767</v>
      </c>
      <c r="AJ229" s="181"/>
      <c r="AK229" s="181">
        <f ca="1">TODAY()</f>
        <v>44958</v>
      </c>
      <c r="AL229" s="173">
        <f ca="1">IF(AI229&lt;&gt;0,AK229-AI229,0)</f>
        <v>191</v>
      </c>
      <c r="AM229" s="173" t="str">
        <f>IF(ISNUMBER(X229)=TRUE,AK229-X229,IF(X229="","",(AK229)-(MID(RIGHT(X229,10),4,2)&amp;"/"&amp;LEFT((RIGHT(X229,10)),2)&amp;"/"&amp;RIGHT(X229,4))))</f>
        <v/>
      </c>
      <c r="AN229" s="181"/>
      <c r="AO229" s="190" t="s">
        <v>1044</v>
      </c>
      <c r="AP229" s="176">
        <v>10.034000000000001</v>
      </c>
      <c r="AQ229" s="176">
        <v>10.074</v>
      </c>
      <c r="AR229" s="176">
        <v>10.098999999999998</v>
      </c>
      <c r="AS229" s="176">
        <v>10.103999999999999</v>
      </c>
      <c r="AT229" s="173" t="str">
        <f>IF(ISNUMBER(U229)=TRUE,AK229-U229,IF(U229="","",(AK229)-(MID(RIGHT(U229,10),4,2)&amp;"/"&amp;LEFT((RIGHT(U229,10)),2)&amp;"/"&amp;RIGHT(U229,4))))</f>
        <v/>
      </c>
      <c r="AU229" s="173">
        <v>444</v>
      </c>
      <c r="AW229" s="142" t="s">
        <v>123</v>
      </c>
    </row>
    <row r="230" spans="2:49" s="142" customFormat="1" ht="21" customHeight="1" x14ac:dyDescent="0.25">
      <c r="B230" s="173" t="str">
        <f>IF(C230="HOLD RM","HOLD RM",IF(C230="BAL","WIP",IF(C230="HOLD SLT","HOLD SLT",IF(C230="MILL","RM",IF(C230="RE SLT","WIP",IF(C230="RM","RM",IF(C230="RM BAL","RM",IF(C230="RM SLT","RM",IF(C230="RR","WIP",IF(C230="SKP","WIP",IF(C230="SLT","WIP",IF(C230="CTL","WIP",IF(C230="RM SLT RUST","RM SLT RUST",0)))))))))))))&amp;"-"&amp;G230&amp;"/"&amp;IF(H230="2B","2B",IF(H230="NO.1","1D",IF(H230="FH","FH",0)))&amp;"-"&amp;IF(J230="",(TEXT(I230,"0.00")),TEXT(J230,"0.00"))&amp;"X"&amp;M230</f>
        <v>RM-J3/1D-2.20X620</v>
      </c>
      <c r="C230" s="173" t="s">
        <v>48</v>
      </c>
      <c r="D230" s="173" t="s">
        <v>48</v>
      </c>
      <c r="E230" s="190" t="s">
        <v>1074</v>
      </c>
      <c r="F230" s="190" t="s">
        <v>1075</v>
      </c>
      <c r="G230" s="173" t="s">
        <v>34</v>
      </c>
      <c r="H230" s="173" t="s">
        <v>127</v>
      </c>
      <c r="I230" s="174">
        <v>2.2000000000000002</v>
      </c>
      <c r="J230" s="174"/>
      <c r="K230" s="174"/>
      <c r="L230" s="174"/>
      <c r="M230" s="191">
        <v>620</v>
      </c>
      <c r="N230" s="176">
        <v>10.065</v>
      </c>
      <c r="O230" s="176"/>
      <c r="P230" s="177"/>
      <c r="Q230" s="178"/>
      <c r="R230" s="179"/>
      <c r="S230" s="179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80"/>
      <c r="AE230" s="173" t="s">
        <v>69</v>
      </c>
      <c r="AF230" s="181" t="s">
        <v>1065</v>
      </c>
      <c r="AG230" s="181" t="s">
        <v>1066</v>
      </c>
      <c r="AH230" s="181">
        <v>44729</v>
      </c>
      <c r="AI230" s="181">
        <v>44767</v>
      </c>
      <c r="AJ230" s="181"/>
      <c r="AK230" s="181">
        <f ca="1">TODAY()</f>
        <v>44958</v>
      </c>
      <c r="AL230" s="173">
        <f ca="1">IF(AI230&lt;&gt;0,AK230-AI230,0)</f>
        <v>191</v>
      </c>
      <c r="AM230" s="173" t="str">
        <f>IF(ISNUMBER(X230)=TRUE,AK230-X230,IF(X230="","",(AK230)-(MID(RIGHT(X230,10),4,2)&amp;"/"&amp;LEFT((RIGHT(X230,10)),2)&amp;"/"&amp;RIGHT(X230,4))))</f>
        <v/>
      </c>
      <c r="AN230" s="181"/>
      <c r="AO230" s="190" t="s">
        <v>1076</v>
      </c>
      <c r="AP230" s="176">
        <v>10.065</v>
      </c>
      <c r="AQ230" s="176">
        <v>10.104999999999999</v>
      </c>
      <c r="AR230" s="176">
        <v>10.129999999999997</v>
      </c>
      <c r="AS230" s="176">
        <v>10.134999999999998</v>
      </c>
      <c r="AT230" s="173" t="str">
        <f>IF(ISNUMBER(U230)=TRUE,AK230-U230,IF(U230="","",(AK230)-(MID(RIGHT(U230,10),4,2)&amp;"/"&amp;LEFT((RIGHT(U230,10)),2)&amp;"/"&amp;RIGHT(U230,4))))</f>
        <v/>
      </c>
      <c r="AU230" s="173">
        <v>444</v>
      </c>
      <c r="AW230" s="142" t="s">
        <v>123</v>
      </c>
    </row>
    <row r="231" spans="2:49" s="142" customFormat="1" ht="21" customHeight="1" x14ac:dyDescent="0.25">
      <c r="B231" s="173" t="str">
        <f>IF(C231="HOLD RM","HOLD RM",IF(C231="BAL","WIP",IF(C231="HOLD SLT","HOLD SLT",IF(C231="MILL","RM",IF(C231="RE SLT","WIP",IF(C231="RM","RM",IF(C231="RM BAL","RM",IF(C231="RM SLT","RM",IF(C231="RR","WIP",IF(C231="SKP","WIP",IF(C231="SLT","WIP",IF(C231="CTL","WIP",IF(C231="RM SLT RUST","RM SLT RUST",0)))))))))))))&amp;"-"&amp;G231&amp;"/"&amp;IF(H231="2B","2B",IF(H231="NO.1","1D",IF(H231="FH","FH",0)))&amp;"-"&amp;IF(J231="",(TEXT(I231,"0.00")),TEXT(J231,"0.00"))&amp;"X"&amp;M231</f>
        <v>RM-J3/1D-2.20X620</v>
      </c>
      <c r="C231" s="173" t="s">
        <v>48</v>
      </c>
      <c r="D231" s="173" t="s">
        <v>48</v>
      </c>
      <c r="E231" s="190" t="s">
        <v>1077</v>
      </c>
      <c r="F231" s="190" t="s">
        <v>1078</v>
      </c>
      <c r="G231" s="173" t="s">
        <v>34</v>
      </c>
      <c r="H231" s="173" t="s">
        <v>127</v>
      </c>
      <c r="I231" s="174">
        <v>2.2000000000000002</v>
      </c>
      <c r="J231" s="174"/>
      <c r="K231" s="174"/>
      <c r="L231" s="174"/>
      <c r="M231" s="191">
        <v>620</v>
      </c>
      <c r="N231" s="176">
        <v>10.08</v>
      </c>
      <c r="O231" s="176"/>
      <c r="P231" s="177"/>
      <c r="Q231" s="178"/>
      <c r="R231" s="179"/>
      <c r="S231" s="179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80"/>
      <c r="AE231" s="173" t="s">
        <v>69</v>
      </c>
      <c r="AF231" s="181" t="s">
        <v>1065</v>
      </c>
      <c r="AG231" s="181" t="s">
        <v>1066</v>
      </c>
      <c r="AH231" s="181">
        <v>44729</v>
      </c>
      <c r="AI231" s="181">
        <v>44767</v>
      </c>
      <c r="AJ231" s="181"/>
      <c r="AK231" s="181">
        <f ca="1">TODAY()</f>
        <v>44958</v>
      </c>
      <c r="AL231" s="173">
        <f ca="1">IF(AI231&lt;&gt;0,AK231-AI231,0)</f>
        <v>191</v>
      </c>
      <c r="AM231" s="173" t="str">
        <f>IF(ISNUMBER(X231)=TRUE,AK231-X231,IF(X231="","",(AK231)-(MID(RIGHT(X231,10),4,2)&amp;"/"&amp;LEFT((RIGHT(X231,10)),2)&amp;"/"&amp;RIGHT(X231,4))))</f>
        <v/>
      </c>
      <c r="AN231" s="181"/>
      <c r="AO231" s="190" t="s">
        <v>1076</v>
      </c>
      <c r="AP231" s="176">
        <v>10.08</v>
      </c>
      <c r="AQ231" s="176">
        <v>10.119999999999999</v>
      </c>
      <c r="AR231" s="176">
        <v>10.144999999999998</v>
      </c>
      <c r="AS231" s="176">
        <v>10.149999999999999</v>
      </c>
      <c r="AT231" s="173" t="str">
        <f>IF(ISNUMBER(U231)=TRUE,AK231-U231,IF(U231="","",(AK231)-(MID(RIGHT(U231,10),4,2)&amp;"/"&amp;LEFT((RIGHT(U231,10)),2)&amp;"/"&amp;RIGHT(U231,4))))</f>
        <v/>
      </c>
      <c r="AU231" s="173">
        <v>444</v>
      </c>
      <c r="AW231" s="142" t="s">
        <v>123</v>
      </c>
    </row>
    <row r="232" spans="2:49" s="142" customFormat="1" ht="21" customHeight="1" x14ac:dyDescent="0.25">
      <c r="B232" s="173" t="str">
        <f>IF(C232="HOLD RM","HOLD RM",IF(C232="BAL","WIP",IF(C232="HOLD SLT","HOLD SLT",IF(C232="MILL","RM",IF(C232="RE SLT","WIP",IF(C232="RM","RM",IF(C232="RM BAL","RM",IF(C232="RM SLT","RM",IF(C232="RR","WIP",IF(C232="SKP","WIP",IF(C232="SLT","WIP",IF(C232="CTL","WIP",IF(C232="RM SLT RUST","RM SLT RUST",0)))))))))))))&amp;"-"&amp;G232&amp;"/"&amp;IF(H232="2B","2B",IF(H232="NO.1","1D",IF(H232="FH","FH",0)))&amp;"-"&amp;IF(J232="",(TEXT(I232,"0.00")),TEXT(J232,"0.00"))&amp;"X"&amp;M232</f>
        <v>WIP-J3/FH-0.75X620</v>
      </c>
      <c r="C232" s="173" t="s">
        <v>16</v>
      </c>
      <c r="D232" s="173" t="s">
        <v>16</v>
      </c>
      <c r="E232" s="190" t="s">
        <v>1079</v>
      </c>
      <c r="F232" s="190" t="s">
        <v>1080</v>
      </c>
      <c r="G232" s="173" t="s">
        <v>34</v>
      </c>
      <c r="H232" s="173" t="s">
        <v>70</v>
      </c>
      <c r="I232" s="174">
        <v>2.2000000000000002</v>
      </c>
      <c r="J232" s="174">
        <v>0.75</v>
      </c>
      <c r="K232" s="174"/>
      <c r="L232" s="174"/>
      <c r="M232" s="191">
        <v>620</v>
      </c>
      <c r="N232" s="176">
        <v>10.005000000000001</v>
      </c>
      <c r="O232" s="176" t="s">
        <v>114</v>
      </c>
      <c r="P232" s="177"/>
      <c r="Q232" s="178" t="s">
        <v>295</v>
      </c>
      <c r="R232" s="179"/>
      <c r="S232" s="179"/>
      <c r="T232" s="177">
        <v>44849</v>
      </c>
      <c r="U232" s="177"/>
      <c r="V232" s="177">
        <v>44849</v>
      </c>
      <c r="W232" s="177"/>
      <c r="X232" s="177"/>
      <c r="Y232" s="177"/>
      <c r="Z232" s="177"/>
      <c r="AA232" s="177"/>
      <c r="AB232" s="177"/>
      <c r="AC232" s="177"/>
      <c r="AD232" s="180"/>
      <c r="AE232" s="173" t="s">
        <v>69</v>
      </c>
      <c r="AF232" s="181" t="s">
        <v>1065</v>
      </c>
      <c r="AG232" s="181" t="s">
        <v>1066</v>
      </c>
      <c r="AH232" s="181">
        <v>44729</v>
      </c>
      <c r="AI232" s="181">
        <v>44767</v>
      </c>
      <c r="AJ232" s="181"/>
      <c r="AK232" s="181">
        <f ca="1">TODAY()</f>
        <v>44958</v>
      </c>
      <c r="AL232" s="173">
        <f ca="1">IF(AI232&lt;&gt;0,AK232-AI232,0)</f>
        <v>191</v>
      </c>
      <c r="AM232" s="173" t="str">
        <f>IF(ISNUMBER(X232)=TRUE,AK232-X232,IF(X232="","",(AK232)-(MID(RIGHT(X232,10),4,2)&amp;"/"&amp;LEFT((RIGHT(X232,10)),2)&amp;"/"&amp;RIGHT(X232,4))))</f>
        <v/>
      </c>
      <c r="AN232" s="181"/>
      <c r="AO232" s="190" t="s">
        <v>1081</v>
      </c>
      <c r="AP232" s="176">
        <v>10.013999999999999</v>
      </c>
      <c r="AQ232" s="176">
        <v>10.053999999999998</v>
      </c>
      <c r="AR232" s="176">
        <v>10.078999999999997</v>
      </c>
      <c r="AS232" s="176">
        <v>10.083999999999998</v>
      </c>
      <c r="AT232" s="173" t="str">
        <f>IF(ISNUMBER(U232)=TRUE,AK232-U232,IF(U232="","",(AK232)-(MID(RIGHT(U232,10),4,2)&amp;"/"&amp;LEFT((RIGHT(U232,10)),2)&amp;"/"&amp;RIGHT(U232,4))))</f>
        <v/>
      </c>
      <c r="AU232" s="173">
        <v>444</v>
      </c>
      <c r="AW232" s="142" t="s">
        <v>123</v>
      </c>
    </row>
    <row r="233" spans="2:49" s="142" customFormat="1" ht="21" customHeight="1" x14ac:dyDescent="0.25">
      <c r="B233" s="173" t="str">
        <f>IF(C233="HOLD RM","HOLD RM",IF(C233="BAL","WIP",IF(C233="HOLD SLT","HOLD SLT",IF(C233="MILL","RM",IF(C233="RE SLT","WIP",IF(C233="RM","RM",IF(C233="RM BAL","RM",IF(C233="RM SLT","RM",IF(C233="RR","WIP",IF(C233="SKP","WIP",IF(C233="SLT","WIP",IF(C233="CTL","WIP",IF(C233="RM SLT RUST","RM SLT RUST",0)))))))))))))&amp;"-"&amp;G233&amp;"/"&amp;IF(H233="2B","2B",IF(H233="NO.1","1D",IF(H233="FH","FH",0)))&amp;"-"&amp;IF(J233="",(TEXT(I233,"0.00")),TEXT(J233,"0.00"))&amp;"X"&amp;M233</f>
        <v>RM-J3/1D-2.20X620</v>
      </c>
      <c r="C233" s="173" t="s">
        <v>48</v>
      </c>
      <c r="D233" s="173" t="s">
        <v>48</v>
      </c>
      <c r="E233" s="190" t="s">
        <v>1082</v>
      </c>
      <c r="F233" s="190" t="s">
        <v>1083</v>
      </c>
      <c r="G233" s="173" t="s">
        <v>34</v>
      </c>
      <c r="H233" s="173" t="s">
        <v>127</v>
      </c>
      <c r="I233" s="174">
        <v>2.2000000000000002</v>
      </c>
      <c r="J233" s="174"/>
      <c r="K233" s="174"/>
      <c r="L233" s="174"/>
      <c r="M233" s="191">
        <v>620</v>
      </c>
      <c r="N233" s="176">
        <v>10.066000000000001</v>
      </c>
      <c r="O233" s="176"/>
      <c r="P233" s="177"/>
      <c r="Q233" s="178"/>
      <c r="R233" s="179"/>
      <c r="S233" s="179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80"/>
      <c r="AE233" s="173" t="s">
        <v>69</v>
      </c>
      <c r="AF233" s="181" t="s">
        <v>1065</v>
      </c>
      <c r="AG233" s="181" t="s">
        <v>1066</v>
      </c>
      <c r="AH233" s="181">
        <v>44729</v>
      </c>
      <c r="AI233" s="181">
        <v>44767</v>
      </c>
      <c r="AJ233" s="181"/>
      <c r="AK233" s="181">
        <f ca="1">TODAY()</f>
        <v>44958</v>
      </c>
      <c r="AL233" s="173">
        <f ca="1">IF(AI233&lt;&gt;0,AK233-AI233,0)</f>
        <v>191</v>
      </c>
      <c r="AM233" s="173" t="str">
        <f>IF(ISNUMBER(X233)=TRUE,AK233-X233,IF(X233="","",(AK233)-(MID(RIGHT(X233,10),4,2)&amp;"/"&amp;LEFT((RIGHT(X233,10)),2)&amp;"/"&amp;RIGHT(X233,4))))</f>
        <v/>
      </c>
      <c r="AN233" s="181"/>
      <c r="AO233" s="190" t="s">
        <v>1081</v>
      </c>
      <c r="AP233" s="176">
        <v>10.066000000000001</v>
      </c>
      <c r="AQ233" s="176">
        <v>10.106</v>
      </c>
      <c r="AR233" s="176">
        <v>10.130999999999998</v>
      </c>
      <c r="AS233" s="176">
        <v>10.135999999999999</v>
      </c>
      <c r="AT233" s="173" t="str">
        <f>IF(ISNUMBER(U233)=TRUE,AK233-U233,IF(U233="","",(AK233)-(MID(RIGHT(U233,10),4,2)&amp;"/"&amp;LEFT((RIGHT(U233,10)),2)&amp;"/"&amp;RIGHT(U233,4))))</f>
        <v/>
      </c>
      <c r="AU233" s="173">
        <v>444</v>
      </c>
      <c r="AW233" s="142" t="s">
        <v>123</v>
      </c>
    </row>
    <row r="234" spans="2:49" s="142" customFormat="1" ht="21" customHeight="1" x14ac:dyDescent="0.25">
      <c r="B234" s="173" t="str">
        <f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RM-J3/1D-2.20X620</v>
      </c>
      <c r="C234" s="173" t="s">
        <v>48</v>
      </c>
      <c r="D234" s="173" t="s">
        <v>48</v>
      </c>
      <c r="E234" s="190" t="s">
        <v>1084</v>
      </c>
      <c r="F234" s="190" t="s">
        <v>1085</v>
      </c>
      <c r="G234" s="173" t="s">
        <v>34</v>
      </c>
      <c r="H234" s="173" t="s">
        <v>127</v>
      </c>
      <c r="I234" s="174">
        <v>2.2000000000000002</v>
      </c>
      <c r="J234" s="174"/>
      <c r="K234" s="174"/>
      <c r="L234" s="174"/>
      <c r="M234" s="191">
        <v>620</v>
      </c>
      <c r="N234" s="176">
        <v>10.036</v>
      </c>
      <c r="O234" s="176"/>
      <c r="P234" s="177"/>
      <c r="Q234" s="178"/>
      <c r="R234" s="179"/>
      <c r="S234" s="179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80"/>
      <c r="AE234" s="173" t="s">
        <v>69</v>
      </c>
      <c r="AF234" s="181" t="s">
        <v>1065</v>
      </c>
      <c r="AG234" s="181" t="s">
        <v>1066</v>
      </c>
      <c r="AH234" s="181">
        <v>44729</v>
      </c>
      <c r="AI234" s="181">
        <v>44767</v>
      </c>
      <c r="AJ234" s="181"/>
      <c r="AK234" s="181">
        <f ca="1">TODAY()</f>
        <v>44958</v>
      </c>
      <c r="AL234" s="173">
        <f ca="1">IF(AI234&lt;&gt;0,AK234-AI234,0)</f>
        <v>191</v>
      </c>
      <c r="AM234" s="173" t="str">
        <f>IF(ISNUMBER(X234)=TRUE,AK234-X234,IF(X234="","",(AK234)-(MID(RIGHT(X234,10),4,2)&amp;"/"&amp;LEFT((RIGHT(X234,10)),2)&amp;"/"&amp;RIGHT(X234,4))))</f>
        <v/>
      </c>
      <c r="AN234" s="181"/>
      <c r="AO234" s="190" t="s">
        <v>1086</v>
      </c>
      <c r="AP234" s="176">
        <v>10.036</v>
      </c>
      <c r="AQ234" s="176">
        <v>10.075999999999999</v>
      </c>
      <c r="AR234" s="176">
        <v>10.100999999999997</v>
      </c>
      <c r="AS234" s="176">
        <v>10.105999999999998</v>
      </c>
      <c r="AT234" s="173" t="str">
        <f>IF(ISNUMBER(U234)=TRUE,AK234-U234,IF(U234="","",(AK234)-(MID(RIGHT(U234,10),4,2)&amp;"/"&amp;LEFT((RIGHT(U234,10)),2)&amp;"/"&amp;RIGHT(U234,4))))</f>
        <v/>
      </c>
      <c r="AU234" s="173">
        <v>444</v>
      </c>
      <c r="AW234" s="142" t="s">
        <v>123</v>
      </c>
    </row>
    <row r="235" spans="2:49" s="142" customFormat="1" ht="21" customHeight="1" x14ac:dyDescent="0.25">
      <c r="B235" s="173" t="str">
        <f>IF(C235="HOLD RM","HOLD RM",IF(C235="BAL","WIP",IF(C235="HOLD SLT","HOLD SLT",IF(C235="MILL","RM",IF(C235="RE SLT","WIP",IF(C235="RM","RM",IF(C235="RM BAL","RM",IF(C235="RM SLT","RM",IF(C235="RR","WIP",IF(C235="SKP","WIP",IF(C235="SLT","WIP",IF(C235="CTL","WIP",IF(C235="RM SLT RUST","RM SLT RUST",0)))))))))))))&amp;"-"&amp;G235&amp;"/"&amp;IF(H235="2B","2B",IF(H235="NO.1","1D",IF(H235="FH","FH",0)))&amp;"-"&amp;IF(J235="",(TEXT(I235,"0.00")),TEXT(J235,"0.00"))&amp;"X"&amp;M235</f>
        <v>WIP-J3/FH-0.75X620</v>
      </c>
      <c r="C235" s="173" t="s">
        <v>16</v>
      </c>
      <c r="D235" s="173" t="s">
        <v>16</v>
      </c>
      <c r="E235" s="190" t="s">
        <v>1087</v>
      </c>
      <c r="F235" s="190" t="s">
        <v>1088</v>
      </c>
      <c r="G235" s="173" t="s">
        <v>34</v>
      </c>
      <c r="H235" s="173" t="s">
        <v>70</v>
      </c>
      <c r="I235" s="174">
        <v>2.2000000000000002</v>
      </c>
      <c r="J235" s="174">
        <v>0.75</v>
      </c>
      <c r="K235" s="174"/>
      <c r="L235" s="174"/>
      <c r="M235" s="191">
        <v>620</v>
      </c>
      <c r="N235" s="176">
        <v>10.02</v>
      </c>
      <c r="O235" s="176" t="s">
        <v>114</v>
      </c>
      <c r="P235" s="177"/>
      <c r="Q235" s="178" t="s">
        <v>295</v>
      </c>
      <c r="R235" s="179"/>
      <c r="S235" s="179"/>
      <c r="T235" s="177">
        <v>44848</v>
      </c>
      <c r="U235" s="177"/>
      <c r="V235" s="177">
        <v>44849</v>
      </c>
      <c r="W235" s="177"/>
      <c r="X235" s="177"/>
      <c r="Y235" s="177"/>
      <c r="Z235" s="177"/>
      <c r="AA235" s="177"/>
      <c r="AB235" s="177"/>
      <c r="AC235" s="177"/>
      <c r="AD235" s="180"/>
      <c r="AE235" s="173" t="s">
        <v>69</v>
      </c>
      <c r="AF235" s="181" t="s">
        <v>1065</v>
      </c>
      <c r="AG235" s="181" t="s">
        <v>1066</v>
      </c>
      <c r="AH235" s="181">
        <v>44729</v>
      </c>
      <c r="AI235" s="181">
        <v>44767</v>
      </c>
      <c r="AJ235" s="181"/>
      <c r="AK235" s="181">
        <f ca="1">TODAY()</f>
        <v>44958</v>
      </c>
      <c r="AL235" s="173">
        <f ca="1">IF(AI235&lt;&gt;0,AK235-AI235,0)</f>
        <v>191</v>
      </c>
      <c r="AM235" s="173" t="str">
        <f>IF(ISNUMBER(X235)=TRUE,AK235-X235,IF(X235="","",(AK235)-(MID(RIGHT(X235,10),4,2)&amp;"/"&amp;LEFT((RIGHT(X235,10)),2)&amp;"/"&amp;RIGHT(X235,4))))</f>
        <v/>
      </c>
      <c r="AN235" s="181"/>
      <c r="AO235" s="190" t="s">
        <v>1086</v>
      </c>
      <c r="AP235" s="176">
        <v>10.058999999999999</v>
      </c>
      <c r="AQ235" s="176">
        <v>10.098999999999998</v>
      </c>
      <c r="AR235" s="176">
        <v>10.123999999999997</v>
      </c>
      <c r="AS235" s="176">
        <v>10.128999999999998</v>
      </c>
      <c r="AT235" s="173" t="str">
        <f>IF(ISNUMBER(U235)=TRUE,AK235-U235,IF(U235="","",(AK235)-(MID(RIGHT(U235,10),4,2)&amp;"/"&amp;LEFT((RIGHT(U235,10)),2)&amp;"/"&amp;RIGHT(U235,4))))</f>
        <v/>
      </c>
      <c r="AU235" s="173">
        <v>444</v>
      </c>
      <c r="AW235" s="142" t="s">
        <v>123</v>
      </c>
    </row>
    <row r="236" spans="2:49" s="142" customFormat="1" ht="21" customHeight="1" x14ac:dyDescent="0.25">
      <c r="B236" s="173" t="str">
        <f>IF(C236="HOLD RM","HOLD RM",IF(C236="BAL","WIP",IF(C236="HOLD SLT","HOLD SLT",IF(C236="MILL","RM",IF(C236="RE SLT","WIP",IF(C236="RM","RM",IF(C236="RM BAL","RM",IF(C236="RM SLT","RM",IF(C236="RR","WIP",IF(C236="SKP","WIP",IF(C236="SLT","WIP",IF(C236="CTL","WIP",IF(C236="RM SLT RUST","RM SLT RUST",0)))))))))))))&amp;"-"&amp;G236&amp;"/"&amp;IF(H236="2B","2B",IF(H236="NO.1","1D",IF(H236="FH","FH",0)))&amp;"-"&amp;IF(J236="",(TEXT(I236,"0.00")),TEXT(J236,"0.00"))&amp;"X"&amp;M236</f>
        <v>RM-J3/1D-2.20X620</v>
      </c>
      <c r="C236" s="173" t="s">
        <v>48</v>
      </c>
      <c r="D236" s="173" t="s">
        <v>48</v>
      </c>
      <c r="E236" s="190" t="s">
        <v>1089</v>
      </c>
      <c r="F236" s="190" t="s">
        <v>1090</v>
      </c>
      <c r="G236" s="173" t="s">
        <v>34</v>
      </c>
      <c r="H236" s="173" t="s">
        <v>127</v>
      </c>
      <c r="I236" s="174">
        <v>2.2000000000000002</v>
      </c>
      <c r="J236" s="174"/>
      <c r="K236" s="174"/>
      <c r="L236" s="174"/>
      <c r="M236" s="191">
        <v>620</v>
      </c>
      <c r="N236" s="176">
        <v>10.085000000000001</v>
      </c>
      <c r="O236" s="176"/>
      <c r="P236" s="177"/>
      <c r="Q236" s="178"/>
      <c r="R236" s="179"/>
      <c r="S236" s="179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80"/>
      <c r="AE236" s="173" t="s">
        <v>69</v>
      </c>
      <c r="AF236" s="181" t="s">
        <v>1065</v>
      </c>
      <c r="AG236" s="181" t="s">
        <v>1066</v>
      </c>
      <c r="AH236" s="181">
        <v>44729</v>
      </c>
      <c r="AI236" s="181">
        <v>44767</v>
      </c>
      <c r="AJ236" s="181"/>
      <c r="AK236" s="181">
        <f ca="1">TODAY()</f>
        <v>44958</v>
      </c>
      <c r="AL236" s="173">
        <f ca="1">IF(AI236&lt;&gt;0,AK236-AI236,0)</f>
        <v>191</v>
      </c>
      <c r="AM236" s="173" t="str">
        <f>IF(ISNUMBER(X236)=TRUE,AK236-X236,IF(X236="","",(AK236)-(MID(RIGHT(X236,10),4,2)&amp;"/"&amp;LEFT((RIGHT(X236,10)),2)&amp;"/"&amp;RIGHT(X236,4))))</f>
        <v/>
      </c>
      <c r="AN236" s="181"/>
      <c r="AO236" s="190" t="s">
        <v>1091</v>
      </c>
      <c r="AP236" s="176">
        <v>10.085000000000001</v>
      </c>
      <c r="AQ236" s="176">
        <v>10.125</v>
      </c>
      <c r="AR236" s="176">
        <v>10.149999999999999</v>
      </c>
      <c r="AS236" s="176">
        <v>10.154999999999999</v>
      </c>
      <c r="AT236" s="173" t="str">
        <f>IF(ISNUMBER(U236)=TRUE,AK236-U236,IF(U236="","",(AK236)-(MID(RIGHT(U236,10),4,2)&amp;"/"&amp;LEFT((RIGHT(U236,10)),2)&amp;"/"&amp;RIGHT(U236,4))))</f>
        <v/>
      </c>
      <c r="AU236" s="173">
        <v>444</v>
      </c>
      <c r="AW236" s="142" t="s">
        <v>123</v>
      </c>
    </row>
    <row r="237" spans="2:49" s="142" customFormat="1" ht="21" customHeight="1" x14ac:dyDescent="0.25">
      <c r="B237" s="173" t="str">
        <f>IF(C237="HOLD RM","HOLD RM",IF(C237="BAL","WIP",IF(C237="HOLD SLT","HOLD SLT",IF(C237="MILL","RM",IF(C237="RE SLT","WIP",IF(C237="RM","RM",IF(C237="RM BAL","RM",IF(C237="RM SLT","RM",IF(C237="RR","WIP",IF(C237="SKP","WIP",IF(C237="SLT","WIP",IF(C237="CTL","WIP",IF(C237="RM SLT RUST","RM SLT RUST",0)))))))))))))&amp;"-"&amp;G237&amp;"/"&amp;IF(H237="2B","2B",IF(H237="NO.1","1D",IF(H237="FH","FH",0)))&amp;"-"&amp;IF(J237="",(TEXT(I237,"0.00")),TEXT(J237,"0.00"))&amp;"X"&amp;M237</f>
        <v>RM-J3/1D-2.20X620</v>
      </c>
      <c r="C237" s="173" t="s">
        <v>48</v>
      </c>
      <c r="D237" s="173" t="s">
        <v>48</v>
      </c>
      <c r="E237" s="190" t="s">
        <v>1092</v>
      </c>
      <c r="F237" s="190" t="s">
        <v>1093</v>
      </c>
      <c r="G237" s="173" t="s">
        <v>34</v>
      </c>
      <c r="H237" s="173" t="s">
        <v>127</v>
      </c>
      <c r="I237" s="174">
        <v>2.2000000000000002</v>
      </c>
      <c r="J237" s="174"/>
      <c r="K237" s="174"/>
      <c r="L237" s="174"/>
      <c r="M237" s="191">
        <v>620</v>
      </c>
      <c r="N237" s="176">
        <v>9.3800000000000008</v>
      </c>
      <c r="O237" s="176"/>
      <c r="P237" s="177"/>
      <c r="Q237" s="178"/>
      <c r="R237" s="179"/>
      <c r="S237" s="179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80"/>
      <c r="AE237" s="173" t="s">
        <v>69</v>
      </c>
      <c r="AF237" s="181" t="s">
        <v>1065</v>
      </c>
      <c r="AG237" s="181" t="s">
        <v>1066</v>
      </c>
      <c r="AH237" s="181">
        <v>44729</v>
      </c>
      <c r="AI237" s="181">
        <v>44767</v>
      </c>
      <c r="AJ237" s="181"/>
      <c r="AK237" s="181">
        <f ca="1">TODAY()</f>
        <v>44958</v>
      </c>
      <c r="AL237" s="173">
        <f ca="1">IF(AI237&lt;&gt;0,AK237-AI237,0)</f>
        <v>191</v>
      </c>
      <c r="AM237" s="173" t="str">
        <f>IF(ISNUMBER(X237)=TRUE,AK237-X237,IF(X237="","",(AK237)-(MID(RIGHT(X237,10),4,2)&amp;"/"&amp;LEFT((RIGHT(X237,10)),2)&amp;"/"&amp;RIGHT(X237,4))))</f>
        <v/>
      </c>
      <c r="AN237" s="181"/>
      <c r="AO237" s="190" t="s">
        <v>1094</v>
      </c>
      <c r="AP237" s="176">
        <v>9.3800000000000008</v>
      </c>
      <c r="AQ237" s="176">
        <v>9.42</v>
      </c>
      <c r="AR237" s="176">
        <v>9.4449999999999985</v>
      </c>
      <c r="AS237" s="176">
        <v>9.4499999999999993</v>
      </c>
      <c r="AT237" s="173" t="str">
        <f>IF(ISNUMBER(U237)=TRUE,AK237-U237,IF(U237="","",(AK237)-(MID(RIGHT(U237,10),4,2)&amp;"/"&amp;LEFT((RIGHT(U237,10)),2)&amp;"/"&amp;RIGHT(U237,4))))</f>
        <v/>
      </c>
      <c r="AU237" s="173">
        <v>444</v>
      </c>
      <c r="AW237" s="142" t="s">
        <v>123</v>
      </c>
    </row>
    <row r="238" spans="2:49" s="142" customFormat="1" ht="21" customHeight="1" x14ac:dyDescent="0.25">
      <c r="B238" s="173" t="str">
        <f>IF(C238="HOLD RM","HOLD RM",IF(C238="BAL","WIP",IF(C238="HOLD SLT","HOLD SLT",IF(C238="MILL","RM",IF(C238="RE SLT","WIP",IF(C238="RM","RM",IF(C238="RM BAL","RM",IF(C238="RM SLT","RM",IF(C238="RR","WIP",IF(C238="SKP","WIP",IF(C238="SLT","WIP",IF(C238="CTL","WIP",IF(C238="RM SLT RUST","RM SLT RUST",0)))))))))))))&amp;"-"&amp;G238&amp;"/"&amp;IF(H238="2B","2B",IF(H238="NO.1","1D",IF(H238="FH","FH",0)))&amp;"-"&amp;IF(J238="",(TEXT(I238,"0.00")),TEXT(J238,"0.00"))&amp;"X"&amp;M238</f>
        <v>RM-J3/1D-2.20X610</v>
      </c>
      <c r="C238" s="173" t="s">
        <v>48</v>
      </c>
      <c r="D238" s="173" t="s">
        <v>48</v>
      </c>
      <c r="E238" s="190" t="s">
        <v>1095</v>
      </c>
      <c r="F238" s="190" t="s">
        <v>1096</v>
      </c>
      <c r="G238" s="173" t="s">
        <v>34</v>
      </c>
      <c r="H238" s="173" t="s">
        <v>127</v>
      </c>
      <c r="I238" s="174">
        <v>2.2000000000000002</v>
      </c>
      <c r="J238" s="174"/>
      <c r="K238" s="174"/>
      <c r="L238" s="174"/>
      <c r="M238" s="191">
        <v>610</v>
      </c>
      <c r="N238" s="176">
        <v>9.827</v>
      </c>
      <c r="O238" s="176"/>
      <c r="P238" s="177"/>
      <c r="Q238" s="178"/>
      <c r="R238" s="179"/>
      <c r="S238" s="179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80"/>
      <c r="AE238" s="173" t="s">
        <v>69</v>
      </c>
      <c r="AF238" s="181" t="s">
        <v>1065</v>
      </c>
      <c r="AG238" s="181" t="s">
        <v>1066</v>
      </c>
      <c r="AH238" s="181">
        <v>44729</v>
      </c>
      <c r="AI238" s="181">
        <v>44767</v>
      </c>
      <c r="AJ238" s="181"/>
      <c r="AK238" s="181">
        <f ca="1">TODAY()</f>
        <v>44958</v>
      </c>
      <c r="AL238" s="173">
        <f ca="1">IF(AI238&lt;&gt;0,AK238-AI238,0)</f>
        <v>191</v>
      </c>
      <c r="AM238" s="173" t="str">
        <f>IF(ISNUMBER(X238)=TRUE,AK238-X238,IF(X238="","",(AK238)-(MID(RIGHT(X238,10),4,2)&amp;"/"&amp;LEFT((RIGHT(X238,10)),2)&amp;"/"&amp;RIGHT(X238,4))))</f>
        <v/>
      </c>
      <c r="AN238" s="181"/>
      <c r="AO238" s="190" t="s">
        <v>1097</v>
      </c>
      <c r="AP238" s="176">
        <v>9.827</v>
      </c>
      <c r="AQ238" s="176">
        <v>9.8669999999999991</v>
      </c>
      <c r="AR238" s="176">
        <v>9.8919999999999977</v>
      </c>
      <c r="AS238" s="176">
        <v>9.8969999999999985</v>
      </c>
      <c r="AT238" s="173" t="str">
        <f>IF(ISNUMBER(U238)=TRUE,AK238-U238,IF(U238="","",(AK238)-(MID(RIGHT(U238,10),4,2)&amp;"/"&amp;LEFT((RIGHT(U238,10)),2)&amp;"/"&amp;RIGHT(U238,4))))</f>
        <v/>
      </c>
      <c r="AU238" s="173">
        <v>444</v>
      </c>
      <c r="AW238" s="142" t="s">
        <v>123</v>
      </c>
    </row>
    <row r="239" spans="2:49" s="142" customFormat="1" ht="21" customHeight="1" x14ac:dyDescent="0.25">
      <c r="B239" s="173" t="str">
        <f>IF(C239="HOLD RM","HOLD RM",IF(C239="BAL","WIP",IF(C239="HOLD SLT","HOLD SLT",IF(C239="MILL","RM",IF(C239="RE SLT","WIP",IF(C239="RM","RM",IF(C239="RM BAL","RM",IF(C239="RM SLT","RM",IF(C239="RR","WIP",IF(C239="SKP","WIP",IF(C239="SLT","WIP",IF(C239="CTL","WIP",IF(C239="RM SLT RUST","RM SLT RUST",0)))))))))))))&amp;"-"&amp;G239&amp;"/"&amp;IF(H239="2B","2B",IF(H239="NO.1","1D",IF(H239="FH","FH",0)))&amp;"-"&amp;IF(J239="",(TEXT(I239,"0.00")),TEXT(J239,"0.00"))&amp;"X"&amp;M239</f>
        <v>WIP-J3/FH-0.71X615</v>
      </c>
      <c r="C239" s="173" t="s">
        <v>16</v>
      </c>
      <c r="D239" s="173" t="s">
        <v>16</v>
      </c>
      <c r="E239" s="190" t="s">
        <v>1098</v>
      </c>
      <c r="F239" s="190" t="s">
        <v>1099</v>
      </c>
      <c r="G239" s="173" t="s">
        <v>34</v>
      </c>
      <c r="H239" s="173" t="s">
        <v>70</v>
      </c>
      <c r="I239" s="174">
        <v>2.2000000000000002</v>
      </c>
      <c r="J239" s="174">
        <v>0.71</v>
      </c>
      <c r="K239" s="174"/>
      <c r="L239" s="174"/>
      <c r="M239" s="191">
        <v>615</v>
      </c>
      <c r="N239" s="176">
        <v>9.9030000000000005</v>
      </c>
      <c r="O239" s="176" t="s">
        <v>114</v>
      </c>
      <c r="P239" s="177"/>
      <c r="Q239" s="178" t="s">
        <v>294</v>
      </c>
      <c r="R239" s="179"/>
      <c r="S239" s="179"/>
      <c r="T239" s="177">
        <v>44875</v>
      </c>
      <c r="U239" s="177"/>
      <c r="V239" s="177"/>
      <c r="W239" s="177">
        <v>44875</v>
      </c>
      <c r="X239" s="177"/>
      <c r="Y239" s="177"/>
      <c r="Z239" s="177"/>
      <c r="AA239" s="177"/>
      <c r="AB239" s="177"/>
      <c r="AC239" s="177"/>
      <c r="AD239" s="180"/>
      <c r="AE239" s="173" t="s">
        <v>69</v>
      </c>
      <c r="AF239" s="181" t="s">
        <v>1065</v>
      </c>
      <c r="AG239" s="181" t="s">
        <v>1066</v>
      </c>
      <c r="AH239" s="181">
        <v>44729</v>
      </c>
      <c r="AI239" s="181">
        <v>44767</v>
      </c>
      <c r="AJ239" s="181"/>
      <c r="AK239" s="181">
        <f ca="1">TODAY()</f>
        <v>44958</v>
      </c>
      <c r="AL239" s="173">
        <f ca="1">IF(AI239&lt;&gt;0,AK239-AI239,0)</f>
        <v>191</v>
      </c>
      <c r="AM239" s="173" t="str">
        <f>IF(ISNUMBER(X239)=TRUE,AK239-X239,IF(X239="","",(AK239)-(MID(RIGHT(X239,10),4,2)&amp;"/"&amp;LEFT((RIGHT(X239,10)),2)&amp;"/"&amp;RIGHT(X239,4))))</f>
        <v/>
      </c>
      <c r="AN239" s="181"/>
      <c r="AO239" s="190" t="s">
        <v>1097</v>
      </c>
      <c r="AP239" s="176">
        <v>9.9030000000000005</v>
      </c>
      <c r="AQ239" s="176">
        <v>9.9429999999999996</v>
      </c>
      <c r="AR239" s="176">
        <v>9.9679999999999982</v>
      </c>
      <c r="AS239" s="176">
        <v>9.972999999999999</v>
      </c>
      <c r="AT239" s="173" t="str">
        <f>IF(ISNUMBER(U239)=TRUE,AK239-U239,IF(U239="","",(AK239)-(MID(RIGHT(U239,10),4,2)&amp;"/"&amp;LEFT((RIGHT(U239,10)),2)&amp;"/"&amp;RIGHT(U239,4))))</f>
        <v/>
      </c>
      <c r="AU239" s="173">
        <v>444</v>
      </c>
      <c r="AW239" s="142" t="s">
        <v>123</v>
      </c>
    </row>
    <row r="240" spans="2:49" s="142" customFormat="1" ht="21" customHeight="1" x14ac:dyDescent="0.25">
      <c r="B240" s="173" t="str">
        <f>IF(C240="HOLD RM","HOLD RM",IF(C240="BAL","WIP",IF(C240="HOLD SLT","HOLD SLT",IF(C240="MILL","RM",IF(C240="RE SLT","WIP",IF(C240="RM","RM",IF(C240="RM BAL","RM",IF(C240="RM SLT","RM",IF(C240="RR","WIP",IF(C240="SKP","WIP",IF(C240="SLT","WIP",IF(C240="CTL","WIP",IF(C240="RM SLT RUST","RM SLT RUST",0)))))))))))))&amp;"-"&amp;G240&amp;"/"&amp;IF(H240="2B","2B",IF(H240="NO.1","1D",IF(H240="FH","FH",0)))&amp;"-"&amp;IF(J240="",(TEXT(I240,"0.00")),TEXT(J240,"0.00"))&amp;"X"&amp;M240</f>
        <v>RM-J3/1D-2.20X610</v>
      </c>
      <c r="C240" s="173" t="s">
        <v>48</v>
      </c>
      <c r="D240" s="173" t="s">
        <v>48</v>
      </c>
      <c r="E240" s="190" t="s">
        <v>1100</v>
      </c>
      <c r="F240" s="190" t="s">
        <v>1101</v>
      </c>
      <c r="G240" s="173" t="s">
        <v>34</v>
      </c>
      <c r="H240" s="173" t="s">
        <v>127</v>
      </c>
      <c r="I240" s="174">
        <v>2.2000000000000002</v>
      </c>
      <c r="J240" s="174"/>
      <c r="K240" s="174"/>
      <c r="L240" s="174"/>
      <c r="M240" s="191">
        <v>610</v>
      </c>
      <c r="N240" s="176">
        <v>9.8079999999999998</v>
      </c>
      <c r="O240" s="176"/>
      <c r="P240" s="177"/>
      <c r="Q240" s="178"/>
      <c r="R240" s="179"/>
      <c r="S240" s="179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80"/>
      <c r="AE240" s="173" t="s">
        <v>69</v>
      </c>
      <c r="AF240" s="181" t="s">
        <v>1065</v>
      </c>
      <c r="AG240" s="181" t="s">
        <v>1066</v>
      </c>
      <c r="AH240" s="181">
        <v>44729</v>
      </c>
      <c r="AI240" s="181">
        <v>44767</v>
      </c>
      <c r="AJ240" s="181"/>
      <c r="AK240" s="181">
        <f ca="1">TODAY()</f>
        <v>44958</v>
      </c>
      <c r="AL240" s="173">
        <f ca="1">IF(AI240&lt;&gt;0,AK240-AI240,0)</f>
        <v>191</v>
      </c>
      <c r="AM240" s="173" t="str">
        <f>IF(ISNUMBER(X240)=TRUE,AK240-X240,IF(X240="","",(AK240)-(MID(RIGHT(X240,10),4,2)&amp;"/"&amp;LEFT((RIGHT(X240,10)),2)&amp;"/"&amp;RIGHT(X240,4))))</f>
        <v/>
      </c>
      <c r="AN240" s="181"/>
      <c r="AO240" s="190" t="s">
        <v>1102</v>
      </c>
      <c r="AP240" s="176">
        <v>9.8079999999999998</v>
      </c>
      <c r="AQ240" s="176">
        <v>9.847999999999999</v>
      </c>
      <c r="AR240" s="176">
        <v>9.8729999999999976</v>
      </c>
      <c r="AS240" s="176">
        <v>9.8779999999999983</v>
      </c>
      <c r="AT240" s="173" t="str">
        <f>IF(ISNUMBER(U240)=TRUE,AK240-U240,IF(U240="","",(AK240)-(MID(RIGHT(U240,10),4,2)&amp;"/"&amp;LEFT((RIGHT(U240,10)),2)&amp;"/"&amp;RIGHT(U240,4))))</f>
        <v/>
      </c>
      <c r="AU240" s="173">
        <v>444</v>
      </c>
      <c r="AW240" s="142" t="s">
        <v>123</v>
      </c>
    </row>
    <row r="241" spans="2:49" s="142" customFormat="1" ht="21" customHeight="1" x14ac:dyDescent="0.25">
      <c r="B241" s="173" t="str">
        <f>IF(C241="HOLD RM","HOLD RM",IF(C241="BAL","WIP",IF(C241="HOLD SLT","HOLD SLT",IF(C241="MILL","RM",IF(C241="RE SLT","WIP",IF(C241="RM","RM",IF(C241="RM BAL","RM",IF(C241="RM SLT","RM",IF(C241="RR","WIP",IF(C241="SKP","WIP",IF(C241="SLT","WIP",IF(C241="CTL","WIP",IF(C241="RM SLT RUST","RM SLT RUST",0)))))))))))))&amp;"-"&amp;G241&amp;"/"&amp;IF(H241="2B","2B",IF(H241="NO.1","1D",IF(H241="FH","FH",0)))&amp;"-"&amp;IF(J241="",(TEXT(I241,"0.00")),TEXT(J241,"0.00"))&amp;"X"&amp;M241</f>
        <v>RM-J3/1D-2.20X615</v>
      </c>
      <c r="C241" s="173" t="s">
        <v>48</v>
      </c>
      <c r="D241" s="173" t="s">
        <v>48</v>
      </c>
      <c r="E241" s="190" t="s">
        <v>1103</v>
      </c>
      <c r="F241" s="190" t="s">
        <v>1104</v>
      </c>
      <c r="G241" s="173" t="s">
        <v>34</v>
      </c>
      <c r="H241" s="173" t="s">
        <v>127</v>
      </c>
      <c r="I241" s="174">
        <v>2.2000000000000002</v>
      </c>
      <c r="J241" s="174"/>
      <c r="K241" s="174"/>
      <c r="L241" s="174"/>
      <c r="M241" s="191">
        <v>615</v>
      </c>
      <c r="N241" s="176">
        <v>9.9269999999999996</v>
      </c>
      <c r="O241" s="176"/>
      <c r="P241" s="177"/>
      <c r="Q241" s="178"/>
      <c r="R241" s="179"/>
      <c r="S241" s="179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80"/>
      <c r="AE241" s="173" t="s">
        <v>69</v>
      </c>
      <c r="AF241" s="181" t="s">
        <v>1065</v>
      </c>
      <c r="AG241" s="181" t="s">
        <v>1066</v>
      </c>
      <c r="AH241" s="181">
        <v>44729</v>
      </c>
      <c r="AI241" s="181">
        <v>44767</v>
      </c>
      <c r="AJ241" s="181"/>
      <c r="AK241" s="181">
        <f ca="1">TODAY()</f>
        <v>44958</v>
      </c>
      <c r="AL241" s="173">
        <f ca="1">IF(AI241&lt;&gt;0,AK241-AI241,0)</f>
        <v>191</v>
      </c>
      <c r="AM241" s="173" t="str">
        <f>IF(ISNUMBER(X241)=TRUE,AK241-X241,IF(X241="","",(AK241)-(MID(RIGHT(X241,10),4,2)&amp;"/"&amp;LEFT((RIGHT(X241,10)),2)&amp;"/"&amp;RIGHT(X241,4))))</f>
        <v/>
      </c>
      <c r="AN241" s="181"/>
      <c r="AO241" s="190" t="s">
        <v>1102</v>
      </c>
      <c r="AP241" s="176">
        <v>9.9269999999999996</v>
      </c>
      <c r="AQ241" s="176">
        <v>9.9669999999999987</v>
      </c>
      <c r="AR241" s="176">
        <v>9.9919999999999973</v>
      </c>
      <c r="AS241" s="176">
        <v>9.9969999999999981</v>
      </c>
      <c r="AT241" s="173" t="str">
        <f>IF(ISNUMBER(U241)=TRUE,AK241-U241,IF(U241="","",(AK241)-(MID(RIGHT(U241,10),4,2)&amp;"/"&amp;LEFT((RIGHT(U241,10)),2)&amp;"/"&amp;RIGHT(U241,4))))</f>
        <v/>
      </c>
      <c r="AU241" s="173">
        <v>444</v>
      </c>
      <c r="AW241" s="142" t="s">
        <v>123</v>
      </c>
    </row>
    <row r="242" spans="2:49" s="142" customFormat="1" ht="21" customHeight="1" x14ac:dyDescent="0.25">
      <c r="B242" s="173" t="str">
        <f>IF(C242="HOLD RM","HOLD RM",IF(C242="BAL","WIP",IF(C242="HOLD SLT","HOLD SLT",IF(C242="MILL","RM",IF(C242="RE SLT","WIP",IF(C242="RM","RM",IF(C242="RM BAL","RM",IF(C242="RM SLT","RM",IF(C242="RR","WIP",IF(C242="SKP","WIP",IF(C242="SLT","WIP",IF(C242="CTL","WIP",IF(C242="RM SLT RUST","RM SLT RUST",0)))))))))))))&amp;"-"&amp;G242&amp;"/"&amp;IF(H242="2B","2B",IF(H242="NO.1","1D",IF(H242="FH","FH",0)))&amp;"-"&amp;IF(J242="",(TEXT(I242,"0.00")),TEXT(J242,"0.00"))&amp;"X"&amp;M242</f>
        <v>RM-J3/1D-2.20X610</v>
      </c>
      <c r="C242" s="173" t="s">
        <v>48</v>
      </c>
      <c r="D242" s="173" t="s">
        <v>48</v>
      </c>
      <c r="E242" s="190" t="s">
        <v>1105</v>
      </c>
      <c r="F242" s="190" t="s">
        <v>1106</v>
      </c>
      <c r="G242" s="173" t="s">
        <v>34</v>
      </c>
      <c r="H242" s="173" t="s">
        <v>127</v>
      </c>
      <c r="I242" s="174">
        <v>2.2000000000000002</v>
      </c>
      <c r="J242" s="174"/>
      <c r="K242" s="174"/>
      <c r="L242" s="174"/>
      <c r="M242" s="191">
        <v>610</v>
      </c>
      <c r="N242" s="176">
        <v>4.8019999999999996</v>
      </c>
      <c r="O242" s="176"/>
      <c r="P242" s="177"/>
      <c r="Q242" s="178"/>
      <c r="R242" s="179"/>
      <c r="S242" s="179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80"/>
      <c r="AE242" s="173" t="s">
        <v>69</v>
      </c>
      <c r="AF242" s="181" t="s">
        <v>1065</v>
      </c>
      <c r="AG242" s="181" t="s">
        <v>1066</v>
      </c>
      <c r="AH242" s="181">
        <v>44729</v>
      </c>
      <c r="AI242" s="181">
        <v>44767</v>
      </c>
      <c r="AJ242" s="181"/>
      <c r="AK242" s="181">
        <f ca="1">TODAY()</f>
        <v>44958</v>
      </c>
      <c r="AL242" s="173">
        <f ca="1">IF(AI242&lt;&gt;0,AK242-AI242,0)</f>
        <v>191</v>
      </c>
      <c r="AM242" s="173" t="str">
        <f>IF(ISNUMBER(X242)=TRUE,AK242-X242,IF(X242="","",(AK242)-(MID(RIGHT(X242,10),4,2)&amp;"/"&amp;LEFT((RIGHT(X242,10)),2)&amp;"/"&amp;RIGHT(X242,4))))</f>
        <v/>
      </c>
      <c r="AN242" s="181"/>
      <c r="AO242" s="190" t="s">
        <v>1107</v>
      </c>
      <c r="AP242" s="176">
        <v>4.8019999999999996</v>
      </c>
      <c r="AQ242" s="176">
        <v>4.8419999999999996</v>
      </c>
      <c r="AR242" s="176">
        <v>4.867</v>
      </c>
      <c r="AS242" s="176">
        <v>4.8719999999999999</v>
      </c>
      <c r="AT242" s="173" t="str">
        <f>IF(ISNUMBER(U242)=TRUE,AK242-U242,IF(U242="","",(AK242)-(MID(RIGHT(U242,10),4,2)&amp;"/"&amp;LEFT((RIGHT(U242,10)),2)&amp;"/"&amp;RIGHT(U242,4))))</f>
        <v/>
      </c>
      <c r="AU242" s="173">
        <v>444</v>
      </c>
      <c r="AW242" s="142" t="s">
        <v>123</v>
      </c>
    </row>
    <row r="243" spans="2:49" s="142" customFormat="1" ht="21" customHeight="1" x14ac:dyDescent="0.25">
      <c r="B243" s="173" t="str">
        <f>IF(C243="HOLD RM","HOLD RM",IF(C243="BAL","WIP",IF(C243="HOLD SLT","HOLD SLT",IF(C243="MILL","RM",IF(C243="RE SLT","WIP",IF(C243="RM","RM",IF(C243="RM BAL","RM",IF(C243="RM SLT","RM",IF(C243="RR","WIP",IF(C243="SKP","WIP",IF(C243="SLT","WIP",IF(C243="CTL","WIP",IF(C243="RM SLT RUST","RM SLT RUST",0)))))))))))))&amp;"-"&amp;G243&amp;"/"&amp;IF(H243="2B","2B",IF(H243="NO.1","1D",IF(H243="FH","FH",0)))&amp;"-"&amp;IF(J243="",(TEXT(I243,"0.00")),TEXT(J243,"0.00"))&amp;"X"&amp;M243</f>
        <v>RM-J3/1D-2.20X620</v>
      </c>
      <c r="C243" s="173" t="s">
        <v>48</v>
      </c>
      <c r="D243" s="173" t="s">
        <v>48</v>
      </c>
      <c r="E243" s="190" t="s">
        <v>1108</v>
      </c>
      <c r="F243" s="190" t="s">
        <v>1109</v>
      </c>
      <c r="G243" s="173" t="s">
        <v>34</v>
      </c>
      <c r="H243" s="173" t="s">
        <v>127</v>
      </c>
      <c r="I243" s="174">
        <v>2.2000000000000002</v>
      </c>
      <c r="J243" s="174"/>
      <c r="K243" s="174"/>
      <c r="L243" s="174"/>
      <c r="M243" s="191">
        <v>620</v>
      </c>
      <c r="N243" s="176">
        <v>4.8159999999999998</v>
      </c>
      <c r="O243" s="176"/>
      <c r="P243" s="177"/>
      <c r="Q243" s="178"/>
      <c r="R243" s="179"/>
      <c r="S243" s="179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80"/>
      <c r="AE243" s="173" t="s">
        <v>69</v>
      </c>
      <c r="AF243" s="181" t="s">
        <v>1065</v>
      </c>
      <c r="AG243" s="181" t="s">
        <v>1066</v>
      </c>
      <c r="AH243" s="181">
        <v>44729</v>
      </c>
      <c r="AI243" s="181">
        <v>44767</v>
      </c>
      <c r="AJ243" s="181"/>
      <c r="AK243" s="181">
        <f ca="1">TODAY()</f>
        <v>44958</v>
      </c>
      <c r="AL243" s="173">
        <f ca="1">IF(AI243&lt;&gt;0,AK243-AI243,0)</f>
        <v>191</v>
      </c>
      <c r="AM243" s="173" t="str">
        <f>IF(ISNUMBER(X243)=TRUE,AK243-X243,IF(X243="","",(AK243)-(MID(RIGHT(X243,10),4,2)&amp;"/"&amp;LEFT((RIGHT(X243,10)),2)&amp;"/"&amp;RIGHT(X243,4))))</f>
        <v/>
      </c>
      <c r="AN243" s="181"/>
      <c r="AO243" s="190" t="s">
        <v>1107</v>
      </c>
      <c r="AP243" s="176">
        <v>4.8159999999999998</v>
      </c>
      <c r="AQ243" s="176">
        <v>4.8559999999999999</v>
      </c>
      <c r="AR243" s="176">
        <v>4.8810000000000002</v>
      </c>
      <c r="AS243" s="176">
        <v>4.8860000000000001</v>
      </c>
      <c r="AT243" s="173" t="str">
        <f>IF(ISNUMBER(U243)=TRUE,AK243-U243,IF(U243="","",(AK243)-(MID(RIGHT(U243,10),4,2)&amp;"/"&amp;LEFT((RIGHT(U243,10)),2)&amp;"/"&amp;RIGHT(U243,4))))</f>
        <v/>
      </c>
      <c r="AU243" s="173">
        <v>444</v>
      </c>
      <c r="AW243" s="142" t="s">
        <v>123</v>
      </c>
    </row>
    <row r="244" spans="2:49" s="142" customFormat="1" ht="21" customHeight="1" x14ac:dyDescent="0.25">
      <c r="B244" s="173" t="str">
        <f>IF(C244="HOLD RM","HOLD RM",IF(C244="BAL","WIP",IF(C244="HOLD SLT","HOLD SLT",IF(C244="MILL","RM",IF(C244="RE SLT","WIP",IF(C244="RM","RM",IF(C244="RM BAL","RM",IF(C244="RM SLT","RM",IF(C244="RR","WIP",IF(C244="SKP","WIP",IF(C244="SLT","WIP",IF(C244="CTL","WIP",IF(C244="RM SLT RUST","RM SLT RUST",0)))))))))))))&amp;"-"&amp;G244&amp;"/"&amp;IF(H244="2B","2B",IF(H244="NO.1","1D",IF(H244="FH","FH",0)))&amp;"-"&amp;IF(J244="",(TEXT(I244,"0.00")),TEXT(J244,"0.00"))&amp;"X"&amp;M244</f>
        <v>RM-J3/1D-2.20X610</v>
      </c>
      <c r="C244" s="173" t="s">
        <v>48</v>
      </c>
      <c r="D244" s="173" t="s">
        <v>48</v>
      </c>
      <c r="E244" s="190" t="s">
        <v>1110</v>
      </c>
      <c r="F244" s="190" t="s">
        <v>1111</v>
      </c>
      <c r="G244" s="173" t="s">
        <v>34</v>
      </c>
      <c r="H244" s="173" t="s">
        <v>127</v>
      </c>
      <c r="I244" s="174">
        <v>2.2000000000000002</v>
      </c>
      <c r="J244" s="174"/>
      <c r="K244" s="174"/>
      <c r="L244" s="174"/>
      <c r="M244" s="191">
        <v>610</v>
      </c>
      <c r="N244" s="176">
        <v>4.95</v>
      </c>
      <c r="O244" s="176"/>
      <c r="P244" s="177"/>
      <c r="Q244" s="178"/>
      <c r="R244" s="179"/>
      <c r="S244" s="179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80"/>
      <c r="AE244" s="173" t="s">
        <v>69</v>
      </c>
      <c r="AF244" s="181" t="s">
        <v>1065</v>
      </c>
      <c r="AG244" s="181" t="s">
        <v>1066</v>
      </c>
      <c r="AH244" s="181">
        <v>44729</v>
      </c>
      <c r="AI244" s="181">
        <v>44767</v>
      </c>
      <c r="AJ244" s="181"/>
      <c r="AK244" s="181">
        <f ca="1">TODAY()</f>
        <v>44958</v>
      </c>
      <c r="AL244" s="173">
        <f ca="1">IF(AI244&lt;&gt;0,AK244-AI244,0)</f>
        <v>191</v>
      </c>
      <c r="AM244" s="173" t="str">
        <f>IF(ISNUMBER(X244)=TRUE,AK244-X244,IF(X244="","",(AK244)-(MID(RIGHT(X244,10),4,2)&amp;"/"&amp;LEFT((RIGHT(X244,10)),2)&amp;"/"&amp;RIGHT(X244,4))))</f>
        <v/>
      </c>
      <c r="AN244" s="181"/>
      <c r="AO244" s="190" t="s">
        <v>1107</v>
      </c>
      <c r="AP244" s="176">
        <v>4.95</v>
      </c>
      <c r="AQ244" s="176">
        <v>4.99</v>
      </c>
      <c r="AR244" s="176">
        <v>5.0150000000000006</v>
      </c>
      <c r="AS244" s="176">
        <v>5.0200000000000005</v>
      </c>
      <c r="AT244" s="173" t="str">
        <f>IF(ISNUMBER(U244)=TRUE,AK244-U244,IF(U244="","",(AK244)-(MID(RIGHT(U244,10),4,2)&amp;"/"&amp;LEFT((RIGHT(U244,10)),2)&amp;"/"&amp;RIGHT(U244,4))))</f>
        <v/>
      </c>
      <c r="AU244" s="173">
        <v>444</v>
      </c>
      <c r="AW244" s="142" t="s">
        <v>123</v>
      </c>
    </row>
    <row r="245" spans="2:49" s="142" customFormat="1" ht="21" customHeight="1" x14ac:dyDescent="0.25">
      <c r="B245" s="173" t="str">
        <f>IF(C245="HOLD RM","HOLD RM",IF(C245="BAL","WIP",IF(C245="HOLD SLT","HOLD SLT",IF(C245="MILL","RM",IF(C245="RE SLT","WIP",IF(C245="RM","RM",IF(C245="RM BAL","RM",IF(C245="RM SLT","RM",IF(C245="RR","WIP",IF(C245="SKP","WIP",IF(C245="SLT","WIP",IF(C245="CTL","WIP",IF(C245="RM SLT RUST","RM SLT RUST",0)))))))))))))&amp;"-"&amp;G245&amp;"/"&amp;IF(H245="2B","2B",IF(H245="NO.1","1D",IF(H245="FH","FH",0)))&amp;"-"&amp;IF(J245="",(TEXT(I245,"0.00")),TEXT(J245,"0.00"))&amp;"X"&amp;M245</f>
        <v>RM-J3/1D-2.20X620</v>
      </c>
      <c r="C245" s="173" t="s">
        <v>48</v>
      </c>
      <c r="D245" s="173" t="s">
        <v>48</v>
      </c>
      <c r="E245" s="190" t="s">
        <v>1112</v>
      </c>
      <c r="F245" s="190" t="s">
        <v>1113</v>
      </c>
      <c r="G245" s="173" t="s">
        <v>34</v>
      </c>
      <c r="H245" s="173" t="s">
        <v>127</v>
      </c>
      <c r="I245" s="174">
        <v>2.2000000000000002</v>
      </c>
      <c r="J245" s="174"/>
      <c r="K245" s="174"/>
      <c r="L245" s="174"/>
      <c r="M245" s="191">
        <v>620</v>
      </c>
      <c r="N245" s="176">
        <v>4.992</v>
      </c>
      <c r="O245" s="176"/>
      <c r="P245" s="177"/>
      <c r="Q245" s="178"/>
      <c r="R245" s="179"/>
      <c r="S245" s="179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80"/>
      <c r="AE245" s="173" t="s">
        <v>69</v>
      </c>
      <c r="AF245" s="181" t="s">
        <v>1065</v>
      </c>
      <c r="AG245" s="181" t="s">
        <v>1066</v>
      </c>
      <c r="AH245" s="181">
        <v>44729</v>
      </c>
      <c r="AI245" s="181">
        <v>44767</v>
      </c>
      <c r="AJ245" s="181"/>
      <c r="AK245" s="181">
        <f ca="1">TODAY()</f>
        <v>44958</v>
      </c>
      <c r="AL245" s="173">
        <f ca="1">IF(AI245&lt;&gt;0,AK245-AI245,0)</f>
        <v>191</v>
      </c>
      <c r="AM245" s="173" t="str">
        <f>IF(ISNUMBER(X245)=TRUE,AK245-X245,IF(X245="","",(AK245)-(MID(RIGHT(X245,10),4,2)&amp;"/"&amp;LEFT((RIGHT(X245,10)),2)&amp;"/"&amp;RIGHT(X245,4))))</f>
        <v/>
      </c>
      <c r="AN245" s="181"/>
      <c r="AO245" s="190" t="s">
        <v>1107</v>
      </c>
      <c r="AP245" s="176">
        <v>4.992</v>
      </c>
      <c r="AQ245" s="176">
        <v>5.032</v>
      </c>
      <c r="AR245" s="176">
        <v>5.0570000000000004</v>
      </c>
      <c r="AS245" s="176">
        <v>5.0620000000000003</v>
      </c>
      <c r="AT245" s="173" t="str">
        <f>IF(ISNUMBER(U245)=TRUE,AK245-U245,IF(U245="","",(AK245)-(MID(RIGHT(U245,10),4,2)&amp;"/"&amp;LEFT((RIGHT(U245,10)),2)&amp;"/"&amp;RIGHT(U245,4))))</f>
        <v/>
      </c>
      <c r="AU245" s="173">
        <v>444</v>
      </c>
      <c r="AW245" s="142" t="s">
        <v>123</v>
      </c>
    </row>
    <row r="246" spans="2:49" s="142" customFormat="1" ht="21" customHeight="1" x14ac:dyDescent="0.25">
      <c r="B246" s="173" t="str">
        <f>IF(C246="HOLD RM","HOLD RM",IF(C246="BAL","WIP",IF(C246="HOLD SLT","HOLD SLT",IF(C246="MILL","RM",IF(C246="RE SLT","WIP",IF(C246="RM","RM",IF(C246="RM BAL","RM",IF(C246="RM SLT","RM",IF(C246="RR","WIP",IF(C246="SKP","WIP",IF(C246="SLT","WIP",IF(C246="CTL","WIP",IF(C246="RM SLT RUST","RM SLT RUST",0)))))))))))))&amp;"-"&amp;G246&amp;"/"&amp;IF(H246="2B","2B",IF(H246="NO.1","1D",IF(H246="FH","FH",0)))&amp;"-"&amp;IF(J246="",(TEXT(I246,"0.00")),TEXT(J246,"0.00"))&amp;"X"&amp;M246</f>
        <v>WIP-J3/FH-1.10X610</v>
      </c>
      <c r="C246" s="173" t="s">
        <v>16</v>
      </c>
      <c r="D246" s="173" t="s">
        <v>16</v>
      </c>
      <c r="E246" s="190" t="s">
        <v>1114</v>
      </c>
      <c r="F246" s="190" t="s">
        <v>1115</v>
      </c>
      <c r="G246" s="173" t="s">
        <v>34</v>
      </c>
      <c r="H246" s="173" t="s">
        <v>70</v>
      </c>
      <c r="I246" s="174">
        <v>2.2000000000000002</v>
      </c>
      <c r="J246" s="174">
        <v>1.1000000000000001</v>
      </c>
      <c r="K246" s="174"/>
      <c r="L246" s="174"/>
      <c r="M246" s="191">
        <v>610</v>
      </c>
      <c r="N246" s="176">
        <v>4.5730000000000004</v>
      </c>
      <c r="O246" s="176" t="s">
        <v>114</v>
      </c>
      <c r="P246" s="177"/>
      <c r="Q246" s="178" t="s">
        <v>294</v>
      </c>
      <c r="R246" s="179"/>
      <c r="S246" s="179"/>
      <c r="T246" s="177">
        <v>44865</v>
      </c>
      <c r="U246" s="177"/>
      <c r="V246" s="177"/>
      <c r="W246" s="177">
        <v>44868</v>
      </c>
      <c r="X246" s="177"/>
      <c r="Y246" s="177"/>
      <c r="Z246" s="177"/>
      <c r="AA246" s="177"/>
      <c r="AB246" s="177"/>
      <c r="AC246" s="177"/>
      <c r="AD246" s="180"/>
      <c r="AE246" s="173" t="s">
        <v>69</v>
      </c>
      <c r="AF246" s="181" t="s">
        <v>1065</v>
      </c>
      <c r="AG246" s="181" t="s">
        <v>1066</v>
      </c>
      <c r="AH246" s="181">
        <v>44729</v>
      </c>
      <c r="AI246" s="181">
        <v>44767</v>
      </c>
      <c r="AJ246" s="181"/>
      <c r="AK246" s="181">
        <f ca="1">TODAY()</f>
        <v>44958</v>
      </c>
      <c r="AL246" s="173">
        <f ca="1">IF(AI246&lt;&gt;0,AK246-AI246,0)</f>
        <v>191</v>
      </c>
      <c r="AM246" s="173" t="str">
        <f>IF(ISNUMBER(X246)=TRUE,AK246-X246,IF(X246="","",(AK246)-(MID(RIGHT(X246,10),4,2)&amp;"/"&amp;LEFT((RIGHT(X246,10)),2)&amp;"/"&amp;RIGHT(X246,4))))</f>
        <v/>
      </c>
      <c r="AN246" s="181"/>
      <c r="AO246" s="190" t="s">
        <v>1116</v>
      </c>
      <c r="AP246" s="176">
        <v>4.5730000000000004</v>
      </c>
      <c r="AQ246" s="176">
        <v>4.6130000000000004</v>
      </c>
      <c r="AR246" s="176">
        <v>4.6380000000000008</v>
      </c>
      <c r="AS246" s="176">
        <v>4.6430000000000007</v>
      </c>
      <c r="AT246" s="173" t="str">
        <f>IF(ISNUMBER(U246)=TRUE,AK246-U246,IF(U246="","",(AK246)-(MID(RIGHT(U246,10),4,2)&amp;"/"&amp;LEFT((RIGHT(U246,10)),2)&amp;"/"&amp;RIGHT(U246,4))))</f>
        <v/>
      </c>
      <c r="AU246" s="173">
        <v>444</v>
      </c>
      <c r="AW246" s="142" t="s">
        <v>123</v>
      </c>
    </row>
    <row r="247" spans="2:49" s="142" customFormat="1" ht="21" customHeight="1" x14ac:dyDescent="0.25">
      <c r="B247" s="173" t="str">
        <f>IF(C247="HOLD RM","HOLD RM",IF(C247="BAL","WIP",IF(C247="HOLD SLT","HOLD SLT",IF(C247="MILL","RM",IF(C247="RE SLT","WIP",IF(C247="RM","RM",IF(C247="RM BAL","RM",IF(C247="RM SLT","RM",IF(C247="RR","WIP",IF(C247="SKP","WIP",IF(C247="SLT","WIP",IF(C247="CTL","WIP",IF(C247="RM SLT RUST","RM SLT RUST",0)))))))))))))&amp;"-"&amp;G247&amp;"/"&amp;IF(H247="2B","2B",IF(H247="NO.1","1D",IF(H247="FH","FH",0)))&amp;"-"&amp;IF(J247="",(TEXT(I247,"0.00")),TEXT(J247,"0.00"))&amp;"X"&amp;M247</f>
        <v>RM-J3/1D-2.20X620</v>
      </c>
      <c r="C247" s="173" t="s">
        <v>48</v>
      </c>
      <c r="D247" s="173" t="s">
        <v>48</v>
      </c>
      <c r="E247" s="190" t="s">
        <v>1117</v>
      </c>
      <c r="F247" s="190" t="s">
        <v>1118</v>
      </c>
      <c r="G247" s="173" t="s">
        <v>34</v>
      </c>
      <c r="H247" s="173" t="s">
        <v>127</v>
      </c>
      <c r="I247" s="174">
        <v>2.2000000000000002</v>
      </c>
      <c r="J247" s="174"/>
      <c r="K247" s="174"/>
      <c r="L247" s="174"/>
      <c r="M247" s="191">
        <v>620</v>
      </c>
      <c r="N247" s="176">
        <v>4.5999999999999996</v>
      </c>
      <c r="O247" s="176"/>
      <c r="P247" s="177"/>
      <c r="Q247" s="178"/>
      <c r="R247" s="179"/>
      <c r="S247" s="179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80"/>
      <c r="AE247" s="173" t="s">
        <v>69</v>
      </c>
      <c r="AF247" s="181" t="s">
        <v>1065</v>
      </c>
      <c r="AG247" s="181" t="s">
        <v>1066</v>
      </c>
      <c r="AH247" s="181">
        <v>44729</v>
      </c>
      <c r="AI247" s="181">
        <v>44767</v>
      </c>
      <c r="AJ247" s="181"/>
      <c r="AK247" s="181">
        <f ca="1">TODAY()</f>
        <v>44958</v>
      </c>
      <c r="AL247" s="173">
        <f ca="1">IF(AI247&lt;&gt;0,AK247-AI247,0)</f>
        <v>191</v>
      </c>
      <c r="AM247" s="173" t="str">
        <f>IF(ISNUMBER(X247)=TRUE,AK247-X247,IF(X247="","",(AK247)-(MID(RIGHT(X247,10),4,2)&amp;"/"&amp;LEFT((RIGHT(X247,10)),2)&amp;"/"&amp;RIGHT(X247,4))))</f>
        <v/>
      </c>
      <c r="AN247" s="181"/>
      <c r="AO247" s="190" t="s">
        <v>1116</v>
      </c>
      <c r="AP247" s="176">
        <v>4.5999999999999996</v>
      </c>
      <c r="AQ247" s="176">
        <v>4.6399999999999997</v>
      </c>
      <c r="AR247" s="176">
        <v>4.665</v>
      </c>
      <c r="AS247" s="176">
        <v>4.67</v>
      </c>
      <c r="AT247" s="173" t="str">
        <f>IF(ISNUMBER(U247)=TRUE,AK247-U247,IF(U247="","",(AK247)-(MID(RIGHT(U247,10),4,2)&amp;"/"&amp;LEFT((RIGHT(U247,10)),2)&amp;"/"&amp;RIGHT(U247,4))))</f>
        <v/>
      </c>
      <c r="AU247" s="173">
        <v>444</v>
      </c>
      <c r="AW247" s="142" t="s">
        <v>123</v>
      </c>
    </row>
    <row r="248" spans="2:49" s="142" customFormat="1" ht="21" customHeight="1" x14ac:dyDescent="0.25">
      <c r="B248" s="173" t="str">
        <f>IF(C248="HOLD RM","HOLD RM",IF(C248="BAL","WIP",IF(C248="HOLD SLT","HOLD SLT",IF(C248="MILL","RM",IF(C248="RE SLT","WIP",IF(C248="RM","RM",IF(C248="RM BAL","RM",IF(C248="RM SLT","RM",IF(C248="RR","WIP",IF(C248="SKP","WIP",IF(C248="SLT","WIP",IF(C248="CTL","WIP",IF(C248="RM SLT RUST","RM SLT RUST",0)))))))))))))&amp;"-"&amp;G248&amp;"/"&amp;IF(H248="2B","2B",IF(H248="NO.1","1D",IF(H248="FH","FH",0)))&amp;"-"&amp;IF(J248="",(TEXT(I248,"0.00")),TEXT(J248,"0.00"))&amp;"X"&amp;M248</f>
        <v>RM-J3/1D-2.20X610</v>
      </c>
      <c r="C248" s="173" t="s">
        <v>48</v>
      </c>
      <c r="D248" s="173" t="s">
        <v>48</v>
      </c>
      <c r="E248" s="190" t="s">
        <v>1119</v>
      </c>
      <c r="F248" s="190" t="s">
        <v>1120</v>
      </c>
      <c r="G248" s="173" t="s">
        <v>34</v>
      </c>
      <c r="H248" s="173" t="s">
        <v>127</v>
      </c>
      <c r="I248" s="174">
        <v>2.2000000000000002</v>
      </c>
      <c r="J248" s="174"/>
      <c r="K248" s="174"/>
      <c r="L248" s="174"/>
      <c r="M248" s="191">
        <v>610</v>
      </c>
      <c r="N248" s="176">
        <v>5.226</v>
      </c>
      <c r="O248" s="176"/>
      <c r="P248" s="177"/>
      <c r="Q248" s="178"/>
      <c r="R248" s="179"/>
      <c r="S248" s="179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80"/>
      <c r="AE248" s="173" t="s">
        <v>69</v>
      </c>
      <c r="AF248" s="181" t="s">
        <v>1065</v>
      </c>
      <c r="AG248" s="181" t="s">
        <v>1066</v>
      </c>
      <c r="AH248" s="181">
        <v>44729</v>
      </c>
      <c r="AI248" s="181">
        <v>44767</v>
      </c>
      <c r="AJ248" s="181"/>
      <c r="AK248" s="181">
        <f ca="1">TODAY()</f>
        <v>44958</v>
      </c>
      <c r="AL248" s="173">
        <f ca="1">IF(AI248&lt;&gt;0,AK248-AI248,0)</f>
        <v>191</v>
      </c>
      <c r="AM248" s="173" t="str">
        <f>IF(ISNUMBER(X248)=TRUE,AK248-X248,IF(X248="","",(AK248)-(MID(RIGHT(X248,10),4,2)&amp;"/"&amp;LEFT((RIGHT(X248,10)),2)&amp;"/"&amp;RIGHT(X248,4))))</f>
        <v/>
      </c>
      <c r="AN248" s="181"/>
      <c r="AO248" s="190" t="s">
        <v>1116</v>
      </c>
      <c r="AP248" s="176">
        <v>5.226</v>
      </c>
      <c r="AQ248" s="176">
        <v>5.266</v>
      </c>
      <c r="AR248" s="176">
        <v>5.2910000000000004</v>
      </c>
      <c r="AS248" s="176">
        <v>5.2960000000000003</v>
      </c>
      <c r="AT248" s="173" t="str">
        <f>IF(ISNUMBER(U248)=TRUE,AK248-U248,IF(U248="","",(AK248)-(MID(RIGHT(U248,10),4,2)&amp;"/"&amp;LEFT((RIGHT(U248,10)),2)&amp;"/"&amp;RIGHT(U248,4))))</f>
        <v/>
      </c>
      <c r="AU248" s="173">
        <v>444</v>
      </c>
      <c r="AW248" s="142" t="s">
        <v>123</v>
      </c>
    </row>
    <row r="249" spans="2:49" s="142" customFormat="1" ht="21" customHeight="1" x14ac:dyDescent="0.25">
      <c r="B249" s="173" t="str">
        <f>IF(C249="HOLD RM","HOLD RM",IF(C249="BAL","WIP",IF(C249="HOLD SLT","HOLD SLT",IF(C249="MILL","RM",IF(C249="RE SLT","WIP",IF(C249="RM","RM",IF(C249="RM BAL","RM",IF(C249="RM SLT","RM",IF(C249="RR","WIP",IF(C249="SKP","WIP",IF(C249="SLT","WIP",IF(C249="CTL","WIP",IF(C249="RM SLT RUST","RM SLT RUST",0)))))))))))))&amp;"-"&amp;G249&amp;"/"&amp;IF(H249="2B","2B",IF(H249="NO.1","1D",IF(H249="FH","FH",0)))&amp;"-"&amp;IF(J249="",(TEXT(I249,"0.00")),TEXT(J249,"0.00"))&amp;"X"&amp;M249</f>
        <v>RM-J3/1D-2.20X620</v>
      </c>
      <c r="C249" s="173" t="s">
        <v>48</v>
      </c>
      <c r="D249" s="173" t="s">
        <v>48</v>
      </c>
      <c r="E249" s="190" t="s">
        <v>1121</v>
      </c>
      <c r="F249" s="190" t="s">
        <v>1122</v>
      </c>
      <c r="G249" s="173" t="s">
        <v>34</v>
      </c>
      <c r="H249" s="173" t="s">
        <v>127</v>
      </c>
      <c r="I249" s="174">
        <v>2.2000000000000002</v>
      </c>
      <c r="J249" s="174"/>
      <c r="K249" s="174"/>
      <c r="L249" s="174"/>
      <c r="M249" s="191">
        <v>620</v>
      </c>
      <c r="N249" s="176">
        <v>5.2560000000000002</v>
      </c>
      <c r="O249" s="176"/>
      <c r="P249" s="177"/>
      <c r="Q249" s="178"/>
      <c r="R249" s="179"/>
      <c r="S249" s="179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80"/>
      <c r="AE249" s="173" t="s">
        <v>69</v>
      </c>
      <c r="AF249" s="181" t="s">
        <v>1065</v>
      </c>
      <c r="AG249" s="181" t="s">
        <v>1066</v>
      </c>
      <c r="AH249" s="181">
        <v>44729</v>
      </c>
      <c r="AI249" s="181">
        <v>44767</v>
      </c>
      <c r="AJ249" s="181"/>
      <c r="AK249" s="181">
        <f ca="1">TODAY()</f>
        <v>44958</v>
      </c>
      <c r="AL249" s="173">
        <f ca="1">IF(AI249&lt;&gt;0,AK249-AI249,0)</f>
        <v>191</v>
      </c>
      <c r="AM249" s="173" t="str">
        <f>IF(ISNUMBER(X249)=TRUE,AK249-X249,IF(X249="","",(AK249)-(MID(RIGHT(X249,10),4,2)&amp;"/"&amp;LEFT((RIGHT(X249,10)),2)&amp;"/"&amp;RIGHT(X249,4))))</f>
        <v/>
      </c>
      <c r="AN249" s="181"/>
      <c r="AO249" s="190" t="s">
        <v>1116</v>
      </c>
      <c r="AP249" s="176">
        <v>5.2560000000000002</v>
      </c>
      <c r="AQ249" s="176">
        <v>5.2960000000000003</v>
      </c>
      <c r="AR249" s="176">
        <v>5.3210000000000006</v>
      </c>
      <c r="AS249" s="176">
        <v>5.3260000000000005</v>
      </c>
      <c r="AT249" s="173" t="str">
        <f>IF(ISNUMBER(U249)=TRUE,AK249-U249,IF(U249="","",(AK249)-(MID(RIGHT(U249,10),4,2)&amp;"/"&amp;LEFT((RIGHT(U249,10)),2)&amp;"/"&amp;RIGHT(U249,4))))</f>
        <v/>
      </c>
      <c r="AU249" s="173">
        <v>444</v>
      </c>
      <c r="AW249" s="142" t="s">
        <v>123</v>
      </c>
    </row>
    <row r="250" spans="2:49" s="142" customFormat="1" ht="21" customHeight="1" x14ac:dyDescent="0.25">
      <c r="B250" s="173" t="str">
        <f>IF(C250="HOLD RM","HOLD RM",IF(C250="BAL","WIP",IF(C250="HOLD SLT","HOLD SLT",IF(C250="MILL","RM",IF(C250="RE SLT","WIP",IF(C250="RM","RM",IF(C250="RM BAL","RM",IF(C250="RM SLT","RM",IF(C250="RR","WIP",IF(C250="SKP","WIP",IF(C250="SLT","WIP",IF(C250="CTL","WIP",IF(C250="RM SLT RUST","RM SLT RUST",0)))))))))))))&amp;"-"&amp;G250&amp;"/"&amp;IF(H250="2B","2B",IF(H250="NO.1","1D",IF(H250="FH","FH",0)))&amp;"-"&amp;IF(J250="",(TEXT(I250,"0.00")),TEXT(J250,"0.00"))&amp;"X"&amp;M250</f>
        <v>RM-J3/1D-2.20X610</v>
      </c>
      <c r="C250" s="173" t="s">
        <v>48</v>
      </c>
      <c r="D250" s="173" t="s">
        <v>48</v>
      </c>
      <c r="E250" s="190" t="s">
        <v>1123</v>
      </c>
      <c r="F250" s="190" t="s">
        <v>1124</v>
      </c>
      <c r="G250" s="173" t="s">
        <v>34</v>
      </c>
      <c r="H250" s="173" t="s">
        <v>127</v>
      </c>
      <c r="I250" s="174">
        <v>2.2000000000000002</v>
      </c>
      <c r="J250" s="174"/>
      <c r="K250" s="174"/>
      <c r="L250" s="174"/>
      <c r="M250" s="191">
        <v>610</v>
      </c>
      <c r="N250" s="176">
        <v>4.8789999999999996</v>
      </c>
      <c r="O250" s="176"/>
      <c r="P250" s="177"/>
      <c r="Q250" s="178"/>
      <c r="R250" s="179"/>
      <c r="S250" s="179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80"/>
      <c r="AE250" s="173" t="s">
        <v>69</v>
      </c>
      <c r="AF250" s="181" t="s">
        <v>1065</v>
      </c>
      <c r="AG250" s="181" t="s">
        <v>1066</v>
      </c>
      <c r="AH250" s="181">
        <v>44729</v>
      </c>
      <c r="AI250" s="181">
        <v>44767</v>
      </c>
      <c r="AJ250" s="181"/>
      <c r="AK250" s="181">
        <f ca="1">TODAY()</f>
        <v>44958</v>
      </c>
      <c r="AL250" s="173">
        <f ca="1">IF(AI250&lt;&gt;0,AK250-AI250,0)</f>
        <v>191</v>
      </c>
      <c r="AM250" s="173" t="str">
        <f>IF(ISNUMBER(X250)=TRUE,AK250-X250,IF(X250="","",(AK250)-(MID(RIGHT(X250,10),4,2)&amp;"/"&amp;LEFT((RIGHT(X250,10)),2)&amp;"/"&amp;RIGHT(X250,4))))</f>
        <v/>
      </c>
      <c r="AN250" s="181"/>
      <c r="AO250" s="190" t="s">
        <v>1125</v>
      </c>
      <c r="AP250" s="176">
        <v>4.8789999999999996</v>
      </c>
      <c r="AQ250" s="176">
        <v>4.9189999999999996</v>
      </c>
      <c r="AR250" s="176">
        <v>4.944</v>
      </c>
      <c r="AS250" s="176">
        <v>4.9489999999999998</v>
      </c>
      <c r="AT250" s="173" t="str">
        <f>IF(ISNUMBER(U250)=TRUE,AK250-U250,IF(U250="","",(AK250)-(MID(RIGHT(U250,10),4,2)&amp;"/"&amp;LEFT((RIGHT(U250,10)),2)&amp;"/"&amp;RIGHT(U250,4))))</f>
        <v/>
      </c>
      <c r="AU250" s="173">
        <v>444</v>
      </c>
      <c r="AW250" s="142" t="s">
        <v>123</v>
      </c>
    </row>
    <row r="251" spans="2:49" s="142" customFormat="1" ht="21" customHeight="1" x14ac:dyDescent="0.25">
      <c r="B251" s="173" t="str">
        <f>IF(C251="HOLD RM","HOLD RM",IF(C251="BAL","WIP",IF(C251="HOLD SLT","HOLD SLT",IF(C251="MILL","RM",IF(C251="RE SLT","WIP",IF(C251="RM","RM",IF(C251="RM BAL","RM",IF(C251="RM SLT","RM",IF(C251="RR","WIP",IF(C251="SKP","WIP",IF(C251="SLT","WIP",IF(C251="CTL","WIP",IF(C251="RM SLT RUST","RM SLT RUST",0)))))))))))))&amp;"-"&amp;G251&amp;"/"&amp;IF(H251="2B","2B",IF(H251="NO.1","1D",IF(H251="FH","FH",0)))&amp;"-"&amp;IF(J251="",(TEXT(I251,"0.00")),TEXT(J251,"0.00"))&amp;"X"&amp;M251</f>
        <v>RM-J3/1D-2.20X615</v>
      </c>
      <c r="C251" s="173" t="s">
        <v>48</v>
      </c>
      <c r="D251" s="173" t="s">
        <v>48</v>
      </c>
      <c r="E251" s="190" t="s">
        <v>1126</v>
      </c>
      <c r="F251" s="190" t="s">
        <v>1127</v>
      </c>
      <c r="G251" s="173" t="s">
        <v>34</v>
      </c>
      <c r="H251" s="173" t="s">
        <v>127</v>
      </c>
      <c r="I251" s="174">
        <v>2.2000000000000002</v>
      </c>
      <c r="J251" s="174"/>
      <c r="K251" s="174"/>
      <c r="L251" s="174"/>
      <c r="M251" s="191">
        <v>615</v>
      </c>
      <c r="N251" s="176">
        <v>4.8959999999999999</v>
      </c>
      <c r="O251" s="176"/>
      <c r="P251" s="177"/>
      <c r="Q251" s="178"/>
      <c r="R251" s="179"/>
      <c r="S251" s="179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80"/>
      <c r="AE251" s="173" t="s">
        <v>69</v>
      </c>
      <c r="AF251" s="181" t="s">
        <v>1065</v>
      </c>
      <c r="AG251" s="181" t="s">
        <v>1066</v>
      </c>
      <c r="AH251" s="181">
        <v>44729</v>
      </c>
      <c r="AI251" s="181">
        <v>44767</v>
      </c>
      <c r="AJ251" s="181"/>
      <c r="AK251" s="181">
        <f ca="1">TODAY()</f>
        <v>44958</v>
      </c>
      <c r="AL251" s="173">
        <f ca="1">IF(AI251&lt;&gt;0,AK251-AI251,0)</f>
        <v>191</v>
      </c>
      <c r="AM251" s="173" t="str">
        <f>IF(ISNUMBER(X251)=TRUE,AK251-X251,IF(X251="","",(AK251)-(MID(RIGHT(X251,10),4,2)&amp;"/"&amp;LEFT((RIGHT(X251,10)),2)&amp;"/"&amp;RIGHT(X251,4))))</f>
        <v/>
      </c>
      <c r="AN251" s="181"/>
      <c r="AO251" s="190" t="s">
        <v>1125</v>
      </c>
      <c r="AP251" s="176">
        <v>4.8959999999999999</v>
      </c>
      <c r="AQ251" s="176">
        <v>4.9359999999999999</v>
      </c>
      <c r="AR251" s="176">
        <v>4.9610000000000003</v>
      </c>
      <c r="AS251" s="176">
        <v>4.9660000000000002</v>
      </c>
      <c r="AT251" s="173" t="str">
        <f>IF(ISNUMBER(U251)=TRUE,AK251-U251,IF(U251="","",(AK251)-(MID(RIGHT(U251,10),4,2)&amp;"/"&amp;LEFT((RIGHT(U251,10)),2)&amp;"/"&amp;RIGHT(U251,4))))</f>
        <v/>
      </c>
      <c r="AU251" s="173">
        <v>444</v>
      </c>
      <c r="AW251" s="142" t="s">
        <v>123</v>
      </c>
    </row>
    <row r="252" spans="2:49" s="142" customFormat="1" ht="21" customHeight="1" x14ac:dyDescent="0.25">
      <c r="B252" s="173" t="str">
        <f>IF(C252="HOLD RM","HOLD RM",IF(C252="BAL","WIP",IF(C252="HOLD SLT","HOLD SLT",IF(C252="MILL","RM",IF(C252="RE SLT","WIP",IF(C252="RM","RM",IF(C252="RM BAL","RM",IF(C252="RM SLT","RM",IF(C252="RR","WIP",IF(C252="SKP","WIP",IF(C252="SLT","WIP",IF(C252="CTL","WIP",IF(C252="RM SLT RUST","RM SLT RUST",0)))))))))))))&amp;"-"&amp;G252&amp;"/"&amp;IF(H252="2B","2B",IF(H252="NO.1","1D",IF(H252="FH","FH",0)))&amp;"-"&amp;IF(J252="",(TEXT(I252,"0.00")),TEXT(J252,"0.00"))&amp;"X"&amp;M252</f>
        <v>RM-J3/1D-2.20X610</v>
      </c>
      <c r="C252" s="173" t="s">
        <v>48</v>
      </c>
      <c r="D252" s="173" t="s">
        <v>48</v>
      </c>
      <c r="E252" s="190" t="s">
        <v>1128</v>
      </c>
      <c r="F252" s="190" t="s">
        <v>1129</v>
      </c>
      <c r="G252" s="173" t="s">
        <v>34</v>
      </c>
      <c r="H252" s="173" t="s">
        <v>127</v>
      </c>
      <c r="I252" s="174">
        <v>2.2000000000000002</v>
      </c>
      <c r="J252" s="174"/>
      <c r="K252" s="174"/>
      <c r="L252" s="174"/>
      <c r="M252" s="191">
        <v>610</v>
      </c>
      <c r="N252" s="176">
        <v>5.0380000000000003</v>
      </c>
      <c r="O252" s="176"/>
      <c r="P252" s="177"/>
      <c r="Q252" s="178"/>
      <c r="R252" s="179"/>
      <c r="S252" s="179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80"/>
      <c r="AE252" s="173" t="s">
        <v>69</v>
      </c>
      <c r="AF252" s="181" t="s">
        <v>1065</v>
      </c>
      <c r="AG252" s="181" t="s">
        <v>1066</v>
      </c>
      <c r="AH252" s="181">
        <v>44729</v>
      </c>
      <c r="AI252" s="181">
        <v>44767</v>
      </c>
      <c r="AJ252" s="181"/>
      <c r="AK252" s="181">
        <f ca="1">TODAY()</f>
        <v>44958</v>
      </c>
      <c r="AL252" s="173">
        <f ca="1">IF(AI252&lt;&gt;0,AK252-AI252,0)</f>
        <v>191</v>
      </c>
      <c r="AM252" s="173" t="str">
        <f>IF(ISNUMBER(X252)=TRUE,AK252-X252,IF(X252="","",(AK252)-(MID(RIGHT(X252,10),4,2)&amp;"/"&amp;LEFT((RIGHT(X252,10)),2)&amp;"/"&amp;RIGHT(X252,4))))</f>
        <v/>
      </c>
      <c r="AN252" s="181"/>
      <c r="AO252" s="190" t="s">
        <v>1125</v>
      </c>
      <c r="AP252" s="176">
        <v>5.0380000000000003</v>
      </c>
      <c r="AQ252" s="176">
        <v>5.0780000000000003</v>
      </c>
      <c r="AR252" s="176">
        <v>5.1030000000000006</v>
      </c>
      <c r="AS252" s="176">
        <v>5.1080000000000005</v>
      </c>
      <c r="AT252" s="173" t="str">
        <f>IF(ISNUMBER(U252)=TRUE,AK252-U252,IF(U252="","",(AK252)-(MID(RIGHT(U252,10),4,2)&amp;"/"&amp;LEFT((RIGHT(U252,10)),2)&amp;"/"&amp;RIGHT(U252,4))))</f>
        <v/>
      </c>
      <c r="AU252" s="173">
        <v>444</v>
      </c>
      <c r="AW252" s="142" t="s">
        <v>123</v>
      </c>
    </row>
    <row r="253" spans="2:49" s="142" customFormat="1" ht="21" customHeight="1" x14ac:dyDescent="0.25">
      <c r="B253" s="173" t="str">
        <f>IF(C253="HOLD RM","HOLD RM",IF(C253="BAL","WIP",IF(C253="HOLD SLT","HOLD SLT",IF(C253="MILL","RM",IF(C253="RE SLT","WIP",IF(C253="RM","RM",IF(C253="RM BAL","RM",IF(C253="RM SLT","RM",IF(C253="RR","WIP",IF(C253="SKP","WIP",IF(C253="SLT","WIP",IF(C253="CTL","WIP",IF(C253="RM SLT RUST","RM SLT RUST",0)))))))))))))&amp;"-"&amp;G253&amp;"/"&amp;IF(H253="2B","2B",IF(H253="NO.1","1D",IF(H253="FH","FH",0)))&amp;"-"&amp;IF(J253="",(TEXT(I253,"0.00")),TEXT(J253,"0.00"))&amp;"X"&amp;M253</f>
        <v>RM-J3/1D-2.20X620</v>
      </c>
      <c r="C253" s="173" t="s">
        <v>48</v>
      </c>
      <c r="D253" s="173" t="s">
        <v>48</v>
      </c>
      <c r="E253" s="190" t="s">
        <v>1130</v>
      </c>
      <c r="F253" s="190" t="s">
        <v>1131</v>
      </c>
      <c r="G253" s="173" t="s">
        <v>34</v>
      </c>
      <c r="H253" s="173" t="s">
        <v>127</v>
      </c>
      <c r="I253" s="174">
        <v>2.2000000000000002</v>
      </c>
      <c r="J253" s="174"/>
      <c r="K253" s="174"/>
      <c r="L253" s="174"/>
      <c r="M253" s="191">
        <v>620</v>
      </c>
      <c r="N253" s="176">
        <v>10.002000000000001</v>
      </c>
      <c r="O253" s="176"/>
      <c r="P253" s="177"/>
      <c r="Q253" s="178"/>
      <c r="R253" s="179"/>
      <c r="S253" s="179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80"/>
      <c r="AE253" s="173" t="s">
        <v>69</v>
      </c>
      <c r="AF253" s="181" t="s">
        <v>1065</v>
      </c>
      <c r="AG253" s="181" t="s">
        <v>1066</v>
      </c>
      <c r="AH253" s="181">
        <v>44729</v>
      </c>
      <c r="AI253" s="181">
        <v>44767</v>
      </c>
      <c r="AJ253" s="181"/>
      <c r="AK253" s="181">
        <f ca="1">TODAY()</f>
        <v>44958</v>
      </c>
      <c r="AL253" s="173">
        <f ca="1">IF(AI253&lt;&gt;0,AK253-AI253,0)</f>
        <v>191</v>
      </c>
      <c r="AM253" s="173" t="str">
        <f>IF(ISNUMBER(X253)=TRUE,AK253-X253,IF(X253="","",(AK253)-(MID(RIGHT(X253,10),4,2)&amp;"/"&amp;LEFT((RIGHT(X253,10)),2)&amp;"/"&amp;RIGHT(X253,4))))</f>
        <v/>
      </c>
      <c r="AN253" s="181"/>
      <c r="AO253" s="190" t="s">
        <v>1132</v>
      </c>
      <c r="AP253" s="176">
        <v>10.002000000000001</v>
      </c>
      <c r="AQ253" s="176">
        <v>10.042</v>
      </c>
      <c r="AR253" s="176">
        <v>10.066999999999998</v>
      </c>
      <c r="AS253" s="176">
        <v>10.071999999999999</v>
      </c>
      <c r="AT253" s="173" t="str">
        <f>IF(ISNUMBER(U253)=TRUE,AK253-U253,IF(U253="","",(AK253)-(MID(RIGHT(U253,10),4,2)&amp;"/"&amp;LEFT((RIGHT(U253,10)),2)&amp;"/"&amp;RIGHT(U253,4))))</f>
        <v/>
      </c>
      <c r="AU253" s="173">
        <v>444</v>
      </c>
      <c r="AW253" s="142" t="s">
        <v>123</v>
      </c>
    </row>
    <row r="254" spans="2:49" s="142" customFormat="1" ht="21" customHeight="1" x14ac:dyDescent="0.25">
      <c r="B254" s="173" t="str">
        <f>IF(C254="HOLD RM","HOLD RM",IF(C254="BAL","WIP",IF(C254="HOLD SLT","HOLD SLT",IF(C254="MILL","RM",IF(C254="RE SLT","WIP",IF(C254="RM","RM",IF(C254="RM BAL","RM",IF(C254="RM SLT","RM",IF(C254="RR","WIP",IF(C254="SKP","WIP",IF(C254="SLT","WIP",IF(C254="CTL","WIP",IF(C254="RM SLT RUST","RM SLT RUST",0)))))))))))))&amp;"-"&amp;G254&amp;"/"&amp;IF(H254="2B","2B",IF(H254="NO.1","1D",IF(H254="FH","FH",0)))&amp;"-"&amp;IF(J254="",(TEXT(I254,"0.00")),TEXT(J254,"0.00"))&amp;"X"&amp;M254</f>
        <v>RM-J3/1D-2.40X620</v>
      </c>
      <c r="C254" s="173" t="s">
        <v>48</v>
      </c>
      <c r="D254" s="173" t="s">
        <v>48</v>
      </c>
      <c r="E254" s="190" t="s">
        <v>1133</v>
      </c>
      <c r="F254" s="190" t="s">
        <v>1134</v>
      </c>
      <c r="G254" s="173" t="s">
        <v>34</v>
      </c>
      <c r="H254" s="173" t="s">
        <v>127</v>
      </c>
      <c r="I254" s="174">
        <v>2.4</v>
      </c>
      <c r="J254" s="174"/>
      <c r="K254" s="174"/>
      <c r="L254" s="174"/>
      <c r="M254" s="191">
        <v>620</v>
      </c>
      <c r="N254" s="176">
        <v>9.9930000000000003</v>
      </c>
      <c r="O254" s="176"/>
      <c r="P254" s="177"/>
      <c r="Q254" s="178"/>
      <c r="R254" s="179"/>
      <c r="S254" s="179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80"/>
      <c r="AE254" s="173" t="s">
        <v>69</v>
      </c>
      <c r="AF254" s="181" t="s">
        <v>1065</v>
      </c>
      <c r="AG254" s="181" t="s">
        <v>1066</v>
      </c>
      <c r="AH254" s="181">
        <v>44729</v>
      </c>
      <c r="AI254" s="181">
        <v>44767</v>
      </c>
      <c r="AJ254" s="181"/>
      <c r="AK254" s="181">
        <f ca="1">TODAY()</f>
        <v>44958</v>
      </c>
      <c r="AL254" s="173">
        <f ca="1">IF(AI254&lt;&gt;0,AK254-AI254,0)</f>
        <v>191</v>
      </c>
      <c r="AM254" s="173" t="str">
        <f>IF(ISNUMBER(X254)=TRUE,AK254-X254,IF(X254="","",(AK254)-(MID(RIGHT(X254,10),4,2)&amp;"/"&amp;LEFT((RIGHT(X254,10)),2)&amp;"/"&amp;RIGHT(X254,4))))</f>
        <v/>
      </c>
      <c r="AN254" s="181"/>
      <c r="AO254" s="190" t="s">
        <v>1135</v>
      </c>
      <c r="AP254" s="176">
        <v>9.9930000000000003</v>
      </c>
      <c r="AQ254" s="176">
        <v>10.032999999999999</v>
      </c>
      <c r="AR254" s="176">
        <v>10.057999999999998</v>
      </c>
      <c r="AS254" s="176">
        <v>10.062999999999999</v>
      </c>
      <c r="AT254" s="173" t="str">
        <f>IF(ISNUMBER(U254)=TRUE,AK254-U254,IF(U254="","",(AK254)-(MID(RIGHT(U254,10),4,2)&amp;"/"&amp;LEFT((RIGHT(U254,10)),2)&amp;"/"&amp;RIGHT(U254,4))))</f>
        <v/>
      </c>
      <c r="AU254" s="173">
        <v>444</v>
      </c>
      <c r="AW254" s="142" t="s">
        <v>123</v>
      </c>
    </row>
    <row r="255" spans="2:49" s="142" customFormat="1" ht="21" customHeight="1" x14ac:dyDescent="0.25">
      <c r="B255" s="173" t="str">
        <f>IF(C255="HOLD RM","HOLD RM",IF(C255="BAL","WIP",IF(C255="HOLD SLT","HOLD SLT",IF(C255="MILL","RM",IF(C255="RE SLT","WIP",IF(C255="RM","RM",IF(C255="RM BAL","RM",IF(C255="RM SLT","RM",IF(C255="RR","WIP",IF(C255="SKP","WIP",IF(C255="SLT","WIP",IF(C255="CTL","WIP",IF(C255="RM SLT RUST","RM SLT RUST",0)))))))))))))&amp;"-"&amp;G255&amp;"/"&amp;IF(H255="2B","2B",IF(H255="NO.1","1D",IF(H255="FH","FH",0)))&amp;"-"&amp;IF(J255="",(TEXT(I255,"0.00")),TEXT(J255,"0.00"))&amp;"X"&amp;M255</f>
        <v>WIP-J3/FH-1.10X620</v>
      </c>
      <c r="C255" s="173" t="s">
        <v>16</v>
      </c>
      <c r="D255" s="173" t="s">
        <v>16</v>
      </c>
      <c r="E255" s="190" t="s">
        <v>1136</v>
      </c>
      <c r="F255" s="190" t="s">
        <v>1137</v>
      </c>
      <c r="G255" s="173" t="s">
        <v>34</v>
      </c>
      <c r="H255" s="173" t="s">
        <v>70</v>
      </c>
      <c r="I255" s="174">
        <v>2.4</v>
      </c>
      <c r="J255" s="174">
        <v>1.1000000000000001</v>
      </c>
      <c r="K255" s="174"/>
      <c r="L255" s="174"/>
      <c r="M255" s="191">
        <v>620</v>
      </c>
      <c r="N255" s="176">
        <v>9.9350000000000005</v>
      </c>
      <c r="O255" s="176" t="s">
        <v>114</v>
      </c>
      <c r="P255" s="177"/>
      <c r="Q255" s="178" t="s">
        <v>295</v>
      </c>
      <c r="R255" s="179"/>
      <c r="S255" s="179"/>
      <c r="T255" s="177">
        <v>44848</v>
      </c>
      <c r="U255" s="177"/>
      <c r="V255" s="177">
        <v>44848</v>
      </c>
      <c r="W255" s="177"/>
      <c r="X255" s="177"/>
      <c r="Y255" s="177"/>
      <c r="Z255" s="177"/>
      <c r="AA255" s="177"/>
      <c r="AB255" s="177"/>
      <c r="AC255" s="177"/>
      <c r="AD255" s="180"/>
      <c r="AE255" s="173" t="s">
        <v>69</v>
      </c>
      <c r="AF255" s="181" t="s">
        <v>1065</v>
      </c>
      <c r="AG255" s="181" t="s">
        <v>1066</v>
      </c>
      <c r="AH255" s="181">
        <v>44729</v>
      </c>
      <c r="AI255" s="181">
        <v>44767</v>
      </c>
      <c r="AJ255" s="181"/>
      <c r="AK255" s="181">
        <f ca="1">TODAY()</f>
        <v>44958</v>
      </c>
      <c r="AL255" s="173">
        <f ca="1">IF(AI255&lt;&gt;0,AK255-AI255,0)</f>
        <v>191</v>
      </c>
      <c r="AM255" s="173" t="str">
        <f>IF(ISNUMBER(X255)=TRUE,AK255-X255,IF(X255="","",(AK255)-(MID(RIGHT(X255,10),4,2)&amp;"/"&amp;LEFT((RIGHT(X255,10)),2)&amp;"/"&amp;RIGHT(X255,4))))</f>
        <v/>
      </c>
      <c r="AN255" s="181"/>
      <c r="AO255" s="190" t="s">
        <v>1135</v>
      </c>
      <c r="AP255" s="176">
        <v>9.9570000000000007</v>
      </c>
      <c r="AQ255" s="176">
        <v>9.9969999999999999</v>
      </c>
      <c r="AR255" s="176">
        <v>10.021999999999998</v>
      </c>
      <c r="AS255" s="176">
        <v>10.026999999999999</v>
      </c>
      <c r="AT255" s="173" t="str">
        <f>IF(ISNUMBER(U255)=TRUE,AK255-U255,IF(U255="","",(AK255)-(MID(RIGHT(U255,10),4,2)&amp;"/"&amp;LEFT((RIGHT(U255,10)),2)&amp;"/"&amp;RIGHT(U255,4))))</f>
        <v/>
      </c>
      <c r="AU255" s="173">
        <v>444</v>
      </c>
      <c r="AW255" s="142" t="s">
        <v>123</v>
      </c>
    </row>
    <row r="256" spans="2:49" s="142" customFormat="1" ht="21" customHeight="1" x14ac:dyDescent="0.25">
      <c r="B256" s="173" t="str">
        <f>IF(C256="HOLD RM","HOLD RM",IF(C256="BAL","WIP",IF(C256="HOLD SLT","HOLD SLT",IF(C256="MILL","RM",IF(C256="RE SLT","WIP",IF(C256="RM","RM",IF(C256="RM BAL","RM",IF(C256="RM SLT","RM",IF(C256="RR","WIP",IF(C256="SKP","WIP",IF(C256="SLT","WIP",IF(C256="CTL","WIP",IF(C256="RM SLT RUST","RM SLT RUST",0)))))))))))))&amp;"-"&amp;G256&amp;"/"&amp;IF(H256="2B","2B",IF(H256="NO.1","1D",IF(H256="FH","FH",0)))&amp;"-"&amp;IF(J256="",(TEXT(I256,"0.00")),TEXT(J256,"0.00"))&amp;"X"&amp;M256</f>
        <v>WIP-J3/FH-1.40X620</v>
      </c>
      <c r="C256" s="173" t="s">
        <v>16</v>
      </c>
      <c r="D256" s="173" t="s">
        <v>16</v>
      </c>
      <c r="E256" s="190" t="s">
        <v>1138</v>
      </c>
      <c r="F256" s="190" t="s">
        <v>1139</v>
      </c>
      <c r="G256" s="173" t="s">
        <v>34</v>
      </c>
      <c r="H256" s="173" t="s">
        <v>70</v>
      </c>
      <c r="I256" s="174">
        <v>2.4</v>
      </c>
      <c r="J256" s="174">
        <v>1.4</v>
      </c>
      <c r="K256" s="174"/>
      <c r="L256" s="174"/>
      <c r="M256" s="191">
        <v>620</v>
      </c>
      <c r="N256" s="176">
        <v>10.130000000000001</v>
      </c>
      <c r="O256" s="176" t="s">
        <v>114</v>
      </c>
      <c r="P256" s="177"/>
      <c r="Q256" s="178" t="s">
        <v>295</v>
      </c>
      <c r="R256" s="179"/>
      <c r="S256" s="179"/>
      <c r="T256" s="177">
        <v>44848</v>
      </c>
      <c r="U256" s="177"/>
      <c r="V256" s="177">
        <v>44849</v>
      </c>
      <c r="W256" s="177"/>
      <c r="X256" s="177"/>
      <c r="Y256" s="177"/>
      <c r="Z256" s="177"/>
      <c r="AA256" s="177"/>
      <c r="AB256" s="177"/>
      <c r="AC256" s="177"/>
      <c r="AD256" s="180"/>
      <c r="AE256" s="173" t="s">
        <v>69</v>
      </c>
      <c r="AF256" s="181" t="s">
        <v>1065</v>
      </c>
      <c r="AG256" s="181" t="s">
        <v>1066</v>
      </c>
      <c r="AH256" s="181">
        <v>44729</v>
      </c>
      <c r="AI256" s="181">
        <v>44767</v>
      </c>
      <c r="AJ256" s="181"/>
      <c r="AK256" s="181">
        <f ca="1">TODAY()</f>
        <v>44958</v>
      </c>
      <c r="AL256" s="173">
        <f ca="1">IF(AI256&lt;&gt;0,AK256-AI256,0)</f>
        <v>191</v>
      </c>
      <c r="AM256" s="173" t="str">
        <f>IF(ISNUMBER(X256)=TRUE,AK256-X256,IF(X256="","",(AK256)-(MID(RIGHT(X256,10),4,2)&amp;"/"&amp;LEFT((RIGHT(X256,10)),2)&amp;"/"&amp;RIGHT(X256,4))))</f>
        <v/>
      </c>
      <c r="AN256" s="181"/>
      <c r="AO256" s="190" t="s">
        <v>1140</v>
      </c>
      <c r="AP256" s="176">
        <v>10.146000000000001</v>
      </c>
      <c r="AQ256" s="176">
        <v>10.186</v>
      </c>
      <c r="AR256" s="176">
        <v>10.210999999999999</v>
      </c>
      <c r="AS256" s="176">
        <v>10.215999999999999</v>
      </c>
      <c r="AT256" s="173" t="str">
        <f>IF(ISNUMBER(U256)=TRUE,AK256-U256,IF(U256="","",(AK256)-(MID(RIGHT(U256,10),4,2)&amp;"/"&amp;LEFT((RIGHT(U256,10)),2)&amp;"/"&amp;RIGHT(U256,4))))</f>
        <v/>
      </c>
      <c r="AU256" s="173">
        <v>444</v>
      </c>
      <c r="AW256" s="142" t="s">
        <v>123</v>
      </c>
    </row>
    <row r="257" spans="2:49" s="142" customFormat="1" ht="21" customHeight="1" x14ac:dyDescent="0.25">
      <c r="B257" s="173" t="str">
        <f>IF(C257="HOLD RM","HOLD RM",IF(C257="BAL","WIP",IF(C257="HOLD SLT","HOLD SLT",IF(C257="MILL","RM",IF(C257="RE SLT","WIP",IF(C257="RM","RM",IF(C257="RM BAL","RM",IF(C257="RM SLT","RM",IF(C257="RR","WIP",IF(C257="SKP","WIP",IF(C257="SLT","WIP",IF(C257="CTL","WIP",IF(C257="RM SLT RUST","RM SLT RUST",0)))))))))))))&amp;"-"&amp;G257&amp;"/"&amp;IF(H257="2B","2B",IF(H257="NO.1","1D",IF(H257="FH","FH",0)))&amp;"-"&amp;IF(J257="",(TEXT(I257,"0.00")),TEXT(J257,"0.00"))&amp;"X"&amp;M257</f>
        <v>WIP-J3/FH-1.10X620</v>
      </c>
      <c r="C257" s="173" t="s">
        <v>16</v>
      </c>
      <c r="D257" s="173" t="s">
        <v>16</v>
      </c>
      <c r="E257" s="190" t="s">
        <v>1141</v>
      </c>
      <c r="F257" s="190" t="s">
        <v>1142</v>
      </c>
      <c r="G257" s="173" t="s">
        <v>34</v>
      </c>
      <c r="H257" s="173" t="s">
        <v>70</v>
      </c>
      <c r="I257" s="174">
        <v>2.4</v>
      </c>
      <c r="J257" s="174">
        <v>1.1000000000000001</v>
      </c>
      <c r="K257" s="174"/>
      <c r="L257" s="174"/>
      <c r="M257" s="191">
        <v>620</v>
      </c>
      <c r="N257" s="176">
        <v>10.16</v>
      </c>
      <c r="O257" s="176" t="s">
        <v>114</v>
      </c>
      <c r="P257" s="177"/>
      <c r="Q257" s="178" t="s">
        <v>295</v>
      </c>
      <c r="R257" s="179"/>
      <c r="S257" s="179"/>
      <c r="T257" s="177">
        <v>44848</v>
      </c>
      <c r="U257" s="177"/>
      <c r="V257" s="177">
        <v>44848</v>
      </c>
      <c r="W257" s="177"/>
      <c r="X257" s="177"/>
      <c r="Y257" s="177"/>
      <c r="Z257" s="177"/>
      <c r="AA257" s="177"/>
      <c r="AB257" s="177"/>
      <c r="AC257" s="177"/>
      <c r="AD257" s="180"/>
      <c r="AE257" s="173" t="s">
        <v>69</v>
      </c>
      <c r="AF257" s="181" t="s">
        <v>1065</v>
      </c>
      <c r="AG257" s="181" t="s">
        <v>1066</v>
      </c>
      <c r="AH257" s="181">
        <v>44729</v>
      </c>
      <c r="AI257" s="181">
        <v>44767</v>
      </c>
      <c r="AJ257" s="181"/>
      <c r="AK257" s="181">
        <f ca="1">TODAY()</f>
        <v>44958</v>
      </c>
      <c r="AL257" s="173">
        <f ca="1">IF(AI257&lt;&gt;0,AK257-AI257,0)</f>
        <v>191</v>
      </c>
      <c r="AM257" s="173" t="str">
        <f>IF(ISNUMBER(X257)=TRUE,AK257-X257,IF(X257="","",(AK257)-(MID(RIGHT(X257,10),4,2)&amp;"/"&amp;LEFT((RIGHT(X257,10)),2)&amp;"/"&amp;RIGHT(X257,4))))</f>
        <v/>
      </c>
      <c r="AN257" s="181"/>
      <c r="AO257" s="190" t="s">
        <v>1140</v>
      </c>
      <c r="AP257" s="176">
        <v>10.148999999999999</v>
      </c>
      <c r="AQ257" s="176">
        <v>10.188999999999998</v>
      </c>
      <c r="AR257" s="176">
        <v>10.213999999999997</v>
      </c>
      <c r="AS257" s="176">
        <v>10.218999999999998</v>
      </c>
      <c r="AT257" s="173" t="str">
        <f>IF(ISNUMBER(U257)=TRUE,AK257-U257,IF(U257="","",(AK257)-(MID(RIGHT(U257,10),4,2)&amp;"/"&amp;LEFT((RIGHT(U257,10)),2)&amp;"/"&amp;RIGHT(U257,4))))</f>
        <v/>
      </c>
      <c r="AU257" s="173">
        <v>444</v>
      </c>
      <c r="AW257" s="142" t="s">
        <v>123</v>
      </c>
    </row>
    <row r="258" spans="2:49" s="142" customFormat="1" ht="21" customHeight="1" x14ac:dyDescent="0.25">
      <c r="B258" s="173" t="str">
        <f>IF(C258="HOLD RM","HOLD RM",IF(C258="BAL","WIP",IF(C258="HOLD SLT","HOLD SLT",IF(C258="MILL","RM",IF(C258="RE SLT","WIP",IF(C258="RM","RM",IF(C258="RM BAL","RM",IF(C258="RM SLT","RM",IF(C258="RR","WIP",IF(C258="SKP","WIP",IF(C258="SLT","WIP",IF(C258="CTL","WIP",IF(C258="RM SLT RUST","RM SLT RUST",0)))))))))))))&amp;"-"&amp;G258&amp;"/"&amp;IF(H258="2B","2B",IF(H258="NO.1","1D",IF(H258="FH","FH",0)))&amp;"-"&amp;IF(J258="",(TEXT(I258,"0.00")),TEXT(J258,"0.00"))&amp;"X"&amp;M258</f>
        <v>RM-J3/1D-2.40X620</v>
      </c>
      <c r="C258" s="173" t="s">
        <v>48</v>
      </c>
      <c r="D258" s="173" t="s">
        <v>48</v>
      </c>
      <c r="E258" s="190" t="s">
        <v>1143</v>
      </c>
      <c r="F258" s="190" t="s">
        <v>1144</v>
      </c>
      <c r="G258" s="173" t="s">
        <v>34</v>
      </c>
      <c r="H258" s="173" t="s">
        <v>127</v>
      </c>
      <c r="I258" s="174">
        <v>2.4</v>
      </c>
      <c r="J258" s="174"/>
      <c r="K258" s="174"/>
      <c r="L258" s="174"/>
      <c r="M258" s="191">
        <v>620</v>
      </c>
      <c r="N258" s="176">
        <v>5.0199999999999996</v>
      </c>
      <c r="O258" s="176"/>
      <c r="P258" s="177"/>
      <c r="Q258" s="178"/>
      <c r="R258" s="179"/>
      <c r="S258" s="179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80"/>
      <c r="AE258" s="173" t="s">
        <v>69</v>
      </c>
      <c r="AF258" s="181" t="s">
        <v>248</v>
      </c>
      <c r="AG258" s="181" t="s">
        <v>1145</v>
      </c>
      <c r="AH258" s="181">
        <v>44752</v>
      </c>
      <c r="AI258" s="181">
        <v>44778</v>
      </c>
      <c r="AJ258" s="181"/>
      <c r="AK258" s="181">
        <f ca="1">TODAY()</f>
        <v>44958</v>
      </c>
      <c r="AL258" s="173">
        <f ca="1">IF(AI258&lt;&gt;0,AK258-AI258,0)</f>
        <v>180</v>
      </c>
      <c r="AM258" s="173" t="str">
        <f>IF(ISNUMBER(X258)=TRUE,AK258-X258,IF(X258="","",(AK258)-(MID(RIGHT(X258,10),4,2)&amp;"/"&amp;LEFT((RIGHT(X258,10)),2)&amp;"/"&amp;RIGHT(X258,4))))</f>
        <v/>
      </c>
      <c r="AN258" s="181"/>
      <c r="AO258" s="190" t="s">
        <v>1132</v>
      </c>
      <c r="AP258" s="176">
        <v>5.0199999999999996</v>
      </c>
      <c r="AQ258" s="176">
        <f>AP258+0.04</f>
        <v>5.0599999999999996</v>
      </c>
      <c r="AR258" s="176">
        <v>5.085</v>
      </c>
      <c r="AS258" s="176">
        <v>5.09</v>
      </c>
      <c r="AT258" s="173" t="str">
        <f>IF(ISNUMBER(U258)=TRUE,AK258-U258,IF(U258="","",(AK258)-(MID(RIGHT(U258,10),4,2)&amp;"/"&amp;LEFT((RIGHT(U258,10)),2)&amp;"/"&amp;RIGHT(U258,4))))</f>
        <v/>
      </c>
      <c r="AU258" s="173">
        <v>445</v>
      </c>
      <c r="AW258" s="142" t="s">
        <v>123</v>
      </c>
    </row>
    <row r="259" spans="2:49" s="142" customFormat="1" ht="21" customHeight="1" x14ac:dyDescent="0.25">
      <c r="B259" s="173" t="str">
        <f>IF(C259="HOLD RM","HOLD RM",IF(C259="BAL","WIP",IF(C259="HOLD SLT","HOLD SLT",IF(C259="MILL","RM",IF(C259="RE SLT","WIP",IF(C259="RM","RM",IF(C259="RM BAL","RM",IF(C259="RM SLT","RM",IF(C259="RR","WIP",IF(C259="SKP","WIP",IF(C259="SLT","WIP",IF(C259="CTL","WIP",IF(C259="RM SLT RUST","RM SLT RUST",0)))))))))))))&amp;"-"&amp;G259&amp;"/"&amp;IF(H259="2B","2B",IF(H259="NO.1","1D",IF(H259="FH","FH",0)))&amp;"-"&amp;IF(J259="",(TEXT(I259,"0.00")),TEXT(J259,"0.00"))&amp;"X"&amp;M259</f>
        <v>RM-J3/1D-2.40X670</v>
      </c>
      <c r="C259" s="173" t="s">
        <v>48</v>
      </c>
      <c r="D259" s="173" t="s">
        <v>48</v>
      </c>
      <c r="E259" s="190" t="s">
        <v>1146</v>
      </c>
      <c r="F259" s="190" t="s">
        <v>1147</v>
      </c>
      <c r="G259" s="173" t="s">
        <v>34</v>
      </c>
      <c r="H259" s="173" t="s">
        <v>127</v>
      </c>
      <c r="I259" s="174">
        <v>2.4</v>
      </c>
      <c r="J259" s="174"/>
      <c r="K259" s="174"/>
      <c r="L259" s="174"/>
      <c r="M259" s="191">
        <v>670</v>
      </c>
      <c r="N259" s="176">
        <v>5.1680000000000001</v>
      </c>
      <c r="O259" s="176"/>
      <c r="P259" s="177"/>
      <c r="Q259" s="178"/>
      <c r="R259" s="179"/>
      <c r="S259" s="179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80"/>
      <c r="AE259" s="173" t="s">
        <v>69</v>
      </c>
      <c r="AF259" s="181" t="s">
        <v>248</v>
      </c>
      <c r="AG259" s="181" t="s">
        <v>1145</v>
      </c>
      <c r="AH259" s="181">
        <v>44752</v>
      </c>
      <c r="AI259" s="181">
        <v>44778</v>
      </c>
      <c r="AJ259" s="181"/>
      <c r="AK259" s="181">
        <f ca="1">TODAY()</f>
        <v>44958</v>
      </c>
      <c r="AL259" s="173">
        <f ca="1">IF(AI259&lt;&gt;0,AK259-AI259,0)</f>
        <v>180</v>
      </c>
      <c r="AM259" s="173" t="str">
        <f>IF(ISNUMBER(X259)=TRUE,AK259-X259,IF(X259="","",(AK259)-(MID(RIGHT(X259,10),4,2)&amp;"/"&amp;LEFT((RIGHT(X259,10)),2)&amp;"/"&amp;RIGHT(X259,4))))</f>
        <v/>
      </c>
      <c r="AN259" s="181"/>
      <c r="AO259" s="190" t="s">
        <v>1148</v>
      </c>
      <c r="AP259" s="176">
        <v>5.1680000000000001</v>
      </c>
      <c r="AQ259" s="176">
        <f>AP259+0.04</f>
        <v>5.2080000000000002</v>
      </c>
      <c r="AR259" s="176">
        <v>5.2330000000000005</v>
      </c>
      <c r="AS259" s="176">
        <v>5.2380000000000004</v>
      </c>
      <c r="AT259" s="173" t="str">
        <f>IF(ISNUMBER(U259)=TRUE,AK259-U259,IF(U259="","",(AK259)-(MID(RIGHT(U259,10),4,2)&amp;"/"&amp;LEFT((RIGHT(U259,10)),2)&amp;"/"&amp;RIGHT(U259,4))))</f>
        <v/>
      </c>
      <c r="AU259" s="173">
        <v>445</v>
      </c>
      <c r="AW259" s="142" t="s">
        <v>123</v>
      </c>
    </row>
    <row r="260" spans="2:49" s="142" customFormat="1" ht="21" customHeight="1" x14ac:dyDescent="0.25">
      <c r="B260" s="173" t="str">
        <f>IF(C260="HOLD RM","HOLD RM",IF(C260="BAL","WIP",IF(C260="HOLD SLT","HOLD SLT",IF(C260="MILL","RM",IF(C260="RE SLT","WIP",IF(C260="RM","RM",IF(C260="RM BAL","RM",IF(C260="RM SLT","RM",IF(C260="RR","WIP",IF(C260="SKP","WIP",IF(C260="SLT","WIP",IF(C260="CTL","WIP",IF(C260="RM SLT RUST","RM SLT RUST",0)))))))))))))&amp;"-"&amp;G260&amp;"/"&amp;IF(H260="2B","2B",IF(H260="NO.1","1D",IF(H260="FH","FH",0)))&amp;"-"&amp;IF(J260="",(TEXT(I260,"0.00")),TEXT(J260,"0.00"))&amp;"X"&amp;M260</f>
        <v>RM-J3/1D-2.40X670</v>
      </c>
      <c r="C260" s="173" t="s">
        <v>48</v>
      </c>
      <c r="D260" s="173" t="s">
        <v>48</v>
      </c>
      <c r="E260" s="190" t="s">
        <v>1149</v>
      </c>
      <c r="F260" s="190" t="s">
        <v>1150</v>
      </c>
      <c r="G260" s="173" t="s">
        <v>34</v>
      </c>
      <c r="H260" s="173" t="s">
        <v>127</v>
      </c>
      <c r="I260" s="174">
        <v>2.4</v>
      </c>
      <c r="J260" s="174"/>
      <c r="K260" s="174"/>
      <c r="L260" s="174"/>
      <c r="M260" s="191">
        <v>670</v>
      </c>
      <c r="N260" s="176">
        <v>5.165</v>
      </c>
      <c r="O260" s="176"/>
      <c r="P260" s="177"/>
      <c r="Q260" s="178"/>
      <c r="R260" s="179"/>
      <c r="S260" s="179" t="s">
        <v>1151</v>
      </c>
      <c r="T260" s="177"/>
      <c r="U260" s="177"/>
      <c r="V260" s="177"/>
      <c r="W260" s="177"/>
      <c r="X260" s="177"/>
      <c r="Y260" s="177"/>
      <c r="Z260" s="177">
        <v>44779</v>
      </c>
      <c r="AA260" s="177"/>
      <c r="AB260" s="177"/>
      <c r="AC260" s="177"/>
      <c r="AD260" s="180"/>
      <c r="AE260" s="173" t="s">
        <v>69</v>
      </c>
      <c r="AF260" s="181" t="s">
        <v>248</v>
      </c>
      <c r="AG260" s="181" t="s">
        <v>1145</v>
      </c>
      <c r="AH260" s="181">
        <v>44752</v>
      </c>
      <c r="AI260" s="181">
        <v>44778</v>
      </c>
      <c r="AJ260" s="181"/>
      <c r="AK260" s="181">
        <f ca="1">TODAY()</f>
        <v>44958</v>
      </c>
      <c r="AL260" s="173">
        <f ca="1">IF(AI260&lt;&gt;0,AK260-AI260,0)</f>
        <v>180</v>
      </c>
      <c r="AM260" s="173" t="str">
        <f>IF(ISNUMBER(X260)=TRUE,AK260-X260,IF(X260="","",(AK260)-(MID(RIGHT(X260,10),4,2)&amp;"/"&amp;LEFT((RIGHT(X260,10)),2)&amp;"/"&amp;RIGHT(X260,4))))</f>
        <v/>
      </c>
      <c r="AN260" s="181"/>
      <c r="AO260" s="190" t="s">
        <v>1148</v>
      </c>
      <c r="AP260" s="176">
        <v>5.165</v>
      </c>
      <c r="AQ260" s="176">
        <f>AP260+0.04</f>
        <v>5.2050000000000001</v>
      </c>
      <c r="AR260" s="176">
        <v>5.23</v>
      </c>
      <c r="AS260" s="176">
        <v>5.2350000000000003</v>
      </c>
      <c r="AT260" s="173" t="str">
        <f>IF(ISNUMBER(U260)=TRUE,AK260-U260,IF(U260="","",(AK260)-(MID(RIGHT(U260,10),4,2)&amp;"/"&amp;LEFT((RIGHT(U260,10)),2)&amp;"/"&amp;RIGHT(U260,4))))</f>
        <v/>
      </c>
      <c r="AU260" s="173">
        <v>445</v>
      </c>
      <c r="AW260" s="142" t="s">
        <v>123</v>
      </c>
    </row>
    <row r="261" spans="2:49" s="142" customFormat="1" ht="21" customHeight="1" x14ac:dyDescent="0.25">
      <c r="B261" s="173" t="str">
        <f>IF(C261="HOLD RM","HOLD RM",IF(C261="BAL","WIP",IF(C261="HOLD SLT","HOLD SLT",IF(C261="MILL","RM",IF(C261="RE SLT","WIP",IF(C261="RM","RM",IF(C261="RM BAL","RM",IF(C261="RM SLT","RM",IF(C261="RR","WIP",IF(C261="SKP","WIP",IF(C261="SLT","WIP",IF(C261="CTL","WIP",IF(C261="RM SLT RUST","RM SLT RUST",0)))))))))))))&amp;"-"&amp;G261&amp;"/"&amp;IF(H261="2B","2B",IF(H261="NO.1","1D",IF(H261="FH","FH",0)))&amp;"-"&amp;IF(J261="",(TEXT(I261,"0.00")),TEXT(J261,"0.00"))&amp;"X"&amp;M261</f>
        <v>RM-J3/1D-2.40X670</v>
      </c>
      <c r="C261" s="173" t="s">
        <v>48</v>
      </c>
      <c r="D261" s="173" t="s">
        <v>48</v>
      </c>
      <c r="E261" s="190" t="s">
        <v>1152</v>
      </c>
      <c r="F261" s="190" t="s">
        <v>1153</v>
      </c>
      <c r="G261" s="173" t="s">
        <v>34</v>
      </c>
      <c r="H261" s="173" t="s">
        <v>127</v>
      </c>
      <c r="I261" s="174">
        <v>2.4</v>
      </c>
      <c r="J261" s="174"/>
      <c r="K261" s="174"/>
      <c r="L261" s="174"/>
      <c r="M261" s="191">
        <v>670</v>
      </c>
      <c r="N261" s="176">
        <v>5.2729999999999997</v>
      </c>
      <c r="O261" s="176"/>
      <c r="P261" s="177"/>
      <c r="Q261" s="178"/>
      <c r="R261" s="179"/>
      <c r="S261" s="179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80"/>
      <c r="AE261" s="173" t="s">
        <v>69</v>
      </c>
      <c r="AF261" s="181" t="s">
        <v>248</v>
      </c>
      <c r="AG261" s="181" t="s">
        <v>1145</v>
      </c>
      <c r="AH261" s="181">
        <v>44752</v>
      </c>
      <c r="AI261" s="181">
        <v>44778</v>
      </c>
      <c r="AJ261" s="181"/>
      <c r="AK261" s="181">
        <f ca="1">TODAY()</f>
        <v>44958</v>
      </c>
      <c r="AL261" s="173">
        <f ca="1">IF(AI261&lt;&gt;0,AK261-AI261,0)</f>
        <v>180</v>
      </c>
      <c r="AM261" s="173" t="str">
        <f>IF(ISNUMBER(X261)=TRUE,AK261-X261,IF(X261="","",(AK261)-(MID(RIGHT(X261,10),4,2)&amp;"/"&amp;LEFT((RIGHT(X261,10)),2)&amp;"/"&amp;RIGHT(X261,4))))</f>
        <v/>
      </c>
      <c r="AN261" s="181"/>
      <c r="AO261" s="190" t="s">
        <v>1148</v>
      </c>
      <c r="AP261" s="176">
        <v>5.2729999999999997</v>
      </c>
      <c r="AQ261" s="176">
        <f>AP261+0.04</f>
        <v>5.3129999999999997</v>
      </c>
      <c r="AR261" s="176">
        <v>5.3380000000000001</v>
      </c>
      <c r="AS261" s="176">
        <v>5.343</v>
      </c>
      <c r="AT261" s="173" t="str">
        <f>IF(ISNUMBER(U261)=TRUE,AK261-U261,IF(U261="","",(AK261)-(MID(RIGHT(U261,10),4,2)&amp;"/"&amp;LEFT((RIGHT(U261,10)),2)&amp;"/"&amp;RIGHT(U261,4))))</f>
        <v/>
      </c>
      <c r="AU261" s="173">
        <v>445</v>
      </c>
      <c r="AW261" s="142" t="s">
        <v>123</v>
      </c>
    </row>
    <row r="262" spans="2:49" s="142" customFormat="1" ht="21" customHeight="1" x14ac:dyDescent="0.25">
      <c r="B262" s="173" t="str">
        <f>IF(C262="HOLD RM","HOLD RM",IF(C262="BAL","WIP",IF(C262="HOLD SLT","HOLD SLT",IF(C262="MILL","RM",IF(C262="RE SLT","WIP",IF(C262="RM","RM",IF(C262="RM BAL","RM",IF(C262="RM SLT","RM",IF(C262="RR","WIP",IF(C262="SKP","WIP",IF(C262="SLT","WIP",IF(C262="CTL","WIP",IF(C262="RM SLT RUST","RM SLT RUST",0)))))))))))))&amp;"-"&amp;G262&amp;"/"&amp;IF(H262="2B","2B",IF(H262="NO.1","1D",IF(H262="FH","FH",0)))&amp;"-"&amp;IF(J262="",(TEXT(I262,"0.00")),TEXT(J262,"0.00"))&amp;"X"&amp;M262</f>
        <v>RM-J3/1D-2.40X670</v>
      </c>
      <c r="C262" s="173" t="s">
        <v>48</v>
      </c>
      <c r="D262" s="173" t="s">
        <v>48</v>
      </c>
      <c r="E262" s="190" t="s">
        <v>1154</v>
      </c>
      <c r="F262" s="190" t="s">
        <v>1155</v>
      </c>
      <c r="G262" s="173" t="s">
        <v>34</v>
      </c>
      <c r="H262" s="173" t="s">
        <v>127</v>
      </c>
      <c r="I262" s="174">
        <v>2.4</v>
      </c>
      <c r="J262" s="174"/>
      <c r="K262" s="174"/>
      <c r="L262" s="174"/>
      <c r="M262" s="191">
        <v>670</v>
      </c>
      <c r="N262" s="176">
        <v>5.2839999999999998</v>
      </c>
      <c r="O262" s="176"/>
      <c r="P262" s="177"/>
      <c r="Q262" s="178"/>
      <c r="R262" s="179"/>
      <c r="S262" s="179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80"/>
      <c r="AE262" s="173" t="s">
        <v>69</v>
      </c>
      <c r="AF262" s="181" t="s">
        <v>248</v>
      </c>
      <c r="AG262" s="181" t="s">
        <v>1145</v>
      </c>
      <c r="AH262" s="181">
        <v>44752</v>
      </c>
      <c r="AI262" s="181">
        <v>44778</v>
      </c>
      <c r="AJ262" s="181"/>
      <c r="AK262" s="181">
        <f ca="1">TODAY()</f>
        <v>44958</v>
      </c>
      <c r="AL262" s="173">
        <f ca="1">IF(AI262&lt;&gt;0,AK262-AI262,0)</f>
        <v>180</v>
      </c>
      <c r="AM262" s="173" t="str">
        <f>IF(ISNUMBER(X262)=TRUE,AK262-X262,IF(X262="","",(AK262)-(MID(RIGHT(X262,10),4,2)&amp;"/"&amp;LEFT((RIGHT(X262,10)),2)&amp;"/"&amp;RIGHT(X262,4))))</f>
        <v/>
      </c>
      <c r="AN262" s="181"/>
      <c r="AO262" s="190" t="s">
        <v>1148</v>
      </c>
      <c r="AP262" s="176">
        <v>5.2839999999999998</v>
      </c>
      <c r="AQ262" s="176">
        <f>AP262+0.04</f>
        <v>5.3239999999999998</v>
      </c>
      <c r="AR262" s="176">
        <v>5.3490000000000002</v>
      </c>
      <c r="AS262" s="176">
        <v>5.3540000000000001</v>
      </c>
      <c r="AT262" s="173" t="str">
        <f>IF(ISNUMBER(U262)=TRUE,AK262-U262,IF(U262="","",(AK262)-(MID(RIGHT(U262,10),4,2)&amp;"/"&amp;LEFT((RIGHT(U262,10)),2)&amp;"/"&amp;RIGHT(U262,4))))</f>
        <v/>
      </c>
      <c r="AU262" s="173">
        <v>445</v>
      </c>
      <c r="AW262" s="142" t="s">
        <v>123</v>
      </c>
    </row>
    <row r="263" spans="2:49" s="142" customFormat="1" ht="21" customHeight="1" x14ac:dyDescent="0.25">
      <c r="B263" s="173" t="str">
        <f>IF(C263="HOLD RM","HOLD RM",IF(C263="BAL","WIP",IF(C263="HOLD SLT","HOLD SLT",IF(C263="MILL","RM",IF(C263="RE SLT","WIP",IF(C263="RM","RM",IF(C263="RM BAL","RM",IF(C263="RM SLT","RM",IF(C263="RR","WIP",IF(C263="SKP","WIP",IF(C263="SLT","WIP",IF(C263="CTL","WIP",IF(C263="RM SLT RUST","RM SLT RUST",0)))))))))))))&amp;"-"&amp;G263&amp;"/"&amp;IF(H263="2B","2B",IF(H263="NO.1","1D",IF(H263="FH","FH",0)))&amp;"-"&amp;IF(J263="",(TEXT(I263,"0.00")),TEXT(J263,"0.00"))&amp;"X"&amp;M263</f>
        <v>RM-J3/1D-2.40X670</v>
      </c>
      <c r="C263" s="173" t="s">
        <v>48</v>
      </c>
      <c r="D263" s="173" t="s">
        <v>48</v>
      </c>
      <c r="E263" s="190" t="s">
        <v>1156</v>
      </c>
      <c r="F263" s="190" t="s">
        <v>1157</v>
      </c>
      <c r="G263" s="173" t="s">
        <v>34</v>
      </c>
      <c r="H263" s="173" t="s">
        <v>127</v>
      </c>
      <c r="I263" s="174">
        <v>2.4</v>
      </c>
      <c r="J263" s="174"/>
      <c r="K263" s="174"/>
      <c r="L263" s="174"/>
      <c r="M263" s="191">
        <v>670</v>
      </c>
      <c r="N263" s="176">
        <v>5.21</v>
      </c>
      <c r="O263" s="176"/>
      <c r="P263" s="177"/>
      <c r="Q263" s="178"/>
      <c r="R263" s="179"/>
      <c r="S263" s="179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80"/>
      <c r="AE263" s="173" t="s">
        <v>69</v>
      </c>
      <c r="AF263" s="181" t="s">
        <v>248</v>
      </c>
      <c r="AG263" s="181" t="s">
        <v>1145</v>
      </c>
      <c r="AH263" s="181">
        <v>44752</v>
      </c>
      <c r="AI263" s="181">
        <v>44778</v>
      </c>
      <c r="AJ263" s="181"/>
      <c r="AK263" s="181">
        <f ca="1">TODAY()</f>
        <v>44958</v>
      </c>
      <c r="AL263" s="173">
        <f ca="1">IF(AI263&lt;&gt;0,AK263-AI263,0)</f>
        <v>180</v>
      </c>
      <c r="AM263" s="173" t="str">
        <f>IF(ISNUMBER(X263)=TRUE,AK263-X263,IF(X263="","",(AK263)-(MID(RIGHT(X263,10),4,2)&amp;"/"&amp;LEFT((RIGHT(X263,10)),2)&amp;"/"&amp;RIGHT(X263,4))))</f>
        <v/>
      </c>
      <c r="AN263" s="181"/>
      <c r="AO263" s="190" t="s">
        <v>1158</v>
      </c>
      <c r="AP263" s="176">
        <v>5.21</v>
      </c>
      <c r="AQ263" s="176">
        <f>AP263+0.04</f>
        <v>5.25</v>
      </c>
      <c r="AR263" s="176">
        <v>5.2750000000000004</v>
      </c>
      <c r="AS263" s="176">
        <v>5.28</v>
      </c>
      <c r="AT263" s="173" t="str">
        <f>IF(ISNUMBER(U263)=TRUE,AK263-U263,IF(U263="","",(AK263)-(MID(RIGHT(U263,10),4,2)&amp;"/"&amp;LEFT((RIGHT(U263,10)),2)&amp;"/"&amp;RIGHT(U263,4))))</f>
        <v/>
      </c>
      <c r="AU263" s="173">
        <v>445</v>
      </c>
      <c r="AW263" s="142" t="s">
        <v>123</v>
      </c>
    </row>
    <row r="264" spans="2:49" s="142" customFormat="1" ht="21" customHeight="1" x14ac:dyDescent="0.25">
      <c r="B264" s="173" t="str">
        <f>IF(C264="HOLD RM","HOLD RM",IF(C264="BAL","WIP",IF(C264="HOLD SLT","HOLD SLT",IF(C264="MILL","RM",IF(C264="RE SLT","WIP",IF(C264="RM","RM",IF(C264="RM BAL","RM",IF(C264="RM SLT","RM",IF(C264="RR","WIP",IF(C264="SKP","WIP",IF(C264="SLT","WIP",IF(C264="CTL","WIP",IF(C264="RM SLT RUST","RM SLT RUST",0)))))))))))))&amp;"-"&amp;G264&amp;"/"&amp;IF(H264="2B","2B",IF(H264="NO.1","1D",IF(H264="FH","FH",0)))&amp;"-"&amp;IF(J264="",(TEXT(I264,"0.00")),TEXT(J264,"0.00"))&amp;"X"&amp;M264</f>
        <v>RM-J3/1D-2.40X670</v>
      </c>
      <c r="C264" s="173" t="s">
        <v>48</v>
      </c>
      <c r="D264" s="173" t="s">
        <v>48</v>
      </c>
      <c r="E264" s="190" t="s">
        <v>1159</v>
      </c>
      <c r="F264" s="190" t="s">
        <v>1160</v>
      </c>
      <c r="G264" s="173" t="s">
        <v>34</v>
      </c>
      <c r="H264" s="173" t="s">
        <v>127</v>
      </c>
      <c r="I264" s="174">
        <v>2.4</v>
      </c>
      <c r="J264" s="174"/>
      <c r="K264" s="174"/>
      <c r="L264" s="174"/>
      <c r="M264" s="191">
        <v>670</v>
      </c>
      <c r="N264" s="176">
        <v>5.1859999999999999</v>
      </c>
      <c r="O264" s="176"/>
      <c r="P264" s="177"/>
      <c r="Q264" s="178"/>
      <c r="R264" s="179"/>
      <c r="S264" s="179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80"/>
      <c r="AE264" s="173" t="s">
        <v>69</v>
      </c>
      <c r="AF264" s="181" t="s">
        <v>248</v>
      </c>
      <c r="AG264" s="181" t="s">
        <v>1145</v>
      </c>
      <c r="AH264" s="181">
        <v>44752</v>
      </c>
      <c r="AI264" s="181">
        <v>44778</v>
      </c>
      <c r="AJ264" s="181"/>
      <c r="AK264" s="181">
        <f ca="1">TODAY()</f>
        <v>44958</v>
      </c>
      <c r="AL264" s="173">
        <f ca="1">IF(AI264&lt;&gt;0,AK264-AI264,0)</f>
        <v>180</v>
      </c>
      <c r="AM264" s="173" t="str">
        <f>IF(ISNUMBER(X264)=TRUE,AK264-X264,IF(X264="","",(AK264)-(MID(RIGHT(X264,10),4,2)&amp;"/"&amp;LEFT((RIGHT(X264,10)),2)&amp;"/"&amp;RIGHT(X264,4))))</f>
        <v/>
      </c>
      <c r="AN264" s="181"/>
      <c r="AO264" s="190" t="s">
        <v>1158</v>
      </c>
      <c r="AP264" s="176">
        <v>5.1859999999999999</v>
      </c>
      <c r="AQ264" s="176">
        <f>AP264+0.04</f>
        <v>5.226</v>
      </c>
      <c r="AR264" s="176">
        <v>5.2510000000000003</v>
      </c>
      <c r="AS264" s="176">
        <v>5.2560000000000002</v>
      </c>
      <c r="AT264" s="173" t="str">
        <f>IF(ISNUMBER(U264)=TRUE,AK264-U264,IF(U264="","",(AK264)-(MID(RIGHT(U264,10),4,2)&amp;"/"&amp;LEFT((RIGHT(U264,10)),2)&amp;"/"&amp;RIGHT(U264,4))))</f>
        <v/>
      </c>
      <c r="AU264" s="173">
        <v>445</v>
      </c>
      <c r="AW264" s="142" t="s">
        <v>123</v>
      </c>
    </row>
    <row r="265" spans="2:49" s="142" customFormat="1" ht="21" customHeight="1" x14ac:dyDescent="0.25">
      <c r="B265" s="173" t="str">
        <f>IF(C265="HOLD RM","HOLD RM",IF(C265="BAL","WIP",IF(C265="HOLD SLT","HOLD SLT",IF(C265="MILL","RM",IF(C265="RE SLT","WIP",IF(C265="RM","RM",IF(C265="RM BAL","RM",IF(C265="RM SLT","RM",IF(C265="RR","WIP",IF(C265="SKP","WIP",IF(C265="SLT","WIP",IF(C265="CTL","WIP",IF(C265="RM SLT RUST","RM SLT RUST",0)))))))))))))&amp;"-"&amp;G265&amp;"/"&amp;IF(H265="2B","2B",IF(H265="NO.1","1D",IF(H265="FH","FH",0)))&amp;"-"&amp;IF(J265="",(TEXT(I265,"0.00")),TEXT(J265,"0.00"))&amp;"X"&amp;M265</f>
        <v>RM-J3/1D-2.40X670</v>
      </c>
      <c r="C265" s="173" t="s">
        <v>48</v>
      </c>
      <c r="D265" s="173" t="s">
        <v>48</v>
      </c>
      <c r="E265" s="190" t="s">
        <v>1161</v>
      </c>
      <c r="F265" s="190" t="s">
        <v>1162</v>
      </c>
      <c r="G265" s="173" t="s">
        <v>34</v>
      </c>
      <c r="H265" s="173" t="s">
        <v>127</v>
      </c>
      <c r="I265" s="174">
        <v>2.4</v>
      </c>
      <c r="J265" s="174"/>
      <c r="K265" s="174"/>
      <c r="L265" s="174"/>
      <c r="M265" s="191">
        <v>670</v>
      </c>
      <c r="N265" s="176">
        <v>5.2320000000000002</v>
      </c>
      <c r="O265" s="176"/>
      <c r="P265" s="177"/>
      <c r="Q265" s="178"/>
      <c r="R265" s="179"/>
      <c r="S265" s="179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80"/>
      <c r="AE265" s="173" t="s">
        <v>69</v>
      </c>
      <c r="AF265" s="181" t="s">
        <v>248</v>
      </c>
      <c r="AG265" s="181" t="s">
        <v>1145</v>
      </c>
      <c r="AH265" s="181">
        <v>44752</v>
      </c>
      <c r="AI265" s="181">
        <v>44778</v>
      </c>
      <c r="AJ265" s="181"/>
      <c r="AK265" s="181">
        <f ca="1">TODAY()</f>
        <v>44958</v>
      </c>
      <c r="AL265" s="173">
        <f ca="1">IF(AI265&lt;&gt;0,AK265-AI265,0)</f>
        <v>180</v>
      </c>
      <c r="AM265" s="173" t="str">
        <f>IF(ISNUMBER(X265)=TRUE,AK265-X265,IF(X265="","",(AK265)-(MID(RIGHT(X265,10),4,2)&amp;"/"&amp;LEFT((RIGHT(X265,10)),2)&amp;"/"&amp;RIGHT(X265,4))))</f>
        <v/>
      </c>
      <c r="AN265" s="181"/>
      <c r="AO265" s="190" t="s">
        <v>1158</v>
      </c>
      <c r="AP265" s="176">
        <v>5.2320000000000002</v>
      </c>
      <c r="AQ265" s="176">
        <f>AP265+0.04</f>
        <v>5.2720000000000002</v>
      </c>
      <c r="AR265" s="176">
        <v>5.2970000000000006</v>
      </c>
      <c r="AS265" s="176">
        <v>5.3020000000000005</v>
      </c>
      <c r="AT265" s="173" t="str">
        <f>IF(ISNUMBER(U265)=TRUE,AK265-U265,IF(U265="","",(AK265)-(MID(RIGHT(U265,10),4,2)&amp;"/"&amp;LEFT((RIGHT(U265,10)),2)&amp;"/"&amp;RIGHT(U265,4))))</f>
        <v/>
      </c>
      <c r="AU265" s="173">
        <v>445</v>
      </c>
      <c r="AW265" s="142" t="s">
        <v>123</v>
      </c>
    </row>
    <row r="266" spans="2:49" s="142" customFormat="1" ht="21" customHeight="1" x14ac:dyDescent="0.25">
      <c r="B266" s="173" t="str">
        <f>IF(C266="HOLD RM","HOLD RM",IF(C266="BAL","WIP",IF(C266="HOLD SLT","HOLD SLT",IF(C266="MILL","RM",IF(C266="RE SLT","WIP",IF(C266="RM","RM",IF(C266="RM BAL","RM",IF(C266="RM SLT","RM",IF(C266="RR","WIP",IF(C266="SKP","WIP",IF(C266="SLT","WIP",IF(C266="CTL","WIP",IF(C266="RM SLT RUST","RM SLT RUST",0)))))))))))))&amp;"-"&amp;G266&amp;"/"&amp;IF(H266="2B","2B",IF(H266="NO.1","1D",IF(H266="FH","FH",0)))&amp;"-"&amp;IF(J266="",(TEXT(I266,"0.00")),TEXT(J266,"0.00"))&amp;"X"&amp;M266</f>
        <v>WIP-J3/2B-1.11X620</v>
      </c>
      <c r="C266" s="173" t="s">
        <v>18</v>
      </c>
      <c r="D266" s="173" t="s">
        <v>836</v>
      </c>
      <c r="E266" s="190" t="s">
        <v>1163</v>
      </c>
      <c r="F266" s="190" t="s">
        <v>1164</v>
      </c>
      <c r="G266" s="173" t="s">
        <v>34</v>
      </c>
      <c r="H266" s="173" t="s">
        <v>114</v>
      </c>
      <c r="I266" s="174">
        <v>2.4</v>
      </c>
      <c r="J266" s="174">
        <v>1.1100000000000001</v>
      </c>
      <c r="K266" s="174"/>
      <c r="L266" s="174"/>
      <c r="M266" s="191">
        <v>620</v>
      </c>
      <c r="N266" s="176">
        <v>9.93</v>
      </c>
      <c r="O266" s="176" t="s">
        <v>114</v>
      </c>
      <c r="P266" s="177"/>
      <c r="Q266" s="178" t="s">
        <v>361</v>
      </c>
      <c r="R266" s="179"/>
      <c r="S266" s="179"/>
      <c r="T266" s="177">
        <v>44829</v>
      </c>
      <c r="U266" s="177"/>
      <c r="V266" s="177">
        <v>44830</v>
      </c>
      <c r="W266" s="177"/>
      <c r="X266" s="177"/>
      <c r="Y266" s="177">
        <v>44944</v>
      </c>
      <c r="Z266" s="177"/>
      <c r="AA266" s="177"/>
      <c r="AB266" s="177"/>
      <c r="AC266" s="177"/>
      <c r="AD266" s="180"/>
      <c r="AE266" s="173" t="s">
        <v>69</v>
      </c>
      <c r="AF266" s="181" t="s">
        <v>248</v>
      </c>
      <c r="AG266" s="181" t="s">
        <v>1145</v>
      </c>
      <c r="AH266" s="181">
        <v>44752</v>
      </c>
      <c r="AI266" s="181">
        <v>44778</v>
      </c>
      <c r="AJ266" s="181"/>
      <c r="AK266" s="181">
        <f ca="1">TODAY()</f>
        <v>44958</v>
      </c>
      <c r="AL266" s="173">
        <f ca="1">IF(AI266&lt;&gt;0,AK266-AI266,0)</f>
        <v>180</v>
      </c>
      <c r="AM266" s="173" t="str">
        <f>IF(ISNUMBER(X266)=TRUE,AK266-X266,IF(X266="","",(AK266)-(MID(RIGHT(X266,10),4,2)&amp;"/"&amp;LEFT((RIGHT(X266,10)),2)&amp;"/"&amp;RIGHT(X266,4))))</f>
        <v/>
      </c>
      <c r="AN266" s="181"/>
      <c r="AO266" s="190" t="s">
        <v>1165</v>
      </c>
      <c r="AP266" s="176">
        <v>9.9710000000000001</v>
      </c>
      <c r="AQ266" s="176">
        <f>AP266+0.04</f>
        <v>10.010999999999999</v>
      </c>
      <c r="AR266" s="176">
        <v>10.035999999999998</v>
      </c>
      <c r="AS266" s="176">
        <v>10.040999999999999</v>
      </c>
      <c r="AT266" s="173" t="str">
        <f>IF(ISNUMBER(U266)=TRUE,AK266-U266,IF(U266="","",(AK266)-(MID(RIGHT(U266,10),4,2)&amp;"/"&amp;LEFT((RIGHT(U266,10)),2)&amp;"/"&amp;RIGHT(U266,4))))</f>
        <v/>
      </c>
      <c r="AU266" s="173">
        <v>445</v>
      </c>
      <c r="AW266" s="142" t="s">
        <v>123</v>
      </c>
    </row>
    <row r="267" spans="2:49" s="142" customFormat="1" ht="21" customHeight="1" x14ac:dyDescent="0.25">
      <c r="B267" s="173" t="str">
        <f>IF(C267="HOLD RM","HOLD RM",IF(C267="BAL","WIP",IF(C267="HOLD SLT","HOLD SLT",IF(C267="MILL","RM",IF(C267="RE SLT","WIP",IF(C267="RM","RM",IF(C267="RM BAL","RM",IF(C267="RM SLT","RM",IF(C267="RR","WIP",IF(C267="SKP","WIP",IF(C267="SLT","WIP",IF(C267="CTL","WIP",IF(C267="RM SLT RUST","RM SLT RUST",0)))))))))))))&amp;"-"&amp;G267&amp;"/"&amp;IF(H267="2B","2B",IF(H267="NO.1","1D",IF(H267="FH","FH",0)))&amp;"-"&amp;IF(J267="",(TEXT(I267,"0.00")),TEXT(J267,"0.00"))&amp;"X"&amp;M267</f>
        <v>RM-J3/1D-2.40X620</v>
      </c>
      <c r="C267" s="173" t="s">
        <v>48</v>
      </c>
      <c r="D267" s="173" t="s">
        <v>48</v>
      </c>
      <c r="E267" s="190" t="s">
        <v>1166</v>
      </c>
      <c r="F267" s="190" t="s">
        <v>1167</v>
      </c>
      <c r="G267" s="173" t="s">
        <v>34</v>
      </c>
      <c r="H267" s="173" t="s">
        <v>127</v>
      </c>
      <c r="I267" s="174">
        <v>2.4</v>
      </c>
      <c r="J267" s="174"/>
      <c r="K267" s="174"/>
      <c r="L267" s="174"/>
      <c r="M267" s="191">
        <v>620</v>
      </c>
      <c r="N267" s="176">
        <v>5.0519999999999996</v>
      </c>
      <c r="O267" s="176"/>
      <c r="P267" s="177"/>
      <c r="Q267" s="178"/>
      <c r="R267" s="179"/>
      <c r="S267" s="179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80"/>
      <c r="AE267" s="173" t="s">
        <v>69</v>
      </c>
      <c r="AF267" s="181" t="s">
        <v>248</v>
      </c>
      <c r="AG267" s="181" t="s">
        <v>1145</v>
      </c>
      <c r="AH267" s="181">
        <v>44752</v>
      </c>
      <c r="AI267" s="181">
        <v>44778</v>
      </c>
      <c r="AJ267" s="181"/>
      <c r="AK267" s="181">
        <f ca="1">TODAY()</f>
        <v>44958</v>
      </c>
      <c r="AL267" s="173">
        <f ca="1">IF(AI267&lt;&gt;0,AK267-AI267,0)</f>
        <v>180</v>
      </c>
      <c r="AM267" s="173" t="str">
        <f>IF(ISNUMBER(X267)=TRUE,AK267-X267,IF(X267="","",(AK267)-(MID(RIGHT(X267,10),4,2)&amp;"/"&amp;LEFT((RIGHT(X267,10)),2)&amp;"/"&amp;RIGHT(X267,4))))</f>
        <v/>
      </c>
      <c r="AN267" s="181"/>
      <c r="AO267" s="190" t="s">
        <v>969</v>
      </c>
      <c r="AP267" s="176">
        <v>5.0519999999999996</v>
      </c>
      <c r="AQ267" s="176">
        <f>AP267+0.04</f>
        <v>5.0919999999999996</v>
      </c>
      <c r="AR267" s="176">
        <v>5.117</v>
      </c>
      <c r="AS267" s="176">
        <v>5.1219999999999999</v>
      </c>
      <c r="AT267" s="173" t="str">
        <f>IF(ISNUMBER(U267)=TRUE,AK267-U267,IF(U267="","",(AK267)-(MID(RIGHT(U267,10),4,2)&amp;"/"&amp;LEFT((RIGHT(U267,10)),2)&amp;"/"&amp;RIGHT(U267,4))))</f>
        <v/>
      </c>
      <c r="AU267" s="173">
        <v>445</v>
      </c>
      <c r="AW267" s="142" t="s">
        <v>123</v>
      </c>
    </row>
    <row r="268" spans="2:49" s="142" customFormat="1" ht="21" customHeight="1" x14ac:dyDescent="0.25">
      <c r="B268" s="173" t="str">
        <f>IF(C268="HOLD RM","HOLD RM",IF(C268="BAL","WIP",IF(C268="HOLD SLT","HOLD SLT",IF(C268="MILL","RM",IF(C268="RE SLT","WIP",IF(C268="RM","RM",IF(C268="RM BAL","RM",IF(C268="RM SLT","RM",IF(C268="RR","WIP",IF(C268="SKP","WIP",IF(C268="SLT","WIP",IF(C268="CTL","WIP",IF(C268="RM SLT RUST","RM SLT RUST",0)))))))))))))&amp;"-"&amp;G268&amp;"/"&amp;IF(H268="2B","2B",IF(H268="NO.1","1D",IF(H268="FH","FH",0)))&amp;"-"&amp;IF(J268="",(TEXT(I268,"0.00")),TEXT(J268,"0.00"))&amp;"X"&amp;M268</f>
        <v>RM-J3/1D-2.40X680</v>
      </c>
      <c r="C268" s="173" t="s">
        <v>48</v>
      </c>
      <c r="D268" s="173" t="s">
        <v>48</v>
      </c>
      <c r="E268" s="190" t="s">
        <v>1168</v>
      </c>
      <c r="F268" s="190" t="s">
        <v>1169</v>
      </c>
      <c r="G268" s="173" t="s">
        <v>34</v>
      </c>
      <c r="H268" s="173" t="s">
        <v>127</v>
      </c>
      <c r="I268" s="174">
        <v>2.4</v>
      </c>
      <c r="J268" s="174"/>
      <c r="K268" s="174"/>
      <c r="L268" s="174"/>
      <c r="M268" s="191">
        <v>680</v>
      </c>
      <c r="N268" s="176">
        <v>11.167999999999999</v>
      </c>
      <c r="O268" s="176"/>
      <c r="P268" s="177"/>
      <c r="Q268" s="178"/>
      <c r="R268" s="179"/>
      <c r="S268" s="179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80"/>
      <c r="AE268" s="173" t="s">
        <v>69</v>
      </c>
      <c r="AF268" s="181" t="s">
        <v>248</v>
      </c>
      <c r="AG268" s="181" t="s">
        <v>1145</v>
      </c>
      <c r="AH268" s="181">
        <v>44752</v>
      </c>
      <c r="AI268" s="181">
        <v>44778</v>
      </c>
      <c r="AJ268" s="181"/>
      <c r="AK268" s="181">
        <f ca="1">TODAY()</f>
        <v>44958</v>
      </c>
      <c r="AL268" s="173">
        <f ca="1">IF(AI268&lt;&gt;0,AK268-AI268,0)</f>
        <v>180</v>
      </c>
      <c r="AM268" s="173" t="str">
        <f>IF(ISNUMBER(X268)=TRUE,AK268-X268,IF(X268="","",(AK268)-(MID(RIGHT(X268,10),4,2)&amp;"/"&amp;LEFT((RIGHT(X268,10)),2)&amp;"/"&amp;RIGHT(X268,4))))</f>
        <v/>
      </c>
      <c r="AN268" s="181"/>
      <c r="AO268" s="190" t="s">
        <v>1170</v>
      </c>
      <c r="AP268" s="176">
        <v>11.167999999999999</v>
      </c>
      <c r="AQ268" s="176">
        <f>AP268+0.04</f>
        <v>11.207999999999998</v>
      </c>
      <c r="AR268" s="176">
        <v>11.232999999999997</v>
      </c>
      <c r="AS268" s="176">
        <v>11.237999999999998</v>
      </c>
      <c r="AT268" s="173" t="str">
        <f>IF(ISNUMBER(U268)=TRUE,AK268-U268,IF(U268="","",(AK268)-(MID(RIGHT(U268,10),4,2)&amp;"/"&amp;LEFT((RIGHT(U268,10)),2)&amp;"/"&amp;RIGHT(U268,4))))</f>
        <v/>
      </c>
      <c r="AU268" s="173">
        <v>445</v>
      </c>
      <c r="AW268" s="142" t="s">
        <v>123</v>
      </c>
    </row>
    <row r="269" spans="2:49" s="142" customFormat="1" ht="21" customHeight="1" x14ac:dyDescent="0.25">
      <c r="B269" s="173" t="str">
        <f>IF(C269="HOLD RM","HOLD RM",IF(C269="BAL","WIP",IF(C269="HOLD SLT","HOLD SLT",IF(C269="MILL","RM",IF(C269="RE SLT","WIP",IF(C269="RM","RM",IF(C269="RM BAL","RM",IF(C269="RM SLT","RM",IF(C269="RR","WIP",IF(C269="SKP","WIP",IF(C269="SLT","WIP",IF(C269="CTL","WIP",IF(C269="RM SLT RUST","RM SLT RUST",0)))))))))))))&amp;"-"&amp;G269&amp;"/"&amp;IF(H269="2B","2B",IF(H269="NO.1","1D",IF(H269="FH","FH",0)))&amp;"-"&amp;IF(J269="",(TEXT(I269,"0.00")),TEXT(J269,"0.00"))&amp;"X"&amp;M269</f>
        <v>RM-J3/1D-2.20X620</v>
      </c>
      <c r="C269" s="173" t="s">
        <v>48</v>
      </c>
      <c r="D269" s="173" t="s">
        <v>48</v>
      </c>
      <c r="E269" s="190" t="s">
        <v>1171</v>
      </c>
      <c r="F269" s="190" t="s">
        <v>1172</v>
      </c>
      <c r="G269" s="173" t="s">
        <v>34</v>
      </c>
      <c r="H269" s="173" t="s">
        <v>127</v>
      </c>
      <c r="I269" s="174">
        <v>2.2000000000000002</v>
      </c>
      <c r="J269" s="174"/>
      <c r="K269" s="174"/>
      <c r="L269" s="174"/>
      <c r="M269" s="191">
        <v>620</v>
      </c>
      <c r="N269" s="176">
        <v>9.57</v>
      </c>
      <c r="O269" s="176"/>
      <c r="P269" s="177"/>
      <c r="Q269" s="178"/>
      <c r="R269" s="179"/>
      <c r="S269" s="179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80"/>
      <c r="AE269" s="173" t="s">
        <v>69</v>
      </c>
      <c r="AF269" s="181" t="s">
        <v>248</v>
      </c>
      <c r="AG269" s="181" t="s">
        <v>1145</v>
      </c>
      <c r="AH269" s="181">
        <v>44752</v>
      </c>
      <c r="AI269" s="181">
        <v>44778</v>
      </c>
      <c r="AJ269" s="181"/>
      <c r="AK269" s="181">
        <f ca="1">TODAY()</f>
        <v>44958</v>
      </c>
      <c r="AL269" s="173">
        <f ca="1">IF(AI269&lt;&gt;0,AK269-AI269,0)</f>
        <v>180</v>
      </c>
      <c r="AM269" s="173" t="str">
        <f>IF(ISNUMBER(X269)=TRUE,AK269-X269,IF(X269="","",(AK269)-(MID(RIGHT(X269,10),4,2)&amp;"/"&amp;LEFT((RIGHT(X269,10)),2)&amp;"/"&amp;RIGHT(X269,4))))</f>
        <v/>
      </c>
      <c r="AN269" s="181"/>
      <c r="AO269" s="190" t="s">
        <v>1173</v>
      </c>
      <c r="AP269" s="176">
        <v>9.57</v>
      </c>
      <c r="AQ269" s="176">
        <f>AP269+0.04</f>
        <v>9.61</v>
      </c>
      <c r="AR269" s="176">
        <v>9.634999999999998</v>
      </c>
      <c r="AS269" s="176">
        <v>9.6399999999999988</v>
      </c>
      <c r="AT269" s="173" t="str">
        <f>IF(ISNUMBER(U269)=TRUE,AK269-U269,IF(U269="","",(AK269)-(MID(RIGHT(U269,10),4,2)&amp;"/"&amp;LEFT((RIGHT(U269,10)),2)&amp;"/"&amp;RIGHT(U269,4))))</f>
        <v/>
      </c>
      <c r="AU269" s="173">
        <v>445</v>
      </c>
      <c r="AW269" s="142" t="s">
        <v>123</v>
      </c>
    </row>
    <row r="270" spans="2:49" s="142" customFormat="1" ht="21" customHeight="1" x14ac:dyDescent="0.25">
      <c r="B270" s="173" t="str">
        <f>IF(C270="HOLD RM","HOLD RM",IF(C270="BAL","WIP",IF(C270="HOLD SLT","HOLD SLT",IF(C270="MILL","RM",IF(C270="RE SLT","WIP",IF(C270="RM","RM",IF(C270="RM BAL","RM",IF(C270="RM SLT","RM",IF(C270="RR","WIP",IF(C270="SKP","WIP",IF(C270="SLT","WIP",IF(C270="CTL","WIP",IF(C270="RM SLT RUST","RM SLT RUST",0)))))))))))))&amp;"-"&amp;G270&amp;"/"&amp;IF(H270="2B","2B",IF(H270="NO.1","1D",IF(H270="FH","FH",0)))&amp;"-"&amp;IF(J270="",(TEXT(I270,"0.00")),TEXT(J270,"0.00"))&amp;"X"&amp;M270</f>
        <v>WIP-J3/2B-1.02X620</v>
      </c>
      <c r="C270" s="173" t="s">
        <v>18</v>
      </c>
      <c r="D270" s="173" t="s">
        <v>836</v>
      </c>
      <c r="E270" s="190" t="s">
        <v>1174</v>
      </c>
      <c r="F270" s="190" t="s">
        <v>1175</v>
      </c>
      <c r="G270" s="173" t="s">
        <v>34</v>
      </c>
      <c r="H270" s="173" t="s">
        <v>114</v>
      </c>
      <c r="I270" s="174">
        <v>2.2000000000000002</v>
      </c>
      <c r="J270" s="174">
        <v>1.02</v>
      </c>
      <c r="K270" s="174">
        <v>1</v>
      </c>
      <c r="L270" s="174">
        <v>1.02</v>
      </c>
      <c r="M270" s="191">
        <v>620</v>
      </c>
      <c r="N270" s="176">
        <v>2.52</v>
      </c>
      <c r="O270" s="176" t="s">
        <v>114</v>
      </c>
      <c r="P270" s="177"/>
      <c r="Q270" s="178" t="s">
        <v>115</v>
      </c>
      <c r="R270" s="179"/>
      <c r="S270" s="179" t="s">
        <v>1176</v>
      </c>
      <c r="T270" s="177">
        <v>44893</v>
      </c>
      <c r="U270" s="177"/>
      <c r="V270" s="177"/>
      <c r="W270" s="177">
        <v>44902</v>
      </c>
      <c r="X270" s="177">
        <v>44905</v>
      </c>
      <c r="Y270" s="177"/>
      <c r="Z270" s="177"/>
      <c r="AA270" s="177"/>
      <c r="AB270" s="177"/>
      <c r="AC270" s="177"/>
      <c r="AD270" s="180"/>
      <c r="AE270" s="173" t="s">
        <v>69</v>
      </c>
      <c r="AF270" s="181" t="s">
        <v>248</v>
      </c>
      <c r="AG270" s="181" t="s">
        <v>1145</v>
      </c>
      <c r="AH270" s="181">
        <v>44752</v>
      </c>
      <c r="AI270" s="181">
        <v>44778</v>
      </c>
      <c r="AJ270" s="181"/>
      <c r="AK270" s="181">
        <f ca="1">TODAY()</f>
        <v>44958</v>
      </c>
      <c r="AL270" s="173">
        <f ca="1">IF(AI270&lt;&gt;0,AK270-AI270,0)</f>
        <v>180</v>
      </c>
      <c r="AM270" s="173">
        <f ca="1">IF(ISNUMBER(X270)=TRUE,AK270-X270,IF(X270="","",(AK270)-(MID(RIGHT(X270,10),4,2)&amp;"/"&amp;LEFT((RIGHT(X270,10)),2)&amp;"/"&amp;RIGHT(X270,4))))</f>
        <v>53</v>
      </c>
      <c r="AN270" s="181"/>
      <c r="AO270" s="190" t="s">
        <v>1173</v>
      </c>
      <c r="AP270" s="176">
        <v>9.56</v>
      </c>
      <c r="AQ270" s="176">
        <f>AP270+0.04</f>
        <v>9.6</v>
      </c>
      <c r="AR270" s="176">
        <v>9.6249999999999982</v>
      </c>
      <c r="AS270" s="176">
        <v>9.629999999999999</v>
      </c>
      <c r="AT270" s="173" t="str">
        <f>IF(ISNUMBER(U270)=TRUE,AK270-U270,IF(U270="","",(AK270)-(MID(RIGHT(U270,10),4,2)&amp;"/"&amp;LEFT((RIGHT(U270,10)),2)&amp;"/"&amp;RIGHT(U270,4))))</f>
        <v/>
      </c>
      <c r="AU270" s="173">
        <v>445</v>
      </c>
      <c r="AW270" s="142" t="s">
        <v>123</v>
      </c>
    </row>
    <row r="271" spans="2:49" s="142" customFormat="1" ht="21" customHeight="1" x14ac:dyDescent="0.25">
      <c r="B271" s="173" t="str">
        <f>IF(C271="HOLD RM","HOLD RM",IF(C271="BAL","WIP",IF(C271="HOLD SLT","HOLD SLT",IF(C271="MILL","RM",IF(C271="RE SLT","WIP",IF(C271="RM","RM",IF(C271="RM BAL","RM",IF(C271="RM SLT","RM",IF(C271="RR","WIP",IF(C271="SKP","WIP",IF(C271="SLT","WIP",IF(C271="CTL","WIP",IF(C271="RM SLT RUST","RM SLT RUST",0)))))))))))))&amp;"-"&amp;G271&amp;"/"&amp;IF(H271="2B","2B",IF(H271="NO.1","1D",IF(H271="FH","FH",0)))&amp;"-"&amp;IF(J271="",(TEXT(I271,"0.00")),TEXT(J271,"0.00"))&amp;"X"&amp;M271</f>
        <v>RM-J3/1D-2.20X620</v>
      </c>
      <c r="C271" s="173" t="s">
        <v>48</v>
      </c>
      <c r="D271" s="173" t="s">
        <v>48</v>
      </c>
      <c r="E271" s="190" t="s">
        <v>1177</v>
      </c>
      <c r="F271" s="190" t="s">
        <v>1178</v>
      </c>
      <c r="G271" s="173" t="s">
        <v>34</v>
      </c>
      <c r="H271" s="173" t="s">
        <v>127</v>
      </c>
      <c r="I271" s="174">
        <v>2.2000000000000002</v>
      </c>
      <c r="J271" s="174"/>
      <c r="K271" s="174"/>
      <c r="L271" s="174"/>
      <c r="M271" s="191">
        <v>620</v>
      </c>
      <c r="N271" s="176">
        <v>10.055</v>
      </c>
      <c r="O271" s="176"/>
      <c r="P271" s="177"/>
      <c r="Q271" s="178"/>
      <c r="R271" s="179"/>
      <c r="S271" s="179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80"/>
      <c r="AE271" s="173" t="s">
        <v>69</v>
      </c>
      <c r="AF271" s="181" t="s">
        <v>248</v>
      </c>
      <c r="AG271" s="181" t="s">
        <v>1145</v>
      </c>
      <c r="AH271" s="181">
        <v>44752</v>
      </c>
      <c r="AI271" s="181">
        <v>44778</v>
      </c>
      <c r="AJ271" s="181"/>
      <c r="AK271" s="181">
        <f ca="1">TODAY()</f>
        <v>44958</v>
      </c>
      <c r="AL271" s="173">
        <f ca="1">IF(AI271&lt;&gt;0,AK271-AI271,0)</f>
        <v>180</v>
      </c>
      <c r="AM271" s="173" t="str">
        <f>IF(ISNUMBER(X271)=TRUE,AK271-X271,IF(X271="","",(AK271)-(MID(RIGHT(X271,10),4,2)&amp;"/"&amp;LEFT((RIGHT(X271,10)),2)&amp;"/"&amp;RIGHT(X271,4))))</f>
        <v/>
      </c>
      <c r="AN271" s="181"/>
      <c r="AO271" s="190" t="s">
        <v>1179</v>
      </c>
      <c r="AP271" s="176">
        <v>10.055</v>
      </c>
      <c r="AQ271" s="176">
        <f>AP271+0.04</f>
        <v>10.094999999999999</v>
      </c>
      <c r="AR271" s="176">
        <v>10.119999999999997</v>
      </c>
      <c r="AS271" s="176">
        <v>10.124999999999998</v>
      </c>
      <c r="AT271" s="173" t="str">
        <f>IF(ISNUMBER(U271)=TRUE,AK271-U271,IF(U271="","",(AK271)-(MID(RIGHT(U271,10),4,2)&amp;"/"&amp;LEFT((RIGHT(U271,10)),2)&amp;"/"&amp;RIGHT(U271,4))))</f>
        <v/>
      </c>
      <c r="AU271" s="173">
        <v>445</v>
      </c>
      <c r="AW271" s="142" t="s">
        <v>123</v>
      </c>
    </row>
    <row r="272" spans="2:49" s="142" customFormat="1" ht="21" customHeight="1" x14ac:dyDescent="0.25">
      <c r="B272" s="173" t="str">
        <f>IF(C272="HOLD RM","HOLD RM",IF(C272="BAL","WIP",IF(C272="HOLD SLT","HOLD SLT",IF(C272="MILL","RM",IF(C272="RE SLT","WIP",IF(C272="RM","RM",IF(C272="RM BAL","RM",IF(C272="RM SLT","RM",IF(C272="RR","WIP",IF(C272="SKP","WIP",IF(C272="SLT","WIP",IF(C272="CTL","WIP",IF(C272="RM SLT RUST","RM SLT RUST",0)))))))))))))&amp;"-"&amp;G272&amp;"/"&amp;IF(H272="2B","2B",IF(H272="NO.1","1D",IF(H272="FH","FH",0)))&amp;"-"&amp;IF(J272="",(TEXT(I272,"0.00")),TEXT(J272,"0.00"))&amp;"X"&amp;M272</f>
        <v>RM-J3/1D-2.40X620</v>
      </c>
      <c r="C272" s="173" t="s">
        <v>48</v>
      </c>
      <c r="D272" s="173" t="s">
        <v>48</v>
      </c>
      <c r="E272" s="190" t="s">
        <v>1180</v>
      </c>
      <c r="F272" s="190" t="s">
        <v>1181</v>
      </c>
      <c r="G272" s="173" t="s">
        <v>34</v>
      </c>
      <c r="H272" s="173" t="s">
        <v>127</v>
      </c>
      <c r="I272" s="174">
        <v>2.4</v>
      </c>
      <c r="J272" s="174"/>
      <c r="K272" s="174"/>
      <c r="L272" s="174"/>
      <c r="M272" s="191">
        <v>620</v>
      </c>
      <c r="N272" s="176">
        <v>4.92</v>
      </c>
      <c r="O272" s="176"/>
      <c r="P272" s="177"/>
      <c r="Q272" s="178"/>
      <c r="R272" s="179"/>
      <c r="S272" s="179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80"/>
      <c r="AE272" s="173" t="s">
        <v>69</v>
      </c>
      <c r="AF272" s="181" t="s">
        <v>248</v>
      </c>
      <c r="AG272" s="181" t="s">
        <v>1145</v>
      </c>
      <c r="AH272" s="181">
        <v>44752</v>
      </c>
      <c r="AI272" s="181">
        <v>44778</v>
      </c>
      <c r="AJ272" s="181"/>
      <c r="AK272" s="181">
        <f ca="1">TODAY()</f>
        <v>44958</v>
      </c>
      <c r="AL272" s="173">
        <f ca="1">IF(AI272&lt;&gt;0,AK272-AI272,0)</f>
        <v>180</v>
      </c>
      <c r="AM272" s="173" t="str">
        <f>IF(ISNUMBER(X272)=TRUE,AK272-X272,IF(X272="","",(AK272)-(MID(RIGHT(X272,10),4,2)&amp;"/"&amp;LEFT((RIGHT(X272,10)),2)&amp;"/"&amp;RIGHT(X272,4))))</f>
        <v/>
      </c>
      <c r="AN272" s="181"/>
      <c r="AO272" s="190" t="s">
        <v>1132</v>
      </c>
      <c r="AP272" s="176">
        <v>4.92</v>
      </c>
      <c r="AQ272" s="176">
        <f>AP272+0.04</f>
        <v>4.96</v>
      </c>
      <c r="AR272" s="176">
        <v>4.9850000000000003</v>
      </c>
      <c r="AS272" s="176">
        <v>4.99</v>
      </c>
      <c r="AT272" s="173" t="str">
        <f>IF(ISNUMBER(U272)=TRUE,AK272-U272,IF(U272="","",(AK272)-(MID(RIGHT(U272,10),4,2)&amp;"/"&amp;LEFT((RIGHT(U272,10)),2)&amp;"/"&amp;RIGHT(U272,4))))</f>
        <v/>
      </c>
      <c r="AU272" s="173">
        <v>445</v>
      </c>
      <c r="AW272" s="142" t="s">
        <v>123</v>
      </c>
    </row>
    <row r="273" spans="2:49" s="142" customFormat="1" ht="21" customHeight="1" x14ac:dyDescent="0.25">
      <c r="B273" s="173" t="str">
        <f>IF(C273="HOLD RM","HOLD RM",IF(C273="BAL","WIP",IF(C273="HOLD SLT","HOLD SLT",IF(C273="MILL","RM",IF(C273="RE SLT","WIP",IF(C273="RM","RM",IF(C273="RM BAL","RM",IF(C273="RM SLT","RM",IF(C273="RR","WIP",IF(C273="SKP","WIP",IF(C273="SLT","WIP",IF(C273="CTL","WIP",IF(C273="RM SLT RUST","RM SLT RUST",0)))))))))))))&amp;"-"&amp;G273&amp;"/"&amp;IF(H273="2B","2B",IF(H273="NO.1","1D",IF(H273="FH","FH",0)))&amp;"-"&amp;IF(J273="",(TEXT(I273,"0.00")),TEXT(J273,"0.00"))&amp;"X"&amp;M273</f>
        <v>WIP-J3/FH-0.95X620</v>
      </c>
      <c r="C273" s="173" t="s">
        <v>16</v>
      </c>
      <c r="D273" s="173" t="s">
        <v>16</v>
      </c>
      <c r="E273" s="190" t="s">
        <v>1182</v>
      </c>
      <c r="F273" s="190" t="s">
        <v>1183</v>
      </c>
      <c r="G273" s="173" t="s">
        <v>34</v>
      </c>
      <c r="H273" s="173" t="s">
        <v>70</v>
      </c>
      <c r="I273" s="174">
        <v>2.4</v>
      </c>
      <c r="J273" s="174">
        <v>0.95</v>
      </c>
      <c r="K273" s="174"/>
      <c r="L273" s="174"/>
      <c r="M273" s="191">
        <v>620</v>
      </c>
      <c r="N273" s="176">
        <v>10.115</v>
      </c>
      <c r="O273" s="176" t="s">
        <v>114</v>
      </c>
      <c r="P273" s="177"/>
      <c r="Q273" s="178" t="s">
        <v>295</v>
      </c>
      <c r="R273" s="179"/>
      <c r="S273" s="179"/>
      <c r="T273" s="177">
        <v>44848</v>
      </c>
      <c r="U273" s="177"/>
      <c r="V273" s="177">
        <v>44849</v>
      </c>
      <c r="W273" s="177"/>
      <c r="X273" s="177"/>
      <c r="Y273" s="177"/>
      <c r="Z273" s="177"/>
      <c r="AA273" s="177"/>
      <c r="AB273" s="177"/>
      <c r="AC273" s="177"/>
      <c r="AD273" s="180"/>
      <c r="AE273" s="173" t="s">
        <v>69</v>
      </c>
      <c r="AF273" s="181" t="s">
        <v>248</v>
      </c>
      <c r="AG273" s="181" t="s">
        <v>1145</v>
      </c>
      <c r="AH273" s="181">
        <v>44752</v>
      </c>
      <c r="AI273" s="181">
        <v>44778</v>
      </c>
      <c r="AJ273" s="181"/>
      <c r="AK273" s="181">
        <f ca="1">TODAY()</f>
        <v>44958</v>
      </c>
      <c r="AL273" s="173">
        <f ca="1">IF(AI273&lt;&gt;0,AK273-AI273,0)</f>
        <v>180</v>
      </c>
      <c r="AM273" s="173" t="str">
        <f>IF(ISNUMBER(X273)=TRUE,AK273-X273,IF(X273="","",(AK273)-(MID(RIGHT(X273,10),4,2)&amp;"/"&amp;LEFT((RIGHT(X273,10)),2)&amp;"/"&amp;RIGHT(X273,4))))</f>
        <v/>
      </c>
      <c r="AN273" s="181"/>
      <c r="AO273" s="190" t="s">
        <v>1170</v>
      </c>
      <c r="AP273" s="176">
        <v>10.114000000000001</v>
      </c>
      <c r="AQ273" s="176">
        <f>AP273+0.04</f>
        <v>10.154</v>
      </c>
      <c r="AR273" s="176">
        <v>10.178999999999998</v>
      </c>
      <c r="AS273" s="176">
        <v>10.183999999999999</v>
      </c>
      <c r="AT273" s="173" t="str">
        <f>IF(ISNUMBER(U273)=TRUE,AK273-U273,IF(U273="","",(AK273)-(MID(RIGHT(U273,10),4,2)&amp;"/"&amp;LEFT((RIGHT(U273,10)),2)&amp;"/"&amp;RIGHT(U273,4))))</f>
        <v/>
      </c>
      <c r="AU273" s="173">
        <v>445</v>
      </c>
      <c r="AW273" s="142" t="s">
        <v>123</v>
      </c>
    </row>
    <row r="274" spans="2:49" s="142" customFormat="1" ht="20.25" customHeight="1" x14ac:dyDescent="0.25">
      <c r="B274" s="173" t="str">
        <f>IF(C274="HOLD RM","HOLD RM",IF(C274="BAL","WIP",IF(C274="HOLD SLT","HOLD SLT",IF(C274="MILL","RM",IF(C274="RE SLT","WIP",IF(C274="RM","RM",IF(C274="RM BAL","RM",IF(C274="RM SLT","RM",IF(C274="RR","WIP",IF(C274="SKP","WIP",IF(C274="SLT","WIP",IF(C274="CTL","WIP",IF(C274="RM SLT RUST","RM SLT RUST",0)))))))))))))&amp;"-"&amp;G274&amp;"/"&amp;IF(H274="2B","2B",IF(H274="NO.1","1D",IF(H274="FH","FH",0)))&amp;"-"&amp;IF(J274="",(TEXT(I274,"0.00")),TEXT(J274,"0.00"))&amp;"X"&amp;M274</f>
        <v>WIP-J3/2B-1.00X615</v>
      </c>
      <c r="C274" s="173" t="s">
        <v>18</v>
      </c>
      <c r="D274" s="173" t="s">
        <v>146</v>
      </c>
      <c r="E274" s="190" t="s">
        <v>1184</v>
      </c>
      <c r="F274" s="190" t="s">
        <v>1185</v>
      </c>
      <c r="G274" s="173" t="s">
        <v>34</v>
      </c>
      <c r="H274" s="173" t="s">
        <v>114</v>
      </c>
      <c r="I274" s="174">
        <v>2.4</v>
      </c>
      <c r="J274" s="174">
        <v>1</v>
      </c>
      <c r="K274" s="174">
        <v>1</v>
      </c>
      <c r="L274" s="174">
        <v>1.02</v>
      </c>
      <c r="M274" s="191">
        <v>615</v>
      </c>
      <c r="N274" s="176">
        <v>3.79</v>
      </c>
      <c r="O274" s="176" t="s">
        <v>114</v>
      </c>
      <c r="P274" s="177"/>
      <c r="Q274" s="178" t="s">
        <v>115</v>
      </c>
      <c r="R274" s="178" t="s">
        <v>805</v>
      </c>
      <c r="S274" s="179"/>
      <c r="T274" s="177">
        <v>44819</v>
      </c>
      <c r="U274" s="177"/>
      <c r="V274" s="177">
        <v>44820</v>
      </c>
      <c r="W274" s="177"/>
      <c r="X274" s="177">
        <v>44826</v>
      </c>
      <c r="Y274" s="177"/>
      <c r="Z274" s="177"/>
      <c r="AA274" s="177"/>
      <c r="AB274" s="177"/>
      <c r="AC274" s="177"/>
      <c r="AD274" s="180"/>
      <c r="AE274" s="173" t="s">
        <v>69</v>
      </c>
      <c r="AF274" s="181" t="s">
        <v>248</v>
      </c>
      <c r="AG274" s="181" t="s">
        <v>1145</v>
      </c>
      <c r="AH274" s="181">
        <v>44752</v>
      </c>
      <c r="AI274" s="181">
        <v>44778</v>
      </c>
      <c r="AJ274" s="181"/>
      <c r="AK274" s="181">
        <f ca="1">TODAY()</f>
        <v>44958</v>
      </c>
      <c r="AL274" s="173">
        <f ca="1">IF(AI274&lt;&gt;0,AK274-AI274,0)</f>
        <v>180</v>
      </c>
      <c r="AM274" s="173">
        <f ca="1">IF(ISNUMBER(X274)=TRUE,AK274-X274,IF(X274="","",(AK274)-(MID(RIGHT(X274,10),4,2)&amp;"/"&amp;LEFT((RIGHT(X274,10)),2)&amp;"/"&amp;RIGHT(X274,4))))</f>
        <v>132</v>
      </c>
      <c r="AN274" s="181"/>
      <c r="AO274" s="190" t="s">
        <v>1186</v>
      </c>
      <c r="AP274" s="176">
        <v>9.9</v>
      </c>
      <c r="AQ274" s="176">
        <f>AP274+0.04</f>
        <v>9.94</v>
      </c>
      <c r="AR274" s="176">
        <v>9.9649999999999981</v>
      </c>
      <c r="AS274" s="176">
        <v>9.9699999999999989</v>
      </c>
      <c r="AT274" s="173" t="str">
        <f>IF(ISNUMBER(U274)=TRUE,AK274-U274,IF(U274="","",(AK274)-(MID(RIGHT(U274,10),4,2)&amp;"/"&amp;LEFT((RIGHT(U274,10)),2)&amp;"/"&amp;RIGHT(U274,4))))</f>
        <v/>
      </c>
      <c r="AU274" s="173">
        <v>445</v>
      </c>
      <c r="AW274" s="142" t="s">
        <v>123</v>
      </c>
    </row>
    <row r="275" spans="2:49" s="142" customFormat="1" ht="21" customHeight="1" x14ac:dyDescent="0.25">
      <c r="B275" s="173" t="str">
        <f>IF(C275="HOLD RM","HOLD RM",IF(C275="BAL","WIP",IF(C275="HOLD SLT","HOLD SLT",IF(C275="MILL","RM",IF(C275="RE SLT","WIP",IF(C275="RM","RM",IF(C275="RM BAL","RM",IF(C275="RM SLT","RM",IF(C275="RR","WIP",IF(C275="SKP","WIP",IF(C275="SLT","WIP",IF(C275="CTL","WIP",IF(C275="RM SLT RUST","RM SLT RUST",0)))))))))))))&amp;"-"&amp;G275&amp;"/"&amp;IF(H275="2B","2B",IF(H275="NO.1","1D",IF(H275="FH","FH",0)))&amp;"-"&amp;IF(J275="",(TEXT(I275,"0.00")),TEXT(J275,"0.00"))&amp;"X"&amp;M275</f>
        <v>RM-J3/1D-2.40X670</v>
      </c>
      <c r="C275" s="173" t="s">
        <v>48</v>
      </c>
      <c r="D275" s="173" t="s">
        <v>48</v>
      </c>
      <c r="E275" s="190" t="s">
        <v>1187</v>
      </c>
      <c r="F275" s="190" t="s">
        <v>1188</v>
      </c>
      <c r="G275" s="173" t="s">
        <v>34</v>
      </c>
      <c r="H275" s="173" t="s">
        <v>127</v>
      </c>
      <c r="I275" s="174">
        <v>2.4</v>
      </c>
      <c r="J275" s="174"/>
      <c r="K275" s="174"/>
      <c r="L275" s="174"/>
      <c r="M275" s="191">
        <v>670</v>
      </c>
      <c r="N275" s="176">
        <v>10.49</v>
      </c>
      <c r="O275" s="176"/>
      <c r="P275" s="177"/>
      <c r="Q275" s="178"/>
      <c r="R275" s="179"/>
      <c r="S275" s="179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80"/>
      <c r="AE275" s="173" t="s">
        <v>69</v>
      </c>
      <c r="AF275" s="181" t="s">
        <v>248</v>
      </c>
      <c r="AG275" s="181" t="s">
        <v>1145</v>
      </c>
      <c r="AH275" s="181">
        <v>44752</v>
      </c>
      <c r="AI275" s="181">
        <v>44778</v>
      </c>
      <c r="AJ275" s="181"/>
      <c r="AK275" s="181">
        <f ca="1">TODAY()</f>
        <v>44958</v>
      </c>
      <c r="AL275" s="173">
        <f ca="1">IF(AI275&lt;&gt;0,AK275-AI275,0)</f>
        <v>180</v>
      </c>
      <c r="AM275" s="173" t="str">
        <f>IF(ISNUMBER(X275)=TRUE,AK275-X275,IF(X275="","",(AK275)-(MID(RIGHT(X275,10),4,2)&amp;"/"&amp;LEFT((RIGHT(X275,10)),2)&amp;"/"&amp;RIGHT(X275,4))))</f>
        <v/>
      </c>
      <c r="AN275" s="181"/>
      <c r="AO275" s="190" t="s">
        <v>1189</v>
      </c>
      <c r="AP275" s="176">
        <v>10.49</v>
      </c>
      <c r="AQ275" s="176">
        <f>AP275+0.04</f>
        <v>10.53</v>
      </c>
      <c r="AR275" s="176">
        <v>10.554999999999998</v>
      </c>
      <c r="AS275" s="176">
        <v>10.559999999999999</v>
      </c>
      <c r="AT275" s="173" t="str">
        <f>IF(ISNUMBER(U275)=TRUE,AK275-U275,IF(U275="","",(AK275)-(MID(RIGHT(U275,10),4,2)&amp;"/"&amp;LEFT((RIGHT(U275,10)),2)&amp;"/"&amp;RIGHT(U275,4))))</f>
        <v/>
      </c>
      <c r="AU275" s="173">
        <v>445</v>
      </c>
      <c r="AW275" s="142" t="s">
        <v>123</v>
      </c>
    </row>
    <row r="276" spans="2:49" s="142" customFormat="1" ht="21" customHeight="1" x14ac:dyDescent="0.25">
      <c r="B276" s="173" t="str">
        <f>IF(C276="HOLD RM","HOLD RM",IF(C276="BAL","WIP",IF(C276="HOLD SLT","HOLD SLT",IF(C276="MILL","RM",IF(C276="RE SLT","WIP",IF(C276="RM","RM",IF(C276="RM BAL","RM",IF(C276="RM SLT","RM",IF(C276="RR","WIP",IF(C276="SKP","WIP",IF(C276="SLT","WIP",IF(C276="CTL","WIP",IF(C276="RM SLT RUST","RM SLT RUST",0)))))))))))))&amp;"-"&amp;G276&amp;"/"&amp;IF(H276="2B","2B",IF(H276="NO.1","1D",IF(H276="FH","FH",0)))&amp;"-"&amp;IF(J276="",(TEXT(I276,"0.00")),TEXT(J276,"0.00"))&amp;"X"&amp;M276</f>
        <v>RM-J3/1D-2.40X670</v>
      </c>
      <c r="C276" s="173" t="s">
        <v>48</v>
      </c>
      <c r="D276" s="173" t="s">
        <v>48</v>
      </c>
      <c r="E276" s="190" t="s">
        <v>1190</v>
      </c>
      <c r="F276" s="190" t="s">
        <v>1191</v>
      </c>
      <c r="G276" s="173" t="s">
        <v>34</v>
      </c>
      <c r="H276" s="173" t="s">
        <v>127</v>
      </c>
      <c r="I276" s="174">
        <v>2.4</v>
      </c>
      <c r="J276" s="174"/>
      <c r="K276" s="174"/>
      <c r="L276" s="174"/>
      <c r="M276" s="191">
        <v>670</v>
      </c>
      <c r="N276" s="176">
        <v>10.55</v>
      </c>
      <c r="O276" s="176"/>
      <c r="P276" s="177"/>
      <c r="Q276" s="178"/>
      <c r="R276" s="179"/>
      <c r="S276" s="179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80"/>
      <c r="AE276" s="173" t="s">
        <v>69</v>
      </c>
      <c r="AF276" s="181" t="s">
        <v>248</v>
      </c>
      <c r="AG276" s="181" t="s">
        <v>1145</v>
      </c>
      <c r="AH276" s="181">
        <v>44752</v>
      </c>
      <c r="AI276" s="181">
        <v>44778</v>
      </c>
      <c r="AJ276" s="181"/>
      <c r="AK276" s="181">
        <f ca="1">TODAY()</f>
        <v>44958</v>
      </c>
      <c r="AL276" s="173">
        <f ca="1">IF(AI276&lt;&gt;0,AK276-AI276,0)</f>
        <v>180</v>
      </c>
      <c r="AM276" s="173" t="str">
        <f>IF(ISNUMBER(X276)=TRUE,AK276-X276,IF(X276="","",(AK276)-(MID(RIGHT(X276,10),4,2)&amp;"/"&amp;LEFT((RIGHT(X276,10)),2)&amp;"/"&amp;RIGHT(X276,4))))</f>
        <v/>
      </c>
      <c r="AN276" s="181"/>
      <c r="AO276" s="190" t="s">
        <v>1189</v>
      </c>
      <c r="AP276" s="176">
        <v>10.55</v>
      </c>
      <c r="AQ276" s="176">
        <f>AP276+0.04</f>
        <v>10.59</v>
      </c>
      <c r="AR276" s="176">
        <v>10.614999999999998</v>
      </c>
      <c r="AS276" s="176">
        <v>10.62</v>
      </c>
      <c r="AT276" s="173" t="str">
        <f>IF(ISNUMBER(U276)=TRUE,AK276-U276,IF(U276="","",(AK276)-(MID(RIGHT(U276,10),4,2)&amp;"/"&amp;LEFT((RIGHT(U276,10)),2)&amp;"/"&amp;RIGHT(U276,4))))</f>
        <v/>
      </c>
      <c r="AU276" s="173">
        <v>445</v>
      </c>
      <c r="AW276" s="142" t="s">
        <v>123</v>
      </c>
    </row>
    <row r="277" spans="2:49" s="142" customFormat="1" ht="21" customHeight="1" x14ac:dyDescent="0.25">
      <c r="B277" s="173" t="str">
        <f>IF(C277="HOLD RM","HOLD RM",IF(C277="BAL","WIP",IF(C277="HOLD SLT","HOLD SLT",IF(C277="MILL","RM",IF(C277="RE SLT","WIP",IF(C277="RM","RM",IF(C277="RM BAL","RM",IF(C277="RM SLT","RM",IF(C277="RR","WIP",IF(C277="SKP","WIP",IF(C277="SLT","WIP",IF(C277="CTL","WIP",IF(C277="RM SLT RUST","RM SLT RUST",0)))))))))))))&amp;"-"&amp;G277&amp;"/"&amp;IF(H277="2B","2B",IF(H277="NO.1","1D",IF(H277="FH","FH",0)))&amp;"-"&amp;IF(J277="",(TEXT(I277,"0.00")),TEXT(J277,"0.00"))&amp;"X"&amp;M277</f>
        <v>RM-J3/1D-2.40X620</v>
      </c>
      <c r="C277" s="173" t="s">
        <v>48</v>
      </c>
      <c r="D277" s="173" t="s">
        <v>48</v>
      </c>
      <c r="E277" s="190" t="s">
        <v>1192</v>
      </c>
      <c r="F277" s="190" t="s">
        <v>1193</v>
      </c>
      <c r="G277" s="173" t="s">
        <v>34</v>
      </c>
      <c r="H277" s="173" t="s">
        <v>127</v>
      </c>
      <c r="I277" s="174">
        <v>2.4</v>
      </c>
      <c r="J277" s="174"/>
      <c r="K277" s="174"/>
      <c r="L277" s="174"/>
      <c r="M277" s="191">
        <v>620</v>
      </c>
      <c r="N277" s="176">
        <v>9.2420000000000009</v>
      </c>
      <c r="O277" s="176"/>
      <c r="P277" s="177"/>
      <c r="Q277" s="178"/>
      <c r="R277" s="179"/>
      <c r="S277" s="179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80"/>
      <c r="AE277" s="173" t="s">
        <v>69</v>
      </c>
      <c r="AF277" s="181" t="s">
        <v>248</v>
      </c>
      <c r="AG277" s="181" t="s">
        <v>1145</v>
      </c>
      <c r="AH277" s="181">
        <v>44752</v>
      </c>
      <c r="AI277" s="181">
        <v>44778</v>
      </c>
      <c r="AJ277" s="181"/>
      <c r="AK277" s="181">
        <f ca="1">TODAY()</f>
        <v>44958</v>
      </c>
      <c r="AL277" s="173">
        <f ca="1">IF(AI277&lt;&gt;0,AK277-AI277,0)</f>
        <v>180</v>
      </c>
      <c r="AM277" s="173" t="str">
        <f>IF(ISNUMBER(X277)=TRUE,AK277-X277,IF(X277="","",(AK277)-(MID(RIGHT(X277,10),4,2)&amp;"/"&amp;LEFT((RIGHT(X277,10)),2)&amp;"/"&amp;RIGHT(X277,4))))</f>
        <v/>
      </c>
      <c r="AN277" s="181"/>
      <c r="AO277" s="190" t="s">
        <v>1194</v>
      </c>
      <c r="AP277" s="176">
        <v>9.2420000000000009</v>
      </c>
      <c r="AQ277" s="176">
        <f>AP277+0.04</f>
        <v>9.282</v>
      </c>
      <c r="AR277" s="176">
        <v>9.3069999999999986</v>
      </c>
      <c r="AS277" s="176">
        <v>9.3119999999999994</v>
      </c>
      <c r="AT277" s="173" t="str">
        <f>IF(ISNUMBER(U277)=TRUE,AK277-U277,IF(U277="","",(AK277)-(MID(RIGHT(U277,10),4,2)&amp;"/"&amp;LEFT((RIGHT(U277,10)),2)&amp;"/"&amp;RIGHT(U277,4))))</f>
        <v/>
      </c>
      <c r="AU277" s="173">
        <v>445</v>
      </c>
      <c r="AW277" s="142" t="s">
        <v>123</v>
      </c>
    </row>
    <row r="278" spans="2:49" s="142" customFormat="1" ht="21" customHeight="1" x14ac:dyDescent="0.25">
      <c r="B278" s="173" t="str">
        <f>IF(C278="HOLD RM","HOLD RM",IF(C278="BAL","WIP",IF(C278="HOLD SLT","HOLD SLT",IF(C278="MILL","RM",IF(C278="RE SLT","WIP",IF(C278="RM","RM",IF(C278="RM BAL","RM",IF(C278="RM SLT","RM",IF(C278="RR","WIP",IF(C278="SKP","WIP",IF(C278="SLT","WIP",IF(C278="CTL","WIP",IF(C278="RM SLT RUST","RM SLT RUST",0)))))))))))))&amp;"-"&amp;G278&amp;"/"&amp;IF(H278="2B","2B",IF(H278="NO.1","1D",IF(H278="FH","FH",0)))&amp;"-"&amp;IF(J278="",(TEXT(I278,"0.00")),TEXT(J278,"0.00"))&amp;"X"&amp;M278</f>
        <v>WIP-J3/FH-0.91X620</v>
      </c>
      <c r="C278" s="173" t="s">
        <v>16</v>
      </c>
      <c r="D278" s="173" t="s">
        <v>16</v>
      </c>
      <c r="E278" s="190" t="s">
        <v>1195</v>
      </c>
      <c r="F278" s="190" t="s">
        <v>1196</v>
      </c>
      <c r="G278" s="173" t="s">
        <v>34</v>
      </c>
      <c r="H278" s="173" t="s">
        <v>70</v>
      </c>
      <c r="I278" s="174">
        <v>2.4</v>
      </c>
      <c r="J278" s="174">
        <v>0.91</v>
      </c>
      <c r="K278" s="174"/>
      <c r="L278" s="174"/>
      <c r="M278" s="191">
        <v>620</v>
      </c>
      <c r="N278" s="176">
        <v>9.2279999999999998</v>
      </c>
      <c r="O278" s="176" t="s">
        <v>114</v>
      </c>
      <c r="P278" s="177"/>
      <c r="Q278" s="178" t="s">
        <v>361</v>
      </c>
      <c r="R278" s="179"/>
      <c r="S278" s="179"/>
      <c r="T278" s="177">
        <v>44889</v>
      </c>
      <c r="U278" s="177">
        <v>44947</v>
      </c>
      <c r="V278" s="177"/>
      <c r="W278" s="177">
        <v>44890</v>
      </c>
      <c r="X278" s="177"/>
      <c r="Y278" s="177"/>
      <c r="Z278" s="177"/>
      <c r="AA278" s="177"/>
      <c r="AB278" s="177"/>
      <c r="AC278" s="177"/>
      <c r="AD278" s="180"/>
      <c r="AE278" s="173" t="s">
        <v>69</v>
      </c>
      <c r="AF278" s="181" t="s">
        <v>248</v>
      </c>
      <c r="AG278" s="181" t="s">
        <v>1145</v>
      </c>
      <c r="AH278" s="181">
        <v>44752</v>
      </c>
      <c r="AI278" s="181">
        <v>44778</v>
      </c>
      <c r="AJ278" s="181"/>
      <c r="AK278" s="181">
        <f ca="1">TODAY()</f>
        <v>44958</v>
      </c>
      <c r="AL278" s="173">
        <f ca="1">IF(AI278&lt;&gt;0,AK278-AI278,0)</f>
        <v>180</v>
      </c>
      <c r="AM278" s="173" t="str">
        <f>IF(ISNUMBER(X278)=TRUE,AK278-X278,IF(X278="","",(AK278)-(MID(RIGHT(X278,10),4,2)&amp;"/"&amp;LEFT((RIGHT(X278,10)),2)&amp;"/"&amp;RIGHT(X278,4))))</f>
        <v/>
      </c>
      <c r="AN278" s="181"/>
      <c r="AO278" s="190" t="s">
        <v>1194</v>
      </c>
      <c r="AP278" s="176">
        <v>9.2279999999999998</v>
      </c>
      <c r="AQ278" s="176">
        <f>AP278+0.04</f>
        <v>9.2679999999999989</v>
      </c>
      <c r="AR278" s="176">
        <v>9.2929999999999975</v>
      </c>
      <c r="AS278" s="176">
        <v>9.2979999999999983</v>
      </c>
      <c r="AT278" s="173">
        <f ca="1">IF(ISNUMBER(U278)=TRUE,AK278-U278,IF(U278="","",(AK278)-(MID(RIGHT(U278,10),4,2)&amp;"/"&amp;LEFT((RIGHT(U278,10)),2)&amp;"/"&amp;RIGHT(U278,4))))</f>
        <v>11</v>
      </c>
      <c r="AU278" s="173">
        <v>445</v>
      </c>
      <c r="AW278" s="142" t="s">
        <v>123</v>
      </c>
    </row>
    <row r="279" spans="2:49" s="142" customFormat="1" ht="21" customHeight="1" x14ac:dyDescent="0.25">
      <c r="B279" s="173" t="str">
        <f>IF(C279="HOLD RM","HOLD RM",IF(C279="BAL","WIP",IF(C279="HOLD SLT","HOLD SLT",IF(C279="MILL","RM",IF(C279="RE SLT","WIP",IF(C279="RM","RM",IF(C279="RM BAL","RM",IF(C279="RM SLT","RM",IF(C279="RR","WIP",IF(C279="SKP","WIP",IF(C279="SLT","WIP",IF(C279="CTL","WIP",IF(C279="RM SLT RUST","RM SLT RUST",0)))))))))))))&amp;"-"&amp;G279&amp;"/"&amp;IF(H279="2B","2B",IF(H279="NO.1","1D",IF(H279="FH","FH",0)))&amp;"-"&amp;IF(J279="",(TEXT(I279,"0.00")),TEXT(J279,"0.00"))&amp;"X"&amp;M279</f>
        <v>RM-J3/1D-2.20X620</v>
      </c>
      <c r="C279" s="173" t="s">
        <v>48</v>
      </c>
      <c r="D279" s="173" t="s">
        <v>48</v>
      </c>
      <c r="E279" s="190" t="s">
        <v>1197</v>
      </c>
      <c r="F279" s="190" t="s">
        <v>1198</v>
      </c>
      <c r="G279" s="173" t="s">
        <v>34</v>
      </c>
      <c r="H279" s="173" t="s">
        <v>127</v>
      </c>
      <c r="I279" s="174">
        <v>2.2000000000000002</v>
      </c>
      <c r="J279" s="174"/>
      <c r="K279" s="174"/>
      <c r="L279" s="174"/>
      <c r="M279" s="191">
        <v>620</v>
      </c>
      <c r="N279" s="176">
        <v>10.016</v>
      </c>
      <c r="O279" s="176"/>
      <c r="P279" s="177"/>
      <c r="Q279" s="178"/>
      <c r="R279" s="179"/>
      <c r="S279" s="179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80"/>
      <c r="AE279" s="173" t="s">
        <v>69</v>
      </c>
      <c r="AF279" s="181" t="s">
        <v>248</v>
      </c>
      <c r="AG279" s="181" t="s">
        <v>1145</v>
      </c>
      <c r="AH279" s="181">
        <v>44752</v>
      </c>
      <c r="AI279" s="181">
        <v>44778</v>
      </c>
      <c r="AJ279" s="181"/>
      <c r="AK279" s="181">
        <f ca="1">TODAY()</f>
        <v>44958</v>
      </c>
      <c r="AL279" s="173">
        <f ca="1">IF(AI279&lt;&gt;0,AK279-AI279,0)</f>
        <v>180</v>
      </c>
      <c r="AM279" s="173" t="str">
        <f>IF(ISNUMBER(X279)=TRUE,AK279-X279,IF(X279="","",(AK279)-(MID(RIGHT(X279,10),4,2)&amp;"/"&amp;LEFT((RIGHT(X279,10)),2)&amp;"/"&amp;RIGHT(X279,4))))</f>
        <v/>
      </c>
      <c r="AN279" s="181"/>
      <c r="AO279" s="190" t="s">
        <v>1199</v>
      </c>
      <c r="AP279" s="176">
        <v>10.016</v>
      </c>
      <c r="AQ279" s="176">
        <f>AP279+0.04</f>
        <v>10.055999999999999</v>
      </c>
      <c r="AR279" s="176">
        <v>10.080999999999998</v>
      </c>
      <c r="AS279" s="176">
        <v>10.085999999999999</v>
      </c>
      <c r="AT279" s="173" t="str">
        <f>IF(ISNUMBER(U279)=TRUE,AK279-U279,IF(U279="","",(AK279)-(MID(RIGHT(U279,10),4,2)&amp;"/"&amp;LEFT((RIGHT(U279,10)),2)&amp;"/"&amp;RIGHT(U279,4))))</f>
        <v/>
      </c>
      <c r="AU279" s="173">
        <v>445</v>
      </c>
      <c r="AW279" s="142" t="s">
        <v>123</v>
      </c>
    </row>
    <row r="280" spans="2:49" s="142" customFormat="1" ht="21" customHeight="1" x14ac:dyDescent="0.25">
      <c r="B280" s="173" t="str">
        <f>IF(C280="HOLD RM","HOLD RM",IF(C280="BAL","WIP",IF(C280="HOLD SLT","HOLD SLT",IF(C280="MILL","RM",IF(C280="RE SLT","WIP",IF(C280="RM","RM",IF(C280="RM BAL","RM",IF(C280="RM SLT","RM",IF(C280="RR","WIP",IF(C280="SKP","WIP",IF(C280="SLT","WIP",IF(C280="CTL","WIP",IF(C280="RM SLT RUST","RM SLT RUST",0)))))))))))))&amp;"-"&amp;G280&amp;"/"&amp;IF(H280="2B","2B",IF(H280="NO.1","1D",IF(H280="FH","FH",0)))&amp;"-"&amp;IF(J280="",(TEXT(I280,"0.00")),TEXT(J280,"0.00"))&amp;"X"&amp;M280</f>
        <v>RM-J3/1D-2.40X730</v>
      </c>
      <c r="C280" s="173" t="s">
        <v>48</v>
      </c>
      <c r="D280" s="173" t="s">
        <v>48</v>
      </c>
      <c r="E280" s="190" t="s">
        <v>1200</v>
      </c>
      <c r="F280" s="190" t="s">
        <v>1201</v>
      </c>
      <c r="G280" s="173" t="s">
        <v>34</v>
      </c>
      <c r="H280" s="173" t="s">
        <v>127</v>
      </c>
      <c r="I280" s="174">
        <v>2.4</v>
      </c>
      <c r="J280" s="174"/>
      <c r="K280" s="174"/>
      <c r="L280" s="174"/>
      <c r="M280" s="191">
        <v>730</v>
      </c>
      <c r="N280" s="176">
        <v>11.87</v>
      </c>
      <c r="O280" s="176"/>
      <c r="P280" s="177"/>
      <c r="Q280" s="178"/>
      <c r="R280" s="179"/>
      <c r="S280" s="179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80"/>
      <c r="AE280" s="173" t="s">
        <v>69</v>
      </c>
      <c r="AF280" s="181" t="s">
        <v>248</v>
      </c>
      <c r="AG280" s="181" t="s">
        <v>1145</v>
      </c>
      <c r="AH280" s="181">
        <v>44752</v>
      </c>
      <c r="AI280" s="181">
        <v>44778</v>
      </c>
      <c r="AJ280" s="181"/>
      <c r="AK280" s="181">
        <f ca="1">TODAY()</f>
        <v>44958</v>
      </c>
      <c r="AL280" s="173">
        <f ca="1">IF(AI280&lt;&gt;0,AK280-AI280,0)</f>
        <v>180</v>
      </c>
      <c r="AM280" s="173" t="str">
        <f>IF(ISNUMBER(X280)=TRUE,AK280-X280,IF(X280="","",(AK280)-(MID(RIGHT(X280,10),4,2)&amp;"/"&amp;LEFT((RIGHT(X280,10)),2)&amp;"/"&amp;RIGHT(X280,4))))</f>
        <v/>
      </c>
      <c r="AN280" s="181"/>
      <c r="AO280" s="190" t="s">
        <v>1202</v>
      </c>
      <c r="AP280" s="176">
        <v>11.87</v>
      </c>
      <c r="AQ280" s="176">
        <f>AP280+0.04</f>
        <v>11.909999999999998</v>
      </c>
      <c r="AR280" s="176">
        <v>11.934999999999997</v>
      </c>
      <c r="AS280" s="176">
        <v>11.939999999999998</v>
      </c>
      <c r="AT280" s="173" t="str">
        <f>IF(ISNUMBER(U280)=TRUE,AK280-U280,IF(U280="","",(AK280)-(MID(RIGHT(U280,10),4,2)&amp;"/"&amp;LEFT((RIGHT(U280,10)),2)&amp;"/"&amp;RIGHT(U280,4))))</f>
        <v/>
      </c>
      <c r="AU280" s="173">
        <v>445</v>
      </c>
      <c r="AW280" s="142" t="s">
        <v>123</v>
      </c>
    </row>
    <row r="281" spans="2:49" s="142" customFormat="1" ht="21" customHeight="1" x14ac:dyDescent="0.25">
      <c r="B281" s="173" t="str">
        <f>IF(C281="HOLD RM","HOLD RM",IF(C281="BAL","WIP",IF(C281="HOLD SLT","HOLD SLT",IF(C281="MILL","RM",IF(C281="RE SLT","WIP",IF(C281="RM","RM",IF(C281="RM BAL","RM",IF(C281="RM SLT","RM",IF(C281="RR","WIP",IF(C281="SKP","WIP",IF(C281="SLT","WIP",IF(C281="CTL","WIP",IF(C281="RM SLT RUST","RM SLT RUST",0)))))))))))))&amp;"-"&amp;G281&amp;"/"&amp;IF(H281="2B","2B",IF(H281="NO.1","1D",IF(H281="FH","FH",0)))&amp;"-"&amp;IF(J281="",(TEXT(I281,"0.00")),TEXT(J281,"0.00"))&amp;"X"&amp;M281</f>
        <v>RM-J3/1D-2.40X730</v>
      </c>
      <c r="C281" s="173" t="s">
        <v>48</v>
      </c>
      <c r="D281" s="173" t="s">
        <v>48</v>
      </c>
      <c r="E281" s="190" t="s">
        <v>1203</v>
      </c>
      <c r="F281" s="190" t="s">
        <v>1204</v>
      </c>
      <c r="G281" s="173" t="s">
        <v>34</v>
      </c>
      <c r="H281" s="173" t="s">
        <v>127</v>
      </c>
      <c r="I281" s="174">
        <v>2.4</v>
      </c>
      <c r="J281" s="174"/>
      <c r="K281" s="174"/>
      <c r="L281" s="174"/>
      <c r="M281" s="191">
        <v>730</v>
      </c>
      <c r="N281" s="176">
        <v>11.698</v>
      </c>
      <c r="O281" s="176"/>
      <c r="P281" s="177"/>
      <c r="Q281" s="178"/>
      <c r="R281" s="179"/>
      <c r="S281" s="179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80"/>
      <c r="AE281" s="173" t="s">
        <v>69</v>
      </c>
      <c r="AF281" s="181" t="s">
        <v>248</v>
      </c>
      <c r="AG281" s="181" t="s">
        <v>1145</v>
      </c>
      <c r="AH281" s="181">
        <v>44752</v>
      </c>
      <c r="AI281" s="181">
        <v>44778</v>
      </c>
      <c r="AJ281" s="181"/>
      <c r="AK281" s="181">
        <f ca="1">TODAY()</f>
        <v>44958</v>
      </c>
      <c r="AL281" s="173">
        <f ca="1">IF(AI281&lt;&gt;0,AK281-AI281,0)</f>
        <v>180</v>
      </c>
      <c r="AM281" s="173" t="str">
        <f>IF(ISNUMBER(X281)=TRUE,AK281-X281,IF(X281="","",(AK281)-(MID(RIGHT(X281,10),4,2)&amp;"/"&amp;LEFT((RIGHT(X281,10)),2)&amp;"/"&amp;RIGHT(X281,4))))</f>
        <v/>
      </c>
      <c r="AN281" s="181"/>
      <c r="AO281" s="190" t="s">
        <v>1132</v>
      </c>
      <c r="AP281" s="176">
        <v>11.698</v>
      </c>
      <c r="AQ281" s="176">
        <f>AP281+0.04</f>
        <v>11.738</v>
      </c>
      <c r="AR281" s="176">
        <v>11.762999999999998</v>
      </c>
      <c r="AS281" s="176">
        <v>11.767999999999999</v>
      </c>
      <c r="AT281" s="173" t="str">
        <f>IF(ISNUMBER(U281)=TRUE,AK281-U281,IF(U281="","",(AK281)-(MID(RIGHT(U281,10),4,2)&amp;"/"&amp;LEFT((RIGHT(U281,10)),2)&amp;"/"&amp;RIGHT(U281,4))))</f>
        <v/>
      </c>
      <c r="AU281" s="173">
        <v>445</v>
      </c>
      <c r="AW281" s="142" t="s">
        <v>123</v>
      </c>
    </row>
    <row r="282" spans="2:49" s="142" customFormat="1" ht="21" customHeight="1" x14ac:dyDescent="0.25">
      <c r="B282" s="173" t="str">
        <f>IF(C282="HOLD RM","HOLD RM",IF(C282="BAL","WIP",IF(C282="HOLD SLT","HOLD SLT",IF(C282="MILL","RM",IF(C282="RE SLT","WIP",IF(C282="RM","RM",IF(C282="RM BAL","RM",IF(C282="RM SLT","RM",IF(C282="RR","WIP",IF(C282="SKP","WIP",IF(C282="SLT","WIP",IF(C282="CTL","WIP",IF(C282="RM SLT RUST","RM SLT RUST",0)))))))))))))&amp;"-"&amp;G282&amp;"/"&amp;IF(H282="2B","2B",IF(H282="NO.1","1D",IF(H282="FH","FH",0)))&amp;"-"&amp;IF(J282="",(TEXT(I282,"0.00")),TEXT(J282,"0.00"))&amp;"X"&amp;M282</f>
        <v>RM-J3/1D-2.40X730</v>
      </c>
      <c r="C282" s="173" t="s">
        <v>48</v>
      </c>
      <c r="D282" s="173" t="s">
        <v>48</v>
      </c>
      <c r="E282" s="190" t="s">
        <v>1205</v>
      </c>
      <c r="F282" s="190" t="s">
        <v>1206</v>
      </c>
      <c r="G282" s="173" t="s">
        <v>34</v>
      </c>
      <c r="H282" s="173" t="s">
        <v>127</v>
      </c>
      <c r="I282" s="174">
        <v>2.4</v>
      </c>
      <c r="J282" s="174"/>
      <c r="K282" s="174"/>
      <c r="L282" s="174"/>
      <c r="M282" s="191">
        <v>730</v>
      </c>
      <c r="N282" s="176">
        <v>11.794</v>
      </c>
      <c r="O282" s="176"/>
      <c r="P282" s="177"/>
      <c r="Q282" s="178"/>
      <c r="R282" s="179"/>
      <c r="S282" s="179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80"/>
      <c r="AE282" s="173" t="s">
        <v>69</v>
      </c>
      <c r="AF282" s="181" t="s">
        <v>248</v>
      </c>
      <c r="AG282" s="181" t="s">
        <v>1145</v>
      </c>
      <c r="AH282" s="181">
        <v>44752</v>
      </c>
      <c r="AI282" s="181">
        <v>44778</v>
      </c>
      <c r="AJ282" s="181"/>
      <c r="AK282" s="181">
        <f ca="1">TODAY()</f>
        <v>44958</v>
      </c>
      <c r="AL282" s="173">
        <f ca="1">IF(AI282&lt;&gt;0,AK282-AI282,0)</f>
        <v>180</v>
      </c>
      <c r="AM282" s="173" t="str">
        <f>IF(ISNUMBER(X282)=TRUE,AK282-X282,IF(X282="","",(AK282)-(MID(RIGHT(X282,10),4,2)&amp;"/"&amp;LEFT((RIGHT(X282,10)),2)&amp;"/"&amp;RIGHT(X282,4))))</f>
        <v/>
      </c>
      <c r="AN282" s="181"/>
      <c r="AO282" s="190" t="s">
        <v>1207</v>
      </c>
      <c r="AP282" s="176">
        <v>11.794</v>
      </c>
      <c r="AQ282" s="176">
        <f>AP282+0.04</f>
        <v>11.834</v>
      </c>
      <c r="AR282" s="176">
        <v>11.858999999999998</v>
      </c>
      <c r="AS282" s="176">
        <v>11.863999999999999</v>
      </c>
      <c r="AT282" s="173" t="str">
        <f>IF(ISNUMBER(U282)=TRUE,AK282-U282,IF(U282="","",(AK282)-(MID(RIGHT(U282,10),4,2)&amp;"/"&amp;LEFT((RIGHT(U282,10)),2)&amp;"/"&amp;RIGHT(U282,4))))</f>
        <v/>
      </c>
      <c r="AU282" s="173">
        <v>445</v>
      </c>
      <c r="AW282" s="142" t="s">
        <v>123</v>
      </c>
    </row>
    <row r="283" spans="2:49" s="142" customFormat="1" ht="21" customHeight="1" x14ac:dyDescent="0.25">
      <c r="B283" s="173" t="str">
        <f>IF(C283="HOLD RM","HOLD RM",IF(C283="BAL","WIP",IF(C283="HOLD SLT","HOLD SLT",IF(C283="MILL","RM",IF(C283="RE SLT","WIP",IF(C283="RM","RM",IF(C283="RM BAL","RM",IF(C283="RM SLT","RM",IF(C283="RR","WIP",IF(C283="SKP","WIP",IF(C283="SLT","WIP",IF(C283="CTL","WIP",IF(C283="RM SLT RUST","RM SLT RUST",0)))))))))))))&amp;"-"&amp;G283&amp;"/"&amp;IF(H283="2B","2B",IF(H283="NO.1","1D",IF(H283="FH","FH",0)))&amp;"-"&amp;IF(J283="",(TEXT(I283,"0.00")),TEXT(J283,"0.00"))&amp;"X"&amp;M283</f>
        <v>WIP-304L/2B-0.70X768</v>
      </c>
      <c r="C283" s="173" t="s">
        <v>173</v>
      </c>
      <c r="D283" s="173" t="s">
        <v>146</v>
      </c>
      <c r="E283" s="190" t="s">
        <v>1208</v>
      </c>
      <c r="F283" s="190" t="s">
        <v>1209</v>
      </c>
      <c r="G283" s="173" t="s">
        <v>182</v>
      </c>
      <c r="H283" s="173" t="s">
        <v>114</v>
      </c>
      <c r="I283" s="174">
        <v>1.45</v>
      </c>
      <c r="J283" s="174">
        <v>0.7</v>
      </c>
      <c r="K283" s="174">
        <v>0.7</v>
      </c>
      <c r="L283" s="174">
        <v>0.71</v>
      </c>
      <c r="M283" s="191">
        <v>768</v>
      </c>
      <c r="N283" s="176">
        <v>5.9649999999999999</v>
      </c>
      <c r="O283" s="176" t="s">
        <v>114</v>
      </c>
      <c r="P283" s="177"/>
      <c r="Q283" s="178" t="s">
        <v>216</v>
      </c>
      <c r="R283" s="178" t="s">
        <v>1210</v>
      </c>
      <c r="S283" s="179"/>
      <c r="T283" s="177" t="s">
        <v>1211</v>
      </c>
      <c r="U283" s="177"/>
      <c r="V283" s="177" t="s">
        <v>1211</v>
      </c>
      <c r="W283" s="177"/>
      <c r="X283" s="177" t="s">
        <v>1212</v>
      </c>
      <c r="Y283" s="177"/>
      <c r="Z283" s="177" t="s">
        <v>1213</v>
      </c>
      <c r="AA283" s="177"/>
      <c r="AB283" s="177"/>
      <c r="AC283" s="177"/>
      <c r="AD283" s="180" t="s">
        <v>1214</v>
      </c>
      <c r="AE283" s="173" t="s">
        <v>69</v>
      </c>
      <c r="AF283" s="181" t="s">
        <v>142</v>
      </c>
      <c r="AG283" s="181" t="s">
        <v>1215</v>
      </c>
      <c r="AH283" s="181"/>
      <c r="AI283" s="181">
        <v>44785</v>
      </c>
      <c r="AJ283" s="181"/>
      <c r="AK283" s="181">
        <f ca="1">TODAY()</f>
        <v>44958</v>
      </c>
      <c r="AL283" s="173">
        <f ca="1">IF(AI283&lt;&gt;0,AK283-AI283,0)</f>
        <v>173</v>
      </c>
      <c r="AM283" s="173">
        <f ca="1">IF(ISNUMBER(X283)=TRUE,AK283-X283,IF(X283="","",(AK283)-(MID(RIGHT(X283,10),4,2)&amp;"/"&amp;LEFT((RIGHT(X283,10)),2)&amp;"/"&amp;RIGHT(X283,4))))</f>
        <v>125</v>
      </c>
      <c r="AN283" s="181"/>
      <c r="AO283" s="190" t="s">
        <v>1216</v>
      </c>
      <c r="AP283" s="176">
        <v>12.125</v>
      </c>
      <c r="AQ283" s="176">
        <v>12.135</v>
      </c>
      <c r="AR283" s="176">
        <v>12.159999999999998</v>
      </c>
      <c r="AS283" s="176">
        <v>12.164999999999999</v>
      </c>
      <c r="AT283" s="173" t="str">
        <f>IF(ISNUMBER(U283)=TRUE,AK283-U283,IF(U283="","",(AK283)-(MID(RIGHT(U283,10),4,2)&amp;"/"&amp;LEFT((RIGHT(U283,10)),2)&amp;"/"&amp;RIGHT(U283,4))))</f>
        <v/>
      </c>
      <c r="AU283" s="173">
        <v>447</v>
      </c>
      <c r="AW283" s="142" t="s">
        <v>123</v>
      </c>
    </row>
    <row r="284" spans="2:49" s="142" customFormat="1" ht="21" customHeight="1" x14ac:dyDescent="0.25">
      <c r="B284" s="173" t="str">
        <f>IF(C284="HOLD RM","HOLD RM",IF(C284="BAL","WIP",IF(C284="HOLD SLT","HOLD SLT",IF(C284="MILL","RM",IF(C284="RE SLT","WIP",IF(C284="RM","RM",IF(C284="RM BAL","RM",IF(C284="RM SLT","RM",IF(C284="RR","WIP",IF(C284="SKP","WIP",IF(C284="SLT","WIP",IF(C284="CTL","WIP",IF(C284="RM SLT RUST","RM SLT RUST",0)))))))))))))&amp;"-"&amp;G284&amp;"/"&amp;IF(H284="2B","2B",IF(H284="NO.1","1D",IF(H284="FH","FH",0)))&amp;"-"&amp;IF(J284="",(TEXT(I284,"0.00")),TEXT(J284,"0.00"))&amp;"X"&amp;M284</f>
        <v>WIP-304L/FH-0.60X767</v>
      </c>
      <c r="C284" s="173" t="s">
        <v>16</v>
      </c>
      <c r="D284" s="173" t="s">
        <v>16</v>
      </c>
      <c r="E284" s="190" t="s">
        <v>1217</v>
      </c>
      <c r="F284" s="190" t="s">
        <v>1218</v>
      </c>
      <c r="G284" s="173" t="s">
        <v>182</v>
      </c>
      <c r="H284" s="173" t="s">
        <v>70</v>
      </c>
      <c r="I284" s="174">
        <v>1.2</v>
      </c>
      <c r="J284" s="174">
        <v>0.6</v>
      </c>
      <c r="K284" s="174"/>
      <c r="L284" s="174"/>
      <c r="M284" s="191">
        <v>767</v>
      </c>
      <c r="N284" s="176">
        <v>6.1150000000000002</v>
      </c>
      <c r="O284" s="176" t="s">
        <v>114</v>
      </c>
      <c r="P284" s="177"/>
      <c r="Q284" s="178" t="s">
        <v>1210</v>
      </c>
      <c r="R284" s="178" t="s">
        <v>761</v>
      </c>
      <c r="S284" s="179"/>
      <c r="T284" s="177" t="s">
        <v>1219</v>
      </c>
      <c r="U284" s="177"/>
      <c r="V284" s="177" t="s">
        <v>1219</v>
      </c>
      <c r="W284" s="177"/>
      <c r="X284" s="177">
        <v>44817</v>
      </c>
      <c r="Y284" s="177"/>
      <c r="Z284" s="177" t="s">
        <v>1220</v>
      </c>
      <c r="AA284" s="177"/>
      <c r="AB284" s="177"/>
      <c r="AC284" s="177"/>
      <c r="AD284" s="180" t="s">
        <v>1214</v>
      </c>
      <c r="AE284" s="173" t="s">
        <v>69</v>
      </c>
      <c r="AF284" s="181" t="s">
        <v>142</v>
      </c>
      <c r="AG284" s="181" t="s">
        <v>1053</v>
      </c>
      <c r="AH284" s="181"/>
      <c r="AI284" s="181">
        <v>44785</v>
      </c>
      <c r="AJ284" s="181"/>
      <c r="AK284" s="181">
        <f ca="1">TODAY()</f>
        <v>44958</v>
      </c>
      <c r="AL284" s="173">
        <f ca="1">IF(AI284&lt;&gt;0,AK284-AI284,0)</f>
        <v>173</v>
      </c>
      <c r="AM284" s="173">
        <f ca="1">IF(ISNUMBER(X284)=TRUE,AK284-X284,IF(X284="","",(AK284)-(MID(RIGHT(X284,10),4,2)&amp;"/"&amp;LEFT((RIGHT(X284,10)),2)&amp;"/"&amp;RIGHT(X284,4))))</f>
        <v>141</v>
      </c>
      <c r="AN284" s="181"/>
      <c r="AO284" s="190" t="s">
        <v>1221</v>
      </c>
      <c r="AP284" s="176">
        <v>11.565</v>
      </c>
      <c r="AQ284" s="176">
        <v>11.574999999999999</v>
      </c>
      <c r="AR284" s="176">
        <v>11.599999999999998</v>
      </c>
      <c r="AS284" s="176">
        <v>11.604999999999999</v>
      </c>
      <c r="AT284" s="173" t="str">
        <f>IF(ISNUMBER(U284)=TRUE,AK284-U284,IF(U284="","",(AK284)-(MID(RIGHT(U284,10),4,2)&amp;"/"&amp;LEFT((RIGHT(U284,10)),2)&amp;"/"&amp;RIGHT(U284,4))))</f>
        <v/>
      </c>
      <c r="AU284" s="173">
        <v>447</v>
      </c>
      <c r="AW284" s="142" t="s">
        <v>123</v>
      </c>
    </row>
    <row r="285" spans="2:49" s="142" customFormat="1" ht="21" customHeight="1" x14ac:dyDescent="0.25">
      <c r="B285" s="173" t="str">
        <f>IF(C285="HOLD RM","HOLD RM",IF(C285="BAL","WIP",IF(C285="HOLD SLT","HOLD SLT",IF(C285="MILL","RM",IF(C285="RE SLT","WIP",IF(C285="RM","RM",IF(C285="RM BAL","RM",IF(C285="RM SLT","RM",IF(C285="RR","WIP",IF(C285="SKP","WIP",IF(C285="SLT","WIP",IF(C285="CTL","WIP",IF(C285="RM SLT RUST","RM SLT RUST",0)))))))))))))&amp;"-"&amp;G285&amp;"/"&amp;IF(H285="2B","2B",IF(H285="NO.1","1D",IF(H285="FH","FH",0)))&amp;"-"&amp;IF(J285="",(TEXT(I285,"0.00")),TEXT(J285,"0.00"))&amp;"X"&amp;M285</f>
        <v>WIP-304L/2B-0.70X767</v>
      </c>
      <c r="C285" s="173" t="s">
        <v>18</v>
      </c>
      <c r="D285" s="173" t="s">
        <v>836</v>
      </c>
      <c r="E285" s="190" t="s">
        <v>1222</v>
      </c>
      <c r="F285" s="190" t="s">
        <v>1223</v>
      </c>
      <c r="G285" s="173" t="s">
        <v>182</v>
      </c>
      <c r="H285" s="173" t="s">
        <v>114</v>
      </c>
      <c r="I285" s="174">
        <v>1.3</v>
      </c>
      <c r="J285" s="174">
        <v>0.7</v>
      </c>
      <c r="K285" s="174">
        <v>0.68</v>
      </c>
      <c r="L285" s="174">
        <v>0.7</v>
      </c>
      <c r="M285" s="191">
        <v>767</v>
      </c>
      <c r="N285" s="176">
        <v>5.91</v>
      </c>
      <c r="O285" s="176" t="s">
        <v>114</v>
      </c>
      <c r="P285" s="177"/>
      <c r="Q285" s="178" t="s">
        <v>183</v>
      </c>
      <c r="R285" s="178" t="s">
        <v>761</v>
      </c>
      <c r="S285" s="179" t="s">
        <v>1224</v>
      </c>
      <c r="T285" s="177" t="s">
        <v>1225</v>
      </c>
      <c r="U285" s="177"/>
      <c r="V285" s="177" t="s">
        <v>1225</v>
      </c>
      <c r="W285" s="177"/>
      <c r="X285" s="177" t="s">
        <v>1226</v>
      </c>
      <c r="Y285" s="177"/>
      <c r="Z285" s="177" t="s">
        <v>1227</v>
      </c>
      <c r="AA285" s="177"/>
      <c r="AB285" s="177"/>
      <c r="AC285" s="177"/>
      <c r="AD285" s="180" t="s">
        <v>1214</v>
      </c>
      <c r="AE285" s="173" t="s">
        <v>69</v>
      </c>
      <c r="AF285" s="181" t="s">
        <v>142</v>
      </c>
      <c r="AG285" s="181" t="s">
        <v>1053</v>
      </c>
      <c r="AH285" s="181"/>
      <c r="AI285" s="181">
        <v>44785</v>
      </c>
      <c r="AJ285" s="181"/>
      <c r="AK285" s="181">
        <f ca="1">TODAY()</f>
        <v>44958</v>
      </c>
      <c r="AL285" s="173">
        <f ca="1">IF(AI285&lt;&gt;0,AK285-AI285,0)</f>
        <v>173</v>
      </c>
      <c r="AM285" s="173">
        <f ca="1">IF(ISNUMBER(X285)=TRUE,AK285-X285,IF(X285="","",(AK285)-(MID(RIGHT(X285,10),4,2)&amp;"/"&amp;LEFT((RIGHT(X285,10)),2)&amp;"/"&amp;RIGHT(X285,4))))</f>
        <v>59</v>
      </c>
      <c r="AN285" s="181"/>
      <c r="AO285" s="190" t="s">
        <v>1228</v>
      </c>
      <c r="AP285" s="176">
        <v>10.395</v>
      </c>
      <c r="AQ285" s="176">
        <v>10.404999999999999</v>
      </c>
      <c r="AR285" s="176">
        <v>10.429999999999998</v>
      </c>
      <c r="AS285" s="176">
        <v>10.434999999999999</v>
      </c>
      <c r="AT285" s="173" t="str">
        <f>IF(ISNUMBER(U285)=TRUE,AK285-U285,IF(U285="","",(AK285)-(MID(RIGHT(U285,10),4,2)&amp;"/"&amp;LEFT((RIGHT(U285,10)),2)&amp;"/"&amp;RIGHT(U285,4))))</f>
        <v/>
      </c>
      <c r="AU285" s="173">
        <v>447</v>
      </c>
      <c r="AW285" s="142" t="s">
        <v>123</v>
      </c>
    </row>
    <row r="286" spans="2:49" s="142" customFormat="1" ht="21" customHeight="1" x14ac:dyDescent="0.25">
      <c r="B286" s="173" t="str">
        <f>IF(C286="HOLD RM","HOLD RM",IF(C286="BAL","WIP",IF(C286="HOLD SLT","HOLD SLT",IF(C286="MILL","RM",IF(C286="RE SLT","WIP",IF(C286="RM","RM",IF(C286="RM BAL","RM",IF(C286="RM SLT","RM",IF(C286="RR","WIP",IF(C286="SKP","WIP",IF(C286="SLT","WIP",IF(C286="CTL","WIP",IF(C286="RM SLT RUST","RM SLT RUST",0)))))))))))))&amp;"-"&amp;G286&amp;"/"&amp;IF(H286="2B","2B",IF(H286="NO.1","1D",IF(H286="FH","FH",0)))&amp;"-"&amp;IF(J286="",(TEXT(I286,"0.00")),TEXT(J286,"0.00"))&amp;"X"&amp;M286</f>
        <v>WIP-304L/FH-0.50X758</v>
      </c>
      <c r="C286" s="173" t="s">
        <v>16</v>
      </c>
      <c r="D286" s="173" t="s">
        <v>16</v>
      </c>
      <c r="E286" s="190" t="s">
        <v>1229</v>
      </c>
      <c r="F286" s="190" t="s">
        <v>1230</v>
      </c>
      <c r="G286" s="173" t="s">
        <v>182</v>
      </c>
      <c r="H286" s="173" t="s">
        <v>70</v>
      </c>
      <c r="I286" s="174">
        <v>0.53</v>
      </c>
      <c r="J286" s="174">
        <v>0.5</v>
      </c>
      <c r="K286" s="174"/>
      <c r="L286" s="174"/>
      <c r="M286" s="191">
        <v>758</v>
      </c>
      <c r="N286" s="176">
        <v>0.39</v>
      </c>
      <c r="O286" s="176" t="s">
        <v>114</v>
      </c>
      <c r="P286" s="177"/>
      <c r="Q286" s="178" t="s">
        <v>115</v>
      </c>
      <c r="R286" s="178" t="s">
        <v>761</v>
      </c>
      <c r="S286" s="179"/>
      <c r="T286" s="177" t="s">
        <v>1231</v>
      </c>
      <c r="U286" s="177"/>
      <c r="V286" s="177" t="s">
        <v>1232</v>
      </c>
      <c r="W286" s="177"/>
      <c r="X286" s="177" t="s">
        <v>1233</v>
      </c>
      <c r="Y286" s="177"/>
      <c r="Z286" s="177" t="s">
        <v>1234</v>
      </c>
      <c r="AA286" s="177"/>
      <c r="AB286" s="177"/>
      <c r="AC286" s="177"/>
      <c r="AD286" s="180" t="s">
        <v>1235</v>
      </c>
      <c r="AE286" s="173" t="s">
        <v>69</v>
      </c>
      <c r="AF286" s="181" t="s">
        <v>142</v>
      </c>
      <c r="AG286" s="181" t="s">
        <v>1215</v>
      </c>
      <c r="AH286" s="181"/>
      <c r="AI286" s="181">
        <v>44785</v>
      </c>
      <c r="AJ286" s="181"/>
      <c r="AK286" s="181">
        <f ca="1">TODAY()</f>
        <v>44958</v>
      </c>
      <c r="AL286" s="173">
        <f ca="1">IF(AI286&lt;&gt;0,AK286-AI286,0)</f>
        <v>173</v>
      </c>
      <c r="AM286" s="173">
        <f ca="1">IF(ISNUMBER(X286)=TRUE,AK286-X286,IF(X286="","",(AK286)-(MID(RIGHT(X286,10),4,2)&amp;"/"&amp;LEFT((RIGHT(X286,10)),2)&amp;"/"&amp;RIGHT(X286,4))))</f>
        <v>84</v>
      </c>
      <c r="AN286" s="181"/>
      <c r="AO286" s="190" t="s">
        <v>1236</v>
      </c>
      <c r="AP286" s="176">
        <v>12.1</v>
      </c>
      <c r="AQ286" s="176">
        <v>12.11</v>
      </c>
      <c r="AR286" s="176">
        <v>12.134999999999998</v>
      </c>
      <c r="AS286" s="176">
        <v>12.139999999999999</v>
      </c>
      <c r="AT286" s="173" t="str">
        <f>IF(ISNUMBER(U286)=TRUE,AK286-U286,IF(U286="","",(AK286)-(MID(RIGHT(U286,10),4,2)&amp;"/"&amp;LEFT((RIGHT(U286,10)),2)&amp;"/"&amp;RIGHT(U286,4))))</f>
        <v/>
      </c>
      <c r="AU286" s="173">
        <v>447</v>
      </c>
      <c r="AW286" s="142" t="s">
        <v>123</v>
      </c>
    </row>
    <row r="287" spans="2:49" s="142" customFormat="1" ht="21" customHeight="1" x14ac:dyDescent="0.25">
      <c r="B287" s="173" t="str">
        <f>IF(C287="HOLD RM","HOLD RM",IF(C287="BAL","WIP",IF(C287="HOLD SLT","HOLD SLT",IF(C287="MILL","RM",IF(C287="RE SLT","WIP",IF(C287="RM","RM",IF(C287="RM BAL","RM",IF(C287="RM SLT","RM",IF(C287="RR","WIP",IF(C287="SKP","WIP",IF(C287="SLT","WIP",IF(C287="CTL","WIP",IF(C287="RM SLT RUST","RM SLT RUST",0)))))))))))))&amp;"-"&amp;G287&amp;"/"&amp;IF(H287="2B","2B",IF(H287="NO.1","1D",IF(H287="FH","FH",0)))&amp;"-"&amp;IF(J287="",(TEXT(I287,"0.00")),TEXT(J287,"0.00"))&amp;"X"&amp;M287</f>
        <v>WIP-304L/2B-0.53X758</v>
      </c>
      <c r="C287" s="173" t="s">
        <v>775</v>
      </c>
      <c r="D287" s="173" t="s">
        <v>1237</v>
      </c>
      <c r="E287" s="190" t="s">
        <v>1229</v>
      </c>
      <c r="F287" s="190" t="s">
        <v>1238</v>
      </c>
      <c r="G287" s="173" t="s">
        <v>182</v>
      </c>
      <c r="H287" s="173" t="s">
        <v>114</v>
      </c>
      <c r="I287" s="174">
        <v>0.63</v>
      </c>
      <c r="J287" s="174">
        <v>0.53</v>
      </c>
      <c r="K287" s="174">
        <v>0.53</v>
      </c>
      <c r="L287" s="174">
        <v>0.55000000000000004</v>
      </c>
      <c r="M287" s="191">
        <v>758</v>
      </c>
      <c r="N287" s="176">
        <v>2.2650000000000001</v>
      </c>
      <c r="O287" s="176" t="s">
        <v>114</v>
      </c>
      <c r="P287" s="177"/>
      <c r="Q287" s="178" t="s">
        <v>1239</v>
      </c>
      <c r="R287" s="178" t="s">
        <v>761</v>
      </c>
      <c r="S287" s="179"/>
      <c r="T287" s="177" t="s">
        <v>1231</v>
      </c>
      <c r="U287" s="177"/>
      <c r="V287" s="177" t="s">
        <v>1240</v>
      </c>
      <c r="W287" s="177"/>
      <c r="X287" s="177" t="s">
        <v>1233</v>
      </c>
      <c r="Y287" s="177"/>
      <c r="Z287" s="177" t="s">
        <v>1241</v>
      </c>
      <c r="AA287" s="177"/>
      <c r="AB287" s="177"/>
      <c r="AC287" s="177"/>
      <c r="AD287" s="180" t="s">
        <v>1235</v>
      </c>
      <c r="AE287" s="173" t="s">
        <v>69</v>
      </c>
      <c r="AF287" s="181" t="s">
        <v>142</v>
      </c>
      <c r="AG287" s="181" t="s">
        <v>1215</v>
      </c>
      <c r="AH287" s="181"/>
      <c r="AI287" s="181">
        <v>44785</v>
      </c>
      <c r="AJ287" s="181"/>
      <c r="AK287" s="181">
        <f ca="1">TODAY()</f>
        <v>44958</v>
      </c>
      <c r="AL287" s="173">
        <f ca="1">IF(AI287&lt;&gt;0,AK287-AI287,0)</f>
        <v>173</v>
      </c>
      <c r="AM287" s="173">
        <f ca="1">IF(ISNUMBER(X287)=TRUE,AK287-X287,IF(X287="","",(AK287)-(MID(RIGHT(X287,10),4,2)&amp;"/"&amp;LEFT((RIGHT(X287,10)),2)&amp;"/"&amp;RIGHT(X287,4))))</f>
        <v>84</v>
      </c>
      <c r="AN287" s="181"/>
      <c r="AO287" s="190" t="s">
        <v>1236</v>
      </c>
      <c r="AP287" s="176">
        <v>12.1</v>
      </c>
      <c r="AQ287" s="176">
        <v>12.11</v>
      </c>
      <c r="AR287" s="176">
        <v>12.134999999999998</v>
      </c>
      <c r="AS287" s="176">
        <v>12.139999999999999</v>
      </c>
      <c r="AT287" s="173" t="str">
        <f>IF(ISNUMBER(U287)=TRUE,AK287-U287,IF(U287="","",(AK287)-(MID(RIGHT(U287,10),4,2)&amp;"/"&amp;LEFT((RIGHT(U287,10)),2)&amp;"/"&amp;RIGHT(U287,4))))</f>
        <v/>
      </c>
      <c r="AU287" s="173">
        <v>447</v>
      </c>
      <c r="AW287" s="142" t="s">
        <v>123</v>
      </c>
    </row>
    <row r="288" spans="2:49" s="142" customFormat="1" ht="21" customHeight="1" x14ac:dyDescent="0.25">
      <c r="B288" s="173" t="str">
        <f>IF(C288="HOLD RM","HOLD RM",IF(C288="BAL","WIP",IF(C288="HOLD SLT","HOLD SLT",IF(C288="MILL","RM",IF(C288="RE SLT","WIP",IF(C288="RM","RM",IF(C288="RM BAL","RM",IF(C288="RM SLT","RM",IF(C288="RR","WIP",IF(C288="SKP","WIP",IF(C288="SLT","WIP",IF(C288="CTL","WIP",IF(C288="RM SLT RUST","RM SLT RUST",0)))))))))))))&amp;"-"&amp;G288&amp;"/"&amp;IF(H288="2B","2B",IF(H288="NO.1","1D",IF(H288="FH","FH",0)))&amp;"-"&amp;IF(J288="",(TEXT(I288,"0.00")),TEXT(J288,"0.00"))&amp;"X"&amp;M288</f>
        <v>WIP-304L/2B-1.25X770</v>
      </c>
      <c r="C288" s="173" t="s">
        <v>775</v>
      </c>
      <c r="D288" s="173" t="s">
        <v>776</v>
      </c>
      <c r="E288" s="190" t="s">
        <v>1242</v>
      </c>
      <c r="F288" s="190" t="s">
        <v>1243</v>
      </c>
      <c r="G288" s="173" t="s">
        <v>182</v>
      </c>
      <c r="H288" s="173" t="s">
        <v>114</v>
      </c>
      <c r="I288" s="174">
        <v>3.49</v>
      </c>
      <c r="J288" s="174">
        <v>1.25</v>
      </c>
      <c r="K288" s="174">
        <v>1.22</v>
      </c>
      <c r="L288" s="174">
        <v>1.23</v>
      </c>
      <c r="M288" s="191">
        <v>770</v>
      </c>
      <c r="N288" s="176">
        <v>12.074999999999999</v>
      </c>
      <c r="O288" s="176" t="s">
        <v>114</v>
      </c>
      <c r="P288" s="177"/>
      <c r="Q288" s="178" t="s">
        <v>314</v>
      </c>
      <c r="R288" s="178" t="s">
        <v>750</v>
      </c>
      <c r="S288" s="179"/>
      <c r="T288" s="177">
        <v>44793</v>
      </c>
      <c r="U288" s="177"/>
      <c r="V288" s="177">
        <v>44794</v>
      </c>
      <c r="W288" s="177"/>
      <c r="X288" s="177">
        <v>44795</v>
      </c>
      <c r="Y288" s="177"/>
      <c r="Z288" s="177"/>
      <c r="AA288" s="177"/>
      <c r="AB288" s="177"/>
      <c r="AC288" s="177"/>
      <c r="AD288" s="180" t="s">
        <v>1244</v>
      </c>
      <c r="AE288" s="173" t="s">
        <v>69</v>
      </c>
      <c r="AF288" s="181" t="s">
        <v>142</v>
      </c>
      <c r="AG288" s="181" t="s">
        <v>1053</v>
      </c>
      <c r="AH288" s="181"/>
      <c r="AI288" s="181">
        <v>44785</v>
      </c>
      <c r="AJ288" s="181"/>
      <c r="AK288" s="181">
        <f ca="1">TODAY()</f>
        <v>44958</v>
      </c>
      <c r="AL288" s="173">
        <f ca="1">IF(AI288&lt;&gt;0,AK288-AI288,0)</f>
        <v>173</v>
      </c>
      <c r="AM288" s="173">
        <f ca="1">IF(ISNUMBER(X288)=TRUE,AK288-X288,IF(X288="","",(AK288)-(MID(RIGHT(X288,10),4,2)&amp;"/"&amp;LEFT((RIGHT(X288,10)),2)&amp;"/"&amp;RIGHT(X288,4))))</f>
        <v>163</v>
      </c>
      <c r="AN288" s="181"/>
      <c r="AO288" s="190" t="s">
        <v>1245</v>
      </c>
      <c r="AP288" s="176">
        <v>12.11</v>
      </c>
      <c r="AQ288" s="176">
        <v>12.12</v>
      </c>
      <c r="AR288" s="176">
        <v>12.144999999999998</v>
      </c>
      <c r="AS288" s="176">
        <v>12.149999999999999</v>
      </c>
      <c r="AT288" s="173" t="str">
        <f>IF(ISNUMBER(U288)=TRUE,AK288-U288,IF(U288="","",(AK288)-(MID(RIGHT(U288,10),4,2)&amp;"/"&amp;LEFT((RIGHT(U288,10)),2)&amp;"/"&amp;RIGHT(U288,4))))</f>
        <v/>
      </c>
      <c r="AU288" s="173">
        <v>447</v>
      </c>
      <c r="AW288" s="142" t="s">
        <v>123</v>
      </c>
    </row>
    <row r="289" spans="2:49" s="142" customFormat="1" ht="21" customHeight="1" x14ac:dyDescent="0.25">
      <c r="B289" s="173" t="str">
        <f>IF(C289="HOLD RM","HOLD RM",IF(C289="BAL","WIP",IF(C289="HOLD SLT","HOLD SLT",IF(C289="MILL","RM",IF(C289="RE SLT","WIP",IF(C289="RM","RM",IF(C289="RM BAL","RM",IF(C289="RM SLT","RM",IF(C289="RR","WIP",IF(C289="SKP","WIP",IF(C289="SLT","WIP",IF(C289="CTL","WIP",IF(C289="RM SLT RUST","RM SLT RUST",0)))))))))))))&amp;"-"&amp;G289&amp;"/"&amp;IF(H289="2B","2B",IF(H289="NO.1","1D",IF(H289="FH","FH",0)))&amp;"-"&amp;IF(J289="",(TEXT(I289,"0.00")),TEXT(J289,"0.00"))&amp;"X"&amp;M289</f>
        <v>WIP-J3/FH-1.40X620</v>
      </c>
      <c r="C289" s="173" t="s">
        <v>16</v>
      </c>
      <c r="D289" s="173" t="s">
        <v>16</v>
      </c>
      <c r="E289" s="190" t="s">
        <v>1246</v>
      </c>
      <c r="F289" s="190" t="s">
        <v>1247</v>
      </c>
      <c r="G289" s="173" t="s">
        <v>34</v>
      </c>
      <c r="H289" s="173" t="s">
        <v>70</v>
      </c>
      <c r="I289" s="174">
        <v>2.4</v>
      </c>
      <c r="J289" s="174">
        <v>1.4</v>
      </c>
      <c r="K289" s="174"/>
      <c r="L289" s="174"/>
      <c r="M289" s="191">
        <v>620</v>
      </c>
      <c r="N289" s="176">
        <v>9.8699999999999992</v>
      </c>
      <c r="O289" s="176" t="s">
        <v>114</v>
      </c>
      <c r="P289" s="177"/>
      <c r="Q289" s="178" t="s">
        <v>295</v>
      </c>
      <c r="R289" s="179"/>
      <c r="S289" s="179"/>
      <c r="T289" s="177">
        <v>44848</v>
      </c>
      <c r="U289" s="177"/>
      <c r="V289" s="177">
        <v>44848</v>
      </c>
      <c r="W289" s="177"/>
      <c r="X289" s="177"/>
      <c r="Y289" s="177"/>
      <c r="Z289" s="177"/>
      <c r="AA289" s="177"/>
      <c r="AB289" s="177"/>
      <c r="AC289" s="177"/>
      <c r="AD289" s="180"/>
      <c r="AE289" s="173" t="s">
        <v>69</v>
      </c>
      <c r="AF289" s="181" t="s">
        <v>248</v>
      </c>
      <c r="AG289" s="181" t="s">
        <v>1248</v>
      </c>
      <c r="AH289" s="181">
        <v>44770</v>
      </c>
      <c r="AI289" s="181">
        <v>44799</v>
      </c>
      <c r="AJ289" s="181"/>
      <c r="AK289" s="181">
        <f ca="1">TODAY()</f>
        <v>44958</v>
      </c>
      <c r="AL289" s="173">
        <f ca="1">IF(AI289&lt;&gt;0,AK289-AI289,0)</f>
        <v>159</v>
      </c>
      <c r="AM289" s="173" t="str">
        <f>IF(ISNUMBER(X289)=TRUE,AK289-X289,IF(X289="","",(AK289)-(MID(RIGHT(X289,10),4,2)&amp;"/"&amp;LEFT((RIGHT(X289,10)),2)&amp;"/"&amp;RIGHT(X289,4))))</f>
        <v/>
      </c>
      <c r="AN289" s="181" t="s">
        <v>1249</v>
      </c>
      <c r="AO289" s="190" t="s">
        <v>1250</v>
      </c>
      <c r="AP289" s="176">
        <v>9.8659999999999997</v>
      </c>
      <c r="AQ289" s="176">
        <v>9.9059999999999988</v>
      </c>
      <c r="AR289" s="176">
        <v>9.9309999999999974</v>
      </c>
      <c r="AS289" s="176">
        <v>9.9359999999999982</v>
      </c>
      <c r="AT289" s="173" t="str">
        <f>IF(ISNUMBER(U289)=TRUE,AK289-U289,IF(U289="","",(AK289)-(MID(RIGHT(U289,10),4,2)&amp;"/"&amp;LEFT((RIGHT(U289,10)),2)&amp;"/"&amp;RIGHT(U289,4))))</f>
        <v/>
      </c>
      <c r="AU289" s="173">
        <v>448</v>
      </c>
      <c r="AW289" s="142" t="s">
        <v>123</v>
      </c>
    </row>
    <row r="290" spans="2:49" s="142" customFormat="1" ht="21" customHeight="1" x14ac:dyDescent="0.25">
      <c r="B290" s="173" t="str">
        <f>IF(C290="HOLD RM","HOLD RM",IF(C290="BAL","WIP",IF(C290="HOLD SLT","HOLD SLT",IF(C290="MILL","RM",IF(C290="RE SLT","WIP",IF(C290="RM","RM",IF(C290="RM BAL","RM",IF(C290="RM SLT","RM",IF(C290="RR","WIP",IF(C290="SKP","WIP",IF(C290="SLT","WIP",IF(C290="CTL","WIP",IF(C290="RM SLT RUST","RM SLT RUST",0)))))))))))))&amp;"-"&amp;G290&amp;"/"&amp;IF(H290="2B","2B",IF(H290="NO.1","1D",IF(H290="FH","FH",0)))&amp;"-"&amp;IF(J290="",(TEXT(I290,"0.00")),TEXT(J290,"0.00"))&amp;"X"&amp;M290</f>
        <v>WIP-J3/FH-1.10X620</v>
      </c>
      <c r="C290" s="173" t="s">
        <v>16</v>
      </c>
      <c r="D290" s="173" t="s">
        <v>16</v>
      </c>
      <c r="E290" s="190" t="s">
        <v>1251</v>
      </c>
      <c r="F290" s="190" t="s">
        <v>1252</v>
      </c>
      <c r="G290" s="173" t="s">
        <v>34</v>
      </c>
      <c r="H290" s="173" t="s">
        <v>70</v>
      </c>
      <c r="I290" s="174">
        <v>2.4</v>
      </c>
      <c r="J290" s="174">
        <v>1.1000000000000001</v>
      </c>
      <c r="K290" s="174"/>
      <c r="L290" s="174"/>
      <c r="M290" s="191">
        <v>620</v>
      </c>
      <c r="N290" s="176">
        <v>9.8320000000000007</v>
      </c>
      <c r="O290" s="176" t="s">
        <v>114</v>
      </c>
      <c r="P290" s="177"/>
      <c r="Q290" s="178" t="s">
        <v>115</v>
      </c>
      <c r="R290" s="179"/>
      <c r="S290" s="179"/>
      <c r="T290" s="177">
        <v>44898</v>
      </c>
      <c r="U290" s="177"/>
      <c r="V290" s="177"/>
      <c r="W290" s="177">
        <v>44903</v>
      </c>
      <c r="X290" s="177"/>
      <c r="Y290" s="177"/>
      <c r="Z290" s="177"/>
      <c r="AA290" s="177"/>
      <c r="AB290" s="177"/>
      <c r="AC290" s="177"/>
      <c r="AD290" s="180"/>
      <c r="AE290" s="173" t="s">
        <v>69</v>
      </c>
      <c r="AF290" s="181" t="s">
        <v>248</v>
      </c>
      <c r="AG290" s="181" t="s">
        <v>1248</v>
      </c>
      <c r="AH290" s="181">
        <v>44770</v>
      </c>
      <c r="AI290" s="181">
        <v>44799</v>
      </c>
      <c r="AJ290" s="181"/>
      <c r="AK290" s="181">
        <f ca="1">TODAY()</f>
        <v>44958</v>
      </c>
      <c r="AL290" s="173">
        <f ca="1">IF(AI290&lt;&gt;0,AK290-AI290,0)</f>
        <v>159</v>
      </c>
      <c r="AM290" s="173" t="str">
        <f>IF(ISNUMBER(X290)=TRUE,AK290-X290,IF(X290="","",(AK290)-(MID(RIGHT(X290,10),4,2)&amp;"/"&amp;LEFT((RIGHT(X290,10)),2)&amp;"/"&amp;RIGHT(X290,4))))</f>
        <v/>
      </c>
      <c r="AN290" s="181" t="s">
        <v>1253</v>
      </c>
      <c r="AO290" s="190" t="s">
        <v>1250</v>
      </c>
      <c r="AP290" s="176">
        <v>9.8320000000000007</v>
      </c>
      <c r="AQ290" s="176">
        <v>9.8719999999999999</v>
      </c>
      <c r="AR290" s="176">
        <v>9.8969999999999985</v>
      </c>
      <c r="AS290" s="176">
        <v>9.9019999999999992</v>
      </c>
      <c r="AT290" s="173" t="str">
        <f>IF(ISNUMBER(U290)=TRUE,AK290-U290,IF(U290="","",(AK290)-(MID(RIGHT(U290,10),4,2)&amp;"/"&amp;LEFT((RIGHT(U290,10)),2)&amp;"/"&amp;RIGHT(U290,4))))</f>
        <v/>
      </c>
      <c r="AU290" s="173">
        <v>448</v>
      </c>
      <c r="AW290" s="142" t="s">
        <v>123</v>
      </c>
    </row>
    <row r="291" spans="2:49" s="142" customFormat="1" ht="21" customHeight="1" x14ac:dyDescent="0.25">
      <c r="B291" s="173" t="str">
        <f>IF(C291="HOLD RM","HOLD RM",IF(C291="BAL","WIP",IF(C291="HOLD SLT","HOLD SLT",IF(C291="MILL","RM",IF(C291="RE SLT","WIP",IF(C291="RM","RM",IF(C291="RM BAL","RM",IF(C291="RM SLT","RM",IF(C291="RR","WIP",IF(C291="SKP","WIP",IF(C291="SLT","WIP",IF(C291="CTL","WIP",IF(C291="RM SLT RUST","RM SLT RUST",0)))))))))))))&amp;"-"&amp;G291&amp;"/"&amp;IF(H291="2B","2B",IF(H291="NO.1","1D",IF(H291="FH","FH",0)))&amp;"-"&amp;IF(J291="",(TEXT(I291,"0.00")),TEXT(J291,"0.00"))&amp;"X"&amp;M291</f>
        <v>RM-J3/1D-2.20X640</v>
      </c>
      <c r="C291" s="173" t="s">
        <v>48</v>
      </c>
      <c r="D291" s="173" t="s">
        <v>48</v>
      </c>
      <c r="E291" s="190" t="s">
        <v>1254</v>
      </c>
      <c r="F291" s="190" t="s">
        <v>1255</v>
      </c>
      <c r="G291" s="173" t="s">
        <v>34</v>
      </c>
      <c r="H291" s="173" t="s">
        <v>127</v>
      </c>
      <c r="I291" s="174">
        <v>2.2000000000000002</v>
      </c>
      <c r="J291" s="174"/>
      <c r="K291" s="174"/>
      <c r="L291" s="174"/>
      <c r="M291" s="191">
        <v>640</v>
      </c>
      <c r="N291" s="176">
        <v>10.294</v>
      </c>
      <c r="O291" s="176"/>
      <c r="P291" s="177"/>
      <c r="Q291" s="178"/>
      <c r="R291" s="179"/>
      <c r="S291" s="179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80"/>
      <c r="AE291" s="173" t="s">
        <v>69</v>
      </c>
      <c r="AF291" s="181" t="s">
        <v>248</v>
      </c>
      <c r="AG291" s="181" t="s">
        <v>1248</v>
      </c>
      <c r="AH291" s="181">
        <v>44770</v>
      </c>
      <c r="AI291" s="181">
        <v>44799</v>
      </c>
      <c r="AJ291" s="181"/>
      <c r="AK291" s="181">
        <f ca="1">TODAY()</f>
        <v>44958</v>
      </c>
      <c r="AL291" s="173">
        <f ca="1">IF(AI291&lt;&gt;0,AK291-AI291,0)</f>
        <v>159</v>
      </c>
      <c r="AM291" s="173" t="str">
        <f>IF(ISNUMBER(X291)=TRUE,AK291-X291,IF(X291="","",(AK291)-(MID(RIGHT(X291,10),4,2)&amp;"/"&amp;LEFT((RIGHT(X291,10)),2)&amp;"/"&amp;RIGHT(X291,4))))</f>
        <v/>
      </c>
      <c r="AN291" s="181" t="s">
        <v>1256</v>
      </c>
      <c r="AO291" s="190" t="s">
        <v>1257</v>
      </c>
      <c r="AP291" s="176">
        <v>10.294</v>
      </c>
      <c r="AQ291" s="176">
        <v>10.334</v>
      </c>
      <c r="AR291" s="176">
        <v>10.358999999999998</v>
      </c>
      <c r="AS291" s="176">
        <v>10.363999999999999</v>
      </c>
      <c r="AT291" s="173" t="str">
        <f>IF(ISNUMBER(U291)=TRUE,AK291-U291,IF(U291="","",(AK291)-(MID(RIGHT(U291,10),4,2)&amp;"/"&amp;LEFT((RIGHT(U291,10)),2)&amp;"/"&amp;RIGHT(U291,4))))</f>
        <v/>
      </c>
      <c r="AU291" s="173">
        <v>448</v>
      </c>
      <c r="AW291" s="142" t="s">
        <v>123</v>
      </c>
    </row>
    <row r="292" spans="2:49" s="142" customFormat="1" ht="21" customHeight="1" x14ac:dyDescent="0.25">
      <c r="B292" s="173" t="str">
        <f>IF(C292="HOLD RM","HOLD RM",IF(C292="BAL","WIP",IF(C292="HOLD SLT","HOLD SLT",IF(C292="MILL","RM",IF(C292="RE SLT","WIP",IF(C292="RM","RM",IF(C292="RM BAL","RM",IF(C292="RM SLT","RM",IF(C292="RR","WIP",IF(C292="SKP","WIP",IF(C292="SLT","WIP",IF(C292="CTL","WIP",IF(C292="RM SLT RUST","RM SLT RUST",0)))))))))))))&amp;"-"&amp;G292&amp;"/"&amp;IF(H292="2B","2B",IF(H292="NO.1","1D",IF(H292="FH","FH",0)))&amp;"-"&amp;IF(J292="",(TEXT(I292,"0.00")),TEXT(J292,"0.00"))&amp;"X"&amp;M292</f>
        <v>RM-J3/1D-2.20X600</v>
      </c>
      <c r="C292" s="173" t="s">
        <v>48</v>
      </c>
      <c r="D292" s="173" t="s">
        <v>48</v>
      </c>
      <c r="E292" s="190" t="s">
        <v>1258</v>
      </c>
      <c r="F292" s="190" t="s">
        <v>1259</v>
      </c>
      <c r="G292" s="173" t="s">
        <v>34</v>
      </c>
      <c r="H292" s="173" t="s">
        <v>127</v>
      </c>
      <c r="I292" s="174">
        <v>2.2000000000000002</v>
      </c>
      <c r="J292" s="174"/>
      <c r="K292" s="174"/>
      <c r="L292" s="174"/>
      <c r="M292" s="191">
        <v>600</v>
      </c>
      <c r="N292" s="176">
        <v>9.6460000000000008</v>
      </c>
      <c r="O292" s="176"/>
      <c r="P292" s="177"/>
      <c r="Q292" s="178"/>
      <c r="R292" s="179"/>
      <c r="S292" s="179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80"/>
      <c r="AE292" s="173" t="s">
        <v>69</v>
      </c>
      <c r="AF292" s="181" t="s">
        <v>248</v>
      </c>
      <c r="AG292" s="181" t="s">
        <v>1248</v>
      </c>
      <c r="AH292" s="181">
        <v>44770</v>
      </c>
      <c r="AI292" s="181">
        <v>44799</v>
      </c>
      <c r="AJ292" s="181"/>
      <c r="AK292" s="181">
        <f ca="1">TODAY()</f>
        <v>44958</v>
      </c>
      <c r="AL292" s="173">
        <f ca="1">IF(AI292&lt;&gt;0,AK292-AI292,0)</f>
        <v>159</v>
      </c>
      <c r="AM292" s="173" t="str">
        <f>IF(ISNUMBER(X292)=TRUE,AK292-X292,IF(X292="","",(AK292)-(MID(RIGHT(X292,10),4,2)&amp;"/"&amp;LEFT((RIGHT(X292,10)),2)&amp;"/"&amp;RIGHT(X292,4))))</f>
        <v/>
      </c>
      <c r="AN292" s="181" t="s">
        <v>1260</v>
      </c>
      <c r="AO292" s="190" t="s">
        <v>1261</v>
      </c>
      <c r="AP292" s="176">
        <v>9.6460000000000008</v>
      </c>
      <c r="AQ292" s="176">
        <v>9.6859999999999999</v>
      </c>
      <c r="AR292" s="176">
        <v>9.7109999999999985</v>
      </c>
      <c r="AS292" s="176">
        <v>9.7159999999999993</v>
      </c>
      <c r="AT292" s="173" t="str">
        <f>IF(ISNUMBER(U292)=TRUE,AK292-U292,IF(U292="","",(AK292)-(MID(RIGHT(U292,10),4,2)&amp;"/"&amp;LEFT((RIGHT(U292,10)),2)&amp;"/"&amp;RIGHT(U292,4))))</f>
        <v/>
      </c>
      <c r="AU292" s="173">
        <v>448</v>
      </c>
      <c r="AW292" s="142" t="s">
        <v>123</v>
      </c>
    </row>
    <row r="293" spans="2:49" s="142" customFormat="1" ht="21" customHeight="1" x14ac:dyDescent="0.25">
      <c r="B293" s="173" t="str">
        <f>IF(C293="HOLD RM","HOLD RM",IF(C293="BAL","WIP",IF(C293="HOLD SLT","HOLD SLT",IF(C293="MILL","RM",IF(C293="RE SLT","WIP",IF(C293="RM","RM",IF(C293="RM BAL","RM",IF(C293="RM SLT","RM",IF(C293="RR","WIP",IF(C293="SKP","WIP",IF(C293="SLT","WIP",IF(C293="CTL","WIP",IF(C293="RM SLT RUST","RM SLT RUST",0)))))))))))))&amp;"-"&amp;G293&amp;"/"&amp;IF(H293="2B","2B",IF(H293="NO.1","1D",IF(H293="FH","FH",0)))&amp;"-"&amp;IF(J293="",(TEXT(I293,"0.00")),TEXT(J293,"0.00"))&amp;"X"&amp;M293</f>
        <v>RM-J3/1D-2.20X640</v>
      </c>
      <c r="C293" s="173" t="s">
        <v>48</v>
      </c>
      <c r="D293" s="173" t="s">
        <v>48</v>
      </c>
      <c r="E293" s="190" t="s">
        <v>1262</v>
      </c>
      <c r="F293" s="190" t="s">
        <v>1263</v>
      </c>
      <c r="G293" s="173" t="s">
        <v>34</v>
      </c>
      <c r="H293" s="173" t="s">
        <v>127</v>
      </c>
      <c r="I293" s="174">
        <v>2.2000000000000002</v>
      </c>
      <c r="J293" s="174"/>
      <c r="K293" s="174"/>
      <c r="L293" s="174"/>
      <c r="M293" s="191">
        <v>640</v>
      </c>
      <c r="N293" s="176">
        <v>10.318</v>
      </c>
      <c r="O293" s="176"/>
      <c r="P293" s="177"/>
      <c r="Q293" s="178"/>
      <c r="R293" s="179"/>
      <c r="S293" s="179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80"/>
      <c r="AE293" s="173" t="s">
        <v>69</v>
      </c>
      <c r="AF293" s="181" t="s">
        <v>248</v>
      </c>
      <c r="AG293" s="181" t="s">
        <v>1248</v>
      </c>
      <c r="AH293" s="181">
        <v>44770</v>
      </c>
      <c r="AI293" s="181">
        <v>44799</v>
      </c>
      <c r="AJ293" s="181"/>
      <c r="AK293" s="181">
        <f ca="1">TODAY()</f>
        <v>44958</v>
      </c>
      <c r="AL293" s="173">
        <f ca="1">IF(AI293&lt;&gt;0,AK293-AI293,0)</f>
        <v>159</v>
      </c>
      <c r="AM293" s="173" t="str">
        <f>IF(ISNUMBER(X293)=TRUE,AK293-X293,IF(X293="","",(AK293)-(MID(RIGHT(X293,10),4,2)&amp;"/"&amp;LEFT((RIGHT(X293,10)),2)&amp;"/"&amp;RIGHT(X293,4))))</f>
        <v/>
      </c>
      <c r="AN293" s="181" t="s">
        <v>1264</v>
      </c>
      <c r="AO293" s="190" t="s">
        <v>1261</v>
      </c>
      <c r="AP293" s="176">
        <v>10.318</v>
      </c>
      <c r="AQ293" s="176">
        <v>10.357999999999999</v>
      </c>
      <c r="AR293" s="176">
        <v>10.382999999999997</v>
      </c>
      <c r="AS293" s="176">
        <v>10.387999999999998</v>
      </c>
      <c r="AT293" s="173" t="str">
        <f>IF(ISNUMBER(U293)=TRUE,AK293-U293,IF(U293="","",(AK293)-(MID(RIGHT(U293,10),4,2)&amp;"/"&amp;LEFT((RIGHT(U293,10)),2)&amp;"/"&amp;RIGHT(U293,4))))</f>
        <v/>
      </c>
      <c r="AU293" s="173">
        <v>448</v>
      </c>
      <c r="AW293" s="142" t="s">
        <v>123</v>
      </c>
    </row>
    <row r="294" spans="2:49" s="142" customFormat="1" ht="21" customHeight="1" x14ac:dyDescent="0.25">
      <c r="B294" s="173" t="str">
        <f>IF(C294="HOLD RM","HOLD RM",IF(C294="BAL","WIP",IF(C294="HOLD SLT","HOLD SLT",IF(C294="MILL","RM",IF(C294="RE SLT","WIP",IF(C294="RM","RM",IF(C294="RM BAL","RM",IF(C294="RM SLT","RM",IF(C294="RR","WIP",IF(C294="SKP","WIP",IF(C294="SLT","WIP",IF(C294="CTL","WIP",IF(C294="RM SLT RUST","RM SLT RUST",0)))))))))))))&amp;"-"&amp;G294&amp;"/"&amp;IF(H294="2B","2B",IF(H294="NO.1","1D",IF(H294="FH","FH",0)))&amp;"-"&amp;IF(J294="",(TEXT(I294,"0.00")),TEXT(J294,"0.00"))&amp;"X"&amp;M294</f>
        <v>RM-J3/1D-2.40X710</v>
      </c>
      <c r="C294" s="173" t="s">
        <v>48</v>
      </c>
      <c r="D294" s="173" t="s">
        <v>48</v>
      </c>
      <c r="E294" s="190" t="s">
        <v>1265</v>
      </c>
      <c r="F294" s="190" t="s">
        <v>1266</v>
      </c>
      <c r="G294" s="173" t="s">
        <v>34</v>
      </c>
      <c r="H294" s="173" t="s">
        <v>127</v>
      </c>
      <c r="I294" s="174">
        <v>2.4</v>
      </c>
      <c r="J294" s="174"/>
      <c r="K294" s="174"/>
      <c r="L294" s="174"/>
      <c r="M294" s="191">
        <v>710</v>
      </c>
      <c r="N294" s="176">
        <v>11.548</v>
      </c>
      <c r="O294" s="176"/>
      <c r="P294" s="177"/>
      <c r="Q294" s="178"/>
      <c r="R294" s="179"/>
      <c r="S294" s="179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80"/>
      <c r="AE294" s="173" t="s">
        <v>69</v>
      </c>
      <c r="AF294" s="181" t="s">
        <v>248</v>
      </c>
      <c r="AG294" s="181" t="s">
        <v>1248</v>
      </c>
      <c r="AH294" s="181">
        <v>44770</v>
      </c>
      <c r="AI294" s="181">
        <v>44799</v>
      </c>
      <c r="AJ294" s="181"/>
      <c r="AK294" s="181">
        <f ca="1">TODAY()</f>
        <v>44958</v>
      </c>
      <c r="AL294" s="173">
        <f ca="1">IF(AI294&lt;&gt;0,AK294-AI294,0)</f>
        <v>159</v>
      </c>
      <c r="AM294" s="173" t="str">
        <f>IF(ISNUMBER(X294)=TRUE,AK294-X294,IF(X294="","",(AK294)-(MID(RIGHT(X294,10),4,2)&amp;"/"&amp;LEFT((RIGHT(X294,10)),2)&amp;"/"&amp;RIGHT(X294,4))))</f>
        <v/>
      </c>
      <c r="AN294" s="181" t="s">
        <v>1260</v>
      </c>
      <c r="AO294" s="190" t="s">
        <v>1267</v>
      </c>
      <c r="AP294" s="176">
        <v>11.548</v>
      </c>
      <c r="AQ294" s="176">
        <v>11.587999999999999</v>
      </c>
      <c r="AR294" s="176">
        <v>11.612999999999998</v>
      </c>
      <c r="AS294" s="176">
        <v>11.617999999999999</v>
      </c>
      <c r="AT294" s="173" t="str">
        <f>IF(ISNUMBER(U294)=TRUE,AK294-U294,IF(U294="","",(AK294)-(MID(RIGHT(U294,10),4,2)&amp;"/"&amp;LEFT((RIGHT(U294,10)),2)&amp;"/"&amp;RIGHT(U294,4))))</f>
        <v/>
      </c>
      <c r="AU294" s="173">
        <v>448</v>
      </c>
      <c r="AW294" s="142" t="s">
        <v>123</v>
      </c>
    </row>
    <row r="295" spans="2:49" s="142" customFormat="1" ht="21" customHeight="1" x14ac:dyDescent="0.25">
      <c r="B295" s="173" t="str">
        <f>IF(C295="HOLD RM","HOLD RM",IF(C295="BAL","WIP",IF(C295="HOLD SLT","HOLD SLT",IF(C295="MILL","RM",IF(C295="RE SLT","WIP",IF(C295="RM","RM",IF(C295="RM BAL","RM",IF(C295="RM SLT","RM",IF(C295="RR","WIP",IF(C295="SKP","WIP",IF(C295="SLT","WIP",IF(C295="CTL","WIP",IF(C295="RM SLT RUST","RM SLT RUST",0)))))))))))))&amp;"-"&amp;G295&amp;"/"&amp;IF(H295="2B","2B",IF(H295="NO.1","1D",IF(H295="FH","FH",0)))&amp;"-"&amp;IF(J295="",(TEXT(I295,"0.00")),TEXT(J295,"0.00"))&amp;"X"&amp;M295</f>
        <v>RM-J3/1D-2.20X600</v>
      </c>
      <c r="C295" s="173" t="s">
        <v>48</v>
      </c>
      <c r="D295" s="173" t="s">
        <v>48</v>
      </c>
      <c r="E295" s="190" t="s">
        <v>1268</v>
      </c>
      <c r="F295" s="190" t="s">
        <v>1269</v>
      </c>
      <c r="G295" s="173" t="s">
        <v>34</v>
      </c>
      <c r="H295" s="173" t="s">
        <v>127</v>
      </c>
      <c r="I295" s="174">
        <v>2.2000000000000002</v>
      </c>
      <c r="J295" s="174"/>
      <c r="K295" s="174"/>
      <c r="L295" s="174"/>
      <c r="M295" s="191">
        <v>600</v>
      </c>
      <c r="N295" s="176">
        <v>9.6620000000000008</v>
      </c>
      <c r="O295" s="176"/>
      <c r="P295" s="177"/>
      <c r="Q295" s="178"/>
      <c r="R295" s="179"/>
      <c r="S295" s="179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80"/>
      <c r="AE295" s="173" t="s">
        <v>69</v>
      </c>
      <c r="AF295" s="181" t="s">
        <v>248</v>
      </c>
      <c r="AG295" s="181" t="s">
        <v>1248</v>
      </c>
      <c r="AH295" s="181">
        <v>44770</v>
      </c>
      <c r="AI295" s="181">
        <v>44799</v>
      </c>
      <c r="AJ295" s="181"/>
      <c r="AK295" s="181">
        <f ca="1">TODAY()</f>
        <v>44958</v>
      </c>
      <c r="AL295" s="173">
        <f ca="1">IF(AI295&lt;&gt;0,AK295-AI295,0)</f>
        <v>159</v>
      </c>
      <c r="AM295" s="173" t="str">
        <f>IF(ISNUMBER(X295)=TRUE,AK295-X295,IF(X295="","",(AK295)-(MID(RIGHT(X295,10),4,2)&amp;"/"&amp;LEFT((RIGHT(X295,10)),2)&amp;"/"&amp;RIGHT(X295,4))))</f>
        <v/>
      </c>
      <c r="AN295" s="181" t="s">
        <v>1270</v>
      </c>
      <c r="AO295" s="190" t="s">
        <v>1271</v>
      </c>
      <c r="AP295" s="176">
        <v>9.6620000000000008</v>
      </c>
      <c r="AQ295" s="176">
        <v>9.702</v>
      </c>
      <c r="AR295" s="176">
        <v>9.7269999999999985</v>
      </c>
      <c r="AS295" s="176">
        <v>9.7319999999999993</v>
      </c>
      <c r="AT295" s="173" t="str">
        <f>IF(ISNUMBER(U295)=TRUE,AK295-U295,IF(U295="","",(AK295)-(MID(RIGHT(U295,10),4,2)&amp;"/"&amp;LEFT((RIGHT(U295,10)),2)&amp;"/"&amp;RIGHT(U295,4))))</f>
        <v/>
      </c>
      <c r="AU295" s="173">
        <v>448</v>
      </c>
      <c r="AW295" s="142" t="s">
        <v>123</v>
      </c>
    </row>
    <row r="296" spans="2:49" s="142" customFormat="1" ht="21" customHeight="1" x14ac:dyDescent="0.25">
      <c r="B296" s="173" t="str">
        <f>IF(C296="HOLD RM","HOLD RM",IF(C296="BAL","WIP",IF(C296="HOLD SLT","HOLD SLT",IF(C296="MILL","RM",IF(C296="RE SLT","WIP",IF(C296="RM","RM",IF(C296="RM BAL","RM",IF(C296="RM SLT","RM",IF(C296="RR","WIP",IF(C296="SKP","WIP",IF(C296="SLT","WIP",IF(C296="CTL","WIP",IF(C296="RM SLT RUST","RM SLT RUST",0)))))))))))))&amp;"-"&amp;G296&amp;"/"&amp;IF(H296="2B","2B",IF(H296="NO.1","1D",IF(H296="FH","FH",0)))&amp;"-"&amp;IF(J296="",(TEXT(I296,"0.00")),TEXT(J296,"0.00"))&amp;"X"&amp;M296</f>
        <v>RM-J3/1D-2.20X600</v>
      </c>
      <c r="C296" s="173" t="s">
        <v>48</v>
      </c>
      <c r="D296" s="173" t="s">
        <v>48</v>
      </c>
      <c r="E296" s="190" t="s">
        <v>1272</v>
      </c>
      <c r="F296" s="190" t="s">
        <v>1273</v>
      </c>
      <c r="G296" s="173" t="s">
        <v>34</v>
      </c>
      <c r="H296" s="173" t="s">
        <v>127</v>
      </c>
      <c r="I296" s="174">
        <v>2.2000000000000002</v>
      </c>
      <c r="J296" s="174"/>
      <c r="K296" s="174"/>
      <c r="L296" s="174"/>
      <c r="M296" s="191">
        <v>600</v>
      </c>
      <c r="N296" s="176">
        <v>9.7539999999999996</v>
      </c>
      <c r="O296" s="176"/>
      <c r="P296" s="177"/>
      <c r="Q296" s="178"/>
      <c r="R296" s="179"/>
      <c r="S296" s="179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80"/>
      <c r="AE296" s="173" t="s">
        <v>69</v>
      </c>
      <c r="AF296" s="181" t="s">
        <v>248</v>
      </c>
      <c r="AG296" s="181" t="s">
        <v>1248</v>
      </c>
      <c r="AH296" s="181">
        <v>44770</v>
      </c>
      <c r="AI296" s="181">
        <v>44799</v>
      </c>
      <c r="AJ296" s="181"/>
      <c r="AK296" s="181">
        <f ca="1">TODAY()</f>
        <v>44958</v>
      </c>
      <c r="AL296" s="173">
        <f ca="1">IF(AI296&lt;&gt;0,AK296-AI296,0)</f>
        <v>159</v>
      </c>
      <c r="AM296" s="173" t="str">
        <f>IF(ISNUMBER(X296)=TRUE,AK296-X296,IF(X296="","",(AK296)-(MID(RIGHT(X296,10),4,2)&amp;"/"&amp;LEFT((RIGHT(X296,10)),2)&amp;"/"&amp;RIGHT(X296,4))))</f>
        <v/>
      </c>
      <c r="AN296" s="181" t="s">
        <v>1274</v>
      </c>
      <c r="AO296" s="190" t="s">
        <v>1275</v>
      </c>
      <c r="AP296" s="176">
        <v>9.7539999999999996</v>
      </c>
      <c r="AQ296" s="176">
        <v>9.7939999999999987</v>
      </c>
      <c r="AR296" s="176">
        <v>9.8189999999999973</v>
      </c>
      <c r="AS296" s="176">
        <v>9.8239999999999981</v>
      </c>
      <c r="AT296" s="173" t="str">
        <f>IF(ISNUMBER(U296)=TRUE,AK296-U296,IF(U296="","",(AK296)-(MID(RIGHT(U296,10),4,2)&amp;"/"&amp;LEFT((RIGHT(U296,10)),2)&amp;"/"&amp;RIGHT(U296,4))))</f>
        <v/>
      </c>
      <c r="AU296" s="173">
        <v>448</v>
      </c>
      <c r="AW296" s="142" t="s">
        <v>123</v>
      </c>
    </row>
    <row r="297" spans="2:49" s="142" customFormat="1" ht="21" customHeight="1" x14ac:dyDescent="0.25">
      <c r="B297" s="173" t="str">
        <f>IF(C297="HOLD RM","HOLD RM",IF(C297="BAL","WIP",IF(C297="HOLD SLT","HOLD SLT",IF(C297="MILL","RM",IF(C297="RE SLT","WIP",IF(C297="RM","RM",IF(C297="RM BAL","RM",IF(C297="RM SLT","RM",IF(C297="RR","WIP",IF(C297="SKP","WIP",IF(C297="SLT","WIP",IF(C297="CTL","WIP",IF(C297="RM SLT RUST","RM SLT RUST",0)))))))))))))&amp;"-"&amp;G297&amp;"/"&amp;IF(H297="2B","2B",IF(H297="NO.1","1D",IF(H297="FH","FH",0)))&amp;"-"&amp;IF(J297="",(TEXT(I297,"0.00")),TEXT(J297,"0.00"))&amp;"X"&amp;M297</f>
        <v>RM-J3/1D-2.20X640</v>
      </c>
      <c r="C297" s="173" t="s">
        <v>48</v>
      </c>
      <c r="D297" s="173" t="s">
        <v>48</v>
      </c>
      <c r="E297" s="190" t="s">
        <v>1276</v>
      </c>
      <c r="F297" s="190" t="s">
        <v>1277</v>
      </c>
      <c r="G297" s="173" t="s">
        <v>34</v>
      </c>
      <c r="H297" s="173" t="s">
        <v>127</v>
      </c>
      <c r="I297" s="174">
        <v>2.2000000000000002</v>
      </c>
      <c r="J297" s="174"/>
      <c r="K297" s="174"/>
      <c r="L297" s="174"/>
      <c r="M297" s="191">
        <v>640</v>
      </c>
      <c r="N297" s="176">
        <v>10.374000000000001</v>
      </c>
      <c r="O297" s="176"/>
      <c r="P297" s="177"/>
      <c r="Q297" s="178"/>
      <c r="R297" s="179"/>
      <c r="S297" s="179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80"/>
      <c r="AE297" s="173" t="s">
        <v>69</v>
      </c>
      <c r="AF297" s="181" t="s">
        <v>248</v>
      </c>
      <c r="AG297" s="181" t="s">
        <v>1248</v>
      </c>
      <c r="AH297" s="181">
        <v>44770</v>
      </c>
      <c r="AI297" s="181">
        <v>44799</v>
      </c>
      <c r="AJ297" s="181"/>
      <c r="AK297" s="181">
        <f ca="1">TODAY()</f>
        <v>44958</v>
      </c>
      <c r="AL297" s="173">
        <f ca="1">IF(AI297&lt;&gt;0,AK297-AI297,0)</f>
        <v>159</v>
      </c>
      <c r="AM297" s="173" t="str">
        <f>IF(ISNUMBER(X297)=TRUE,AK297-X297,IF(X297="","",(AK297)-(MID(RIGHT(X297,10),4,2)&amp;"/"&amp;LEFT((RIGHT(X297,10)),2)&amp;"/"&amp;RIGHT(X297,4))))</f>
        <v/>
      </c>
      <c r="AN297" s="181" t="s">
        <v>1264</v>
      </c>
      <c r="AO297" s="190" t="s">
        <v>1275</v>
      </c>
      <c r="AP297" s="176">
        <v>10.374000000000001</v>
      </c>
      <c r="AQ297" s="176">
        <v>10.414</v>
      </c>
      <c r="AR297" s="176">
        <v>10.438999999999998</v>
      </c>
      <c r="AS297" s="176">
        <v>10.443999999999999</v>
      </c>
      <c r="AT297" s="173" t="str">
        <f>IF(ISNUMBER(U297)=TRUE,AK297-U297,IF(U297="","",(AK297)-(MID(RIGHT(U297,10),4,2)&amp;"/"&amp;LEFT((RIGHT(U297,10)),2)&amp;"/"&amp;RIGHT(U297,4))))</f>
        <v/>
      </c>
      <c r="AU297" s="173">
        <v>448</v>
      </c>
      <c r="AW297" s="142" t="s">
        <v>123</v>
      </c>
    </row>
    <row r="298" spans="2:49" s="142" customFormat="1" ht="21" customHeight="1" x14ac:dyDescent="0.25">
      <c r="B298" s="173" t="str">
        <f>IF(C298="HOLD RM","HOLD RM",IF(C298="BAL","WIP",IF(C298="HOLD SLT","HOLD SLT",IF(C298="MILL","RM",IF(C298="RE SLT","WIP",IF(C298="RM","RM",IF(C298="RM BAL","RM",IF(C298="RM SLT","RM",IF(C298="RR","WIP",IF(C298="SKP","WIP",IF(C298="SLT","WIP",IF(C298="CTL","WIP",IF(C298="RM SLT RUST","RM SLT RUST",0)))))))))))))&amp;"-"&amp;G298&amp;"/"&amp;IF(H298="2B","2B",IF(H298="NO.1","1D",IF(H298="FH","FH",0)))&amp;"-"&amp;IF(J298="",(TEXT(I298,"0.00")),TEXT(J298,"0.00"))&amp;"X"&amp;M298</f>
        <v>RM-J3/1D-2.40X700</v>
      </c>
      <c r="C298" s="173" t="s">
        <v>48</v>
      </c>
      <c r="D298" s="173" t="s">
        <v>48</v>
      </c>
      <c r="E298" s="190" t="s">
        <v>1278</v>
      </c>
      <c r="F298" s="190" t="s">
        <v>1279</v>
      </c>
      <c r="G298" s="173" t="s">
        <v>34</v>
      </c>
      <c r="H298" s="173" t="s">
        <v>127</v>
      </c>
      <c r="I298" s="174">
        <v>2.4</v>
      </c>
      <c r="J298" s="174"/>
      <c r="K298" s="174"/>
      <c r="L298" s="174"/>
      <c r="M298" s="191">
        <v>700</v>
      </c>
      <c r="N298" s="176">
        <v>11.4</v>
      </c>
      <c r="O298" s="176"/>
      <c r="P298" s="177"/>
      <c r="Q298" s="178"/>
      <c r="R298" s="179"/>
      <c r="S298" s="179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80"/>
      <c r="AE298" s="173" t="s">
        <v>69</v>
      </c>
      <c r="AF298" s="181" t="s">
        <v>248</v>
      </c>
      <c r="AG298" s="181" t="s">
        <v>1248</v>
      </c>
      <c r="AH298" s="181">
        <v>44770</v>
      </c>
      <c r="AI298" s="181">
        <v>44799</v>
      </c>
      <c r="AJ298" s="181"/>
      <c r="AK298" s="181">
        <f ca="1">TODAY()</f>
        <v>44958</v>
      </c>
      <c r="AL298" s="173">
        <f ca="1">IF(AI298&lt;&gt;0,AK298-AI298,0)</f>
        <v>159</v>
      </c>
      <c r="AM298" s="173" t="str">
        <f>IF(ISNUMBER(X298)=TRUE,AK298-X298,IF(X298="","",(AK298)-(MID(RIGHT(X298,10),4,2)&amp;"/"&amp;LEFT((RIGHT(X298,10)),2)&amp;"/"&amp;RIGHT(X298,4))))</f>
        <v/>
      </c>
      <c r="AN298" s="181" t="s">
        <v>1280</v>
      </c>
      <c r="AO298" s="190" t="s">
        <v>1281</v>
      </c>
      <c r="AP298" s="176">
        <v>11.4</v>
      </c>
      <c r="AQ298" s="176">
        <v>11.44</v>
      </c>
      <c r="AR298" s="176">
        <v>11.464999999999998</v>
      </c>
      <c r="AS298" s="176">
        <v>11.469999999999999</v>
      </c>
      <c r="AT298" s="173" t="str">
        <f>IF(ISNUMBER(U298)=TRUE,AK298-U298,IF(U298="","",(AK298)-(MID(RIGHT(U298,10),4,2)&amp;"/"&amp;LEFT((RIGHT(U298,10)),2)&amp;"/"&amp;RIGHT(U298,4))))</f>
        <v/>
      </c>
      <c r="AU298" s="173">
        <v>448</v>
      </c>
      <c r="AW298" s="142" t="s">
        <v>123</v>
      </c>
    </row>
    <row r="299" spans="2:49" s="142" customFormat="1" ht="21" customHeight="1" x14ac:dyDescent="0.25">
      <c r="B299" s="173" t="str">
        <f>IF(C299="HOLD RM","HOLD RM",IF(C299="BAL","WIP",IF(C299="HOLD SLT","HOLD SLT",IF(C299="MILL","RM",IF(C299="RE SLT","WIP",IF(C299="RM","RM",IF(C299="RM BAL","RM",IF(C299="RM SLT","RM",IF(C299="RR","WIP",IF(C299="SKP","WIP",IF(C299="SLT","WIP",IF(C299="CTL","WIP",IF(C299="RM SLT RUST","RM SLT RUST",0)))))))))))))&amp;"-"&amp;G299&amp;"/"&amp;IF(H299="2B","2B",IF(H299="NO.1","1D",IF(H299="FH","FH",0)))&amp;"-"&amp;IF(J299="",(TEXT(I299,"0.00")),TEXT(J299,"0.00"))&amp;"X"&amp;M299</f>
        <v>RM-J3/1D-2.20X600</v>
      </c>
      <c r="C299" s="173" t="s">
        <v>48</v>
      </c>
      <c r="D299" s="173" t="s">
        <v>48</v>
      </c>
      <c r="E299" s="190" t="s">
        <v>1282</v>
      </c>
      <c r="F299" s="190" t="s">
        <v>1283</v>
      </c>
      <c r="G299" s="173" t="s">
        <v>34</v>
      </c>
      <c r="H299" s="173" t="s">
        <v>127</v>
      </c>
      <c r="I299" s="174">
        <v>2.2000000000000002</v>
      </c>
      <c r="J299" s="174"/>
      <c r="K299" s="174"/>
      <c r="L299" s="174"/>
      <c r="M299" s="191">
        <v>600</v>
      </c>
      <c r="N299" s="176">
        <v>9.7560000000000002</v>
      </c>
      <c r="O299" s="176"/>
      <c r="P299" s="177"/>
      <c r="Q299" s="178"/>
      <c r="R299" s="179"/>
      <c r="S299" s="179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80"/>
      <c r="AE299" s="173" t="s">
        <v>69</v>
      </c>
      <c r="AF299" s="181" t="s">
        <v>248</v>
      </c>
      <c r="AG299" s="181" t="s">
        <v>1248</v>
      </c>
      <c r="AH299" s="181">
        <v>44770</v>
      </c>
      <c r="AI299" s="181">
        <v>44799</v>
      </c>
      <c r="AJ299" s="181"/>
      <c r="AK299" s="181">
        <f ca="1">TODAY()</f>
        <v>44958</v>
      </c>
      <c r="AL299" s="173">
        <f ca="1">IF(AI299&lt;&gt;0,AK299-AI299,0)</f>
        <v>159</v>
      </c>
      <c r="AM299" s="173" t="str">
        <f>IF(ISNUMBER(X299)=TRUE,AK299-X299,IF(X299="","",(AK299)-(MID(RIGHT(X299,10),4,2)&amp;"/"&amp;LEFT((RIGHT(X299,10)),2)&amp;"/"&amp;RIGHT(X299,4))))</f>
        <v/>
      </c>
      <c r="AN299" s="181" t="s">
        <v>1284</v>
      </c>
      <c r="AO299" s="190" t="s">
        <v>1285</v>
      </c>
      <c r="AP299" s="176">
        <v>9.7560000000000002</v>
      </c>
      <c r="AQ299" s="176">
        <v>9.7959999999999994</v>
      </c>
      <c r="AR299" s="176">
        <v>9.820999999999998</v>
      </c>
      <c r="AS299" s="176">
        <v>9.8259999999999987</v>
      </c>
      <c r="AT299" s="173" t="str">
        <f>IF(ISNUMBER(U299)=TRUE,AK299-U299,IF(U299="","",(AK299)-(MID(RIGHT(U299,10),4,2)&amp;"/"&amp;LEFT((RIGHT(U299,10)),2)&amp;"/"&amp;RIGHT(U299,4))))</f>
        <v/>
      </c>
      <c r="AU299" s="173">
        <v>448</v>
      </c>
      <c r="AW299" s="142" t="s">
        <v>123</v>
      </c>
    </row>
    <row r="300" spans="2:49" s="142" customFormat="1" ht="21" customHeight="1" x14ac:dyDescent="0.25">
      <c r="B300" s="173" t="str">
        <f>IF(C300="HOLD RM","HOLD RM",IF(C300="BAL","WIP",IF(C300="HOLD SLT","HOLD SLT",IF(C300="MILL","RM",IF(C300="RE SLT","WIP",IF(C300="RM","RM",IF(C300="RM BAL","RM",IF(C300="RM SLT","RM",IF(C300="RR","WIP",IF(C300="SKP","WIP",IF(C300="SLT","WIP",IF(C300="CTL","WIP",IF(C300="RM SLT RUST","RM SLT RUST",0)))))))))))))&amp;"-"&amp;G300&amp;"/"&amp;IF(H300="2B","2B",IF(H300="NO.1","1D",IF(H300="FH","FH",0)))&amp;"-"&amp;IF(J300="",(TEXT(I300,"0.00")),TEXT(J300,"0.00"))&amp;"X"&amp;M300</f>
        <v>RM-J3/1D-2.20X640</v>
      </c>
      <c r="C300" s="173" t="s">
        <v>48</v>
      </c>
      <c r="D300" s="173" t="s">
        <v>48</v>
      </c>
      <c r="E300" s="190" t="s">
        <v>1286</v>
      </c>
      <c r="F300" s="190" t="s">
        <v>1287</v>
      </c>
      <c r="G300" s="173" t="s">
        <v>34</v>
      </c>
      <c r="H300" s="173" t="s">
        <v>127</v>
      </c>
      <c r="I300" s="174">
        <v>2.2000000000000002</v>
      </c>
      <c r="J300" s="174"/>
      <c r="K300" s="174"/>
      <c r="L300" s="174"/>
      <c r="M300" s="191">
        <v>640</v>
      </c>
      <c r="N300" s="176">
        <v>10.45</v>
      </c>
      <c r="O300" s="176"/>
      <c r="P300" s="177"/>
      <c r="Q300" s="178"/>
      <c r="R300" s="179"/>
      <c r="S300" s="179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80"/>
      <c r="AE300" s="173" t="s">
        <v>69</v>
      </c>
      <c r="AF300" s="181" t="s">
        <v>248</v>
      </c>
      <c r="AG300" s="181" t="s">
        <v>1248</v>
      </c>
      <c r="AH300" s="181">
        <v>44770</v>
      </c>
      <c r="AI300" s="181">
        <v>44799</v>
      </c>
      <c r="AJ300" s="181"/>
      <c r="AK300" s="181">
        <f ca="1">TODAY()</f>
        <v>44958</v>
      </c>
      <c r="AL300" s="173">
        <f ca="1">IF(AI300&lt;&gt;0,AK300-AI300,0)</f>
        <v>159</v>
      </c>
      <c r="AM300" s="173" t="str">
        <f>IF(ISNUMBER(X300)=TRUE,AK300-X300,IF(X300="","",(AK300)-(MID(RIGHT(X300,10),4,2)&amp;"/"&amp;LEFT((RIGHT(X300,10)),2)&amp;"/"&amp;RIGHT(X300,4))))</f>
        <v/>
      </c>
      <c r="AN300" s="181" t="s">
        <v>1288</v>
      </c>
      <c r="AO300" s="190" t="s">
        <v>1285</v>
      </c>
      <c r="AP300" s="176">
        <v>10.45</v>
      </c>
      <c r="AQ300" s="176">
        <v>10.489999999999998</v>
      </c>
      <c r="AR300" s="176">
        <v>10.514999999999997</v>
      </c>
      <c r="AS300" s="176">
        <v>10.519999999999998</v>
      </c>
      <c r="AT300" s="173" t="str">
        <f>IF(ISNUMBER(U300)=TRUE,AK300-U300,IF(U300="","",(AK300)-(MID(RIGHT(U300,10),4,2)&amp;"/"&amp;LEFT((RIGHT(U300,10)),2)&amp;"/"&amp;RIGHT(U300,4))))</f>
        <v/>
      </c>
      <c r="AU300" s="173">
        <v>448</v>
      </c>
      <c r="AW300" s="142" t="s">
        <v>123</v>
      </c>
    </row>
    <row r="301" spans="2:49" s="142" customFormat="1" ht="21" customHeight="1" x14ac:dyDescent="0.25">
      <c r="B301" s="173" t="str">
        <f>IF(C301="HOLD RM","HOLD RM",IF(C301="BAL","WIP",IF(C301="HOLD SLT","HOLD SLT",IF(C301="MILL","RM",IF(C301="RE SLT","WIP",IF(C301="RM","RM",IF(C301="RM BAL","RM",IF(C301="RM SLT","RM",IF(C301="RR","WIP",IF(C301="SKP","WIP",IF(C301="SLT","WIP",IF(C301="CTL","WIP",IF(C301="RM SLT RUST","RM SLT RUST",0)))))))))))))&amp;"-"&amp;G301&amp;"/"&amp;IF(H301="2B","2B",IF(H301="NO.1","1D",IF(H301="FH","FH",0)))&amp;"-"&amp;IF(J301="",(TEXT(I301,"0.00")),TEXT(J301,"0.00"))&amp;"X"&amp;M301</f>
        <v>RM-J3/1D-2.40X600</v>
      </c>
      <c r="C301" s="173" t="s">
        <v>48</v>
      </c>
      <c r="D301" s="173" t="s">
        <v>48</v>
      </c>
      <c r="E301" s="190" t="s">
        <v>1289</v>
      </c>
      <c r="F301" s="190" t="s">
        <v>1290</v>
      </c>
      <c r="G301" s="173" t="s">
        <v>34</v>
      </c>
      <c r="H301" s="173" t="s">
        <v>127</v>
      </c>
      <c r="I301" s="174">
        <v>2.4</v>
      </c>
      <c r="J301" s="174"/>
      <c r="K301" s="174"/>
      <c r="L301" s="174"/>
      <c r="M301" s="191">
        <v>600</v>
      </c>
      <c r="N301" s="176">
        <v>9.7279999999999998</v>
      </c>
      <c r="O301" s="176"/>
      <c r="P301" s="177"/>
      <c r="Q301" s="178"/>
      <c r="R301" s="179"/>
      <c r="S301" s="179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80"/>
      <c r="AE301" s="173" t="s">
        <v>69</v>
      </c>
      <c r="AF301" s="181" t="s">
        <v>248</v>
      </c>
      <c r="AG301" s="181" t="s">
        <v>1248</v>
      </c>
      <c r="AH301" s="181">
        <v>44770</v>
      </c>
      <c r="AI301" s="181">
        <v>44799</v>
      </c>
      <c r="AJ301" s="181"/>
      <c r="AK301" s="181">
        <f ca="1">TODAY()</f>
        <v>44958</v>
      </c>
      <c r="AL301" s="173">
        <f ca="1">IF(AI301&lt;&gt;0,AK301-AI301,0)</f>
        <v>159</v>
      </c>
      <c r="AM301" s="173" t="str">
        <f>IF(ISNUMBER(X301)=TRUE,AK301-X301,IF(X301="","",(AK301)-(MID(RIGHT(X301,10),4,2)&amp;"/"&amp;LEFT((RIGHT(X301,10)),2)&amp;"/"&amp;RIGHT(X301,4))))</f>
        <v/>
      </c>
      <c r="AN301" s="181" t="s">
        <v>1291</v>
      </c>
      <c r="AO301" s="190" t="s">
        <v>1292</v>
      </c>
      <c r="AP301" s="176">
        <v>9.7279999999999998</v>
      </c>
      <c r="AQ301" s="176">
        <v>9.7679999999999989</v>
      </c>
      <c r="AR301" s="176">
        <v>9.7929999999999975</v>
      </c>
      <c r="AS301" s="176">
        <v>9.7979999999999983</v>
      </c>
      <c r="AT301" s="173" t="str">
        <f>IF(ISNUMBER(U301)=TRUE,AK301-U301,IF(U301="","",(AK301)-(MID(RIGHT(U301,10),4,2)&amp;"/"&amp;LEFT((RIGHT(U301,10)),2)&amp;"/"&amp;RIGHT(U301,4))))</f>
        <v/>
      </c>
      <c r="AU301" s="173">
        <v>448</v>
      </c>
      <c r="AW301" s="142" t="s">
        <v>123</v>
      </c>
    </row>
    <row r="302" spans="2:49" s="142" customFormat="1" ht="21" customHeight="1" x14ac:dyDescent="0.25">
      <c r="B302" s="173" t="str">
        <f>IF(C302="HOLD RM","HOLD RM",IF(C302="BAL","WIP",IF(C302="HOLD SLT","HOLD SLT",IF(C302="MILL","RM",IF(C302="RE SLT","WIP",IF(C302="RM","RM",IF(C302="RM BAL","RM",IF(C302="RM SLT","RM",IF(C302="RR","WIP",IF(C302="SKP","WIP",IF(C302="SLT","WIP",IF(C302="CTL","WIP",IF(C302="RM SLT RUST","RM SLT RUST",0)))))))))))))&amp;"-"&amp;G302&amp;"/"&amp;IF(H302="2B","2B",IF(H302="NO.1","1D",IF(H302="FH","FH",0)))&amp;"-"&amp;IF(J302="",(TEXT(I302,"0.00")),TEXT(J302,"0.00"))&amp;"X"&amp;M302</f>
        <v>RM-J3/1D-2.40X657</v>
      </c>
      <c r="C302" s="173" t="s">
        <v>48</v>
      </c>
      <c r="D302" s="173" t="s">
        <v>48</v>
      </c>
      <c r="E302" s="190" t="s">
        <v>1293</v>
      </c>
      <c r="F302" s="190" t="s">
        <v>1294</v>
      </c>
      <c r="G302" s="173" t="s">
        <v>34</v>
      </c>
      <c r="H302" s="173" t="s">
        <v>127</v>
      </c>
      <c r="I302" s="174">
        <v>2.4</v>
      </c>
      <c r="J302" s="174"/>
      <c r="K302" s="174"/>
      <c r="L302" s="174"/>
      <c r="M302" s="191">
        <v>657</v>
      </c>
      <c r="N302" s="176">
        <v>10.565</v>
      </c>
      <c r="O302" s="176"/>
      <c r="P302" s="177"/>
      <c r="Q302" s="178"/>
      <c r="R302" s="179"/>
      <c r="S302" s="179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80"/>
      <c r="AE302" s="173" t="s">
        <v>69</v>
      </c>
      <c r="AF302" s="181" t="s">
        <v>248</v>
      </c>
      <c r="AG302" s="181" t="s">
        <v>1248</v>
      </c>
      <c r="AH302" s="181">
        <v>44770</v>
      </c>
      <c r="AI302" s="181">
        <v>44799</v>
      </c>
      <c r="AJ302" s="181"/>
      <c r="AK302" s="181">
        <f ca="1">TODAY()</f>
        <v>44958</v>
      </c>
      <c r="AL302" s="173">
        <f ca="1">IF(AI302&lt;&gt;0,AK302-AI302,0)</f>
        <v>159</v>
      </c>
      <c r="AM302" s="173" t="str">
        <f>IF(ISNUMBER(X302)=TRUE,AK302-X302,IF(X302="","",(AK302)-(MID(RIGHT(X302,10),4,2)&amp;"/"&amp;LEFT((RIGHT(X302,10)),2)&amp;"/"&amp;RIGHT(X302,4))))</f>
        <v/>
      </c>
      <c r="AN302" s="181" t="s">
        <v>1280</v>
      </c>
      <c r="AO302" s="190" t="s">
        <v>1295</v>
      </c>
      <c r="AP302" s="176">
        <v>10.565</v>
      </c>
      <c r="AQ302" s="176">
        <v>10.604999999999999</v>
      </c>
      <c r="AR302" s="176">
        <v>10.629999999999997</v>
      </c>
      <c r="AS302" s="176">
        <v>10.634999999999998</v>
      </c>
      <c r="AT302" s="173" t="str">
        <f>IF(ISNUMBER(U302)=TRUE,AK302-U302,IF(U302="","",(AK302)-(MID(RIGHT(U302,10),4,2)&amp;"/"&amp;LEFT((RIGHT(U302,10)),2)&amp;"/"&amp;RIGHT(U302,4))))</f>
        <v/>
      </c>
      <c r="AU302" s="173">
        <v>448</v>
      </c>
      <c r="AW302" s="142" t="s">
        <v>123</v>
      </c>
    </row>
    <row r="303" spans="2:49" s="142" customFormat="1" ht="21" customHeight="1" x14ac:dyDescent="0.25">
      <c r="B303" s="173" t="str">
        <f>IF(C303="HOLD RM","HOLD RM",IF(C303="BAL","WIP",IF(C303="HOLD SLT","HOLD SLT",IF(C303="MILL","RM",IF(C303="RE SLT","WIP",IF(C303="RM","RM",IF(C303="RM BAL","RM",IF(C303="RM SLT","RM",IF(C303="RR","WIP",IF(C303="SKP","WIP",IF(C303="SLT","WIP",IF(C303="CTL","WIP",IF(C303="RM SLT RUST","RM SLT RUST",0)))))))))))))&amp;"-"&amp;G303&amp;"/"&amp;IF(H303="2B","2B",IF(H303="NO.1","1D",IF(H303="FH","FH",0)))&amp;"-"&amp;IF(J303="",(TEXT(I303,"0.00")),TEXT(J303,"0.00"))&amp;"X"&amp;M303</f>
        <v>RM-J3/1D-2.40X670</v>
      </c>
      <c r="C303" s="173" t="s">
        <v>48</v>
      </c>
      <c r="D303" s="173" t="s">
        <v>48</v>
      </c>
      <c r="E303" s="190" t="s">
        <v>1296</v>
      </c>
      <c r="F303" s="190" t="s">
        <v>1297</v>
      </c>
      <c r="G303" s="173" t="s">
        <v>34</v>
      </c>
      <c r="H303" s="173" t="s">
        <v>127</v>
      </c>
      <c r="I303" s="174">
        <v>2.4</v>
      </c>
      <c r="J303" s="174"/>
      <c r="K303" s="174"/>
      <c r="L303" s="174"/>
      <c r="M303" s="191">
        <v>670</v>
      </c>
      <c r="N303" s="176">
        <v>5.0250000000000004</v>
      </c>
      <c r="O303" s="176"/>
      <c r="P303" s="177"/>
      <c r="Q303" s="178"/>
      <c r="R303" s="179"/>
      <c r="S303" s="179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80"/>
      <c r="AE303" s="173" t="s">
        <v>69</v>
      </c>
      <c r="AF303" s="181" t="s">
        <v>248</v>
      </c>
      <c r="AG303" s="181" t="s">
        <v>1248</v>
      </c>
      <c r="AH303" s="181">
        <v>44770</v>
      </c>
      <c r="AI303" s="181">
        <v>44799</v>
      </c>
      <c r="AJ303" s="181"/>
      <c r="AK303" s="181">
        <f ca="1">TODAY()</f>
        <v>44958</v>
      </c>
      <c r="AL303" s="173">
        <f ca="1">IF(AI303&lt;&gt;0,AK303-AI303,0)</f>
        <v>159</v>
      </c>
      <c r="AM303" s="173" t="str">
        <f>IF(ISNUMBER(X303)=TRUE,AK303-X303,IF(X303="","",(AK303)-(MID(RIGHT(X303,10),4,2)&amp;"/"&amp;LEFT((RIGHT(X303,10)),2)&amp;"/"&amp;RIGHT(X303,4))))</f>
        <v/>
      </c>
      <c r="AN303" s="181" t="s">
        <v>1253</v>
      </c>
      <c r="AO303" s="190" t="s">
        <v>1298</v>
      </c>
      <c r="AP303" s="176">
        <v>5.0250000000000004</v>
      </c>
      <c r="AQ303" s="176">
        <v>5.0650000000000004</v>
      </c>
      <c r="AR303" s="176">
        <v>5.0900000000000007</v>
      </c>
      <c r="AS303" s="176">
        <v>5.0950000000000006</v>
      </c>
      <c r="AT303" s="173" t="str">
        <f>IF(ISNUMBER(U303)=TRUE,AK303-U303,IF(U303="","",(AK303)-(MID(RIGHT(U303,10),4,2)&amp;"/"&amp;LEFT((RIGHT(U303,10)),2)&amp;"/"&amp;RIGHT(U303,4))))</f>
        <v/>
      </c>
      <c r="AU303" s="173">
        <v>448</v>
      </c>
      <c r="AW303" s="142" t="s">
        <v>123</v>
      </c>
    </row>
    <row r="304" spans="2:49" s="142" customFormat="1" ht="21" customHeight="1" x14ac:dyDescent="0.25">
      <c r="B304" s="173" t="str">
        <f>IF(C304="HOLD RM","HOLD RM",IF(C304="BAL","WIP",IF(C304="HOLD SLT","HOLD SLT",IF(C304="MILL","RM",IF(C304="RE SLT","WIP",IF(C304="RM","RM",IF(C304="RM BAL","RM",IF(C304="RM SLT","RM",IF(C304="RR","WIP",IF(C304="SKP","WIP",IF(C304="SLT","WIP",IF(C304="CTL","WIP",IF(C304="RM SLT RUST","RM SLT RUST",0)))))))))))))&amp;"-"&amp;G304&amp;"/"&amp;IF(H304="2B","2B",IF(H304="NO.1","1D",IF(H304="FH","FH",0)))&amp;"-"&amp;IF(J304="",(TEXT(I304,"0.00")),TEXT(J304,"0.00"))&amp;"X"&amp;M304</f>
        <v>RM-J3/1D-2.40X670</v>
      </c>
      <c r="C304" s="173" t="s">
        <v>48</v>
      </c>
      <c r="D304" s="173" t="s">
        <v>48</v>
      </c>
      <c r="E304" s="190" t="s">
        <v>1299</v>
      </c>
      <c r="F304" s="190" t="s">
        <v>1300</v>
      </c>
      <c r="G304" s="173" t="s">
        <v>34</v>
      </c>
      <c r="H304" s="173" t="s">
        <v>127</v>
      </c>
      <c r="I304" s="174">
        <v>2.4</v>
      </c>
      <c r="J304" s="174"/>
      <c r="K304" s="174"/>
      <c r="L304" s="174"/>
      <c r="M304" s="191">
        <v>670</v>
      </c>
      <c r="N304" s="176">
        <v>5.0149999999999997</v>
      </c>
      <c r="O304" s="176"/>
      <c r="P304" s="177"/>
      <c r="Q304" s="178"/>
      <c r="R304" s="179"/>
      <c r="S304" s="179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80"/>
      <c r="AE304" s="173" t="s">
        <v>69</v>
      </c>
      <c r="AF304" s="181" t="s">
        <v>248</v>
      </c>
      <c r="AG304" s="181" t="s">
        <v>1248</v>
      </c>
      <c r="AH304" s="181">
        <v>44770</v>
      </c>
      <c r="AI304" s="181">
        <v>44799</v>
      </c>
      <c r="AJ304" s="181"/>
      <c r="AK304" s="181">
        <f ca="1">TODAY()</f>
        <v>44958</v>
      </c>
      <c r="AL304" s="173">
        <f ca="1">IF(AI304&lt;&gt;0,AK304-AI304,0)</f>
        <v>159</v>
      </c>
      <c r="AM304" s="173" t="str">
        <f>IF(ISNUMBER(X304)=TRUE,AK304-X304,IF(X304="","",(AK304)-(MID(RIGHT(X304,10),4,2)&amp;"/"&amp;LEFT((RIGHT(X304,10)),2)&amp;"/"&amp;RIGHT(X304,4))))</f>
        <v/>
      </c>
      <c r="AN304" s="181" t="s">
        <v>1249</v>
      </c>
      <c r="AO304" s="190" t="s">
        <v>1298</v>
      </c>
      <c r="AP304" s="176">
        <v>5.0149999999999997</v>
      </c>
      <c r="AQ304" s="176">
        <v>5.0549999999999997</v>
      </c>
      <c r="AR304" s="176">
        <v>5.08</v>
      </c>
      <c r="AS304" s="176">
        <v>5.085</v>
      </c>
      <c r="AT304" s="173" t="str">
        <f>IF(ISNUMBER(U304)=TRUE,AK304-U304,IF(U304="","",(AK304)-(MID(RIGHT(U304,10),4,2)&amp;"/"&amp;LEFT((RIGHT(U304,10)),2)&amp;"/"&amp;RIGHT(U304,4))))</f>
        <v/>
      </c>
      <c r="AU304" s="173">
        <v>448</v>
      </c>
      <c r="AW304" s="142" t="s">
        <v>123</v>
      </c>
    </row>
    <row r="305" spans="2:49" s="142" customFormat="1" ht="21" customHeight="1" x14ac:dyDescent="0.25">
      <c r="B305" s="173" t="str">
        <f>IF(C305="HOLD RM","HOLD RM",IF(C305="BAL","WIP",IF(C305="HOLD SLT","HOLD SLT",IF(C305="MILL","RM",IF(C305="RE SLT","WIP",IF(C305="RM","RM",IF(C305="RM BAL","RM",IF(C305="RM SLT","RM",IF(C305="RR","WIP",IF(C305="SKP","WIP",IF(C305="SLT","WIP",IF(C305="CTL","WIP",IF(C305="RM SLT RUST","RM SLT RUST",0)))))))))))))&amp;"-"&amp;G305&amp;"/"&amp;IF(H305="2B","2B",IF(H305="NO.1","1D",IF(H305="FH","FH",0)))&amp;"-"&amp;IF(J305="",(TEXT(I305,"0.00")),TEXT(J305,"0.00"))&amp;"X"&amp;M305</f>
        <v>RM-J3/1D-2.40X670</v>
      </c>
      <c r="C305" s="173" t="s">
        <v>48</v>
      </c>
      <c r="D305" s="173" t="s">
        <v>48</v>
      </c>
      <c r="E305" s="190" t="s">
        <v>1301</v>
      </c>
      <c r="F305" s="190" t="s">
        <v>1302</v>
      </c>
      <c r="G305" s="173" t="s">
        <v>34</v>
      </c>
      <c r="H305" s="173" t="s">
        <v>127</v>
      </c>
      <c r="I305" s="174">
        <v>2.4</v>
      </c>
      <c r="J305" s="174"/>
      <c r="K305" s="174"/>
      <c r="L305" s="174"/>
      <c r="M305" s="191">
        <v>670</v>
      </c>
      <c r="N305" s="176">
        <v>5.21</v>
      </c>
      <c r="O305" s="176"/>
      <c r="P305" s="177"/>
      <c r="Q305" s="178"/>
      <c r="R305" s="179"/>
      <c r="S305" s="179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80"/>
      <c r="AE305" s="173" t="s">
        <v>69</v>
      </c>
      <c r="AF305" s="181" t="s">
        <v>248</v>
      </c>
      <c r="AG305" s="181" t="s">
        <v>1248</v>
      </c>
      <c r="AH305" s="181">
        <v>44770</v>
      </c>
      <c r="AI305" s="181">
        <v>44799</v>
      </c>
      <c r="AJ305" s="181"/>
      <c r="AK305" s="181">
        <f ca="1">TODAY()</f>
        <v>44958</v>
      </c>
      <c r="AL305" s="173">
        <f ca="1">IF(AI305&lt;&gt;0,AK305-AI305,0)</f>
        <v>159</v>
      </c>
      <c r="AM305" s="173" t="str">
        <f>IF(ISNUMBER(X305)=TRUE,AK305-X305,IF(X305="","",(AK305)-(MID(RIGHT(X305,10),4,2)&amp;"/"&amp;LEFT((RIGHT(X305,10)),2)&amp;"/"&amp;RIGHT(X305,4))))</f>
        <v/>
      </c>
      <c r="AN305" s="181" t="s">
        <v>1264</v>
      </c>
      <c r="AO305" s="190" t="s">
        <v>1298</v>
      </c>
      <c r="AP305" s="176">
        <v>5.21</v>
      </c>
      <c r="AQ305" s="176">
        <v>5.25</v>
      </c>
      <c r="AR305" s="176">
        <v>5.2750000000000004</v>
      </c>
      <c r="AS305" s="176">
        <v>5.28</v>
      </c>
      <c r="AT305" s="173" t="str">
        <f>IF(ISNUMBER(U305)=TRUE,AK305-U305,IF(U305="","",(AK305)-(MID(RIGHT(U305,10),4,2)&amp;"/"&amp;LEFT((RIGHT(U305,10)),2)&amp;"/"&amp;RIGHT(U305,4))))</f>
        <v/>
      </c>
      <c r="AU305" s="173">
        <v>448</v>
      </c>
      <c r="AW305" s="142" t="s">
        <v>123</v>
      </c>
    </row>
    <row r="306" spans="2:49" s="142" customFormat="1" ht="21" customHeight="1" x14ac:dyDescent="0.25">
      <c r="B306" s="173" t="str">
        <f>IF(C306="HOLD RM","HOLD RM",IF(C306="BAL","WIP",IF(C306="HOLD SLT","HOLD SLT",IF(C306="MILL","RM",IF(C306="RE SLT","WIP",IF(C306="RM","RM",IF(C306="RM BAL","RM",IF(C306="RM SLT","RM",IF(C306="RR","WIP",IF(C306="SKP","WIP",IF(C306="SLT","WIP",IF(C306="CTL","WIP",IF(C306="RM SLT RUST","RM SLT RUST",0)))))))))))))&amp;"-"&amp;G306&amp;"/"&amp;IF(H306="2B","2B",IF(H306="NO.1","1D",IF(H306="FH","FH",0)))&amp;"-"&amp;IF(J306="",(TEXT(I306,"0.00")),TEXT(J306,"0.00"))&amp;"X"&amp;M306</f>
        <v>RM-J3/1D-2.40X670</v>
      </c>
      <c r="C306" s="173" t="s">
        <v>48</v>
      </c>
      <c r="D306" s="173" t="s">
        <v>48</v>
      </c>
      <c r="E306" s="190" t="s">
        <v>1303</v>
      </c>
      <c r="F306" s="190" t="s">
        <v>1304</v>
      </c>
      <c r="G306" s="173" t="s">
        <v>34</v>
      </c>
      <c r="H306" s="173" t="s">
        <v>127</v>
      </c>
      <c r="I306" s="174">
        <v>2.4</v>
      </c>
      <c r="J306" s="174"/>
      <c r="K306" s="174"/>
      <c r="L306" s="174"/>
      <c r="M306" s="191">
        <v>670</v>
      </c>
      <c r="N306" s="176">
        <v>5.17</v>
      </c>
      <c r="O306" s="176"/>
      <c r="P306" s="177"/>
      <c r="Q306" s="178"/>
      <c r="R306" s="179"/>
      <c r="S306" s="179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80"/>
      <c r="AE306" s="173" t="s">
        <v>69</v>
      </c>
      <c r="AF306" s="181" t="s">
        <v>248</v>
      </c>
      <c r="AG306" s="181" t="s">
        <v>1248</v>
      </c>
      <c r="AH306" s="181">
        <v>44770</v>
      </c>
      <c r="AI306" s="181">
        <v>44799</v>
      </c>
      <c r="AJ306" s="181"/>
      <c r="AK306" s="181">
        <f ca="1">TODAY()</f>
        <v>44958</v>
      </c>
      <c r="AL306" s="173">
        <f ca="1">IF(AI306&lt;&gt;0,AK306-AI306,0)</f>
        <v>159</v>
      </c>
      <c r="AM306" s="173" t="str">
        <f>IF(ISNUMBER(X306)=TRUE,AK306-X306,IF(X306="","",(AK306)-(MID(RIGHT(X306,10),4,2)&amp;"/"&amp;LEFT((RIGHT(X306,10)),2)&amp;"/"&amp;RIGHT(X306,4))))</f>
        <v/>
      </c>
      <c r="AN306" s="181" t="s">
        <v>1260</v>
      </c>
      <c r="AO306" s="190" t="s">
        <v>1298</v>
      </c>
      <c r="AP306" s="176">
        <v>5.17</v>
      </c>
      <c r="AQ306" s="176">
        <v>5.21</v>
      </c>
      <c r="AR306" s="176">
        <v>5.2350000000000003</v>
      </c>
      <c r="AS306" s="176">
        <v>5.24</v>
      </c>
      <c r="AT306" s="173" t="str">
        <f>IF(ISNUMBER(U306)=TRUE,AK306-U306,IF(U306="","",(AK306)-(MID(RIGHT(U306,10),4,2)&amp;"/"&amp;LEFT((RIGHT(U306,10)),2)&amp;"/"&amp;RIGHT(U306,4))))</f>
        <v/>
      </c>
      <c r="AU306" s="173">
        <v>448</v>
      </c>
      <c r="AW306" s="142" t="s">
        <v>123</v>
      </c>
    </row>
    <row r="307" spans="2:49" s="142" customFormat="1" ht="21" customHeight="1" x14ac:dyDescent="0.25">
      <c r="B307" s="173" t="str">
        <f>IF(C307="HOLD RM","HOLD RM",IF(C307="BAL","WIP",IF(C307="HOLD SLT","HOLD SLT",IF(C307="MILL","RM",IF(C307="RE SLT","WIP",IF(C307="RM","RM",IF(C307="RM BAL","RM",IF(C307="RM SLT","RM",IF(C307="RR","WIP",IF(C307="SKP","WIP",IF(C307="SLT","WIP",IF(C307="CTL","WIP",IF(C307="RM SLT RUST","RM SLT RUST",0)))))))))))))&amp;"-"&amp;G307&amp;"/"&amp;IF(H307="2B","2B",IF(H307="NO.1","1D",IF(H307="FH","FH",0)))&amp;"-"&amp;IF(J307="",(TEXT(I307,"0.00")),TEXT(J307,"0.00"))&amp;"X"&amp;M307</f>
        <v>RM-J3/1D-2.20X620</v>
      </c>
      <c r="C307" s="173" t="s">
        <v>48</v>
      </c>
      <c r="D307" s="173" t="s">
        <v>48</v>
      </c>
      <c r="E307" s="190" t="s">
        <v>1305</v>
      </c>
      <c r="F307" s="190" t="s">
        <v>1306</v>
      </c>
      <c r="G307" s="173" t="s">
        <v>34</v>
      </c>
      <c r="H307" s="173" t="s">
        <v>127</v>
      </c>
      <c r="I307" s="174">
        <v>2.2000000000000002</v>
      </c>
      <c r="J307" s="174"/>
      <c r="K307" s="174"/>
      <c r="L307" s="174"/>
      <c r="M307" s="191">
        <v>620</v>
      </c>
      <c r="N307" s="176">
        <v>4.92</v>
      </c>
      <c r="O307" s="176"/>
      <c r="P307" s="177"/>
      <c r="Q307" s="178"/>
      <c r="R307" s="179"/>
      <c r="S307" s="179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80"/>
      <c r="AE307" s="173" t="s">
        <v>69</v>
      </c>
      <c r="AF307" s="181" t="s">
        <v>248</v>
      </c>
      <c r="AG307" s="181" t="s">
        <v>1248</v>
      </c>
      <c r="AH307" s="181">
        <v>44770</v>
      </c>
      <c r="AI307" s="181">
        <v>44799</v>
      </c>
      <c r="AJ307" s="181"/>
      <c r="AK307" s="181">
        <f ca="1">TODAY()</f>
        <v>44958</v>
      </c>
      <c r="AL307" s="173">
        <f ca="1">IF(AI307&lt;&gt;0,AK307-AI307,0)</f>
        <v>159</v>
      </c>
      <c r="AM307" s="173" t="str">
        <f>IF(ISNUMBER(X307)=TRUE,AK307-X307,IF(X307="","",(AK307)-(MID(RIGHT(X307,10),4,2)&amp;"/"&amp;LEFT((RIGHT(X307,10)),2)&amp;"/"&amp;RIGHT(X307,4))))</f>
        <v/>
      </c>
      <c r="AN307" s="181" t="s">
        <v>1307</v>
      </c>
      <c r="AO307" s="190" t="s">
        <v>1308</v>
      </c>
      <c r="AP307" s="176">
        <v>4.92</v>
      </c>
      <c r="AQ307" s="176">
        <v>4.96</v>
      </c>
      <c r="AR307" s="176">
        <v>4.9850000000000003</v>
      </c>
      <c r="AS307" s="176">
        <v>4.99</v>
      </c>
      <c r="AT307" s="173" t="str">
        <f>IF(ISNUMBER(U307)=TRUE,AK307-U307,IF(U307="","",(AK307)-(MID(RIGHT(U307,10),4,2)&amp;"/"&amp;LEFT((RIGHT(U307,10)),2)&amp;"/"&amp;RIGHT(U307,4))))</f>
        <v/>
      </c>
      <c r="AU307" s="173">
        <v>448</v>
      </c>
      <c r="AW307" s="142" t="s">
        <v>123</v>
      </c>
    </row>
    <row r="308" spans="2:49" s="142" customFormat="1" ht="21" customHeight="1" x14ac:dyDescent="0.25">
      <c r="B308" s="173" t="str">
        <f>IF(C308="HOLD RM","HOLD RM",IF(C308="BAL","WIP",IF(C308="HOLD SLT","HOLD SLT",IF(C308="MILL","RM",IF(C308="RE SLT","WIP",IF(C308="RM","RM",IF(C308="RM BAL","RM",IF(C308="RM SLT","RM",IF(C308="RR","WIP",IF(C308="SKP","WIP",IF(C308="SLT","WIP",IF(C308="CTL","WIP",IF(C308="RM SLT RUST","RM SLT RUST",0)))))))))))))&amp;"-"&amp;G308&amp;"/"&amp;IF(H308="2B","2B",IF(H308="NO.1","1D",IF(H308="FH","FH",0)))&amp;"-"&amp;IF(J308="",(TEXT(I308,"0.00")),TEXT(J308,"0.00"))&amp;"X"&amp;M308</f>
        <v>RM-J3/1D-2.20X620</v>
      </c>
      <c r="C308" s="173" t="s">
        <v>48</v>
      </c>
      <c r="D308" s="173" t="s">
        <v>48</v>
      </c>
      <c r="E308" s="190" t="s">
        <v>1309</v>
      </c>
      <c r="F308" s="190" t="s">
        <v>1310</v>
      </c>
      <c r="G308" s="173" t="s">
        <v>34</v>
      </c>
      <c r="H308" s="173" t="s">
        <v>127</v>
      </c>
      <c r="I308" s="174">
        <v>2.2000000000000002</v>
      </c>
      <c r="J308" s="174"/>
      <c r="K308" s="174"/>
      <c r="L308" s="174"/>
      <c r="M308" s="191">
        <v>620</v>
      </c>
      <c r="N308" s="176">
        <v>4.92</v>
      </c>
      <c r="O308" s="176"/>
      <c r="P308" s="177"/>
      <c r="Q308" s="178"/>
      <c r="R308" s="179"/>
      <c r="S308" s="179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80"/>
      <c r="AE308" s="173" t="s">
        <v>69</v>
      </c>
      <c r="AF308" s="181" t="s">
        <v>248</v>
      </c>
      <c r="AG308" s="181" t="s">
        <v>1248</v>
      </c>
      <c r="AH308" s="181">
        <v>44770</v>
      </c>
      <c r="AI308" s="181">
        <v>44799</v>
      </c>
      <c r="AJ308" s="181"/>
      <c r="AK308" s="181">
        <f ca="1">TODAY()</f>
        <v>44958</v>
      </c>
      <c r="AL308" s="173">
        <f ca="1">IF(AI308&lt;&gt;0,AK308-AI308,0)</f>
        <v>159</v>
      </c>
      <c r="AM308" s="173" t="str">
        <f>IF(ISNUMBER(X308)=TRUE,AK308-X308,IF(X308="","",(AK308)-(MID(RIGHT(X308,10),4,2)&amp;"/"&amp;LEFT((RIGHT(X308,10)),2)&amp;"/"&amp;RIGHT(X308,4))))</f>
        <v/>
      </c>
      <c r="AN308" s="181" t="s">
        <v>1274</v>
      </c>
      <c r="AO308" s="190" t="s">
        <v>1308</v>
      </c>
      <c r="AP308" s="176">
        <v>4.92</v>
      </c>
      <c r="AQ308" s="176">
        <v>4.96</v>
      </c>
      <c r="AR308" s="176">
        <v>4.9850000000000003</v>
      </c>
      <c r="AS308" s="176">
        <v>4.99</v>
      </c>
      <c r="AT308" s="173" t="str">
        <f>IF(ISNUMBER(U308)=TRUE,AK308-U308,IF(U308="","",(AK308)-(MID(RIGHT(U308,10),4,2)&amp;"/"&amp;LEFT((RIGHT(U308,10)),2)&amp;"/"&amp;RIGHT(U308,4))))</f>
        <v/>
      </c>
      <c r="AU308" s="173">
        <v>448</v>
      </c>
      <c r="AW308" s="142" t="s">
        <v>123</v>
      </c>
    </row>
    <row r="309" spans="2:49" s="142" customFormat="1" ht="21" customHeight="1" x14ac:dyDescent="0.25">
      <c r="B309" s="173" t="str">
        <f>IF(C309="HOLD RM","HOLD RM",IF(C309="BAL","WIP",IF(C309="HOLD SLT","HOLD SLT",IF(C309="MILL","RM",IF(C309="RE SLT","WIP",IF(C309="RM","RM",IF(C309="RM BAL","RM",IF(C309="RM SLT","RM",IF(C309="RR","WIP",IF(C309="SKP","WIP",IF(C309="SLT","WIP",IF(C309="CTL","WIP",IF(C309="RM SLT RUST","RM SLT RUST",0)))))))))))))&amp;"-"&amp;G309&amp;"/"&amp;IF(H309="2B","2B",IF(H309="NO.1","1D",IF(H309="FH","FH",0)))&amp;"-"&amp;IF(J309="",(TEXT(I309,"0.00")),TEXT(J309,"0.00"))&amp;"X"&amp;M309</f>
        <v>RM-J3/1D-2.20X620</v>
      </c>
      <c r="C309" s="173" t="s">
        <v>48</v>
      </c>
      <c r="D309" s="173" t="s">
        <v>48</v>
      </c>
      <c r="E309" s="190" t="s">
        <v>1311</v>
      </c>
      <c r="F309" s="190" t="s">
        <v>1312</v>
      </c>
      <c r="G309" s="173" t="s">
        <v>34</v>
      </c>
      <c r="H309" s="173" t="s">
        <v>127</v>
      </c>
      <c r="I309" s="174">
        <v>2.2000000000000002</v>
      </c>
      <c r="J309" s="174"/>
      <c r="K309" s="174"/>
      <c r="L309" s="174"/>
      <c r="M309" s="191">
        <v>620</v>
      </c>
      <c r="N309" s="176">
        <v>5.1100000000000003</v>
      </c>
      <c r="O309" s="176"/>
      <c r="P309" s="177"/>
      <c r="Q309" s="178"/>
      <c r="R309" s="179"/>
      <c r="S309" s="179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80"/>
      <c r="AE309" s="173" t="s">
        <v>69</v>
      </c>
      <c r="AF309" s="181" t="s">
        <v>248</v>
      </c>
      <c r="AG309" s="181" t="s">
        <v>1248</v>
      </c>
      <c r="AH309" s="181">
        <v>44770</v>
      </c>
      <c r="AI309" s="181">
        <v>44799</v>
      </c>
      <c r="AJ309" s="181"/>
      <c r="AK309" s="181">
        <f ca="1">TODAY()</f>
        <v>44958</v>
      </c>
      <c r="AL309" s="173">
        <f ca="1">IF(AI309&lt;&gt;0,AK309-AI309,0)</f>
        <v>159</v>
      </c>
      <c r="AM309" s="173" t="str">
        <f>IF(ISNUMBER(X309)=TRUE,AK309-X309,IF(X309="","",(AK309)-(MID(RIGHT(X309,10),4,2)&amp;"/"&amp;LEFT((RIGHT(X309,10)),2)&amp;"/"&amp;RIGHT(X309,4))))</f>
        <v/>
      </c>
      <c r="AN309" s="181" t="s">
        <v>1284</v>
      </c>
      <c r="AO309" s="190" t="s">
        <v>1308</v>
      </c>
      <c r="AP309" s="176">
        <v>5.1100000000000003</v>
      </c>
      <c r="AQ309" s="176">
        <v>5.15</v>
      </c>
      <c r="AR309" s="176">
        <v>5.1750000000000007</v>
      </c>
      <c r="AS309" s="176">
        <v>5.1800000000000006</v>
      </c>
      <c r="AT309" s="173" t="str">
        <f>IF(ISNUMBER(U309)=TRUE,AK309-U309,IF(U309="","",(AK309)-(MID(RIGHT(U309,10),4,2)&amp;"/"&amp;LEFT((RIGHT(U309,10)),2)&amp;"/"&amp;RIGHT(U309,4))))</f>
        <v/>
      </c>
      <c r="AU309" s="173">
        <v>448</v>
      </c>
      <c r="AW309" s="142" t="s">
        <v>123</v>
      </c>
    </row>
    <row r="310" spans="2:49" s="142" customFormat="1" ht="21" customHeight="1" x14ac:dyDescent="0.25">
      <c r="B310" s="173" t="str">
        <f>IF(C310="HOLD RM","HOLD RM",IF(C310="BAL","WIP",IF(C310="HOLD SLT","HOLD SLT",IF(C310="MILL","RM",IF(C310="RE SLT","WIP",IF(C310="RM","RM",IF(C310="RM BAL","RM",IF(C310="RM SLT","RM",IF(C310="RR","WIP",IF(C310="SKP","WIP",IF(C310="SLT","WIP",IF(C310="CTL","WIP",IF(C310="RM SLT RUST","RM SLT RUST",0)))))))))))))&amp;"-"&amp;G310&amp;"/"&amp;IF(H310="2B","2B",IF(H310="NO.1","1D",IF(H310="FH","FH",0)))&amp;"-"&amp;IF(J310="",(TEXT(I310,"0.00")),TEXT(J310,"0.00"))&amp;"X"&amp;M310</f>
        <v>RM-J3/1D-2.20X620</v>
      </c>
      <c r="C310" s="173" t="s">
        <v>48</v>
      </c>
      <c r="D310" s="173" t="s">
        <v>48</v>
      </c>
      <c r="E310" s="190" t="s">
        <v>1313</v>
      </c>
      <c r="F310" s="190" t="s">
        <v>1314</v>
      </c>
      <c r="G310" s="173" t="s">
        <v>34</v>
      </c>
      <c r="H310" s="173" t="s">
        <v>127</v>
      </c>
      <c r="I310" s="174">
        <v>2.2000000000000002</v>
      </c>
      <c r="J310" s="174"/>
      <c r="K310" s="174"/>
      <c r="L310" s="174"/>
      <c r="M310" s="191">
        <v>620</v>
      </c>
      <c r="N310" s="176">
        <v>5.0999999999999996</v>
      </c>
      <c r="O310" s="176"/>
      <c r="P310" s="177"/>
      <c r="Q310" s="178"/>
      <c r="R310" s="179"/>
      <c r="S310" s="179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80"/>
      <c r="AE310" s="173" t="s">
        <v>69</v>
      </c>
      <c r="AF310" s="181" t="s">
        <v>248</v>
      </c>
      <c r="AG310" s="181" t="s">
        <v>1248</v>
      </c>
      <c r="AH310" s="181">
        <v>44770</v>
      </c>
      <c r="AI310" s="181">
        <v>44799</v>
      </c>
      <c r="AJ310" s="181"/>
      <c r="AK310" s="181">
        <f ca="1">TODAY()</f>
        <v>44958</v>
      </c>
      <c r="AL310" s="173">
        <f ca="1">IF(AI310&lt;&gt;0,AK310-AI310,0)</f>
        <v>159</v>
      </c>
      <c r="AM310" s="173" t="str">
        <f>IF(ISNUMBER(X310)=TRUE,AK310-X310,IF(X310="","",(AK310)-(MID(RIGHT(X310,10),4,2)&amp;"/"&amp;LEFT((RIGHT(X310,10)),2)&amp;"/"&amp;RIGHT(X310,4))))</f>
        <v/>
      </c>
      <c r="AN310" s="181" t="s">
        <v>1280</v>
      </c>
      <c r="AO310" s="190" t="s">
        <v>1308</v>
      </c>
      <c r="AP310" s="176">
        <v>5.0999999999999996</v>
      </c>
      <c r="AQ310" s="176">
        <v>5.14</v>
      </c>
      <c r="AR310" s="176">
        <v>5.165</v>
      </c>
      <c r="AS310" s="176">
        <v>5.17</v>
      </c>
      <c r="AT310" s="173" t="str">
        <f>IF(ISNUMBER(U310)=TRUE,AK310-U310,IF(U310="","",(AK310)-(MID(RIGHT(U310,10),4,2)&amp;"/"&amp;LEFT((RIGHT(U310,10)),2)&amp;"/"&amp;RIGHT(U310,4))))</f>
        <v/>
      </c>
      <c r="AU310" s="173">
        <v>448</v>
      </c>
      <c r="AW310" s="142" t="s">
        <v>123</v>
      </c>
    </row>
    <row r="311" spans="2:49" s="142" customFormat="1" ht="21" customHeight="1" x14ac:dyDescent="0.25">
      <c r="B311" s="173" t="str">
        <f>IF(C311="HOLD RM","HOLD RM",IF(C311="BAL","WIP",IF(C311="HOLD SLT","HOLD SLT",IF(C311="MILL","RM",IF(C311="RE SLT","WIP",IF(C311="RM","RM",IF(C311="RM BAL","RM",IF(C311="RM SLT","RM",IF(C311="RR","WIP",IF(C311="SKP","WIP",IF(C311="SLT","WIP",IF(C311="CTL","WIP",IF(C311="RM SLT RUST","RM SLT RUST",0)))))))))))))&amp;"-"&amp;G311&amp;"/"&amp;IF(H311="2B","2B",IF(H311="NO.1","1D",IF(H311="FH","FH",0)))&amp;"-"&amp;IF(J311="",(TEXT(I311,"0.00")),TEXT(J311,"0.00"))&amp;"X"&amp;M311</f>
        <v>RM-J3/1D-2.20X620</v>
      </c>
      <c r="C311" s="173" t="s">
        <v>48</v>
      </c>
      <c r="D311" s="173" t="s">
        <v>48</v>
      </c>
      <c r="E311" s="190" t="s">
        <v>1315</v>
      </c>
      <c r="F311" s="190" t="s">
        <v>1316</v>
      </c>
      <c r="G311" s="173" t="s">
        <v>34</v>
      </c>
      <c r="H311" s="173" t="s">
        <v>127</v>
      </c>
      <c r="I311" s="174">
        <v>2.2000000000000002</v>
      </c>
      <c r="J311" s="174"/>
      <c r="K311" s="174"/>
      <c r="L311" s="174"/>
      <c r="M311" s="191">
        <v>620</v>
      </c>
      <c r="N311" s="176">
        <v>9.9700000000000006</v>
      </c>
      <c r="O311" s="176"/>
      <c r="P311" s="177"/>
      <c r="Q311" s="178"/>
      <c r="R311" s="179"/>
      <c r="S311" s="179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80"/>
      <c r="AE311" s="173" t="s">
        <v>69</v>
      </c>
      <c r="AF311" s="181" t="s">
        <v>248</v>
      </c>
      <c r="AG311" s="181" t="s">
        <v>1248</v>
      </c>
      <c r="AH311" s="181">
        <v>44770</v>
      </c>
      <c r="AI311" s="181">
        <v>44799</v>
      </c>
      <c r="AJ311" s="181"/>
      <c r="AK311" s="181">
        <f ca="1">TODAY()</f>
        <v>44958</v>
      </c>
      <c r="AL311" s="173">
        <f ca="1">IF(AI311&lt;&gt;0,AK311-AI311,0)</f>
        <v>159</v>
      </c>
      <c r="AM311" s="173" t="str">
        <f>IF(ISNUMBER(X311)=TRUE,AK311-X311,IF(X311="","",(AK311)-(MID(RIGHT(X311,10),4,2)&amp;"/"&amp;LEFT((RIGHT(X311,10)),2)&amp;"/"&amp;RIGHT(X311,4))))</f>
        <v/>
      </c>
      <c r="AN311" s="181" t="s">
        <v>1249</v>
      </c>
      <c r="AO311" s="190" t="s">
        <v>1317</v>
      </c>
      <c r="AP311" s="176">
        <v>9.9700000000000006</v>
      </c>
      <c r="AQ311" s="176">
        <v>10.01</v>
      </c>
      <c r="AR311" s="176">
        <v>10.034999999999998</v>
      </c>
      <c r="AS311" s="176">
        <v>10.039999999999999</v>
      </c>
      <c r="AT311" s="173" t="str">
        <f>IF(ISNUMBER(U311)=TRUE,AK311-U311,IF(U311="","",(AK311)-(MID(RIGHT(U311,10),4,2)&amp;"/"&amp;LEFT((RIGHT(U311,10)),2)&amp;"/"&amp;RIGHT(U311,4))))</f>
        <v/>
      </c>
      <c r="AU311" s="173">
        <v>448</v>
      </c>
      <c r="AW311" s="142" t="s">
        <v>123</v>
      </c>
    </row>
    <row r="312" spans="2:49" s="142" customFormat="1" ht="21" customHeight="1" x14ac:dyDescent="0.25">
      <c r="B312" s="173" t="str">
        <f>IF(C312="HOLD RM","HOLD RM",IF(C312="BAL","WIP",IF(C312="HOLD SLT","HOLD SLT",IF(C312="MILL","RM",IF(C312="RE SLT","WIP",IF(C312="RM","RM",IF(C312="RM BAL","RM",IF(C312="RM SLT","RM",IF(C312="RR","WIP",IF(C312="SKP","WIP",IF(C312="SLT","WIP",IF(C312="CTL","WIP",IF(C312="RM SLT RUST","RM SLT RUST",0)))))))))))))&amp;"-"&amp;G312&amp;"/"&amp;IF(H312="2B","2B",IF(H312="NO.1","1D",IF(H312="FH","FH",0)))&amp;"-"&amp;IF(J312="",(TEXT(I312,"0.00")),TEXT(J312,"0.00"))&amp;"X"&amp;M312</f>
        <v>RM-J3/1D-2.20X620</v>
      </c>
      <c r="C312" s="173" t="s">
        <v>48</v>
      </c>
      <c r="D312" s="173" t="s">
        <v>48</v>
      </c>
      <c r="E312" s="190" t="s">
        <v>1318</v>
      </c>
      <c r="F312" s="190" t="s">
        <v>1319</v>
      </c>
      <c r="G312" s="173" t="s">
        <v>34</v>
      </c>
      <c r="H312" s="173" t="s">
        <v>127</v>
      </c>
      <c r="I312" s="174">
        <v>2.2000000000000002</v>
      </c>
      <c r="J312" s="174"/>
      <c r="K312" s="174"/>
      <c r="L312" s="174"/>
      <c r="M312" s="191">
        <v>620</v>
      </c>
      <c r="N312" s="176">
        <v>10.050000000000001</v>
      </c>
      <c r="O312" s="176"/>
      <c r="P312" s="177"/>
      <c r="Q312" s="178"/>
      <c r="R312" s="179"/>
      <c r="S312" s="179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80"/>
      <c r="AE312" s="173" t="s">
        <v>69</v>
      </c>
      <c r="AF312" s="181" t="s">
        <v>248</v>
      </c>
      <c r="AG312" s="181" t="s">
        <v>1248</v>
      </c>
      <c r="AH312" s="181">
        <v>44770</v>
      </c>
      <c r="AI312" s="181">
        <v>44799</v>
      </c>
      <c r="AJ312" s="181"/>
      <c r="AK312" s="181">
        <f ca="1">TODAY()</f>
        <v>44958</v>
      </c>
      <c r="AL312" s="173">
        <f ca="1">IF(AI312&lt;&gt;0,AK312-AI312,0)</f>
        <v>159</v>
      </c>
      <c r="AM312" s="173" t="str">
        <f>IF(ISNUMBER(X312)=TRUE,AK312-X312,IF(X312="","",(AK312)-(MID(RIGHT(X312,10),4,2)&amp;"/"&amp;LEFT((RIGHT(X312,10)),2)&amp;"/"&amp;RIGHT(X312,4))))</f>
        <v/>
      </c>
      <c r="AN312" s="181" t="s">
        <v>1253</v>
      </c>
      <c r="AO312" s="190" t="s">
        <v>1317</v>
      </c>
      <c r="AP312" s="176">
        <v>10.050000000000001</v>
      </c>
      <c r="AQ312" s="176">
        <v>10.09</v>
      </c>
      <c r="AR312" s="176">
        <v>10.114999999999998</v>
      </c>
      <c r="AS312" s="176">
        <v>10.119999999999999</v>
      </c>
      <c r="AT312" s="173" t="str">
        <f>IF(ISNUMBER(U312)=TRUE,AK312-U312,IF(U312="","",(AK312)-(MID(RIGHT(U312,10),4,2)&amp;"/"&amp;LEFT((RIGHT(U312,10)),2)&amp;"/"&amp;RIGHT(U312,4))))</f>
        <v/>
      </c>
      <c r="AU312" s="173">
        <v>448</v>
      </c>
      <c r="AW312" s="142" t="s">
        <v>123</v>
      </c>
    </row>
    <row r="313" spans="2:49" s="142" customFormat="1" ht="21" customHeight="1" x14ac:dyDescent="0.25">
      <c r="B313" s="173" t="str">
        <f>IF(C313="HOLD RM","HOLD RM",IF(C313="BAL","WIP",IF(C313="HOLD SLT","HOLD SLT",IF(C313="MILL","RM",IF(C313="RE SLT","WIP",IF(C313="RM","RM",IF(C313="RM BAL","RM",IF(C313="RM SLT","RM",IF(C313="RR","WIP",IF(C313="SKP","WIP",IF(C313="SLT","WIP",IF(C313="CTL","WIP",IF(C313="RM SLT RUST","RM SLT RUST",0)))))))))))))&amp;"-"&amp;G313&amp;"/"&amp;IF(H313="2B","2B",IF(H313="NO.1","1D",IF(H313="FH","FH",0)))&amp;"-"&amp;IF(J313="",(TEXT(I313,"0.00")),TEXT(J313,"0.00"))&amp;"X"&amp;M313</f>
        <v>RM-J3/1D-2.40X670</v>
      </c>
      <c r="C313" s="173" t="s">
        <v>48</v>
      </c>
      <c r="D313" s="173" t="s">
        <v>48</v>
      </c>
      <c r="E313" s="190" t="s">
        <v>1320</v>
      </c>
      <c r="F313" s="190" t="s">
        <v>1321</v>
      </c>
      <c r="G313" s="173" t="s">
        <v>34</v>
      </c>
      <c r="H313" s="173" t="s">
        <v>127</v>
      </c>
      <c r="I313" s="174">
        <v>2.4</v>
      </c>
      <c r="J313" s="174"/>
      <c r="K313" s="174"/>
      <c r="L313" s="174"/>
      <c r="M313" s="191">
        <v>670</v>
      </c>
      <c r="N313" s="176">
        <v>5.2169999999999996</v>
      </c>
      <c r="O313" s="176"/>
      <c r="P313" s="177"/>
      <c r="Q313" s="178"/>
      <c r="R313" s="179"/>
      <c r="S313" s="179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80"/>
      <c r="AE313" s="173" t="s">
        <v>69</v>
      </c>
      <c r="AF313" s="181" t="s">
        <v>248</v>
      </c>
      <c r="AG313" s="181" t="s">
        <v>1248</v>
      </c>
      <c r="AH313" s="181">
        <v>44770</v>
      </c>
      <c r="AI313" s="181">
        <v>44799</v>
      </c>
      <c r="AJ313" s="181"/>
      <c r="AK313" s="181">
        <f ca="1">TODAY()</f>
        <v>44958</v>
      </c>
      <c r="AL313" s="173">
        <f ca="1">IF(AI313&lt;&gt;0,AK313-AI313,0)</f>
        <v>159</v>
      </c>
      <c r="AM313" s="173" t="str">
        <f>IF(ISNUMBER(X313)=TRUE,AK313-X313,IF(X313="","",(AK313)-(MID(RIGHT(X313,10),4,2)&amp;"/"&amp;LEFT((RIGHT(X313,10)),2)&amp;"/"&amp;RIGHT(X313,4))))</f>
        <v/>
      </c>
      <c r="AN313" s="181" t="s">
        <v>1291</v>
      </c>
      <c r="AO313" s="190" t="s">
        <v>1322</v>
      </c>
      <c r="AP313" s="176">
        <v>5.2169999999999996</v>
      </c>
      <c r="AQ313" s="176">
        <v>5.2569999999999997</v>
      </c>
      <c r="AR313" s="176">
        <v>5.282</v>
      </c>
      <c r="AS313" s="176">
        <v>5.2869999999999999</v>
      </c>
      <c r="AT313" s="173" t="str">
        <f>IF(ISNUMBER(U313)=TRUE,AK313-U313,IF(U313="","",(AK313)-(MID(RIGHT(U313,10),4,2)&amp;"/"&amp;LEFT((RIGHT(U313,10)),2)&amp;"/"&amp;RIGHT(U313,4))))</f>
        <v/>
      </c>
      <c r="AU313" s="173">
        <v>448</v>
      </c>
      <c r="AW313" s="142" t="s">
        <v>123</v>
      </c>
    </row>
    <row r="314" spans="2:49" s="142" customFormat="1" ht="21" customHeight="1" x14ac:dyDescent="0.25">
      <c r="B314" s="173" t="str">
        <f>IF(C314="HOLD RM","HOLD RM",IF(C314="BAL","WIP",IF(C314="HOLD SLT","HOLD SLT",IF(C314="MILL","RM",IF(C314="RE SLT","WIP",IF(C314="RM","RM",IF(C314="RM BAL","RM",IF(C314="RM SLT","RM",IF(C314="RR","WIP",IF(C314="SKP","WIP",IF(C314="SLT","WIP",IF(C314="CTL","WIP",IF(C314="RM SLT RUST","RM SLT RUST",0)))))))))))))&amp;"-"&amp;G314&amp;"/"&amp;IF(H314="2B","2B",IF(H314="NO.1","1D",IF(H314="FH","FH",0)))&amp;"-"&amp;IF(J314="",(TEXT(I314,"0.00")),TEXT(J314,"0.00"))&amp;"X"&amp;M314</f>
        <v>RM-J3/1D-2.40X670</v>
      </c>
      <c r="C314" s="173" t="s">
        <v>48</v>
      </c>
      <c r="D314" s="173" t="s">
        <v>48</v>
      </c>
      <c r="E314" s="190" t="s">
        <v>1323</v>
      </c>
      <c r="F314" s="190" t="s">
        <v>1324</v>
      </c>
      <c r="G314" s="173" t="s">
        <v>34</v>
      </c>
      <c r="H314" s="173" t="s">
        <v>127</v>
      </c>
      <c r="I314" s="174">
        <v>2.4</v>
      </c>
      <c r="J314" s="174"/>
      <c r="K314" s="174"/>
      <c r="L314" s="174"/>
      <c r="M314" s="191">
        <v>670</v>
      </c>
      <c r="N314" s="176">
        <v>5.26</v>
      </c>
      <c r="O314" s="176"/>
      <c r="P314" s="177"/>
      <c r="Q314" s="178"/>
      <c r="R314" s="179"/>
      <c r="S314" s="179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80"/>
      <c r="AE314" s="173" t="s">
        <v>69</v>
      </c>
      <c r="AF314" s="181" t="s">
        <v>248</v>
      </c>
      <c r="AG314" s="181" t="s">
        <v>1248</v>
      </c>
      <c r="AH314" s="181">
        <v>44770</v>
      </c>
      <c r="AI314" s="181">
        <v>44799</v>
      </c>
      <c r="AJ314" s="181"/>
      <c r="AK314" s="181">
        <f ca="1">TODAY()</f>
        <v>44958</v>
      </c>
      <c r="AL314" s="173">
        <f ca="1">IF(AI314&lt;&gt;0,AK314-AI314,0)</f>
        <v>159</v>
      </c>
      <c r="AM314" s="173" t="str">
        <f>IF(ISNUMBER(X314)=TRUE,AK314-X314,IF(X314="","",(AK314)-(MID(RIGHT(X314,10),4,2)&amp;"/"&amp;LEFT((RIGHT(X314,10)),2)&amp;"/"&amp;RIGHT(X314,4))))</f>
        <v/>
      </c>
      <c r="AN314" s="181" t="s">
        <v>1288</v>
      </c>
      <c r="AO314" s="190" t="s">
        <v>1322</v>
      </c>
      <c r="AP314" s="176">
        <v>5.26</v>
      </c>
      <c r="AQ314" s="176">
        <v>5.3</v>
      </c>
      <c r="AR314" s="176">
        <v>5.3250000000000002</v>
      </c>
      <c r="AS314" s="176">
        <v>5.33</v>
      </c>
      <c r="AT314" s="173" t="str">
        <f>IF(ISNUMBER(U314)=TRUE,AK314-U314,IF(U314="","",(AK314)-(MID(RIGHT(U314,10),4,2)&amp;"/"&amp;LEFT((RIGHT(U314,10)),2)&amp;"/"&amp;RIGHT(U314,4))))</f>
        <v/>
      </c>
      <c r="AU314" s="173">
        <v>448</v>
      </c>
      <c r="AW314" s="142" t="s">
        <v>123</v>
      </c>
    </row>
    <row r="315" spans="2:49" s="142" customFormat="1" ht="21" customHeight="1" x14ac:dyDescent="0.25">
      <c r="B315" s="173" t="str">
        <f>IF(C315="HOLD RM","HOLD RM",IF(C315="BAL","WIP",IF(C315="HOLD SLT","HOLD SLT",IF(C315="MILL","RM",IF(C315="RE SLT","WIP",IF(C315="RM","RM",IF(C315="RM BAL","RM",IF(C315="RM SLT","RM",IF(C315="RR","WIP",IF(C315="SKP","WIP",IF(C315="SLT","WIP",IF(C315="CTL","WIP",IF(C315="RM SLT RUST","RM SLT RUST",0)))))))))))))&amp;"-"&amp;G315&amp;"/"&amp;IF(H315="2B","2B",IF(H315="NO.1","1D",IF(H315="FH","FH",0)))&amp;"-"&amp;IF(J315="",(TEXT(I315,"0.00")),TEXT(J315,"0.00"))&amp;"X"&amp;M315</f>
        <v>RM-J3/1D-2.40X670</v>
      </c>
      <c r="C315" s="173" t="s">
        <v>48</v>
      </c>
      <c r="D315" s="173" t="s">
        <v>48</v>
      </c>
      <c r="E315" s="190" t="s">
        <v>1325</v>
      </c>
      <c r="F315" s="190" t="s">
        <v>1326</v>
      </c>
      <c r="G315" s="173" t="s">
        <v>34</v>
      </c>
      <c r="H315" s="173" t="s">
        <v>127</v>
      </c>
      <c r="I315" s="174">
        <v>2.4</v>
      </c>
      <c r="J315" s="174"/>
      <c r="K315" s="174"/>
      <c r="L315" s="174"/>
      <c r="M315" s="191">
        <v>670</v>
      </c>
      <c r="N315" s="176">
        <v>5.24</v>
      </c>
      <c r="O315" s="176"/>
      <c r="P315" s="177"/>
      <c r="Q315" s="178"/>
      <c r="R315" s="179"/>
      <c r="S315" s="179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80"/>
      <c r="AE315" s="173" t="s">
        <v>69</v>
      </c>
      <c r="AF315" s="181" t="s">
        <v>248</v>
      </c>
      <c r="AG315" s="181" t="s">
        <v>1248</v>
      </c>
      <c r="AH315" s="181">
        <v>44770</v>
      </c>
      <c r="AI315" s="181">
        <v>44799</v>
      </c>
      <c r="AJ315" s="181"/>
      <c r="AK315" s="181">
        <f ca="1">TODAY()</f>
        <v>44958</v>
      </c>
      <c r="AL315" s="173">
        <f ca="1">IF(AI315&lt;&gt;0,AK315-AI315,0)</f>
        <v>159</v>
      </c>
      <c r="AM315" s="173" t="str">
        <f>IF(ISNUMBER(X315)=TRUE,AK315-X315,IF(X315="","",(AK315)-(MID(RIGHT(X315,10),4,2)&amp;"/"&amp;LEFT((RIGHT(X315,10)),2)&amp;"/"&amp;RIGHT(X315,4))))</f>
        <v/>
      </c>
      <c r="AN315" s="181" t="s">
        <v>1256</v>
      </c>
      <c r="AO315" s="190" t="s">
        <v>1322</v>
      </c>
      <c r="AP315" s="176">
        <v>5.24</v>
      </c>
      <c r="AQ315" s="176">
        <v>5.28</v>
      </c>
      <c r="AR315" s="176">
        <v>5.3050000000000006</v>
      </c>
      <c r="AS315" s="176">
        <v>5.3100000000000005</v>
      </c>
      <c r="AT315" s="173" t="str">
        <f>IF(ISNUMBER(U315)=TRUE,AK315-U315,IF(U315="","",(AK315)-(MID(RIGHT(U315,10),4,2)&amp;"/"&amp;LEFT((RIGHT(U315,10)),2)&amp;"/"&amp;RIGHT(U315,4))))</f>
        <v/>
      </c>
      <c r="AU315" s="173">
        <v>448</v>
      </c>
      <c r="AW315" s="142" t="s">
        <v>123</v>
      </c>
    </row>
    <row r="316" spans="2:49" s="142" customFormat="1" ht="21" customHeight="1" x14ac:dyDescent="0.25">
      <c r="B316" s="173" t="str">
        <f>IF(C316="HOLD RM","HOLD RM",IF(C316="BAL","WIP",IF(C316="HOLD SLT","HOLD SLT",IF(C316="MILL","RM",IF(C316="RE SLT","WIP",IF(C316="RM","RM",IF(C316="RM BAL","RM",IF(C316="RM SLT","RM",IF(C316="RR","WIP",IF(C316="SKP","WIP",IF(C316="SLT","WIP",IF(C316="CTL","WIP",IF(C316="RM SLT RUST","RM SLT RUST",0)))))))))))))&amp;"-"&amp;G316&amp;"/"&amp;IF(H316="2B","2B",IF(H316="NO.1","1D",IF(H316="FH","FH",0)))&amp;"-"&amp;IF(J316="",(TEXT(I316,"0.00")),TEXT(J316,"0.00"))&amp;"X"&amp;M316</f>
        <v>RM-J3/1D-2.40X670</v>
      </c>
      <c r="C316" s="173" t="s">
        <v>48</v>
      </c>
      <c r="D316" s="173" t="s">
        <v>48</v>
      </c>
      <c r="E316" s="190" t="s">
        <v>1327</v>
      </c>
      <c r="F316" s="190" t="s">
        <v>1328</v>
      </c>
      <c r="G316" s="173" t="s">
        <v>34</v>
      </c>
      <c r="H316" s="173" t="s">
        <v>127</v>
      </c>
      <c r="I316" s="174">
        <v>2.4</v>
      </c>
      <c r="J316" s="174"/>
      <c r="K316" s="174"/>
      <c r="L316" s="174"/>
      <c r="M316" s="191">
        <v>670</v>
      </c>
      <c r="N316" s="176">
        <v>5.2629999999999999</v>
      </c>
      <c r="O316" s="176"/>
      <c r="P316" s="177"/>
      <c r="Q316" s="178"/>
      <c r="R316" s="179"/>
      <c r="S316" s="179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80"/>
      <c r="AE316" s="173" t="s">
        <v>69</v>
      </c>
      <c r="AF316" s="181" t="s">
        <v>248</v>
      </c>
      <c r="AG316" s="181" t="s">
        <v>1248</v>
      </c>
      <c r="AH316" s="181">
        <v>44770</v>
      </c>
      <c r="AI316" s="181">
        <v>44799</v>
      </c>
      <c r="AJ316" s="181"/>
      <c r="AK316" s="181">
        <f ca="1">TODAY()</f>
        <v>44958</v>
      </c>
      <c r="AL316" s="173">
        <f ca="1">IF(AI316&lt;&gt;0,AK316-AI316,0)</f>
        <v>159</v>
      </c>
      <c r="AM316" s="173" t="str">
        <f>IF(ISNUMBER(X316)=TRUE,AK316-X316,IF(X316="","",(AK316)-(MID(RIGHT(X316,10),4,2)&amp;"/"&amp;LEFT((RIGHT(X316,10)),2)&amp;"/"&amp;RIGHT(X316,4))))</f>
        <v/>
      </c>
      <c r="AN316" s="181" t="s">
        <v>1270</v>
      </c>
      <c r="AO316" s="190" t="s">
        <v>1322</v>
      </c>
      <c r="AP316" s="176">
        <v>5.2629999999999999</v>
      </c>
      <c r="AQ316" s="176">
        <v>5.3029999999999999</v>
      </c>
      <c r="AR316" s="176">
        <v>5.3280000000000003</v>
      </c>
      <c r="AS316" s="176">
        <v>5.3330000000000002</v>
      </c>
      <c r="AT316" s="173" t="str">
        <f>IF(ISNUMBER(U316)=TRUE,AK316-U316,IF(U316="","",(AK316)-(MID(RIGHT(U316,10),4,2)&amp;"/"&amp;LEFT((RIGHT(U316,10)),2)&amp;"/"&amp;RIGHT(U316,4))))</f>
        <v/>
      </c>
      <c r="AU316" s="173">
        <v>448</v>
      </c>
      <c r="AW316" s="142" t="s">
        <v>123</v>
      </c>
    </row>
    <row r="317" spans="2:49" s="142" customFormat="1" ht="21" customHeight="1" x14ac:dyDescent="0.25">
      <c r="B317" s="173" t="str">
        <f>IF(C317="HOLD RM","HOLD RM",IF(C317="BAL","WIP",IF(C317="HOLD SLT","HOLD SLT",IF(C317="MILL","RM",IF(C317="RE SLT","WIP",IF(C317="RM","RM",IF(C317="RM BAL","RM",IF(C317="RM SLT","RM",IF(C317="RR","WIP",IF(C317="SKP","WIP",IF(C317="SLT","WIP",IF(C317="CTL","WIP",IF(C317="RM SLT RUST","RM SLT RUST",0)))))))))))))&amp;"-"&amp;G317&amp;"/"&amp;IF(H317="2B","2B",IF(H317="NO.1","1D",IF(H317="FH","FH",0)))&amp;"-"&amp;IF(J317="",(TEXT(I317,"0.00")),TEXT(J317,"0.00"))&amp;"X"&amp;M317</f>
        <v>RM-J3/1D-2.40X670</v>
      </c>
      <c r="C317" s="173" t="s">
        <v>48</v>
      </c>
      <c r="D317" s="173" t="s">
        <v>48</v>
      </c>
      <c r="E317" s="190" t="s">
        <v>1329</v>
      </c>
      <c r="F317" s="190" t="s">
        <v>1330</v>
      </c>
      <c r="G317" s="173" t="s">
        <v>34</v>
      </c>
      <c r="H317" s="173" t="s">
        <v>127</v>
      </c>
      <c r="I317" s="174">
        <v>2.4</v>
      </c>
      <c r="J317" s="174"/>
      <c r="K317" s="174"/>
      <c r="L317" s="174"/>
      <c r="M317" s="191">
        <v>670</v>
      </c>
      <c r="N317" s="176">
        <v>5.2220000000000004</v>
      </c>
      <c r="O317" s="176"/>
      <c r="P317" s="177"/>
      <c r="Q317" s="178"/>
      <c r="R317" s="179"/>
      <c r="S317" s="179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80"/>
      <c r="AE317" s="173" t="s">
        <v>69</v>
      </c>
      <c r="AF317" s="181" t="s">
        <v>248</v>
      </c>
      <c r="AG317" s="181" t="s">
        <v>1248</v>
      </c>
      <c r="AH317" s="181">
        <v>44770</v>
      </c>
      <c r="AI317" s="181">
        <v>44799</v>
      </c>
      <c r="AJ317" s="181"/>
      <c r="AK317" s="181">
        <f ca="1">TODAY()</f>
        <v>44958</v>
      </c>
      <c r="AL317" s="173">
        <f ca="1">IF(AI317&lt;&gt;0,AK317-AI317,0)</f>
        <v>159</v>
      </c>
      <c r="AM317" s="173" t="str">
        <f>IF(ISNUMBER(X317)=TRUE,AK317-X317,IF(X317="","",(AK317)-(MID(RIGHT(X317,10),4,2)&amp;"/"&amp;LEFT((RIGHT(X317,10)),2)&amp;"/"&amp;RIGHT(X317,4))))</f>
        <v/>
      </c>
      <c r="AN317" s="181" t="s">
        <v>1284</v>
      </c>
      <c r="AO317" s="190" t="s">
        <v>1158</v>
      </c>
      <c r="AP317" s="176">
        <v>5.2220000000000004</v>
      </c>
      <c r="AQ317" s="176">
        <v>5.2620000000000005</v>
      </c>
      <c r="AR317" s="176">
        <v>5.2870000000000008</v>
      </c>
      <c r="AS317" s="176">
        <v>5.2920000000000007</v>
      </c>
      <c r="AT317" s="173" t="str">
        <f>IF(ISNUMBER(U317)=TRUE,AK317-U317,IF(U317="","",(AK317)-(MID(RIGHT(U317,10),4,2)&amp;"/"&amp;LEFT((RIGHT(U317,10)),2)&amp;"/"&amp;RIGHT(U317,4))))</f>
        <v/>
      </c>
      <c r="AU317" s="173">
        <v>448</v>
      </c>
      <c r="AW317" s="142" t="s">
        <v>123</v>
      </c>
    </row>
    <row r="318" spans="2:49" s="142" customFormat="1" ht="21" customHeight="1" x14ac:dyDescent="0.25">
      <c r="B318" s="173" t="str">
        <f>IF(C318="HOLD RM","HOLD RM",IF(C318="BAL","WIP",IF(C318="HOLD SLT","HOLD SLT",IF(C318="MILL","RM",IF(C318="RE SLT","WIP",IF(C318="RM","RM",IF(C318="RM BAL","RM",IF(C318="RM SLT","RM",IF(C318="RR","WIP",IF(C318="SKP","WIP",IF(C318="SLT","WIP",IF(C318="CTL","WIP",IF(C318="RM SLT RUST","RM SLT RUST",0)))))))))))))&amp;"-"&amp;G318&amp;"/"&amp;IF(H318="2B","2B",IF(H318="NO.1","1D",IF(H318="FH","FH",0)))&amp;"-"&amp;IF(J318="",(TEXT(I318,"0.00")),TEXT(J318,"0.00"))&amp;"X"&amp;M318</f>
        <v>WIP-J3/FH-1.90X678</v>
      </c>
      <c r="C318" s="173" t="s">
        <v>16</v>
      </c>
      <c r="D318" s="173" t="s">
        <v>16</v>
      </c>
      <c r="E318" s="190" t="s">
        <v>1331</v>
      </c>
      <c r="F318" s="190" t="s">
        <v>1332</v>
      </c>
      <c r="G318" s="173" t="s">
        <v>34</v>
      </c>
      <c r="H318" s="173" t="s">
        <v>70</v>
      </c>
      <c r="I318" s="174">
        <v>3.5</v>
      </c>
      <c r="J318" s="174">
        <v>1.9</v>
      </c>
      <c r="K318" s="174"/>
      <c r="L318" s="174"/>
      <c r="M318" s="191">
        <v>678</v>
      </c>
      <c r="N318" s="176">
        <f>5.385-4.64</f>
        <v>0.74500000000000011</v>
      </c>
      <c r="O318" s="176" t="s">
        <v>114</v>
      </c>
      <c r="P318" s="177"/>
      <c r="Q318" s="178" t="s">
        <v>361</v>
      </c>
      <c r="R318" s="179"/>
      <c r="S318" s="179"/>
      <c r="T318" s="177">
        <v>44802</v>
      </c>
      <c r="U318" s="177"/>
      <c r="V318" s="177">
        <v>44803</v>
      </c>
      <c r="W318" s="177"/>
      <c r="X318" s="177"/>
      <c r="Y318" s="177"/>
      <c r="Z318" s="177">
        <v>44802</v>
      </c>
      <c r="AA318" s="177"/>
      <c r="AB318" s="177"/>
      <c r="AC318" s="177"/>
      <c r="AD318" s="180"/>
      <c r="AE318" s="173" t="s">
        <v>69</v>
      </c>
      <c r="AF318" s="181" t="s">
        <v>119</v>
      </c>
      <c r="AG318" s="181" t="s">
        <v>1333</v>
      </c>
      <c r="AH318" s="181">
        <v>44778</v>
      </c>
      <c r="AI318" s="181">
        <v>44801</v>
      </c>
      <c r="AJ318" s="181"/>
      <c r="AK318" s="181">
        <f ca="1">TODAY()</f>
        <v>44958</v>
      </c>
      <c r="AL318" s="173">
        <f ca="1">IF(AI318&lt;&gt;0,AK318-AI318,0)</f>
        <v>157</v>
      </c>
      <c r="AM318" s="173" t="str">
        <f>IF(ISNUMBER(X318)=TRUE,AK318-X318,IF(X318="","",(AK318)-(MID(RIGHT(X318,10),4,2)&amp;"/"&amp;LEFT((RIGHT(X318,10)),2)&amp;"/"&amp;RIGHT(X318,4))))</f>
        <v/>
      </c>
      <c r="AN318" s="181" t="s">
        <v>1334</v>
      </c>
      <c r="AO318" s="190" t="s">
        <v>1335</v>
      </c>
      <c r="AP318" s="176">
        <v>9.93</v>
      </c>
      <c r="AQ318" s="176">
        <v>9.9550000000000001</v>
      </c>
      <c r="AR318" s="176">
        <v>9.9799999999999986</v>
      </c>
      <c r="AS318" s="176">
        <v>9.9849999999999994</v>
      </c>
      <c r="AT318" s="173" t="str">
        <f>IF(ISNUMBER(U318)=TRUE,AK318-U318,IF(U318="","",(AK318)-(MID(RIGHT(U318,10),4,2)&amp;"/"&amp;LEFT((RIGHT(U318,10)),2)&amp;"/"&amp;RIGHT(U318,4))))</f>
        <v/>
      </c>
      <c r="AU318" s="173">
        <v>449</v>
      </c>
      <c r="AW318" s="142" t="s">
        <v>123</v>
      </c>
    </row>
    <row r="319" spans="2:49" s="142" customFormat="1" ht="21" customHeight="1" x14ac:dyDescent="0.25">
      <c r="B319" s="173" t="str">
        <f>IF(C319="HOLD RM","HOLD RM",IF(C319="BAL","WIP",IF(C319="HOLD SLT","HOLD SLT",IF(C319="MILL","RM",IF(C319="RE SLT","WIP",IF(C319="RM","RM",IF(C319="RM BAL","RM",IF(C319="RM SLT","RM",IF(C319="RR","WIP",IF(C319="SKP","WIP",IF(C319="SLT","WIP",IF(C319="CTL","WIP",IF(C319="RM SLT RUST","RM SLT RUST",0)))))))))))))&amp;"-"&amp;G319&amp;"/"&amp;IF(H319="2B","2B",IF(H319="NO.1","1D",IF(H319="FH","FH",0)))&amp;"-"&amp;IF(J319="",(TEXT(I319,"0.00")),TEXT(J319,"0.00"))&amp;"X"&amp;M319</f>
        <v>RM-J3/1D-3.50X1240</v>
      </c>
      <c r="C319" s="173" t="s">
        <v>48</v>
      </c>
      <c r="D319" s="173" t="s">
        <v>48</v>
      </c>
      <c r="E319" s="190" t="s">
        <v>1336</v>
      </c>
      <c r="F319" s="190" t="s">
        <v>1337</v>
      </c>
      <c r="G319" s="173" t="s">
        <v>34</v>
      </c>
      <c r="H319" s="173" t="s">
        <v>127</v>
      </c>
      <c r="I319" s="174">
        <v>3.5</v>
      </c>
      <c r="J319" s="174"/>
      <c r="K319" s="174"/>
      <c r="L319" s="174"/>
      <c r="M319" s="191">
        <v>1240</v>
      </c>
      <c r="N319" s="176">
        <v>10.039999999999999</v>
      </c>
      <c r="O319" s="176"/>
      <c r="P319" s="177"/>
      <c r="Q319" s="178"/>
      <c r="R319" s="179"/>
      <c r="S319" s="179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80"/>
      <c r="AE319" s="173" t="s">
        <v>69</v>
      </c>
      <c r="AF319" s="181" t="s">
        <v>119</v>
      </c>
      <c r="AG319" s="181" t="s">
        <v>1333</v>
      </c>
      <c r="AH319" s="181">
        <v>44778</v>
      </c>
      <c r="AI319" s="181">
        <v>44801</v>
      </c>
      <c r="AJ319" s="181"/>
      <c r="AK319" s="181">
        <f ca="1">TODAY()</f>
        <v>44958</v>
      </c>
      <c r="AL319" s="173">
        <f ca="1">IF(AI319&lt;&gt;0,AK319-AI319,0)</f>
        <v>157</v>
      </c>
      <c r="AM319" s="173" t="str">
        <f>IF(ISNUMBER(X319)=TRUE,AK319-X319,IF(X319="","",(AK319)-(MID(RIGHT(X319,10),4,2)&amp;"/"&amp;LEFT((RIGHT(X319,10)),2)&amp;"/"&amp;RIGHT(X319,4))))</f>
        <v/>
      </c>
      <c r="AN319" s="181" t="s">
        <v>1334</v>
      </c>
      <c r="AO319" s="190" t="s">
        <v>1338</v>
      </c>
      <c r="AP319" s="176">
        <v>10.039999999999999</v>
      </c>
      <c r="AQ319" s="176">
        <v>10.065</v>
      </c>
      <c r="AR319" s="176">
        <v>10.089999999999998</v>
      </c>
      <c r="AS319" s="176">
        <v>10.094999999999999</v>
      </c>
      <c r="AT319" s="173" t="str">
        <f>IF(ISNUMBER(U319)=TRUE,AK319-U319,IF(U319="","",(AK319)-(MID(RIGHT(U319,10),4,2)&amp;"/"&amp;LEFT((RIGHT(U319,10)),2)&amp;"/"&amp;RIGHT(U319,4))))</f>
        <v/>
      </c>
      <c r="AU319" s="173">
        <v>449</v>
      </c>
      <c r="AW319" s="142" t="s">
        <v>123</v>
      </c>
    </row>
    <row r="320" spans="2:49" s="142" customFormat="1" ht="21" customHeight="1" x14ac:dyDescent="0.25">
      <c r="B320" s="173" t="str">
        <f>IF(C320="HOLD RM","HOLD RM",IF(C320="BAL","WIP",IF(C320="HOLD SLT","HOLD SLT",IF(C320="MILL","RM",IF(C320="RE SLT","WIP",IF(C320="RM","RM",IF(C320="RM BAL","RM",IF(C320="RM SLT","RM",IF(C320="RR","WIP",IF(C320="SKP","WIP",IF(C320="SLT","WIP",IF(C320="CTL","WIP",IF(C320="RM SLT RUST","RM SLT RUST",0)))))))))))))&amp;"-"&amp;G320&amp;"/"&amp;IF(H320="2B","2B",IF(H320="NO.1","1D",IF(H320="FH","FH",0)))&amp;"-"&amp;IF(J320="",(TEXT(I320,"0.00")),TEXT(J320,"0.00"))&amp;"X"&amp;M320</f>
        <v>RM-J3/1D-3.50X1240</v>
      </c>
      <c r="C320" s="173" t="s">
        <v>48</v>
      </c>
      <c r="D320" s="173" t="s">
        <v>48</v>
      </c>
      <c r="E320" s="190" t="s">
        <v>1339</v>
      </c>
      <c r="F320" s="190" t="s">
        <v>1340</v>
      </c>
      <c r="G320" s="173" t="s">
        <v>34</v>
      </c>
      <c r="H320" s="173" t="s">
        <v>127</v>
      </c>
      <c r="I320" s="174">
        <v>3.5</v>
      </c>
      <c r="J320" s="174"/>
      <c r="K320" s="174"/>
      <c r="L320" s="174"/>
      <c r="M320" s="191">
        <v>1240</v>
      </c>
      <c r="N320" s="176">
        <v>9.9</v>
      </c>
      <c r="O320" s="176"/>
      <c r="P320" s="177"/>
      <c r="Q320" s="178"/>
      <c r="R320" s="179"/>
      <c r="S320" s="179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80"/>
      <c r="AE320" s="173" t="s">
        <v>69</v>
      </c>
      <c r="AF320" s="181" t="s">
        <v>119</v>
      </c>
      <c r="AG320" s="181" t="s">
        <v>1333</v>
      </c>
      <c r="AH320" s="181">
        <v>44778</v>
      </c>
      <c r="AI320" s="181">
        <v>44801</v>
      </c>
      <c r="AJ320" s="181"/>
      <c r="AK320" s="181">
        <f ca="1">TODAY()</f>
        <v>44958</v>
      </c>
      <c r="AL320" s="173">
        <f ca="1">IF(AI320&lt;&gt;0,AK320-AI320,0)</f>
        <v>157</v>
      </c>
      <c r="AM320" s="173" t="str">
        <f>IF(ISNUMBER(X320)=TRUE,AK320-X320,IF(X320="","",(AK320)-(MID(RIGHT(X320,10),4,2)&amp;"/"&amp;LEFT((RIGHT(X320,10)),2)&amp;"/"&amp;RIGHT(X320,4))))</f>
        <v/>
      </c>
      <c r="AN320" s="181" t="s">
        <v>1341</v>
      </c>
      <c r="AO320" s="190" t="s">
        <v>1338</v>
      </c>
      <c r="AP320" s="176">
        <v>9.9</v>
      </c>
      <c r="AQ320" s="176">
        <v>9.9250000000000007</v>
      </c>
      <c r="AR320" s="176">
        <v>9.9499999999999993</v>
      </c>
      <c r="AS320" s="176">
        <v>9.9550000000000001</v>
      </c>
      <c r="AT320" s="173" t="str">
        <f>IF(ISNUMBER(U320)=TRUE,AK320-U320,IF(U320="","",(AK320)-(MID(RIGHT(U320,10),4,2)&amp;"/"&amp;LEFT((RIGHT(U320,10)),2)&amp;"/"&amp;RIGHT(U320,4))))</f>
        <v/>
      </c>
      <c r="AU320" s="173">
        <v>449</v>
      </c>
      <c r="AW320" s="142" t="s">
        <v>123</v>
      </c>
    </row>
    <row r="321" spans="2:50" s="142" customFormat="1" ht="21" customHeight="1" x14ac:dyDescent="0.25">
      <c r="B321" s="173" t="str">
        <f>IF(C321="HOLD RM","HOLD RM",IF(C321="BAL","WIP",IF(C321="HOLD SLT","HOLD SLT",IF(C321="MILL","RM",IF(C321="RE SLT","WIP",IF(C321="RM","RM",IF(C321="RM BAL","RM",IF(C321="RM SLT","RM",IF(C321="RR","WIP",IF(C321="SKP","WIP",IF(C321="SLT","WIP",IF(C321="CTL","WIP",IF(C321="RM SLT RUST","RM SLT RUST",0)))))))))))))&amp;"-"&amp;G321&amp;"/"&amp;IF(H321="2B","2B",IF(H321="NO.1","1D",IF(H321="FH","FH",0)))&amp;"-"&amp;IF(J321="",(TEXT(I321,"0.00")),TEXT(J321,"0.00"))&amp;"X"&amp;M321</f>
        <v>WIP-304/2B-0.80X777</v>
      </c>
      <c r="C321" s="173" t="s">
        <v>18</v>
      </c>
      <c r="D321" s="173" t="s">
        <v>836</v>
      </c>
      <c r="E321" s="190" t="s">
        <v>1342</v>
      </c>
      <c r="F321" s="190" t="s">
        <v>1343</v>
      </c>
      <c r="G321" s="173">
        <v>304</v>
      </c>
      <c r="H321" s="173" t="s">
        <v>114</v>
      </c>
      <c r="I321" s="174">
        <v>2.94</v>
      </c>
      <c r="J321" s="174">
        <v>0.8</v>
      </c>
      <c r="K321" s="174">
        <v>0.8</v>
      </c>
      <c r="L321" s="174">
        <v>0.82</v>
      </c>
      <c r="M321" s="191">
        <v>777</v>
      </c>
      <c r="N321" s="176">
        <v>4.7850000000000001</v>
      </c>
      <c r="O321" s="176" t="s">
        <v>114</v>
      </c>
      <c r="P321" s="177"/>
      <c r="Q321" s="178" t="s">
        <v>1344</v>
      </c>
      <c r="R321" s="178"/>
      <c r="S321" s="179"/>
      <c r="T321" s="177">
        <v>44929</v>
      </c>
      <c r="U321" s="177"/>
      <c r="V321" s="177">
        <v>44929</v>
      </c>
      <c r="W321" s="177"/>
      <c r="X321" s="177">
        <v>44936</v>
      </c>
      <c r="Y321" s="177"/>
      <c r="Z321" s="177"/>
      <c r="AA321" s="177">
        <v>44928</v>
      </c>
      <c r="AB321" s="177"/>
      <c r="AC321" s="177"/>
      <c r="AD321" s="180" t="s">
        <v>1345</v>
      </c>
      <c r="AE321" s="173" t="s">
        <v>69</v>
      </c>
      <c r="AF321" s="181" t="s">
        <v>142</v>
      </c>
      <c r="AG321" s="181" t="s">
        <v>1346</v>
      </c>
      <c r="AH321" s="181"/>
      <c r="AI321" s="181">
        <v>44813</v>
      </c>
      <c r="AJ321" s="181"/>
      <c r="AK321" s="181">
        <f ca="1">TODAY()</f>
        <v>44958</v>
      </c>
      <c r="AL321" s="173">
        <f ca="1">IF(AI321&lt;&gt;0,AK321-AI321,0)</f>
        <v>145</v>
      </c>
      <c r="AM321" s="173">
        <f ca="1">IF(ISNUMBER(X321)=TRUE,AK321-X321,IF(X321="","",(AK321)-(MID(RIGHT(X321,10),4,2)&amp;"/"&amp;LEFT((RIGHT(X321,10)),2)&amp;"/"&amp;RIGHT(X321,4))))</f>
        <v>22</v>
      </c>
      <c r="AN321" s="181"/>
      <c r="AO321" s="190" t="s">
        <v>1347</v>
      </c>
      <c r="AP321" s="176">
        <v>21.414999999999999</v>
      </c>
      <c r="AQ321" s="176">
        <v>21.475000000000001</v>
      </c>
      <c r="AR321" s="176">
        <v>21.500000000000004</v>
      </c>
      <c r="AS321" s="176">
        <v>21.505000000000003</v>
      </c>
      <c r="AT321" s="173" t="str">
        <f>IF(ISNUMBER(U321)=TRUE,AK321-U321,IF(U321="","",(AK321)-(MID(RIGHT(U321,10),4,2)&amp;"/"&amp;LEFT((RIGHT(U321,10)),2)&amp;"/"&amp;RIGHT(U321,4))))</f>
        <v/>
      </c>
      <c r="AU321" s="173">
        <v>451</v>
      </c>
      <c r="AW321" s="142" t="s">
        <v>123</v>
      </c>
    </row>
    <row r="322" spans="2:50" s="142" customFormat="1" ht="21" customHeight="1" x14ac:dyDescent="0.25">
      <c r="B322" s="173" t="str">
        <f>IF(C322="HOLD RM","HOLD RM",IF(C322="BAL","WIP",IF(C322="HOLD SLT","HOLD SLT",IF(C322="MILL","RM",IF(C322="RE SLT","WIP",IF(C322="RM","RM",IF(C322="RM BAL","RM",IF(C322="RM SLT","RM",IF(C322="RR","WIP",IF(C322="SKP","WIP",IF(C322="SLT","WIP",IF(C322="CTL","WIP",IF(C322="RM SLT RUST","RM SLT RUST",0)))))))))))))&amp;"-"&amp;G322&amp;"/"&amp;IF(H322="2B","2B",IF(H322="NO.1","1D",IF(H322="FH","FH",0)))&amp;"-"&amp;IF(J322="",(TEXT(I322,"0.00")),TEXT(J322,"0.00"))&amp;"X"&amp;M322</f>
        <v>WIP-304/2B-0.80X777</v>
      </c>
      <c r="C322" s="173" t="s">
        <v>775</v>
      </c>
      <c r="D322" s="173" t="s">
        <v>776</v>
      </c>
      <c r="E322" s="190" t="s">
        <v>1342</v>
      </c>
      <c r="F322" s="190" t="s">
        <v>1348</v>
      </c>
      <c r="G322" s="173">
        <v>304</v>
      </c>
      <c r="H322" s="173" t="s">
        <v>114</v>
      </c>
      <c r="I322" s="174">
        <v>2.94</v>
      </c>
      <c r="J322" s="174">
        <v>0.8</v>
      </c>
      <c r="K322" s="174">
        <v>0.8</v>
      </c>
      <c r="L322" s="174">
        <v>0.82</v>
      </c>
      <c r="M322" s="191">
        <v>777</v>
      </c>
      <c r="N322" s="176">
        <v>5.86</v>
      </c>
      <c r="O322" s="176" t="s">
        <v>114</v>
      </c>
      <c r="P322" s="177"/>
      <c r="Q322" s="178" t="s">
        <v>314</v>
      </c>
      <c r="R322" s="178" t="s">
        <v>1344</v>
      </c>
      <c r="S322" s="179"/>
      <c r="T322" s="177">
        <v>44929</v>
      </c>
      <c r="U322" s="177"/>
      <c r="V322" s="177">
        <v>44929</v>
      </c>
      <c r="W322" s="177"/>
      <c r="X322" s="177">
        <v>44937</v>
      </c>
      <c r="Y322" s="177"/>
      <c r="Z322" s="177">
        <v>44937</v>
      </c>
      <c r="AA322" s="177">
        <v>44928</v>
      </c>
      <c r="AB322" s="177"/>
      <c r="AC322" s="177"/>
      <c r="AD322" s="180" t="s">
        <v>1345</v>
      </c>
      <c r="AE322" s="173" t="s">
        <v>69</v>
      </c>
      <c r="AF322" s="181" t="s">
        <v>142</v>
      </c>
      <c r="AG322" s="181" t="s">
        <v>1346</v>
      </c>
      <c r="AH322" s="181"/>
      <c r="AI322" s="181">
        <v>44813</v>
      </c>
      <c r="AJ322" s="181"/>
      <c r="AK322" s="181">
        <f ca="1">TODAY()</f>
        <v>44958</v>
      </c>
      <c r="AL322" s="173">
        <f ca="1">IF(AI322&lt;&gt;0,AK322-AI322,0)</f>
        <v>145</v>
      </c>
      <c r="AM322" s="173">
        <f ca="1">IF(ISNUMBER(X322)=TRUE,AK322-X322,IF(X322="","",(AK322)-(MID(RIGHT(X322,10),4,2)&amp;"/"&amp;LEFT((RIGHT(X322,10)),2)&amp;"/"&amp;RIGHT(X322,4))))</f>
        <v>21</v>
      </c>
      <c r="AN322" s="181"/>
      <c r="AO322" s="190" t="s">
        <v>1347</v>
      </c>
      <c r="AP322" s="176">
        <v>21.414999999999999</v>
      </c>
      <c r="AQ322" s="176">
        <v>21.475000000000001</v>
      </c>
      <c r="AR322" s="176">
        <v>21.500000000000004</v>
      </c>
      <c r="AS322" s="176">
        <v>21.505000000000003</v>
      </c>
      <c r="AT322" s="173" t="str">
        <f>IF(ISNUMBER(U322)=TRUE,AK322-U322,IF(U322="","",(AK322)-(MID(RIGHT(U322,10),4,2)&amp;"/"&amp;LEFT((RIGHT(U322,10)),2)&amp;"/"&amp;RIGHT(U322,4))))</f>
        <v/>
      </c>
      <c r="AU322" s="173">
        <v>451</v>
      </c>
      <c r="AW322" s="142" t="s">
        <v>123</v>
      </c>
    </row>
    <row r="323" spans="2:50" s="142" customFormat="1" ht="21" customHeight="1" x14ac:dyDescent="0.25">
      <c r="B323" s="173" t="str">
        <f>IF(C323="HOLD RM","HOLD RM",IF(C323="BAL","WIP",IF(C323="HOLD SLT","HOLD SLT",IF(C323="MILL","RM",IF(C323="RE SLT","WIP",IF(C323="RM","RM",IF(C323="RM BAL","RM",IF(C323="RM SLT","RM",IF(C323="RR","WIP",IF(C323="SKP","WIP",IF(C323="SLT","WIP",IF(C323="CTL","WIP",IF(C323="RM SLT RUST","RM SLT RUST",0)))))))))))))&amp;"-"&amp;G323&amp;"/"&amp;IF(H323="2B","2B",IF(H323="NO.1","1D",IF(H323="FH","FH",0)))&amp;"-"&amp;IF(J323="",(TEXT(I323,"0.00")),TEXT(J323,"0.00"))&amp;"X"&amp;M323</f>
        <v>WIP-304/2B-0.90X777</v>
      </c>
      <c r="C323" s="173" t="s">
        <v>775</v>
      </c>
      <c r="D323" s="173" t="s">
        <v>776</v>
      </c>
      <c r="E323" s="190" t="s">
        <v>1342</v>
      </c>
      <c r="F323" s="190" t="s">
        <v>1349</v>
      </c>
      <c r="G323" s="173">
        <v>304</v>
      </c>
      <c r="H323" s="173" t="s">
        <v>114</v>
      </c>
      <c r="I323" s="174">
        <v>2.94</v>
      </c>
      <c r="J323" s="174">
        <v>0.9</v>
      </c>
      <c r="K323" s="174">
        <v>0.88</v>
      </c>
      <c r="L323" s="174">
        <v>0.91</v>
      </c>
      <c r="M323" s="191">
        <v>777</v>
      </c>
      <c r="N323" s="176">
        <v>10.63</v>
      </c>
      <c r="O323" s="176" t="s">
        <v>114</v>
      </c>
      <c r="P323" s="177"/>
      <c r="Q323" s="178" t="s">
        <v>314</v>
      </c>
      <c r="R323" s="178" t="s">
        <v>1210</v>
      </c>
      <c r="S323" s="179" t="s">
        <v>1350</v>
      </c>
      <c r="T323" s="177">
        <v>44933</v>
      </c>
      <c r="U323" s="177"/>
      <c r="V323" s="177">
        <v>44934</v>
      </c>
      <c r="W323" s="177"/>
      <c r="X323" s="177"/>
      <c r="Y323" s="177">
        <v>44951</v>
      </c>
      <c r="Z323" s="177"/>
      <c r="AA323" s="177" t="s">
        <v>1351</v>
      </c>
      <c r="AB323" s="177"/>
      <c r="AC323" s="177"/>
      <c r="AD323" s="180" t="s">
        <v>1345</v>
      </c>
      <c r="AE323" s="173" t="s">
        <v>69</v>
      </c>
      <c r="AF323" s="181" t="s">
        <v>142</v>
      </c>
      <c r="AG323" s="181" t="s">
        <v>1346</v>
      </c>
      <c r="AH323" s="181"/>
      <c r="AI323" s="181">
        <v>44813</v>
      </c>
      <c r="AJ323" s="181"/>
      <c r="AK323" s="181">
        <f ca="1">TODAY()</f>
        <v>44958</v>
      </c>
      <c r="AL323" s="173">
        <f ca="1">IF(AI323&lt;&gt;0,AK323-AI323,0)</f>
        <v>145</v>
      </c>
      <c r="AM323" s="173" t="str">
        <f>IF(ISNUMBER(X323)=TRUE,AK323-X323,IF(X323="","",(AK323)-(MID(RIGHT(X323,10),4,2)&amp;"/"&amp;LEFT((RIGHT(X323,10)),2)&amp;"/"&amp;RIGHT(X323,4))))</f>
        <v/>
      </c>
      <c r="AN323" s="181"/>
      <c r="AO323" s="190" t="s">
        <v>1347</v>
      </c>
      <c r="AP323" s="176">
        <v>21.414999999999999</v>
      </c>
      <c r="AQ323" s="176">
        <v>21.475000000000001</v>
      </c>
      <c r="AR323" s="176">
        <v>21.500000000000004</v>
      </c>
      <c r="AS323" s="176">
        <v>21.505000000000003</v>
      </c>
      <c r="AT323" s="173" t="str">
        <f>IF(ISNUMBER(U323)=TRUE,AK323-U323,IF(U323="","",(AK323)-(MID(RIGHT(U323,10),4,2)&amp;"/"&amp;LEFT((RIGHT(U323,10)),2)&amp;"/"&amp;RIGHT(U323,4))))</f>
        <v/>
      </c>
      <c r="AU323" s="173">
        <v>451</v>
      </c>
      <c r="AW323" s="142" t="s">
        <v>123</v>
      </c>
    </row>
    <row r="324" spans="2:50" s="142" customFormat="1" ht="21" customHeight="1" x14ac:dyDescent="0.25">
      <c r="B324" s="173" t="str">
        <f>IF(C324="HOLD RM","HOLD RM",IF(C324="BAL","WIP",IF(C324="HOLD SLT","HOLD SLT",IF(C324="MILL","RM",IF(C324="RE SLT","WIP",IF(C324="RM","RM",IF(C324="RM BAL","RM",IF(C324="RM SLT","RM",IF(C324="RR","WIP",IF(C324="SKP","WIP",IF(C324="SLT","WIP",IF(C324="CTL","WIP",IF(C324="RM SLT RUST","RM SLT RUST",0)))))))))))))&amp;"-"&amp;G324&amp;"/"&amp;IF(H324="2B","2B",IF(H324="NO.1","1D",IF(H324="FH","FH",0)))&amp;"-"&amp;IF(J324="",(TEXT(I324,"0.00")),TEXT(J324,"0.00"))&amp;"X"&amp;M324</f>
        <v>RM-304/1D-2.50X1257</v>
      </c>
      <c r="C324" s="173" t="s">
        <v>48</v>
      </c>
      <c r="D324" s="173" t="s">
        <v>48</v>
      </c>
      <c r="E324" s="190" t="s">
        <v>1352</v>
      </c>
      <c r="F324" s="190" t="s">
        <v>1353</v>
      </c>
      <c r="G324" s="173">
        <v>304</v>
      </c>
      <c r="H324" s="173" t="s">
        <v>127</v>
      </c>
      <c r="I324" s="174">
        <v>2.5</v>
      </c>
      <c r="J324" s="174"/>
      <c r="K324" s="174"/>
      <c r="L324" s="174"/>
      <c r="M324" s="191">
        <v>1257</v>
      </c>
      <c r="N324" s="176">
        <v>21.605</v>
      </c>
      <c r="O324" s="176"/>
      <c r="P324" s="177"/>
      <c r="Q324" s="178"/>
      <c r="R324" s="179"/>
      <c r="S324" s="179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80" t="s">
        <v>1354</v>
      </c>
      <c r="AE324" s="173" t="s">
        <v>69</v>
      </c>
      <c r="AF324" s="181" t="s">
        <v>142</v>
      </c>
      <c r="AG324" s="181" t="s">
        <v>1346</v>
      </c>
      <c r="AH324" s="181"/>
      <c r="AI324" s="181">
        <v>44813</v>
      </c>
      <c r="AJ324" s="181"/>
      <c r="AK324" s="181">
        <f ca="1">TODAY()</f>
        <v>44958</v>
      </c>
      <c r="AL324" s="173">
        <f ca="1">IF(AI324&lt;&gt;0,AK324-AI324,0)</f>
        <v>145</v>
      </c>
      <c r="AM324" s="173" t="str">
        <f>IF(ISNUMBER(X324)=TRUE,AK324-X324,IF(X324="","",(AK324)-(MID(RIGHT(X324,10),4,2)&amp;"/"&amp;LEFT((RIGHT(X324,10)),2)&amp;"/"&amp;RIGHT(X324,4))))</f>
        <v/>
      </c>
      <c r="AN324" s="181"/>
      <c r="AO324" s="190" t="s">
        <v>1355</v>
      </c>
      <c r="AP324" s="176">
        <v>21.605</v>
      </c>
      <c r="AQ324" s="176">
        <v>21.66</v>
      </c>
      <c r="AR324" s="176">
        <v>21.685000000000002</v>
      </c>
      <c r="AS324" s="176">
        <v>21.69</v>
      </c>
      <c r="AT324" s="173" t="str">
        <f>IF(ISNUMBER(U324)=TRUE,AK324-U324,IF(U324="","",(AK324)-(MID(RIGHT(U324,10),4,2)&amp;"/"&amp;LEFT((RIGHT(U324,10)),2)&amp;"/"&amp;RIGHT(U324,4))))</f>
        <v/>
      </c>
      <c r="AU324" s="173">
        <v>451</v>
      </c>
      <c r="AW324" s="142" t="s">
        <v>123</v>
      </c>
    </row>
    <row r="325" spans="2:50" s="142" customFormat="1" ht="21" customHeight="1" x14ac:dyDescent="0.25">
      <c r="B325" s="173" t="str">
        <f>IF(C325="HOLD RM","HOLD RM",IF(C325="BAL","WIP",IF(C325="HOLD SLT","HOLD SLT",IF(C325="MILL","RM",IF(C325="RE SLT","WIP",IF(C325="RM","RM",IF(C325="RM BAL","RM",IF(C325="RM SLT","RM",IF(C325="RR","WIP",IF(C325="SKP","WIP",IF(C325="SLT","WIP",IF(C325="CTL","WIP",IF(C325="RM SLT RUST","RM SLT RUST",0)))))))))))))&amp;"-"&amp;G325&amp;"/"&amp;IF(H325="2B","2B",IF(H325="NO.1","1D",IF(H325="FH","FH",0)))&amp;"-"&amp;IF(J325="",(TEXT(I325,"0.00")),TEXT(J325,"0.00"))&amp;"X"&amp;M325</f>
        <v>RM-304/1D-2.51X1256</v>
      </c>
      <c r="C325" s="173" t="s">
        <v>48</v>
      </c>
      <c r="D325" s="173" t="s">
        <v>48</v>
      </c>
      <c r="E325" s="190" t="s">
        <v>1356</v>
      </c>
      <c r="F325" s="190" t="s">
        <v>1357</v>
      </c>
      <c r="G325" s="173">
        <v>304</v>
      </c>
      <c r="H325" s="173" t="s">
        <v>127</v>
      </c>
      <c r="I325" s="174">
        <v>2.5099999999999998</v>
      </c>
      <c r="J325" s="174"/>
      <c r="K325" s="174"/>
      <c r="L325" s="174"/>
      <c r="M325" s="191">
        <v>1256</v>
      </c>
      <c r="N325" s="176">
        <v>21.59</v>
      </c>
      <c r="O325" s="176"/>
      <c r="P325" s="177"/>
      <c r="Q325" s="178"/>
      <c r="R325" s="179"/>
      <c r="S325" s="179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80" t="s">
        <v>1354</v>
      </c>
      <c r="AE325" s="173" t="s">
        <v>69</v>
      </c>
      <c r="AF325" s="181" t="s">
        <v>142</v>
      </c>
      <c r="AG325" s="181" t="s">
        <v>1346</v>
      </c>
      <c r="AH325" s="181"/>
      <c r="AI325" s="181">
        <v>44813</v>
      </c>
      <c r="AJ325" s="181"/>
      <c r="AK325" s="181">
        <f ca="1">TODAY()</f>
        <v>44958</v>
      </c>
      <c r="AL325" s="173">
        <f ca="1">IF(AI325&lt;&gt;0,AK325-AI325,0)</f>
        <v>145</v>
      </c>
      <c r="AM325" s="173" t="str">
        <f>IF(ISNUMBER(X325)=TRUE,AK325-X325,IF(X325="","",(AK325)-(MID(RIGHT(X325,10),4,2)&amp;"/"&amp;LEFT((RIGHT(X325,10)),2)&amp;"/"&amp;RIGHT(X325,4))))</f>
        <v/>
      </c>
      <c r="AN325" s="181"/>
      <c r="AO325" s="190" t="s">
        <v>1358</v>
      </c>
      <c r="AP325" s="176">
        <v>21.59</v>
      </c>
      <c r="AQ325" s="176">
        <v>21.645</v>
      </c>
      <c r="AR325" s="176">
        <v>21.67</v>
      </c>
      <c r="AS325" s="176">
        <v>21.675000000000001</v>
      </c>
      <c r="AT325" s="173" t="str">
        <f>IF(ISNUMBER(U325)=TRUE,AK325-U325,IF(U325="","",(AK325)-(MID(RIGHT(U325,10),4,2)&amp;"/"&amp;LEFT((RIGHT(U325,10)),2)&amp;"/"&amp;RIGHT(U325,4))))</f>
        <v/>
      </c>
      <c r="AU325" s="173">
        <v>451</v>
      </c>
      <c r="AW325" s="142" t="s">
        <v>123</v>
      </c>
    </row>
    <row r="326" spans="2:50" s="142" customFormat="1" ht="21" customHeight="1" x14ac:dyDescent="0.25">
      <c r="B326" s="173" t="str">
        <f>IF(C326="HOLD RM","HOLD RM",IF(C326="BAL","WIP",IF(C326="HOLD SLT","HOLD SLT",IF(C326="MILL","RM",IF(C326="RE SLT","WIP",IF(C326="RM","RM",IF(C326="RM BAL","RM",IF(C326="RM SLT","RM",IF(C326="RR","WIP",IF(C326="SKP","WIP",IF(C326="SLT","WIP",IF(C326="CTL","WIP",IF(C326="RM SLT RUST","RM SLT RUST",0)))))))))))))&amp;"-"&amp;G326&amp;"/"&amp;IF(H326="2B","2B",IF(H326="NO.1","1D",IF(H326="FH","FH",0)))&amp;"-"&amp;IF(J326="",(TEXT(I326,"0.00")),TEXT(J326,"0.00"))&amp;"X"&amp;M326</f>
        <v>RM-304/1D-2.49X1257</v>
      </c>
      <c r="C326" s="173" t="s">
        <v>48</v>
      </c>
      <c r="D326" s="173" t="s">
        <v>48</v>
      </c>
      <c r="E326" s="190" t="s">
        <v>1359</v>
      </c>
      <c r="F326" s="190" t="s">
        <v>1360</v>
      </c>
      <c r="G326" s="173">
        <v>304</v>
      </c>
      <c r="H326" s="173" t="s">
        <v>127</v>
      </c>
      <c r="I326" s="174">
        <v>2.4900000000000002</v>
      </c>
      <c r="J326" s="174"/>
      <c r="K326" s="174"/>
      <c r="L326" s="174"/>
      <c r="M326" s="191">
        <v>1257</v>
      </c>
      <c r="N326" s="176">
        <v>21.295000000000002</v>
      </c>
      <c r="O326" s="176"/>
      <c r="P326" s="177"/>
      <c r="Q326" s="178"/>
      <c r="R326" s="179"/>
      <c r="S326" s="179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80" t="s">
        <v>1354</v>
      </c>
      <c r="AE326" s="173" t="s">
        <v>69</v>
      </c>
      <c r="AF326" s="181" t="s">
        <v>142</v>
      </c>
      <c r="AG326" s="181" t="s">
        <v>1346</v>
      </c>
      <c r="AH326" s="181"/>
      <c r="AI326" s="181">
        <v>44813</v>
      </c>
      <c r="AJ326" s="181"/>
      <c r="AK326" s="181">
        <f ca="1">TODAY()</f>
        <v>44958</v>
      </c>
      <c r="AL326" s="173">
        <f ca="1">IF(AI326&lt;&gt;0,AK326-AI326,0)</f>
        <v>145</v>
      </c>
      <c r="AM326" s="173" t="str">
        <f>IF(ISNUMBER(X326)=TRUE,AK326-X326,IF(X326="","",(AK326)-(MID(RIGHT(X326,10),4,2)&amp;"/"&amp;LEFT((RIGHT(X326,10)),2)&amp;"/"&amp;RIGHT(X326,4))))</f>
        <v/>
      </c>
      <c r="AN326" s="181"/>
      <c r="AO326" s="190" t="s">
        <v>1361</v>
      </c>
      <c r="AP326" s="176">
        <v>21.295000000000002</v>
      </c>
      <c r="AQ326" s="176">
        <v>21.35</v>
      </c>
      <c r="AR326" s="176">
        <v>21.375000000000004</v>
      </c>
      <c r="AS326" s="176">
        <v>21.380000000000003</v>
      </c>
      <c r="AT326" s="173" t="str">
        <f>IF(ISNUMBER(U326)=TRUE,AK326-U326,IF(U326="","",(AK326)-(MID(RIGHT(U326,10),4,2)&amp;"/"&amp;LEFT((RIGHT(U326,10)),2)&amp;"/"&amp;RIGHT(U326,4))))</f>
        <v/>
      </c>
      <c r="AU326" s="173">
        <v>451</v>
      </c>
      <c r="AW326" s="142" t="s">
        <v>123</v>
      </c>
    </row>
    <row r="327" spans="2:50" s="142" customFormat="1" ht="21" customHeight="1" x14ac:dyDescent="0.25">
      <c r="B327" s="173" t="str">
        <f>IF(C327="HOLD RM","HOLD RM",IF(C327="BAL","WIP",IF(C327="HOLD SLT","HOLD SLT",IF(C327="MILL","RM",IF(C327="RE SLT","WIP",IF(C327="RM","RM",IF(C327="RM BAL","RM",IF(C327="RM SLT","RM",IF(C327="RR","WIP",IF(C327="SKP","WIP",IF(C327="SLT","WIP",IF(C327="CTL","WIP",IF(C327="RM SLT RUST","RM SLT RUST",0)))))))))))))&amp;"-"&amp;G327&amp;"/"&amp;IF(H327="2B","2B",IF(H327="NO.1","1D",IF(H327="FH","FH",0)))&amp;"-"&amp;IF(J327="",(TEXT(I327,"0.00")),TEXT(J327,"0.00"))&amp;"X"&amp;M327</f>
        <v>RM-304/1D-2.49X1256</v>
      </c>
      <c r="C327" s="173" t="s">
        <v>48</v>
      </c>
      <c r="D327" s="173" t="s">
        <v>48</v>
      </c>
      <c r="E327" s="190" t="s">
        <v>1362</v>
      </c>
      <c r="F327" s="190" t="s">
        <v>1363</v>
      </c>
      <c r="G327" s="173">
        <v>304</v>
      </c>
      <c r="H327" s="173" t="s">
        <v>127</v>
      </c>
      <c r="I327" s="174">
        <v>2.4900000000000002</v>
      </c>
      <c r="J327" s="174"/>
      <c r="K327" s="174"/>
      <c r="L327" s="174"/>
      <c r="M327" s="191">
        <v>1256</v>
      </c>
      <c r="N327" s="176">
        <v>21.774999999999999</v>
      </c>
      <c r="O327" s="176"/>
      <c r="P327" s="177"/>
      <c r="Q327" s="178"/>
      <c r="R327" s="179"/>
      <c r="S327" s="179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80" t="s">
        <v>1354</v>
      </c>
      <c r="AE327" s="173" t="s">
        <v>69</v>
      </c>
      <c r="AF327" s="181" t="s">
        <v>142</v>
      </c>
      <c r="AG327" s="181" t="s">
        <v>1346</v>
      </c>
      <c r="AH327" s="181"/>
      <c r="AI327" s="181">
        <v>44813</v>
      </c>
      <c r="AJ327" s="181"/>
      <c r="AK327" s="181">
        <f ca="1">TODAY()</f>
        <v>44958</v>
      </c>
      <c r="AL327" s="173">
        <f ca="1">IF(AI327&lt;&gt;0,AK327-AI327,0)</f>
        <v>145</v>
      </c>
      <c r="AM327" s="173" t="str">
        <f>IF(ISNUMBER(X327)=TRUE,AK327-X327,IF(X327="","",(AK327)-(MID(RIGHT(X327,10),4,2)&amp;"/"&amp;LEFT((RIGHT(X327,10)),2)&amp;"/"&amp;RIGHT(X327,4))))</f>
        <v/>
      </c>
      <c r="AN327" s="181"/>
      <c r="AO327" s="190" t="s">
        <v>1364</v>
      </c>
      <c r="AP327" s="176">
        <v>21.774999999999999</v>
      </c>
      <c r="AQ327" s="176">
        <v>21.83</v>
      </c>
      <c r="AR327" s="176">
        <v>21.855</v>
      </c>
      <c r="AS327" s="176">
        <v>21.86</v>
      </c>
      <c r="AT327" s="173" t="str">
        <f>IF(ISNUMBER(U327)=TRUE,AK327-U327,IF(U327="","",(AK327)-(MID(RIGHT(U327,10),4,2)&amp;"/"&amp;LEFT((RIGHT(U327,10)),2)&amp;"/"&amp;RIGHT(U327,4))))</f>
        <v/>
      </c>
      <c r="AU327" s="173">
        <v>451</v>
      </c>
      <c r="AW327" s="142" t="s">
        <v>123</v>
      </c>
    </row>
    <row r="328" spans="2:50" s="142" customFormat="1" ht="21" customHeight="1" x14ac:dyDescent="0.25">
      <c r="B328" s="173" t="str">
        <f>IF(C328="HOLD RM","HOLD RM",IF(C328="BAL","WIP",IF(C328="HOLD SLT","HOLD SLT",IF(C328="MILL","RM",IF(C328="RE SLT","WIP",IF(C328="RM","RM",IF(C328="RM BAL","RM",IF(C328="RM SLT","RM",IF(C328="RR","WIP",IF(C328="SKP","WIP",IF(C328="SLT","WIP",IF(C328="CTL","WIP",IF(C328="RM SLT RUST","RM SLT RUST",0)))))))))))))&amp;"-"&amp;G328&amp;"/"&amp;IF(H328="2B","2B",IF(H328="NO.1","1D",IF(H328="FH","FH",0)))&amp;"-"&amp;IF(J328="",(TEXT(I328,"0.00")),TEXT(J328,"0.00"))&amp;"X"&amp;M328</f>
        <v>RM-304/1D-2.51X1255</v>
      </c>
      <c r="C328" s="173" t="s">
        <v>48</v>
      </c>
      <c r="D328" s="173" t="s">
        <v>48</v>
      </c>
      <c r="E328" s="190" t="s">
        <v>1365</v>
      </c>
      <c r="F328" s="190" t="s">
        <v>1366</v>
      </c>
      <c r="G328" s="173">
        <v>304</v>
      </c>
      <c r="H328" s="173" t="s">
        <v>127</v>
      </c>
      <c r="I328" s="174">
        <v>2.5099999999999998</v>
      </c>
      <c r="J328" s="174"/>
      <c r="K328" s="174"/>
      <c r="L328" s="174"/>
      <c r="M328" s="191">
        <v>1255</v>
      </c>
      <c r="N328" s="176">
        <v>20.98</v>
      </c>
      <c r="O328" s="176"/>
      <c r="P328" s="177"/>
      <c r="Q328" s="178"/>
      <c r="R328" s="179"/>
      <c r="S328" s="179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80" t="s">
        <v>1354</v>
      </c>
      <c r="AE328" s="173" t="s">
        <v>69</v>
      </c>
      <c r="AF328" s="181" t="s">
        <v>142</v>
      </c>
      <c r="AG328" s="181" t="s">
        <v>1346</v>
      </c>
      <c r="AH328" s="181"/>
      <c r="AI328" s="181">
        <v>44813</v>
      </c>
      <c r="AJ328" s="181"/>
      <c r="AK328" s="181">
        <f ca="1">TODAY()</f>
        <v>44958</v>
      </c>
      <c r="AL328" s="173">
        <f ca="1">IF(AI328&lt;&gt;0,AK328-AI328,0)</f>
        <v>145</v>
      </c>
      <c r="AM328" s="173" t="str">
        <f>IF(ISNUMBER(X328)=TRUE,AK328-X328,IF(X328="","",(AK328)-(MID(RIGHT(X328,10),4,2)&amp;"/"&amp;LEFT((RIGHT(X328,10)),2)&amp;"/"&amp;RIGHT(X328,4))))</f>
        <v/>
      </c>
      <c r="AN328" s="181"/>
      <c r="AO328" s="190" t="s">
        <v>1367</v>
      </c>
      <c r="AP328" s="176">
        <v>20.98</v>
      </c>
      <c r="AQ328" s="176">
        <v>21.035</v>
      </c>
      <c r="AR328" s="176">
        <v>21.060000000000002</v>
      </c>
      <c r="AS328" s="176">
        <v>21.065000000000001</v>
      </c>
      <c r="AT328" s="173" t="str">
        <f>IF(ISNUMBER(U328)=TRUE,AK328-U328,IF(U328="","",(AK328)-(MID(RIGHT(U328,10),4,2)&amp;"/"&amp;LEFT((RIGHT(U328,10)),2)&amp;"/"&amp;RIGHT(U328,4))))</f>
        <v/>
      </c>
      <c r="AU328" s="173">
        <v>451</v>
      </c>
      <c r="AW328" s="142" t="s">
        <v>123</v>
      </c>
    </row>
    <row r="329" spans="2:50" s="142" customFormat="1" ht="21" customHeight="1" x14ac:dyDescent="0.25">
      <c r="B329" s="173" t="str">
        <f>IF(C329="HOLD RM","HOLD RM",IF(C329="BAL","WIP",IF(C329="HOLD SLT","HOLD SLT",IF(C329="MILL","RM",IF(C329="RE SLT","WIP",IF(C329="RM","RM",IF(C329="RM BAL","RM",IF(C329="RM SLT","RM",IF(C329="RR","WIP",IF(C329="SKP","WIP",IF(C329="SLT","WIP",IF(C329="CTL","WIP",IF(C329="RM SLT RUST","RM SLT RUST",0)))))))))))))&amp;"-"&amp;G329&amp;"/"&amp;IF(H329="2B","2B",IF(H329="NO.1","1D",IF(H329="FH","FH",0)))&amp;"-"&amp;IF(J329="",(TEXT(I329,"0.00")),TEXT(J329,"0.00"))&amp;"X"&amp;M329</f>
        <v>WIP-316L/2B-0.68X610</v>
      </c>
      <c r="C329" s="173" t="s">
        <v>775</v>
      </c>
      <c r="D329" s="173" t="s">
        <v>1237</v>
      </c>
      <c r="E329" s="190" t="s">
        <v>1368</v>
      </c>
      <c r="F329" s="190" t="s">
        <v>1369</v>
      </c>
      <c r="G329" s="173" t="s">
        <v>135</v>
      </c>
      <c r="H329" s="173" t="s">
        <v>114</v>
      </c>
      <c r="I329" s="174">
        <v>1.1499999999999999</v>
      </c>
      <c r="J329" s="174">
        <v>0.68</v>
      </c>
      <c r="K329" s="174">
        <v>0.68</v>
      </c>
      <c r="L329" s="174">
        <v>0.71</v>
      </c>
      <c r="M329" s="191">
        <v>610</v>
      </c>
      <c r="N329" s="176">
        <v>10.57</v>
      </c>
      <c r="O329" s="176" t="s">
        <v>114</v>
      </c>
      <c r="P329" s="177"/>
      <c r="Q329" s="178" t="s">
        <v>1370</v>
      </c>
      <c r="R329" s="179" t="s">
        <v>750</v>
      </c>
      <c r="S329" s="179"/>
      <c r="T329" s="177" t="s">
        <v>1371</v>
      </c>
      <c r="U329" s="177"/>
      <c r="V329" s="177">
        <v>44868</v>
      </c>
      <c r="W329" s="177">
        <v>44903</v>
      </c>
      <c r="X329" s="177" t="s">
        <v>1372</v>
      </c>
      <c r="Y329" s="177"/>
      <c r="Z329" s="177" t="s">
        <v>1373</v>
      </c>
      <c r="AA329" s="177">
        <v>44868</v>
      </c>
      <c r="AB329" s="177"/>
      <c r="AC329" s="177"/>
      <c r="AD329" s="180" t="s">
        <v>1374</v>
      </c>
      <c r="AE329" s="173" t="s">
        <v>69</v>
      </c>
      <c r="AF329" s="181" t="s">
        <v>142</v>
      </c>
      <c r="AG329" s="181" t="s">
        <v>1346</v>
      </c>
      <c r="AH329" s="181"/>
      <c r="AI329" s="181">
        <v>44813</v>
      </c>
      <c r="AJ329" s="181"/>
      <c r="AK329" s="181">
        <f ca="1">TODAY()</f>
        <v>44958</v>
      </c>
      <c r="AL329" s="173">
        <f ca="1">IF(AI329&lt;&gt;0,AK329-AI329,0)</f>
        <v>145</v>
      </c>
      <c r="AM329" s="173">
        <f ca="1">IF(ISNUMBER(X329)=TRUE,AK329-X329,IF(X329="","",(AK329)-(MID(RIGHT(X329,10),4,2)&amp;"/"&amp;LEFT((RIGHT(X329,10)),2)&amp;"/"&amp;RIGHT(X329,4))))</f>
        <v>7</v>
      </c>
      <c r="AN329" s="181"/>
      <c r="AO329" s="190" t="s">
        <v>1375</v>
      </c>
      <c r="AP329" s="176">
        <v>21.664999999999999</v>
      </c>
      <c r="AQ329" s="176">
        <v>21.72</v>
      </c>
      <c r="AR329" s="176">
        <v>21.745000000000001</v>
      </c>
      <c r="AS329" s="176">
        <v>21.75</v>
      </c>
      <c r="AT329" s="173" t="str">
        <f>IF(ISNUMBER(U329)=TRUE,AK329-U329,IF(U329="","",(AK329)-(MID(RIGHT(U329,10),4,2)&amp;"/"&amp;LEFT((RIGHT(U329,10)),2)&amp;"/"&amp;RIGHT(U329,4))))</f>
        <v/>
      </c>
      <c r="AU329" s="173">
        <v>451</v>
      </c>
      <c r="AW329" s="142" t="s">
        <v>123</v>
      </c>
    </row>
    <row r="330" spans="2:50" s="142" customFormat="1" ht="21" customHeight="1" x14ac:dyDescent="0.25">
      <c r="B330" s="173" t="str">
        <f>IF(C330="HOLD RM","HOLD RM",IF(C330="BAL","WIP",IF(C330="HOLD SLT","HOLD SLT",IF(C330="MILL","RM",IF(C330="RE SLT","WIP",IF(C330="RM","RM",IF(C330="RM BAL","RM",IF(C330="RM SLT","RM",IF(C330="RR","WIP",IF(C330="SKP","WIP",IF(C330="SLT","WIP",IF(C330="CTL","WIP",IF(C330="RM SLT RUST","RM SLT RUST",0)))))))))))))&amp;"-"&amp;G330&amp;"/"&amp;IF(H330="2B","2B",IF(H330="NO.1","1D",IF(H330="FH","FH",0)))&amp;"-"&amp;IF(J330="",(TEXT(I330,"0.00")),TEXT(J330,"0.00"))&amp;"X"&amp;M330</f>
        <v>WIP-304/2B-1.45X770</v>
      </c>
      <c r="C330" s="173" t="s">
        <v>18</v>
      </c>
      <c r="D330" s="173" t="s">
        <v>146</v>
      </c>
      <c r="E330" s="190" t="s">
        <v>1376</v>
      </c>
      <c r="F330" s="190" t="s">
        <v>1377</v>
      </c>
      <c r="G330" s="173">
        <v>304</v>
      </c>
      <c r="H330" s="173" t="s">
        <v>114</v>
      </c>
      <c r="I330" s="174">
        <v>3.8</v>
      </c>
      <c r="J330" s="174">
        <v>1.45</v>
      </c>
      <c r="K330" s="174">
        <v>1.44</v>
      </c>
      <c r="L330" s="174">
        <v>1.48</v>
      </c>
      <c r="M330" s="191">
        <v>770</v>
      </c>
      <c r="N330" s="197">
        <v>2.31</v>
      </c>
      <c r="O330" s="176" t="s">
        <v>114</v>
      </c>
      <c r="P330" s="177"/>
      <c r="Q330" s="178" t="s">
        <v>115</v>
      </c>
      <c r="R330" s="179"/>
      <c r="S330" s="179"/>
      <c r="T330" s="177">
        <v>44816</v>
      </c>
      <c r="U330" s="177"/>
      <c r="V330" s="177">
        <v>44819</v>
      </c>
      <c r="W330" s="177"/>
      <c r="X330" s="177">
        <v>44834</v>
      </c>
      <c r="Y330" s="177"/>
      <c r="Z330" s="177">
        <v>44824</v>
      </c>
      <c r="AA330" s="177"/>
      <c r="AB330" s="177"/>
      <c r="AC330" s="177"/>
      <c r="AD330" s="180" t="s">
        <v>1378</v>
      </c>
      <c r="AE330" s="173" t="s">
        <v>69</v>
      </c>
      <c r="AF330" s="181" t="s">
        <v>142</v>
      </c>
      <c r="AG330" s="181" t="s">
        <v>1379</v>
      </c>
      <c r="AH330" s="181"/>
      <c r="AI330" s="181">
        <v>44813</v>
      </c>
      <c r="AJ330" s="181"/>
      <c r="AK330" s="181">
        <f ca="1">TODAY()</f>
        <v>44958</v>
      </c>
      <c r="AL330" s="173">
        <f ca="1">IF(AI330&lt;&gt;0,AK330-AI330,0)</f>
        <v>145</v>
      </c>
      <c r="AM330" s="173">
        <f ca="1">IF(ISNUMBER(X330)=TRUE,AK330-X330,IF(X330="","",(AK330)-(MID(RIGHT(X330,10),4,2)&amp;"/"&amp;LEFT((RIGHT(X330,10)),2)&amp;"/"&amp;RIGHT(X330,4))))</f>
        <v>124</v>
      </c>
      <c r="AN330" s="181"/>
      <c r="AO330" s="190" t="s">
        <v>1380</v>
      </c>
      <c r="AP330" s="176">
        <v>10.43</v>
      </c>
      <c r="AQ330" s="176">
        <v>10.44</v>
      </c>
      <c r="AR330" s="176">
        <v>10.464999999999998</v>
      </c>
      <c r="AS330" s="176">
        <v>10.469999999999999</v>
      </c>
      <c r="AT330" s="173" t="str">
        <f>IF(ISNUMBER(U330)=TRUE,AK330-U330,IF(U330="","",(AK330)-(MID(RIGHT(U330,10),4,2)&amp;"/"&amp;LEFT((RIGHT(U330,10)),2)&amp;"/"&amp;RIGHT(U330,4))))</f>
        <v/>
      </c>
      <c r="AU330" s="173">
        <v>451</v>
      </c>
      <c r="AW330" s="142" t="s">
        <v>123</v>
      </c>
    </row>
    <row r="331" spans="2:50" s="142" customFormat="1" ht="21" customHeight="1" x14ac:dyDescent="0.25">
      <c r="B331" s="173" t="str">
        <f>IF(C331="HOLD RM","HOLD RM",IF(C331="BAL","WIP",IF(C331="HOLD SLT","HOLD SLT",IF(C331="MILL","RM",IF(C331="RE SLT","WIP",IF(C331="RM","RM",IF(C331="RM BAL","RM",IF(C331="RM SLT","RM",IF(C331="RR","WIP",IF(C331="SKP","WIP",IF(C331="SLT","WIP",IF(C331="CTL","WIP",IF(C331="RM SLT RUST","RM SLT RUST",0)))))))))))))&amp;"-"&amp;G331&amp;"/"&amp;IF(H331="2B","2B",IF(H331="NO.1","1D",IF(H331="FH","FH",0)))&amp;"-"&amp;IF(J331="",(TEXT(I331,"0.00")),TEXT(J331,"0.00"))&amp;"X"&amp;M331</f>
        <v>WIP-304L/2B-1.45X768</v>
      </c>
      <c r="C331" s="173" t="s">
        <v>18</v>
      </c>
      <c r="D331" s="173" t="s">
        <v>146</v>
      </c>
      <c r="E331" s="190" t="s">
        <v>1381</v>
      </c>
      <c r="F331" s="190" t="s">
        <v>1382</v>
      </c>
      <c r="G331" s="173" t="s">
        <v>182</v>
      </c>
      <c r="H331" s="173" t="s">
        <v>114</v>
      </c>
      <c r="I331" s="174">
        <v>3.94</v>
      </c>
      <c r="J331" s="174">
        <v>1.45</v>
      </c>
      <c r="K331" s="174">
        <v>1.48</v>
      </c>
      <c r="L331" s="174">
        <v>1.48</v>
      </c>
      <c r="M331" s="191">
        <v>768</v>
      </c>
      <c r="N331" s="197">
        <v>1.395</v>
      </c>
      <c r="O331" s="176" t="s">
        <v>114</v>
      </c>
      <c r="P331" s="177"/>
      <c r="Q331" s="178" t="s">
        <v>115</v>
      </c>
      <c r="R331" s="179"/>
      <c r="S331" s="179"/>
      <c r="T331" s="177">
        <v>44808</v>
      </c>
      <c r="U331" s="177"/>
      <c r="V331" s="177">
        <v>44819</v>
      </c>
      <c r="W331" s="177"/>
      <c r="X331" s="177">
        <v>44825</v>
      </c>
      <c r="Y331" s="177"/>
      <c r="Z331" s="177">
        <v>44824</v>
      </c>
      <c r="AA331" s="177"/>
      <c r="AB331" s="177"/>
      <c r="AC331" s="177"/>
      <c r="AD331" s="180" t="s">
        <v>1235</v>
      </c>
      <c r="AE331" s="173" t="s">
        <v>69</v>
      </c>
      <c r="AF331" s="181" t="s">
        <v>142</v>
      </c>
      <c r="AG331" s="181" t="s">
        <v>1053</v>
      </c>
      <c r="AH331" s="181"/>
      <c r="AI331" s="181">
        <v>44785</v>
      </c>
      <c r="AJ331" s="181"/>
      <c r="AK331" s="181">
        <f ca="1">TODAY()</f>
        <v>44958</v>
      </c>
      <c r="AL331" s="173">
        <f ca="1">IF(AI331&lt;&gt;0,AK331-AI331,0)</f>
        <v>173</v>
      </c>
      <c r="AM331" s="173">
        <f ca="1">IF(ISNUMBER(X331)=TRUE,AK331-X331,IF(X331="","",(AK331)-(MID(RIGHT(X331,10),4,2)&amp;"/"&amp;LEFT((RIGHT(X331,10)),2)&amp;"/"&amp;RIGHT(X331,4))))</f>
        <v>133</v>
      </c>
      <c r="AN331" s="181"/>
      <c r="AO331" s="190" t="s">
        <v>1383</v>
      </c>
      <c r="AP331" s="176">
        <v>10.52</v>
      </c>
      <c r="AQ331" s="176">
        <v>10.53</v>
      </c>
      <c r="AR331" s="176">
        <v>10.554999999999998</v>
      </c>
      <c r="AS331" s="176">
        <v>10.559999999999999</v>
      </c>
      <c r="AT331" s="173" t="str">
        <f>IF(ISNUMBER(U331)=TRUE,AK331-U331,IF(U331="","",(AK331)-(MID(RIGHT(U331,10),4,2)&amp;"/"&amp;LEFT((RIGHT(U331,10)),2)&amp;"/"&amp;RIGHT(U331,4))))</f>
        <v/>
      </c>
      <c r="AU331" s="173">
        <v>447</v>
      </c>
      <c r="AW331" s="142" t="s">
        <v>123</v>
      </c>
    </row>
    <row r="332" spans="2:50" s="142" customFormat="1" ht="21" customHeight="1" x14ac:dyDescent="0.25">
      <c r="B332" s="173" t="str">
        <f>IF(C332="HOLD RM","HOLD RM",IF(C332="BAL","WIP",IF(C332="HOLD SLT","HOLD SLT",IF(C332="MILL","RM",IF(C332="RE SLT","WIP",IF(C332="RM","RM",IF(C332="RM BAL","RM",IF(C332="RM SLT","RM",IF(C332="RR","WIP",IF(C332="SKP","WIP",IF(C332="SLT","WIP",IF(C332="CTL","WIP",IF(C332="RM SLT RUST","RM SLT RUST",0)))))))))))))&amp;"-"&amp;G332&amp;"/"&amp;IF(H332="2B","2B",IF(H332="NO.1","1D",IF(H332="FH","FH",0)))&amp;"-"&amp;IF(J332="",(TEXT(I332,"0.00")),TEXT(J332,"0.00"))&amp;"X"&amp;M332</f>
        <v>WIP-304L/2B-0.70X769</v>
      </c>
      <c r="C332" s="173" t="s">
        <v>18</v>
      </c>
      <c r="D332" s="173" t="s">
        <v>836</v>
      </c>
      <c r="E332" s="190" t="s">
        <v>1384</v>
      </c>
      <c r="F332" s="190" t="s">
        <v>1385</v>
      </c>
      <c r="G332" s="173" t="s">
        <v>182</v>
      </c>
      <c r="H332" s="173" t="s">
        <v>114</v>
      </c>
      <c r="I332" s="174">
        <v>1.5</v>
      </c>
      <c r="J332" s="174">
        <v>0.7</v>
      </c>
      <c r="K332" s="174">
        <v>0.7</v>
      </c>
      <c r="L332" s="174">
        <v>0.72</v>
      </c>
      <c r="M332" s="191">
        <v>769</v>
      </c>
      <c r="N332" s="176">
        <v>3.72</v>
      </c>
      <c r="O332" s="176" t="s">
        <v>114</v>
      </c>
      <c r="P332" s="177"/>
      <c r="Q332" s="178" t="s">
        <v>761</v>
      </c>
      <c r="R332" s="178" t="s">
        <v>1386</v>
      </c>
      <c r="S332" s="179"/>
      <c r="T332" s="177" t="s">
        <v>1387</v>
      </c>
      <c r="U332" s="177"/>
      <c r="V332" s="177" t="s">
        <v>1388</v>
      </c>
      <c r="W332" s="177"/>
      <c r="X332" s="177" t="s">
        <v>1389</v>
      </c>
      <c r="Y332" s="177"/>
      <c r="Z332" s="177">
        <v>44916</v>
      </c>
      <c r="AA332" s="177"/>
      <c r="AB332" s="177"/>
      <c r="AC332" s="177"/>
      <c r="AD332" s="180" t="s">
        <v>1390</v>
      </c>
      <c r="AE332" s="173" t="s">
        <v>69</v>
      </c>
      <c r="AF332" s="181" t="s">
        <v>142</v>
      </c>
      <c r="AG332" s="181" t="s">
        <v>1391</v>
      </c>
      <c r="AH332" s="181"/>
      <c r="AI332" s="181">
        <v>44813</v>
      </c>
      <c r="AJ332" s="181"/>
      <c r="AK332" s="181">
        <f ca="1">TODAY()</f>
        <v>44958</v>
      </c>
      <c r="AL332" s="173">
        <f ca="1">IF(AI332&lt;&gt;0,AK332-AI332,0)</f>
        <v>145</v>
      </c>
      <c r="AM332" s="173">
        <f ca="1">IF(ISNUMBER(X332)=TRUE,AK332-X332,IF(X332="","",(AK332)-(MID(RIGHT(X332,10),4,2)&amp;"/"&amp;LEFT((RIGHT(X332,10)),2)&amp;"/"&amp;RIGHT(X332,4))))</f>
        <v>43</v>
      </c>
      <c r="AN332" s="181"/>
      <c r="AO332" s="190" t="s">
        <v>1392</v>
      </c>
      <c r="AP332" s="176">
        <v>12.195</v>
      </c>
      <c r="AQ332" s="176">
        <v>12.205</v>
      </c>
      <c r="AR332" s="176">
        <v>12.229999999999999</v>
      </c>
      <c r="AS332" s="176">
        <v>12.234999999999999</v>
      </c>
      <c r="AT332" s="173" t="str">
        <f>IF(ISNUMBER(U332)=TRUE,AK332-U332,IF(U332="","",(AK332)-(MID(RIGHT(U332,10),4,2)&amp;"/"&amp;LEFT((RIGHT(U332,10)),2)&amp;"/"&amp;RIGHT(U332,4))))</f>
        <v/>
      </c>
      <c r="AU332" s="173">
        <v>451</v>
      </c>
      <c r="AW332" s="142" t="s">
        <v>123</v>
      </c>
    </row>
    <row r="333" spans="2:50" s="142" customFormat="1" ht="21" customHeight="1" x14ac:dyDescent="0.25">
      <c r="B333" s="173" t="str">
        <f>IF(Q333="MULTI","FGM","FGC")&amp;"-"&amp;G333&amp;"/"&amp;H333&amp;"-"&amp;TEXT(J333,"0.00")&amp;"X"&amp;IF(Q333="MULTI",M333,Q333)</f>
        <v>FGC-304L/2B-1.50XSTOCK</v>
      </c>
      <c r="C333" s="173" t="s">
        <v>173</v>
      </c>
      <c r="D333" s="173" t="s">
        <v>146</v>
      </c>
      <c r="E333" s="190" t="s">
        <v>1393</v>
      </c>
      <c r="F333" s="190" t="s">
        <v>1394</v>
      </c>
      <c r="G333" s="173" t="s">
        <v>182</v>
      </c>
      <c r="H333" s="173" t="s">
        <v>114</v>
      </c>
      <c r="I333" s="174">
        <v>1.5</v>
      </c>
      <c r="J333" s="174">
        <v>1.5</v>
      </c>
      <c r="K333" s="174">
        <v>1.24</v>
      </c>
      <c r="L333" s="174">
        <v>1.24</v>
      </c>
      <c r="M333" s="191">
        <v>589</v>
      </c>
      <c r="N333" s="176">
        <v>9.7449999999999992</v>
      </c>
      <c r="O333" s="176"/>
      <c r="P333" s="177"/>
      <c r="Q333" s="178" t="s">
        <v>115</v>
      </c>
      <c r="R333" s="179"/>
      <c r="S333" s="179"/>
      <c r="T333" s="177"/>
      <c r="U333" s="177"/>
      <c r="V333" s="177"/>
      <c r="W333" s="177"/>
      <c r="X333" s="177"/>
      <c r="Y333" s="177"/>
      <c r="Z333" s="177">
        <v>44818</v>
      </c>
      <c r="AA333" s="177">
        <v>44818</v>
      </c>
      <c r="AB333" s="177"/>
      <c r="AC333" s="177"/>
      <c r="AD333" s="180" t="s">
        <v>1395</v>
      </c>
      <c r="AE333" s="173" t="s">
        <v>114</v>
      </c>
      <c r="AF333" s="181" t="s">
        <v>1396</v>
      </c>
      <c r="AG333" s="181" t="s">
        <v>1397</v>
      </c>
      <c r="AH333" s="181"/>
      <c r="AI333" s="181">
        <v>44554</v>
      </c>
      <c r="AJ333" s="181"/>
      <c r="AK333" s="181">
        <f ca="1">TODAY()</f>
        <v>44958</v>
      </c>
      <c r="AL333" s="173">
        <f ca="1">IF(AI333&lt;&gt;0,AK333-AI333,0)</f>
        <v>404</v>
      </c>
      <c r="AM333" s="173" t="str">
        <f>IF(ISNUMBER(X333)=TRUE,AK333-X333,IF(X333="","",(AK333)-(MID(RIGHT(X333,10),4,2)&amp;"/"&amp;LEFT((RIGHT(X333,10)),2)&amp;"/"&amp;RIGHT(X333,4))))</f>
        <v/>
      </c>
      <c r="AN333" s="181"/>
      <c r="AO333" s="190" t="s">
        <v>1398</v>
      </c>
      <c r="AP333" s="176">
        <v>20.274999999999999</v>
      </c>
      <c r="AQ333" s="176">
        <v>20.378</v>
      </c>
      <c r="AR333" s="176">
        <v>20.403000000000002</v>
      </c>
      <c r="AS333" s="176">
        <v>20.408000000000001</v>
      </c>
      <c r="AT333" s="173" t="str">
        <f>IF(ISNUMBER(U333)=TRUE,AK333-U333,IF(U333="","",(AK333)-(MID(RIGHT(U333,10),4,2)&amp;"/"&amp;LEFT((RIGHT(U333,10)),2)&amp;"/"&amp;RIGHT(U333,4))))</f>
        <v/>
      </c>
      <c r="AU333" s="173"/>
      <c r="AW333" s="142" t="s">
        <v>123</v>
      </c>
      <c r="AX333" s="142">
        <v>424</v>
      </c>
    </row>
    <row r="334" spans="2:50" s="142" customFormat="1" ht="21" customHeight="1" x14ac:dyDescent="0.25">
      <c r="B334" s="173" t="str">
        <f>IF(C334="HOLD RM","HOLD RM",IF(C334="BAL","WIP",IF(C334="HOLD SLT","HOLD SLT",IF(C334="MILL","RM",IF(C334="RE SLT","WIP",IF(C334="RM","RM",IF(C334="RM BAL","RM",IF(C334="RM SLT","RM",IF(C334="RR","WIP",IF(C334="SKP","WIP",IF(C334="SLT","WIP",IF(C334="CTL","WIP",IF(C334="RM SLT RUST","RM SLT RUST",0)))))))))))))&amp;"-"&amp;G334&amp;"/"&amp;IF(H334="2B","2B",IF(H334="NO.1","1D",IF(H334="FH","FH",0)))&amp;"-"&amp;IF(J334="",(TEXT(I334,"0.00")),TEXT(J334,"0.00"))&amp;"X"&amp;M334</f>
        <v>RM-J3/1D-2.20X645</v>
      </c>
      <c r="C334" s="173" t="s">
        <v>48</v>
      </c>
      <c r="D334" s="173" t="s">
        <v>48</v>
      </c>
      <c r="E334" s="190" t="s">
        <v>1399</v>
      </c>
      <c r="F334" s="190" t="s">
        <v>1400</v>
      </c>
      <c r="G334" s="173" t="s">
        <v>34</v>
      </c>
      <c r="H334" s="173" t="s">
        <v>127</v>
      </c>
      <c r="I334" s="174">
        <v>2.2000000000000002</v>
      </c>
      <c r="J334" s="174"/>
      <c r="K334" s="174"/>
      <c r="L334" s="174"/>
      <c r="M334" s="191">
        <v>645</v>
      </c>
      <c r="N334" s="176">
        <v>10.462999999999999</v>
      </c>
      <c r="O334" s="176"/>
      <c r="P334" s="177"/>
      <c r="Q334" s="178"/>
      <c r="R334" s="179"/>
      <c r="S334" s="179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80"/>
      <c r="AE334" s="173" t="s">
        <v>69</v>
      </c>
      <c r="AF334" s="181" t="s">
        <v>1065</v>
      </c>
      <c r="AG334" s="181" t="s">
        <v>1401</v>
      </c>
      <c r="AH334" s="181">
        <v>44819</v>
      </c>
      <c r="AI334" s="181">
        <v>44835</v>
      </c>
      <c r="AJ334" s="181"/>
      <c r="AK334" s="181">
        <f ca="1">TODAY()</f>
        <v>44958</v>
      </c>
      <c r="AL334" s="173">
        <f ca="1">IF(AI334&lt;&gt;0,AK334-AI334,0)</f>
        <v>123</v>
      </c>
      <c r="AM334" s="173" t="str">
        <f>IF(ISNUMBER(X334)=TRUE,AK334-X334,IF(X334="","",(AK334)-(MID(RIGHT(X334,10),4,2)&amp;"/"&amp;LEFT((RIGHT(X334,10)),2)&amp;"/"&amp;RIGHT(X334,4))))</f>
        <v/>
      </c>
      <c r="AN334" s="181" t="s">
        <v>1402</v>
      </c>
      <c r="AO334" s="190" t="s">
        <v>1403</v>
      </c>
      <c r="AP334" s="176">
        <v>10.462999999999999</v>
      </c>
      <c r="AQ334" s="176">
        <v>10.503</v>
      </c>
      <c r="AR334" s="176">
        <v>10.527999999999999</v>
      </c>
      <c r="AS334" s="176">
        <v>10.532999999999999</v>
      </c>
      <c r="AT334" s="173" t="str">
        <f>IF(ISNUMBER(U334)=TRUE,AK334-U334,IF(U334="","",(AK334)-(MID(RIGHT(U334,10),4,2)&amp;"/"&amp;LEFT((RIGHT(U334,10)),2)&amp;"/"&amp;RIGHT(U334,4))))</f>
        <v/>
      </c>
      <c r="AU334" s="173">
        <v>454</v>
      </c>
      <c r="AW334" s="142" t="s">
        <v>123</v>
      </c>
    </row>
    <row r="335" spans="2:50" s="142" customFormat="1" ht="21" customHeight="1" x14ac:dyDescent="0.25">
      <c r="B335" s="173" t="str">
        <f>IF(C335="HOLD RM","HOLD RM",IF(C335="BAL","WIP",IF(C335="HOLD SLT","HOLD SLT",IF(C335="MILL","RM",IF(C335="RE SLT","WIP",IF(C335="RM","RM",IF(C335="RM BAL","RM",IF(C335="RM SLT","RM",IF(C335="RR","WIP",IF(C335="SKP","WIP",IF(C335="SLT","WIP",IF(C335="CTL","WIP",IF(C335="RM SLT RUST","RM SLT RUST",0)))))))))))))&amp;"-"&amp;G335&amp;"/"&amp;IF(H335="2B","2B",IF(H335="NO.1","1D",IF(H335="FH","FH",0)))&amp;"-"&amp;IF(J335="",(TEXT(I335,"0.00")),TEXT(J335,"0.00"))&amp;"X"&amp;M335</f>
        <v>RM-J3/1D-2.20X645</v>
      </c>
      <c r="C335" s="173" t="s">
        <v>48</v>
      </c>
      <c r="D335" s="173" t="s">
        <v>48</v>
      </c>
      <c r="E335" s="190" t="s">
        <v>1404</v>
      </c>
      <c r="F335" s="190" t="s">
        <v>1405</v>
      </c>
      <c r="G335" s="173" t="s">
        <v>34</v>
      </c>
      <c r="H335" s="173" t="s">
        <v>127</v>
      </c>
      <c r="I335" s="174">
        <v>2.2000000000000002</v>
      </c>
      <c r="J335" s="174"/>
      <c r="K335" s="174"/>
      <c r="L335" s="174"/>
      <c r="M335" s="191">
        <v>645</v>
      </c>
      <c r="N335" s="176">
        <v>10.56</v>
      </c>
      <c r="O335" s="176"/>
      <c r="P335" s="177"/>
      <c r="Q335" s="178"/>
      <c r="R335" s="179"/>
      <c r="S335" s="179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80"/>
      <c r="AE335" s="173" t="s">
        <v>69</v>
      </c>
      <c r="AF335" s="181" t="s">
        <v>1065</v>
      </c>
      <c r="AG335" s="181" t="s">
        <v>1401</v>
      </c>
      <c r="AH335" s="181">
        <v>44819</v>
      </c>
      <c r="AI335" s="181">
        <v>44835</v>
      </c>
      <c r="AJ335" s="181"/>
      <c r="AK335" s="181">
        <f ca="1">TODAY()</f>
        <v>44958</v>
      </c>
      <c r="AL335" s="173">
        <f ca="1">IF(AI335&lt;&gt;0,AK335-AI335,0)</f>
        <v>123</v>
      </c>
      <c r="AM335" s="173" t="str">
        <f>IF(ISNUMBER(X335)=TRUE,AK335-X335,IF(X335="","",(AK335)-(MID(RIGHT(X335,10),4,2)&amp;"/"&amp;LEFT((RIGHT(X335,10)),2)&amp;"/"&amp;RIGHT(X335,4))))</f>
        <v/>
      </c>
      <c r="AN335" s="181" t="s">
        <v>1402</v>
      </c>
      <c r="AO335" s="190" t="s">
        <v>1406</v>
      </c>
      <c r="AP335" s="176">
        <v>10.56</v>
      </c>
      <c r="AQ335" s="176">
        <v>10.6</v>
      </c>
      <c r="AR335" s="176">
        <v>10.624999999999998</v>
      </c>
      <c r="AS335" s="176">
        <v>10.629999999999999</v>
      </c>
      <c r="AT335" s="173" t="str">
        <f>IF(ISNUMBER(U335)=TRUE,AK335-U335,IF(U335="","",(AK335)-(MID(RIGHT(U335,10),4,2)&amp;"/"&amp;LEFT((RIGHT(U335,10)),2)&amp;"/"&amp;RIGHT(U335,4))))</f>
        <v/>
      </c>
      <c r="AU335" s="173">
        <v>454</v>
      </c>
      <c r="AW335" s="142" t="s">
        <v>123</v>
      </c>
    </row>
    <row r="336" spans="2:50" s="142" customFormat="1" ht="21" customHeight="1" x14ac:dyDescent="0.25">
      <c r="B336" s="173" t="str">
        <f>IF(C336="HOLD RM","HOLD RM",IF(C336="BAL","WIP",IF(C336="HOLD SLT","HOLD SLT",IF(C336="MILL","RM",IF(C336="RE SLT","WIP",IF(C336="RM","RM",IF(C336="RM BAL","RM",IF(C336="RM SLT","RM",IF(C336="RR","WIP",IF(C336="SKP","WIP",IF(C336="SLT","WIP",IF(C336="CTL","WIP",IF(C336="RM SLT RUST","RM SLT RUST",0)))))))))))))&amp;"-"&amp;G336&amp;"/"&amp;IF(H336="2B","2B",IF(H336="NO.1","1D",IF(H336="FH","FH",0)))&amp;"-"&amp;IF(J336="",(TEXT(I336,"0.00")),TEXT(J336,"0.00"))&amp;"X"&amp;M336</f>
        <v>RM-J3/1D-2.20X645</v>
      </c>
      <c r="C336" s="173" t="s">
        <v>48</v>
      </c>
      <c r="D336" s="173" t="s">
        <v>48</v>
      </c>
      <c r="E336" s="190" t="s">
        <v>1407</v>
      </c>
      <c r="F336" s="190" t="s">
        <v>1408</v>
      </c>
      <c r="G336" s="173" t="s">
        <v>34</v>
      </c>
      <c r="H336" s="173" t="s">
        <v>127</v>
      </c>
      <c r="I336" s="174">
        <v>2.2000000000000002</v>
      </c>
      <c r="J336" s="174"/>
      <c r="K336" s="174"/>
      <c r="L336" s="174"/>
      <c r="M336" s="191">
        <v>645</v>
      </c>
      <c r="N336" s="176">
        <v>10.521000000000001</v>
      </c>
      <c r="O336" s="176"/>
      <c r="P336" s="177"/>
      <c r="Q336" s="178"/>
      <c r="R336" s="179"/>
      <c r="S336" s="179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80"/>
      <c r="AE336" s="173" t="s">
        <v>69</v>
      </c>
      <c r="AF336" s="181" t="s">
        <v>1065</v>
      </c>
      <c r="AG336" s="181" t="s">
        <v>1401</v>
      </c>
      <c r="AH336" s="181">
        <v>44819</v>
      </c>
      <c r="AI336" s="181">
        <v>44835</v>
      </c>
      <c r="AJ336" s="181"/>
      <c r="AK336" s="181">
        <f ca="1">TODAY()</f>
        <v>44958</v>
      </c>
      <c r="AL336" s="173">
        <f ca="1">IF(AI336&lt;&gt;0,AK336-AI336,0)</f>
        <v>123</v>
      </c>
      <c r="AM336" s="173" t="str">
        <f>IF(ISNUMBER(X336)=TRUE,AK336-X336,IF(X336="","",(AK336)-(MID(RIGHT(X336,10),4,2)&amp;"/"&amp;LEFT((RIGHT(X336,10)),2)&amp;"/"&amp;RIGHT(X336,4))))</f>
        <v/>
      </c>
      <c r="AN336" s="181" t="s">
        <v>1409</v>
      </c>
      <c r="AO336" s="190" t="s">
        <v>1410</v>
      </c>
      <c r="AP336" s="176">
        <v>10.521000000000001</v>
      </c>
      <c r="AQ336" s="176">
        <v>10.561</v>
      </c>
      <c r="AR336" s="176">
        <v>10.585999999999999</v>
      </c>
      <c r="AS336" s="176">
        <v>10.590999999999999</v>
      </c>
      <c r="AT336" s="173" t="str">
        <f>IF(ISNUMBER(U336)=TRUE,AK336-U336,IF(U336="","",(AK336)-(MID(RIGHT(U336,10),4,2)&amp;"/"&amp;LEFT((RIGHT(U336,10)),2)&amp;"/"&amp;RIGHT(U336,4))))</f>
        <v/>
      </c>
      <c r="AU336" s="173">
        <v>454</v>
      </c>
      <c r="AW336" s="142" t="s">
        <v>123</v>
      </c>
    </row>
    <row r="337" spans="2:49" s="142" customFormat="1" ht="21" customHeight="1" x14ac:dyDescent="0.25">
      <c r="B337" s="173" t="str">
        <f>IF(C337="HOLD RM","HOLD RM",IF(C337="BAL","WIP",IF(C337="HOLD SLT","HOLD SLT",IF(C337="MILL","RM",IF(C337="RE SLT","WIP",IF(C337="RM","RM",IF(C337="RM BAL","RM",IF(C337="RM SLT","RM",IF(C337="RR","WIP",IF(C337="SKP","WIP",IF(C337="SLT","WIP",IF(C337="CTL","WIP",IF(C337="RM SLT RUST","RM SLT RUST",0)))))))))))))&amp;"-"&amp;G337&amp;"/"&amp;IF(H337="2B","2B",IF(H337="NO.1","1D",IF(H337="FH","FH",0)))&amp;"-"&amp;IF(J337="",(TEXT(I337,"0.00")),TEXT(J337,"0.00"))&amp;"X"&amp;M337</f>
        <v>RM-J3/1D-2.20X645</v>
      </c>
      <c r="C337" s="173" t="s">
        <v>48</v>
      </c>
      <c r="D337" s="173" t="s">
        <v>48</v>
      </c>
      <c r="E337" s="190" t="s">
        <v>1411</v>
      </c>
      <c r="F337" s="190" t="s">
        <v>1412</v>
      </c>
      <c r="G337" s="173" t="s">
        <v>34</v>
      </c>
      <c r="H337" s="173" t="s">
        <v>127</v>
      </c>
      <c r="I337" s="174">
        <v>2.2000000000000002</v>
      </c>
      <c r="J337" s="174"/>
      <c r="K337" s="174"/>
      <c r="L337" s="174"/>
      <c r="M337" s="191">
        <v>645</v>
      </c>
      <c r="N337" s="176">
        <v>10.475</v>
      </c>
      <c r="O337" s="176"/>
      <c r="P337" s="177"/>
      <c r="Q337" s="178"/>
      <c r="R337" s="179"/>
      <c r="S337" s="179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80"/>
      <c r="AE337" s="173" t="s">
        <v>69</v>
      </c>
      <c r="AF337" s="181" t="s">
        <v>1065</v>
      </c>
      <c r="AG337" s="181" t="s">
        <v>1401</v>
      </c>
      <c r="AH337" s="181">
        <v>44819</v>
      </c>
      <c r="AI337" s="181">
        <v>44835</v>
      </c>
      <c r="AJ337" s="181"/>
      <c r="AK337" s="181">
        <f ca="1">TODAY()</f>
        <v>44958</v>
      </c>
      <c r="AL337" s="173">
        <f ca="1">IF(AI337&lt;&gt;0,AK337-AI337,0)</f>
        <v>123</v>
      </c>
      <c r="AM337" s="173" t="str">
        <f>IF(ISNUMBER(X337)=TRUE,AK337-X337,IF(X337="","",(AK337)-(MID(RIGHT(X337,10),4,2)&amp;"/"&amp;LEFT((RIGHT(X337,10)),2)&amp;"/"&amp;RIGHT(X337,4))))</f>
        <v/>
      </c>
      <c r="AN337" s="181" t="s">
        <v>1413</v>
      </c>
      <c r="AO337" s="190" t="s">
        <v>1414</v>
      </c>
      <c r="AP337" s="176">
        <v>10.475</v>
      </c>
      <c r="AQ337" s="176">
        <v>10.514999999999999</v>
      </c>
      <c r="AR337" s="176">
        <v>10.539999999999997</v>
      </c>
      <c r="AS337" s="176">
        <v>10.544999999999998</v>
      </c>
      <c r="AT337" s="173" t="str">
        <f>IF(ISNUMBER(U337)=TRUE,AK337-U337,IF(U337="","",(AK337)-(MID(RIGHT(U337,10),4,2)&amp;"/"&amp;LEFT((RIGHT(U337,10)),2)&amp;"/"&amp;RIGHT(U337,4))))</f>
        <v/>
      </c>
      <c r="AU337" s="173">
        <v>454</v>
      </c>
      <c r="AW337" s="142" t="s">
        <v>123</v>
      </c>
    </row>
    <row r="338" spans="2:49" s="142" customFormat="1" ht="21" customHeight="1" x14ac:dyDescent="0.25">
      <c r="B338" s="173" t="str">
        <f>IF(C338="HOLD RM","HOLD RM",IF(C338="BAL","WIP",IF(C338="HOLD SLT","HOLD SLT",IF(C338="MILL","RM",IF(C338="RE SLT","WIP",IF(C338="RM","RM",IF(C338="RM BAL","RM",IF(C338="RM SLT","RM",IF(C338="RR","WIP",IF(C338="SKP","WIP",IF(C338="SLT","WIP",IF(C338="CTL","WIP",IF(C338="RM SLT RUST","RM SLT RUST",0)))))))))))))&amp;"-"&amp;G338&amp;"/"&amp;IF(H338="2B","2B",IF(H338="NO.1","1D",IF(H338="FH","FH",0)))&amp;"-"&amp;IF(J338="",(TEXT(I338,"0.00")),TEXT(J338,"0.00"))&amp;"X"&amp;M338</f>
        <v>RM-J3/1D-2.40X645</v>
      </c>
      <c r="C338" s="173" t="s">
        <v>48</v>
      </c>
      <c r="D338" s="173" t="s">
        <v>48</v>
      </c>
      <c r="E338" s="190" t="s">
        <v>1415</v>
      </c>
      <c r="F338" s="190" t="s">
        <v>1416</v>
      </c>
      <c r="G338" s="173" t="s">
        <v>34</v>
      </c>
      <c r="H338" s="173" t="s">
        <v>127</v>
      </c>
      <c r="I338" s="174">
        <v>2.4</v>
      </c>
      <c r="J338" s="174"/>
      <c r="K338" s="174"/>
      <c r="L338" s="174"/>
      <c r="M338" s="191">
        <v>645</v>
      </c>
      <c r="N338" s="176">
        <v>7.7919999999999998</v>
      </c>
      <c r="O338" s="176"/>
      <c r="P338" s="177"/>
      <c r="Q338" s="178"/>
      <c r="R338" s="179"/>
      <c r="S338" s="179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80"/>
      <c r="AE338" s="173" t="s">
        <v>69</v>
      </c>
      <c r="AF338" s="181" t="s">
        <v>1065</v>
      </c>
      <c r="AG338" s="181" t="s">
        <v>1401</v>
      </c>
      <c r="AH338" s="181">
        <v>44819</v>
      </c>
      <c r="AI338" s="181">
        <v>44835</v>
      </c>
      <c r="AJ338" s="181"/>
      <c r="AK338" s="181">
        <f ca="1">TODAY()</f>
        <v>44958</v>
      </c>
      <c r="AL338" s="173">
        <f ca="1">IF(AI338&lt;&gt;0,AK338-AI338,0)</f>
        <v>123</v>
      </c>
      <c r="AM338" s="173" t="str">
        <f>IF(ISNUMBER(X338)=TRUE,AK338-X338,IF(X338="","",(AK338)-(MID(RIGHT(X338,10),4,2)&amp;"/"&amp;LEFT((RIGHT(X338,10)),2)&amp;"/"&amp;RIGHT(X338,4))))</f>
        <v/>
      </c>
      <c r="AN338" s="181" t="s">
        <v>1417</v>
      </c>
      <c r="AO338" s="190" t="s">
        <v>1418</v>
      </c>
      <c r="AP338" s="176">
        <v>7.7919999999999998</v>
      </c>
      <c r="AQ338" s="176">
        <v>7.8319999999999999</v>
      </c>
      <c r="AR338" s="176">
        <v>7.8570000000000002</v>
      </c>
      <c r="AS338" s="176">
        <v>7.8620000000000001</v>
      </c>
      <c r="AT338" s="173" t="str">
        <f>IF(ISNUMBER(U338)=TRUE,AK338-U338,IF(U338="","",(AK338)-(MID(RIGHT(U338,10),4,2)&amp;"/"&amp;LEFT((RIGHT(U338,10)),2)&amp;"/"&amp;RIGHT(U338,4))))</f>
        <v/>
      </c>
      <c r="AU338" s="173">
        <v>454</v>
      </c>
      <c r="AW338" s="142" t="s">
        <v>123</v>
      </c>
    </row>
    <row r="339" spans="2:49" s="142" customFormat="1" ht="21" customHeight="1" x14ac:dyDescent="0.25">
      <c r="B339" s="173" t="str">
        <f>IF(C339="HOLD RM","HOLD RM",IF(C339="BAL","WIP",IF(C339="HOLD SLT","HOLD SLT",IF(C339="MILL","RM",IF(C339="RE SLT","WIP",IF(C339="RM","RM",IF(C339="RM BAL","RM",IF(C339="RM SLT","RM",IF(C339="RR","WIP",IF(C339="SKP","WIP",IF(C339="SLT","WIP",IF(C339="CTL","WIP",IF(C339="RM SLT RUST","RM SLT RUST",0)))))))))))))&amp;"-"&amp;G339&amp;"/"&amp;IF(H339="2B","2B",IF(H339="NO.1","1D",IF(H339="FH","FH",0)))&amp;"-"&amp;IF(J339="",(TEXT(I339,"0.00")),TEXT(J339,"0.00"))&amp;"X"&amp;M339</f>
        <v>RM-J3/1D-2.40X640</v>
      </c>
      <c r="C339" s="173" t="s">
        <v>48</v>
      </c>
      <c r="D339" s="173" t="s">
        <v>48</v>
      </c>
      <c r="E339" s="190" t="s">
        <v>1419</v>
      </c>
      <c r="F339" s="190" t="s">
        <v>1420</v>
      </c>
      <c r="G339" s="173" t="s">
        <v>34</v>
      </c>
      <c r="H339" s="173" t="s">
        <v>127</v>
      </c>
      <c r="I339" s="174">
        <v>2.4</v>
      </c>
      <c r="J339" s="174"/>
      <c r="K339" s="174"/>
      <c r="L339" s="174"/>
      <c r="M339" s="191">
        <v>640</v>
      </c>
      <c r="N339" s="176">
        <v>10.215</v>
      </c>
      <c r="O339" s="176"/>
      <c r="P339" s="177"/>
      <c r="Q339" s="178"/>
      <c r="R339" s="179"/>
      <c r="S339" s="179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80"/>
      <c r="AE339" s="173" t="s">
        <v>69</v>
      </c>
      <c r="AF339" s="181" t="s">
        <v>1065</v>
      </c>
      <c r="AG339" s="181" t="s">
        <v>1401</v>
      </c>
      <c r="AH339" s="181">
        <v>44819</v>
      </c>
      <c r="AI339" s="181">
        <v>44835</v>
      </c>
      <c r="AJ339" s="181"/>
      <c r="AK339" s="181">
        <f ca="1">TODAY()</f>
        <v>44958</v>
      </c>
      <c r="AL339" s="173">
        <f ca="1">IF(AI339&lt;&gt;0,AK339-AI339,0)</f>
        <v>123</v>
      </c>
      <c r="AM339" s="173" t="str">
        <f>IF(ISNUMBER(X339)=TRUE,AK339-X339,IF(X339="","",(AK339)-(MID(RIGHT(X339,10),4,2)&amp;"/"&amp;LEFT((RIGHT(X339,10)),2)&amp;"/"&amp;RIGHT(X339,4))))</f>
        <v/>
      </c>
      <c r="AN339" s="181" t="s">
        <v>1421</v>
      </c>
      <c r="AO339" s="190" t="s">
        <v>1422</v>
      </c>
      <c r="AP339" s="176">
        <v>10.215</v>
      </c>
      <c r="AQ339" s="176">
        <v>10.254999999999999</v>
      </c>
      <c r="AR339" s="176">
        <v>10.279999999999998</v>
      </c>
      <c r="AS339" s="176">
        <v>10.284999999999998</v>
      </c>
      <c r="AT339" s="173" t="str">
        <f>IF(ISNUMBER(U339)=TRUE,AK339-U339,IF(U339="","",(AK339)-(MID(RIGHT(U339,10),4,2)&amp;"/"&amp;LEFT((RIGHT(U339,10)),2)&amp;"/"&amp;RIGHT(U339,4))))</f>
        <v/>
      </c>
      <c r="AU339" s="173">
        <v>454</v>
      </c>
      <c r="AW339" s="142" t="s">
        <v>123</v>
      </c>
    </row>
    <row r="340" spans="2:49" s="142" customFormat="1" ht="21" customHeight="1" x14ac:dyDescent="0.25">
      <c r="B340" s="173" t="str">
        <f>IF(C340="HOLD RM","HOLD RM",IF(C340="BAL","WIP",IF(C340="HOLD SLT","HOLD SLT",IF(C340="MILL","RM",IF(C340="RE SLT","WIP",IF(C340="RM","RM",IF(C340="RM BAL","RM",IF(C340="RM SLT","RM",IF(C340="RR","WIP",IF(C340="SKP","WIP",IF(C340="SLT","WIP",IF(C340="CTL","WIP",IF(C340="RM SLT RUST","RM SLT RUST",0)))))))))))))&amp;"-"&amp;G340&amp;"/"&amp;IF(H340="2B","2B",IF(H340="NO.1","1D",IF(H340="FH","FH",0)))&amp;"-"&amp;IF(J340="",(TEXT(I340,"0.00")),TEXT(J340,"0.00"))&amp;"X"&amp;M340</f>
        <v>RM-J3/1D-2.40X645</v>
      </c>
      <c r="C340" s="173" t="s">
        <v>48</v>
      </c>
      <c r="D340" s="173" t="s">
        <v>48</v>
      </c>
      <c r="E340" s="190" t="s">
        <v>1423</v>
      </c>
      <c r="F340" s="190" t="s">
        <v>1424</v>
      </c>
      <c r="G340" s="173" t="s">
        <v>34</v>
      </c>
      <c r="H340" s="173" t="s">
        <v>127</v>
      </c>
      <c r="I340" s="174">
        <v>2.4</v>
      </c>
      <c r="J340" s="174"/>
      <c r="K340" s="174"/>
      <c r="L340" s="174"/>
      <c r="M340" s="191">
        <v>645</v>
      </c>
      <c r="N340" s="176">
        <v>8.2360000000000007</v>
      </c>
      <c r="O340" s="176"/>
      <c r="P340" s="177"/>
      <c r="Q340" s="178"/>
      <c r="R340" s="179"/>
      <c r="S340" s="179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80"/>
      <c r="AE340" s="173" t="s">
        <v>69</v>
      </c>
      <c r="AF340" s="181" t="s">
        <v>1065</v>
      </c>
      <c r="AG340" s="181" t="s">
        <v>1401</v>
      </c>
      <c r="AH340" s="181">
        <v>44819</v>
      </c>
      <c r="AI340" s="181">
        <v>44835</v>
      </c>
      <c r="AJ340" s="181"/>
      <c r="AK340" s="181">
        <f ca="1">TODAY()</f>
        <v>44958</v>
      </c>
      <c r="AL340" s="173">
        <f ca="1">IF(AI340&lt;&gt;0,AK340-AI340,0)</f>
        <v>123</v>
      </c>
      <c r="AM340" s="173" t="str">
        <f>IF(ISNUMBER(X340)=TRUE,AK340-X340,IF(X340="","",(AK340)-(MID(RIGHT(X340,10),4,2)&amp;"/"&amp;LEFT((RIGHT(X340,10)),2)&amp;"/"&amp;RIGHT(X340,4))))</f>
        <v/>
      </c>
      <c r="AN340" s="181" t="s">
        <v>1425</v>
      </c>
      <c r="AO340" s="190" t="s">
        <v>1418</v>
      </c>
      <c r="AP340" s="176">
        <v>8.2360000000000007</v>
      </c>
      <c r="AQ340" s="176">
        <v>8.2759999999999998</v>
      </c>
      <c r="AR340" s="176">
        <v>8.3009999999999984</v>
      </c>
      <c r="AS340" s="176">
        <v>8.3059999999999992</v>
      </c>
      <c r="AT340" s="173" t="str">
        <f>IF(ISNUMBER(U340)=TRUE,AK340-U340,IF(U340="","",(AK340)-(MID(RIGHT(U340,10),4,2)&amp;"/"&amp;LEFT((RIGHT(U340,10)),2)&amp;"/"&amp;RIGHT(U340,4))))</f>
        <v/>
      </c>
      <c r="AU340" s="173">
        <v>454</v>
      </c>
      <c r="AW340" s="142" t="s">
        <v>123</v>
      </c>
    </row>
    <row r="341" spans="2:49" s="142" customFormat="1" ht="21" customHeight="1" x14ac:dyDescent="0.25">
      <c r="B341" s="173" t="str">
        <f>IF(C341="HOLD RM","HOLD RM",IF(C341="BAL","WIP",IF(C341="HOLD SLT","HOLD SLT",IF(C341="MILL","RM",IF(C341="RE SLT","WIP",IF(C341="RM","RM",IF(C341="RM BAL","RM",IF(C341="RM SLT","RM",IF(C341="RR","WIP",IF(C341="SKP","WIP",IF(C341="SLT","WIP",IF(C341="CTL","WIP",IF(C341="RM SLT RUST","RM SLT RUST",0)))))))))))))&amp;"-"&amp;G341&amp;"/"&amp;IF(H341="2B","2B",IF(H341="NO.1","1D",IF(H341="FH","FH",0)))&amp;"-"&amp;IF(J341="",(TEXT(I341,"0.00")),TEXT(J341,"0.00"))&amp;"X"&amp;M341</f>
        <v>RM-J3/1D-2.40X645</v>
      </c>
      <c r="C341" s="173" t="s">
        <v>48</v>
      </c>
      <c r="D341" s="173" t="s">
        <v>48</v>
      </c>
      <c r="E341" s="190" t="s">
        <v>1426</v>
      </c>
      <c r="F341" s="190" t="s">
        <v>1427</v>
      </c>
      <c r="G341" s="173" t="s">
        <v>34</v>
      </c>
      <c r="H341" s="173" t="s">
        <v>127</v>
      </c>
      <c r="I341" s="174">
        <v>2.4</v>
      </c>
      <c r="J341" s="174"/>
      <c r="K341" s="174"/>
      <c r="L341" s="174"/>
      <c r="M341" s="191">
        <v>645</v>
      </c>
      <c r="N341" s="176">
        <v>10.465</v>
      </c>
      <c r="O341" s="176"/>
      <c r="P341" s="177"/>
      <c r="Q341" s="178"/>
      <c r="R341" s="179"/>
      <c r="S341" s="179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80"/>
      <c r="AE341" s="173" t="s">
        <v>69</v>
      </c>
      <c r="AF341" s="181" t="s">
        <v>1065</v>
      </c>
      <c r="AG341" s="181" t="s">
        <v>1401</v>
      </c>
      <c r="AH341" s="181">
        <v>44819</v>
      </c>
      <c r="AI341" s="181">
        <v>44835</v>
      </c>
      <c r="AJ341" s="181"/>
      <c r="AK341" s="181">
        <f ca="1">TODAY()</f>
        <v>44958</v>
      </c>
      <c r="AL341" s="173">
        <f ca="1">IF(AI341&lt;&gt;0,AK341-AI341,0)</f>
        <v>123</v>
      </c>
      <c r="AM341" s="173" t="str">
        <f>IF(ISNUMBER(X341)=TRUE,AK341-X341,IF(X341="","",(AK341)-(MID(RIGHT(X341,10),4,2)&amp;"/"&amp;LEFT((RIGHT(X341,10)),2)&amp;"/"&amp;RIGHT(X341,4))))</f>
        <v/>
      </c>
      <c r="AN341" s="181" t="s">
        <v>1413</v>
      </c>
      <c r="AO341" s="190" t="s">
        <v>1428</v>
      </c>
      <c r="AP341" s="176">
        <v>10.465</v>
      </c>
      <c r="AQ341" s="176">
        <v>10.504999999999999</v>
      </c>
      <c r="AR341" s="176">
        <v>10.529999999999998</v>
      </c>
      <c r="AS341" s="176">
        <v>10.534999999999998</v>
      </c>
      <c r="AT341" s="173" t="str">
        <f>IF(ISNUMBER(U341)=TRUE,AK341-U341,IF(U341="","",(AK341)-(MID(RIGHT(U341,10),4,2)&amp;"/"&amp;LEFT((RIGHT(U341,10)),2)&amp;"/"&amp;RIGHT(U341,4))))</f>
        <v/>
      </c>
      <c r="AU341" s="173">
        <v>454</v>
      </c>
      <c r="AW341" s="142" t="s">
        <v>123</v>
      </c>
    </row>
    <row r="342" spans="2:49" s="142" customFormat="1" ht="21" customHeight="1" x14ac:dyDescent="0.25">
      <c r="B342" s="173" t="str">
        <f>IF(C342="HOLD RM","HOLD RM",IF(C342="BAL","WIP",IF(C342="HOLD SLT","HOLD SLT",IF(C342="MILL","RM",IF(C342="RE SLT","WIP",IF(C342="RM","RM",IF(C342="RM BAL","RM",IF(C342="RM SLT","RM",IF(C342="RR","WIP",IF(C342="SKP","WIP",IF(C342="SLT","WIP",IF(C342="CTL","WIP",IF(C342="RM SLT RUST","RM SLT RUST",0)))))))))))))&amp;"-"&amp;G342&amp;"/"&amp;IF(H342="2B","2B",IF(H342="NO.1","1D",IF(H342="FH","FH",0)))&amp;"-"&amp;IF(J342="",(TEXT(I342,"0.00")),TEXT(J342,"0.00"))&amp;"X"&amp;M342</f>
        <v>RM-J3/1D-2.15X645</v>
      </c>
      <c r="C342" s="173" t="s">
        <v>48</v>
      </c>
      <c r="D342" s="173" t="s">
        <v>48</v>
      </c>
      <c r="E342" s="190" t="s">
        <v>1429</v>
      </c>
      <c r="F342" s="190" t="s">
        <v>1430</v>
      </c>
      <c r="G342" s="173" t="s">
        <v>34</v>
      </c>
      <c r="H342" s="173" t="s">
        <v>127</v>
      </c>
      <c r="I342" s="174">
        <v>2.15</v>
      </c>
      <c r="J342" s="174"/>
      <c r="K342" s="174"/>
      <c r="L342" s="174"/>
      <c r="M342" s="191">
        <v>645</v>
      </c>
      <c r="N342" s="176">
        <v>10.205</v>
      </c>
      <c r="O342" s="176"/>
      <c r="P342" s="177"/>
      <c r="Q342" s="178"/>
      <c r="R342" s="179"/>
      <c r="S342" s="179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80"/>
      <c r="AE342" s="173" t="s">
        <v>69</v>
      </c>
      <c r="AF342" s="181" t="s">
        <v>1065</v>
      </c>
      <c r="AG342" s="181" t="s">
        <v>1401</v>
      </c>
      <c r="AH342" s="181">
        <v>44819</v>
      </c>
      <c r="AI342" s="181">
        <v>44835</v>
      </c>
      <c r="AJ342" s="181"/>
      <c r="AK342" s="181">
        <f ca="1">TODAY()</f>
        <v>44958</v>
      </c>
      <c r="AL342" s="173">
        <f ca="1">IF(AI342&lt;&gt;0,AK342-AI342,0)</f>
        <v>123</v>
      </c>
      <c r="AM342" s="173" t="str">
        <f>IF(ISNUMBER(X342)=TRUE,AK342-X342,IF(X342="","",(AK342)-(MID(RIGHT(X342,10),4,2)&amp;"/"&amp;LEFT((RIGHT(X342,10)),2)&amp;"/"&amp;RIGHT(X342,4))))</f>
        <v/>
      </c>
      <c r="AN342" s="181" t="s">
        <v>1409</v>
      </c>
      <c r="AO342" s="190" t="s">
        <v>1431</v>
      </c>
      <c r="AP342" s="176">
        <v>10.205</v>
      </c>
      <c r="AQ342" s="176">
        <v>10.244999999999999</v>
      </c>
      <c r="AR342" s="176">
        <v>10.269999999999998</v>
      </c>
      <c r="AS342" s="176">
        <v>10.274999999999999</v>
      </c>
      <c r="AT342" s="173" t="str">
        <f>IF(ISNUMBER(U342)=TRUE,AK342-U342,IF(U342="","",(AK342)-(MID(RIGHT(U342,10),4,2)&amp;"/"&amp;LEFT((RIGHT(U342,10)),2)&amp;"/"&amp;RIGHT(U342,4))))</f>
        <v/>
      </c>
      <c r="AU342" s="173">
        <v>454</v>
      </c>
      <c r="AW342" s="142" t="s">
        <v>123</v>
      </c>
    </row>
    <row r="343" spans="2:49" s="142" customFormat="1" ht="21" customHeight="1" x14ac:dyDescent="0.25">
      <c r="B343" s="173" t="str">
        <f>IF(C343="HOLD RM","HOLD RM",IF(C343="BAL","WIP",IF(C343="HOLD SLT","HOLD SLT",IF(C343="MILL","RM",IF(C343="RE SLT","WIP",IF(C343="RM","RM",IF(C343="RM BAL","RM",IF(C343="RM SLT","RM",IF(C343="RR","WIP",IF(C343="SKP","WIP",IF(C343="SLT","WIP",IF(C343="CTL","WIP",IF(C343="RM SLT RUST","RM SLT RUST",0)))))))))))))&amp;"-"&amp;G343&amp;"/"&amp;IF(H343="2B","2B",IF(H343="NO.1","1D",IF(H343="FH","FH",0)))&amp;"-"&amp;IF(J343="",(TEXT(I343,"0.00")),TEXT(J343,"0.00"))&amp;"X"&amp;M343</f>
        <v>RM-J3/1D-2.20X645</v>
      </c>
      <c r="C343" s="173" t="s">
        <v>48</v>
      </c>
      <c r="D343" s="173" t="s">
        <v>48</v>
      </c>
      <c r="E343" s="190" t="s">
        <v>1432</v>
      </c>
      <c r="F343" s="190" t="s">
        <v>1433</v>
      </c>
      <c r="G343" s="173" t="s">
        <v>34</v>
      </c>
      <c r="H343" s="173" t="s">
        <v>127</v>
      </c>
      <c r="I343" s="174">
        <v>2.2000000000000002</v>
      </c>
      <c r="J343" s="174"/>
      <c r="K343" s="174"/>
      <c r="L343" s="174"/>
      <c r="M343" s="191">
        <v>645</v>
      </c>
      <c r="N343" s="176">
        <v>10.003</v>
      </c>
      <c r="O343" s="176"/>
      <c r="P343" s="177"/>
      <c r="Q343" s="178"/>
      <c r="R343" s="179"/>
      <c r="S343" s="179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80"/>
      <c r="AE343" s="173" t="s">
        <v>69</v>
      </c>
      <c r="AF343" s="181" t="s">
        <v>1065</v>
      </c>
      <c r="AG343" s="181" t="s">
        <v>1401</v>
      </c>
      <c r="AH343" s="181">
        <v>44819</v>
      </c>
      <c r="AI343" s="181">
        <v>44835</v>
      </c>
      <c r="AJ343" s="181"/>
      <c r="AK343" s="181">
        <f ca="1">TODAY()</f>
        <v>44958</v>
      </c>
      <c r="AL343" s="173">
        <f ca="1">IF(AI343&lt;&gt;0,AK343-AI343,0)</f>
        <v>123</v>
      </c>
      <c r="AM343" s="173" t="str">
        <f>IF(ISNUMBER(X343)=TRUE,AK343-X343,IF(X343="","",(AK343)-(MID(RIGHT(X343,10),4,2)&amp;"/"&amp;LEFT((RIGHT(X343,10)),2)&amp;"/"&amp;RIGHT(X343,4))))</f>
        <v/>
      </c>
      <c r="AN343" s="181" t="s">
        <v>1434</v>
      </c>
      <c r="AO343" s="190" t="s">
        <v>1435</v>
      </c>
      <c r="AP343" s="176">
        <v>10.003</v>
      </c>
      <c r="AQ343" s="176">
        <v>10.042999999999999</v>
      </c>
      <c r="AR343" s="176">
        <v>10.067999999999998</v>
      </c>
      <c r="AS343" s="176">
        <v>10.072999999999999</v>
      </c>
      <c r="AT343" s="173" t="str">
        <f>IF(ISNUMBER(U343)=TRUE,AK343-U343,IF(U343="","",(AK343)-(MID(RIGHT(U343,10),4,2)&amp;"/"&amp;LEFT((RIGHT(U343,10)),2)&amp;"/"&amp;RIGHT(U343,4))))</f>
        <v/>
      </c>
      <c r="AU343" s="173">
        <v>454</v>
      </c>
      <c r="AW343" s="142" t="s">
        <v>123</v>
      </c>
    </row>
    <row r="344" spans="2:49" s="142" customFormat="1" ht="21" customHeight="1" x14ac:dyDescent="0.25">
      <c r="B344" s="173" t="str">
        <f>IF(C344="HOLD RM","HOLD RM",IF(C344="BAL","WIP",IF(C344="HOLD SLT","HOLD SLT",IF(C344="MILL","RM",IF(C344="RE SLT","WIP",IF(C344="RM","RM",IF(C344="RM BAL","RM",IF(C344="RM SLT","RM",IF(C344="RR","WIP",IF(C344="SKP","WIP",IF(C344="SLT","WIP",IF(C344="CTL","WIP",IF(C344="RM SLT RUST","RM SLT RUST",0)))))))))))))&amp;"-"&amp;G344&amp;"/"&amp;IF(H344="2B","2B",IF(H344="NO.1","1D",IF(H344="FH","FH",0)))&amp;"-"&amp;IF(J344="",(TEXT(I344,"0.00")),TEXT(J344,"0.00"))&amp;"X"&amp;M344</f>
        <v>RM-J3/1D-2.40X620</v>
      </c>
      <c r="C344" s="173" t="s">
        <v>48</v>
      </c>
      <c r="D344" s="173" t="s">
        <v>48</v>
      </c>
      <c r="E344" s="190" t="s">
        <v>1436</v>
      </c>
      <c r="F344" s="190" t="s">
        <v>1437</v>
      </c>
      <c r="G344" s="173" t="s">
        <v>34</v>
      </c>
      <c r="H344" s="173" t="s">
        <v>127</v>
      </c>
      <c r="I344" s="174">
        <v>2.4</v>
      </c>
      <c r="J344" s="174"/>
      <c r="K344" s="174"/>
      <c r="L344" s="174"/>
      <c r="M344" s="191">
        <v>620</v>
      </c>
      <c r="N344" s="176">
        <v>4.7160000000000002</v>
      </c>
      <c r="O344" s="176"/>
      <c r="P344" s="177"/>
      <c r="Q344" s="178"/>
      <c r="R344" s="179"/>
      <c r="S344" s="179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80"/>
      <c r="AE344" s="173" t="s">
        <v>69</v>
      </c>
      <c r="AF344" s="181" t="s">
        <v>1065</v>
      </c>
      <c r="AG344" s="181" t="s">
        <v>1401</v>
      </c>
      <c r="AH344" s="181">
        <v>44819</v>
      </c>
      <c r="AI344" s="181">
        <v>44835</v>
      </c>
      <c r="AJ344" s="181"/>
      <c r="AK344" s="181">
        <f ca="1">TODAY()</f>
        <v>44958</v>
      </c>
      <c r="AL344" s="173">
        <f ca="1">IF(AI344&lt;&gt;0,AK344-AI344,0)</f>
        <v>123</v>
      </c>
      <c r="AM344" s="173" t="str">
        <f>IF(ISNUMBER(X344)=TRUE,AK344-X344,IF(X344="","",(AK344)-(MID(RIGHT(X344,10),4,2)&amp;"/"&amp;LEFT((RIGHT(X344,10)),2)&amp;"/"&amp;RIGHT(X344,4))))</f>
        <v/>
      </c>
      <c r="AN344" s="181" t="s">
        <v>1413</v>
      </c>
      <c r="AO344" s="190" t="s">
        <v>1298</v>
      </c>
      <c r="AP344" s="176">
        <v>4.7160000000000002</v>
      </c>
      <c r="AQ344" s="176">
        <v>4.7560000000000002</v>
      </c>
      <c r="AR344" s="176">
        <v>4.7810000000000006</v>
      </c>
      <c r="AS344" s="176">
        <v>4.7860000000000005</v>
      </c>
      <c r="AT344" s="173" t="str">
        <f>IF(ISNUMBER(U344)=TRUE,AK344-U344,IF(U344="","",(AK344)-(MID(RIGHT(U344,10),4,2)&amp;"/"&amp;LEFT((RIGHT(U344,10)),2)&amp;"/"&amp;RIGHT(U344,4))))</f>
        <v/>
      </c>
      <c r="AU344" s="173">
        <v>454</v>
      </c>
      <c r="AW344" s="142" t="s">
        <v>123</v>
      </c>
    </row>
    <row r="345" spans="2:49" s="142" customFormat="1" ht="21" customHeight="1" x14ac:dyDescent="0.25">
      <c r="B345" s="173" t="str">
        <f>IF(C345="HOLD RM","HOLD RM",IF(C345="BAL","WIP",IF(C345="HOLD SLT","HOLD SLT",IF(C345="MILL","RM",IF(C345="RE SLT","WIP",IF(C345="RM","RM",IF(C345="RM BAL","RM",IF(C345="RM SLT","RM",IF(C345="RR","WIP",IF(C345="SKP","WIP",IF(C345="SLT","WIP",IF(C345="CTL","WIP",IF(C345="RM SLT RUST","RM SLT RUST",0)))))))))))))&amp;"-"&amp;G345&amp;"/"&amp;IF(H345="2B","2B",IF(H345="NO.1","1D",IF(H345="FH","FH",0)))&amp;"-"&amp;IF(J345="",(TEXT(I345,"0.00")),TEXT(J345,"0.00"))&amp;"X"&amp;M345</f>
        <v>WIP-J3/FH-0.91X620</v>
      </c>
      <c r="C345" s="173" t="s">
        <v>16</v>
      </c>
      <c r="D345" s="173" t="s">
        <v>16</v>
      </c>
      <c r="E345" s="190" t="s">
        <v>1438</v>
      </c>
      <c r="F345" s="190" t="s">
        <v>1439</v>
      </c>
      <c r="G345" s="173" t="s">
        <v>34</v>
      </c>
      <c r="H345" s="173" t="s">
        <v>70</v>
      </c>
      <c r="I345" s="174">
        <v>2.4</v>
      </c>
      <c r="J345" s="174">
        <v>0.91</v>
      </c>
      <c r="K345" s="174"/>
      <c r="L345" s="174"/>
      <c r="M345" s="191">
        <v>620</v>
      </c>
      <c r="N345" s="176">
        <v>4.7140000000000004</v>
      </c>
      <c r="O345" s="176" t="s">
        <v>114</v>
      </c>
      <c r="P345" s="177"/>
      <c r="Q345" s="178" t="s">
        <v>294</v>
      </c>
      <c r="R345" s="179"/>
      <c r="S345" s="179"/>
      <c r="T345" s="177">
        <v>44865</v>
      </c>
      <c r="U345" s="177"/>
      <c r="V345" s="177"/>
      <c r="W345" s="177">
        <v>44868</v>
      </c>
      <c r="X345" s="177"/>
      <c r="Y345" s="177"/>
      <c r="Z345" s="177"/>
      <c r="AA345" s="177"/>
      <c r="AB345" s="177"/>
      <c r="AC345" s="177"/>
      <c r="AD345" s="180"/>
      <c r="AE345" s="173" t="s">
        <v>69</v>
      </c>
      <c r="AF345" s="181" t="s">
        <v>1065</v>
      </c>
      <c r="AG345" s="181" t="s">
        <v>1401</v>
      </c>
      <c r="AH345" s="181">
        <v>44819</v>
      </c>
      <c r="AI345" s="181">
        <v>44835</v>
      </c>
      <c r="AJ345" s="181"/>
      <c r="AK345" s="181">
        <f ca="1">TODAY()</f>
        <v>44958</v>
      </c>
      <c r="AL345" s="173">
        <f ca="1">IF(AI345&lt;&gt;0,AK345-AI345,0)</f>
        <v>123</v>
      </c>
      <c r="AM345" s="173" t="str">
        <f>IF(ISNUMBER(X345)=TRUE,AK345-X345,IF(X345="","",(AK345)-(MID(RIGHT(X345,10),4,2)&amp;"/"&amp;LEFT((RIGHT(X345,10)),2)&amp;"/"&amp;RIGHT(X345,4))))</f>
        <v/>
      </c>
      <c r="AN345" s="181" t="s">
        <v>1434</v>
      </c>
      <c r="AO345" s="190" t="s">
        <v>1298</v>
      </c>
      <c r="AP345" s="176">
        <v>4.7140000000000004</v>
      </c>
      <c r="AQ345" s="176">
        <v>4.7540000000000004</v>
      </c>
      <c r="AR345" s="176">
        <v>4.7790000000000008</v>
      </c>
      <c r="AS345" s="176">
        <v>4.7840000000000007</v>
      </c>
      <c r="AT345" s="173" t="str">
        <f>IF(ISNUMBER(U345)=TRUE,AK345-U345,IF(U345="","",(AK345)-(MID(RIGHT(U345,10),4,2)&amp;"/"&amp;LEFT((RIGHT(U345,10)),2)&amp;"/"&amp;RIGHT(U345,4))))</f>
        <v/>
      </c>
      <c r="AU345" s="173">
        <v>454</v>
      </c>
      <c r="AW345" s="142" t="s">
        <v>123</v>
      </c>
    </row>
    <row r="346" spans="2:49" s="142" customFormat="1" ht="21" customHeight="1" x14ac:dyDescent="0.25">
      <c r="B346" s="173" t="str">
        <f>IF(C346="HOLD RM","HOLD RM",IF(C346="BAL","WIP",IF(C346="HOLD SLT","HOLD SLT",IF(C346="MILL","RM",IF(C346="RE SLT","WIP",IF(C346="RM","RM",IF(C346="RM BAL","RM",IF(C346="RM SLT","RM",IF(C346="RR","WIP",IF(C346="SKP","WIP",IF(C346="SLT","WIP",IF(C346="CTL","WIP",IF(C346="RM SLT RUST","RM SLT RUST",0)))))))))))))&amp;"-"&amp;G346&amp;"/"&amp;IF(H346="2B","2B",IF(H346="NO.1","1D",IF(H346="FH","FH",0)))&amp;"-"&amp;IF(J346="",(TEXT(I346,"0.00")),TEXT(J346,"0.00"))&amp;"X"&amp;M346</f>
        <v>RM-J3/1D-2.40X620</v>
      </c>
      <c r="C346" s="173" t="s">
        <v>48</v>
      </c>
      <c r="D346" s="173" t="s">
        <v>48</v>
      </c>
      <c r="E346" s="190" t="s">
        <v>1440</v>
      </c>
      <c r="F346" s="190" t="s">
        <v>1441</v>
      </c>
      <c r="G346" s="173" t="s">
        <v>34</v>
      </c>
      <c r="H346" s="173" t="s">
        <v>127</v>
      </c>
      <c r="I346" s="174">
        <v>2.4</v>
      </c>
      <c r="J346" s="174"/>
      <c r="K346" s="174"/>
      <c r="L346" s="174"/>
      <c r="M346" s="191">
        <v>620</v>
      </c>
      <c r="N346" s="176">
        <v>4.8470000000000004</v>
      </c>
      <c r="O346" s="176"/>
      <c r="P346" s="177"/>
      <c r="Q346" s="178"/>
      <c r="R346" s="179"/>
      <c r="S346" s="179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80"/>
      <c r="AE346" s="173" t="s">
        <v>69</v>
      </c>
      <c r="AF346" s="181" t="s">
        <v>1065</v>
      </c>
      <c r="AG346" s="181" t="s">
        <v>1401</v>
      </c>
      <c r="AH346" s="181">
        <v>44819</v>
      </c>
      <c r="AI346" s="181">
        <v>44835</v>
      </c>
      <c r="AJ346" s="181"/>
      <c r="AK346" s="181">
        <f ca="1">TODAY()</f>
        <v>44958</v>
      </c>
      <c r="AL346" s="173">
        <f ca="1">IF(AI346&lt;&gt;0,AK346-AI346,0)</f>
        <v>123</v>
      </c>
      <c r="AM346" s="173" t="str">
        <f>IF(ISNUMBER(X346)=TRUE,AK346-X346,IF(X346="","",(AK346)-(MID(RIGHT(X346,10),4,2)&amp;"/"&amp;LEFT((RIGHT(X346,10)),2)&amp;"/"&amp;RIGHT(X346,4))))</f>
        <v/>
      </c>
      <c r="AN346" s="181" t="s">
        <v>1442</v>
      </c>
      <c r="AO346" s="190" t="s">
        <v>1298</v>
      </c>
      <c r="AP346" s="176">
        <v>4.8470000000000004</v>
      </c>
      <c r="AQ346" s="176">
        <v>4.8870000000000005</v>
      </c>
      <c r="AR346" s="176">
        <v>4.9120000000000008</v>
      </c>
      <c r="AS346" s="176">
        <v>4.9170000000000007</v>
      </c>
      <c r="AT346" s="173" t="str">
        <f>IF(ISNUMBER(U346)=TRUE,AK346-U346,IF(U346="","",(AK346)-(MID(RIGHT(U346,10),4,2)&amp;"/"&amp;LEFT((RIGHT(U346,10)),2)&amp;"/"&amp;RIGHT(U346,4))))</f>
        <v/>
      </c>
      <c r="AU346" s="173">
        <v>454</v>
      </c>
      <c r="AW346" s="142" t="s">
        <v>123</v>
      </c>
    </row>
    <row r="347" spans="2:49" s="142" customFormat="1" ht="21" customHeight="1" x14ac:dyDescent="0.25">
      <c r="B347" s="173" t="str">
        <f>IF(C347="HOLD RM","HOLD RM",IF(C347="BAL","WIP",IF(C347="HOLD SLT","HOLD SLT",IF(C347="MILL","RM",IF(C347="RE SLT","WIP",IF(C347="RM","RM",IF(C347="RM BAL","RM",IF(C347="RM SLT","RM",IF(C347="RR","WIP",IF(C347="SKP","WIP",IF(C347="SLT","WIP",IF(C347="CTL","WIP",IF(C347="RM SLT RUST","RM SLT RUST",0)))))))))))))&amp;"-"&amp;G347&amp;"/"&amp;IF(H347="2B","2B",IF(H347="NO.1","1D",IF(H347="FH","FH",0)))&amp;"-"&amp;IF(J347="",(TEXT(I347,"0.00")),TEXT(J347,"0.00"))&amp;"X"&amp;M347</f>
        <v>RM-J3/1D-2.40X620</v>
      </c>
      <c r="C347" s="173" t="s">
        <v>48</v>
      </c>
      <c r="D347" s="173" t="s">
        <v>48</v>
      </c>
      <c r="E347" s="190" t="s">
        <v>1443</v>
      </c>
      <c r="F347" s="190" t="s">
        <v>1444</v>
      </c>
      <c r="G347" s="173" t="s">
        <v>34</v>
      </c>
      <c r="H347" s="173" t="s">
        <v>127</v>
      </c>
      <c r="I347" s="174">
        <v>2.4</v>
      </c>
      <c r="J347" s="174"/>
      <c r="K347" s="174"/>
      <c r="L347" s="174"/>
      <c r="M347" s="191">
        <v>620</v>
      </c>
      <c r="N347" s="176">
        <v>4.8330000000000002</v>
      </c>
      <c r="O347" s="176"/>
      <c r="P347" s="177"/>
      <c r="Q347" s="178"/>
      <c r="R347" s="179"/>
      <c r="S347" s="179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80"/>
      <c r="AE347" s="173" t="s">
        <v>69</v>
      </c>
      <c r="AF347" s="181" t="s">
        <v>1065</v>
      </c>
      <c r="AG347" s="181" t="s">
        <v>1401</v>
      </c>
      <c r="AH347" s="181">
        <v>44819</v>
      </c>
      <c r="AI347" s="181">
        <v>44835</v>
      </c>
      <c r="AJ347" s="181"/>
      <c r="AK347" s="181">
        <f ca="1">TODAY()</f>
        <v>44958</v>
      </c>
      <c r="AL347" s="173">
        <f ca="1">IF(AI347&lt;&gt;0,AK347-AI347,0)</f>
        <v>123</v>
      </c>
      <c r="AM347" s="173" t="str">
        <f>IF(ISNUMBER(X347)=TRUE,AK347-X347,IF(X347="","",(AK347)-(MID(RIGHT(X347,10),4,2)&amp;"/"&amp;LEFT((RIGHT(X347,10)),2)&amp;"/"&amp;RIGHT(X347,4))))</f>
        <v/>
      </c>
      <c r="AN347" s="181" t="s">
        <v>1445</v>
      </c>
      <c r="AO347" s="190" t="s">
        <v>1298</v>
      </c>
      <c r="AP347" s="176">
        <v>4.8334000000000001</v>
      </c>
      <c r="AQ347" s="176">
        <v>4.8734000000000002</v>
      </c>
      <c r="AR347" s="176">
        <v>4.8984000000000005</v>
      </c>
      <c r="AS347" s="176">
        <v>4.9034000000000004</v>
      </c>
      <c r="AT347" s="173" t="str">
        <f>IF(ISNUMBER(U347)=TRUE,AK347-U347,IF(U347="","",(AK347)-(MID(RIGHT(U347,10),4,2)&amp;"/"&amp;LEFT((RIGHT(U347,10)),2)&amp;"/"&amp;RIGHT(U347,4))))</f>
        <v/>
      </c>
      <c r="AU347" s="173">
        <v>454</v>
      </c>
      <c r="AW347" s="142" t="s">
        <v>123</v>
      </c>
    </row>
    <row r="348" spans="2:49" s="142" customFormat="1" ht="21" customHeight="1" x14ac:dyDescent="0.25">
      <c r="B348" s="173" t="str">
        <f>IF(C348="HOLD RM","HOLD RM",IF(C348="BAL","WIP",IF(C348="HOLD SLT","HOLD SLT",IF(C348="MILL","RM",IF(C348="RE SLT","WIP",IF(C348="RM","RM",IF(C348="RM BAL","RM",IF(C348="RM SLT","RM",IF(C348="RR","WIP",IF(C348="SKP","WIP",IF(C348="SLT","WIP",IF(C348="CTL","WIP",IF(C348="RM SLT RUST","RM SLT RUST",0)))))))))))))&amp;"-"&amp;G348&amp;"/"&amp;IF(H348="2B","2B",IF(H348="NO.1","1D",IF(H348="FH","FH",0)))&amp;"-"&amp;IF(J348="",(TEXT(I348,"0.00")),TEXT(J348,"0.00"))&amp;"X"&amp;M348</f>
        <v>RM-J3/1D-2.20X620</v>
      </c>
      <c r="C348" s="173" t="s">
        <v>48</v>
      </c>
      <c r="D348" s="173" t="s">
        <v>48</v>
      </c>
      <c r="E348" s="190" t="s">
        <v>1446</v>
      </c>
      <c r="F348" s="190" t="s">
        <v>1447</v>
      </c>
      <c r="G348" s="173" t="s">
        <v>34</v>
      </c>
      <c r="H348" s="173" t="s">
        <v>127</v>
      </c>
      <c r="I348" s="174">
        <v>2.2000000000000002</v>
      </c>
      <c r="J348" s="174"/>
      <c r="K348" s="174"/>
      <c r="L348" s="174"/>
      <c r="M348" s="191">
        <v>620</v>
      </c>
      <c r="N348" s="176">
        <v>4.99</v>
      </c>
      <c r="O348" s="176"/>
      <c r="P348" s="177"/>
      <c r="Q348" s="178"/>
      <c r="R348" s="179"/>
      <c r="S348" s="179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80"/>
      <c r="AE348" s="173" t="s">
        <v>69</v>
      </c>
      <c r="AF348" s="181" t="s">
        <v>1065</v>
      </c>
      <c r="AG348" s="181" t="s">
        <v>1401</v>
      </c>
      <c r="AH348" s="181">
        <v>44819</v>
      </c>
      <c r="AI348" s="181">
        <v>44835</v>
      </c>
      <c r="AJ348" s="181"/>
      <c r="AK348" s="181">
        <f ca="1">TODAY()</f>
        <v>44958</v>
      </c>
      <c r="AL348" s="173">
        <f ca="1">IF(AI348&lt;&gt;0,AK348-AI348,0)</f>
        <v>123</v>
      </c>
      <c r="AM348" s="173" t="str">
        <f>IF(ISNUMBER(X348)=TRUE,AK348-X348,IF(X348="","",(AK348)-(MID(RIGHT(X348,10),4,2)&amp;"/"&amp;LEFT((RIGHT(X348,10)),2)&amp;"/"&amp;RIGHT(X348,4))))</f>
        <v/>
      </c>
      <c r="AN348" s="181" t="s">
        <v>1417</v>
      </c>
      <c r="AO348" s="190" t="s">
        <v>1448</v>
      </c>
      <c r="AP348" s="176">
        <v>4.99</v>
      </c>
      <c r="AQ348" s="176">
        <v>5.03</v>
      </c>
      <c r="AR348" s="176">
        <v>5.0550000000000006</v>
      </c>
      <c r="AS348" s="176">
        <v>5.0600000000000005</v>
      </c>
      <c r="AT348" s="173" t="str">
        <f>IF(ISNUMBER(U348)=TRUE,AK348-U348,IF(U348="","",(AK348)-(MID(RIGHT(U348,10),4,2)&amp;"/"&amp;LEFT((RIGHT(U348,10)),2)&amp;"/"&amp;RIGHT(U348,4))))</f>
        <v/>
      </c>
      <c r="AU348" s="173">
        <v>454</v>
      </c>
      <c r="AW348" s="142" t="s">
        <v>123</v>
      </c>
    </row>
    <row r="349" spans="2:49" s="142" customFormat="1" ht="21" customHeight="1" x14ac:dyDescent="0.25">
      <c r="B349" s="173" t="str">
        <f>IF(C349="HOLD RM","HOLD RM",IF(C349="BAL","WIP",IF(C349="HOLD SLT","HOLD SLT",IF(C349="MILL","RM",IF(C349="RE SLT","WIP",IF(C349="RM","RM",IF(C349="RM BAL","RM",IF(C349="RM SLT","RM",IF(C349="RR","WIP",IF(C349="SKP","WIP",IF(C349="SLT","WIP",IF(C349="CTL","WIP",IF(C349="RM SLT RUST","RM SLT RUST",0)))))))))))))&amp;"-"&amp;G349&amp;"/"&amp;IF(H349="2B","2B",IF(H349="NO.1","1D",IF(H349="FH","FH",0)))&amp;"-"&amp;IF(J349="",(TEXT(I349,"0.00")),TEXT(J349,"0.00"))&amp;"X"&amp;M349</f>
        <v>RM-J3/1D-2.20X620</v>
      </c>
      <c r="C349" s="173" t="s">
        <v>48</v>
      </c>
      <c r="D349" s="173" t="s">
        <v>48</v>
      </c>
      <c r="E349" s="190" t="s">
        <v>1449</v>
      </c>
      <c r="F349" s="190" t="s">
        <v>1450</v>
      </c>
      <c r="G349" s="173" t="s">
        <v>34</v>
      </c>
      <c r="H349" s="173" t="s">
        <v>127</v>
      </c>
      <c r="I349" s="174">
        <v>2.2000000000000002</v>
      </c>
      <c r="J349" s="174"/>
      <c r="K349" s="174"/>
      <c r="L349" s="174"/>
      <c r="M349" s="191">
        <v>620</v>
      </c>
      <c r="N349" s="176">
        <v>5.01</v>
      </c>
      <c r="O349" s="176"/>
      <c r="P349" s="177"/>
      <c r="Q349" s="178"/>
      <c r="R349" s="179"/>
      <c r="S349" s="179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80"/>
      <c r="AE349" s="173" t="s">
        <v>69</v>
      </c>
      <c r="AF349" s="181" t="s">
        <v>1065</v>
      </c>
      <c r="AG349" s="181" t="s">
        <v>1401</v>
      </c>
      <c r="AH349" s="181">
        <v>44819</v>
      </c>
      <c r="AI349" s="181">
        <v>44835</v>
      </c>
      <c r="AJ349" s="181"/>
      <c r="AK349" s="181">
        <f ca="1">TODAY()</f>
        <v>44958</v>
      </c>
      <c r="AL349" s="173">
        <f ca="1">IF(AI349&lt;&gt;0,AK349-AI349,0)</f>
        <v>123</v>
      </c>
      <c r="AM349" s="173" t="str">
        <f>IF(ISNUMBER(X349)=TRUE,AK349-X349,IF(X349="","",(AK349)-(MID(RIGHT(X349,10),4,2)&amp;"/"&amp;LEFT((RIGHT(X349,10)),2)&amp;"/"&amp;RIGHT(X349,4))))</f>
        <v/>
      </c>
      <c r="AN349" s="181" t="s">
        <v>1451</v>
      </c>
      <c r="AO349" s="190" t="s">
        <v>1448</v>
      </c>
      <c r="AP349" s="176">
        <v>5.01</v>
      </c>
      <c r="AQ349" s="176">
        <v>5.05</v>
      </c>
      <c r="AR349" s="176">
        <v>5.0750000000000002</v>
      </c>
      <c r="AS349" s="176">
        <v>5.08</v>
      </c>
      <c r="AT349" s="173" t="str">
        <f>IF(ISNUMBER(U349)=TRUE,AK349-U349,IF(U349="","",(AK349)-(MID(RIGHT(U349,10),4,2)&amp;"/"&amp;LEFT((RIGHT(U349,10)),2)&amp;"/"&amp;RIGHT(U349,4))))</f>
        <v/>
      </c>
      <c r="AU349" s="173">
        <v>454</v>
      </c>
      <c r="AW349" s="142" t="s">
        <v>123</v>
      </c>
    </row>
    <row r="350" spans="2:49" s="142" customFormat="1" ht="21" customHeight="1" x14ac:dyDescent="0.25">
      <c r="B350" s="173" t="str">
        <f>IF(C350="HOLD RM","HOLD RM",IF(C350="BAL","WIP",IF(C350="HOLD SLT","HOLD SLT",IF(C350="MILL","RM",IF(C350="RE SLT","WIP",IF(C350="RM","RM",IF(C350="RM BAL","RM",IF(C350="RM SLT","RM",IF(C350="RR","WIP",IF(C350="SKP","WIP",IF(C350="SLT","WIP",IF(C350="CTL","WIP",IF(C350="RM SLT RUST","RM SLT RUST",0)))))))))))))&amp;"-"&amp;G350&amp;"/"&amp;IF(H350="2B","2B",IF(H350="NO.1","1D",IF(H350="FH","FH",0)))&amp;"-"&amp;IF(J350="",(TEXT(I350,"0.00")),TEXT(J350,"0.00"))&amp;"X"&amp;M350</f>
        <v>RM-J3/1D-2.20X620</v>
      </c>
      <c r="C350" s="173" t="s">
        <v>48</v>
      </c>
      <c r="D350" s="173" t="s">
        <v>48</v>
      </c>
      <c r="E350" s="190" t="s">
        <v>1452</v>
      </c>
      <c r="F350" s="190" t="s">
        <v>1453</v>
      </c>
      <c r="G350" s="173" t="s">
        <v>34</v>
      </c>
      <c r="H350" s="173" t="s">
        <v>127</v>
      </c>
      <c r="I350" s="174">
        <v>2.2000000000000002</v>
      </c>
      <c r="J350" s="174"/>
      <c r="K350" s="174"/>
      <c r="L350" s="174"/>
      <c r="M350" s="191">
        <v>620</v>
      </c>
      <c r="N350" s="176">
        <v>5.0339999999999998</v>
      </c>
      <c r="O350" s="176"/>
      <c r="P350" s="177"/>
      <c r="Q350" s="178"/>
      <c r="R350" s="179"/>
      <c r="S350" s="179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80"/>
      <c r="AE350" s="173" t="s">
        <v>69</v>
      </c>
      <c r="AF350" s="181" t="s">
        <v>1065</v>
      </c>
      <c r="AG350" s="181" t="s">
        <v>1401</v>
      </c>
      <c r="AH350" s="181">
        <v>44819</v>
      </c>
      <c r="AI350" s="181">
        <v>44835</v>
      </c>
      <c r="AJ350" s="181"/>
      <c r="AK350" s="181">
        <f ca="1">TODAY()</f>
        <v>44958</v>
      </c>
      <c r="AL350" s="173">
        <f ca="1">IF(AI350&lt;&gt;0,AK350-AI350,0)</f>
        <v>123</v>
      </c>
      <c r="AM350" s="173" t="str">
        <f>IF(ISNUMBER(X350)=TRUE,AK350-X350,IF(X350="","",(AK350)-(MID(RIGHT(X350,10),4,2)&amp;"/"&amp;LEFT((RIGHT(X350,10)),2)&amp;"/"&amp;RIGHT(X350,4))))</f>
        <v/>
      </c>
      <c r="AN350" s="181" t="s">
        <v>1454</v>
      </c>
      <c r="AO350" s="190" t="s">
        <v>1448</v>
      </c>
      <c r="AP350" s="176">
        <v>5.0339999999999998</v>
      </c>
      <c r="AQ350" s="176">
        <v>5.0739999999999998</v>
      </c>
      <c r="AR350" s="176">
        <v>5.0990000000000002</v>
      </c>
      <c r="AS350" s="176">
        <v>5.1040000000000001</v>
      </c>
      <c r="AT350" s="173" t="str">
        <f>IF(ISNUMBER(U350)=TRUE,AK350-U350,IF(U350="","",(AK350)-(MID(RIGHT(U350,10),4,2)&amp;"/"&amp;LEFT((RIGHT(U350,10)),2)&amp;"/"&amp;RIGHT(U350,4))))</f>
        <v/>
      </c>
      <c r="AU350" s="173">
        <v>454</v>
      </c>
      <c r="AW350" s="142" t="s">
        <v>123</v>
      </c>
    </row>
    <row r="351" spans="2:49" s="142" customFormat="1" ht="21" customHeight="1" x14ac:dyDescent="0.25">
      <c r="B351" s="173" t="str">
        <f>IF(C351="HOLD RM","HOLD RM",IF(C351="BAL","WIP",IF(C351="HOLD SLT","HOLD SLT",IF(C351="MILL","RM",IF(C351="RE SLT","WIP",IF(C351="RM","RM",IF(C351="RM BAL","RM",IF(C351="RM SLT","RM",IF(C351="RR","WIP",IF(C351="SKP","WIP",IF(C351="SLT","WIP",IF(C351="CTL","WIP",IF(C351="RM SLT RUST","RM SLT RUST",0)))))))))))))&amp;"-"&amp;G351&amp;"/"&amp;IF(H351="2B","2B",IF(H351="NO.1","1D",IF(H351="FH","FH",0)))&amp;"-"&amp;IF(J351="",(TEXT(I351,"0.00")),TEXT(J351,"0.00"))&amp;"X"&amp;M351</f>
        <v>RM-J3/1D-2.20X620</v>
      </c>
      <c r="C351" s="173" t="s">
        <v>48</v>
      </c>
      <c r="D351" s="173" t="s">
        <v>48</v>
      </c>
      <c r="E351" s="190" t="s">
        <v>1455</v>
      </c>
      <c r="F351" s="190" t="s">
        <v>1456</v>
      </c>
      <c r="G351" s="173" t="s">
        <v>34</v>
      </c>
      <c r="H351" s="173" t="s">
        <v>127</v>
      </c>
      <c r="I351" s="174">
        <v>2.2000000000000002</v>
      </c>
      <c r="J351" s="174"/>
      <c r="K351" s="174"/>
      <c r="L351" s="174"/>
      <c r="M351" s="191">
        <v>620</v>
      </c>
      <c r="N351" s="176">
        <v>5.056</v>
      </c>
      <c r="O351" s="176"/>
      <c r="P351" s="177"/>
      <c r="Q351" s="178"/>
      <c r="R351" s="179"/>
      <c r="S351" s="179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80"/>
      <c r="AE351" s="173" t="s">
        <v>69</v>
      </c>
      <c r="AF351" s="181" t="s">
        <v>1065</v>
      </c>
      <c r="AG351" s="181" t="s">
        <v>1401</v>
      </c>
      <c r="AH351" s="181">
        <v>44819</v>
      </c>
      <c r="AI351" s="181">
        <v>44835</v>
      </c>
      <c r="AJ351" s="181"/>
      <c r="AK351" s="181">
        <f ca="1">TODAY()</f>
        <v>44958</v>
      </c>
      <c r="AL351" s="173">
        <f ca="1">IF(AI351&lt;&gt;0,AK351-AI351,0)</f>
        <v>123</v>
      </c>
      <c r="AM351" s="173" t="str">
        <f>IF(ISNUMBER(X351)=TRUE,AK351-X351,IF(X351="","",(AK351)-(MID(RIGHT(X351,10),4,2)&amp;"/"&amp;LEFT((RIGHT(X351,10)),2)&amp;"/"&amp;RIGHT(X351,4))))</f>
        <v/>
      </c>
      <c r="AN351" s="181" t="s">
        <v>1457</v>
      </c>
      <c r="AO351" s="190" t="s">
        <v>1448</v>
      </c>
      <c r="AP351" s="176">
        <v>5.056</v>
      </c>
      <c r="AQ351" s="176">
        <v>5.0960000000000001</v>
      </c>
      <c r="AR351" s="176">
        <v>5.1210000000000004</v>
      </c>
      <c r="AS351" s="176">
        <v>5.1260000000000003</v>
      </c>
      <c r="AT351" s="173" t="str">
        <f>IF(ISNUMBER(U351)=TRUE,AK351-U351,IF(U351="","",(AK351)-(MID(RIGHT(U351,10),4,2)&amp;"/"&amp;LEFT((RIGHT(U351,10)),2)&amp;"/"&amp;RIGHT(U351,4))))</f>
        <v/>
      </c>
      <c r="AU351" s="173">
        <v>454</v>
      </c>
      <c r="AW351" s="142" t="s">
        <v>123</v>
      </c>
    </row>
    <row r="352" spans="2:49" s="142" customFormat="1" ht="21" customHeight="1" x14ac:dyDescent="0.25">
      <c r="B352" s="173" t="str">
        <f>IF(C352="HOLD RM","HOLD RM",IF(C352="BAL","WIP",IF(C352="HOLD SLT","HOLD SLT",IF(C352="MILL","RM",IF(C352="RE SLT","WIP",IF(C352="RM","RM",IF(C352="RM BAL","RM",IF(C352="RM SLT","RM",IF(C352="RR","WIP",IF(C352="SKP","WIP",IF(C352="SLT","WIP",IF(C352="CTL","WIP",IF(C352="RM SLT RUST","RM SLT RUST",0)))))))))))))&amp;"-"&amp;G352&amp;"/"&amp;IF(H352="2B","2B",IF(H352="NO.1","1D",IF(H352="FH","FH",0)))&amp;"-"&amp;IF(J352="",(TEXT(I352,"0.00")),TEXT(J352,"0.00"))&amp;"X"&amp;M352</f>
        <v>RM-J3/1D-2.20X635</v>
      </c>
      <c r="C352" s="173" t="s">
        <v>48</v>
      </c>
      <c r="D352" s="173" t="s">
        <v>48</v>
      </c>
      <c r="E352" s="190" t="s">
        <v>1458</v>
      </c>
      <c r="F352" s="190" t="s">
        <v>1459</v>
      </c>
      <c r="G352" s="173" t="s">
        <v>34</v>
      </c>
      <c r="H352" s="173" t="s">
        <v>127</v>
      </c>
      <c r="I352" s="174">
        <v>2.2000000000000002</v>
      </c>
      <c r="J352" s="174"/>
      <c r="K352" s="174"/>
      <c r="L352" s="174"/>
      <c r="M352" s="191">
        <v>635</v>
      </c>
      <c r="N352" s="176">
        <v>10.384</v>
      </c>
      <c r="O352" s="176"/>
      <c r="P352" s="177"/>
      <c r="Q352" s="178"/>
      <c r="R352" s="179"/>
      <c r="S352" s="179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80"/>
      <c r="AE352" s="173" t="s">
        <v>69</v>
      </c>
      <c r="AF352" s="181" t="s">
        <v>1065</v>
      </c>
      <c r="AG352" s="181" t="s">
        <v>1401</v>
      </c>
      <c r="AH352" s="181">
        <v>44819</v>
      </c>
      <c r="AI352" s="181">
        <v>44835</v>
      </c>
      <c r="AJ352" s="181"/>
      <c r="AK352" s="181">
        <f ca="1">TODAY()</f>
        <v>44958</v>
      </c>
      <c r="AL352" s="173">
        <f ca="1">IF(AI352&lt;&gt;0,AK352-AI352,0)</f>
        <v>123</v>
      </c>
      <c r="AM352" s="173" t="str">
        <f>IF(ISNUMBER(X352)=TRUE,AK352-X352,IF(X352="","",(AK352)-(MID(RIGHT(X352,10),4,2)&amp;"/"&amp;LEFT((RIGHT(X352,10)),2)&amp;"/"&amp;RIGHT(X352,4))))</f>
        <v/>
      </c>
      <c r="AN352" s="181" t="s">
        <v>1434</v>
      </c>
      <c r="AO352" s="190" t="s">
        <v>1460</v>
      </c>
      <c r="AP352" s="176">
        <v>10.384</v>
      </c>
      <c r="AQ352" s="176">
        <v>10.423999999999999</v>
      </c>
      <c r="AR352" s="176">
        <v>10.448999999999998</v>
      </c>
      <c r="AS352" s="176">
        <v>10.453999999999999</v>
      </c>
      <c r="AT352" s="173" t="str">
        <f>IF(ISNUMBER(U352)=TRUE,AK352-U352,IF(U352="","",(AK352)-(MID(RIGHT(U352,10),4,2)&amp;"/"&amp;LEFT((RIGHT(U352,10)),2)&amp;"/"&amp;RIGHT(U352,4))))</f>
        <v/>
      </c>
      <c r="AU352" s="173">
        <v>454</v>
      </c>
      <c r="AW352" s="142" t="s">
        <v>123</v>
      </c>
    </row>
    <row r="353" spans="2:49" s="142" customFormat="1" ht="21" customHeight="1" x14ac:dyDescent="0.25">
      <c r="B353" s="173" t="str">
        <f>IF(C353="HOLD RM","HOLD RM",IF(C353="BAL","WIP",IF(C353="HOLD SLT","HOLD SLT",IF(C353="MILL","RM",IF(C353="RE SLT","WIP",IF(C353="RM","RM",IF(C353="RM BAL","RM",IF(C353="RM SLT","RM",IF(C353="RR","WIP",IF(C353="SKP","WIP",IF(C353="SLT","WIP",IF(C353="CTL","WIP",IF(C353="RM SLT RUST","RM SLT RUST",0)))))))))))))&amp;"-"&amp;G353&amp;"/"&amp;IF(H353="2B","2B",IF(H353="NO.1","1D",IF(H353="FH","FH",0)))&amp;"-"&amp;IF(J353="",(TEXT(I353,"0.00")),TEXT(J353,"0.00"))&amp;"X"&amp;M353</f>
        <v>WIP-J3/FH-1.10X620</v>
      </c>
      <c r="C353" s="173" t="s">
        <v>16</v>
      </c>
      <c r="D353" s="173" t="s">
        <v>16</v>
      </c>
      <c r="E353" s="190" t="s">
        <v>1461</v>
      </c>
      <c r="F353" s="190" t="s">
        <v>1462</v>
      </c>
      <c r="G353" s="173" t="s">
        <v>34</v>
      </c>
      <c r="H353" s="173" t="s">
        <v>70</v>
      </c>
      <c r="I353" s="174">
        <v>2.4</v>
      </c>
      <c r="J353" s="174">
        <v>1.1000000000000001</v>
      </c>
      <c r="K353" s="174"/>
      <c r="L353" s="174"/>
      <c r="M353" s="191">
        <v>620</v>
      </c>
      <c r="N353" s="176">
        <v>5.0410000000000004</v>
      </c>
      <c r="O353" s="176" t="s">
        <v>114</v>
      </c>
      <c r="P353" s="177"/>
      <c r="Q353" s="178" t="s">
        <v>115</v>
      </c>
      <c r="R353" s="179"/>
      <c r="S353" s="179"/>
      <c r="T353" s="177">
        <v>44899</v>
      </c>
      <c r="U353" s="177"/>
      <c r="V353" s="177"/>
      <c r="W353" s="177">
        <v>44904</v>
      </c>
      <c r="X353" s="177"/>
      <c r="Y353" s="177"/>
      <c r="Z353" s="177"/>
      <c r="AA353" s="177"/>
      <c r="AB353" s="177"/>
      <c r="AC353" s="177"/>
      <c r="AD353" s="180"/>
      <c r="AE353" s="173" t="s">
        <v>69</v>
      </c>
      <c r="AF353" s="181" t="s">
        <v>1065</v>
      </c>
      <c r="AG353" s="181" t="s">
        <v>1401</v>
      </c>
      <c r="AH353" s="181">
        <v>44819</v>
      </c>
      <c r="AI353" s="181">
        <v>44835</v>
      </c>
      <c r="AJ353" s="181"/>
      <c r="AK353" s="181">
        <f ca="1">TODAY()</f>
        <v>44958</v>
      </c>
      <c r="AL353" s="173">
        <f ca="1">IF(AI353&lt;&gt;0,AK353-AI353,0)</f>
        <v>123</v>
      </c>
      <c r="AM353" s="173" t="str">
        <f>IF(ISNUMBER(X353)=TRUE,AK353-X353,IF(X353="","",(AK353)-(MID(RIGHT(X353,10),4,2)&amp;"/"&amp;LEFT((RIGHT(X353,10)),2)&amp;"/"&amp;RIGHT(X353,4))))</f>
        <v/>
      </c>
      <c r="AN353" s="181" t="s">
        <v>1421</v>
      </c>
      <c r="AO353" s="190" t="s">
        <v>1463</v>
      </c>
      <c r="AP353" s="176">
        <v>5.0410000000000004</v>
      </c>
      <c r="AQ353" s="176">
        <v>5.0810000000000004</v>
      </c>
      <c r="AR353" s="176">
        <v>5.1060000000000008</v>
      </c>
      <c r="AS353" s="176">
        <v>5.1110000000000007</v>
      </c>
      <c r="AT353" s="173" t="str">
        <f>IF(ISNUMBER(U353)=TRUE,AK353-U353,IF(U353="","",(AK353)-(MID(RIGHT(U353,10),4,2)&amp;"/"&amp;LEFT((RIGHT(U353,10)),2)&amp;"/"&amp;RIGHT(U353,4))))</f>
        <v/>
      </c>
      <c r="AU353" s="173">
        <v>454</v>
      </c>
      <c r="AW353" s="142" t="s">
        <v>123</v>
      </c>
    </row>
    <row r="354" spans="2:49" s="142" customFormat="1" ht="21" customHeight="1" x14ac:dyDescent="0.25">
      <c r="B354" s="173" t="str">
        <f>IF(C354="HOLD RM","HOLD RM",IF(C354="BAL","WIP",IF(C354="HOLD SLT","HOLD SLT",IF(C354="MILL","RM",IF(C354="RE SLT","WIP",IF(C354="RM","RM",IF(C354="RM BAL","RM",IF(C354="RM SLT","RM",IF(C354="RR","WIP",IF(C354="SKP","WIP",IF(C354="SLT","WIP",IF(C354="CTL","WIP",IF(C354="RM SLT RUST","RM SLT RUST",0)))))))))))))&amp;"-"&amp;G354&amp;"/"&amp;IF(H354="2B","2B",IF(H354="NO.1","1D",IF(H354="FH","FH",0)))&amp;"-"&amp;IF(J354="",(TEXT(I354,"0.00")),TEXT(J354,"0.00"))&amp;"X"&amp;M354</f>
        <v>WIP-J3/FH-1.40X620</v>
      </c>
      <c r="C354" s="173" t="s">
        <v>16</v>
      </c>
      <c r="D354" s="173" t="s">
        <v>16</v>
      </c>
      <c r="E354" s="190" t="s">
        <v>1464</v>
      </c>
      <c r="F354" s="190" t="s">
        <v>1465</v>
      </c>
      <c r="G354" s="173" t="s">
        <v>34</v>
      </c>
      <c r="H354" s="173" t="s">
        <v>70</v>
      </c>
      <c r="I354" s="174">
        <v>2.4</v>
      </c>
      <c r="J354" s="174">
        <v>1.4</v>
      </c>
      <c r="K354" s="174"/>
      <c r="L354" s="174"/>
      <c r="M354" s="191">
        <v>620</v>
      </c>
      <c r="N354" s="176">
        <v>5.0389999999999997</v>
      </c>
      <c r="O354" s="176" t="s">
        <v>114</v>
      </c>
      <c r="P354" s="177"/>
      <c r="Q354" s="178" t="s">
        <v>295</v>
      </c>
      <c r="R354" s="179"/>
      <c r="S354" s="179"/>
      <c r="T354" s="177">
        <v>44902</v>
      </c>
      <c r="U354" s="177"/>
      <c r="V354" s="177"/>
      <c r="W354" s="177">
        <v>44909</v>
      </c>
      <c r="X354" s="177"/>
      <c r="Y354" s="177"/>
      <c r="Z354" s="177"/>
      <c r="AA354" s="177"/>
      <c r="AB354" s="177"/>
      <c r="AC354" s="177"/>
      <c r="AD354" s="180"/>
      <c r="AE354" s="173" t="s">
        <v>69</v>
      </c>
      <c r="AF354" s="181" t="s">
        <v>1065</v>
      </c>
      <c r="AG354" s="181" t="s">
        <v>1401</v>
      </c>
      <c r="AH354" s="181">
        <v>44819</v>
      </c>
      <c r="AI354" s="181">
        <v>44835</v>
      </c>
      <c r="AJ354" s="181"/>
      <c r="AK354" s="181">
        <f ca="1">TODAY()</f>
        <v>44958</v>
      </c>
      <c r="AL354" s="173">
        <f ca="1">IF(AI354&lt;&gt;0,AK354-AI354,0)</f>
        <v>123</v>
      </c>
      <c r="AM354" s="173" t="str">
        <f>IF(ISNUMBER(X354)=TRUE,AK354-X354,IF(X354="","",(AK354)-(MID(RIGHT(X354,10),4,2)&amp;"/"&amp;LEFT((RIGHT(X354,10)),2)&amp;"/"&amp;RIGHT(X354,4))))</f>
        <v/>
      </c>
      <c r="AN354" s="181" t="s">
        <v>1425</v>
      </c>
      <c r="AO354" s="190" t="s">
        <v>1463</v>
      </c>
      <c r="AP354" s="176">
        <v>5.0389999999999997</v>
      </c>
      <c r="AQ354" s="176">
        <v>5.0789999999999997</v>
      </c>
      <c r="AR354" s="176">
        <v>5.1040000000000001</v>
      </c>
      <c r="AS354" s="176">
        <v>5.109</v>
      </c>
      <c r="AT354" s="173" t="str">
        <f>IF(ISNUMBER(U354)=TRUE,AK354-U354,IF(U354="","",(AK354)-(MID(RIGHT(U354,10),4,2)&amp;"/"&amp;LEFT((RIGHT(U354,10)),2)&amp;"/"&amp;RIGHT(U354,4))))</f>
        <v/>
      </c>
      <c r="AU354" s="173">
        <v>454</v>
      </c>
      <c r="AW354" s="142" t="s">
        <v>123</v>
      </c>
    </row>
    <row r="355" spans="2:49" s="142" customFormat="1" ht="21" customHeight="1" x14ac:dyDescent="0.25">
      <c r="B355" s="173" t="str">
        <f>IF(C355="HOLD RM","HOLD RM",IF(C355="BAL","WIP",IF(C355="HOLD SLT","HOLD SLT",IF(C355="MILL","RM",IF(C355="RE SLT","WIP",IF(C355="RM","RM",IF(C355="RM BAL","RM",IF(C355="RM SLT","RM",IF(C355="RR","WIP",IF(C355="SKP","WIP",IF(C355="SLT","WIP",IF(C355="CTL","WIP",IF(C355="RM SLT RUST","RM SLT RUST",0)))))))))))))&amp;"-"&amp;G355&amp;"/"&amp;IF(H355="2B","2B",IF(H355="NO.1","1D",IF(H355="FH","FH",0)))&amp;"-"&amp;IF(J355="",(TEXT(I355,"0.00")),TEXT(J355,"0.00"))&amp;"X"&amp;M355</f>
        <v>RM-J3/1D-2.40X620</v>
      </c>
      <c r="C355" s="173" t="s">
        <v>48</v>
      </c>
      <c r="D355" s="173" t="s">
        <v>48</v>
      </c>
      <c r="E355" s="190" t="s">
        <v>1466</v>
      </c>
      <c r="F355" s="190" t="s">
        <v>1467</v>
      </c>
      <c r="G355" s="173" t="s">
        <v>34</v>
      </c>
      <c r="H355" s="173" t="s">
        <v>127</v>
      </c>
      <c r="I355" s="174">
        <v>2.4</v>
      </c>
      <c r="J355" s="174"/>
      <c r="K355" s="174"/>
      <c r="L355" s="174"/>
      <c r="M355" s="191">
        <v>620</v>
      </c>
      <c r="N355" s="176">
        <v>5.0720000000000001</v>
      </c>
      <c r="O355" s="176"/>
      <c r="P355" s="177"/>
      <c r="Q355" s="178"/>
      <c r="R355" s="179"/>
      <c r="S355" s="179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80"/>
      <c r="AE355" s="173" t="s">
        <v>69</v>
      </c>
      <c r="AF355" s="181" t="s">
        <v>1065</v>
      </c>
      <c r="AG355" s="181" t="s">
        <v>1401</v>
      </c>
      <c r="AH355" s="181">
        <v>44819</v>
      </c>
      <c r="AI355" s="181">
        <v>44835</v>
      </c>
      <c r="AJ355" s="181"/>
      <c r="AK355" s="181">
        <f ca="1">TODAY()</f>
        <v>44958</v>
      </c>
      <c r="AL355" s="173">
        <f ca="1">IF(AI355&lt;&gt;0,AK355-AI355,0)</f>
        <v>123</v>
      </c>
      <c r="AM355" s="173" t="str">
        <f>IF(ISNUMBER(X355)=TRUE,AK355-X355,IF(X355="","",(AK355)-(MID(RIGHT(X355,10),4,2)&amp;"/"&amp;LEFT((RIGHT(X355,10)),2)&amp;"/"&amp;RIGHT(X355,4))))</f>
        <v/>
      </c>
      <c r="AN355" s="181" t="s">
        <v>1409</v>
      </c>
      <c r="AO355" s="190" t="s">
        <v>1463</v>
      </c>
      <c r="AP355" s="176">
        <v>5.0720000000000001</v>
      </c>
      <c r="AQ355" s="176">
        <v>5.1120000000000001</v>
      </c>
      <c r="AR355" s="176">
        <v>5.1370000000000005</v>
      </c>
      <c r="AS355" s="176">
        <v>5.1420000000000003</v>
      </c>
      <c r="AT355" s="173" t="str">
        <f>IF(ISNUMBER(U355)=TRUE,AK355-U355,IF(U355="","",(AK355)-(MID(RIGHT(U355,10),4,2)&amp;"/"&amp;LEFT((RIGHT(U355,10)),2)&amp;"/"&amp;RIGHT(U355,4))))</f>
        <v/>
      </c>
      <c r="AU355" s="173">
        <v>454</v>
      </c>
      <c r="AW355" s="142" t="s">
        <v>123</v>
      </c>
    </row>
    <row r="356" spans="2:49" s="142" customFormat="1" ht="21" customHeight="1" x14ac:dyDescent="0.25">
      <c r="B356" s="173" t="str">
        <f>IF(C356="HOLD RM","HOLD RM",IF(C356="BAL","WIP",IF(C356="HOLD SLT","HOLD SLT",IF(C356="MILL","RM",IF(C356="RE SLT","WIP",IF(C356="RM","RM",IF(C356="RM BAL","RM",IF(C356="RM SLT","RM",IF(C356="RR","WIP",IF(C356="SKP","WIP",IF(C356="SLT","WIP",IF(C356="CTL","WIP",IF(C356="RM SLT RUST","RM SLT RUST",0)))))))))))))&amp;"-"&amp;G356&amp;"/"&amp;IF(H356="2B","2B",IF(H356="NO.1","1D",IF(H356="FH","FH",0)))&amp;"-"&amp;IF(J356="",(TEXT(I356,"0.00")),TEXT(J356,"0.00"))&amp;"X"&amp;M356</f>
        <v>WIP-J3/FH-0.95X620</v>
      </c>
      <c r="C356" s="173" t="s">
        <v>16</v>
      </c>
      <c r="D356" s="173" t="s">
        <v>16</v>
      </c>
      <c r="E356" s="190" t="s">
        <v>1468</v>
      </c>
      <c r="F356" s="190" t="s">
        <v>1469</v>
      </c>
      <c r="G356" s="173" t="s">
        <v>34</v>
      </c>
      <c r="H356" s="173" t="s">
        <v>70</v>
      </c>
      <c r="I356" s="174">
        <v>2.4</v>
      </c>
      <c r="J356" s="174">
        <v>0.95</v>
      </c>
      <c r="K356" s="174"/>
      <c r="L356" s="174"/>
      <c r="M356" s="191">
        <v>620</v>
      </c>
      <c r="N356" s="176">
        <v>4.9749999999999996</v>
      </c>
      <c r="O356" s="176" t="s">
        <v>114</v>
      </c>
      <c r="P356" s="177"/>
      <c r="Q356" s="178" t="s">
        <v>295</v>
      </c>
      <c r="R356" s="179"/>
      <c r="S356" s="179"/>
      <c r="T356" s="177">
        <v>44893</v>
      </c>
      <c r="U356" s="177"/>
      <c r="V356" s="177"/>
      <c r="W356" s="177">
        <v>44897</v>
      </c>
      <c r="X356" s="177"/>
      <c r="Y356" s="177"/>
      <c r="Z356" s="177"/>
      <c r="AA356" s="177"/>
      <c r="AB356" s="177"/>
      <c r="AC356" s="177"/>
      <c r="AD356" s="180"/>
      <c r="AE356" s="173" t="s">
        <v>69</v>
      </c>
      <c r="AF356" s="181" t="s">
        <v>1065</v>
      </c>
      <c r="AG356" s="181" t="s">
        <v>1401</v>
      </c>
      <c r="AH356" s="181">
        <v>44819</v>
      </c>
      <c r="AI356" s="181">
        <v>44835</v>
      </c>
      <c r="AJ356" s="181"/>
      <c r="AK356" s="181">
        <f ca="1">TODAY()</f>
        <v>44958</v>
      </c>
      <c r="AL356" s="173">
        <f ca="1">IF(AI356&lt;&gt;0,AK356-AI356,0)</f>
        <v>123</v>
      </c>
      <c r="AM356" s="173" t="str">
        <f>IF(ISNUMBER(X356)=TRUE,AK356-X356,IF(X356="","",(AK356)-(MID(RIGHT(X356,10),4,2)&amp;"/"&amp;LEFT((RIGHT(X356,10)),2)&amp;"/"&amp;RIGHT(X356,4))))</f>
        <v/>
      </c>
      <c r="AN356" s="181" t="s">
        <v>1402</v>
      </c>
      <c r="AO356" s="190" t="s">
        <v>1463</v>
      </c>
      <c r="AP356" s="176">
        <v>5.0880000000000001</v>
      </c>
      <c r="AQ356" s="176">
        <v>5.1280000000000001</v>
      </c>
      <c r="AR356" s="176">
        <v>5.1530000000000005</v>
      </c>
      <c r="AS356" s="176">
        <v>5.1580000000000004</v>
      </c>
      <c r="AT356" s="173" t="str">
        <f>IF(ISNUMBER(U356)=TRUE,AK356-U356,IF(U356="","",(AK356)-(MID(RIGHT(U356,10),4,2)&amp;"/"&amp;LEFT((RIGHT(U356,10)),2)&amp;"/"&amp;RIGHT(U356,4))))</f>
        <v/>
      </c>
      <c r="AU356" s="173">
        <v>454</v>
      </c>
      <c r="AW356" s="142" t="s">
        <v>123</v>
      </c>
    </row>
    <row r="357" spans="2:49" s="142" customFormat="1" ht="21" customHeight="1" x14ac:dyDescent="0.25">
      <c r="B357" s="173" t="str">
        <f>IF(C357="HOLD RM","HOLD RM",IF(C357="BAL","WIP",IF(C357="HOLD SLT","HOLD SLT",IF(C357="MILL","RM",IF(C357="RE SLT","WIP",IF(C357="RM","RM",IF(C357="RM BAL","RM",IF(C357="RM SLT","RM",IF(C357="RR","WIP",IF(C357="SKP","WIP",IF(C357="SLT","WIP",IF(C357="CTL","WIP",IF(C357="RM SLT RUST","RM SLT RUST",0)))))))))))))&amp;"-"&amp;G357&amp;"/"&amp;IF(H357="2B","2B",IF(H357="NO.1","1D",IF(H357="FH","FH",0)))&amp;"-"&amp;IF(J357="",(TEXT(I357,"0.00")),TEXT(J357,"0.00"))&amp;"X"&amp;M357</f>
        <v>RM-J3/1D-2.40X670</v>
      </c>
      <c r="C357" s="173" t="s">
        <v>48</v>
      </c>
      <c r="D357" s="173" t="s">
        <v>48</v>
      </c>
      <c r="E357" s="190" t="s">
        <v>1470</v>
      </c>
      <c r="F357" s="190" t="s">
        <v>1471</v>
      </c>
      <c r="G357" s="173" t="s">
        <v>34</v>
      </c>
      <c r="H357" s="173" t="s">
        <v>127</v>
      </c>
      <c r="I357" s="174">
        <v>2.4</v>
      </c>
      <c r="J357" s="174"/>
      <c r="K357" s="174"/>
      <c r="L357" s="174"/>
      <c r="M357" s="191">
        <v>670</v>
      </c>
      <c r="N357" s="176">
        <v>10.452</v>
      </c>
      <c r="O357" s="176"/>
      <c r="P357" s="177"/>
      <c r="Q357" s="178"/>
      <c r="R357" s="179"/>
      <c r="S357" s="179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80"/>
      <c r="AE357" s="173" t="s">
        <v>69</v>
      </c>
      <c r="AF357" s="181" t="s">
        <v>1065</v>
      </c>
      <c r="AG357" s="181" t="s">
        <v>1401</v>
      </c>
      <c r="AH357" s="181">
        <v>44819</v>
      </c>
      <c r="AI357" s="181">
        <v>44835</v>
      </c>
      <c r="AJ357" s="181"/>
      <c r="AK357" s="181">
        <f ca="1">TODAY()</f>
        <v>44958</v>
      </c>
      <c r="AL357" s="173">
        <f ca="1">IF(AI357&lt;&gt;0,AK357-AI357,0)</f>
        <v>123</v>
      </c>
      <c r="AM357" s="173" t="str">
        <f>IF(ISNUMBER(X357)=TRUE,AK357-X357,IF(X357="","",(AK357)-(MID(RIGHT(X357,10),4,2)&amp;"/"&amp;LEFT((RIGHT(X357,10)),2)&amp;"/"&amp;RIGHT(X357,4))))</f>
        <v/>
      </c>
      <c r="AN357" s="181" t="s">
        <v>1445</v>
      </c>
      <c r="AO357" s="190" t="s">
        <v>1472</v>
      </c>
      <c r="AP357" s="176">
        <v>10.452</v>
      </c>
      <c r="AQ357" s="176">
        <v>10.491999999999999</v>
      </c>
      <c r="AR357" s="176">
        <v>10.516999999999998</v>
      </c>
      <c r="AS357" s="176">
        <v>10.521999999999998</v>
      </c>
      <c r="AT357" s="173" t="str">
        <f>IF(ISNUMBER(U357)=TRUE,AK357-U357,IF(U357="","",(AK357)-(MID(RIGHT(U357,10),4,2)&amp;"/"&amp;LEFT((RIGHT(U357,10)),2)&amp;"/"&amp;RIGHT(U357,4))))</f>
        <v/>
      </c>
      <c r="AU357" s="173">
        <v>454</v>
      </c>
      <c r="AW357" s="142" t="s">
        <v>123</v>
      </c>
    </row>
    <row r="358" spans="2:49" s="142" customFormat="1" ht="21" customHeight="1" x14ac:dyDescent="0.25">
      <c r="B358" s="173" t="str">
        <f>IF(C358="HOLD RM","HOLD RM",IF(C358="BAL","WIP",IF(C358="HOLD SLT","HOLD SLT",IF(C358="MILL","RM",IF(C358="RE SLT","WIP",IF(C358="RM","RM",IF(C358="RM BAL","RM",IF(C358="RM SLT","RM",IF(C358="RR","WIP",IF(C358="SKP","WIP",IF(C358="SLT","WIP",IF(C358="CTL","WIP",IF(C358="RM SLT RUST","RM SLT RUST",0)))))))))))))&amp;"-"&amp;G358&amp;"/"&amp;IF(H358="2B","2B",IF(H358="NO.1","1D",IF(H358="FH","FH",0)))&amp;"-"&amp;IF(J358="",(TEXT(I358,"0.00")),TEXT(J358,"0.00"))&amp;"X"&amp;M358</f>
        <v>RM-J3/1D-2.40X670</v>
      </c>
      <c r="C358" s="173" t="s">
        <v>48</v>
      </c>
      <c r="D358" s="173" t="s">
        <v>48</v>
      </c>
      <c r="E358" s="190" t="s">
        <v>1473</v>
      </c>
      <c r="F358" s="190" t="s">
        <v>1474</v>
      </c>
      <c r="G358" s="173" t="s">
        <v>34</v>
      </c>
      <c r="H358" s="173" t="s">
        <v>127</v>
      </c>
      <c r="I358" s="174">
        <v>2.4</v>
      </c>
      <c r="J358" s="174"/>
      <c r="K358" s="174"/>
      <c r="L358" s="174"/>
      <c r="M358" s="191">
        <v>670</v>
      </c>
      <c r="N358" s="176">
        <v>10.468</v>
      </c>
      <c r="O358" s="176"/>
      <c r="P358" s="177"/>
      <c r="Q358" s="178"/>
      <c r="R358" s="179"/>
      <c r="S358" s="179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80"/>
      <c r="AE358" s="173" t="s">
        <v>69</v>
      </c>
      <c r="AF358" s="181" t="s">
        <v>1065</v>
      </c>
      <c r="AG358" s="181" t="s">
        <v>1401</v>
      </c>
      <c r="AH358" s="181">
        <v>44819</v>
      </c>
      <c r="AI358" s="181">
        <v>44835</v>
      </c>
      <c r="AJ358" s="181"/>
      <c r="AK358" s="181">
        <f ca="1">TODAY()</f>
        <v>44958</v>
      </c>
      <c r="AL358" s="173">
        <f ca="1">IF(AI358&lt;&gt;0,AK358-AI358,0)</f>
        <v>123</v>
      </c>
      <c r="AM358" s="173" t="str">
        <f>IF(ISNUMBER(X358)=TRUE,AK358-X358,IF(X358="","",(AK358)-(MID(RIGHT(X358,10),4,2)&amp;"/"&amp;LEFT((RIGHT(X358,10)),2)&amp;"/"&amp;RIGHT(X358,4))))</f>
        <v/>
      </c>
      <c r="AN358" s="181" t="s">
        <v>1451</v>
      </c>
      <c r="AO358" s="190" t="s">
        <v>1472</v>
      </c>
      <c r="AP358" s="176">
        <v>10.468</v>
      </c>
      <c r="AQ358" s="176">
        <v>10.507999999999999</v>
      </c>
      <c r="AR358" s="176">
        <v>10.532999999999998</v>
      </c>
      <c r="AS358" s="176">
        <v>10.537999999999998</v>
      </c>
      <c r="AT358" s="173" t="str">
        <f>IF(ISNUMBER(U358)=TRUE,AK358-U358,IF(U358="","",(AK358)-(MID(RIGHT(U358,10),4,2)&amp;"/"&amp;LEFT((RIGHT(U358,10)),2)&amp;"/"&amp;RIGHT(U358,4))))</f>
        <v/>
      </c>
      <c r="AU358" s="173">
        <v>454</v>
      </c>
      <c r="AW358" s="142" t="s">
        <v>123</v>
      </c>
    </row>
    <row r="359" spans="2:49" s="142" customFormat="1" ht="21" customHeight="1" x14ac:dyDescent="0.25">
      <c r="B359" s="173" t="str">
        <f>IF(C359="HOLD RM","HOLD RM",IF(C359="BAL","WIP",IF(C359="HOLD SLT","HOLD SLT",IF(C359="MILL","RM",IF(C359="RE SLT","WIP",IF(C359="RM","RM",IF(C359="RM BAL","RM",IF(C359="RM SLT","RM",IF(C359="RR","WIP",IF(C359="SKP","WIP",IF(C359="SLT","WIP",IF(C359="CTL","WIP",IF(C359="RM SLT RUST","RM SLT RUST",0)))))))))))))&amp;"-"&amp;G359&amp;"/"&amp;IF(H359="2B","2B",IF(H359="NO.1","1D",IF(H359="FH","FH",0)))&amp;"-"&amp;IF(J359="",(TEXT(I359,"0.00")),TEXT(J359,"0.00"))&amp;"X"&amp;M359</f>
        <v>RM-J3/1D-2.40X660</v>
      </c>
      <c r="C359" s="173" t="s">
        <v>48</v>
      </c>
      <c r="D359" s="173" t="s">
        <v>48</v>
      </c>
      <c r="E359" s="190" t="s">
        <v>1475</v>
      </c>
      <c r="F359" s="190" t="s">
        <v>1476</v>
      </c>
      <c r="G359" s="173" t="s">
        <v>34</v>
      </c>
      <c r="H359" s="173" t="s">
        <v>127</v>
      </c>
      <c r="I359" s="174">
        <v>2.4</v>
      </c>
      <c r="J359" s="174"/>
      <c r="K359" s="174"/>
      <c r="L359" s="174"/>
      <c r="M359" s="191">
        <v>660</v>
      </c>
      <c r="N359" s="176">
        <v>10.634</v>
      </c>
      <c r="O359" s="176"/>
      <c r="P359" s="177"/>
      <c r="Q359" s="178"/>
      <c r="R359" s="179"/>
      <c r="S359" s="179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80"/>
      <c r="AE359" s="173" t="s">
        <v>69</v>
      </c>
      <c r="AF359" s="181" t="s">
        <v>1065</v>
      </c>
      <c r="AG359" s="181" t="s">
        <v>1401</v>
      </c>
      <c r="AH359" s="181">
        <v>44819</v>
      </c>
      <c r="AI359" s="181">
        <v>44835</v>
      </c>
      <c r="AJ359" s="181"/>
      <c r="AK359" s="181">
        <f ca="1">TODAY()</f>
        <v>44958</v>
      </c>
      <c r="AL359" s="173">
        <f ca="1">IF(AI359&lt;&gt;0,AK359-AI359,0)</f>
        <v>123</v>
      </c>
      <c r="AM359" s="173" t="str">
        <f>IF(ISNUMBER(X359)=TRUE,AK359-X359,IF(X359="","",(AK359)-(MID(RIGHT(X359,10),4,2)&amp;"/"&amp;LEFT((RIGHT(X359,10)),2)&amp;"/"&amp;RIGHT(X359,4))))</f>
        <v/>
      </c>
      <c r="AN359" s="181" t="s">
        <v>1442</v>
      </c>
      <c r="AO359" s="190" t="s">
        <v>1477</v>
      </c>
      <c r="AP359" s="176">
        <v>10.634</v>
      </c>
      <c r="AQ359" s="176">
        <v>10.673999999999999</v>
      </c>
      <c r="AR359" s="176">
        <v>10.698999999999998</v>
      </c>
      <c r="AS359" s="176">
        <v>10.703999999999999</v>
      </c>
      <c r="AT359" s="173" t="str">
        <f>IF(ISNUMBER(U359)=TRUE,AK359-U359,IF(U359="","",(AK359)-(MID(RIGHT(U359,10),4,2)&amp;"/"&amp;LEFT((RIGHT(U359,10)),2)&amp;"/"&amp;RIGHT(U359,4))))</f>
        <v/>
      </c>
      <c r="AU359" s="173">
        <v>454</v>
      </c>
      <c r="AW359" s="142" t="s">
        <v>123</v>
      </c>
    </row>
    <row r="360" spans="2:49" s="142" customFormat="1" ht="21" customHeight="1" x14ac:dyDescent="0.25">
      <c r="B360" s="173" t="str">
        <f>IF(C360="HOLD RM","HOLD RM",IF(C360="BAL","WIP",IF(C360="HOLD SLT","HOLD SLT",IF(C360="MILL","RM",IF(C360="RE SLT","WIP",IF(C360="RM","RM",IF(C360="RM BAL","RM",IF(C360="RM SLT","RM",IF(C360="RR","WIP",IF(C360="SKP","WIP",IF(C360="SLT","WIP",IF(C360="CTL","WIP",IF(C360="RM SLT RUST","RM SLT RUST",0)))))))))))))&amp;"-"&amp;G360&amp;"/"&amp;IF(H360="2B","2B",IF(H360="NO.1","1D",IF(H360="FH","FH",0)))&amp;"-"&amp;IF(J360="",(TEXT(I360,"0.00")),TEXT(J360,"0.00"))&amp;"X"&amp;M360</f>
        <v>RM-J3/1D-2.40X690</v>
      </c>
      <c r="C360" s="173" t="s">
        <v>48</v>
      </c>
      <c r="D360" s="173" t="s">
        <v>48</v>
      </c>
      <c r="E360" s="190" t="s">
        <v>1478</v>
      </c>
      <c r="F360" s="190" t="s">
        <v>1479</v>
      </c>
      <c r="G360" s="173" t="s">
        <v>34</v>
      </c>
      <c r="H360" s="173" t="s">
        <v>127</v>
      </c>
      <c r="I360" s="174">
        <v>2.4</v>
      </c>
      <c r="J360" s="174"/>
      <c r="K360" s="174"/>
      <c r="L360" s="174"/>
      <c r="M360" s="191">
        <v>690</v>
      </c>
      <c r="N360" s="176">
        <v>11.218</v>
      </c>
      <c r="O360" s="176"/>
      <c r="P360" s="177"/>
      <c r="Q360" s="178"/>
      <c r="R360" s="179"/>
      <c r="S360" s="179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80"/>
      <c r="AE360" s="173" t="s">
        <v>69</v>
      </c>
      <c r="AF360" s="181" t="s">
        <v>1065</v>
      </c>
      <c r="AG360" s="181" t="s">
        <v>1401</v>
      </c>
      <c r="AH360" s="181">
        <v>44819</v>
      </c>
      <c r="AI360" s="181">
        <v>44835</v>
      </c>
      <c r="AJ360" s="181"/>
      <c r="AK360" s="181">
        <f ca="1">TODAY()</f>
        <v>44958</v>
      </c>
      <c r="AL360" s="173">
        <f ca="1">IF(AI360&lt;&gt;0,AK360-AI360,0)</f>
        <v>123</v>
      </c>
      <c r="AM360" s="173" t="str">
        <f>IF(ISNUMBER(X360)=TRUE,AK360-X360,IF(X360="","",(AK360)-(MID(RIGHT(X360,10),4,2)&amp;"/"&amp;LEFT((RIGHT(X360,10)),2)&amp;"/"&amp;RIGHT(X360,4))))</f>
        <v/>
      </c>
      <c r="AN360" s="181" t="s">
        <v>1457</v>
      </c>
      <c r="AO360" s="190" t="s">
        <v>1480</v>
      </c>
      <c r="AP360" s="176">
        <v>11.218</v>
      </c>
      <c r="AQ360" s="176">
        <v>11.257999999999999</v>
      </c>
      <c r="AR360" s="176">
        <v>11.282999999999998</v>
      </c>
      <c r="AS360" s="176">
        <v>11.287999999999998</v>
      </c>
      <c r="AT360" s="173" t="str">
        <f>IF(ISNUMBER(U360)=TRUE,AK360-U360,IF(U360="","",(AK360)-(MID(RIGHT(U360,10),4,2)&amp;"/"&amp;LEFT((RIGHT(U360,10)),2)&amp;"/"&amp;RIGHT(U360,4))))</f>
        <v/>
      </c>
      <c r="AU360" s="173">
        <v>454</v>
      </c>
      <c r="AW360" s="142" t="s">
        <v>123</v>
      </c>
    </row>
    <row r="361" spans="2:49" s="142" customFormat="1" ht="21" customHeight="1" x14ac:dyDescent="0.25">
      <c r="B361" s="173" t="str">
        <f>IF(C361="HOLD RM","HOLD RM",IF(C361="BAL","WIP",IF(C361="HOLD SLT","HOLD SLT",IF(C361="MILL","RM",IF(C361="RE SLT","WIP",IF(C361="RM","RM",IF(C361="RM BAL","RM",IF(C361="RM SLT","RM",IF(C361="RR","WIP",IF(C361="SKP","WIP",IF(C361="SLT","WIP",IF(C361="CTL","WIP",IF(C361="RM SLT RUST","RM SLT RUST",0)))))))))))))&amp;"-"&amp;G361&amp;"/"&amp;IF(H361="2B","2B",IF(H361="NO.1","1D",IF(H361="FH","FH",0)))&amp;"-"&amp;IF(J361="",(TEXT(I361,"0.00")),TEXT(J361,"0.00"))&amp;"X"&amp;M361</f>
        <v>RM-J3/1D-2.20X630</v>
      </c>
      <c r="C361" s="173" t="s">
        <v>48</v>
      </c>
      <c r="D361" s="173" t="s">
        <v>48</v>
      </c>
      <c r="E361" s="190" t="s">
        <v>1481</v>
      </c>
      <c r="F361" s="190" t="s">
        <v>1482</v>
      </c>
      <c r="G361" s="173" t="s">
        <v>34</v>
      </c>
      <c r="H361" s="173" t="s">
        <v>127</v>
      </c>
      <c r="I361" s="174">
        <v>2.2000000000000002</v>
      </c>
      <c r="J361" s="174"/>
      <c r="K361" s="174"/>
      <c r="L361" s="174"/>
      <c r="M361" s="191">
        <v>630</v>
      </c>
      <c r="N361" s="176">
        <v>10.192</v>
      </c>
      <c r="O361" s="176"/>
      <c r="P361" s="177"/>
      <c r="Q361" s="178"/>
      <c r="R361" s="179"/>
      <c r="S361" s="179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80"/>
      <c r="AE361" s="173" t="s">
        <v>69</v>
      </c>
      <c r="AF361" s="181" t="s">
        <v>1065</v>
      </c>
      <c r="AG361" s="181" t="s">
        <v>1401</v>
      </c>
      <c r="AH361" s="181">
        <v>44819</v>
      </c>
      <c r="AI361" s="181">
        <v>44835</v>
      </c>
      <c r="AJ361" s="181"/>
      <c r="AK361" s="181">
        <f ca="1">TODAY()</f>
        <v>44958</v>
      </c>
      <c r="AL361" s="173">
        <f ca="1">IF(AI361&lt;&gt;0,AK361-AI361,0)</f>
        <v>123</v>
      </c>
      <c r="AM361" s="173" t="str">
        <f>IF(ISNUMBER(X361)=TRUE,AK361-X361,IF(X361="","",(AK361)-(MID(RIGHT(X361,10),4,2)&amp;"/"&amp;LEFT((RIGHT(X361,10)),2)&amp;"/"&amp;RIGHT(X361,4))))</f>
        <v/>
      </c>
      <c r="AN361" s="181" t="s">
        <v>1451</v>
      </c>
      <c r="AO361" s="190" t="s">
        <v>1483</v>
      </c>
      <c r="AP361" s="176">
        <v>10.192</v>
      </c>
      <c r="AQ361" s="176">
        <v>10.231999999999999</v>
      </c>
      <c r="AR361" s="176">
        <v>10.256999999999998</v>
      </c>
      <c r="AS361" s="176">
        <v>10.261999999999999</v>
      </c>
      <c r="AT361" s="173" t="str">
        <f>IF(ISNUMBER(U361)=TRUE,AK361-U361,IF(U361="","",(AK361)-(MID(RIGHT(U361,10),4,2)&amp;"/"&amp;LEFT((RIGHT(U361,10)),2)&amp;"/"&amp;RIGHT(U361,4))))</f>
        <v/>
      </c>
      <c r="AU361" s="173">
        <v>454</v>
      </c>
      <c r="AW361" s="142" t="s">
        <v>123</v>
      </c>
    </row>
    <row r="362" spans="2:49" s="142" customFormat="1" ht="21" customHeight="1" x14ac:dyDescent="0.25">
      <c r="B362" s="173" t="str">
        <f>IF(C362="HOLD RM","HOLD RM",IF(C362="BAL","WIP",IF(C362="HOLD SLT","HOLD SLT",IF(C362="MILL","RM",IF(C362="RE SLT","WIP",IF(C362="RM","RM",IF(C362="RM BAL","RM",IF(C362="RM SLT","RM",IF(C362="RR","WIP",IF(C362="SKP","WIP",IF(C362="SLT","WIP",IF(C362="CTL","WIP",IF(C362="RM SLT RUST","RM SLT RUST",0)))))))))))))&amp;"-"&amp;G362&amp;"/"&amp;IF(H362="2B","2B",IF(H362="NO.1","1D",IF(H362="FH","FH",0)))&amp;"-"&amp;IF(J362="",(TEXT(I362,"0.00")),TEXT(J362,"0.00"))&amp;"X"&amp;M362</f>
        <v>RM-J3/1D-2.20X730</v>
      </c>
      <c r="C362" s="173" t="s">
        <v>48</v>
      </c>
      <c r="D362" s="173" t="s">
        <v>48</v>
      </c>
      <c r="E362" s="190" t="s">
        <v>1484</v>
      </c>
      <c r="F362" s="190" t="s">
        <v>1485</v>
      </c>
      <c r="G362" s="173" t="s">
        <v>34</v>
      </c>
      <c r="H362" s="173" t="s">
        <v>127</v>
      </c>
      <c r="I362" s="174">
        <v>2.2000000000000002</v>
      </c>
      <c r="J362" s="174"/>
      <c r="K362" s="174"/>
      <c r="L362" s="174"/>
      <c r="M362" s="191">
        <v>730</v>
      </c>
      <c r="N362" s="176">
        <v>11.885999999999999</v>
      </c>
      <c r="O362" s="176"/>
      <c r="P362" s="177"/>
      <c r="Q362" s="178"/>
      <c r="R362" s="179"/>
      <c r="S362" s="179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80"/>
      <c r="AE362" s="173" t="s">
        <v>69</v>
      </c>
      <c r="AF362" s="181" t="s">
        <v>1065</v>
      </c>
      <c r="AG362" s="181" t="s">
        <v>1401</v>
      </c>
      <c r="AH362" s="181">
        <v>44819</v>
      </c>
      <c r="AI362" s="181">
        <v>44835</v>
      </c>
      <c r="AJ362" s="181"/>
      <c r="AK362" s="181">
        <f ca="1">TODAY()</f>
        <v>44958</v>
      </c>
      <c r="AL362" s="173">
        <f ca="1">IF(AI362&lt;&gt;0,AK362-AI362,0)</f>
        <v>123</v>
      </c>
      <c r="AM362" s="173" t="str">
        <f>IF(ISNUMBER(X362)=TRUE,AK362-X362,IF(X362="","",(AK362)-(MID(RIGHT(X362,10),4,2)&amp;"/"&amp;LEFT((RIGHT(X362,10)),2)&amp;"/"&amp;RIGHT(X362,4))))</f>
        <v/>
      </c>
      <c r="AN362" s="181" t="s">
        <v>1425</v>
      </c>
      <c r="AO362" s="190" t="s">
        <v>1486</v>
      </c>
      <c r="AP362" s="176">
        <v>11.885999999999999</v>
      </c>
      <c r="AQ362" s="176">
        <v>11.925999999999998</v>
      </c>
      <c r="AR362" s="176">
        <v>11.950999999999997</v>
      </c>
      <c r="AS362" s="176">
        <v>11.955999999999998</v>
      </c>
      <c r="AT362" s="173" t="str">
        <f>IF(ISNUMBER(U362)=TRUE,AK362-U362,IF(U362="","",(AK362)-(MID(RIGHT(U362,10),4,2)&amp;"/"&amp;LEFT((RIGHT(U362,10)),2)&amp;"/"&amp;RIGHT(U362,4))))</f>
        <v/>
      </c>
      <c r="AU362" s="173">
        <v>454</v>
      </c>
      <c r="AW362" s="142" t="s">
        <v>123</v>
      </c>
    </row>
    <row r="363" spans="2:49" s="142" customFormat="1" ht="21" customHeight="1" x14ac:dyDescent="0.25">
      <c r="B363" s="173" t="str">
        <f>IF(C363="HOLD RM","HOLD RM",IF(C363="BAL","WIP",IF(C363="HOLD SLT","HOLD SLT",IF(C363="MILL","RM",IF(C363="RE SLT","WIP",IF(C363="RM","RM",IF(C363="RM BAL","RM",IF(C363="RM SLT","RM",IF(C363="RR","WIP",IF(C363="SKP","WIP",IF(C363="SLT","WIP",IF(C363="CTL","WIP",IF(C363="RM SLT RUST","RM SLT RUST",0)))))))))))))&amp;"-"&amp;G363&amp;"/"&amp;IF(H363="2B","2B",IF(H363="NO.1","1D",IF(H363="FH","FH",0)))&amp;"-"&amp;IF(J363="",(TEXT(I363,"0.00")),TEXT(J363,"0.00"))&amp;"X"&amp;M363</f>
        <v>RM-J3/1D-2.40X635</v>
      </c>
      <c r="C363" s="173" t="s">
        <v>48</v>
      </c>
      <c r="D363" s="173" t="s">
        <v>48</v>
      </c>
      <c r="E363" s="190" t="s">
        <v>1487</v>
      </c>
      <c r="F363" s="190" t="s">
        <v>1488</v>
      </c>
      <c r="G363" s="173" t="s">
        <v>34</v>
      </c>
      <c r="H363" s="173" t="s">
        <v>127</v>
      </c>
      <c r="I363" s="174">
        <v>2.4</v>
      </c>
      <c r="J363" s="174"/>
      <c r="K363" s="174"/>
      <c r="L363" s="174"/>
      <c r="M363" s="191">
        <v>635</v>
      </c>
      <c r="N363" s="176">
        <v>10.326000000000001</v>
      </c>
      <c r="O363" s="176"/>
      <c r="P363" s="177"/>
      <c r="Q363" s="178"/>
      <c r="R363" s="179"/>
      <c r="S363" s="179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80"/>
      <c r="AE363" s="173" t="s">
        <v>69</v>
      </c>
      <c r="AF363" s="181" t="s">
        <v>1065</v>
      </c>
      <c r="AG363" s="181" t="s">
        <v>1401</v>
      </c>
      <c r="AH363" s="181">
        <v>44819</v>
      </c>
      <c r="AI363" s="181">
        <v>44835</v>
      </c>
      <c r="AJ363" s="181"/>
      <c r="AK363" s="181">
        <f ca="1">TODAY()</f>
        <v>44958</v>
      </c>
      <c r="AL363" s="173">
        <f ca="1">IF(AI363&lt;&gt;0,AK363-AI363,0)</f>
        <v>123</v>
      </c>
      <c r="AM363" s="173" t="str">
        <f>IF(ISNUMBER(X363)=TRUE,AK363-X363,IF(X363="","",(AK363)-(MID(RIGHT(X363,10),4,2)&amp;"/"&amp;LEFT((RIGHT(X363,10)),2)&amp;"/"&amp;RIGHT(X363,4))))</f>
        <v/>
      </c>
      <c r="AN363" s="181" t="s">
        <v>1421</v>
      </c>
      <c r="AO363" s="190" t="s">
        <v>1489</v>
      </c>
      <c r="AP363" s="176">
        <v>10.326000000000001</v>
      </c>
      <c r="AQ363" s="176">
        <v>10.366</v>
      </c>
      <c r="AR363" s="176">
        <v>10.390999999999998</v>
      </c>
      <c r="AS363" s="176">
        <v>10.395999999999999</v>
      </c>
      <c r="AT363" s="173" t="str">
        <f>IF(ISNUMBER(U363)=TRUE,AK363-U363,IF(U363="","",(AK363)-(MID(RIGHT(U363,10),4,2)&amp;"/"&amp;LEFT((RIGHT(U363,10)),2)&amp;"/"&amp;RIGHT(U363,4))))</f>
        <v/>
      </c>
      <c r="AU363" s="173">
        <v>454</v>
      </c>
      <c r="AW363" s="142" t="s">
        <v>123</v>
      </c>
    </row>
    <row r="364" spans="2:49" s="142" customFormat="1" ht="21" customHeight="1" x14ac:dyDescent="0.25">
      <c r="B364" s="173" t="str">
        <f>IF(C364="HOLD RM","HOLD RM",IF(C364="BAL","WIP",IF(C364="HOLD SLT","HOLD SLT",IF(C364="MILL","RM",IF(C364="RE SLT","WIP",IF(C364="RM","RM",IF(C364="RM BAL","RM",IF(C364="RM SLT","RM",IF(C364="RR","WIP",IF(C364="SKP","WIP",IF(C364="SLT","WIP",IF(C364="CTL","WIP",IF(C364="RM SLT RUST","RM SLT RUST",0)))))))))))))&amp;"-"&amp;G364&amp;"/"&amp;IF(H364="2B","2B",IF(H364="NO.1","1D",IF(H364="FH","FH",0)))&amp;"-"&amp;IF(J364="",(TEXT(I364,"0.00")),TEXT(J364,"0.00"))&amp;"X"&amp;M364</f>
        <v>WIP-J3/2B-0.90X620</v>
      </c>
      <c r="C364" s="173" t="s">
        <v>18</v>
      </c>
      <c r="D364" s="173" t="s">
        <v>836</v>
      </c>
      <c r="E364" s="190" t="s">
        <v>1490</v>
      </c>
      <c r="F364" s="190" t="s">
        <v>1491</v>
      </c>
      <c r="G364" s="173" t="s">
        <v>34</v>
      </c>
      <c r="H364" s="173" t="s">
        <v>114</v>
      </c>
      <c r="I364" s="174">
        <v>2.2000000000000002</v>
      </c>
      <c r="J364" s="174">
        <v>0.9</v>
      </c>
      <c r="K364" s="174">
        <v>0.9</v>
      </c>
      <c r="L364" s="174">
        <v>0.91</v>
      </c>
      <c r="M364" s="191">
        <v>620</v>
      </c>
      <c r="N364" s="176">
        <v>10.015000000000001</v>
      </c>
      <c r="O364" s="176" t="s">
        <v>114</v>
      </c>
      <c r="P364" s="177"/>
      <c r="Q364" s="178" t="s">
        <v>294</v>
      </c>
      <c r="R364" s="179"/>
      <c r="S364" s="179"/>
      <c r="T364" s="177">
        <v>44883</v>
      </c>
      <c r="U364" s="177"/>
      <c r="V364" s="177"/>
      <c r="W364" s="177">
        <v>44883</v>
      </c>
      <c r="X364" s="177"/>
      <c r="Y364" s="177">
        <v>44945</v>
      </c>
      <c r="Z364" s="177">
        <v>44947</v>
      </c>
      <c r="AA364" s="177"/>
      <c r="AB364" s="177"/>
      <c r="AC364" s="177"/>
      <c r="AD364" s="180"/>
      <c r="AE364" s="173" t="s">
        <v>69</v>
      </c>
      <c r="AF364" s="181" t="s">
        <v>1065</v>
      </c>
      <c r="AG364" s="181" t="s">
        <v>1401</v>
      </c>
      <c r="AH364" s="181">
        <v>44819</v>
      </c>
      <c r="AI364" s="181">
        <v>44835</v>
      </c>
      <c r="AJ364" s="181"/>
      <c r="AK364" s="181">
        <f ca="1">TODAY()</f>
        <v>44958</v>
      </c>
      <c r="AL364" s="173">
        <f ca="1">IF(AI364&lt;&gt;0,AK364-AI364,0)</f>
        <v>123</v>
      </c>
      <c r="AM364" s="173" t="str">
        <f>IF(ISNUMBER(X364)=TRUE,AK364-X364,IF(X364="","",(AK364)-(MID(RIGHT(X364,10),4,2)&amp;"/"&amp;LEFT((RIGHT(X364,10)),2)&amp;"/"&amp;RIGHT(X364,4))))</f>
        <v/>
      </c>
      <c r="AN364" s="181" t="s">
        <v>1445</v>
      </c>
      <c r="AO364" s="190" t="s">
        <v>1492</v>
      </c>
      <c r="AP364" s="176">
        <v>10.071999999999999</v>
      </c>
      <c r="AQ364" s="176">
        <v>10.111999999999998</v>
      </c>
      <c r="AR364" s="176">
        <v>10.136999999999997</v>
      </c>
      <c r="AS364" s="176">
        <v>10.141999999999998</v>
      </c>
      <c r="AT364" s="173" t="str">
        <f>IF(ISNUMBER(U364)=TRUE,AK364-U364,IF(U364="","",(AK364)-(MID(RIGHT(U364,10),4,2)&amp;"/"&amp;LEFT((RIGHT(U364,10)),2)&amp;"/"&amp;RIGHT(U364,4))))</f>
        <v/>
      </c>
      <c r="AU364" s="173">
        <v>454</v>
      </c>
      <c r="AW364" s="142" t="s">
        <v>123</v>
      </c>
    </row>
    <row r="365" spans="2:49" s="142" customFormat="1" ht="21" customHeight="1" x14ac:dyDescent="0.25">
      <c r="B365" s="173" t="str">
        <f>IF(C365="HOLD RM","HOLD RM",IF(C365="BAL","WIP",IF(C365="HOLD SLT","HOLD SLT",IF(C365="MILL","RM",IF(C365="RE SLT","WIP",IF(C365="RM","RM",IF(C365="RM BAL","RM",IF(C365="RM SLT","RM",IF(C365="RR","WIP",IF(C365="SKP","WIP",IF(C365="SLT","WIP",IF(C365="CTL","WIP",IF(C365="RM SLT RUST","RM SLT RUST",0)))))))))))))&amp;"-"&amp;G365&amp;"/"&amp;IF(H365="2B","2B",IF(H365="NO.1","1D",IF(H365="FH","FH",0)))&amp;"-"&amp;IF(J365="",(TEXT(I365,"0.00")),TEXT(J365,"0.00"))&amp;"X"&amp;M365</f>
        <v>WIP-J3/FH-0.73X620</v>
      </c>
      <c r="C365" s="173" t="s">
        <v>16</v>
      </c>
      <c r="D365" s="173" t="s">
        <v>16</v>
      </c>
      <c r="E365" s="190" t="s">
        <v>1493</v>
      </c>
      <c r="F365" s="190" t="s">
        <v>1494</v>
      </c>
      <c r="G365" s="173" t="s">
        <v>34</v>
      </c>
      <c r="H365" s="173" t="s">
        <v>70</v>
      </c>
      <c r="I365" s="174">
        <v>2.2000000000000002</v>
      </c>
      <c r="J365" s="174">
        <v>0.73</v>
      </c>
      <c r="K365" s="174"/>
      <c r="L365" s="174"/>
      <c r="M365" s="191">
        <v>620</v>
      </c>
      <c r="N365" s="176">
        <v>10.071999999999999</v>
      </c>
      <c r="O365" s="176" t="s">
        <v>114</v>
      </c>
      <c r="P365" s="177"/>
      <c r="Q365" s="178" t="s">
        <v>361</v>
      </c>
      <c r="R365" s="179"/>
      <c r="S365" s="179"/>
      <c r="T365" s="177">
        <v>44884</v>
      </c>
      <c r="U365" s="177"/>
      <c r="V365" s="177"/>
      <c r="W365" s="177">
        <v>44886</v>
      </c>
      <c r="X365" s="177"/>
      <c r="Y365" s="177"/>
      <c r="Z365" s="177">
        <v>44938</v>
      </c>
      <c r="AA365" s="177"/>
      <c r="AB365" s="177"/>
      <c r="AC365" s="177"/>
      <c r="AD365" s="180"/>
      <c r="AE365" s="173" t="s">
        <v>69</v>
      </c>
      <c r="AF365" s="181" t="s">
        <v>1065</v>
      </c>
      <c r="AG365" s="181" t="s">
        <v>1401</v>
      </c>
      <c r="AH365" s="181">
        <v>44819</v>
      </c>
      <c r="AI365" s="181">
        <v>44835</v>
      </c>
      <c r="AJ365" s="181"/>
      <c r="AK365" s="181">
        <f ca="1">TODAY()</f>
        <v>44958</v>
      </c>
      <c r="AL365" s="173">
        <f ca="1">IF(AI365&lt;&gt;0,AK365-AI365,0)</f>
        <v>123</v>
      </c>
      <c r="AM365" s="173" t="str">
        <f>IF(ISNUMBER(X365)=TRUE,AK365-X365,IF(X365="","",(AK365)-(MID(RIGHT(X365,10),4,2)&amp;"/"&amp;LEFT((RIGHT(X365,10)),2)&amp;"/"&amp;RIGHT(X365,4))))</f>
        <v/>
      </c>
      <c r="AN365" s="181" t="s">
        <v>1417</v>
      </c>
      <c r="AO365" s="190" t="s">
        <v>1492</v>
      </c>
      <c r="AP365" s="176">
        <v>10.071999999999999</v>
      </c>
      <c r="AQ365" s="176">
        <v>10.111999999999998</v>
      </c>
      <c r="AR365" s="176">
        <v>10.136999999999997</v>
      </c>
      <c r="AS365" s="176">
        <v>10.141999999999998</v>
      </c>
      <c r="AT365" s="173" t="str">
        <f>IF(ISNUMBER(U365)=TRUE,AK365-U365,IF(U365="","",(AK365)-(MID(RIGHT(U365,10),4,2)&amp;"/"&amp;LEFT((RIGHT(U365,10)),2)&amp;"/"&amp;RIGHT(U365,4))))</f>
        <v/>
      </c>
      <c r="AU365" s="173">
        <v>454</v>
      </c>
      <c r="AW365" s="142" t="s">
        <v>123</v>
      </c>
    </row>
    <row r="366" spans="2:49" s="142" customFormat="1" ht="21" customHeight="1" x14ac:dyDescent="0.25">
      <c r="B366" s="173" t="str">
        <f>IF(C366="HOLD RM","HOLD RM",IF(C366="BAL","WIP",IF(C366="HOLD SLT","HOLD SLT",IF(C366="MILL","RM",IF(C366="RE SLT","WIP",IF(C366="RM","RM",IF(C366="RM BAL","RM",IF(C366="RM SLT","RM",IF(C366="RR","WIP",IF(C366="SKP","WIP",IF(C366="SLT","WIP",IF(C366="CTL","WIP",IF(C366="RM SLT RUST","RM SLT RUST",0)))))))))))))&amp;"-"&amp;G366&amp;"/"&amp;IF(H366="2B","2B",IF(H366="NO.1","1D",IF(H366="FH","FH",0)))&amp;"-"&amp;IF(J366="",(TEXT(I366,"0.00")),TEXT(J366,"0.00"))&amp;"X"&amp;M366</f>
        <v>RM-J3/1D-2.40X660</v>
      </c>
      <c r="C366" s="173" t="s">
        <v>48</v>
      </c>
      <c r="D366" s="173" t="s">
        <v>48</v>
      </c>
      <c r="E366" s="190" t="s">
        <v>1495</v>
      </c>
      <c r="F366" s="190" t="s">
        <v>1496</v>
      </c>
      <c r="G366" s="173" t="s">
        <v>34</v>
      </c>
      <c r="H366" s="173" t="s">
        <v>127</v>
      </c>
      <c r="I366" s="174">
        <v>2.4</v>
      </c>
      <c r="J366" s="174"/>
      <c r="K366" s="174"/>
      <c r="L366" s="174"/>
      <c r="M366" s="191">
        <v>660</v>
      </c>
      <c r="N366" s="176">
        <v>10.58</v>
      </c>
      <c r="O366" s="176"/>
      <c r="P366" s="177"/>
      <c r="Q366" s="178"/>
      <c r="R366" s="179"/>
      <c r="S366" s="179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80"/>
      <c r="AE366" s="173" t="s">
        <v>69</v>
      </c>
      <c r="AF366" s="181" t="s">
        <v>1065</v>
      </c>
      <c r="AG366" s="181" t="s">
        <v>1401</v>
      </c>
      <c r="AH366" s="181">
        <v>44819</v>
      </c>
      <c r="AI366" s="181">
        <v>44835</v>
      </c>
      <c r="AJ366" s="181"/>
      <c r="AK366" s="181">
        <f ca="1">TODAY()</f>
        <v>44958</v>
      </c>
      <c r="AL366" s="173">
        <f ca="1">IF(AI366&lt;&gt;0,AK366-AI366,0)</f>
        <v>123</v>
      </c>
      <c r="AM366" s="173" t="str">
        <f>IF(ISNUMBER(X366)=TRUE,AK366-X366,IF(X366="","",(AK366)-(MID(RIGHT(X366,10),4,2)&amp;"/"&amp;LEFT((RIGHT(X366,10)),2)&amp;"/"&amp;RIGHT(X366,4))))</f>
        <v/>
      </c>
      <c r="AN366" s="181" t="s">
        <v>1454</v>
      </c>
      <c r="AO366" s="190" t="s">
        <v>1497</v>
      </c>
      <c r="AP366" s="176">
        <v>10.58</v>
      </c>
      <c r="AQ366" s="176">
        <v>10.62</v>
      </c>
      <c r="AR366" s="176">
        <v>10.644999999999998</v>
      </c>
      <c r="AS366" s="176">
        <v>10.649999999999999</v>
      </c>
      <c r="AT366" s="173" t="str">
        <f>IF(ISNUMBER(U366)=TRUE,AK366-U366,IF(U366="","",(AK366)-(MID(RIGHT(U366,10),4,2)&amp;"/"&amp;LEFT((RIGHT(U366,10)),2)&amp;"/"&amp;RIGHT(U366,4))))</f>
        <v/>
      </c>
      <c r="AU366" s="173">
        <v>454</v>
      </c>
      <c r="AW366" s="142" t="s">
        <v>123</v>
      </c>
    </row>
    <row r="367" spans="2:49" s="142" customFormat="1" ht="21" customHeight="1" x14ac:dyDescent="0.25">
      <c r="B367" s="173" t="str">
        <f>IF(C367="HOLD RM","HOLD RM",IF(C367="BAL","WIP",IF(C367="HOLD SLT","HOLD SLT",IF(C367="MILL","RM",IF(C367="RE SLT","WIP",IF(C367="RM","RM",IF(C367="RM BAL","RM",IF(C367="RM SLT","RM",IF(C367="RR","WIP",IF(C367="SKP","WIP",IF(C367="SLT","WIP",IF(C367="CTL","WIP",IF(C367="RM SLT RUST","RM SLT RUST",0)))))))))))))&amp;"-"&amp;G367&amp;"/"&amp;IF(H367="2B","2B",IF(H367="NO.1","1D",IF(H367="FH","FH",0)))&amp;"-"&amp;IF(J367="",(TEXT(I367,"0.00")),TEXT(J367,"0.00"))&amp;"X"&amp;M367</f>
        <v>RM-J3/1D-2.20X630</v>
      </c>
      <c r="C367" s="173" t="s">
        <v>48</v>
      </c>
      <c r="D367" s="173" t="s">
        <v>48</v>
      </c>
      <c r="E367" s="190" t="s">
        <v>1498</v>
      </c>
      <c r="F367" s="190" t="s">
        <v>1499</v>
      </c>
      <c r="G367" s="173" t="s">
        <v>34</v>
      </c>
      <c r="H367" s="173" t="s">
        <v>127</v>
      </c>
      <c r="I367" s="174">
        <v>2.2000000000000002</v>
      </c>
      <c r="J367" s="174"/>
      <c r="K367" s="174"/>
      <c r="L367" s="174"/>
      <c r="M367" s="191">
        <v>630</v>
      </c>
      <c r="N367" s="176">
        <v>10.29</v>
      </c>
      <c r="O367" s="176"/>
      <c r="P367" s="177"/>
      <c r="Q367" s="178"/>
      <c r="R367" s="179"/>
      <c r="S367" s="179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80"/>
      <c r="AE367" s="173" t="s">
        <v>69</v>
      </c>
      <c r="AF367" s="181" t="s">
        <v>1065</v>
      </c>
      <c r="AG367" s="181" t="s">
        <v>1401</v>
      </c>
      <c r="AH367" s="181">
        <v>44819</v>
      </c>
      <c r="AI367" s="181">
        <v>44835</v>
      </c>
      <c r="AJ367" s="181"/>
      <c r="AK367" s="181">
        <f ca="1">TODAY()</f>
        <v>44958</v>
      </c>
      <c r="AL367" s="173">
        <f ca="1">IF(AI367&lt;&gt;0,AK367-AI367,0)</f>
        <v>123</v>
      </c>
      <c r="AM367" s="173" t="str">
        <f>IF(ISNUMBER(X367)=TRUE,AK367-X367,IF(X367="","",(AK367)-(MID(RIGHT(X367,10),4,2)&amp;"/"&amp;LEFT((RIGHT(X367,10)),2)&amp;"/"&amp;RIGHT(X367,4))))</f>
        <v/>
      </c>
      <c r="AN367" s="181" t="s">
        <v>1454</v>
      </c>
      <c r="AO367" s="190" t="s">
        <v>1500</v>
      </c>
      <c r="AP367" s="176">
        <v>10.29</v>
      </c>
      <c r="AQ367" s="176">
        <v>10.329999999999998</v>
      </c>
      <c r="AR367" s="176">
        <v>10.354999999999997</v>
      </c>
      <c r="AS367" s="176">
        <v>10.359999999999998</v>
      </c>
      <c r="AT367" s="173" t="str">
        <f>IF(ISNUMBER(U367)=TRUE,AK367-U367,IF(U367="","",(AK367)-(MID(RIGHT(U367,10),4,2)&amp;"/"&amp;LEFT((RIGHT(U367,10)),2)&amp;"/"&amp;RIGHT(U367,4))))</f>
        <v/>
      </c>
      <c r="AU367" s="173">
        <v>454</v>
      </c>
      <c r="AW367" s="142" t="s">
        <v>123</v>
      </c>
    </row>
    <row r="368" spans="2:49" s="142" customFormat="1" ht="21" customHeight="1" x14ac:dyDescent="0.25">
      <c r="B368" s="173" t="str">
        <f>IF(C368="HOLD RM","HOLD RM",IF(C368="BAL","WIP",IF(C368="HOLD SLT","HOLD SLT",IF(C368="MILL","RM",IF(C368="RE SLT","WIP",IF(C368="RM","RM",IF(C368="RM BAL","RM",IF(C368="RM SLT","RM",IF(C368="RR","WIP",IF(C368="SKP","WIP",IF(C368="SLT","WIP",IF(C368="CTL","WIP",IF(C368="RM SLT RUST","RM SLT RUST",0)))))))))))))&amp;"-"&amp;G368&amp;"/"&amp;IF(H368="2B","2B",IF(H368="NO.1","1D",IF(H368="FH","FH",0)))&amp;"-"&amp;IF(J368="",(TEXT(I368,"0.00")),TEXT(J368,"0.00"))&amp;"X"&amp;M368</f>
        <v>RM-J3/1D-2.40X660</v>
      </c>
      <c r="C368" s="173" t="s">
        <v>48</v>
      </c>
      <c r="D368" s="173" t="s">
        <v>48</v>
      </c>
      <c r="E368" s="190" t="s">
        <v>1501</v>
      </c>
      <c r="F368" s="190" t="s">
        <v>1502</v>
      </c>
      <c r="G368" s="173" t="s">
        <v>34</v>
      </c>
      <c r="H368" s="173" t="s">
        <v>127</v>
      </c>
      <c r="I368" s="174">
        <v>2.4</v>
      </c>
      <c r="J368" s="174"/>
      <c r="K368" s="174"/>
      <c r="L368" s="174"/>
      <c r="M368" s="191">
        <v>660</v>
      </c>
      <c r="N368" s="176">
        <v>9.9019999999999992</v>
      </c>
      <c r="O368" s="176"/>
      <c r="P368" s="177"/>
      <c r="Q368" s="178"/>
      <c r="R368" s="179"/>
      <c r="S368" s="179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80"/>
      <c r="AE368" s="173" t="s">
        <v>69</v>
      </c>
      <c r="AF368" s="181" t="s">
        <v>1065</v>
      </c>
      <c r="AG368" s="181" t="s">
        <v>1401</v>
      </c>
      <c r="AH368" s="198">
        <v>44819</v>
      </c>
      <c r="AI368" s="181">
        <v>44835</v>
      </c>
      <c r="AJ368" s="181"/>
      <c r="AK368" s="181">
        <f ca="1">TODAY()</f>
        <v>44958</v>
      </c>
      <c r="AL368" s="173">
        <f ca="1">IF(AI368&lt;&gt;0,AK368-AI368,0)</f>
        <v>123</v>
      </c>
      <c r="AM368" s="173" t="str">
        <f>IF(ISNUMBER(X368)=TRUE,AK368-X368,IF(X368="","",(AK368)-(MID(RIGHT(X368,10),4,2)&amp;"/"&amp;LEFT((RIGHT(X368,10)),2)&amp;"/"&amp;RIGHT(X368,4))))</f>
        <v/>
      </c>
      <c r="AN368" s="181" t="s">
        <v>1457</v>
      </c>
      <c r="AO368" s="190" t="s">
        <v>1503</v>
      </c>
      <c r="AP368" s="176">
        <v>9.9019999999999992</v>
      </c>
      <c r="AQ368" s="176">
        <v>9.9419999999999984</v>
      </c>
      <c r="AR368" s="176">
        <v>9.966999999999997</v>
      </c>
      <c r="AS368" s="176">
        <v>9.9719999999999978</v>
      </c>
      <c r="AT368" s="173" t="str">
        <f>IF(ISNUMBER(U368)=TRUE,AK368-U368,IF(U368="","",(AK368)-(MID(RIGHT(U368,10),4,2)&amp;"/"&amp;LEFT((RIGHT(U368,10)),2)&amp;"/"&amp;RIGHT(U368,4))))</f>
        <v/>
      </c>
      <c r="AU368" s="173">
        <v>454</v>
      </c>
      <c r="AW368" s="142" t="s">
        <v>123</v>
      </c>
    </row>
    <row r="369" spans="2:49" s="142" customFormat="1" ht="21" customHeight="1" x14ac:dyDescent="0.25">
      <c r="B369" s="173" t="str">
        <f>IF(C369="HOLD RM","HOLD RM",IF(C369="BAL","WIP",IF(C369="HOLD SLT","HOLD SLT",IF(C369="MILL","RM",IF(C369="RE SLT","WIP",IF(C369="RM","RM",IF(C369="RM BAL","RM",IF(C369="RM SLT","RM",IF(C369="RR","WIP",IF(C369="SKP","WIP",IF(C369="SLT","WIP",IF(C369="CTL","WIP",IF(C369="RM SLT RUST","RM SLT RUST",0)))))))))))))&amp;"-"&amp;G369&amp;"/"&amp;IF(H369="2B","2B",IF(H369="NO.1","1D",IF(H369="FH","FH",0)))&amp;"-"&amp;IF(J369="",(TEXT(I369,"0.00")),TEXT(J369,"0.00"))&amp;"X"&amp;M369</f>
        <v>WIP-304L/FH-1.50X768</v>
      </c>
      <c r="C369" s="173" t="s">
        <v>16</v>
      </c>
      <c r="D369" s="173" t="s">
        <v>16</v>
      </c>
      <c r="E369" s="190" t="s">
        <v>1504</v>
      </c>
      <c r="F369" s="190" t="s">
        <v>1505</v>
      </c>
      <c r="G369" s="173" t="s">
        <v>182</v>
      </c>
      <c r="H369" s="173" t="s">
        <v>70</v>
      </c>
      <c r="I369" s="174">
        <v>3.81</v>
      </c>
      <c r="J369" s="174">
        <v>1.5</v>
      </c>
      <c r="K369" s="174"/>
      <c r="L369" s="174"/>
      <c r="M369" s="191">
        <v>768</v>
      </c>
      <c r="N369" s="176">
        <v>12.27</v>
      </c>
      <c r="O369" s="176" t="s">
        <v>114</v>
      </c>
      <c r="P369" s="177"/>
      <c r="Q369" s="178" t="s">
        <v>1506</v>
      </c>
      <c r="R369" s="179"/>
      <c r="S369" s="179"/>
      <c r="T369" s="177">
        <v>44943</v>
      </c>
      <c r="U369" s="177"/>
      <c r="V369" s="177">
        <v>44943</v>
      </c>
      <c r="W369" s="177"/>
      <c r="X369" s="177"/>
      <c r="Y369" s="177"/>
      <c r="Z369" s="177"/>
      <c r="AA369" s="177">
        <v>44940</v>
      </c>
      <c r="AB369" s="177"/>
      <c r="AC369" s="177"/>
      <c r="AD369" s="180" t="s">
        <v>1507</v>
      </c>
      <c r="AE369" s="173" t="s">
        <v>69</v>
      </c>
      <c r="AF369" s="181" t="s">
        <v>142</v>
      </c>
      <c r="AG369" s="192" t="s">
        <v>1508</v>
      </c>
      <c r="AH369" s="198"/>
      <c r="AI369" s="181">
        <v>44849</v>
      </c>
      <c r="AJ369" s="181"/>
      <c r="AK369" s="181">
        <f ca="1">TODAY()</f>
        <v>44958</v>
      </c>
      <c r="AL369" s="173">
        <f ca="1">IF(AI369&lt;&gt;0,AK369-AI369,0)</f>
        <v>109</v>
      </c>
      <c r="AM369" s="173" t="str">
        <f>IF(ISNUMBER(X369)=TRUE,AK369-X369,IF(X369="","",(AK369)-(MID(RIGHT(X369,10),4,2)&amp;"/"&amp;LEFT((RIGHT(X369,10)),2)&amp;"/"&amp;RIGHT(X369,4))))</f>
        <v/>
      </c>
      <c r="AN369" s="181"/>
      <c r="AO369" s="190" t="s">
        <v>1509</v>
      </c>
      <c r="AP369" s="176">
        <v>24.504999999999999</v>
      </c>
      <c r="AQ369" s="176">
        <v>24.565000000000001</v>
      </c>
      <c r="AR369" s="176">
        <v>24.590000000000003</v>
      </c>
      <c r="AS369" s="176">
        <v>24.595000000000002</v>
      </c>
      <c r="AT369" s="173" t="str">
        <f>IF(ISNUMBER(U369)=TRUE,AK369-U369,IF(U369="","",(AK369)-(MID(RIGHT(U369,10),4,2)&amp;"/"&amp;LEFT((RIGHT(U369,10)),2)&amp;"/"&amp;RIGHT(U369,4))))</f>
        <v/>
      </c>
      <c r="AU369" s="173">
        <v>456</v>
      </c>
      <c r="AW369" s="142" t="s">
        <v>123</v>
      </c>
    </row>
    <row r="370" spans="2:49" s="142" customFormat="1" ht="21" customHeight="1" x14ac:dyDescent="0.25">
      <c r="B370" s="173" t="str">
        <f>IF(C370="HOLD RM","HOLD RM",IF(C370="BAL","WIP",IF(C370="HOLD SLT","HOLD SLT",IF(C370="MILL","RM",IF(C370="RE SLT","WIP",IF(C370="RM","RM",IF(C370="RM BAL","RM",IF(C370="RM SLT","RM",IF(C370="RR","WIP",IF(C370="SKP","WIP",IF(C370="SLT","WIP",IF(C370="CTL","WIP",IF(C370="RM SLT RUST","RM SLT RUST",0)))))))))))))&amp;"-"&amp;G370&amp;"/"&amp;IF(H370="2B","2B",IF(H370="NO.1","1D",IF(H370="FH","FH",0)))&amp;"-"&amp;IF(J370="",(TEXT(I370,"0.00")),TEXT(J370,"0.00"))&amp;"X"&amp;M370</f>
        <v>WIP-304L/FH-1.50X769</v>
      </c>
      <c r="C370" s="173" t="s">
        <v>16</v>
      </c>
      <c r="D370" s="173" t="s">
        <v>16</v>
      </c>
      <c r="E370" s="190" t="s">
        <v>1504</v>
      </c>
      <c r="F370" s="190" t="s">
        <v>1510</v>
      </c>
      <c r="G370" s="173" t="s">
        <v>182</v>
      </c>
      <c r="H370" s="173" t="s">
        <v>70</v>
      </c>
      <c r="I370" s="174">
        <v>3.81</v>
      </c>
      <c r="J370" s="174">
        <v>1.5</v>
      </c>
      <c r="K370" s="174"/>
      <c r="L370" s="174"/>
      <c r="M370" s="191">
        <v>769</v>
      </c>
      <c r="N370" s="176">
        <v>12.3</v>
      </c>
      <c r="O370" s="176" t="s">
        <v>114</v>
      </c>
      <c r="P370" s="177"/>
      <c r="Q370" s="178" t="s">
        <v>1506</v>
      </c>
      <c r="R370" s="179"/>
      <c r="S370" s="179"/>
      <c r="T370" s="177">
        <v>44942</v>
      </c>
      <c r="U370" s="177"/>
      <c r="V370" s="177">
        <v>44943</v>
      </c>
      <c r="W370" s="177"/>
      <c r="X370" s="177"/>
      <c r="Y370" s="177"/>
      <c r="Z370" s="177"/>
      <c r="AA370" s="177">
        <v>44940</v>
      </c>
      <c r="AB370" s="177"/>
      <c r="AC370" s="177"/>
      <c r="AD370" s="180" t="s">
        <v>1507</v>
      </c>
      <c r="AE370" s="173" t="s">
        <v>69</v>
      </c>
      <c r="AF370" s="181" t="s">
        <v>142</v>
      </c>
      <c r="AG370" s="192" t="s">
        <v>1508</v>
      </c>
      <c r="AH370" s="198"/>
      <c r="AI370" s="181">
        <v>44849</v>
      </c>
      <c r="AJ370" s="181"/>
      <c r="AK370" s="181">
        <f ca="1">TODAY()</f>
        <v>44958</v>
      </c>
      <c r="AL370" s="173">
        <f ca="1">IF(AI370&lt;&gt;0,AK370-AI370,0)</f>
        <v>109</v>
      </c>
      <c r="AM370" s="173" t="str">
        <f>IF(ISNUMBER(X370)=TRUE,AK370-X370,IF(X370="","",(AK370)-(MID(RIGHT(X370,10),4,2)&amp;"/"&amp;LEFT((RIGHT(X370,10)),2)&amp;"/"&amp;RIGHT(X370,4))))</f>
        <v/>
      </c>
      <c r="AN370" s="181"/>
      <c r="AO370" s="190" t="s">
        <v>1509</v>
      </c>
      <c r="AP370" s="176">
        <v>24.504999999999999</v>
      </c>
      <c r="AQ370" s="176">
        <v>24.565000000000001</v>
      </c>
      <c r="AR370" s="176">
        <v>24.590000000000003</v>
      </c>
      <c r="AS370" s="176">
        <v>24.595000000000002</v>
      </c>
      <c r="AT370" s="173" t="str">
        <f>IF(ISNUMBER(U370)=TRUE,AK370-U370,IF(U370="","",(AK370)-(MID(RIGHT(U370,10),4,2)&amp;"/"&amp;LEFT((RIGHT(U370,10)),2)&amp;"/"&amp;RIGHT(U370,4))))</f>
        <v/>
      </c>
      <c r="AU370" s="173">
        <v>456</v>
      </c>
      <c r="AW370" s="142" t="s">
        <v>123</v>
      </c>
    </row>
    <row r="371" spans="2:49" s="142" customFormat="1" ht="21" customHeight="1" x14ac:dyDescent="0.25">
      <c r="B371" s="173" t="str">
        <f>IF(C371="HOLD RM","HOLD RM",IF(C371="BAL","WIP",IF(C371="HOLD SLT","HOLD SLT",IF(C371="MILL","RM",IF(C371="RE SLT","WIP",IF(C371="RM","RM",IF(C371="RM BAL","RM",IF(C371="RM SLT","RM",IF(C371="RR","WIP",IF(C371="SKP","WIP",IF(C371="SLT","WIP",IF(C371="CTL","WIP",IF(C371="RM SLT RUST","RM SLT RUST",0)))))))))))))&amp;"-"&amp;G371&amp;"/"&amp;IF(H371="2B","2B",IF(H371="NO.1","1D",IF(H371="FH","FH",0)))&amp;"-"&amp;IF(J371="",(TEXT(I371,"0.00")),TEXT(J371,"0.00"))&amp;"X"&amp;M371</f>
        <v>HOLD SLT-304L/2B-1.20X768</v>
      </c>
      <c r="C371" s="173" t="s">
        <v>68</v>
      </c>
      <c r="D371" s="173" t="s">
        <v>68</v>
      </c>
      <c r="E371" s="190" t="s">
        <v>1511</v>
      </c>
      <c r="F371" s="190" t="s">
        <v>1512</v>
      </c>
      <c r="G371" s="173" t="s">
        <v>182</v>
      </c>
      <c r="H371" s="173" t="s">
        <v>114</v>
      </c>
      <c r="I371" s="174">
        <v>3.77</v>
      </c>
      <c r="J371" s="174">
        <v>1.2</v>
      </c>
      <c r="K371" s="174">
        <v>1.2</v>
      </c>
      <c r="L371" s="174">
        <v>1.22</v>
      </c>
      <c r="M371" s="191">
        <v>768</v>
      </c>
      <c r="N371" s="176">
        <v>12.23</v>
      </c>
      <c r="O371" s="176" t="s">
        <v>114</v>
      </c>
      <c r="P371" s="177"/>
      <c r="Q371" s="178" t="s">
        <v>1513</v>
      </c>
      <c r="R371" s="179"/>
      <c r="S371" s="179"/>
      <c r="T371" s="177">
        <v>44938</v>
      </c>
      <c r="U371" s="177"/>
      <c r="V371" s="177">
        <v>44938</v>
      </c>
      <c r="W371" s="177"/>
      <c r="X371" s="177">
        <v>44950</v>
      </c>
      <c r="Y371" s="177"/>
      <c r="Z371" s="177"/>
      <c r="AA371" s="177">
        <v>44938</v>
      </c>
      <c r="AB371" s="177"/>
      <c r="AC371" s="177"/>
      <c r="AD371" s="180" t="s">
        <v>1507</v>
      </c>
      <c r="AE371" s="173" t="s">
        <v>69</v>
      </c>
      <c r="AF371" s="181" t="s">
        <v>142</v>
      </c>
      <c r="AG371" s="192" t="s">
        <v>1508</v>
      </c>
      <c r="AH371" s="198"/>
      <c r="AI371" s="181">
        <v>44849</v>
      </c>
      <c r="AJ371" s="181"/>
      <c r="AK371" s="181">
        <f ca="1">TODAY()</f>
        <v>44958</v>
      </c>
      <c r="AL371" s="173">
        <f ca="1">IF(AI371&lt;&gt;0,AK371-AI371,0)</f>
        <v>109</v>
      </c>
      <c r="AM371" s="173">
        <f ca="1">IF(ISNUMBER(X371)=TRUE,AK371-X371,IF(X371="","",(AK371)-(MID(RIGHT(X371,10),4,2)&amp;"/"&amp;LEFT((RIGHT(X371,10)),2)&amp;"/"&amp;RIGHT(X371,4))))</f>
        <v>8</v>
      </c>
      <c r="AN371" s="181"/>
      <c r="AO371" s="190" t="s">
        <v>1514</v>
      </c>
      <c r="AP371" s="176">
        <v>24.54</v>
      </c>
      <c r="AQ371" s="176">
        <v>24.6</v>
      </c>
      <c r="AR371" s="176">
        <v>24.625000000000004</v>
      </c>
      <c r="AS371" s="176">
        <v>24.630000000000003</v>
      </c>
      <c r="AT371" s="173" t="str">
        <f>IF(ISNUMBER(U371)=TRUE,AK371-U371,IF(U371="","",(AK371)-(MID(RIGHT(U371,10),4,2)&amp;"/"&amp;LEFT((RIGHT(U371,10)),2)&amp;"/"&amp;RIGHT(U371,4))))</f>
        <v/>
      </c>
      <c r="AU371" s="173">
        <v>456</v>
      </c>
      <c r="AW371" s="142" t="s">
        <v>123</v>
      </c>
    </row>
    <row r="372" spans="2:49" s="142" customFormat="1" ht="21" customHeight="1" x14ac:dyDescent="0.25">
      <c r="B372" s="173" t="str">
        <f>IF(C372="HOLD RM","HOLD RM",IF(C372="BAL","WIP",IF(C372="HOLD SLT","HOLD SLT",IF(C372="MILL","RM",IF(C372="RE SLT","WIP",IF(C372="RM","RM",IF(C372="RM BAL","RM",IF(C372="RM SLT","RM",IF(C372="RR","WIP",IF(C372="SKP","WIP",IF(C372="SLT","WIP",IF(C372="CTL","WIP",IF(C372="RM SLT RUST","RM SLT RUST",0)))))))))))))&amp;"-"&amp;G372&amp;"/"&amp;IF(H372="2B","2B",IF(H372="NO.1","1D",IF(H372="FH","FH",0)))&amp;"-"&amp;IF(J372="",(TEXT(I372,"0.00")),TEXT(J372,"0.00"))&amp;"X"&amp;M372</f>
        <v>WIP-304L/FH-1.45X770</v>
      </c>
      <c r="C372" s="173" t="s">
        <v>16</v>
      </c>
      <c r="D372" s="173" t="s">
        <v>16</v>
      </c>
      <c r="E372" s="190" t="s">
        <v>1515</v>
      </c>
      <c r="F372" s="190" t="s">
        <v>1516</v>
      </c>
      <c r="G372" s="173" t="s">
        <v>182</v>
      </c>
      <c r="H372" s="173" t="s">
        <v>70</v>
      </c>
      <c r="I372" s="174">
        <v>3.79</v>
      </c>
      <c r="J372" s="174">
        <v>1.45</v>
      </c>
      <c r="K372" s="174"/>
      <c r="L372" s="174"/>
      <c r="M372" s="191">
        <v>770</v>
      </c>
      <c r="N372" s="176">
        <v>12.15</v>
      </c>
      <c r="O372" s="176" t="s">
        <v>114</v>
      </c>
      <c r="P372" s="177"/>
      <c r="Q372" s="178" t="s">
        <v>361</v>
      </c>
      <c r="R372" s="179"/>
      <c r="S372" s="179"/>
      <c r="T372" s="177">
        <v>44940</v>
      </c>
      <c r="U372" s="177"/>
      <c r="V372" s="177">
        <v>44941</v>
      </c>
      <c r="W372" s="177"/>
      <c r="X372" s="177"/>
      <c r="Y372" s="177"/>
      <c r="Z372" s="177"/>
      <c r="AA372" s="177">
        <v>44932</v>
      </c>
      <c r="AB372" s="177"/>
      <c r="AC372" s="177"/>
      <c r="AD372" s="180" t="s">
        <v>1507</v>
      </c>
      <c r="AE372" s="173" t="s">
        <v>69</v>
      </c>
      <c r="AF372" s="181" t="s">
        <v>142</v>
      </c>
      <c r="AG372" s="192" t="s">
        <v>1508</v>
      </c>
      <c r="AH372" s="198"/>
      <c r="AI372" s="181">
        <v>44849</v>
      </c>
      <c r="AJ372" s="181"/>
      <c r="AK372" s="181">
        <f ca="1">TODAY()</f>
        <v>44958</v>
      </c>
      <c r="AL372" s="173">
        <f ca="1">IF(AI372&lt;&gt;0,AK372-AI372,0)</f>
        <v>109</v>
      </c>
      <c r="AM372" s="173" t="str">
        <f>IF(ISNUMBER(X372)=TRUE,AK372-X372,IF(X372="","",(AK372)-(MID(RIGHT(X372,10),4,2)&amp;"/"&amp;LEFT((RIGHT(X372,10)),2)&amp;"/"&amp;RIGHT(X372,4))))</f>
        <v/>
      </c>
      <c r="AN372" s="181"/>
      <c r="AO372" s="190" t="s">
        <v>1517</v>
      </c>
      <c r="AP372" s="176">
        <v>24.25</v>
      </c>
      <c r="AQ372" s="176">
        <v>24.31</v>
      </c>
      <c r="AR372" s="176">
        <v>24.335000000000001</v>
      </c>
      <c r="AS372" s="176">
        <v>24.34</v>
      </c>
      <c r="AT372" s="173" t="str">
        <f>IF(ISNUMBER(U372)=TRUE,AK372-U372,IF(U372="","",(AK372)-(MID(RIGHT(U372,10),4,2)&amp;"/"&amp;LEFT((RIGHT(U372,10)),2)&amp;"/"&amp;RIGHT(U372,4))))</f>
        <v/>
      </c>
      <c r="AU372" s="173">
        <v>456</v>
      </c>
      <c r="AW372" s="142" t="s">
        <v>123</v>
      </c>
    </row>
    <row r="373" spans="2:49" s="142" customFormat="1" ht="21" customHeight="1" x14ac:dyDescent="0.25">
      <c r="B373" s="173" t="str">
        <f>IF(C373="HOLD RM","HOLD RM",IF(C373="BAL","WIP",IF(C373="HOLD SLT","HOLD SLT",IF(C373="MILL","RM",IF(C373="RE SLT","WIP",IF(C373="RM","RM",IF(C373="RM BAL","RM",IF(C373="RM SLT","RM",IF(C373="RR","WIP",IF(C373="SKP","WIP",IF(C373="SLT","WIP",IF(C373="CTL","WIP",IF(C373="RM SLT RUST","RM SLT RUST",0)))))))))))))&amp;"-"&amp;G373&amp;"/"&amp;IF(H373="2B","2B",IF(H373="NO.1","1D",IF(H373="FH","FH",0)))&amp;"-"&amp;IF(J373="",(TEXT(I373,"0.00")),TEXT(J373,"0.00"))&amp;"X"&amp;M373</f>
        <v>WIP-304L/FH-1.50X767</v>
      </c>
      <c r="C373" s="173" t="s">
        <v>16</v>
      </c>
      <c r="D373" s="173" t="s">
        <v>16</v>
      </c>
      <c r="E373" s="190" t="s">
        <v>1515</v>
      </c>
      <c r="F373" s="190" t="s">
        <v>1518</v>
      </c>
      <c r="G373" s="173" t="s">
        <v>182</v>
      </c>
      <c r="H373" s="173" t="s">
        <v>70</v>
      </c>
      <c r="I373" s="174">
        <v>3.79</v>
      </c>
      <c r="J373" s="174">
        <v>1.5</v>
      </c>
      <c r="K373" s="174"/>
      <c r="L373" s="174"/>
      <c r="M373" s="191">
        <v>767</v>
      </c>
      <c r="N373" s="176">
        <v>12.12</v>
      </c>
      <c r="O373" s="176" t="s">
        <v>114</v>
      </c>
      <c r="P373" s="177"/>
      <c r="Q373" s="178" t="s">
        <v>986</v>
      </c>
      <c r="R373" s="179"/>
      <c r="S373" s="179"/>
      <c r="T373" s="177">
        <v>44939</v>
      </c>
      <c r="U373" s="177"/>
      <c r="V373" s="177">
        <v>44939</v>
      </c>
      <c r="W373" s="177"/>
      <c r="X373" s="177"/>
      <c r="Y373" s="177"/>
      <c r="Z373" s="177">
        <v>44940</v>
      </c>
      <c r="AA373" s="177">
        <v>44932</v>
      </c>
      <c r="AB373" s="177"/>
      <c r="AC373" s="177"/>
      <c r="AD373" s="180" t="s">
        <v>1507</v>
      </c>
      <c r="AE373" s="173" t="s">
        <v>69</v>
      </c>
      <c r="AF373" s="181" t="s">
        <v>142</v>
      </c>
      <c r="AG373" s="192" t="s">
        <v>1508</v>
      </c>
      <c r="AH373" s="198"/>
      <c r="AI373" s="181">
        <v>44849</v>
      </c>
      <c r="AJ373" s="181"/>
      <c r="AK373" s="181">
        <f ca="1">TODAY()</f>
        <v>44958</v>
      </c>
      <c r="AL373" s="173">
        <f ca="1">IF(AI373&lt;&gt;0,AK373-AI373,0)</f>
        <v>109</v>
      </c>
      <c r="AM373" s="173" t="str">
        <f>IF(ISNUMBER(X373)=TRUE,AK373-X373,IF(X373="","",(AK373)-(MID(RIGHT(X373,10),4,2)&amp;"/"&amp;LEFT((RIGHT(X373,10)),2)&amp;"/"&amp;RIGHT(X373,4))))</f>
        <v/>
      </c>
      <c r="AN373" s="181"/>
      <c r="AO373" s="190" t="s">
        <v>1517</v>
      </c>
      <c r="AP373" s="176">
        <v>24.25</v>
      </c>
      <c r="AQ373" s="176">
        <v>24.31</v>
      </c>
      <c r="AR373" s="176">
        <v>24.335000000000001</v>
      </c>
      <c r="AS373" s="176">
        <v>24.34</v>
      </c>
      <c r="AT373" s="173" t="str">
        <f>IF(ISNUMBER(U373)=TRUE,AK373-U373,IF(U373="","",(AK373)-(MID(RIGHT(U373,10),4,2)&amp;"/"&amp;LEFT((RIGHT(U373,10)),2)&amp;"/"&amp;RIGHT(U373,4))))</f>
        <v/>
      </c>
      <c r="AU373" s="173">
        <v>456</v>
      </c>
      <c r="AW373" s="142" t="s">
        <v>123</v>
      </c>
    </row>
    <row r="374" spans="2:49" s="142" customFormat="1" ht="21" customHeight="1" x14ac:dyDescent="0.25">
      <c r="B374" s="173" t="str">
        <f>IF(C374="HOLD RM","HOLD RM",IF(C374="BAL","WIP",IF(C374="HOLD SLT","HOLD SLT",IF(C374="MILL","RM",IF(C374="RE SLT","WIP",IF(C374="RM","RM",IF(C374="RM BAL","RM",IF(C374="RM SLT","RM",IF(C374="RR","WIP",IF(C374="SKP","WIP",IF(C374="SLT","WIP",IF(C374="CTL","WIP",IF(C374="RM SLT RUST","RM SLT RUST",0)))))))))))))&amp;"-"&amp;G374&amp;"/"&amp;IF(H374="2B","2B",IF(H374="NO.1","1D",IF(H374="FH","FH",0)))&amp;"-"&amp;IF(J374="",(TEXT(I374,"0.00")),TEXT(J374,"0.00"))&amp;"X"&amp;M374</f>
        <v>WIP-304L/FH-1.50X768</v>
      </c>
      <c r="C374" s="173" t="s">
        <v>16</v>
      </c>
      <c r="D374" s="173" t="s">
        <v>16</v>
      </c>
      <c r="E374" s="190" t="s">
        <v>1519</v>
      </c>
      <c r="F374" s="190" t="s">
        <v>1520</v>
      </c>
      <c r="G374" s="173" t="s">
        <v>182</v>
      </c>
      <c r="H374" s="173" t="s">
        <v>70</v>
      </c>
      <c r="I374" s="174">
        <v>3.8</v>
      </c>
      <c r="J374" s="174">
        <v>1.5</v>
      </c>
      <c r="K374" s="174"/>
      <c r="L374" s="174"/>
      <c r="M374" s="191">
        <v>768</v>
      </c>
      <c r="N374" s="176">
        <v>12.31</v>
      </c>
      <c r="O374" s="176" t="s">
        <v>114</v>
      </c>
      <c r="P374" s="177"/>
      <c r="Q374" s="178" t="s">
        <v>986</v>
      </c>
      <c r="R374" s="179"/>
      <c r="S374" s="179"/>
      <c r="T374" s="177">
        <v>44939</v>
      </c>
      <c r="U374" s="177"/>
      <c r="V374" s="177">
        <v>44939</v>
      </c>
      <c r="W374" s="177"/>
      <c r="X374" s="177"/>
      <c r="Y374" s="177"/>
      <c r="Z374" s="177"/>
      <c r="AA374" s="177">
        <v>44934</v>
      </c>
      <c r="AB374" s="177"/>
      <c r="AC374" s="177"/>
      <c r="AD374" s="180" t="s">
        <v>1507</v>
      </c>
      <c r="AE374" s="173" t="s">
        <v>69</v>
      </c>
      <c r="AF374" s="181" t="s">
        <v>142</v>
      </c>
      <c r="AG374" s="192" t="s">
        <v>1508</v>
      </c>
      <c r="AH374" s="198"/>
      <c r="AI374" s="181">
        <v>44849</v>
      </c>
      <c r="AJ374" s="181"/>
      <c r="AK374" s="181">
        <f ca="1">TODAY()</f>
        <v>44958</v>
      </c>
      <c r="AL374" s="173">
        <f ca="1">IF(AI374&lt;&gt;0,AK374-AI374,0)</f>
        <v>109</v>
      </c>
      <c r="AM374" s="173" t="str">
        <f>IF(ISNUMBER(X374)=TRUE,AK374-X374,IF(X374="","",(AK374)-(MID(RIGHT(X374,10),4,2)&amp;"/"&amp;LEFT((RIGHT(X374,10)),2)&amp;"/"&amp;RIGHT(X374,4))))</f>
        <v/>
      </c>
      <c r="AN374" s="181"/>
      <c r="AO374" s="190" t="s">
        <v>1521</v>
      </c>
      <c r="AP374" s="176">
        <v>24.605</v>
      </c>
      <c r="AQ374" s="176">
        <v>24.664999999999999</v>
      </c>
      <c r="AR374" s="176">
        <v>24.69</v>
      </c>
      <c r="AS374" s="176">
        <v>24.695</v>
      </c>
      <c r="AT374" s="173" t="str">
        <f>IF(ISNUMBER(U374)=TRUE,AK374-U374,IF(U374="","",(AK374)-(MID(RIGHT(U374,10),4,2)&amp;"/"&amp;LEFT((RIGHT(U374,10)),2)&amp;"/"&amp;RIGHT(U374,4))))</f>
        <v/>
      </c>
      <c r="AU374" s="173">
        <v>456</v>
      </c>
      <c r="AW374" s="142" t="s">
        <v>123</v>
      </c>
    </row>
    <row r="375" spans="2:49" s="142" customFormat="1" ht="21" customHeight="1" x14ac:dyDescent="0.25">
      <c r="B375" s="173" t="str">
        <f>IF(C375="HOLD RM","HOLD RM",IF(C375="BAL","WIP",IF(C375="HOLD SLT","HOLD SLT",IF(C375="MILL","RM",IF(C375="RE SLT","WIP",IF(C375="RM","RM",IF(C375="RM BAL","RM",IF(C375="RM SLT","RM",IF(C375="RR","WIP",IF(C375="SKP","WIP",IF(C375="SLT","WIP",IF(C375="CTL","WIP",IF(C375="RM SLT RUST","RM SLT RUST",0)))))))))))))&amp;"-"&amp;G375&amp;"/"&amp;IF(H375="2B","2B",IF(H375="NO.1","1D",IF(H375="FH","FH",0)))&amp;"-"&amp;IF(J375="",(TEXT(I375,"0.00")),TEXT(J375,"0.00"))&amp;"X"&amp;M375</f>
        <v>WIP-304L/FH-1.50X767</v>
      </c>
      <c r="C375" s="173" t="s">
        <v>16</v>
      </c>
      <c r="D375" s="173" t="s">
        <v>16</v>
      </c>
      <c r="E375" s="190" t="s">
        <v>1522</v>
      </c>
      <c r="F375" s="190" t="s">
        <v>1523</v>
      </c>
      <c r="G375" s="173" t="s">
        <v>182</v>
      </c>
      <c r="H375" s="173" t="s">
        <v>70</v>
      </c>
      <c r="I375" s="174">
        <v>3.8</v>
      </c>
      <c r="J375" s="174">
        <v>1.5</v>
      </c>
      <c r="K375" s="174"/>
      <c r="L375" s="174"/>
      <c r="M375" s="191">
        <v>767</v>
      </c>
      <c r="N375" s="176">
        <v>12.175000000000001</v>
      </c>
      <c r="O375" s="176" t="s">
        <v>114</v>
      </c>
      <c r="P375" s="177"/>
      <c r="Q375" s="178" t="s">
        <v>1524</v>
      </c>
      <c r="R375" s="179"/>
      <c r="S375" s="179"/>
      <c r="T375" s="177">
        <v>44939</v>
      </c>
      <c r="U375" s="177"/>
      <c r="V375" s="177">
        <v>44939</v>
      </c>
      <c r="W375" s="177"/>
      <c r="X375" s="177"/>
      <c r="Y375" s="177"/>
      <c r="Z375" s="177"/>
      <c r="AA375" s="177">
        <v>44935</v>
      </c>
      <c r="AB375" s="177"/>
      <c r="AC375" s="177"/>
      <c r="AD375" s="180" t="s">
        <v>1507</v>
      </c>
      <c r="AE375" s="173" t="s">
        <v>69</v>
      </c>
      <c r="AF375" s="181" t="s">
        <v>142</v>
      </c>
      <c r="AG375" s="192" t="s">
        <v>1508</v>
      </c>
      <c r="AH375" s="198"/>
      <c r="AI375" s="181">
        <v>44849</v>
      </c>
      <c r="AJ375" s="181"/>
      <c r="AK375" s="181">
        <f ca="1">TODAY()</f>
        <v>44958</v>
      </c>
      <c r="AL375" s="173">
        <f ca="1">IF(AI375&lt;&gt;0,AK375-AI375,0)</f>
        <v>109</v>
      </c>
      <c r="AM375" s="173" t="str">
        <f>IF(ISNUMBER(X375)=TRUE,AK375-X375,IF(X375="","",(AK375)-(MID(RIGHT(X375,10),4,2)&amp;"/"&amp;LEFT((RIGHT(X375,10)),2)&amp;"/"&amp;RIGHT(X375,4))))</f>
        <v/>
      </c>
      <c r="AN375" s="181"/>
      <c r="AO375" s="190" t="s">
        <v>1525</v>
      </c>
      <c r="AP375" s="176">
        <v>24.204999999999998</v>
      </c>
      <c r="AQ375" s="176">
        <v>24.265000000000001</v>
      </c>
      <c r="AR375" s="176">
        <v>24.290000000000003</v>
      </c>
      <c r="AS375" s="176">
        <v>24.295000000000002</v>
      </c>
      <c r="AT375" s="173" t="str">
        <f>IF(ISNUMBER(U375)=TRUE,AK375-U375,IF(U375="","",(AK375)-(MID(RIGHT(U375,10),4,2)&amp;"/"&amp;LEFT((RIGHT(U375,10)),2)&amp;"/"&amp;RIGHT(U375,4))))</f>
        <v/>
      </c>
      <c r="AU375" s="173">
        <v>456</v>
      </c>
      <c r="AW375" s="142" t="s">
        <v>123</v>
      </c>
    </row>
    <row r="376" spans="2:49" s="142" customFormat="1" ht="21" customHeight="1" x14ac:dyDescent="0.25">
      <c r="B376" s="173" t="str">
        <f>IF(C376="HOLD RM","HOLD RM",IF(C376="BAL","WIP",IF(C376="HOLD SLT","HOLD SLT",IF(C376="MILL","RM",IF(C376="RE SLT","WIP",IF(C376="RM","RM",IF(C376="RM BAL","RM",IF(C376="RM SLT","RM",IF(C376="RR","WIP",IF(C376="SKP","WIP",IF(C376="SLT","WIP",IF(C376="CTL","WIP",IF(C376="RM SLT RUST","RM SLT RUST",0)))))))))))))&amp;"-"&amp;G376&amp;"/"&amp;IF(H376="2B","2B",IF(H376="NO.1","1D",IF(H376="FH","FH",0)))&amp;"-"&amp;IF(J376="",(TEXT(I376,"0.00")),TEXT(J376,"0.00"))&amp;"X"&amp;M376</f>
        <v>WIP-304L/FH-1.50X769</v>
      </c>
      <c r="C376" s="173" t="s">
        <v>16</v>
      </c>
      <c r="D376" s="173" t="s">
        <v>16</v>
      </c>
      <c r="E376" s="190" t="s">
        <v>1526</v>
      </c>
      <c r="F376" s="190" t="s">
        <v>1527</v>
      </c>
      <c r="G376" s="173" t="s">
        <v>182</v>
      </c>
      <c r="H376" s="173" t="s">
        <v>70</v>
      </c>
      <c r="I376" s="174">
        <v>3.82</v>
      </c>
      <c r="J376" s="174">
        <v>1.5</v>
      </c>
      <c r="K376" s="174"/>
      <c r="L376" s="174"/>
      <c r="M376" s="191">
        <v>769</v>
      </c>
      <c r="N376" s="176">
        <v>12.305</v>
      </c>
      <c r="O376" s="176" t="s">
        <v>114</v>
      </c>
      <c r="P376" s="177"/>
      <c r="Q376" s="178" t="s">
        <v>1506</v>
      </c>
      <c r="R376" s="179"/>
      <c r="S376" s="179"/>
      <c r="T376" s="177">
        <v>44941</v>
      </c>
      <c r="U376" s="177"/>
      <c r="V376" s="177">
        <v>44941</v>
      </c>
      <c r="W376" s="177"/>
      <c r="X376" s="177"/>
      <c r="Y376" s="177"/>
      <c r="Z376" s="177"/>
      <c r="AA376" s="177">
        <v>44933</v>
      </c>
      <c r="AB376" s="177"/>
      <c r="AC376" s="177"/>
      <c r="AD376" s="180" t="s">
        <v>1507</v>
      </c>
      <c r="AE376" s="173" t="s">
        <v>69</v>
      </c>
      <c r="AF376" s="181" t="s">
        <v>142</v>
      </c>
      <c r="AG376" s="192" t="s">
        <v>1508</v>
      </c>
      <c r="AH376" s="198"/>
      <c r="AI376" s="181">
        <v>44849</v>
      </c>
      <c r="AJ376" s="181"/>
      <c r="AK376" s="181">
        <f ca="1">TODAY()</f>
        <v>44958</v>
      </c>
      <c r="AL376" s="173">
        <f ca="1">IF(AI376&lt;&gt;0,AK376-AI376,0)</f>
        <v>109</v>
      </c>
      <c r="AM376" s="173" t="str">
        <f>IF(ISNUMBER(X376)=TRUE,AK376-X376,IF(X376="","",(AK376)-(MID(RIGHT(X376,10),4,2)&amp;"/"&amp;LEFT((RIGHT(X376,10)),2)&amp;"/"&amp;RIGHT(X376,4))))</f>
        <v/>
      </c>
      <c r="AN376" s="181"/>
      <c r="AO376" s="190" t="s">
        <v>1528</v>
      </c>
      <c r="AP376" s="176">
        <v>24.565000000000001</v>
      </c>
      <c r="AQ376" s="176">
        <v>24.625</v>
      </c>
      <c r="AR376" s="176">
        <v>24.650000000000002</v>
      </c>
      <c r="AS376" s="176">
        <v>24.655000000000001</v>
      </c>
      <c r="AT376" s="173" t="str">
        <f>IF(ISNUMBER(U376)=TRUE,AK376-U376,IF(U376="","",(AK376)-(MID(RIGHT(U376,10),4,2)&amp;"/"&amp;LEFT((RIGHT(U376,10)),2)&amp;"/"&amp;RIGHT(U376,4))))</f>
        <v/>
      </c>
      <c r="AU376" s="173">
        <v>456</v>
      </c>
      <c r="AW376" s="142" t="s">
        <v>123</v>
      </c>
    </row>
    <row r="377" spans="2:49" s="142" customFormat="1" ht="21" customHeight="1" x14ac:dyDescent="0.25">
      <c r="B377" s="173" t="str">
        <f>IF(C377="HOLD RM","HOLD RM",IF(C377="BAL","WIP",IF(C377="HOLD SLT","HOLD SLT",IF(C377="MILL","RM",IF(C377="RE SLT","WIP",IF(C377="RM","RM",IF(C377="RM BAL","RM",IF(C377="RM SLT","RM",IF(C377="RR","WIP",IF(C377="SKP","WIP",IF(C377="SLT","WIP",IF(C377="CTL","WIP",IF(C377="RM SLT RUST","RM SLT RUST",0)))))))))))))&amp;"-"&amp;G377&amp;"/"&amp;IF(H377="2B","2B",IF(H377="NO.1","1D",IF(H377="FH","FH",0)))&amp;"-"&amp;IF(J377="",(TEXT(I377,"0.00")),TEXT(J377,"0.00"))&amp;"X"&amp;M377</f>
        <v>WIP-304L/FH-1.50X770</v>
      </c>
      <c r="C377" s="173" t="s">
        <v>16</v>
      </c>
      <c r="D377" s="173" t="s">
        <v>16</v>
      </c>
      <c r="E377" s="190" t="s">
        <v>1526</v>
      </c>
      <c r="F377" s="190" t="s">
        <v>1529</v>
      </c>
      <c r="G377" s="173" t="s">
        <v>182</v>
      </c>
      <c r="H377" s="173" t="s">
        <v>70</v>
      </c>
      <c r="I377" s="174">
        <v>3.82</v>
      </c>
      <c r="J377" s="174">
        <v>1.5</v>
      </c>
      <c r="K377" s="174"/>
      <c r="L377" s="174"/>
      <c r="M377" s="191">
        <v>770</v>
      </c>
      <c r="N377" s="176">
        <v>12.315</v>
      </c>
      <c r="O377" s="176" t="s">
        <v>114</v>
      </c>
      <c r="P377" s="177"/>
      <c r="Q377" s="178" t="s">
        <v>1506</v>
      </c>
      <c r="R377" s="179"/>
      <c r="S377" s="179"/>
      <c r="T377" s="177">
        <v>44942</v>
      </c>
      <c r="U377" s="177"/>
      <c r="V377" s="177">
        <v>44943</v>
      </c>
      <c r="W377" s="177"/>
      <c r="X377" s="177"/>
      <c r="Y377" s="177"/>
      <c r="Z377" s="177"/>
      <c r="AA377" s="177">
        <v>44933</v>
      </c>
      <c r="AB377" s="177"/>
      <c r="AC377" s="177"/>
      <c r="AD377" s="180" t="s">
        <v>1507</v>
      </c>
      <c r="AE377" s="173" t="s">
        <v>69</v>
      </c>
      <c r="AF377" s="181" t="s">
        <v>142</v>
      </c>
      <c r="AG377" s="192" t="s">
        <v>1508</v>
      </c>
      <c r="AH377" s="198"/>
      <c r="AI377" s="181">
        <v>44849</v>
      </c>
      <c r="AJ377" s="181"/>
      <c r="AK377" s="181">
        <f ca="1">TODAY()</f>
        <v>44958</v>
      </c>
      <c r="AL377" s="173">
        <f ca="1">IF(AI377&lt;&gt;0,AK377-AI377,0)</f>
        <v>109</v>
      </c>
      <c r="AM377" s="173" t="str">
        <f>IF(ISNUMBER(X377)=TRUE,AK377-X377,IF(X377="","",(AK377)-(MID(RIGHT(X377,10),4,2)&amp;"/"&amp;LEFT((RIGHT(X377,10)),2)&amp;"/"&amp;RIGHT(X377,4))))</f>
        <v/>
      </c>
      <c r="AN377" s="181"/>
      <c r="AO377" s="190" t="s">
        <v>1528</v>
      </c>
      <c r="AP377" s="176">
        <v>24.565000000000001</v>
      </c>
      <c r="AQ377" s="176">
        <v>24.625</v>
      </c>
      <c r="AR377" s="176">
        <v>24.650000000000002</v>
      </c>
      <c r="AS377" s="176">
        <v>24.655000000000001</v>
      </c>
      <c r="AT377" s="173" t="str">
        <f>IF(ISNUMBER(U377)=TRUE,AK377-U377,IF(U377="","",(AK377)-(MID(RIGHT(U377,10),4,2)&amp;"/"&amp;LEFT((RIGHT(U377,10)),2)&amp;"/"&amp;RIGHT(U377,4))))</f>
        <v/>
      </c>
      <c r="AU377" s="173">
        <v>456</v>
      </c>
      <c r="AW377" s="142" t="s">
        <v>123</v>
      </c>
    </row>
    <row r="378" spans="2:49" s="142" customFormat="1" ht="21" customHeight="1" x14ac:dyDescent="0.25">
      <c r="B378" s="173" t="str">
        <f>IF(C378="HOLD RM","HOLD RM",IF(C378="BAL","WIP",IF(C378="HOLD SLT","HOLD SLT",IF(C378="MILL","RM",IF(C378="RE SLT","WIP",IF(C378="RM","RM",IF(C378="RM BAL","RM",IF(C378="RM SLT","RM",IF(C378="RR","WIP",IF(C378="SKP","WIP",IF(C378="SLT","WIP",IF(C378="CTL","WIP",IF(C378="RM SLT RUST","RM SLT RUST",0)))))))))))))&amp;"-"&amp;G378&amp;"/"&amp;IF(H378="2B","2B",IF(H378="NO.1","1D",IF(H378="FH","FH",0)))&amp;"-"&amp;IF(J378="",(TEXT(I378,"0.00")),TEXT(J378,"0.00"))&amp;"X"&amp;M378</f>
        <v>WIP-304L/FH-1.20X768.5</v>
      </c>
      <c r="C378" s="173" t="s">
        <v>16</v>
      </c>
      <c r="D378" s="173" t="s">
        <v>16</v>
      </c>
      <c r="E378" s="190" t="s">
        <v>1530</v>
      </c>
      <c r="F378" s="190" t="s">
        <v>1531</v>
      </c>
      <c r="G378" s="173" t="s">
        <v>182</v>
      </c>
      <c r="H378" s="173" t="s">
        <v>70</v>
      </c>
      <c r="I378" s="174">
        <v>3.8</v>
      </c>
      <c r="J378" s="174">
        <v>1.2</v>
      </c>
      <c r="K378" s="174"/>
      <c r="L378" s="174"/>
      <c r="M378" s="191">
        <f>1537/2</f>
        <v>768.5</v>
      </c>
      <c r="N378" s="176">
        <v>12.285</v>
      </c>
      <c r="O378" s="176" t="s">
        <v>114</v>
      </c>
      <c r="P378" s="177"/>
      <c r="Q378" s="178" t="s">
        <v>1506</v>
      </c>
      <c r="R378" s="179"/>
      <c r="S378" s="179"/>
      <c r="T378" s="177">
        <v>44941</v>
      </c>
      <c r="U378" s="177"/>
      <c r="V378" s="177">
        <v>44941</v>
      </c>
      <c r="W378" s="177"/>
      <c r="X378" s="177"/>
      <c r="Y378" s="177"/>
      <c r="Z378" s="177"/>
      <c r="AA378" s="177">
        <v>44935</v>
      </c>
      <c r="AB378" s="177"/>
      <c r="AC378" s="177"/>
      <c r="AD378" s="180" t="s">
        <v>1507</v>
      </c>
      <c r="AE378" s="173" t="s">
        <v>69</v>
      </c>
      <c r="AF378" s="181" t="s">
        <v>142</v>
      </c>
      <c r="AG378" s="192" t="s">
        <v>1508</v>
      </c>
      <c r="AH378" s="198"/>
      <c r="AI378" s="181">
        <v>44849</v>
      </c>
      <c r="AJ378" s="181"/>
      <c r="AK378" s="181">
        <f ca="1">TODAY()</f>
        <v>44958</v>
      </c>
      <c r="AL378" s="173">
        <f ca="1">IF(AI378&lt;&gt;0,AK378-AI378,0)</f>
        <v>109</v>
      </c>
      <c r="AM378" s="173" t="str">
        <f>IF(ISNUMBER(X378)=TRUE,AK378-X378,IF(X378="","",(AK378)-(MID(RIGHT(X378,10),4,2)&amp;"/"&amp;LEFT((RIGHT(X378,10)),2)&amp;"/"&amp;RIGHT(X378,4))))</f>
        <v/>
      </c>
      <c r="AN378" s="181"/>
      <c r="AO378" s="190" t="s">
        <v>1532</v>
      </c>
      <c r="AP378" s="176">
        <v>24.57</v>
      </c>
      <c r="AQ378" s="176">
        <v>24.63</v>
      </c>
      <c r="AR378" s="176">
        <v>24.655000000000001</v>
      </c>
      <c r="AS378" s="176">
        <v>24.66</v>
      </c>
      <c r="AT378" s="173" t="str">
        <f>IF(ISNUMBER(U378)=TRUE,AK378-U378,IF(U378="","",(AK378)-(MID(RIGHT(U378,10),4,2)&amp;"/"&amp;LEFT((RIGHT(U378,10)),2)&amp;"/"&amp;RIGHT(U378,4))))</f>
        <v/>
      </c>
      <c r="AU378" s="173">
        <v>456</v>
      </c>
      <c r="AW378" s="142" t="s">
        <v>123</v>
      </c>
    </row>
    <row r="379" spans="2:49" s="142" customFormat="1" ht="21" customHeight="1" x14ac:dyDescent="0.25">
      <c r="B379" s="173" t="str">
        <f>IF(C379="HOLD RM","HOLD RM",IF(C379="BAL","WIP",IF(C379="HOLD SLT","HOLD SLT",IF(C379="MILL","RM",IF(C379="RE SLT","WIP",IF(C379="RM","RM",IF(C379="RM BAL","RM",IF(C379="RM SLT","RM",IF(C379="RR","WIP",IF(C379="SKP","WIP",IF(C379="SLT","WIP",IF(C379="CTL","WIP",IF(C379="RM SLT RUST","RM SLT RUST",0)))))))))))))&amp;"-"&amp;G379&amp;"/"&amp;IF(H379="2B","2B",IF(H379="NO.1","1D",IF(H379="FH","FH",0)))&amp;"-"&amp;IF(J379="",(TEXT(I379,"0.00")),TEXT(J379,"0.00"))&amp;"X"&amp;M379</f>
        <v>WIP-304L/FH-1.20X768.5</v>
      </c>
      <c r="C379" s="173" t="s">
        <v>16</v>
      </c>
      <c r="D379" s="173" t="s">
        <v>16</v>
      </c>
      <c r="E379" s="190" t="s">
        <v>1530</v>
      </c>
      <c r="F379" s="190" t="s">
        <v>1533</v>
      </c>
      <c r="G379" s="173" t="s">
        <v>182</v>
      </c>
      <c r="H379" s="173" t="s">
        <v>70</v>
      </c>
      <c r="I379" s="174">
        <v>3.8</v>
      </c>
      <c r="J379" s="174">
        <v>1.2</v>
      </c>
      <c r="K379" s="174"/>
      <c r="L379" s="174"/>
      <c r="M379" s="191">
        <f>1537/2</f>
        <v>768.5</v>
      </c>
      <c r="N379" s="176">
        <v>12.34</v>
      </c>
      <c r="O379" s="176" t="s">
        <v>114</v>
      </c>
      <c r="P379" s="177"/>
      <c r="Q379" s="178" t="s">
        <v>1506</v>
      </c>
      <c r="R379" s="179"/>
      <c r="S379" s="179"/>
      <c r="T379" s="177">
        <v>44943</v>
      </c>
      <c r="U379" s="177"/>
      <c r="V379" s="177">
        <v>44944</v>
      </c>
      <c r="W379" s="177"/>
      <c r="X379" s="177"/>
      <c r="Y379" s="177"/>
      <c r="Z379" s="177"/>
      <c r="AA379" s="177">
        <v>44935</v>
      </c>
      <c r="AB379" s="177"/>
      <c r="AC379" s="177"/>
      <c r="AD379" s="180" t="s">
        <v>1507</v>
      </c>
      <c r="AE379" s="173" t="s">
        <v>69</v>
      </c>
      <c r="AF379" s="181" t="s">
        <v>142</v>
      </c>
      <c r="AG379" s="192" t="s">
        <v>1508</v>
      </c>
      <c r="AH379" s="198"/>
      <c r="AI379" s="181">
        <v>44849</v>
      </c>
      <c r="AJ379" s="181"/>
      <c r="AK379" s="181">
        <f ca="1">TODAY()</f>
        <v>44958</v>
      </c>
      <c r="AL379" s="173">
        <f ca="1">IF(AI379&lt;&gt;0,AK379-AI379,0)</f>
        <v>109</v>
      </c>
      <c r="AM379" s="173" t="str">
        <f>IF(ISNUMBER(X379)=TRUE,AK379-X379,IF(X379="","",(AK379)-(MID(RIGHT(X379,10),4,2)&amp;"/"&amp;LEFT((RIGHT(X379,10)),2)&amp;"/"&amp;RIGHT(X379,4))))</f>
        <v/>
      </c>
      <c r="AN379" s="181"/>
      <c r="AO379" s="190" t="s">
        <v>1532</v>
      </c>
      <c r="AP379" s="176">
        <v>24.57</v>
      </c>
      <c r="AQ379" s="176">
        <v>24.63</v>
      </c>
      <c r="AR379" s="176">
        <v>24.655000000000001</v>
      </c>
      <c r="AS379" s="176">
        <v>24.66</v>
      </c>
      <c r="AT379" s="173" t="str">
        <f>IF(ISNUMBER(U379)=TRUE,AK379-U379,IF(U379="","",(AK379)-(MID(RIGHT(U379,10),4,2)&amp;"/"&amp;LEFT((RIGHT(U379,10)),2)&amp;"/"&amp;RIGHT(U379,4))))</f>
        <v/>
      </c>
      <c r="AU379" s="173">
        <v>456</v>
      </c>
      <c r="AW379" s="142" t="s">
        <v>123</v>
      </c>
    </row>
    <row r="380" spans="2:49" s="142" customFormat="1" ht="21" customHeight="1" x14ac:dyDescent="0.25">
      <c r="B380" s="173" t="str">
        <f>IF(C380="HOLD RM","HOLD RM",IF(C380="BAL","WIP",IF(C380="HOLD SLT","HOLD SLT",IF(C380="MILL","RM",IF(C380="RE SLT","WIP",IF(C380="RM","RM",IF(C380="RM BAL","RM",IF(C380="RM SLT","RM",IF(C380="RR","WIP",IF(C380="SKP","WIP",IF(C380="SLT","WIP",IF(C380="CTL","WIP",IF(C380="RM SLT RUST","RM SLT RUST",0)))))))))))))&amp;"-"&amp;G380&amp;"/"&amp;IF(H380="2B","2B",IF(H380="NO.1","1D",IF(H380="FH","FH",0)))&amp;"-"&amp;IF(J380="",(TEXT(I380,"0.00")),TEXT(J380,"0.00"))&amp;"X"&amp;M380</f>
        <v>WIP-304L/FH-1.50X768</v>
      </c>
      <c r="C380" s="173" t="s">
        <v>16</v>
      </c>
      <c r="D380" s="173" t="s">
        <v>16</v>
      </c>
      <c r="E380" s="190" t="s">
        <v>1534</v>
      </c>
      <c r="F380" s="190" t="s">
        <v>1535</v>
      </c>
      <c r="G380" s="173" t="s">
        <v>182</v>
      </c>
      <c r="H380" s="173" t="s">
        <v>70</v>
      </c>
      <c r="I380" s="174">
        <v>3.79</v>
      </c>
      <c r="J380" s="174">
        <v>1.5</v>
      </c>
      <c r="K380" s="174"/>
      <c r="L380" s="174"/>
      <c r="M380" s="191">
        <v>768</v>
      </c>
      <c r="N380" s="176">
        <v>12.28</v>
      </c>
      <c r="O380" s="176" t="s">
        <v>114</v>
      </c>
      <c r="P380" s="177"/>
      <c r="Q380" s="178" t="s">
        <v>1536</v>
      </c>
      <c r="R380" s="179"/>
      <c r="S380" s="179"/>
      <c r="T380" s="177">
        <v>44943</v>
      </c>
      <c r="U380" s="177"/>
      <c r="V380" s="177">
        <v>44943</v>
      </c>
      <c r="W380" s="177"/>
      <c r="X380" s="177"/>
      <c r="Y380" s="177"/>
      <c r="Z380" s="177"/>
      <c r="AA380" s="177">
        <v>44940</v>
      </c>
      <c r="AB380" s="177"/>
      <c r="AC380" s="177"/>
      <c r="AD380" s="180" t="s">
        <v>1507</v>
      </c>
      <c r="AE380" s="173" t="s">
        <v>69</v>
      </c>
      <c r="AF380" s="181" t="s">
        <v>142</v>
      </c>
      <c r="AG380" s="192" t="s">
        <v>1508</v>
      </c>
      <c r="AH380" s="198"/>
      <c r="AI380" s="181">
        <v>44849</v>
      </c>
      <c r="AJ380" s="181"/>
      <c r="AK380" s="181">
        <f ca="1">TODAY()</f>
        <v>44958</v>
      </c>
      <c r="AL380" s="173">
        <f ca="1">IF(AI380&lt;&gt;0,AK380-AI380,0)</f>
        <v>109</v>
      </c>
      <c r="AM380" s="173" t="str">
        <f>IF(ISNUMBER(X380)=TRUE,AK380-X380,IF(X380="","",(AK380)-(MID(RIGHT(X380,10),4,2)&amp;"/"&amp;LEFT((RIGHT(X380,10)),2)&amp;"/"&amp;RIGHT(X380,4))))</f>
        <v/>
      </c>
      <c r="AN380" s="181"/>
      <c r="AO380" s="190" t="s">
        <v>1537</v>
      </c>
      <c r="AP380" s="176">
        <v>24.545000000000002</v>
      </c>
      <c r="AQ380" s="176">
        <v>24.605</v>
      </c>
      <c r="AR380" s="176">
        <v>24.630000000000003</v>
      </c>
      <c r="AS380" s="176">
        <v>24.635000000000002</v>
      </c>
      <c r="AT380" s="173" t="str">
        <f>IF(ISNUMBER(U380)=TRUE,AK380-U380,IF(U380="","",(AK380)-(MID(RIGHT(U380,10),4,2)&amp;"/"&amp;LEFT((RIGHT(U380,10)),2)&amp;"/"&amp;RIGHT(U380,4))))</f>
        <v/>
      </c>
      <c r="AU380" s="173">
        <v>456</v>
      </c>
      <c r="AW380" s="142" t="s">
        <v>123</v>
      </c>
    </row>
    <row r="381" spans="2:49" s="142" customFormat="1" ht="21" customHeight="1" x14ac:dyDescent="0.25">
      <c r="B381" s="173" t="str">
        <f>IF(C381="HOLD RM","HOLD RM",IF(C381="BAL","WIP",IF(C381="HOLD SLT","HOLD SLT",IF(C381="MILL","RM",IF(C381="RE SLT","WIP",IF(C381="RM","RM",IF(C381="RM BAL","RM",IF(C381="RM SLT","RM",IF(C381="RR","WIP",IF(C381="SKP","WIP",IF(C381="SLT","WIP",IF(C381="CTL","WIP",IF(C381="RM SLT RUST","RM SLT RUST",0)))))))))))))&amp;"-"&amp;G381&amp;"/"&amp;IF(H381="2B","2B",IF(H381="NO.1","1D",IF(H381="FH","FH",0)))&amp;"-"&amp;IF(J381="",(TEXT(I381,"0.00")),TEXT(J381,"0.00"))&amp;"X"&amp;M381</f>
        <v>WIP-304L/2B-1.20X769</v>
      </c>
      <c r="C381" s="173" t="s">
        <v>775</v>
      </c>
      <c r="D381" s="173" t="s">
        <v>776</v>
      </c>
      <c r="E381" s="190" t="s">
        <v>1534</v>
      </c>
      <c r="F381" s="190" t="s">
        <v>1538</v>
      </c>
      <c r="G381" s="173" t="s">
        <v>182</v>
      </c>
      <c r="H381" s="173" t="s">
        <v>114</v>
      </c>
      <c r="I381" s="174">
        <v>3.79</v>
      </c>
      <c r="J381" s="174">
        <v>1.2</v>
      </c>
      <c r="K381" s="174"/>
      <c r="L381" s="174"/>
      <c r="M381" s="191">
        <v>769</v>
      </c>
      <c r="N381" s="176">
        <v>4.0350000000000001</v>
      </c>
      <c r="O381" s="176" t="s">
        <v>114</v>
      </c>
      <c r="P381" s="177"/>
      <c r="Q381" s="178" t="s">
        <v>1539</v>
      </c>
      <c r="R381" s="178" t="s">
        <v>1540</v>
      </c>
      <c r="S381" s="179"/>
      <c r="T381" s="177">
        <v>44945</v>
      </c>
      <c r="U381" s="177"/>
      <c r="V381" s="177">
        <v>44946</v>
      </c>
      <c r="W381" s="177"/>
      <c r="X381" s="177">
        <v>44955</v>
      </c>
      <c r="Y381" s="177"/>
      <c r="Z381" s="177">
        <v>44956</v>
      </c>
      <c r="AA381" s="177">
        <v>44940</v>
      </c>
      <c r="AB381" s="177"/>
      <c r="AC381" s="177"/>
      <c r="AD381" s="180" t="s">
        <v>1507</v>
      </c>
      <c r="AE381" s="173" t="s">
        <v>69</v>
      </c>
      <c r="AF381" s="181" t="s">
        <v>142</v>
      </c>
      <c r="AG381" s="192" t="s">
        <v>1508</v>
      </c>
      <c r="AH381" s="198"/>
      <c r="AI381" s="181">
        <v>44849</v>
      </c>
      <c r="AJ381" s="181"/>
      <c r="AK381" s="181">
        <f ca="1">TODAY()</f>
        <v>44958</v>
      </c>
      <c r="AL381" s="173">
        <f ca="1">IF(AI381&lt;&gt;0,AK381-AI381,0)</f>
        <v>109</v>
      </c>
      <c r="AM381" s="173">
        <f ca="1">IF(ISNUMBER(X381)=TRUE,AK381-X381,IF(X381="","",(AK381)-(MID(RIGHT(X381,10),4,2)&amp;"/"&amp;LEFT((RIGHT(X381,10)),2)&amp;"/"&amp;RIGHT(X381,4))))</f>
        <v>3</v>
      </c>
      <c r="AN381" s="181"/>
      <c r="AO381" s="190" t="s">
        <v>1537</v>
      </c>
      <c r="AP381" s="176">
        <v>24.545000000000002</v>
      </c>
      <c r="AQ381" s="176">
        <v>24.605</v>
      </c>
      <c r="AR381" s="176">
        <v>24.630000000000003</v>
      </c>
      <c r="AS381" s="176">
        <v>24.635000000000002</v>
      </c>
      <c r="AT381" s="173" t="str">
        <f>IF(ISNUMBER(U381)=TRUE,AK381-U381,IF(U381="","",(AK381)-(MID(RIGHT(U381,10),4,2)&amp;"/"&amp;LEFT((RIGHT(U381,10)),2)&amp;"/"&amp;RIGHT(U381,4))))</f>
        <v/>
      </c>
      <c r="AU381" s="173">
        <v>456</v>
      </c>
      <c r="AW381" s="142" t="s">
        <v>123</v>
      </c>
    </row>
    <row r="382" spans="2:49" s="142" customFormat="1" ht="21" customHeight="1" x14ac:dyDescent="0.25">
      <c r="B382" s="173" t="str">
        <f>IF(C382="HOLD RM","HOLD RM",IF(C382="BAL","WIP",IF(C382="HOLD SLT","HOLD SLT",IF(C382="MILL","RM",IF(C382="RE SLT","WIP",IF(C382="RM","RM",IF(C382="RM BAL","RM",IF(C382="RM SLT","RM",IF(C382="RR","WIP",IF(C382="SKP","WIP",IF(C382="SLT","WIP",IF(C382="CTL","WIP",IF(C382="RM SLT RUST","RM SLT RUST",0)))))))))))))&amp;"-"&amp;G382&amp;"/"&amp;IF(H382="2B","2B",IF(H382="NO.1","1D",IF(H382="FH","FH",0)))&amp;"-"&amp;IF(J382="",(TEXT(I382,"0.00")),TEXT(J382,"0.00"))&amp;"X"&amp;M382</f>
        <v>WIP-304L/FH-1.20X768</v>
      </c>
      <c r="C382" s="173" t="s">
        <v>16</v>
      </c>
      <c r="D382" s="173" t="s">
        <v>16</v>
      </c>
      <c r="E382" s="190" t="s">
        <v>1541</v>
      </c>
      <c r="F382" s="190" t="s">
        <v>1542</v>
      </c>
      <c r="G382" s="173" t="s">
        <v>182</v>
      </c>
      <c r="H382" s="173" t="s">
        <v>70</v>
      </c>
      <c r="I382" s="174">
        <v>3.79</v>
      </c>
      <c r="J382" s="174">
        <v>1.2</v>
      </c>
      <c r="K382" s="174"/>
      <c r="L382" s="174"/>
      <c r="M382" s="191">
        <v>768</v>
      </c>
      <c r="N382" s="176">
        <v>12.244999999999999</v>
      </c>
      <c r="O382" s="176" t="s">
        <v>114</v>
      </c>
      <c r="P382" s="177"/>
      <c r="Q382" s="178" t="s">
        <v>1506</v>
      </c>
      <c r="R382" s="179"/>
      <c r="S382" s="179"/>
      <c r="T382" s="177">
        <v>44943</v>
      </c>
      <c r="U382" s="177"/>
      <c r="V382" s="177">
        <v>44943</v>
      </c>
      <c r="W382" s="177"/>
      <c r="X382" s="177"/>
      <c r="Y382" s="177"/>
      <c r="Z382" s="177"/>
      <c r="AA382" s="177">
        <v>44940</v>
      </c>
      <c r="AB382" s="177"/>
      <c r="AC382" s="177"/>
      <c r="AD382" s="180" t="s">
        <v>1507</v>
      </c>
      <c r="AE382" s="173" t="s">
        <v>69</v>
      </c>
      <c r="AF382" s="181" t="s">
        <v>142</v>
      </c>
      <c r="AG382" s="192" t="s">
        <v>1508</v>
      </c>
      <c r="AH382" s="198"/>
      <c r="AI382" s="181">
        <v>44849</v>
      </c>
      <c r="AJ382" s="181"/>
      <c r="AK382" s="181">
        <f ca="1">TODAY()</f>
        <v>44958</v>
      </c>
      <c r="AL382" s="173">
        <f ca="1">IF(AI382&lt;&gt;0,AK382-AI382,0)</f>
        <v>109</v>
      </c>
      <c r="AM382" s="173" t="str">
        <f>IF(ISNUMBER(X382)=TRUE,AK382-X382,IF(X382="","",(AK382)-(MID(RIGHT(X382,10),4,2)&amp;"/"&amp;LEFT((RIGHT(X382,10)),2)&amp;"/"&amp;RIGHT(X382,4))))</f>
        <v/>
      </c>
      <c r="AN382" s="181"/>
      <c r="AO382" s="190" t="s">
        <v>1543</v>
      </c>
      <c r="AP382" s="176">
        <v>24.51</v>
      </c>
      <c r="AQ382" s="176">
        <v>24.57</v>
      </c>
      <c r="AR382" s="176">
        <v>24.595000000000002</v>
      </c>
      <c r="AS382" s="176">
        <v>24.6</v>
      </c>
      <c r="AT382" s="173" t="str">
        <f>IF(ISNUMBER(U382)=TRUE,AK382-U382,IF(U382="","",(AK382)-(MID(RIGHT(U382,10),4,2)&amp;"/"&amp;LEFT((RIGHT(U382,10)),2)&amp;"/"&amp;RIGHT(U382,4))))</f>
        <v/>
      </c>
      <c r="AU382" s="173">
        <v>456</v>
      </c>
      <c r="AW382" s="142" t="s">
        <v>123</v>
      </c>
    </row>
    <row r="383" spans="2:49" s="142" customFormat="1" ht="21" customHeight="1" x14ac:dyDescent="0.25">
      <c r="B383" s="173" t="str">
        <f>IF(C383="HOLD RM","HOLD RM",IF(C383="BAL","WIP",IF(C383="HOLD SLT","HOLD SLT",IF(C383="MILL","RM",IF(C383="RE SLT","WIP",IF(C383="RM","RM",IF(C383="RM BAL","RM",IF(C383="RM SLT","RM",IF(C383="RR","WIP",IF(C383="SKP","WIP",IF(C383="SLT","WIP",IF(C383="CTL","WIP",IF(C383="RM SLT RUST","RM SLT RUST",0)))))))))))))&amp;"-"&amp;G383&amp;"/"&amp;IF(H383="2B","2B",IF(H383="NO.1","1D",IF(H383="FH","FH",0)))&amp;"-"&amp;IF(J383="",(TEXT(I383,"0.00")),TEXT(J383,"0.00"))&amp;"X"&amp;M383</f>
        <v>WIP-304L/2B-1.20X768</v>
      </c>
      <c r="C383" s="173" t="s">
        <v>775</v>
      </c>
      <c r="D383" s="173" t="s">
        <v>776</v>
      </c>
      <c r="E383" s="190" t="s">
        <v>1544</v>
      </c>
      <c r="F383" s="190" t="s">
        <v>1545</v>
      </c>
      <c r="G383" s="173" t="s">
        <v>182</v>
      </c>
      <c r="H383" s="173" t="s">
        <v>114</v>
      </c>
      <c r="I383" s="174">
        <v>3.79</v>
      </c>
      <c r="J383" s="174">
        <v>1.2</v>
      </c>
      <c r="K383" s="174"/>
      <c r="L383" s="174"/>
      <c r="M383" s="191">
        <v>768</v>
      </c>
      <c r="N383" s="176">
        <v>5.99</v>
      </c>
      <c r="O383" s="176" t="s">
        <v>114</v>
      </c>
      <c r="P383" s="177"/>
      <c r="Q383" s="178" t="s">
        <v>1539</v>
      </c>
      <c r="R383" s="178" t="s">
        <v>1546</v>
      </c>
      <c r="S383" s="179"/>
      <c r="T383" s="177">
        <v>44941</v>
      </c>
      <c r="U383" s="177"/>
      <c r="V383" s="177">
        <v>44941</v>
      </c>
      <c r="W383" s="177"/>
      <c r="X383" s="177"/>
      <c r="Y383" s="177">
        <v>44953</v>
      </c>
      <c r="Z383" s="177" t="s">
        <v>1547</v>
      </c>
      <c r="AA383" s="177">
        <v>44934</v>
      </c>
      <c r="AB383" s="177"/>
      <c r="AC383" s="177"/>
      <c r="AD383" s="180" t="s">
        <v>1507</v>
      </c>
      <c r="AE383" s="173" t="s">
        <v>69</v>
      </c>
      <c r="AF383" s="181" t="s">
        <v>142</v>
      </c>
      <c r="AG383" s="192" t="s">
        <v>1508</v>
      </c>
      <c r="AH383" s="198"/>
      <c r="AI383" s="181">
        <v>44849</v>
      </c>
      <c r="AJ383" s="181"/>
      <c r="AK383" s="181">
        <f ca="1">TODAY()</f>
        <v>44958</v>
      </c>
      <c r="AL383" s="173">
        <f ca="1">IF(AI383&lt;&gt;0,AK383-AI383,0)</f>
        <v>109</v>
      </c>
      <c r="AM383" s="173" t="str">
        <f>IF(ISNUMBER(X383)=TRUE,AK383-X383,IF(X383="","",(AK383)-(MID(RIGHT(X383,10),4,2)&amp;"/"&amp;LEFT((RIGHT(X383,10)),2)&amp;"/"&amp;RIGHT(X383,4))))</f>
        <v/>
      </c>
      <c r="AN383" s="181"/>
      <c r="AO383" s="190" t="s">
        <v>1548</v>
      </c>
      <c r="AP383" s="176">
        <v>24.535</v>
      </c>
      <c r="AQ383" s="176">
        <v>24.594999999999999</v>
      </c>
      <c r="AR383" s="176">
        <v>24.62</v>
      </c>
      <c r="AS383" s="176">
        <v>24.625</v>
      </c>
      <c r="AT383" s="173" t="str">
        <f>IF(ISNUMBER(U383)=TRUE,AK383-U383,IF(U383="","",(AK383)-(MID(RIGHT(U383,10),4,2)&amp;"/"&amp;LEFT((RIGHT(U383,10)),2)&amp;"/"&amp;RIGHT(U383,4))))</f>
        <v/>
      </c>
      <c r="AU383" s="173">
        <v>456</v>
      </c>
      <c r="AW383" s="142" t="s">
        <v>123</v>
      </c>
    </row>
    <row r="384" spans="2:49" s="142" customFormat="1" ht="21" customHeight="1" x14ac:dyDescent="0.25">
      <c r="B384" s="173" t="str">
        <f>IF(C384="HOLD RM","HOLD RM",IF(C384="BAL","WIP",IF(C384="HOLD SLT","HOLD SLT",IF(C384="MILL","RM",IF(C384="RE SLT","WIP",IF(C384="RM","RM",IF(C384="RM BAL","RM",IF(C384="RM SLT","RM",IF(C384="RR","WIP",IF(C384="SKP","WIP",IF(C384="SLT","WIP",IF(C384="CTL","WIP",IF(C384="RM SLT RUST","RM SLT RUST",0)))))))))))))&amp;"-"&amp;G384&amp;"/"&amp;IF(H384="2B","2B",IF(H384="NO.1","1D",IF(H384="FH","FH",0)))&amp;"-"&amp;IF(J384="",(TEXT(I384,"0.00")),TEXT(J384,"0.00"))&amp;"X"&amp;M384</f>
        <v>WIP-304L/FH-1.20X768</v>
      </c>
      <c r="C384" s="173" t="s">
        <v>16</v>
      </c>
      <c r="D384" s="173" t="s">
        <v>16</v>
      </c>
      <c r="E384" s="190" t="s">
        <v>1544</v>
      </c>
      <c r="F384" s="190" t="s">
        <v>1549</v>
      </c>
      <c r="G384" s="173" t="s">
        <v>182</v>
      </c>
      <c r="H384" s="173" t="s">
        <v>70</v>
      </c>
      <c r="I384" s="174">
        <v>3.79</v>
      </c>
      <c r="J384" s="174">
        <v>1.2</v>
      </c>
      <c r="K384" s="174"/>
      <c r="L384" s="174"/>
      <c r="M384" s="191">
        <v>768</v>
      </c>
      <c r="N384" s="176">
        <v>12.275</v>
      </c>
      <c r="O384" s="176" t="s">
        <v>114</v>
      </c>
      <c r="P384" s="177"/>
      <c r="Q384" s="178" t="s">
        <v>1550</v>
      </c>
      <c r="R384" s="179"/>
      <c r="S384" s="179"/>
      <c r="T384" s="177">
        <v>44939</v>
      </c>
      <c r="U384" s="177"/>
      <c r="V384" s="177">
        <v>44940</v>
      </c>
      <c r="W384" s="177"/>
      <c r="X384" s="177"/>
      <c r="Y384" s="177"/>
      <c r="Z384" s="177"/>
      <c r="AA384" s="177">
        <v>44934</v>
      </c>
      <c r="AB384" s="177"/>
      <c r="AC384" s="177"/>
      <c r="AD384" s="180" t="s">
        <v>1507</v>
      </c>
      <c r="AE384" s="173" t="s">
        <v>69</v>
      </c>
      <c r="AF384" s="181" t="s">
        <v>142</v>
      </c>
      <c r="AG384" s="192" t="s">
        <v>1508</v>
      </c>
      <c r="AH384" s="198"/>
      <c r="AI384" s="181">
        <v>44849</v>
      </c>
      <c r="AJ384" s="181"/>
      <c r="AK384" s="181">
        <f ca="1">TODAY()</f>
        <v>44958</v>
      </c>
      <c r="AL384" s="173">
        <f ca="1">IF(AI384&lt;&gt;0,AK384-AI384,0)</f>
        <v>109</v>
      </c>
      <c r="AM384" s="173" t="str">
        <f>IF(ISNUMBER(X384)=TRUE,AK384-X384,IF(X384="","",(AK384)-(MID(RIGHT(X384,10),4,2)&amp;"/"&amp;LEFT((RIGHT(X384,10)),2)&amp;"/"&amp;RIGHT(X384,4))))</f>
        <v/>
      </c>
      <c r="AN384" s="181"/>
      <c r="AO384" s="190" t="s">
        <v>1548</v>
      </c>
      <c r="AP384" s="176">
        <v>24.535</v>
      </c>
      <c r="AQ384" s="176">
        <v>24.594999999999999</v>
      </c>
      <c r="AR384" s="176">
        <v>24.62</v>
      </c>
      <c r="AS384" s="176">
        <v>24.625</v>
      </c>
      <c r="AT384" s="173" t="str">
        <f>IF(ISNUMBER(U384)=TRUE,AK384-U384,IF(U384="","",(AK384)-(MID(RIGHT(U384,10),4,2)&amp;"/"&amp;LEFT((RIGHT(U384,10)),2)&amp;"/"&amp;RIGHT(U384,4))))</f>
        <v/>
      </c>
      <c r="AU384" s="173">
        <v>456</v>
      </c>
      <c r="AW384" s="142" t="s">
        <v>123</v>
      </c>
    </row>
    <row r="385" spans="1:66" s="142" customFormat="1" ht="21" customHeight="1" x14ac:dyDescent="0.25">
      <c r="B385" s="173" t="str">
        <f>IF(C385="HOLD RM","HOLD RM",IF(C385="BAL","WIP",IF(C385="HOLD SLT","HOLD SLT",IF(C385="MILL","RM",IF(C385="RE SLT","WIP",IF(C385="RM","RM",IF(C385="RM BAL","RM",IF(C385="RM SLT","RM",IF(C385="RR","WIP",IF(C385="SKP","WIP",IF(C385="SLT","WIP",IF(C385="CTL","WIP",IF(C385="RM SLT RUST","RM SLT RUST",0)))))))))))))&amp;"-"&amp;G385&amp;"/"&amp;IF(H385="2B","2B",IF(H385="NO.1","1D",IF(H385="FH","FH",0)))&amp;"-"&amp;IF(J385="",(TEXT(I385,"0.00")),TEXT(J385,"0.00"))&amp;"X"&amp;M385</f>
        <v>WIP-304L/FH-1.50X768</v>
      </c>
      <c r="C385" s="173" t="s">
        <v>16</v>
      </c>
      <c r="D385" s="173" t="s">
        <v>16</v>
      </c>
      <c r="E385" s="190" t="s">
        <v>1551</v>
      </c>
      <c r="F385" s="190" t="s">
        <v>1552</v>
      </c>
      <c r="G385" s="173" t="s">
        <v>182</v>
      </c>
      <c r="H385" s="173" t="s">
        <v>70</v>
      </c>
      <c r="I385" s="174">
        <v>3.79</v>
      </c>
      <c r="J385" s="174">
        <v>1.5</v>
      </c>
      <c r="K385" s="174"/>
      <c r="L385" s="174"/>
      <c r="M385" s="191">
        <v>768</v>
      </c>
      <c r="N385" s="176">
        <v>12.255000000000001</v>
      </c>
      <c r="O385" s="176" t="s">
        <v>114</v>
      </c>
      <c r="P385" s="177"/>
      <c r="Q385" s="178" t="s">
        <v>986</v>
      </c>
      <c r="R385" s="179"/>
      <c r="S385" s="179"/>
      <c r="T385" s="177">
        <v>44938</v>
      </c>
      <c r="U385" s="177"/>
      <c r="V385" s="177">
        <v>44938</v>
      </c>
      <c r="W385" s="177"/>
      <c r="X385" s="177"/>
      <c r="Y385" s="177"/>
      <c r="Z385" s="177"/>
      <c r="AA385" s="177">
        <v>44934</v>
      </c>
      <c r="AB385" s="177"/>
      <c r="AC385" s="177"/>
      <c r="AD385" s="180" t="s">
        <v>1507</v>
      </c>
      <c r="AE385" s="173" t="s">
        <v>69</v>
      </c>
      <c r="AF385" s="181" t="s">
        <v>142</v>
      </c>
      <c r="AG385" s="192" t="s">
        <v>1508</v>
      </c>
      <c r="AH385" s="198"/>
      <c r="AI385" s="181">
        <v>44849</v>
      </c>
      <c r="AJ385" s="181"/>
      <c r="AK385" s="181">
        <f ca="1">TODAY()</f>
        <v>44958</v>
      </c>
      <c r="AL385" s="173">
        <f ca="1">IF(AI385&lt;&gt;0,AK385-AI385,0)</f>
        <v>109</v>
      </c>
      <c r="AM385" s="173" t="str">
        <f>IF(ISNUMBER(X385)=TRUE,AK385-X385,IF(X385="","",(AK385)-(MID(RIGHT(X385,10),4,2)&amp;"/"&amp;LEFT((RIGHT(X385,10)),2)&amp;"/"&amp;RIGHT(X385,4))))</f>
        <v/>
      </c>
      <c r="AN385" s="181"/>
      <c r="AO385" s="190" t="s">
        <v>1553</v>
      </c>
      <c r="AP385" s="176">
        <v>24.51</v>
      </c>
      <c r="AQ385" s="176">
        <v>24.57</v>
      </c>
      <c r="AR385" s="176">
        <v>24.595000000000002</v>
      </c>
      <c r="AS385" s="176">
        <v>24.6</v>
      </c>
      <c r="AT385" s="173" t="str">
        <f>IF(ISNUMBER(U385)=TRUE,AK385-U385,IF(U385="","",(AK385)-(MID(RIGHT(U385,10),4,2)&amp;"/"&amp;LEFT((RIGHT(U385,10)),2)&amp;"/"&amp;RIGHT(U385,4))))</f>
        <v/>
      </c>
      <c r="AU385" s="173">
        <v>456</v>
      </c>
      <c r="AW385" s="142" t="s">
        <v>123</v>
      </c>
    </row>
    <row r="386" spans="1:66" s="142" customFormat="1" ht="21" customHeight="1" x14ac:dyDescent="0.25">
      <c r="B386" s="173" t="str">
        <f>IF(C386="HOLD RM","HOLD RM",IF(C386="BAL","WIP",IF(C386="HOLD SLT","HOLD SLT",IF(C386="MILL","RM",IF(C386="RE SLT","WIP",IF(C386="RM","RM",IF(C386="RM BAL","RM",IF(C386="RM SLT","RM",IF(C386="RR","WIP",IF(C386="SKP","WIP",IF(C386="SLT","WIP",IF(C386="CTL","WIP",IF(C386="RM SLT RUST","RM SLT RUST",0)))))))))))))&amp;"-"&amp;G386&amp;"/"&amp;IF(H386="2B","2B",IF(H386="NO.1","1D",IF(H386="FH","FH",0)))&amp;"-"&amp;IF(J386="",(TEXT(I386,"0.00")),TEXT(J386,"0.00"))&amp;"X"&amp;M386</f>
        <v>WIP-304L/FH-2.20X768</v>
      </c>
      <c r="C386" s="173" t="s">
        <v>16</v>
      </c>
      <c r="D386" s="173" t="s">
        <v>16</v>
      </c>
      <c r="E386" s="190" t="s">
        <v>1551</v>
      </c>
      <c r="F386" s="190" t="s">
        <v>1554</v>
      </c>
      <c r="G386" s="173" t="s">
        <v>182</v>
      </c>
      <c r="H386" s="173" t="s">
        <v>70</v>
      </c>
      <c r="I386" s="174">
        <v>3.79</v>
      </c>
      <c r="J386" s="174">
        <v>2.2000000000000002</v>
      </c>
      <c r="K386" s="174"/>
      <c r="L386" s="174"/>
      <c r="M386" s="191">
        <v>768</v>
      </c>
      <c r="N386" s="176">
        <v>1.2849999999999999</v>
      </c>
      <c r="O386" s="176" t="s">
        <v>114</v>
      </c>
      <c r="P386" s="177"/>
      <c r="Q386" s="178" t="s">
        <v>1555</v>
      </c>
      <c r="R386" s="179" t="s">
        <v>1556</v>
      </c>
      <c r="S386" s="179"/>
      <c r="T386" s="177">
        <v>44938</v>
      </c>
      <c r="U386" s="177"/>
      <c r="V386" s="177">
        <v>44939</v>
      </c>
      <c r="W386" s="177"/>
      <c r="X386" s="177"/>
      <c r="Y386" s="177"/>
      <c r="Z386" s="177"/>
      <c r="AA386" s="177">
        <v>44934</v>
      </c>
      <c r="AB386" s="177"/>
      <c r="AC386" s="177"/>
      <c r="AD386" s="180" t="s">
        <v>1507</v>
      </c>
      <c r="AE386" s="173" t="s">
        <v>69</v>
      </c>
      <c r="AF386" s="181" t="s">
        <v>142</v>
      </c>
      <c r="AG386" s="192" t="s">
        <v>1508</v>
      </c>
      <c r="AH386" s="198"/>
      <c r="AI386" s="181">
        <v>44849</v>
      </c>
      <c r="AJ386" s="181"/>
      <c r="AK386" s="181">
        <f ca="1">TODAY()</f>
        <v>44958</v>
      </c>
      <c r="AL386" s="173">
        <f ca="1">IF(AI386&lt;&gt;0,AK386-AI386,0)</f>
        <v>109</v>
      </c>
      <c r="AM386" s="173" t="str">
        <f>IF(ISNUMBER(X386)=TRUE,AK386-X386,IF(X386="","",(AK386)-(MID(RIGHT(X386,10),4,2)&amp;"/"&amp;LEFT((RIGHT(X386,10)),2)&amp;"/"&amp;RIGHT(X386,4))))</f>
        <v/>
      </c>
      <c r="AN386" s="181"/>
      <c r="AO386" s="190" t="s">
        <v>1553</v>
      </c>
      <c r="AP386" s="176">
        <v>24.51</v>
      </c>
      <c r="AQ386" s="176">
        <v>24.57</v>
      </c>
      <c r="AR386" s="176">
        <v>24.595000000000002</v>
      </c>
      <c r="AS386" s="176">
        <v>24.6</v>
      </c>
      <c r="AT386" s="173" t="str">
        <f>IF(ISNUMBER(U386)=TRUE,AK386-U386,IF(U386="","",(AK386)-(MID(RIGHT(U386,10),4,2)&amp;"/"&amp;LEFT((RIGHT(U386,10)),2)&amp;"/"&amp;RIGHT(U386,4))))</f>
        <v/>
      </c>
      <c r="AU386" s="173">
        <v>456</v>
      </c>
      <c r="AW386" s="142" t="s">
        <v>123</v>
      </c>
    </row>
    <row r="387" spans="1:66" s="142" customFormat="1" ht="21" customHeight="1" x14ac:dyDescent="0.25">
      <c r="B387" s="173" t="str">
        <f>IF(C387="HOLD RM","HOLD RM",IF(C387="BAL","WIP",IF(C387="HOLD SLT","HOLD SLT",IF(C387="MILL","RM",IF(C387="RE SLT","WIP",IF(C387="RM","RM",IF(C387="RM BAL","RM",IF(C387="RM SLT","RM",IF(C387="RR","WIP",IF(C387="SKP","WIP",IF(C387="SLT","WIP",IF(C387="CTL","WIP",IF(C387="RM SLT RUST","RM SLT RUST",0)))))))))))))&amp;"-"&amp;G387&amp;"/"&amp;IF(H387="2B","2B",IF(H387="NO.1","1D",IF(H387="FH","FH",0)))&amp;"-"&amp;IF(J387="",(TEXT(I387,"0.00")),TEXT(J387,"0.00"))&amp;"X"&amp;M387</f>
        <v>WIP-304L/FH-1.50X768</v>
      </c>
      <c r="C387" s="173" t="s">
        <v>16</v>
      </c>
      <c r="D387" s="173" t="s">
        <v>16</v>
      </c>
      <c r="E387" s="190" t="s">
        <v>1551</v>
      </c>
      <c r="F387" s="190" t="s">
        <v>1557</v>
      </c>
      <c r="G387" s="173" t="s">
        <v>182</v>
      </c>
      <c r="H387" s="173" t="s">
        <v>70</v>
      </c>
      <c r="I387" s="174">
        <v>3.79</v>
      </c>
      <c r="J387" s="174">
        <v>1.5</v>
      </c>
      <c r="K387" s="174"/>
      <c r="L387" s="174"/>
      <c r="M387" s="191">
        <v>768</v>
      </c>
      <c r="N387" s="176">
        <v>10.958</v>
      </c>
      <c r="O387" s="176" t="s">
        <v>114</v>
      </c>
      <c r="P387" s="177"/>
      <c r="Q387" s="178" t="s">
        <v>986</v>
      </c>
      <c r="R387" s="179"/>
      <c r="S387" s="179"/>
      <c r="T387" s="177">
        <v>44938</v>
      </c>
      <c r="U387" s="177"/>
      <c r="V387" s="177">
        <v>44939</v>
      </c>
      <c r="W387" s="177"/>
      <c r="X387" s="177"/>
      <c r="Y387" s="177"/>
      <c r="Z387" s="177"/>
      <c r="AA387" s="177">
        <v>44934</v>
      </c>
      <c r="AB387" s="177"/>
      <c r="AC387" s="177"/>
      <c r="AD387" s="180" t="s">
        <v>1507</v>
      </c>
      <c r="AE387" s="173" t="s">
        <v>69</v>
      </c>
      <c r="AF387" s="181" t="s">
        <v>142</v>
      </c>
      <c r="AG387" s="192" t="s">
        <v>1508</v>
      </c>
      <c r="AH387" s="198"/>
      <c r="AI387" s="181">
        <v>44849</v>
      </c>
      <c r="AJ387" s="181"/>
      <c r="AK387" s="181">
        <f ca="1">TODAY()</f>
        <v>44958</v>
      </c>
      <c r="AL387" s="173">
        <f ca="1">IF(AI387&lt;&gt;0,AK387-AI387,0)</f>
        <v>109</v>
      </c>
      <c r="AM387" s="173" t="str">
        <f>IF(ISNUMBER(X387)=TRUE,AK387-X387,IF(X387="","",(AK387)-(MID(RIGHT(X387,10),4,2)&amp;"/"&amp;LEFT((RIGHT(X387,10)),2)&amp;"/"&amp;RIGHT(X387,4))))</f>
        <v/>
      </c>
      <c r="AN387" s="181"/>
      <c r="AO387" s="190" t="s">
        <v>1553</v>
      </c>
      <c r="AP387" s="176">
        <v>24.51</v>
      </c>
      <c r="AQ387" s="176">
        <v>24.57</v>
      </c>
      <c r="AR387" s="176">
        <v>24.595000000000002</v>
      </c>
      <c r="AS387" s="176">
        <v>24.6</v>
      </c>
      <c r="AT387" s="173" t="str">
        <f>IF(ISNUMBER(U387)=TRUE,AK387-U387,IF(U387="","",(AK387)-(MID(RIGHT(U387,10),4,2)&amp;"/"&amp;LEFT((RIGHT(U387,10)),2)&amp;"/"&amp;RIGHT(U387,4))))</f>
        <v/>
      </c>
      <c r="AU387" s="173">
        <v>456</v>
      </c>
      <c r="AW387" s="142" t="s">
        <v>123</v>
      </c>
    </row>
    <row r="388" spans="1:66" s="142" customFormat="1" ht="21" customHeight="1" x14ac:dyDescent="0.25">
      <c r="B388" s="173" t="str">
        <f>IF(C388="HOLD RM","HOLD RM",IF(C388="BAL","WIP",IF(C388="HOLD SLT","HOLD SLT",IF(C388="MILL","RM",IF(C388="RE SLT","WIP",IF(C388="RM","RM",IF(C388="RM BAL","RM",IF(C388="RM SLT","RM",IF(C388="RR","WIP",IF(C388="SKP","WIP",IF(C388="SLT","WIP",IF(C388="CTL","WIP",IF(C388="RM SLT RUST","RM SLT RUST",0)))))))))))))&amp;"-"&amp;G388&amp;"/"&amp;IF(H388="2B","2B",IF(H388="NO.1","1D",IF(H388="FH","FH",0)))&amp;"-"&amp;IF(J388="",(TEXT(I388,"0.00")),TEXT(J388,"0.00"))&amp;"X"&amp;M388</f>
        <v>WIP-304L/2B-1.20X768</v>
      </c>
      <c r="C388" s="173" t="s">
        <v>18</v>
      </c>
      <c r="D388" s="173" t="s">
        <v>836</v>
      </c>
      <c r="E388" s="190" t="s">
        <v>1558</v>
      </c>
      <c r="F388" s="190" t="s">
        <v>1559</v>
      </c>
      <c r="G388" s="173" t="s">
        <v>182</v>
      </c>
      <c r="H388" s="173" t="s">
        <v>114</v>
      </c>
      <c r="I388" s="174">
        <v>3.78</v>
      </c>
      <c r="J388" s="174">
        <v>1.2</v>
      </c>
      <c r="K388" s="174">
        <v>1.17</v>
      </c>
      <c r="L388" s="174">
        <v>1.19</v>
      </c>
      <c r="M388" s="191">
        <v>768</v>
      </c>
      <c r="N388" s="176">
        <v>8.2799999999999994</v>
      </c>
      <c r="O388" s="176" t="s">
        <v>114</v>
      </c>
      <c r="P388" s="177"/>
      <c r="Q388" s="178" t="s">
        <v>1386</v>
      </c>
      <c r="R388" s="179"/>
      <c r="S388" s="179"/>
      <c r="T388" s="177">
        <v>44937</v>
      </c>
      <c r="U388" s="177"/>
      <c r="V388" s="177">
        <v>44937</v>
      </c>
      <c r="W388" s="177"/>
      <c r="X388" s="177">
        <v>44950</v>
      </c>
      <c r="Y388" s="177"/>
      <c r="Z388" s="177"/>
      <c r="AA388" s="177">
        <v>44934</v>
      </c>
      <c r="AB388" s="177"/>
      <c r="AC388" s="177"/>
      <c r="AD388" s="180" t="s">
        <v>1507</v>
      </c>
      <c r="AE388" s="173" t="s">
        <v>69</v>
      </c>
      <c r="AF388" s="181" t="s">
        <v>142</v>
      </c>
      <c r="AG388" s="192" t="s">
        <v>1508</v>
      </c>
      <c r="AH388" s="198"/>
      <c r="AI388" s="181">
        <v>44849</v>
      </c>
      <c r="AJ388" s="181"/>
      <c r="AK388" s="181">
        <f ca="1">TODAY()</f>
        <v>44958</v>
      </c>
      <c r="AL388" s="173">
        <f ca="1">IF(AI388&lt;&gt;0,AK388-AI388,0)</f>
        <v>109</v>
      </c>
      <c r="AM388" s="173">
        <f ca="1">IF(ISNUMBER(X388)=TRUE,AK388-X388,IF(X388="","",(AK388)-(MID(RIGHT(X388,10),4,2)&amp;"/"&amp;LEFT((RIGHT(X388,10)),2)&amp;"/"&amp;RIGHT(X388,4))))</f>
        <v>8</v>
      </c>
      <c r="AN388" s="181"/>
      <c r="AO388" s="190" t="s">
        <v>1560</v>
      </c>
      <c r="AP388" s="176">
        <v>24.535</v>
      </c>
      <c r="AQ388" s="176">
        <v>24.594999999999999</v>
      </c>
      <c r="AR388" s="176">
        <v>24.62</v>
      </c>
      <c r="AS388" s="176">
        <v>24.625</v>
      </c>
      <c r="AT388" s="173" t="str">
        <f>IF(ISNUMBER(U388)=TRUE,AK388-U388,IF(U388="","",(AK388)-(MID(RIGHT(U388,10),4,2)&amp;"/"&amp;LEFT((RIGHT(U388,10)),2)&amp;"/"&amp;RIGHT(U388,4))))</f>
        <v/>
      </c>
      <c r="AU388" s="173">
        <v>456</v>
      </c>
      <c r="AW388" s="142" t="s">
        <v>123</v>
      </c>
    </row>
    <row r="389" spans="1:66" s="142" customFormat="1" ht="21" customHeight="1" x14ac:dyDescent="0.25">
      <c r="B389" s="173" t="str">
        <f>IF(C389="HOLD RM","HOLD RM",IF(C389="BAL","WIP",IF(C389="HOLD SLT","HOLD SLT",IF(C389="MILL","RM",IF(C389="RE SLT","WIP",IF(C389="RM","RM",IF(C389="RM BAL","RM",IF(C389="RM SLT","RM",IF(C389="RR","WIP",IF(C389="SKP","WIP",IF(C389="SLT","WIP",IF(C389="CTL","WIP",IF(C389="RM SLT RUST","RM SLT RUST",0)))))))))))))&amp;"-"&amp;G389&amp;"/"&amp;IF(H389="2B","2B",IF(H389="NO.1","1D",IF(H389="FH","FH",0)))&amp;"-"&amp;IF(J389="",(TEXT(I389,"0.00")),TEXT(J389,"0.00"))&amp;"X"&amp;M389</f>
        <v>RM-304L/1D-3.78X770</v>
      </c>
      <c r="C389" s="173" t="s">
        <v>13</v>
      </c>
      <c r="D389" s="173" t="s">
        <v>13</v>
      </c>
      <c r="E389" s="190" t="s">
        <v>1561</v>
      </c>
      <c r="F389" s="190" t="s">
        <v>1562</v>
      </c>
      <c r="G389" s="173" t="s">
        <v>182</v>
      </c>
      <c r="H389" s="173" t="s">
        <v>127</v>
      </c>
      <c r="I389" s="174">
        <v>3.78</v>
      </c>
      <c r="J389" s="174"/>
      <c r="K389" s="174"/>
      <c r="L389" s="174"/>
      <c r="M389" s="191">
        <v>770</v>
      </c>
      <c r="N389" s="176">
        <v>12.33</v>
      </c>
      <c r="O389" s="176"/>
      <c r="P389" s="177"/>
      <c r="Q389" s="178"/>
      <c r="R389" s="179"/>
      <c r="S389" s="179"/>
      <c r="T389" s="177">
        <v>44938</v>
      </c>
      <c r="U389" s="177"/>
      <c r="V389" s="177"/>
      <c r="W389" s="177"/>
      <c r="X389" s="177"/>
      <c r="Y389" s="177"/>
      <c r="Z389" s="177"/>
      <c r="AA389" s="177">
        <v>44932</v>
      </c>
      <c r="AB389" s="177"/>
      <c r="AC389" s="177"/>
      <c r="AD389" s="180" t="s">
        <v>1507</v>
      </c>
      <c r="AE389" s="173" t="s">
        <v>69</v>
      </c>
      <c r="AF389" s="181" t="s">
        <v>142</v>
      </c>
      <c r="AG389" s="192" t="s">
        <v>1508</v>
      </c>
      <c r="AH389" s="198"/>
      <c r="AI389" s="181">
        <v>44849</v>
      </c>
      <c r="AJ389" s="181"/>
      <c r="AK389" s="181">
        <f ca="1">TODAY()</f>
        <v>44958</v>
      </c>
      <c r="AL389" s="173">
        <f ca="1">IF(AI389&lt;&gt;0,AK389-AI389,0)</f>
        <v>109</v>
      </c>
      <c r="AM389" s="173" t="str">
        <f>IF(ISNUMBER(X389)=TRUE,AK389-X389,IF(X389="","",(AK389)-(MID(RIGHT(X389,10),4,2)&amp;"/"&amp;LEFT((RIGHT(X389,10)),2)&amp;"/"&amp;RIGHT(X389,4))))</f>
        <v/>
      </c>
      <c r="AN389" s="181"/>
      <c r="AO389" s="190" t="s">
        <v>1563</v>
      </c>
      <c r="AP389" s="176">
        <v>24.54</v>
      </c>
      <c r="AQ389" s="176">
        <v>24.6</v>
      </c>
      <c r="AR389" s="176">
        <v>24.625000000000004</v>
      </c>
      <c r="AS389" s="176">
        <v>24.630000000000003</v>
      </c>
      <c r="AT389" s="173" t="str">
        <f>IF(ISNUMBER(U389)=TRUE,AK389-U389,IF(U389="","",(AK389)-(MID(RIGHT(U389,10),4,2)&amp;"/"&amp;LEFT((RIGHT(U389,10)),2)&amp;"/"&amp;RIGHT(U389,4))))</f>
        <v/>
      </c>
      <c r="AU389" s="173">
        <v>456</v>
      </c>
      <c r="AW389" s="142" t="s">
        <v>123</v>
      </c>
    </row>
    <row r="390" spans="1:66" s="142" customFormat="1" ht="21" customHeight="1" x14ac:dyDescent="0.25">
      <c r="B390" s="173" t="str">
        <f>IF(C390="HOLD RM","HOLD RM",IF(C390="BAL","WIP",IF(C390="HOLD SLT","HOLD SLT",IF(C390="MILL","RM",IF(C390="RE SLT","WIP",IF(C390="RM","RM",IF(C390="RM BAL","RM",IF(C390="RM SLT","RM",IF(C390="RR","WIP",IF(C390="SKP","WIP",IF(C390="SLT","WIP",IF(C390="CTL","WIP",IF(C390="RM SLT RUST","RM SLT RUST",0)))))))))))))&amp;"-"&amp;G390&amp;"/"&amp;IF(H390="2B","2B",IF(H390="NO.1","1D",IF(H390="FH","FH",0)))&amp;"-"&amp;IF(J390="",(TEXT(I390,"0.00")),TEXT(J390,"0.00"))&amp;"X"&amp;M390</f>
        <v>WIP-304L/FH-1.20X768</v>
      </c>
      <c r="C390" s="173" t="s">
        <v>16</v>
      </c>
      <c r="D390" s="173" t="s">
        <v>16</v>
      </c>
      <c r="E390" s="190" t="s">
        <v>1561</v>
      </c>
      <c r="F390" s="190" t="s">
        <v>1564</v>
      </c>
      <c r="G390" s="173" t="s">
        <v>182</v>
      </c>
      <c r="H390" s="173" t="s">
        <v>70</v>
      </c>
      <c r="I390" s="174">
        <v>3.78</v>
      </c>
      <c r="J390" s="174">
        <v>1.2</v>
      </c>
      <c r="K390" s="174"/>
      <c r="L390" s="174"/>
      <c r="M390" s="191">
        <v>768</v>
      </c>
      <c r="N390" s="176">
        <v>12.28</v>
      </c>
      <c r="O390" s="176" t="s">
        <v>114</v>
      </c>
      <c r="P390" s="177"/>
      <c r="Q390" s="178" t="s">
        <v>986</v>
      </c>
      <c r="R390" s="179"/>
      <c r="S390" s="179"/>
      <c r="T390" s="177">
        <v>44938</v>
      </c>
      <c r="U390" s="177"/>
      <c r="V390" s="177"/>
      <c r="W390" s="177">
        <v>44938</v>
      </c>
      <c r="X390" s="177">
        <v>44940</v>
      </c>
      <c r="Y390" s="177"/>
      <c r="Z390" s="177"/>
      <c r="AA390" s="177">
        <v>44932</v>
      </c>
      <c r="AB390" s="177"/>
      <c r="AC390" s="177"/>
      <c r="AD390" s="180" t="s">
        <v>1507</v>
      </c>
      <c r="AE390" s="173" t="s">
        <v>69</v>
      </c>
      <c r="AF390" s="181" t="s">
        <v>142</v>
      </c>
      <c r="AG390" s="192" t="s">
        <v>1508</v>
      </c>
      <c r="AH390" s="198"/>
      <c r="AI390" s="181">
        <v>44849</v>
      </c>
      <c r="AJ390" s="181"/>
      <c r="AK390" s="181">
        <f ca="1">TODAY()</f>
        <v>44958</v>
      </c>
      <c r="AL390" s="173">
        <f ca="1">IF(AI390&lt;&gt;0,AK390-AI390,0)</f>
        <v>109</v>
      </c>
      <c r="AM390" s="173">
        <f ca="1">IF(ISNUMBER(X390)=TRUE,AK390-X390,IF(X390="","",(AK390)-(MID(RIGHT(X390,10),4,2)&amp;"/"&amp;LEFT((RIGHT(X390,10)),2)&amp;"/"&amp;RIGHT(X390,4))))</f>
        <v>18</v>
      </c>
      <c r="AN390" s="181"/>
      <c r="AO390" s="190" t="s">
        <v>1563</v>
      </c>
      <c r="AP390" s="176">
        <v>24.54</v>
      </c>
      <c r="AQ390" s="176">
        <v>24.6</v>
      </c>
      <c r="AR390" s="176">
        <v>24.625000000000004</v>
      </c>
      <c r="AS390" s="176">
        <v>24.630000000000003</v>
      </c>
      <c r="AT390" s="173" t="str">
        <f>IF(ISNUMBER(U390)=TRUE,AK390-U390,IF(U390="","",(AK390)-(MID(RIGHT(U390,10),4,2)&amp;"/"&amp;LEFT((RIGHT(U390,10)),2)&amp;"/"&amp;RIGHT(U390,4))))</f>
        <v/>
      </c>
      <c r="AU390" s="173">
        <v>456</v>
      </c>
      <c r="AW390" s="142" t="s">
        <v>123</v>
      </c>
    </row>
    <row r="391" spans="1:66" s="142" customFormat="1" ht="21" customHeight="1" x14ac:dyDescent="0.25">
      <c r="B391" s="173" t="str">
        <f>IF(C391="HOLD RM","HOLD RM",IF(C391="BAL","WIP",IF(C391="HOLD SLT","HOLD SLT",IF(C391="MILL","RM",IF(C391="RE SLT","WIP",IF(C391="RM","RM",IF(C391="RM BAL","RM",IF(C391="RM SLT","RM",IF(C391="RR","WIP",IF(C391="SKP","WIP",IF(C391="SLT","WIP",IF(C391="CTL","WIP",IF(C391="RM SLT RUST","RM SLT RUST",0)))))))))))))&amp;"-"&amp;G391&amp;"/"&amp;IF(H391="2B","2B",IF(H391="NO.1","1D",IF(H391="FH","FH",0)))&amp;"-"&amp;IF(J391="",(TEXT(I391,"0.00")),TEXT(J391,"0.00"))&amp;"X"&amp;M391</f>
        <v>WIP-304L/FH-1.20X768</v>
      </c>
      <c r="C391" s="173" t="s">
        <v>16</v>
      </c>
      <c r="D391" s="173" t="s">
        <v>16</v>
      </c>
      <c r="E391" s="190" t="s">
        <v>1565</v>
      </c>
      <c r="F391" s="190" t="s">
        <v>1566</v>
      </c>
      <c r="G391" s="173" t="s">
        <v>182</v>
      </c>
      <c r="H391" s="173" t="s">
        <v>70</v>
      </c>
      <c r="I391" s="174">
        <v>3.79</v>
      </c>
      <c r="J391" s="174">
        <v>1.2</v>
      </c>
      <c r="K391" s="174"/>
      <c r="L391" s="174"/>
      <c r="M391" s="191">
        <v>768</v>
      </c>
      <c r="N391" s="176">
        <v>12.26</v>
      </c>
      <c r="O391" s="176" t="s">
        <v>114</v>
      </c>
      <c r="P391" s="177"/>
      <c r="Q391" s="178" t="s">
        <v>986</v>
      </c>
      <c r="R391" s="179"/>
      <c r="S391" s="179"/>
      <c r="T391" s="177">
        <v>44938</v>
      </c>
      <c r="U391" s="177"/>
      <c r="V391" s="177">
        <v>44938</v>
      </c>
      <c r="W391" s="177"/>
      <c r="X391" s="177"/>
      <c r="Y391" s="177"/>
      <c r="Z391" s="177"/>
      <c r="AA391" s="177">
        <v>44933</v>
      </c>
      <c r="AB391" s="177"/>
      <c r="AC391" s="177"/>
      <c r="AD391" s="180" t="s">
        <v>1507</v>
      </c>
      <c r="AE391" s="173" t="s">
        <v>69</v>
      </c>
      <c r="AF391" s="181" t="s">
        <v>142</v>
      </c>
      <c r="AG391" s="192" t="s">
        <v>1508</v>
      </c>
      <c r="AH391" s="198"/>
      <c r="AI391" s="181">
        <v>44849</v>
      </c>
      <c r="AJ391" s="181"/>
      <c r="AK391" s="181">
        <f ca="1">TODAY()</f>
        <v>44958</v>
      </c>
      <c r="AL391" s="173">
        <f ca="1">IF(AI391&lt;&gt;0,AK391-AI391,0)</f>
        <v>109</v>
      </c>
      <c r="AM391" s="173" t="str">
        <f>IF(ISNUMBER(X391)=TRUE,AK391-X391,IF(X391="","",(AK391)-(MID(RIGHT(X391,10),4,2)&amp;"/"&amp;LEFT((RIGHT(X391,10)),2)&amp;"/"&amp;RIGHT(X391,4))))</f>
        <v/>
      </c>
      <c r="AN391" s="181"/>
      <c r="AO391" s="190" t="s">
        <v>1567</v>
      </c>
      <c r="AP391" s="176">
        <v>24.59</v>
      </c>
      <c r="AQ391" s="176">
        <v>24.65</v>
      </c>
      <c r="AR391" s="176">
        <v>24.675000000000001</v>
      </c>
      <c r="AS391" s="176">
        <v>24.68</v>
      </c>
      <c r="AT391" s="173" t="str">
        <f>IF(ISNUMBER(U391)=TRUE,AK391-U391,IF(U391="","",(AK391)-(MID(RIGHT(U391,10),4,2)&amp;"/"&amp;LEFT((RIGHT(U391,10)),2)&amp;"/"&amp;RIGHT(U391,4))))</f>
        <v/>
      </c>
      <c r="AU391" s="173">
        <v>456</v>
      </c>
      <c r="AW391" s="142" t="s">
        <v>123</v>
      </c>
    </row>
    <row r="392" spans="1:66" s="142" customFormat="1" ht="21" customHeight="1" x14ac:dyDescent="0.25">
      <c r="B392" s="173" t="str">
        <f>IF(C392="HOLD RM","HOLD RM",IF(C392="BAL","WIP",IF(C392="HOLD SLT","HOLD SLT",IF(C392="MILL","RM",IF(C392="RE SLT","WIP",IF(C392="RM","RM",IF(C392="RM BAL","RM",IF(C392="RM SLT","RM",IF(C392="RR","WIP",IF(C392="SKP","WIP",IF(C392="SLT","WIP",IF(C392="CTL","WIP",IF(C392="RM SLT RUST","RM SLT RUST",0)))))))))))))&amp;"-"&amp;G392&amp;"/"&amp;IF(H392="2B","2B",IF(H392="NO.1","1D",IF(H392="FH","FH",0)))&amp;"-"&amp;IF(J392="",(TEXT(I392,"0.00")),TEXT(J392,"0.00"))&amp;"X"&amp;M392</f>
        <v>WIP-304L/FH-1.20X769</v>
      </c>
      <c r="C392" s="173" t="s">
        <v>16</v>
      </c>
      <c r="D392" s="173" t="s">
        <v>16</v>
      </c>
      <c r="E392" s="190" t="s">
        <v>1565</v>
      </c>
      <c r="F392" s="190" t="s">
        <v>1568</v>
      </c>
      <c r="G392" s="173" t="s">
        <v>182</v>
      </c>
      <c r="H392" s="173" t="s">
        <v>70</v>
      </c>
      <c r="I392" s="174">
        <v>3.79</v>
      </c>
      <c r="J392" s="174">
        <v>1.2</v>
      </c>
      <c r="K392" s="174"/>
      <c r="L392" s="174"/>
      <c r="M392" s="191">
        <v>769</v>
      </c>
      <c r="N392" s="176">
        <v>12.33</v>
      </c>
      <c r="O392" s="176" t="s">
        <v>114</v>
      </c>
      <c r="P392" s="177"/>
      <c r="Q392" s="178" t="s">
        <v>986</v>
      </c>
      <c r="R392" s="179"/>
      <c r="S392" s="179"/>
      <c r="T392" s="177">
        <v>44940</v>
      </c>
      <c r="U392" s="177"/>
      <c r="V392" s="177">
        <v>44940</v>
      </c>
      <c r="W392" s="177"/>
      <c r="X392" s="177"/>
      <c r="Y392" s="177"/>
      <c r="Z392" s="177"/>
      <c r="AA392" s="177">
        <v>44933</v>
      </c>
      <c r="AB392" s="177"/>
      <c r="AC392" s="177"/>
      <c r="AD392" s="180" t="s">
        <v>1507</v>
      </c>
      <c r="AE392" s="173" t="s">
        <v>69</v>
      </c>
      <c r="AF392" s="181" t="s">
        <v>142</v>
      </c>
      <c r="AG392" s="192" t="s">
        <v>1508</v>
      </c>
      <c r="AH392" s="198"/>
      <c r="AI392" s="181">
        <v>44849</v>
      </c>
      <c r="AJ392" s="181"/>
      <c r="AK392" s="181">
        <f ca="1">TODAY()</f>
        <v>44958</v>
      </c>
      <c r="AL392" s="173">
        <f ca="1">IF(AI392&lt;&gt;0,AK392-AI392,0)</f>
        <v>109</v>
      </c>
      <c r="AM392" s="173" t="str">
        <f>IF(ISNUMBER(X392)=TRUE,AK392-X392,IF(X392="","",(AK392)-(MID(RIGHT(X392,10),4,2)&amp;"/"&amp;LEFT((RIGHT(X392,10)),2)&amp;"/"&amp;RIGHT(X392,4))))</f>
        <v/>
      </c>
      <c r="AN392" s="181"/>
      <c r="AO392" s="190" t="s">
        <v>1567</v>
      </c>
      <c r="AP392" s="176">
        <v>24.59</v>
      </c>
      <c r="AQ392" s="176">
        <v>24.65</v>
      </c>
      <c r="AR392" s="176">
        <v>24.675000000000001</v>
      </c>
      <c r="AS392" s="176">
        <v>24.68</v>
      </c>
      <c r="AT392" s="173" t="str">
        <f>IF(ISNUMBER(U392)=TRUE,AK392-U392,IF(U392="","",(AK392)-(MID(RIGHT(U392,10),4,2)&amp;"/"&amp;LEFT((RIGHT(U392,10)),2)&amp;"/"&amp;RIGHT(U392,4))))</f>
        <v/>
      </c>
      <c r="AU392" s="173">
        <v>456</v>
      </c>
      <c r="AW392" s="142" t="s">
        <v>123</v>
      </c>
    </row>
    <row r="393" spans="1:66" s="142" customFormat="1" ht="21" customHeight="1" x14ac:dyDescent="0.25">
      <c r="B393" s="173" t="str">
        <f>IF(C393="HOLD RM","HOLD RM",IF(C393="BAL","WIP",IF(C393="HOLD SLT","HOLD SLT",IF(C393="MILL","RM",IF(C393="RE SLT","WIP",IF(C393="RM","RM",IF(C393="RM BAL","RM",IF(C393="RM SLT","RM",IF(C393="RR","WIP",IF(C393="SKP","WIP",IF(C393="SLT","WIP",IF(C393="CTL","WIP",IF(C393="RM SLT RUST","RM SLT RUST",0)))))))))))))&amp;"-"&amp;G393&amp;"/"&amp;IF(H393="2B","2B",IF(H393="NO.1","1D",IF(H393="FH","FH",0)))&amp;"-"&amp;IF(J393="",(TEXT(I393,"0.00")),TEXT(J393,"0.00"))&amp;"X"&amp;M393</f>
        <v>WIP-304L/FH-1.50X768</v>
      </c>
      <c r="C393" s="173" t="s">
        <v>16</v>
      </c>
      <c r="D393" s="173" t="s">
        <v>16</v>
      </c>
      <c r="E393" s="190" t="s">
        <v>1569</v>
      </c>
      <c r="F393" s="190" t="s">
        <v>1570</v>
      </c>
      <c r="G393" s="173" t="s">
        <v>182</v>
      </c>
      <c r="H393" s="173" t="s">
        <v>70</v>
      </c>
      <c r="I393" s="174">
        <v>3.81</v>
      </c>
      <c r="J393" s="174">
        <v>1.5</v>
      </c>
      <c r="K393" s="174"/>
      <c r="L393" s="174"/>
      <c r="M393" s="191">
        <v>768</v>
      </c>
      <c r="N393" s="176">
        <v>12.28</v>
      </c>
      <c r="O393" s="176" t="s">
        <v>114</v>
      </c>
      <c r="P393" s="177"/>
      <c r="Q393" s="178" t="s">
        <v>1571</v>
      </c>
      <c r="R393" s="179"/>
      <c r="S393" s="179"/>
      <c r="T393" s="177">
        <v>44940</v>
      </c>
      <c r="U393" s="177"/>
      <c r="V393" s="177">
        <v>44940</v>
      </c>
      <c r="W393" s="177"/>
      <c r="X393" s="177"/>
      <c r="Y393" s="177"/>
      <c r="Z393" s="177">
        <v>44934</v>
      </c>
      <c r="AA393" s="177">
        <v>44934</v>
      </c>
      <c r="AB393" s="177"/>
      <c r="AC393" s="177"/>
      <c r="AD393" s="180" t="s">
        <v>1507</v>
      </c>
      <c r="AE393" s="173" t="s">
        <v>69</v>
      </c>
      <c r="AF393" s="181" t="s">
        <v>142</v>
      </c>
      <c r="AG393" s="192" t="s">
        <v>1508</v>
      </c>
      <c r="AH393" s="198"/>
      <c r="AI393" s="181">
        <v>44849</v>
      </c>
      <c r="AJ393" s="181"/>
      <c r="AK393" s="181">
        <f ca="1">TODAY()</f>
        <v>44958</v>
      </c>
      <c r="AL393" s="173">
        <f ca="1">IF(AI393&lt;&gt;0,AK393-AI393,0)</f>
        <v>109</v>
      </c>
      <c r="AM393" s="173" t="str">
        <f>IF(ISNUMBER(X393)=TRUE,AK393-X393,IF(X393="","",(AK393)-(MID(RIGHT(X393,10),4,2)&amp;"/"&amp;LEFT((RIGHT(X393,10)),2)&amp;"/"&amp;RIGHT(X393,4))))</f>
        <v/>
      </c>
      <c r="AN393" s="181"/>
      <c r="AO393" s="190" t="s">
        <v>1572</v>
      </c>
      <c r="AP393" s="176">
        <v>24.53</v>
      </c>
      <c r="AQ393" s="176">
        <v>24.59</v>
      </c>
      <c r="AR393" s="176">
        <v>24.615000000000002</v>
      </c>
      <c r="AS393" s="176">
        <v>24.62</v>
      </c>
      <c r="AT393" s="173" t="str">
        <f>IF(ISNUMBER(U393)=TRUE,AK393-U393,IF(U393="","",(AK393)-(MID(RIGHT(U393,10),4,2)&amp;"/"&amp;LEFT((RIGHT(U393,10)),2)&amp;"/"&amp;RIGHT(U393,4))))</f>
        <v/>
      </c>
      <c r="AU393" s="173">
        <v>456</v>
      </c>
      <c r="AW393" s="142" t="s">
        <v>123</v>
      </c>
    </row>
    <row r="394" spans="1:66" s="142" customFormat="1" ht="21" customHeight="1" x14ac:dyDescent="0.25">
      <c r="B394" s="173" t="str">
        <f>IF(C394="HOLD RM","HOLD RM",IF(C394="BAL","WIP",IF(C394="HOLD SLT","HOLD SLT",IF(C394="MILL","RM",IF(C394="RE SLT","WIP",IF(C394="RM","RM",IF(C394="RM BAL","RM",IF(C394="RM SLT","RM",IF(C394="RR","WIP",IF(C394="SKP","WIP",IF(C394="SLT","WIP",IF(C394="CTL","WIP",IF(C394="RM SLT RUST","RM SLT RUST",0)))))))))))))&amp;"-"&amp;G394&amp;"/"&amp;IF(H394="2B","2B",IF(H394="NO.1","1D",IF(H394="FH","FH",0)))&amp;"-"&amp;IF(J394="",(TEXT(I394,"0.00")),TEXT(J394,"0.00"))&amp;"X"&amp;M394</f>
        <v>HOLD SLT-304L/2B-1.20X769</v>
      </c>
      <c r="C394" s="173" t="s">
        <v>68</v>
      </c>
      <c r="D394" s="173" t="s">
        <v>68</v>
      </c>
      <c r="E394" s="190" t="s">
        <v>1573</v>
      </c>
      <c r="F394" s="190" t="s">
        <v>1574</v>
      </c>
      <c r="G394" s="173" t="s">
        <v>182</v>
      </c>
      <c r="H394" s="173" t="s">
        <v>114</v>
      </c>
      <c r="I394" s="174">
        <v>3.79</v>
      </c>
      <c r="J394" s="174">
        <v>1.2</v>
      </c>
      <c r="K394" s="174">
        <v>1.18</v>
      </c>
      <c r="L394" s="174">
        <v>1.19</v>
      </c>
      <c r="M394" s="191">
        <v>769</v>
      </c>
      <c r="N394" s="176">
        <v>4.09</v>
      </c>
      <c r="O394" s="176" t="s">
        <v>114</v>
      </c>
      <c r="P394" s="177"/>
      <c r="Q394" s="178" t="s">
        <v>986</v>
      </c>
      <c r="R394" s="179"/>
      <c r="S394" s="179"/>
      <c r="T394" s="177">
        <v>44939</v>
      </c>
      <c r="U394" s="177"/>
      <c r="V394" s="177">
        <v>44939</v>
      </c>
      <c r="W394" s="177"/>
      <c r="X394" s="177"/>
      <c r="Y394" s="177">
        <v>44951</v>
      </c>
      <c r="Z394" s="177">
        <v>44954</v>
      </c>
      <c r="AA394" s="177">
        <v>44934</v>
      </c>
      <c r="AB394" s="177"/>
      <c r="AC394" s="177"/>
      <c r="AD394" s="180" t="s">
        <v>1507</v>
      </c>
      <c r="AE394" s="173" t="s">
        <v>69</v>
      </c>
      <c r="AF394" s="181" t="s">
        <v>142</v>
      </c>
      <c r="AG394" s="192" t="s">
        <v>1508</v>
      </c>
      <c r="AH394" s="198"/>
      <c r="AI394" s="181">
        <v>44849</v>
      </c>
      <c r="AJ394" s="181"/>
      <c r="AK394" s="181">
        <f ca="1">TODAY()</f>
        <v>44958</v>
      </c>
      <c r="AL394" s="173">
        <f ca="1">IF(AI394&lt;&gt;0,AK394-AI394,0)</f>
        <v>109</v>
      </c>
      <c r="AM394" s="173" t="str">
        <f>IF(ISNUMBER(X394)=TRUE,AK394-X394,IF(X394="","",(AK394)-(MID(RIGHT(X394,10),4,2)&amp;"/"&amp;LEFT((RIGHT(X394,10)),2)&amp;"/"&amp;RIGHT(X394,4))))</f>
        <v/>
      </c>
      <c r="AN394" s="181"/>
      <c r="AO394" s="190" t="s">
        <v>1575</v>
      </c>
      <c r="AP394" s="176">
        <v>24.63</v>
      </c>
      <c r="AQ394" s="176">
        <v>24.69</v>
      </c>
      <c r="AR394" s="176">
        <v>24.715000000000003</v>
      </c>
      <c r="AS394" s="176">
        <v>24.720000000000002</v>
      </c>
      <c r="AT394" s="173" t="str">
        <f>IF(ISNUMBER(U394)=TRUE,AK394-U394,IF(U394="","",(AK394)-(MID(RIGHT(U394,10),4,2)&amp;"/"&amp;LEFT((RIGHT(U394,10)),2)&amp;"/"&amp;RIGHT(U394,4))))</f>
        <v/>
      </c>
      <c r="AU394" s="173">
        <v>456</v>
      </c>
      <c r="AW394" s="142" t="s">
        <v>123</v>
      </c>
    </row>
    <row r="395" spans="1:66" s="142" customFormat="1" ht="21" customHeight="1" x14ac:dyDescent="0.25">
      <c r="B395" s="173" t="str">
        <f>IF(C395="HOLD RM","HOLD RM",IF(C395="BAL","WIP",IF(C395="HOLD SLT","HOLD SLT",IF(C395="MILL","RM",IF(C395="RE SLT","WIP",IF(C395="RM","RM",IF(C395="RM BAL","RM",IF(C395="RM SLT","RM",IF(C395="RR","WIP",IF(C395="SKP","WIP",IF(C395="SLT","WIP",IF(C395="CTL","WIP",IF(C395="RM SLT RUST","RM SLT RUST",0)))))))))))))&amp;"-"&amp;G395&amp;"/"&amp;IF(H395="2B","2B",IF(H395="NO.1","1D",IF(H395="FH","FH",0)))&amp;"-"&amp;IF(J395="",(TEXT(I395,"0.00")),TEXT(J395,"0.00"))&amp;"X"&amp;M395</f>
        <v>WIP-304L/FH-1.50X767</v>
      </c>
      <c r="C395" s="173" t="s">
        <v>16</v>
      </c>
      <c r="D395" s="173" t="s">
        <v>16</v>
      </c>
      <c r="E395" s="190" t="s">
        <v>1576</v>
      </c>
      <c r="F395" s="190" t="s">
        <v>1577</v>
      </c>
      <c r="G395" s="173" t="s">
        <v>182</v>
      </c>
      <c r="H395" s="173" t="s">
        <v>70</v>
      </c>
      <c r="I395" s="174">
        <v>3.79666666666667</v>
      </c>
      <c r="J395" s="174">
        <v>1.5</v>
      </c>
      <c r="K395" s="174"/>
      <c r="L395" s="174"/>
      <c r="M395" s="191">
        <v>767</v>
      </c>
      <c r="N395" s="176">
        <v>10.115</v>
      </c>
      <c r="O395" s="176" t="s">
        <v>114</v>
      </c>
      <c r="P395" s="177"/>
      <c r="Q395" s="178" t="s">
        <v>986</v>
      </c>
      <c r="R395" s="179"/>
      <c r="S395" s="179"/>
      <c r="T395" s="177">
        <v>44939</v>
      </c>
      <c r="U395" s="177"/>
      <c r="V395" s="177">
        <v>44939</v>
      </c>
      <c r="W395" s="177"/>
      <c r="X395" s="177"/>
      <c r="Y395" s="177"/>
      <c r="Z395" s="177"/>
      <c r="AA395" s="177">
        <v>44935</v>
      </c>
      <c r="AB395" s="177"/>
      <c r="AC395" s="177"/>
      <c r="AD395" s="180" t="s">
        <v>1507</v>
      </c>
      <c r="AE395" s="173" t="s">
        <v>69</v>
      </c>
      <c r="AF395" s="181" t="s">
        <v>142</v>
      </c>
      <c r="AG395" s="192" t="s">
        <v>1508</v>
      </c>
      <c r="AH395" s="198"/>
      <c r="AI395" s="181">
        <v>44849</v>
      </c>
      <c r="AJ395" s="181"/>
      <c r="AK395" s="181">
        <f ca="1">TODAY()</f>
        <v>44958</v>
      </c>
      <c r="AL395" s="173">
        <f ca="1">IF(AI395&lt;&gt;0,AK395-AI395,0)</f>
        <v>109</v>
      </c>
      <c r="AM395" s="173" t="str">
        <f>IF(ISNUMBER(X395)=TRUE,AK395-X395,IF(X395="","",(AK395)-(MID(RIGHT(X395,10),4,2)&amp;"/"&amp;LEFT((RIGHT(X395,10)),2)&amp;"/"&amp;RIGHT(X395,4))))</f>
        <v/>
      </c>
      <c r="AN395" s="181"/>
      <c r="AO395" s="190" t="s">
        <v>1578</v>
      </c>
      <c r="AP395" s="176">
        <v>20.625</v>
      </c>
      <c r="AQ395" s="176">
        <v>20.684999999999999</v>
      </c>
      <c r="AR395" s="176">
        <v>20.71</v>
      </c>
      <c r="AS395" s="176">
        <v>20.715</v>
      </c>
      <c r="AT395" s="173" t="str">
        <f>IF(ISNUMBER(U395)=TRUE,AK395-U395,IF(U395="","",(AK395)-(MID(RIGHT(U395,10),4,2)&amp;"/"&amp;LEFT((RIGHT(U395,10)),2)&amp;"/"&amp;RIGHT(U395,4))))</f>
        <v/>
      </c>
      <c r="AU395" s="173">
        <v>456</v>
      </c>
      <c r="AW395" s="142" t="s">
        <v>123</v>
      </c>
    </row>
    <row r="396" spans="1:66" s="142" customFormat="1" ht="21" customHeight="1" x14ac:dyDescent="0.25">
      <c r="B396" s="173" t="str">
        <f>IF(C396="HOLD RM","HOLD RM",IF(C396="BAL","WIP",IF(C396="HOLD SLT","HOLD SLT",IF(C396="MILL","RM",IF(C396="RE SLT","WIP",IF(C396="RM","RM",IF(C396="RM BAL","RM",IF(C396="RM SLT","RM",IF(C396="RR","WIP",IF(C396="SKP","WIP",IF(C396="SLT","WIP",IF(C396="CTL","WIP",IF(C396="RM SLT RUST","RM SLT RUST",0)))))))))))))&amp;"-"&amp;G396&amp;"/"&amp;IF(H396="2B","2B",IF(H396="NO.1","1D",IF(H396="FH","FH",0)))&amp;"-"&amp;IF(J396="",(TEXT(I396,"0.00")),TEXT(J396,"0.00"))&amp;"X"&amp;M396</f>
        <v>HOLD SLT-304L/2B-1.15X765</v>
      </c>
      <c r="C396" s="173" t="s">
        <v>68</v>
      </c>
      <c r="D396" s="173" t="s">
        <v>68</v>
      </c>
      <c r="E396" s="190" t="s">
        <v>1579</v>
      </c>
      <c r="F396" s="190" t="s">
        <v>1580</v>
      </c>
      <c r="G396" s="173" t="s">
        <v>182</v>
      </c>
      <c r="H396" s="173" t="s">
        <v>114</v>
      </c>
      <c r="I396" s="174">
        <v>3.4</v>
      </c>
      <c r="J396" s="174">
        <v>1.1499999999999999</v>
      </c>
      <c r="K396" s="174">
        <v>1.1399999999999999</v>
      </c>
      <c r="L396" s="174">
        <v>1.1499999999999999</v>
      </c>
      <c r="M396" s="191">
        <v>765</v>
      </c>
      <c r="N396" s="176">
        <v>10.265000000000001</v>
      </c>
      <c r="O396" s="176" t="s">
        <v>114</v>
      </c>
      <c r="P396" s="177"/>
      <c r="Q396" s="178" t="s">
        <v>1210</v>
      </c>
      <c r="R396" s="179"/>
      <c r="S396" s="179"/>
      <c r="T396" s="177">
        <v>44932</v>
      </c>
      <c r="U396" s="177"/>
      <c r="V396" s="177">
        <v>44933</v>
      </c>
      <c r="W396" s="177"/>
      <c r="X396" s="177"/>
      <c r="Y396" s="177">
        <v>44948</v>
      </c>
      <c r="Z396" s="177">
        <v>44950</v>
      </c>
      <c r="AA396" s="177">
        <v>44930</v>
      </c>
      <c r="AB396" s="177"/>
      <c r="AC396" s="177"/>
      <c r="AD396" s="180" t="s">
        <v>1345</v>
      </c>
      <c r="AE396" s="173" t="s">
        <v>69</v>
      </c>
      <c r="AF396" s="181" t="s">
        <v>142</v>
      </c>
      <c r="AG396" s="192" t="s">
        <v>1508</v>
      </c>
      <c r="AH396" s="198"/>
      <c r="AI396" s="181">
        <v>44849</v>
      </c>
      <c r="AJ396" s="181"/>
      <c r="AK396" s="181">
        <f ca="1">TODAY()</f>
        <v>44958</v>
      </c>
      <c r="AL396" s="173">
        <f ca="1">IF(AI396&lt;&gt;0,AK396-AI396,0)</f>
        <v>109</v>
      </c>
      <c r="AM396" s="173" t="str">
        <f>IF(ISNUMBER(X396)=TRUE,AK396-X396,IF(X396="","",(AK396)-(MID(RIGHT(X396,10),4,2)&amp;"/"&amp;LEFT((RIGHT(X396,10)),2)&amp;"/"&amp;RIGHT(X396,4))))</f>
        <v/>
      </c>
      <c r="AN396" s="181"/>
      <c r="AO396" s="190" t="s">
        <v>1581</v>
      </c>
      <c r="AP396" s="176">
        <v>20.74</v>
      </c>
      <c r="AQ396" s="176">
        <v>20.8</v>
      </c>
      <c r="AR396" s="176">
        <v>20.825000000000003</v>
      </c>
      <c r="AS396" s="176">
        <v>20.830000000000002</v>
      </c>
      <c r="AT396" s="173" t="str">
        <f>IF(ISNUMBER(U396)=TRUE,AK396-U396,IF(U396="","",(AK396)-(MID(RIGHT(U396,10),4,2)&amp;"/"&amp;LEFT((RIGHT(U396,10)),2)&amp;"/"&amp;RIGHT(U396,4))))</f>
        <v/>
      </c>
      <c r="AU396" s="173">
        <v>456</v>
      </c>
      <c r="AW396" s="142" t="s">
        <v>123</v>
      </c>
    </row>
    <row r="397" spans="1:66" s="200" customFormat="1" ht="18.75" customHeight="1" x14ac:dyDescent="0.25">
      <c r="A397" s="199"/>
      <c r="B397" s="173" t="str">
        <f>IF(C397="HOLD RM","HOLD RM",IF(C397="BAL","WIP",IF(C397="HOLD SLT","HOLD SLT",IF(C397="MILL","RM",IF(C397="RE SLT","WIP",IF(C397="RM","RM",IF(C397="RM BAL","RM",IF(C397="RM SLT","RM",IF(C397="RR","WIP",IF(C397="SKP","WIP",IF(C397="SLT","WIP",IF(C397="CTL","WIP",IF(C397="RM SLT RUST","RM SLT RUST",0)))))))))))))&amp;"-"&amp;G397&amp;"/"&amp;IF(H397="2B","2B",IF(H397="NO.1","1D",IF(H397="FH","FH",0)))&amp;"-"&amp;IF(J397="",(TEXT(I397,"0.00")),TEXT(J397,"0.00"))&amp;"X"&amp;M397</f>
        <v>WIP-304/2B-1.20X767</v>
      </c>
      <c r="C397" s="173" t="s">
        <v>775</v>
      </c>
      <c r="D397" s="200" t="s">
        <v>776</v>
      </c>
      <c r="E397" s="201" t="s">
        <v>1582</v>
      </c>
      <c r="F397" s="201" t="s">
        <v>1583</v>
      </c>
      <c r="G397" s="201">
        <v>304</v>
      </c>
      <c r="H397" s="202" t="s">
        <v>114</v>
      </c>
      <c r="I397" s="203">
        <v>3.76</v>
      </c>
      <c r="J397" s="203">
        <v>1.2</v>
      </c>
      <c r="K397" s="203">
        <v>1.1599999999999999</v>
      </c>
      <c r="L397" s="203">
        <v>1.18</v>
      </c>
      <c r="M397" s="204">
        <v>767</v>
      </c>
      <c r="N397" s="176">
        <v>4.5049999999999999</v>
      </c>
      <c r="O397" s="185" t="s">
        <v>114</v>
      </c>
      <c r="P397" s="205"/>
      <c r="Q397" s="206" t="s">
        <v>314</v>
      </c>
      <c r="R397" s="206"/>
      <c r="T397" s="205">
        <v>44936</v>
      </c>
      <c r="U397" s="205"/>
      <c r="V397" s="205">
        <v>44937</v>
      </c>
      <c r="W397" s="205"/>
      <c r="X397" s="205"/>
      <c r="Y397" s="205"/>
      <c r="Z397" s="205">
        <v>44954</v>
      </c>
      <c r="AA397" s="205"/>
      <c r="AB397" s="205"/>
      <c r="AC397" s="205"/>
      <c r="AD397" s="207" t="s">
        <v>1507</v>
      </c>
      <c r="AE397" s="208" t="s">
        <v>69</v>
      </c>
      <c r="AF397" s="208" t="s">
        <v>142</v>
      </c>
      <c r="AG397" s="209" t="s">
        <v>1584</v>
      </c>
      <c r="AH397" s="209"/>
      <c r="AI397" s="209">
        <v>44914</v>
      </c>
      <c r="AJ397" s="209"/>
      <c r="AK397" s="199">
        <f ca="1">TODAY()</f>
        <v>44958</v>
      </c>
      <c r="AL397" s="208">
        <f ca="1">IF(AI397&lt;&gt;0,AK397-AI397,0)</f>
        <v>44</v>
      </c>
      <c r="AM397" s="208" t="str">
        <f>IF(ISNUMBER(X397)=TRUE,AK397-X397,IF(X397="","",(AK397)-(MID(RIGHT(X397,10),4,2)&amp;"/"&amp;LEFT((RIGHT(X397,10)),2)&amp;"/"&amp;RIGHT(X397,4))))</f>
        <v/>
      </c>
      <c r="AN397" s="209"/>
      <c r="AO397" s="209" t="s">
        <v>1585</v>
      </c>
      <c r="AP397" s="210">
        <v>10.305</v>
      </c>
      <c r="AQ397" s="210">
        <v>10.315</v>
      </c>
      <c r="AR397" s="210">
        <v>10.339999999999998</v>
      </c>
      <c r="AS397" s="210">
        <v>10.344999999999999</v>
      </c>
      <c r="AT397" s="200" t="str">
        <f>IF(ISNUMBER(U397)=TRUE,AK397-U397,IF(U397="","",(AK397)-(MID(RIGHT(U397,10),4,2)&amp;"/"&amp;LEFT((RIGHT(U397,10)),2)&amp;"/"&amp;RIGHT(U397,4))))</f>
        <v/>
      </c>
      <c r="AU397" s="200">
        <v>462</v>
      </c>
      <c r="AW397" s="200" t="s">
        <v>123</v>
      </c>
      <c r="BN397" s="211"/>
    </row>
    <row r="398" spans="1:66" s="142" customFormat="1" ht="21" customHeight="1" x14ac:dyDescent="0.25">
      <c r="B398" s="173" t="str">
        <f>IF(C398="HOLD RM","HOLD RM",IF(C398="BAL","WIP",IF(C398="HOLD SLT","HOLD SLT",IF(C398="MILL","RM",IF(C398="RE SLT","WIP",IF(C398="RM","RM",IF(C398="RM BAL","RM",IF(C398="RM SLT","RM",IF(C398="RR","WIP",IF(C398="SKP","WIP",IF(C398="SLT","WIP",IF(C398="CTL","WIP",IF(C398="RM SLT RUST","RM SLT RUST",0)))))))))))))&amp;"-"&amp;G398&amp;"/"&amp;IF(H398="2B","2B",IF(H398="NO.1","1D",IF(H398="FH","FH",0)))&amp;"-"&amp;IF(J398="",(TEXT(I398,"0.00")),TEXT(J398,"0.00"))&amp;"X"&amp;M398</f>
        <v>WIP-304L/2B-1.20X766</v>
      </c>
      <c r="C398" s="173" t="s">
        <v>775</v>
      </c>
      <c r="D398" s="173" t="s">
        <v>776</v>
      </c>
      <c r="E398" s="190" t="s">
        <v>1586</v>
      </c>
      <c r="F398" s="190" t="s">
        <v>1587</v>
      </c>
      <c r="G398" s="173" t="s">
        <v>182</v>
      </c>
      <c r="H398" s="173" t="s">
        <v>114</v>
      </c>
      <c r="I398" s="174">
        <v>3.57</v>
      </c>
      <c r="J398" s="174">
        <v>1.2</v>
      </c>
      <c r="K398" s="174"/>
      <c r="L398" s="174"/>
      <c r="M398" s="191">
        <v>766</v>
      </c>
      <c r="N398" s="176">
        <v>5.3550000000000004</v>
      </c>
      <c r="O398" s="176" t="s">
        <v>114</v>
      </c>
      <c r="P398" s="177"/>
      <c r="Q398" s="206" t="s">
        <v>314</v>
      </c>
      <c r="R398" s="178" t="s">
        <v>1540</v>
      </c>
      <c r="S398" s="179"/>
      <c r="T398" s="177">
        <v>44930</v>
      </c>
      <c r="U398" s="177"/>
      <c r="V398" s="177">
        <v>44930</v>
      </c>
      <c r="W398" s="177"/>
      <c r="X398" s="177"/>
      <c r="Y398" s="177">
        <v>44946</v>
      </c>
      <c r="Z398" s="177">
        <v>44954</v>
      </c>
      <c r="AA398" s="177">
        <v>44929</v>
      </c>
      <c r="AB398" s="177"/>
      <c r="AC398" s="177"/>
      <c r="AD398" s="180" t="s">
        <v>1345</v>
      </c>
      <c r="AE398" s="173" t="s">
        <v>69</v>
      </c>
      <c r="AF398" s="181" t="s">
        <v>142</v>
      </c>
      <c r="AG398" s="192" t="s">
        <v>1508</v>
      </c>
      <c r="AH398" s="198"/>
      <c r="AI398" s="181">
        <v>44849</v>
      </c>
      <c r="AJ398" s="181"/>
      <c r="AK398" s="181">
        <f ca="1">TODAY()</f>
        <v>44958</v>
      </c>
      <c r="AL398" s="173">
        <f ca="1">IF(AI398&lt;&gt;0,AK398-AI398,0)</f>
        <v>109</v>
      </c>
      <c r="AM398" s="173" t="str">
        <f>IF(ISNUMBER(X398)=TRUE,AK398-X398,IF(X398="","",(AK398)-(MID(RIGHT(X398,10),4,2)&amp;"/"&amp;LEFT((RIGHT(X398,10)),2)&amp;"/"&amp;RIGHT(X398,4))))</f>
        <v/>
      </c>
      <c r="AN398" s="181"/>
      <c r="AO398" s="190" t="s">
        <v>1588</v>
      </c>
      <c r="AP398" s="176">
        <v>20.92</v>
      </c>
      <c r="AQ398" s="176">
        <v>20.98</v>
      </c>
      <c r="AR398" s="176">
        <v>21.005000000000003</v>
      </c>
      <c r="AS398" s="176">
        <v>21.01</v>
      </c>
      <c r="AT398" s="173" t="str">
        <f>IF(ISNUMBER(U398)=TRUE,AK398-U398,IF(U398="","",(AK398)-(MID(RIGHT(U398,10),4,2)&amp;"/"&amp;LEFT((RIGHT(U398,10)),2)&amp;"/"&amp;RIGHT(U398,4))))</f>
        <v/>
      </c>
      <c r="AU398" s="173">
        <v>456</v>
      </c>
      <c r="AW398" s="142" t="s">
        <v>123</v>
      </c>
    </row>
    <row r="399" spans="1:66" s="142" customFormat="1" ht="21" customHeight="1" x14ac:dyDescent="0.25">
      <c r="B399" s="173" t="str">
        <f>IF(C399="HOLD RM","HOLD RM",IF(C399="BAL","WIP",IF(C399="HOLD SLT","HOLD SLT",IF(C399="MILL","RM",IF(C399="RE SLT","WIP",IF(C399="RM","RM",IF(C399="RM BAL","RM",IF(C399="RM SLT","RM",IF(C399="RR","WIP",IF(C399="SKP","WIP",IF(C399="SLT","WIP",IF(C399="CTL","WIP",IF(C399="RM SLT RUST","RM SLT RUST",0)))))))))))))&amp;"-"&amp;G399&amp;"/"&amp;IF(H399="2B","2B",IF(H399="NO.1","1D",IF(H399="FH","FH",0)))&amp;"-"&amp;IF(J399="",(TEXT(I399,"0.00")),TEXT(J399,"0.00"))&amp;"X"&amp;M399</f>
        <v>HOLD SLT-304L/2B-1.20X766</v>
      </c>
      <c r="C399" s="173" t="s">
        <v>68</v>
      </c>
      <c r="D399" s="173" t="s">
        <v>68</v>
      </c>
      <c r="E399" s="190" t="s">
        <v>1586</v>
      </c>
      <c r="F399" s="190" t="s">
        <v>1589</v>
      </c>
      <c r="G399" s="173" t="s">
        <v>182</v>
      </c>
      <c r="H399" s="173" t="s">
        <v>114</v>
      </c>
      <c r="I399" s="174">
        <v>3.57</v>
      </c>
      <c r="J399" s="174">
        <v>1.2</v>
      </c>
      <c r="K399" s="174"/>
      <c r="L399" s="174"/>
      <c r="M399" s="191">
        <v>766</v>
      </c>
      <c r="N399" s="176">
        <v>5.0449999999999999</v>
      </c>
      <c r="O399" s="176" t="s">
        <v>114</v>
      </c>
      <c r="P399" s="177"/>
      <c r="Q399" s="178" t="s">
        <v>1540</v>
      </c>
      <c r="R399" s="179"/>
      <c r="S399" s="179"/>
      <c r="T399" s="177">
        <v>44930</v>
      </c>
      <c r="U399" s="177"/>
      <c r="V399" s="177">
        <v>44930</v>
      </c>
      <c r="W399" s="177"/>
      <c r="X399" s="177"/>
      <c r="Y399" s="177">
        <v>44946</v>
      </c>
      <c r="Z399" s="177">
        <v>44954</v>
      </c>
      <c r="AA399" s="177">
        <v>44929</v>
      </c>
      <c r="AB399" s="177"/>
      <c r="AC399" s="177"/>
      <c r="AD399" s="180" t="s">
        <v>1345</v>
      </c>
      <c r="AE399" s="173" t="s">
        <v>69</v>
      </c>
      <c r="AF399" s="181" t="s">
        <v>142</v>
      </c>
      <c r="AG399" s="192" t="s">
        <v>1508</v>
      </c>
      <c r="AH399" s="198"/>
      <c r="AI399" s="181">
        <v>44849</v>
      </c>
      <c r="AJ399" s="181"/>
      <c r="AK399" s="181">
        <f ca="1">TODAY()</f>
        <v>44958</v>
      </c>
      <c r="AL399" s="173">
        <f ca="1">IF(AI399&lt;&gt;0,AK399-AI399,0)</f>
        <v>109</v>
      </c>
      <c r="AM399" s="173" t="str">
        <f>IF(ISNUMBER(X399)=TRUE,AK399-X399,IF(X399="","",(AK399)-(MID(RIGHT(X399,10),4,2)&amp;"/"&amp;LEFT((RIGHT(X399,10)),2)&amp;"/"&amp;RIGHT(X399,4))))</f>
        <v/>
      </c>
      <c r="AN399" s="181"/>
      <c r="AO399" s="190" t="s">
        <v>1588</v>
      </c>
      <c r="AP399" s="176">
        <v>20.92</v>
      </c>
      <c r="AQ399" s="176">
        <v>20.98</v>
      </c>
      <c r="AR399" s="176">
        <v>21.005000000000003</v>
      </c>
      <c r="AS399" s="176">
        <v>21.01</v>
      </c>
      <c r="AT399" s="173" t="str">
        <f>IF(ISNUMBER(U399)=TRUE,AK399-U399,IF(U399="","",(AK399)-(MID(RIGHT(U399,10),4,2)&amp;"/"&amp;LEFT((RIGHT(U399,10)),2)&amp;"/"&amp;RIGHT(U399,4))))</f>
        <v/>
      </c>
      <c r="AU399" s="173">
        <v>456</v>
      </c>
      <c r="AW399" s="142" t="s">
        <v>123</v>
      </c>
    </row>
    <row r="400" spans="1:66" s="142" customFormat="1" ht="21" customHeight="1" x14ac:dyDescent="0.25">
      <c r="B400" s="173" t="str">
        <f>IF(C400="HOLD RM","HOLD RM",IF(C400="BAL","WIP",IF(C400="HOLD SLT","HOLD SLT",IF(C400="MILL","RM",IF(C400="RE SLT","WIP",IF(C400="RM","RM",IF(C400="RM BAL","RM",IF(C400="RM SLT","RM",IF(C400="RR","WIP",IF(C400="SKP","WIP",IF(C400="SLT","WIP",IF(C400="CTL","WIP",IF(C400="RM SLT RUST","RM SLT RUST",0)))))))))))))&amp;"-"&amp;G400&amp;"/"&amp;IF(H400="2B","2B",IF(H400="NO.1","1D",IF(H400="FH","FH",0)))&amp;"-"&amp;IF(J400="",(TEXT(I400,"0.00")),TEXT(J400,"0.00"))&amp;"X"&amp;M400</f>
        <v>WIP-304/FH-1.45X642</v>
      </c>
      <c r="C400" s="173" t="s">
        <v>16</v>
      </c>
      <c r="D400" s="173" t="s">
        <v>16</v>
      </c>
      <c r="E400" s="190" t="s">
        <v>1590</v>
      </c>
      <c r="F400" s="190" t="s">
        <v>1591</v>
      </c>
      <c r="G400" s="173">
        <v>304</v>
      </c>
      <c r="H400" s="173" t="s">
        <v>70</v>
      </c>
      <c r="I400" s="174">
        <v>3.79</v>
      </c>
      <c r="J400" s="174">
        <v>1.45</v>
      </c>
      <c r="K400" s="174"/>
      <c r="L400" s="174"/>
      <c r="M400" s="191">
        <v>642</v>
      </c>
      <c r="N400" s="176">
        <v>10.545</v>
      </c>
      <c r="O400" s="176" t="s">
        <v>114</v>
      </c>
      <c r="P400" s="177"/>
      <c r="Q400" s="178" t="s">
        <v>1592</v>
      </c>
      <c r="R400" s="179"/>
      <c r="S400" s="179"/>
      <c r="T400" s="177"/>
      <c r="U400" s="177">
        <v>44957</v>
      </c>
      <c r="V400" s="177"/>
      <c r="W400" s="177">
        <v>44957</v>
      </c>
      <c r="X400" s="177"/>
      <c r="Y400" s="177"/>
      <c r="Z400" s="177"/>
      <c r="AA400" s="177"/>
      <c r="AB400" s="177"/>
      <c r="AC400" s="177"/>
      <c r="AD400" s="180" t="s">
        <v>1593</v>
      </c>
      <c r="AE400" s="173" t="s">
        <v>69</v>
      </c>
      <c r="AF400" s="181" t="s">
        <v>142</v>
      </c>
      <c r="AG400" s="192" t="s">
        <v>1594</v>
      </c>
      <c r="AH400" s="198"/>
      <c r="AI400" s="181">
        <v>44849</v>
      </c>
      <c r="AJ400" s="181"/>
      <c r="AK400" s="181">
        <f ca="1">TODAY()</f>
        <v>44958</v>
      </c>
      <c r="AL400" s="173">
        <f ca="1">IF(AI400&lt;&gt;0,AK400-AI400,0)</f>
        <v>109</v>
      </c>
      <c r="AM400" s="173" t="str">
        <f>IF(ISNUMBER(X400)=TRUE,AK400-X400,IF(X400="","",(AK400)-(MID(RIGHT(X400,10),4,2)&amp;"/"&amp;LEFT((RIGHT(X400,10)),2)&amp;"/"&amp;RIGHT(X400,4))))</f>
        <v/>
      </c>
      <c r="AN400" s="181"/>
      <c r="AO400" s="190" t="s">
        <v>1595</v>
      </c>
      <c r="AP400" s="176">
        <v>10.545</v>
      </c>
      <c r="AQ400" s="176">
        <v>10.555</v>
      </c>
      <c r="AR400" s="176">
        <v>10.579999999999998</v>
      </c>
      <c r="AS400" s="176">
        <v>10.584999999999999</v>
      </c>
      <c r="AT400" s="173">
        <f ca="1">IF(ISNUMBER(U400)=TRUE,AK400-U400,IF(U400="","",(AK400)-(MID(RIGHT(U400,10),4,2)&amp;"/"&amp;LEFT((RIGHT(U400,10)),2)&amp;"/"&amp;RIGHT(U400,4))))</f>
        <v>1</v>
      </c>
      <c r="AU400" s="173">
        <v>456</v>
      </c>
      <c r="AW400" s="142" t="s">
        <v>123</v>
      </c>
    </row>
    <row r="401" spans="2:49" s="142" customFormat="1" ht="21" customHeight="1" x14ac:dyDescent="0.25">
      <c r="B401" s="173" t="str">
        <f>IF(C401="HOLD RM","HOLD RM",IF(C401="BAL","WIP",IF(C401="HOLD SLT","HOLD SLT",IF(C401="MILL","RM",IF(C401="RE SLT","WIP",IF(C401="RM","RM",IF(C401="RM BAL","RM",IF(C401="RM SLT","RM",IF(C401="RR","WIP",IF(C401="SKP","WIP",IF(C401="SLT","WIP",IF(C401="CTL","WIP",IF(C401="RM SLT RUST","RM SLT RUST",0)))))))))))))&amp;"-"&amp;G401&amp;"/"&amp;IF(H401="2B","2B",IF(H401="NO.1","1D",IF(H401="FH","FH",0)))&amp;"-"&amp;IF(J401="",(TEXT(I401,"0.00")),TEXT(J401,"0.00"))&amp;"X"&amp;M401</f>
        <v>RM-304/1D-3.79X643</v>
      </c>
      <c r="C401" s="173" t="s">
        <v>13</v>
      </c>
      <c r="D401" s="173" t="s">
        <v>13</v>
      </c>
      <c r="E401" s="190" t="s">
        <v>1596</v>
      </c>
      <c r="F401" s="190" t="s">
        <v>1597</v>
      </c>
      <c r="G401" s="173">
        <v>304</v>
      </c>
      <c r="H401" s="173" t="s">
        <v>127</v>
      </c>
      <c r="I401" s="174">
        <v>3.79</v>
      </c>
      <c r="J401" s="174"/>
      <c r="K401" s="174"/>
      <c r="L401" s="174"/>
      <c r="M401" s="191">
        <v>643</v>
      </c>
      <c r="N401" s="176">
        <v>10.565</v>
      </c>
      <c r="O401" s="176"/>
      <c r="P401" s="177"/>
      <c r="Q401" s="178"/>
      <c r="R401" s="179"/>
      <c r="S401" s="179"/>
      <c r="T401" s="177"/>
      <c r="U401" s="177">
        <v>44957</v>
      </c>
      <c r="V401" s="177"/>
      <c r="W401" s="177"/>
      <c r="X401" s="177"/>
      <c r="Y401" s="177"/>
      <c r="Z401" s="177"/>
      <c r="AA401" s="177"/>
      <c r="AB401" s="177"/>
      <c r="AC401" s="177"/>
      <c r="AD401" s="180" t="s">
        <v>1593</v>
      </c>
      <c r="AE401" s="173" t="s">
        <v>69</v>
      </c>
      <c r="AF401" s="181" t="s">
        <v>142</v>
      </c>
      <c r="AG401" s="192" t="s">
        <v>1594</v>
      </c>
      <c r="AH401" s="198"/>
      <c r="AI401" s="181">
        <v>44849</v>
      </c>
      <c r="AJ401" s="181"/>
      <c r="AK401" s="181">
        <f ca="1">TODAY()</f>
        <v>44958</v>
      </c>
      <c r="AL401" s="173">
        <f ca="1">IF(AI401&lt;&gt;0,AK401-AI401,0)</f>
        <v>109</v>
      </c>
      <c r="AM401" s="173" t="str">
        <f>IF(ISNUMBER(X401)=TRUE,AK401-X401,IF(X401="","",(AK401)-(MID(RIGHT(X401,10),4,2)&amp;"/"&amp;LEFT((RIGHT(X401,10)),2)&amp;"/"&amp;RIGHT(X401,4))))</f>
        <v/>
      </c>
      <c r="AN401" s="181"/>
      <c r="AO401" s="190" t="s">
        <v>1595</v>
      </c>
      <c r="AP401" s="176">
        <v>10.565</v>
      </c>
      <c r="AQ401" s="176">
        <v>10.574999999999999</v>
      </c>
      <c r="AR401" s="176">
        <v>10.599999999999998</v>
      </c>
      <c r="AS401" s="176">
        <v>10.604999999999999</v>
      </c>
      <c r="AT401" s="173">
        <f ca="1">IF(ISNUMBER(U401)=TRUE,AK401-U401,IF(U401="","",(AK401)-(MID(RIGHT(U401,10),4,2)&amp;"/"&amp;LEFT((RIGHT(U401,10)),2)&amp;"/"&amp;RIGHT(U401,4))))</f>
        <v>1</v>
      </c>
      <c r="AU401" s="173">
        <v>456</v>
      </c>
      <c r="AW401" s="142" t="s">
        <v>123</v>
      </c>
    </row>
    <row r="402" spans="2:49" s="142" customFormat="1" ht="21" customHeight="1" x14ac:dyDescent="0.25">
      <c r="B402" s="173" t="str">
        <f>IF(C402="HOLD RM","HOLD RM",IF(C402="BAL","WIP",IF(C402="HOLD SLT","HOLD SLT",IF(C402="MILL","RM",IF(C402="RE SLT","WIP",IF(C402="RM","RM",IF(C402="RM BAL","RM",IF(C402="RM SLT","RM",IF(C402="RR","WIP",IF(C402="SKP","WIP",IF(C402="SLT","WIP",IF(C402="CTL","WIP",IF(C402="RM SLT RUST","RM SLT RUST",0)))))))))))))&amp;"-"&amp;G402&amp;"/"&amp;IF(H402="2B","2B",IF(H402="NO.1","1D",IF(H402="FH","FH",0)))&amp;"-"&amp;IF(J402="",(TEXT(I402,"0.00")),TEXT(J402,"0.00"))&amp;"X"&amp;M402</f>
        <v>RM-304/1D-3.74X642</v>
      </c>
      <c r="C402" s="173" t="s">
        <v>48</v>
      </c>
      <c r="D402" s="173" t="s">
        <v>48</v>
      </c>
      <c r="E402" s="190" t="s">
        <v>1598</v>
      </c>
      <c r="F402" s="190" t="s">
        <v>1599</v>
      </c>
      <c r="G402" s="173">
        <v>304</v>
      </c>
      <c r="H402" s="173" t="s">
        <v>127</v>
      </c>
      <c r="I402" s="174">
        <v>3.74</v>
      </c>
      <c r="J402" s="174"/>
      <c r="K402" s="174"/>
      <c r="L402" s="174"/>
      <c r="M402" s="191">
        <v>642</v>
      </c>
      <c r="N402" s="176">
        <v>10.48</v>
      </c>
      <c r="O402" s="176"/>
      <c r="P402" s="177"/>
      <c r="Q402" s="178"/>
      <c r="R402" s="179"/>
      <c r="S402" s="179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80" t="s">
        <v>1593</v>
      </c>
      <c r="AE402" s="173" t="s">
        <v>69</v>
      </c>
      <c r="AF402" s="181" t="s">
        <v>142</v>
      </c>
      <c r="AG402" s="192" t="s">
        <v>1594</v>
      </c>
      <c r="AH402" s="198"/>
      <c r="AI402" s="181">
        <v>44849</v>
      </c>
      <c r="AJ402" s="181"/>
      <c r="AK402" s="181">
        <f ca="1">TODAY()</f>
        <v>44958</v>
      </c>
      <c r="AL402" s="173">
        <f ca="1">IF(AI402&lt;&gt;0,AK402-AI402,0)</f>
        <v>109</v>
      </c>
      <c r="AM402" s="173" t="str">
        <f>IF(ISNUMBER(X402)=TRUE,AK402-X402,IF(X402="","",(AK402)-(MID(RIGHT(X402,10),4,2)&amp;"/"&amp;LEFT((RIGHT(X402,10)),2)&amp;"/"&amp;RIGHT(X402,4))))</f>
        <v/>
      </c>
      <c r="AN402" s="181"/>
      <c r="AO402" s="190" t="s">
        <v>1600</v>
      </c>
      <c r="AP402" s="176">
        <v>10.48</v>
      </c>
      <c r="AQ402" s="176">
        <v>10.49</v>
      </c>
      <c r="AR402" s="176">
        <v>10.514999999999999</v>
      </c>
      <c r="AS402" s="176">
        <v>10.52</v>
      </c>
      <c r="AT402" s="173" t="str">
        <f>IF(ISNUMBER(U402)=TRUE,AK402-U402,IF(U402="","",(AK402)-(MID(RIGHT(U402,10),4,2)&amp;"/"&amp;LEFT((RIGHT(U402,10)),2)&amp;"/"&amp;RIGHT(U402,4))))</f>
        <v/>
      </c>
      <c r="AU402" s="173">
        <v>456</v>
      </c>
      <c r="AW402" s="142" t="s">
        <v>123</v>
      </c>
    </row>
    <row r="403" spans="2:49" s="142" customFormat="1" ht="21" customHeight="1" x14ac:dyDescent="0.25">
      <c r="B403" s="173" t="str">
        <f>IF(C403="HOLD RM","HOLD RM",IF(C403="BAL","WIP",IF(C403="HOLD SLT","HOLD SLT",IF(C403="MILL","RM",IF(C403="RE SLT","WIP",IF(C403="RM","RM",IF(C403="RM BAL","RM",IF(C403="RM SLT","RM",IF(C403="RR","WIP",IF(C403="SKP","WIP",IF(C403="SLT","WIP",IF(C403="CTL","WIP",IF(C403="RM SLT RUST","RM SLT RUST",0)))))))))))))&amp;"-"&amp;G403&amp;"/"&amp;IF(H403="2B","2B",IF(H403="NO.1","1D",IF(H403="FH","FH",0)))&amp;"-"&amp;IF(J403="",(TEXT(I403,"0.00")),TEXT(J403,"0.00"))&amp;"X"&amp;M403</f>
        <v>RM-304/1D-3.74X642</v>
      </c>
      <c r="C403" s="173" t="s">
        <v>48</v>
      </c>
      <c r="D403" s="173" t="s">
        <v>48</v>
      </c>
      <c r="E403" s="190" t="s">
        <v>1601</v>
      </c>
      <c r="F403" s="190" t="s">
        <v>1602</v>
      </c>
      <c r="G403" s="173">
        <v>304</v>
      </c>
      <c r="H403" s="173" t="s">
        <v>127</v>
      </c>
      <c r="I403" s="174">
        <v>3.74</v>
      </c>
      <c r="J403" s="174"/>
      <c r="K403" s="174"/>
      <c r="L403" s="174"/>
      <c r="M403" s="191">
        <v>642</v>
      </c>
      <c r="N403" s="176">
        <v>10.52</v>
      </c>
      <c r="O403" s="176"/>
      <c r="P403" s="177"/>
      <c r="Q403" s="178"/>
      <c r="R403" s="179"/>
      <c r="S403" s="179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80" t="s">
        <v>1593</v>
      </c>
      <c r="AE403" s="173" t="s">
        <v>69</v>
      </c>
      <c r="AF403" s="181" t="s">
        <v>142</v>
      </c>
      <c r="AG403" s="192" t="s">
        <v>1594</v>
      </c>
      <c r="AH403" s="198"/>
      <c r="AI403" s="181">
        <v>44849</v>
      </c>
      <c r="AJ403" s="181"/>
      <c r="AK403" s="181">
        <f ca="1">TODAY()</f>
        <v>44958</v>
      </c>
      <c r="AL403" s="173">
        <f ca="1">IF(AI403&lt;&gt;0,AK403-AI403,0)</f>
        <v>109</v>
      </c>
      <c r="AM403" s="173" t="str">
        <f>IF(ISNUMBER(X403)=TRUE,AK403-X403,IF(X403="","",(AK403)-(MID(RIGHT(X403,10),4,2)&amp;"/"&amp;LEFT((RIGHT(X403,10)),2)&amp;"/"&amp;RIGHT(X403,4))))</f>
        <v/>
      </c>
      <c r="AN403" s="181"/>
      <c r="AO403" s="190" t="s">
        <v>1600</v>
      </c>
      <c r="AP403" s="176">
        <v>10.52</v>
      </c>
      <c r="AQ403" s="176">
        <v>10.53</v>
      </c>
      <c r="AR403" s="176">
        <v>10.554999999999998</v>
      </c>
      <c r="AS403" s="176">
        <v>10.559999999999999</v>
      </c>
      <c r="AT403" s="173" t="str">
        <f>IF(ISNUMBER(U403)=TRUE,AK403-U403,IF(U403="","",(AK403)-(MID(RIGHT(U403,10),4,2)&amp;"/"&amp;LEFT((RIGHT(U403,10)),2)&amp;"/"&amp;RIGHT(U403,4))))</f>
        <v/>
      </c>
      <c r="AU403" s="173">
        <v>456</v>
      </c>
      <c r="AW403" s="142" t="s">
        <v>123</v>
      </c>
    </row>
    <row r="404" spans="2:49" s="142" customFormat="1" ht="21" customHeight="1" x14ac:dyDescent="0.25">
      <c r="B404" s="173" t="str">
        <f>IF(C404="HOLD RM","HOLD RM",IF(C404="BAL","WIP",IF(C404="HOLD SLT","HOLD SLT",IF(C404="MILL","RM",IF(C404="RE SLT","WIP",IF(C404="RM","RM",IF(C404="RM BAL","RM",IF(C404="RM SLT","RM",IF(C404="RR","WIP",IF(C404="SKP","WIP",IF(C404="SLT","WIP",IF(C404="CTL","WIP",IF(C404="RM SLT RUST","RM SLT RUST",0)))))))))))))&amp;"-"&amp;G404&amp;"/"&amp;IF(H404="2B","2B",IF(H404="NO.1","1D",IF(H404="FH","FH",0)))&amp;"-"&amp;IF(J404="",(TEXT(I404,"0.00")),TEXT(J404,"0.00"))&amp;"X"&amp;M404</f>
        <v>WIP-304L/FH-1.45X642</v>
      </c>
      <c r="C404" s="173" t="s">
        <v>16</v>
      </c>
      <c r="D404" s="173" t="s">
        <v>16</v>
      </c>
      <c r="E404" s="190" t="s">
        <v>1603</v>
      </c>
      <c r="F404" s="190" t="s">
        <v>1604</v>
      </c>
      <c r="G404" s="173" t="s">
        <v>182</v>
      </c>
      <c r="H404" s="173" t="s">
        <v>70</v>
      </c>
      <c r="I404" s="174">
        <v>3.89</v>
      </c>
      <c r="J404" s="174">
        <v>1.45</v>
      </c>
      <c r="K404" s="174"/>
      <c r="L404" s="174"/>
      <c r="M404" s="191">
        <v>642</v>
      </c>
      <c r="N404" s="176">
        <v>10.51</v>
      </c>
      <c r="O404" s="176" t="s">
        <v>114</v>
      </c>
      <c r="P404" s="177"/>
      <c r="Q404" s="178" t="s">
        <v>1210</v>
      </c>
      <c r="R404" s="179"/>
      <c r="S404" s="179"/>
      <c r="T404" s="177">
        <v>44954</v>
      </c>
      <c r="U404" s="177"/>
      <c r="V404" s="177">
        <v>44954</v>
      </c>
      <c r="W404" s="177"/>
      <c r="X404" s="177"/>
      <c r="Y404" s="177"/>
      <c r="Z404" s="177"/>
      <c r="AA404" s="177"/>
      <c r="AB404" s="177"/>
      <c r="AC404" s="177"/>
      <c r="AD404" s="180" t="s">
        <v>1605</v>
      </c>
      <c r="AE404" s="173" t="s">
        <v>69</v>
      </c>
      <c r="AF404" s="181" t="s">
        <v>142</v>
      </c>
      <c r="AG404" s="192" t="s">
        <v>1594</v>
      </c>
      <c r="AH404" s="198"/>
      <c r="AI404" s="181">
        <v>44849</v>
      </c>
      <c r="AJ404" s="181"/>
      <c r="AK404" s="181">
        <f ca="1">TODAY()</f>
        <v>44958</v>
      </c>
      <c r="AL404" s="173">
        <f ca="1">IF(AI404&lt;&gt;0,AK404-AI404,0)</f>
        <v>109</v>
      </c>
      <c r="AM404" s="173" t="str">
        <f>IF(ISNUMBER(X404)=TRUE,AK404-X404,IF(X404="","",(AK404)-(MID(RIGHT(X404,10),4,2)&amp;"/"&amp;LEFT((RIGHT(X404,10)),2)&amp;"/"&amp;RIGHT(X404,4))))</f>
        <v/>
      </c>
      <c r="AN404" s="181"/>
      <c r="AO404" s="190" t="s">
        <v>1606</v>
      </c>
      <c r="AP404" s="176">
        <v>10.505000000000001</v>
      </c>
      <c r="AQ404" s="176">
        <v>10.515000000000001</v>
      </c>
      <c r="AR404" s="176">
        <v>10.54</v>
      </c>
      <c r="AS404" s="176">
        <v>10.545</v>
      </c>
      <c r="AT404" s="173" t="str">
        <f>IF(ISNUMBER(U404)=TRUE,AK404-U404,IF(U404="","",(AK404)-(MID(RIGHT(U404,10),4,2)&amp;"/"&amp;LEFT((RIGHT(U404,10)),2)&amp;"/"&amp;RIGHT(U404,4))))</f>
        <v/>
      </c>
      <c r="AU404" s="173">
        <v>456</v>
      </c>
      <c r="AW404" s="142" t="s">
        <v>123</v>
      </c>
    </row>
    <row r="405" spans="2:49" s="142" customFormat="1" ht="21" customHeight="1" x14ac:dyDescent="0.25">
      <c r="B405" s="173" t="str">
        <f>IF(C405="HOLD RM","HOLD RM",IF(C405="BAL","WIP",IF(C405="HOLD SLT","HOLD SLT",IF(C405="MILL","RM",IF(C405="RE SLT","WIP",IF(C405="RM","RM",IF(C405="RM BAL","RM",IF(C405="RM SLT","RM",IF(C405="RR","WIP",IF(C405="SKP","WIP",IF(C405="SLT","WIP",IF(C405="CTL","WIP",IF(C405="RM SLT RUST","RM SLT RUST",0)))))))))))))&amp;"-"&amp;G405&amp;"/"&amp;IF(H405="2B","2B",IF(H405="NO.1","1D",IF(H405="FH","FH",0)))&amp;"-"&amp;IF(J405="",(TEXT(I405,"0.00")),TEXT(J405,"0.00"))&amp;"X"&amp;M405</f>
        <v>WIP-304L/2B-2.00X638</v>
      </c>
      <c r="C405" s="173" t="s">
        <v>775</v>
      </c>
      <c r="D405" s="173" t="s">
        <v>776</v>
      </c>
      <c r="E405" s="190" t="s">
        <v>1607</v>
      </c>
      <c r="F405" s="190" t="s">
        <v>1608</v>
      </c>
      <c r="G405" s="173" t="s">
        <v>182</v>
      </c>
      <c r="H405" s="173" t="s">
        <v>114</v>
      </c>
      <c r="I405" s="174">
        <v>3.9</v>
      </c>
      <c r="J405" s="174">
        <v>2</v>
      </c>
      <c r="K405" s="174">
        <v>1.97</v>
      </c>
      <c r="L405" s="174">
        <v>1.99</v>
      </c>
      <c r="M405" s="191">
        <v>638</v>
      </c>
      <c r="N405" s="176">
        <v>5.76</v>
      </c>
      <c r="O405" s="176" t="s">
        <v>114</v>
      </c>
      <c r="P405" s="177"/>
      <c r="Q405" s="178" t="s">
        <v>314</v>
      </c>
      <c r="R405" s="178" t="s">
        <v>615</v>
      </c>
      <c r="S405" s="179"/>
      <c r="T405" s="177">
        <v>44903</v>
      </c>
      <c r="U405" s="177"/>
      <c r="V405" s="177">
        <v>44903</v>
      </c>
      <c r="W405" s="177"/>
      <c r="X405" s="177">
        <v>44907</v>
      </c>
      <c r="Y405" s="177"/>
      <c r="Z405" s="177">
        <v>44908</v>
      </c>
      <c r="AA405" s="177"/>
      <c r="AB405" s="177"/>
      <c r="AC405" s="177"/>
      <c r="AD405" s="180" t="s">
        <v>1609</v>
      </c>
      <c r="AE405" s="173" t="s">
        <v>69</v>
      </c>
      <c r="AF405" s="181" t="s">
        <v>142</v>
      </c>
      <c r="AG405" s="192" t="s">
        <v>1594</v>
      </c>
      <c r="AH405" s="198"/>
      <c r="AI405" s="181">
        <v>44849</v>
      </c>
      <c r="AJ405" s="181"/>
      <c r="AK405" s="181">
        <f ca="1">TODAY()</f>
        <v>44958</v>
      </c>
      <c r="AL405" s="173">
        <f ca="1">IF(AI405&lt;&gt;0,AK405-AI405,0)</f>
        <v>109</v>
      </c>
      <c r="AM405" s="173">
        <f ca="1">IF(ISNUMBER(X405)=TRUE,AK405-X405,IF(X405="","",(AK405)-(MID(RIGHT(X405,10),4,2)&amp;"/"&amp;LEFT((RIGHT(X405,10)),2)&amp;"/"&amp;RIGHT(X405,4))))</f>
        <v>51</v>
      </c>
      <c r="AN405" s="181"/>
      <c r="AO405" s="190" t="s">
        <v>1606</v>
      </c>
      <c r="AP405" s="176">
        <v>10.455</v>
      </c>
      <c r="AQ405" s="176">
        <v>10.465</v>
      </c>
      <c r="AR405" s="176">
        <v>10.489999999999998</v>
      </c>
      <c r="AS405" s="176">
        <v>10.494999999999999</v>
      </c>
      <c r="AT405" s="173" t="str">
        <f>IF(ISNUMBER(U405)=TRUE,AK405-U405,IF(U405="","",(AK405)-(MID(RIGHT(U405,10),4,2)&amp;"/"&amp;LEFT((RIGHT(U405,10)),2)&amp;"/"&amp;RIGHT(U405,4))))</f>
        <v/>
      </c>
      <c r="AU405" s="173">
        <v>456</v>
      </c>
      <c r="AW405" s="142" t="s">
        <v>123</v>
      </c>
    </row>
    <row r="406" spans="2:49" s="142" customFormat="1" ht="21" customHeight="1" x14ac:dyDescent="0.25">
      <c r="B406" s="173" t="str">
        <f>IF(C406="HOLD RM","HOLD RM",IF(C406="BAL","WIP",IF(C406="HOLD SLT","HOLD SLT",IF(C406="MILL","RM",IF(C406="RE SLT","WIP",IF(C406="RM","RM",IF(C406="RM BAL","RM",IF(C406="RM SLT","RM",IF(C406="RR","WIP",IF(C406="SKP","WIP",IF(C406="SLT","WIP",IF(C406="CTL","WIP",IF(C406="RM SLT RUST","RM SLT RUST",0)))))))))))))&amp;"-"&amp;G406&amp;"/"&amp;IF(H406="2B","2B",IF(H406="NO.1","1D",IF(H406="FH","FH",0)))&amp;"-"&amp;IF(J406="",(TEXT(I406,"0.00")),TEXT(J406,"0.00"))&amp;"X"&amp;M406</f>
        <v>WIP-304L/FH-1.15X642</v>
      </c>
      <c r="C406" s="173" t="s">
        <v>16</v>
      </c>
      <c r="D406" s="173" t="s">
        <v>16</v>
      </c>
      <c r="E406" s="190" t="s">
        <v>1610</v>
      </c>
      <c r="F406" s="190" t="s">
        <v>1611</v>
      </c>
      <c r="G406" s="173" t="s">
        <v>182</v>
      </c>
      <c r="H406" s="173" t="s">
        <v>70</v>
      </c>
      <c r="I406" s="174">
        <v>3.89</v>
      </c>
      <c r="J406" s="174">
        <v>1.1499999999999999</v>
      </c>
      <c r="K406" s="174"/>
      <c r="L406" s="174"/>
      <c r="M406" s="191">
        <v>642</v>
      </c>
      <c r="N406" s="176">
        <v>10.395</v>
      </c>
      <c r="O406" s="176" t="s">
        <v>114</v>
      </c>
      <c r="P406" s="177"/>
      <c r="Q406" s="178" t="s">
        <v>361</v>
      </c>
      <c r="R406" s="178" t="s">
        <v>1210</v>
      </c>
      <c r="S406" s="179"/>
      <c r="T406" s="177">
        <v>44954</v>
      </c>
      <c r="U406" s="177"/>
      <c r="V406" s="177">
        <v>44955</v>
      </c>
      <c r="W406" s="177"/>
      <c r="X406" s="177"/>
      <c r="Y406" s="177"/>
      <c r="Z406" s="177"/>
      <c r="AA406" s="177"/>
      <c r="AB406" s="177"/>
      <c r="AC406" s="177"/>
      <c r="AD406" s="180" t="s">
        <v>1605</v>
      </c>
      <c r="AE406" s="173" t="s">
        <v>69</v>
      </c>
      <c r="AF406" s="181" t="s">
        <v>142</v>
      </c>
      <c r="AG406" s="192" t="s">
        <v>1594</v>
      </c>
      <c r="AH406" s="198"/>
      <c r="AI406" s="181">
        <v>44849</v>
      </c>
      <c r="AJ406" s="181"/>
      <c r="AK406" s="181">
        <f ca="1">TODAY()</f>
        <v>44958</v>
      </c>
      <c r="AL406" s="173">
        <f ca="1">IF(AI406&lt;&gt;0,AK406-AI406,0)</f>
        <v>109</v>
      </c>
      <c r="AM406" s="173" t="str">
        <f>IF(ISNUMBER(X406)=TRUE,AK406-X406,IF(X406="","",(AK406)-(MID(RIGHT(X406,10),4,2)&amp;"/"&amp;LEFT((RIGHT(X406,10)),2)&amp;"/"&amp;RIGHT(X406,4))))</f>
        <v/>
      </c>
      <c r="AN406" s="181"/>
      <c r="AO406" s="190" t="s">
        <v>1612</v>
      </c>
      <c r="AP406" s="176">
        <v>10.404999999999999</v>
      </c>
      <c r="AQ406" s="176">
        <v>10.414999999999999</v>
      </c>
      <c r="AR406" s="176">
        <v>10.439999999999998</v>
      </c>
      <c r="AS406" s="176">
        <v>10.444999999999999</v>
      </c>
      <c r="AT406" s="173" t="str">
        <f>IF(ISNUMBER(U406)=TRUE,AK406-U406,IF(U406="","",(AK406)-(MID(RIGHT(U406,10),4,2)&amp;"/"&amp;LEFT((RIGHT(U406,10)),2)&amp;"/"&amp;RIGHT(U406,4))))</f>
        <v/>
      </c>
      <c r="AU406" s="173">
        <v>456</v>
      </c>
      <c r="AW406" s="142" t="s">
        <v>123</v>
      </c>
    </row>
    <row r="407" spans="2:49" s="142" customFormat="1" ht="21" customHeight="1" x14ac:dyDescent="0.25">
      <c r="B407" s="173" t="str">
        <f>IF(C407="HOLD RM","HOLD RM",IF(C407="BAL","WIP",IF(C407="HOLD SLT","HOLD SLT",IF(C407="MILL","RM",IF(C407="RE SLT","WIP",IF(C407="RM","RM",IF(C407="RM BAL","RM",IF(C407="RM SLT","RM",IF(C407="RR","WIP",IF(C407="SKP","WIP",IF(C407="SLT","WIP",IF(C407="CTL","WIP",IF(C407="RM SLT RUST","RM SLT RUST",0)))))))))))))&amp;"-"&amp;G407&amp;"/"&amp;IF(H407="2B","2B",IF(H407="NO.1","1D",IF(H407="FH","FH",0)))&amp;"-"&amp;IF(J407="",(TEXT(I407,"0.00")),TEXT(J407,"0.00"))&amp;"X"&amp;M407</f>
        <v>WIP-304L/FH-1.15X642</v>
      </c>
      <c r="C407" s="173" t="s">
        <v>16</v>
      </c>
      <c r="D407" s="173" t="s">
        <v>16</v>
      </c>
      <c r="E407" s="190" t="s">
        <v>1613</v>
      </c>
      <c r="F407" s="190" t="s">
        <v>1614</v>
      </c>
      <c r="G407" s="173" t="s">
        <v>182</v>
      </c>
      <c r="H407" s="173" t="s">
        <v>70</v>
      </c>
      <c r="I407" s="174">
        <v>3.64</v>
      </c>
      <c r="J407" s="174">
        <v>1.1499999999999999</v>
      </c>
      <c r="K407" s="174"/>
      <c r="L407" s="174"/>
      <c r="M407" s="191">
        <v>642</v>
      </c>
      <c r="N407" s="176">
        <v>3.78</v>
      </c>
      <c r="O407" s="176" t="s">
        <v>114</v>
      </c>
      <c r="P407" s="177"/>
      <c r="Q407" s="178" t="s">
        <v>1210</v>
      </c>
      <c r="R407" s="179"/>
      <c r="S407" s="179"/>
      <c r="T407" s="177">
        <v>44953</v>
      </c>
      <c r="U407" s="177"/>
      <c r="V407" s="177">
        <v>44955</v>
      </c>
      <c r="W407" s="177"/>
      <c r="X407" s="177"/>
      <c r="Y407" s="177"/>
      <c r="Z407" s="177"/>
      <c r="AA407" s="177"/>
      <c r="AB407" s="177"/>
      <c r="AC407" s="177"/>
      <c r="AD407" s="180" t="s">
        <v>1593</v>
      </c>
      <c r="AE407" s="173" t="s">
        <v>69</v>
      </c>
      <c r="AF407" s="181" t="s">
        <v>142</v>
      </c>
      <c r="AG407" s="192" t="s">
        <v>1594</v>
      </c>
      <c r="AH407" s="198"/>
      <c r="AI407" s="181">
        <v>44849</v>
      </c>
      <c r="AJ407" s="181"/>
      <c r="AK407" s="181">
        <f ca="1">TODAY()</f>
        <v>44958</v>
      </c>
      <c r="AL407" s="173">
        <f ca="1">IF(AI407&lt;&gt;0,AK407-AI407,0)</f>
        <v>109</v>
      </c>
      <c r="AM407" s="173" t="str">
        <f>IF(ISNUMBER(X407)=TRUE,AK407-X407,IF(X407="","",(AK407)-(MID(RIGHT(X407,10),4,2)&amp;"/"&amp;LEFT((RIGHT(X407,10)),2)&amp;"/"&amp;RIGHT(X407,4))))</f>
        <v/>
      </c>
      <c r="AN407" s="181"/>
      <c r="AO407" s="190" t="s">
        <v>1615</v>
      </c>
      <c r="AP407" s="176">
        <v>10.545</v>
      </c>
      <c r="AQ407" s="176">
        <v>10.555</v>
      </c>
      <c r="AR407" s="176">
        <v>10.579999999999998</v>
      </c>
      <c r="AS407" s="176">
        <v>10.584999999999999</v>
      </c>
      <c r="AT407" s="173" t="str">
        <f>IF(ISNUMBER(U407)=TRUE,AK407-U407,IF(U407="","",(AK407)-(MID(RIGHT(U407,10),4,2)&amp;"/"&amp;LEFT((RIGHT(U407,10)),2)&amp;"/"&amp;RIGHT(U407,4))))</f>
        <v/>
      </c>
      <c r="AU407" s="173">
        <v>456</v>
      </c>
      <c r="AW407" s="142" t="s">
        <v>123</v>
      </c>
    </row>
    <row r="408" spans="2:49" s="142" customFormat="1" ht="21" customHeight="1" x14ac:dyDescent="0.25">
      <c r="B408" s="173" t="str">
        <f>IF(C408="HOLD RM","HOLD RM",IF(C408="BAL","WIP",IF(C408="HOLD SLT","HOLD SLT",IF(C408="MILL","RM",IF(C408="RE SLT","WIP",IF(C408="RM","RM",IF(C408="RM BAL","RM",IF(C408="RM SLT","RM",IF(C408="RR","WIP",IF(C408="SKP","WIP",IF(C408="SLT","WIP",IF(C408="CTL","WIP",IF(C408="RM SLT RUST","RM SLT RUST",0)))))))))))))&amp;"-"&amp;G408&amp;"/"&amp;IF(H408="2B","2B",IF(H408="NO.1","1D",IF(H408="FH","FH",0)))&amp;"-"&amp;IF(J408="",(TEXT(I408,"0.00")),TEXT(J408,"0.00"))&amp;"X"&amp;M408</f>
        <v>WIP-304L/FH-1.15X642</v>
      </c>
      <c r="C408" s="173" t="s">
        <v>16</v>
      </c>
      <c r="D408" s="173" t="s">
        <v>16</v>
      </c>
      <c r="E408" s="190" t="s">
        <v>1613</v>
      </c>
      <c r="F408" s="190" t="s">
        <v>1616</v>
      </c>
      <c r="G408" s="173" t="s">
        <v>182</v>
      </c>
      <c r="H408" s="173" t="s">
        <v>70</v>
      </c>
      <c r="I408" s="174">
        <v>3.64</v>
      </c>
      <c r="J408" s="174">
        <v>1.1499999999999999</v>
      </c>
      <c r="K408" s="174"/>
      <c r="L408" s="174"/>
      <c r="M408" s="191">
        <v>642</v>
      </c>
      <c r="N408" s="176">
        <v>6.76</v>
      </c>
      <c r="O408" s="176" t="s">
        <v>114</v>
      </c>
      <c r="P408" s="177"/>
      <c r="Q408" s="178" t="s">
        <v>1210</v>
      </c>
      <c r="R408" s="179"/>
      <c r="S408" s="179"/>
      <c r="T408" s="177">
        <v>44953</v>
      </c>
      <c r="U408" s="177"/>
      <c r="V408" s="177">
        <v>44954</v>
      </c>
      <c r="W408" s="177"/>
      <c r="X408" s="177"/>
      <c r="Y408" s="177"/>
      <c r="Z408" s="177"/>
      <c r="AA408" s="177"/>
      <c r="AB408" s="177"/>
      <c r="AC408" s="177"/>
      <c r="AD408" s="180" t="s">
        <v>1593</v>
      </c>
      <c r="AE408" s="173" t="s">
        <v>69</v>
      </c>
      <c r="AF408" s="181" t="s">
        <v>142</v>
      </c>
      <c r="AG408" s="192" t="s">
        <v>1594</v>
      </c>
      <c r="AH408" s="198"/>
      <c r="AI408" s="181">
        <v>44849</v>
      </c>
      <c r="AJ408" s="181"/>
      <c r="AK408" s="181">
        <f ca="1">TODAY()</f>
        <v>44958</v>
      </c>
      <c r="AL408" s="173">
        <f ca="1">IF(AI408&lt;&gt;0,AK408-AI408,0)</f>
        <v>109</v>
      </c>
      <c r="AM408" s="173" t="str">
        <f>IF(ISNUMBER(X408)=TRUE,AK408-X408,IF(X408="","",(AK408)-(MID(RIGHT(X408,10),4,2)&amp;"/"&amp;LEFT((RIGHT(X408,10)),2)&amp;"/"&amp;RIGHT(X408,4))))</f>
        <v/>
      </c>
      <c r="AN408" s="181"/>
      <c r="AO408" s="190" t="s">
        <v>1615</v>
      </c>
      <c r="AP408" s="176">
        <v>10.545</v>
      </c>
      <c r="AQ408" s="176">
        <v>10.555</v>
      </c>
      <c r="AR408" s="176">
        <v>10.579999999999998</v>
      </c>
      <c r="AS408" s="176">
        <v>10.584999999999999</v>
      </c>
      <c r="AT408" s="173" t="str">
        <f>IF(ISNUMBER(U408)=TRUE,AK408-U408,IF(U408="","",(AK408)-(MID(RIGHT(U408,10),4,2)&amp;"/"&amp;LEFT((RIGHT(U408,10)),2)&amp;"/"&amp;RIGHT(U408,4))))</f>
        <v/>
      </c>
      <c r="AU408" s="173">
        <v>456</v>
      </c>
      <c r="AW408" s="142" t="s">
        <v>123</v>
      </c>
    </row>
    <row r="409" spans="2:49" s="142" customFormat="1" ht="21" customHeight="1" x14ac:dyDescent="0.25">
      <c r="B409" s="173" t="str">
        <f>IF(C409="HOLD RM","HOLD RM",IF(C409="BAL","WIP",IF(C409="HOLD SLT","HOLD SLT",IF(C409="MILL","RM",IF(C409="RE SLT","WIP",IF(C409="RM","RM",IF(C409="RM BAL","RM",IF(C409="RM SLT","RM",IF(C409="RR","WIP",IF(C409="SKP","WIP",IF(C409="SLT","WIP",IF(C409="CTL","WIP",IF(C409="RM SLT RUST","RM SLT RUST",0)))))))))))))&amp;"-"&amp;G409&amp;"/"&amp;IF(H409="2B","2B",IF(H409="NO.1","1D",IF(H409="FH","FH",0)))&amp;"-"&amp;IF(J409="",(TEXT(I409,"0.00")),TEXT(J409,"0.00"))&amp;"X"&amp;M409</f>
        <v>WIP-304/2B-0.48X642</v>
      </c>
      <c r="C409" s="173" t="s">
        <v>775</v>
      </c>
      <c r="D409" s="173" t="s">
        <v>1237</v>
      </c>
      <c r="E409" s="190" t="s">
        <v>1617</v>
      </c>
      <c r="F409" s="190" t="s">
        <v>1618</v>
      </c>
      <c r="G409" s="173">
        <v>304</v>
      </c>
      <c r="H409" s="173" t="s">
        <v>114</v>
      </c>
      <c r="I409" s="174">
        <v>2.4900000000000002</v>
      </c>
      <c r="J409" s="174">
        <v>0.48</v>
      </c>
      <c r="K409" s="174">
        <v>0.47</v>
      </c>
      <c r="L409" s="174">
        <v>0.48</v>
      </c>
      <c r="M409" s="191">
        <v>642</v>
      </c>
      <c r="N409" s="176">
        <v>10.48</v>
      </c>
      <c r="O409" s="176" t="s">
        <v>114</v>
      </c>
      <c r="P409" s="177"/>
      <c r="Q409" s="178" t="s">
        <v>1370</v>
      </c>
      <c r="R409" s="179"/>
      <c r="S409" s="179" t="s">
        <v>230</v>
      </c>
      <c r="T409" s="177">
        <v>44917</v>
      </c>
      <c r="U409" s="177">
        <v>44947</v>
      </c>
      <c r="V409" s="177"/>
      <c r="W409" s="177">
        <v>44917</v>
      </c>
      <c r="X409" s="177">
        <v>44949</v>
      </c>
      <c r="Y409" s="177"/>
      <c r="Z409" s="177">
        <v>44955</v>
      </c>
      <c r="AA409" s="177"/>
      <c r="AB409" s="177"/>
      <c r="AC409" s="177"/>
      <c r="AD409" s="180" t="s">
        <v>1619</v>
      </c>
      <c r="AE409" s="173" t="s">
        <v>69</v>
      </c>
      <c r="AF409" s="181" t="s">
        <v>142</v>
      </c>
      <c r="AG409" s="192" t="s">
        <v>1594</v>
      </c>
      <c r="AH409" s="198"/>
      <c r="AI409" s="181">
        <v>44849</v>
      </c>
      <c r="AJ409" s="181"/>
      <c r="AK409" s="181">
        <f ca="1">TODAY()</f>
        <v>44958</v>
      </c>
      <c r="AL409" s="173">
        <f ca="1">IF(AI409&lt;&gt;0,AK409-AI409,0)</f>
        <v>109</v>
      </c>
      <c r="AM409" s="173">
        <f ca="1">IF(ISNUMBER(X409)=TRUE,AK409-X409,IF(X409="","",(AK409)-(MID(RIGHT(X409,10),4,2)&amp;"/"&amp;LEFT((RIGHT(X409,10)),2)&amp;"/"&amp;RIGHT(X409,4))))</f>
        <v>9</v>
      </c>
      <c r="AN409" s="181"/>
      <c r="AO409" s="190" t="s">
        <v>1620</v>
      </c>
      <c r="AP409" s="176">
        <v>10.7</v>
      </c>
      <c r="AQ409" s="176">
        <v>10.71</v>
      </c>
      <c r="AR409" s="176">
        <v>10.734999999999999</v>
      </c>
      <c r="AS409" s="176">
        <v>10.74</v>
      </c>
      <c r="AT409" s="173">
        <f ca="1">IF(ISNUMBER(U409)=TRUE,AK409-U409,IF(U409="","",(AK409)-(MID(RIGHT(U409,10),4,2)&amp;"/"&amp;LEFT((RIGHT(U409,10)),2)&amp;"/"&amp;RIGHT(U409,4))))</f>
        <v>11</v>
      </c>
      <c r="AU409" s="173">
        <v>456</v>
      </c>
      <c r="AW409" s="142" t="s">
        <v>123</v>
      </c>
    </row>
    <row r="410" spans="2:49" s="142" customFormat="1" ht="21.75" customHeight="1" x14ac:dyDescent="0.25">
      <c r="B410" s="173" t="str">
        <f>IF(C410="HOLD RM","HOLD RM",IF(C410="BAL","WIP",IF(C410="HOLD SLT","HOLD SLT",IF(C410="MILL","RM",IF(C410="RE SLT","WIP",IF(C410="RM","RM",IF(C410="RM BAL","RM",IF(C410="RM SLT","RM",IF(C410="RR","WIP",IF(C410="SKP","WIP",IF(C410="SLT","WIP",IF(C410="CTL","WIP",IF(C410="RM SLT RUST","RM SLT RUST",0)))))))))))))&amp;"-"&amp;G410&amp;"/"&amp;IF(H410="2B","2B",IF(H410="NO.1","1D",IF(H410="FH","FH",0)))&amp;"-"&amp;IF(J410="",(TEXT(I410,"0.00")),TEXT(J410,"0.00"))&amp;"X"&amp;M410</f>
        <v>WIP-304/FH-0.40X642</v>
      </c>
      <c r="C410" s="173" t="s">
        <v>16</v>
      </c>
      <c r="D410" s="173" t="s">
        <v>16</v>
      </c>
      <c r="E410" s="190" t="s">
        <v>1621</v>
      </c>
      <c r="F410" s="190" t="s">
        <v>1622</v>
      </c>
      <c r="G410" s="173">
        <v>304</v>
      </c>
      <c r="H410" s="173" t="s">
        <v>70</v>
      </c>
      <c r="I410" s="174">
        <v>2.4900000000000002</v>
      </c>
      <c r="J410" s="174">
        <v>0.4</v>
      </c>
      <c r="K410" s="174"/>
      <c r="L410" s="174"/>
      <c r="M410" s="191">
        <v>642</v>
      </c>
      <c r="N410" s="176">
        <v>2.31</v>
      </c>
      <c r="O410" s="176" t="s">
        <v>114</v>
      </c>
      <c r="P410" s="177"/>
      <c r="Q410" s="178" t="s">
        <v>1344</v>
      </c>
      <c r="R410" s="179"/>
      <c r="S410" s="179"/>
      <c r="T410" s="177">
        <v>44933</v>
      </c>
      <c r="U410" s="177"/>
      <c r="V410" s="177">
        <v>44935</v>
      </c>
      <c r="W410" s="177"/>
      <c r="X410" s="177"/>
      <c r="Y410" s="177"/>
      <c r="Z410" s="177"/>
      <c r="AA410" s="177"/>
      <c r="AB410" s="177"/>
      <c r="AC410" s="177"/>
      <c r="AD410" s="180" t="s">
        <v>1619</v>
      </c>
      <c r="AE410" s="173" t="s">
        <v>69</v>
      </c>
      <c r="AF410" s="181" t="s">
        <v>142</v>
      </c>
      <c r="AG410" s="192" t="s">
        <v>1594</v>
      </c>
      <c r="AH410" s="198"/>
      <c r="AI410" s="181">
        <v>44849</v>
      </c>
      <c r="AJ410" s="181"/>
      <c r="AK410" s="181">
        <f ca="1">TODAY()</f>
        <v>44958</v>
      </c>
      <c r="AL410" s="173">
        <f ca="1">IF(AI410&lt;&gt;0,AK410-AI410,0)</f>
        <v>109</v>
      </c>
      <c r="AM410" s="173" t="str">
        <f>IF(ISNUMBER(X410)=TRUE,AK410-X410,IF(X410="","",(AK410)-(MID(RIGHT(X410,10),4,2)&amp;"/"&amp;LEFT((RIGHT(X410,10)),2)&amp;"/"&amp;RIGHT(X410,4))))</f>
        <v/>
      </c>
      <c r="AN410" s="181"/>
      <c r="AO410" s="190" t="s">
        <v>1620</v>
      </c>
      <c r="AP410" s="176">
        <v>10.68</v>
      </c>
      <c r="AQ410" s="176">
        <v>10.69</v>
      </c>
      <c r="AR410" s="176">
        <v>10.714999999999998</v>
      </c>
      <c r="AS410" s="176">
        <v>10.719999999999999</v>
      </c>
      <c r="AT410" s="173" t="str">
        <f>IF(ISNUMBER(U410)=TRUE,AK410-U410,IF(U410="","",(AK410)-(MID(RIGHT(U410,10),4,2)&amp;"/"&amp;LEFT((RIGHT(U410,10)),2)&amp;"/"&amp;RIGHT(U410,4))))</f>
        <v/>
      </c>
      <c r="AU410" s="173">
        <v>456</v>
      </c>
      <c r="AW410" s="142" t="s">
        <v>123</v>
      </c>
    </row>
    <row r="411" spans="2:49" s="142" customFormat="1" ht="21" customHeight="1" x14ac:dyDescent="0.25">
      <c r="B411" s="173" t="str">
        <f>IF(C411="HOLD RM","HOLD RM",IF(C411="BAL","WIP",IF(C411="HOLD SLT","HOLD SLT",IF(C411="MILL","RM",IF(C411="RE SLT","WIP",IF(C411="RM","RM",IF(C411="RM BAL","RM",IF(C411="RM SLT","RM",IF(C411="RR","WIP",IF(C411="SKP","WIP",IF(C411="SLT","WIP",IF(C411="CTL","WIP",IF(C411="RM SLT RUST","RM SLT RUST",0)))))))))))))&amp;"-"&amp;G411&amp;"/"&amp;IF(H411="2B","2B",IF(H411="NO.1","1D",IF(H411="FH","FH",0)))&amp;"-"&amp;IF(J411="",(TEXT(I411,"0.00")),TEXT(J411,"0.00"))&amp;"X"&amp;M411</f>
        <v>WIP-304L/FH-1.45X642</v>
      </c>
      <c r="C411" s="173" t="s">
        <v>16</v>
      </c>
      <c r="D411" s="173" t="s">
        <v>16</v>
      </c>
      <c r="E411" s="190" t="s">
        <v>1623</v>
      </c>
      <c r="F411" s="190" t="s">
        <v>1624</v>
      </c>
      <c r="G411" s="173" t="s">
        <v>182</v>
      </c>
      <c r="H411" s="173" t="s">
        <v>70</v>
      </c>
      <c r="I411" s="174">
        <v>3.88</v>
      </c>
      <c r="J411" s="174">
        <v>1.45</v>
      </c>
      <c r="K411" s="174"/>
      <c r="L411" s="174"/>
      <c r="M411" s="191">
        <v>642</v>
      </c>
      <c r="N411" s="176">
        <v>10.494999999999999</v>
      </c>
      <c r="O411" s="176" t="s">
        <v>114</v>
      </c>
      <c r="P411" s="177"/>
      <c r="Q411" s="178" t="s">
        <v>1592</v>
      </c>
      <c r="R411" s="179"/>
      <c r="S411" s="179"/>
      <c r="T411" s="177">
        <v>44950</v>
      </c>
      <c r="U411" s="177"/>
      <c r="V411" s="177"/>
      <c r="W411" s="177">
        <v>44953</v>
      </c>
      <c r="X411" s="177"/>
      <c r="Y411" s="177"/>
      <c r="Z411" s="177"/>
      <c r="AA411" s="177"/>
      <c r="AB411" s="177"/>
      <c r="AC411" s="177"/>
      <c r="AD411" s="180" t="s">
        <v>1605</v>
      </c>
      <c r="AE411" s="173" t="s">
        <v>69</v>
      </c>
      <c r="AF411" s="181" t="s">
        <v>142</v>
      </c>
      <c r="AG411" s="192" t="s">
        <v>1594</v>
      </c>
      <c r="AH411" s="198"/>
      <c r="AI411" s="181">
        <v>44849</v>
      </c>
      <c r="AJ411" s="181"/>
      <c r="AK411" s="181">
        <f ca="1">TODAY()</f>
        <v>44958</v>
      </c>
      <c r="AL411" s="173">
        <f ca="1">IF(AI411&lt;&gt;0,AK411-AI411,0)</f>
        <v>109</v>
      </c>
      <c r="AM411" s="173" t="str">
        <f>IF(ISNUMBER(X411)=TRUE,AK411-X411,IF(X411="","",(AK411)-(MID(RIGHT(X411,10),4,2)&amp;"/"&amp;LEFT((RIGHT(X411,10)),2)&amp;"/"&amp;RIGHT(X411,4))))</f>
        <v/>
      </c>
      <c r="AN411" s="181"/>
      <c r="AO411" s="190" t="s">
        <v>1625</v>
      </c>
      <c r="AP411" s="176">
        <v>10.494999999999999</v>
      </c>
      <c r="AQ411" s="176">
        <v>10.505000000000001</v>
      </c>
      <c r="AR411" s="176">
        <v>10.53</v>
      </c>
      <c r="AS411" s="176">
        <v>10.535</v>
      </c>
      <c r="AT411" s="173" t="str">
        <f>IF(ISNUMBER(U411)=TRUE,AK411-U411,IF(U411="","",(AK411)-(MID(RIGHT(U411,10),4,2)&amp;"/"&amp;LEFT((RIGHT(U411,10)),2)&amp;"/"&amp;RIGHT(U411,4))))</f>
        <v/>
      </c>
      <c r="AU411" s="173">
        <v>456</v>
      </c>
      <c r="AW411" s="142" t="s">
        <v>123</v>
      </c>
    </row>
    <row r="412" spans="2:49" s="142" customFormat="1" ht="21" customHeight="1" x14ac:dyDescent="0.25">
      <c r="B412" s="173" t="str">
        <f>IF(C412="HOLD RM","HOLD RM",IF(C412="BAL","WIP",IF(C412="HOLD SLT","HOLD SLT",IF(C412="MILL","RM",IF(C412="RE SLT","WIP",IF(C412="RM","RM",IF(C412="RM BAL","RM",IF(C412="RM SLT","RM",IF(C412="RR","WIP",IF(C412="SKP","WIP",IF(C412="SLT","WIP",IF(C412="CTL","WIP",IF(C412="RM SLT RUST","RM SLT RUST",0)))))))))))))&amp;"-"&amp;G412&amp;"/"&amp;IF(H412="2B","2B",IF(H412="NO.1","1D",IF(H412="FH","FH",0)))&amp;"-"&amp;IF(J412="",(TEXT(I412,"0.00")),TEXT(J412,"0.00"))&amp;"X"&amp;M412</f>
        <v>WIP-304L/FH-0.90X642</v>
      </c>
      <c r="C412" s="173" t="s">
        <v>16</v>
      </c>
      <c r="D412" s="173" t="s">
        <v>16</v>
      </c>
      <c r="E412" s="190" t="s">
        <v>1626</v>
      </c>
      <c r="F412" s="190" t="s">
        <v>1627</v>
      </c>
      <c r="G412" s="173" t="s">
        <v>182</v>
      </c>
      <c r="H412" s="173" t="s">
        <v>70</v>
      </c>
      <c r="I412" s="174">
        <v>2.87</v>
      </c>
      <c r="J412" s="174">
        <v>0.9</v>
      </c>
      <c r="K412" s="174"/>
      <c r="L412" s="174"/>
      <c r="M412" s="191">
        <v>642</v>
      </c>
      <c r="N412" s="176">
        <v>10.77</v>
      </c>
      <c r="O412" s="176" t="s">
        <v>114</v>
      </c>
      <c r="P412" s="177"/>
      <c r="Q412" s="178" t="s">
        <v>1592</v>
      </c>
      <c r="R412" s="179"/>
      <c r="S412" s="179"/>
      <c r="T412" s="177">
        <v>44956</v>
      </c>
      <c r="U412" s="177"/>
      <c r="V412" s="177">
        <v>44956</v>
      </c>
      <c r="W412" s="177"/>
      <c r="X412" s="177"/>
      <c r="Y412" s="177"/>
      <c r="Z412" s="177"/>
      <c r="AA412" s="177"/>
      <c r="AB412" s="177"/>
      <c r="AC412" s="177"/>
      <c r="AD412" s="180" t="s">
        <v>1593</v>
      </c>
      <c r="AE412" s="173" t="s">
        <v>69</v>
      </c>
      <c r="AF412" s="181" t="s">
        <v>142</v>
      </c>
      <c r="AG412" s="192" t="s">
        <v>1594</v>
      </c>
      <c r="AH412" s="198"/>
      <c r="AI412" s="181">
        <v>44849</v>
      </c>
      <c r="AJ412" s="181"/>
      <c r="AK412" s="181">
        <f ca="1">TODAY()</f>
        <v>44958</v>
      </c>
      <c r="AL412" s="173">
        <f ca="1">IF(AI412&lt;&gt;0,AK412-AI412,0)</f>
        <v>109</v>
      </c>
      <c r="AM412" s="173" t="str">
        <f>IF(ISNUMBER(X412)=TRUE,AK412-X412,IF(X412="","",(AK412)-(MID(RIGHT(X412,10),4,2)&amp;"/"&amp;LEFT((RIGHT(X412,10)),2)&amp;"/"&amp;RIGHT(X412,4))))</f>
        <v/>
      </c>
      <c r="AN412" s="181"/>
      <c r="AO412" s="190" t="s">
        <v>1628</v>
      </c>
      <c r="AP412" s="176">
        <v>10.75</v>
      </c>
      <c r="AQ412" s="176">
        <v>10.76</v>
      </c>
      <c r="AR412" s="176">
        <v>10.784999999999998</v>
      </c>
      <c r="AS412" s="176">
        <v>10.79</v>
      </c>
      <c r="AT412" s="173" t="str">
        <f>IF(ISNUMBER(U412)=TRUE,AK412-U412,IF(U412="","",(AK412)-(MID(RIGHT(U412,10),4,2)&amp;"/"&amp;LEFT((RIGHT(U412,10)),2)&amp;"/"&amp;RIGHT(U412,4))))</f>
        <v/>
      </c>
      <c r="AU412" s="173">
        <v>456</v>
      </c>
      <c r="AW412" s="142" t="s">
        <v>123</v>
      </c>
    </row>
    <row r="413" spans="2:49" s="142" customFormat="1" ht="21" customHeight="1" x14ac:dyDescent="0.25">
      <c r="B413" s="173" t="str">
        <f>IF(C413="HOLD RM","HOLD RM",IF(C413="BAL","WIP",IF(C413="HOLD SLT","HOLD SLT",IF(C413="MILL","RM",IF(C413="RE SLT","WIP",IF(C413="RM","RM",IF(C413="RM BAL","RM",IF(C413="RM SLT","RM",IF(C413="RR","WIP",IF(C413="SKP","WIP",IF(C413="SLT","WIP",IF(C413="CTL","WIP",IF(C413="RM SLT RUST","RM SLT RUST",0)))))))))))))&amp;"-"&amp;G413&amp;"/"&amp;IF(H413="2B","2B",IF(H413="NO.1","1D",IF(H413="FH","FH",0)))&amp;"-"&amp;IF(J413="",(TEXT(I413,"0.00")),TEXT(J413,"0.00"))&amp;"X"&amp;M413</f>
        <v>WIP-304L/FH-0.90X647</v>
      </c>
      <c r="C413" s="173" t="s">
        <v>16</v>
      </c>
      <c r="D413" s="173" t="s">
        <v>16</v>
      </c>
      <c r="E413" s="190" t="s">
        <v>1629</v>
      </c>
      <c r="F413" s="190" t="s">
        <v>1630</v>
      </c>
      <c r="G413" s="173" t="s">
        <v>182</v>
      </c>
      <c r="H413" s="173" t="s">
        <v>70</v>
      </c>
      <c r="I413" s="174">
        <v>2.89</v>
      </c>
      <c r="J413" s="174">
        <v>0.9</v>
      </c>
      <c r="K413" s="174"/>
      <c r="L413" s="174"/>
      <c r="M413" s="191">
        <v>647</v>
      </c>
      <c r="N413" s="176">
        <v>10.32</v>
      </c>
      <c r="O413" s="176" t="s">
        <v>114</v>
      </c>
      <c r="P413" s="177"/>
      <c r="Q413" s="178" t="s">
        <v>1631</v>
      </c>
      <c r="R413" s="179"/>
      <c r="S413" s="179"/>
      <c r="T413" s="177">
        <v>44957</v>
      </c>
      <c r="U413" s="177"/>
      <c r="V413" s="177">
        <v>44957</v>
      </c>
      <c r="W413" s="177"/>
      <c r="X413" s="177"/>
      <c r="Y413" s="177"/>
      <c r="Z413" s="177"/>
      <c r="AA413" s="177"/>
      <c r="AB413" s="177"/>
      <c r="AC413" s="177"/>
      <c r="AD413" s="180" t="s">
        <v>1593</v>
      </c>
      <c r="AE413" s="173" t="s">
        <v>69</v>
      </c>
      <c r="AF413" s="181" t="s">
        <v>142</v>
      </c>
      <c r="AG413" s="192" t="s">
        <v>1594</v>
      </c>
      <c r="AH413" s="198"/>
      <c r="AI413" s="181">
        <v>44849</v>
      </c>
      <c r="AJ413" s="181"/>
      <c r="AK413" s="181">
        <f ca="1">TODAY()</f>
        <v>44958</v>
      </c>
      <c r="AL413" s="173">
        <f ca="1">IF(AI413&lt;&gt;0,AK413-AI413,0)</f>
        <v>109</v>
      </c>
      <c r="AM413" s="173" t="str">
        <f>IF(ISNUMBER(X413)=TRUE,AK413-X413,IF(X413="","",(AK413)-(MID(RIGHT(X413,10),4,2)&amp;"/"&amp;LEFT((RIGHT(X413,10)),2)&amp;"/"&amp;RIGHT(X413,4))))</f>
        <v/>
      </c>
      <c r="AN413" s="181"/>
      <c r="AO413" s="190" t="s">
        <v>1632</v>
      </c>
      <c r="AP413" s="176">
        <v>10.33</v>
      </c>
      <c r="AQ413" s="176">
        <v>10.34</v>
      </c>
      <c r="AR413" s="176">
        <v>10.364999999999998</v>
      </c>
      <c r="AS413" s="176">
        <v>10.37</v>
      </c>
      <c r="AT413" s="173" t="str">
        <f>IF(ISNUMBER(U413)=TRUE,AK413-U413,IF(U413="","",(AK413)-(MID(RIGHT(U413,10),4,2)&amp;"/"&amp;LEFT((RIGHT(U413,10)),2)&amp;"/"&amp;RIGHT(U413,4))))</f>
        <v/>
      </c>
      <c r="AU413" s="173">
        <v>456</v>
      </c>
      <c r="AW413" s="142" t="s">
        <v>123</v>
      </c>
    </row>
    <row r="414" spans="2:49" s="142" customFormat="1" ht="21" customHeight="1" x14ac:dyDescent="0.25">
      <c r="B414" s="173" t="str">
        <f>IF(C414="HOLD RM","HOLD RM",IF(C414="BAL","WIP",IF(C414="HOLD SLT","HOLD SLT",IF(C414="MILL","RM",IF(C414="RE SLT","WIP",IF(C414="RM","RM",IF(C414="RM BAL","RM",IF(C414="RM SLT","RM",IF(C414="RR","WIP",IF(C414="SKP","WIP",IF(C414="SLT","WIP",IF(C414="CTL","WIP",IF(C414="RM SLT RUST","RM SLT RUST",0)))))))))))))&amp;"-"&amp;G414&amp;"/"&amp;IF(H414="2B","2B",IF(H414="NO.1","1D",IF(H414="FH","FH",0)))&amp;"-"&amp;IF(J414="",(TEXT(I414,"0.00")),TEXT(J414,"0.00"))&amp;"X"&amp;M414</f>
        <v>WIP-304L/FH-0.90X647</v>
      </c>
      <c r="C414" s="173" t="s">
        <v>16</v>
      </c>
      <c r="D414" s="173" t="s">
        <v>16</v>
      </c>
      <c r="E414" s="190" t="s">
        <v>1633</v>
      </c>
      <c r="F414" s="190" t="s">
        <v>1634</v>
      </c>
      <c r="G414" s="173" t="s">
        <v>182</v>
      </c>
      <c r="H414" s="173" t="s">
        <v>70</v>
      </c>
      <c r="I414" s="174">
        <v>2.88</v>
      </c>
      <c r="J414" s="174">
        <v>0.9</v>
      </c>
      <c r="K414" s="174"/>
      <c r="L414" s="174"/>
      <c r="M414" s="191">
        <v>647</v>
      </c>
      <c r="N414" s="176">
        <v>10.33</v>
      </c>
      <c r="O414" s="176" t="s">
        <v>114</v>
      </c>
      <c r="P414" s="177"/>
      <c r="Q414" s="178" t="s">
        <v>1631</v>
      </c>
      <c r="R414" s="179"/>
      <c r="S414" s="179"/>
      <c r="T414" s="177"/>
      <c r="U414" s="177">
        <v>44957</v>
      </c>
      <c r="V414" s="177"/>
      <c r="W414" s="177">
        <v>44957</v>
      </c>
      <c r="X414" s="177"/>
      <c r="Y414" s="177"/>
      <c r="Z414" s="177"/>
      <c r="AA414" s="177"/>
      <c r="AB414" s="177"/>
      <c r="AC414" s="177"/>
      <c r="AD414" s="180" t="s">
        <v>1593</v>
      </c>
      <c r="AE414" s="173" t="s">
        <v>69</v>
      </c>
      <c r="AF414" s="181" t="s">
        <v>142</v>
      </c>
      <c r="AG414" s="192" t="s">
        <v>1594</v>
      </c>
      <c r="AH414" s="198"/>
      <c r="AI414" s="181">
        <v>44849</v>
      </c>
      <c r="AJ414" s="181"/>
      <c r="AK414" s="181">
        <f ca="1">TODAY()</f>
        <v>44958</v>
      </c>
      <c r="AL414" s="173">
        <f ca="1">IF(AI414&lt;&gt;0,AK414-AI414,0)</f>
        <v>109</v>
      </c>
      <c r="AM414" s="173" t="str">
        <f>IF(ISNUMBER(X414)=TRUE,AK414-X414,IF(X414="","",(AK414)-(MID(RIGHT(X414,10),4,2)&amp;"/"&amp;LEFT((RIGHT(X414,10)),2)&amp;"/"&amp;RIGHT(X414,4))))</f>
        <v/>
      </c>
      <c r="AN414" s="181"/>
      <c r="AO414" s="190" t="s">
        <v>1635</v>
      </c>
      <c r="AP414" s="176">
        <v>10.33</v>
      </c>
      <c r="AQ414" s="176">
        <v>10.34</v>
      </c>
      <c r="AR414" s="176">
        <v>10.364999999999998</v>
      </c>
      <c r="AS414" s="176">
        <v>10.37</v>
      </c>
      <c r="AT414" s="173">
        <f ca="1">IF(ISNUMBER(U414)=TRUE,AK414-U414,IF(U414="","",(AK414)-(MID(RIGHT(U414,10),4,2)&amp;"/"&amp;LEFT((RIGHT(U414,10)),2)&amp;"/"&amp;RIGHT(U414,4))))</f>
        <v>1</v>
      </c>
      <c r="AU414" s="173">
        <v>456</v>
      </c>
      <c r="AW414" s="142" t="s">
        <v>123</v>
      </c>
    </row>
    <row r="415" spans="2:49" s="142" customFormat="1" ht="21" customHeight="1" x14ac:dyDescent="0.25">
      <c r="B415" s="173" t="str">
        <f>IF(C415="HOLD RM","HOLD RM",IF(C415="BAL","WIP",IF(C415="HOLD SLT","HOLD SLT",IF(C415="MILL","RM",IF(C415="RE SLT","WIP",IF(C415="RM","RM",IF(C415="RM BAL","RM",IF(C415="RM SLT","RM",IF(C415="RR","WIP",IF(C415="SKP","WIP",IF(C415="SLT","WIP",IF(C415="CTL","WIP",IF(C415="RM SLT RUST","RM SLT RUST",0)))))))))))))&amp;"-"&amp;G415&amp;"/"&amp;IF(H415="2B","2B",IF(H415="NO.1","1D",IF(H415="FH","FH",0)))&amp;"-"&amp;IF(J415="",(TEXT(I415,"0.00")),TEXT(J415,"0.00"))&amp;"X"&amp;M415</f>
        <v>RM-304L/1D-2.88X647</v>
      </c>
      <c r="C415" s="173" t="s">
        <v>48</v>
      </c>
      <c r="D415" s="173" t="s">
        <v>48</v>
      </c>
      <c r="E415" s="190" t="s">
        <v>1636</v>
      </c>
      <c r="F415" s="190" t="s">
        <v>1637</v>
      </c>
      <c r="G415" s="173" t="s">
        <v>182</v>
      </c>
      <c r="H415" s="173" t="s">
        <v>127</v>
      </c>
      <c r="I415" s="174">
        <v>2.88</v>
      </c>
      <c r="J415" s="174"/>
      <c r="K415" s="174"/>
      <c r="L415" s="174"/>
      <c r="M415" s="191">
        <v>647</v>
      </c>
      <c r="N415" s="176">
        <v>10.355</v>
      </c>
      <c r="O415" s="176"/>
      <c r="P415" s="177"/>
      <c r="Q415" s="178"/>
      <c r="R415" s="179"/>
      <c r="S415" s="179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80" t="s">
        <v>1593</v>
      </c>
      <c r="AE415" s="173" t="s">
        <v>69</v>
      </c>
      <c r="AF415" s="181" t="s">
        <v>142</v>
      </c>
      <c r="AG415" s="192" t="s">
        <v>1594</v>
      </c>
      <c r="AH415" s="198"/>
      <c r="AI415" s="181">
        <v>44849</v>
      </c>
      <c r="AJ415" s="181"/>
      <c r="AK415" s="181">
        <f ca="1">TODAY()</f>
        <v>44958</v>
      </c>
      <c r="AL415" s="173">
        <f ca="1">IF(AI415&lt;&gt;0,AK415-AI415,0)</f>
        <v>109</v>
      </c>
      <c r="AM415" s="173" t="str">
        <f>IF(ISNUMBER(X415)=TRUE,AK415-X415,IF(X415="","",(AK415)-(MID(RIGHT(X415,10),4,2)&amp;"/"&amp;LEFT((RIGHT(X415,10)),2)&amp;"/"&amp;RIGHT(X415,4))))</f>
        <v/>
      </c>
      <c r="AN415" s="181"/>
      <c r="AO415" s="190" t="s">
        <v>1635</v>
      </c>
      <c r="AP415" s="176">
        <v>10.355</v>
      </c>
      <c r="AQ415" s="176">
        <v>10.365</v>
      </c>
      <c r="AR415" s="176">
        <v>10.389999999999999</v>
      </c>
      <c r="AS415" s="176">
        <v>10.395</v>
      </c>
      <c r="AT415" s="173" t="str">
        <f>IF(ISNUMBER(U415)=TRUE,AK415-U415,IF(U415="","",(AK415)-(MID(RIGHT(U415,10),4,2)&amp;"/"&amp;LEFT((RIGHT(U415,10)),2)&amp;"/"&amp;RIGHT(U415,4))))</f>
        <v/>
      </c>
      <c r="AU415" s="173">
        <v>456</v>
      </c>
      <c r="AW415" s="142" t="s">
        <v>123</v>
      </c>
    </row>
    <row r="416" spans="2:49" s="142" customFormat="1" ht="21" customHeight="1" x14ac:dyDescent="0.25">
      <c r="B416" s="173" t="str">
        <f>IF(C416="HOLD RM","HOLD RM",IF(C416="BAL","WIP",IF(C416="HOLD SLT","HOLD SLT",IF(C416="MILL","RM",IF(C416="RE SLT","WIP",IF(C416="RM","RM",IF(C416="RM BAL","RM",IF(C416="RM SLT","RM",IF(C416="RR","WIP",IF(C416="SKP","WIP",IF(C416="SLT","WIP",IF(C416="CTL","WIP",IF(C416="RM SLT RUST","RM SLT RUST",0)))))))))))))&amp;"-"&amp;G416&amp;"/"&amp;IF(H416="2B","2B",IF(H416="NO.1","1D",IF(H416="FH","FH",0)))&amp;"-"&amp;IF(J416="",(TEXT(I416,"0.00")),TEXT(J416,"0.00"))&amp;"X"&amp;M416</f>
        <v>RM-304L/1D-2.89X641</v>
      </c>
      <c r="C416" s="173" t="s">
        <v>48</v>
      </c>
      <c r="D416" s="173" t="s">
        <v>48</v>
      </c>
      <c r="E416" s="190" t="s">
        <v>1638</v>
      </c>
      <c r="F416" s="190" t="s">
        <v>1639</v>
      </c>
      <c r="G416" s="173" t="s">
        <v>182</v>
      </c>
      <c r="H416" s="173" t="s">
        <v>127</v>
      </c>
      <c r="I416" s="174">
        <v>2.89</v>
      </c>
      <c r="J416" s="174"/>
      <c r="K416" s="174"/>
      <c r="L416" s="174"/>
      <c r="M416" s="191">
        <v>641</v>
      </c>
      <c r="N416" s="176">
        <v>10.734999999999999</v>
      </c>
      <c r="O416" s="176"/>
      <c r="P416" s="177"/>
      <c r="Q416" s="178"/>
      <c r="R416" s="179"/>
      <c r="S416" s="179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80" t="s">
        <v>1593</v>
      </c>
      <c r="AE416" s="173" t="s">
        <v>69</v>
      </c>
      <c r="AF416" s="181" t="s">
        <v>142</v>
      </c>
      <c r="AG416" s="192" t="s">
        <v>1594</v>
      </c>
      <c r="AH416" s="198"/>
      <c r="AI416" s="181">
        <v>44849</v>
      </c>
      <c r="AJ416" s="181"/>
      <c r="AK416" s="181">
        <f ca="1">TODAY()</f>
        <v>44958</v>
      </c>
      <c r="AL416" s="173">
        <f ca="1">IF(AI416&lt;&gt;0,AK416-AI416,0)</f>
        <v>109</v>
      </c>
      <c r="AM416" s="173" t="str">
        <f>IF(ISNUMBER(X416)=TRUE,AK416-X416,IF(X416="","",(AK416)-(MID(RIGHT(X416,10),4,2)&amp;"/"&amp;LEFT((RIGHT(X416,10)),2)&amp;"/"&amp;RIGHT(X416,4))))</f>
        <v/>
      </c>
      <c r="AN416" s="181"/>
      <c r="AO416" s="190" t="s">
        <v>1640</v>
      </c>
      <c r="AP416" s="176">
        <v>10.734999999999999</v>
      </c>
      <c r="AQ416" s="176">
        <v>10.744999999999999</v>
      </c>
      <c r="AR416" s="176">
        <v>10.769999999999998</v>
      </c>
      <c r="AS416" s="176">
        <v>10.774999999999999</v>
      </c>
      <c r="AT416" s="173" t="str">
        <f>IF(ISNUMBER(U416)=TRUE,AK416-U416,IF(U416="","",(AK416)-(MID(RIGHT(U416,10),4,2)&amp;"/"&amp;LEFT((RIGHT(U416,10)),2)&amp;"/"&amp;RIGHT(U416,4))))</f>
        <v/>
      </c>
      <c r="AU416" s="173">
        <v>456</v>
      </c>
      <c r="AW416" s="142" t="s">
        <v>123</v>
      </c>
    </row>
    <row r="417" spans="2:49" s="142" customFormat="1" ht="21" customHeight="1" x14ac:dyDescent="0.25">
      <c r="B417" s="173" t="str">
        <f>IF(C417="HOLD RM","HOLD RM",IF(C417="BAL","WIP",IF(C417="HOLD SLT","HOLD SLT",IF(C417="MILL","RM",IF(C417="RE SLT","WIP",IF(C417="RM","RM",IF(C417="RM BAL","RM",IF(C417="RM SLT","RM",IF(C417="RR","WIP",IF(C417="SKP","WIP",IF(C417="SLT","WIP",IF(C417="CTL","WIP",IF(C417="RM SLT RUST","RM SLT RUST",0)))))))))))))&amp;"-"&amp;G417&amp;"/"&amp;IF(H417="2B","2B",IF(H417="NO.1","1D",IF(H417="FH","FH",0)))&amp;"-"&amp;IF(J417="",(TEXT(I417,"0.00")),TEXT(J417,"0.00"))&amp;"X"&amp;M417</f>
        <v>WIP-304/2B-1.95X635</v>
      </c>
      <c r="C417" s="173" t="s">
        <v>18</v>
      </c>
      <c r="D417" s="173" t="s">
        <v>836</v>
      </c>
      <c r="E417" s="190" t="s">
        <v>1641</v>
      </c>
      <c r="F417" s="190" t="s">
        <v>1642</v>
      </c>
      <c r="G417" s="173">
        <v>304</v>
      </c>
      <c r="H417" s="173" t="s">
        <v>114</v>
      </c>
      <c r="I417" s="174">
        <v>3.9</v>
      </c>
      <c r="J417" s="174">
        <v>1.95</v>
      </c>
      <c r="K417" s="174">
        <v>1.91</v>
      </c>
      <c r="L417" s="174">
        <v>1.94</v>
      </c>
      <c r="M417" s="191">
        <v>635</v>
      </c>
      <c r="N417" s="176">
        <v>5.4249999999999998</v>
      </c>
      <c r="O417" s="176" t="s">
        <v>114</v>
      </c>
      <c r="P417" s="177"/>
      <c r="Q417" s="178" t="s">
        <v>361</v>
      </c>
      <c r="R417" s="179"/>
      <c r="S417" s="179"/>
      <c r="T417" s="177">
        <v>44951</v>
      </c>
      <c r="U417" s="177"/>
      <c r="V417" s="177">
        <v>44951</v>
      </c>
      <c r="W417" s="177"/>
      <c r="X417" s="177">
        <v>44956</v>
      </c>
      <c r="Y417" s="177"/>
      <c r="Z417" s="177"/>
      <c r="AA417" s="177"/>
      <c r="AB417" s="177"/>
      <c r="AC417" s="177"/>
      <c r="AD417" s="180" t="s">
        <v>1643</v>
      </c>
      <c r="AE417" s="173" t="s">
        <v>69</v>
      </c>
      <c r="AF417" s="181" t="s">
        <v>142</v>
      </c>
      <c r="AG417" s="192" t="s">
        <v>1594</v>
      </c>
      <c r="AH417" s="198"/>
      <c r="AI417" s="181">
        <v>44849</v>
      </c>
      <c r="AJ417" s="181"/>
      <c r="AK417" s="181">
        <f ca="1">TODAY()</f>
        <v>44958</v>
      </c>
      <c r="AL417" s="173">
        <f ca="1">IF(AI417&lt;&gt;0,AK417-AI417,0)</f>
        <v>109</v>
      </c>
      <c r="AM417" s="173">
        <f ca="1">IF(ISNUMBER(X417)=TRUE,AK417-X417,IF(X417="","",(AK417)-(MID(RIGHT(X417,10),4,2)&amp;"/"&amp;LEFT((RIGHT(X417,10)),2)&amp;"/"&amp;RIGHT(X417,4))))</f>
        <v>2</v>
      </c>
      <c r="AN417" s="181"/>
      <c r="AO417" s="190" t="s">
        <v>1644</v>
      </c>
      <c r="AP417" s="176">
        <v>10.52</v>
      </c>
      <c r="AQ417" s="176">
        <v>10.53</v>
      </c>
      <c r="AR417" s="176">
        <v>10.554999999999998</v>
      </c>
      <c r="AS417" s="176">
        <v>10.559999999999999</v>
      </c>
      <c r="AT417" s="173" t="str">
        <f>IF(ISNUMBER(U417)=TRUE,AK417-U417,IF(U417="","",(AK417)-(MID(RIGHT(U417,10),4,2)&amp;"/"&amp;LEFT((RIGHT(U417,10)),2)&amp;"/"&amp;RIGHT(U417,4))))</f>
        <v/>
      </c>
      <c r="AU417" s="173">
        <v>456</v>
      </c>
      <c r="AW417" s="142" t="s">
        <v>123</v>
      </c>
    </row>
    <row r="418" spans="2:49" s="142" customFormat="1" ht="21" customHeight="1" x14ac:dyDescent="0.25">
      <c r="B418" s="173" t="str">
        <f>IF(C418="HOLD RM","HOLD RM",IF(C418="BAL","WIP",IF(C418="HOLD SLT","HOLD SLT",IF(C418="MILL","RM",IF(C418="RE SLT","WIP",IF(C418="RM","RM",IF(C418="RM BAL","RM",IF(C418="RM SLT","RM",IF(C418="RR","WIP",IF(C418="SKP","WIP",IF(C418="SLT","WIP",IF(C418="CTL","WIP",IF(C418="RM SLT RUST","RM SLT RUST",0)))))))))))))&amp;"-"&amp;G418&amp;"/"&amp;IF(H418="2B","2B",IF(H418="NO.1","1D",IF(H418="FH","FH",0)))&amp;"-"&amp;IF(J418="",(TEXT(I418,"0.00")),TEXT(J418,"0.00"))&amp;"X"&amp;M418</f>
        <v>RM-304L/1D-2.89X647</v>
      </c>
      <c r="C418" s="173" t="s">
        <v>13</v>
      </c>
      <c r="D418" s="173" t="s">
        <v>13</v>
      </c>
      <c r="E418" s="190" t="s">
        <v>1645</v>
      </c>
      <c r="F418" s="190" t="s">
        <v>1646</v>
      </c>
      <c r="G418" s="173" t="s">
        <v>182</v>
      </c>
      <c r="H418" s="173" t="s">
        <v>127</v>
      </c>
      <c r="I418" s="174">
        <v>2.89</v>
      </c>
      <c r="J418" s="174"/>
      <c r="K418" s="174"/>
      <c r="L418" s="174"/>
      <c r="M418" s="191">
        <v>647</v>
      </c>
      <c r="N418" s="176">
        <v>10.324999999999999</v>
      </c>
      <c r="O418" s="176"/>
      <c r="P418" s="177"/>
      <c r="Q418" s="178"/>
      <c r="R418" s="179"/>
      <c r="S418" s="179"/>
      <c r="T418" s="177">
        <v>44957</v>
      </c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80" t="s">
        <v>1593</v>
      </c>
      <c r="AE418" s="173" t="s">
        <v>69</v>
      </c>
      <c r="AF418" s="181" t="s">
        <v>142</v>
      </c>
      <c r="AG418" s="192" t="s">
        <v>1594</v>
      </c>
      <c r="AH418" s="198"/>
      <c r="AI418" s="181">
        <v>44849</v>
      </c>
      <c r="AJ418" s="181"/>
      <c r="AK418" s="181">
        <f ca="1">TODAY()</f>
        <v>44958</v>
      </c>
      <c r="AL418" s="173">
        <f ca="1">IF(AI418&lt;&gt;0,AK418-AI418,0)</f>
        <v>109</v>
      </c>
      <c r="AM418" s="173" t="str">
        <f>IF(ISNUMBER(X418)=TRUE,AK418-X418,IF(X418="","",(AK418)-(MID(RIGHT(X418,10),4,2)&amp;"/"&amp;LEFT((RIGHT(X418,10)),2)&amp;"/"&amp;RIGHT(X418,4))))</f>
        <v/>
      </c>
      <c r="AN418" s="181"/>
      <c r="AO418" s="190" t="s">
        <v>1647</v>
      </c>
      <c r="AP418" s="176">
        <v>10.324999999999999</v>
      </c>
      <c r="AQ418" s="176">
        <v>10.335000000000001</v>
      </c>
      <c r="AR418" s="176">
        <v>10.36</v>
      </c>
      <c r="AS418" s="176">
        <v>10.365</v>
      </c>
      <c r="AT418" s="173" t="str">
        <f>IF(ISNUMBER(U418)=TRUE,AK418-U418,IF(U418="","",(AK418)-(MID(RIGHT(U418,10),4,2)&amp;"/"&amp;LEFT((RIGHT(U418,10)),2)&amp;"/"&amp;RIGHT(U418,4))))</f>
        <v/>
      </c>
      <c r="AU418" s="173">
        <v>456</v>
      </c>
      <c r="AW418" s="142" t="s">
        <v>123</v>
      </c>
    </row>
    <row r="419" spans="2:49" s="142" customFormat="1" ht="21" customHeight="1" x14ac:dyDescent="0.25">
      <c r="B419" s="173" t="str">
        <f>IF(C419="HOLD RM","HOLD RM",IF(C419="BAL","WIP",IF(C419="HOLD SLT","HOLD SLT",IF(C419="MILL","RM",IF(C419="RE SLT","WIP",IF(C419="RM","RM",IF(C419="RM BAL","RM",IF(C419="RM SLT","RM",IF(C419="RR","WIP",IF(C419="SKP","WIP",IF(C419="SLT","WIP",IF(C419="CTL","WIP",IF(C419="RM SLT RUST","RM SLT RUST",0)))))))))))))&amp;"-"&amp;G419&amp;"/"&amp;IF(H419="2B","2B",IF(H419="NO.1","1D",IF(H419="FH","FH",0)))&amp;"-"&amp;IF(J419="",(TEXT(I419,"0.00")),TEXT(J419,"0.00"))&amp;"X"&amp;M419</f>
        <v>WIP-304L/FH-1.15X646</v>
      </c>
      <c r="C419" s="173" t="s">
        <v>16</v>
      </c>
      <c r="D419" s="173" t="s">
        <v>16</v>
      </c>
      <c r="E419" s="190" t="s">
        <v>1648</v>
      </c>
      <c r="F419" s="190" t="s">
        <v>1649</v>
      </c>
      <c r="G419" s="173" t="s">
        <v>182</v>
      </c>
      <c r="H419" s="173" t="s">
        <v>70</v>
      </c>
      <c r="I419" s="174">
        <v>2.89</v>
      </c>
      <c r="J419" s="174">
        <v>1.1499999999999999</v>
      </c>
      <c r="K419" s="174"/>
      <c r="L419" s="174"/>
      <c r="M419" s="191">
        <v>646</v>
      </c>
      <c r="N419" s="176">
        <v>10.3</v>
      </c>
      <c r="O419" s="176" t="s">
        <v>114</v>
      </c>
      <c r="P419" s="177"/>
      <c r="Q419" s="178" t="s">
        <v>1592</v>
      </c>
      <c r="R419" s="179"/>
      <c r="S419" s="179"/>
      <c r="T419" s="177">
        <v>44957</v>
      </c>
      <c r="U419" s="177"/>
      <c r="V419" s="177">
        <v>44957</v>
      </c>
      <c r="W419" s="177"/>
      <c r="X419" s="177"/>
      <c r="Y419" s="177"/>
      <c r="Z419" s="177"/>
      <c r="AA419" s="177"/>
      <c r="AB419" s="177"/>
      <c r="AC419" s="177"/>
      <c r="AD419" s="180" t="s">
        <v>1593</v>
      </c>
      <c r="AE419" s="173" t="s">
        <v>69</v>
      </c>
      <c r="AF419" s="181" t="s">
        <v>142</v>
      </c>
      <c r="AG419" s="192" t="s">
        <v>1594</v>
      </c>
      <c r="AH419" s="198"/>
      <c r="AI419" s="181">
        <v>44849</v>
      </c>
      <c r="AJ419" s="181"/>
      <c r="AK419" s="181">
        <f ca="1">TODAY()</f>
        <v>44958</v>
      </c>
      <c r="AL419" s="173">
        <f ca="1">IF(AI419&lt;&gt;0,AK419-AI419,0)</f>
        <v>109</v>
      </c>
      <c r="AM419" s="173" t="str">
        <f>IF(ISNUMBER(X419)=TRUE,AK419-X419,IF(X419="","",(AK419)-(MID(RIGHT(X419,10),4,2)&amp;"/"&amp;LEFT((RIGHT(X419,10)),2)&amp;"/"&amp;RIGHT(X419,4))))</f>
        <v/>
      </c>
      <c r="AN419" s="181"/>
      <c r="AO419" s="190" t="s">
        <v>1647</v>
      </c>
      <c r="AP419" s="176">
        <v>10.275</v>
      </c>
      <c r="AQ419" s="176">
        <v>10.285</v>
      </c>
      <c r="AR419" s="176">
        <v>10.309999999999999</v>
      </c>
      <c r="AS419" s="176">
        <v>10.315</v>
      </c>
      <c r="AT419" s="173" t="str">
        <f>IF(ISNUMBER(U419)=TRUE,AK419-U419,IF(U419="","",(AK419)-(MID(RIGHT(U419,10),4,2)&amp;"/"&amp;LEFT((RIGHT(U419,10)),2)&amp;"/"&amp;RIGHT(U419,4))))</f>
        <v/>
      </c>
      <c r="AU419" s="173">
        <v>456</v>
      </c>
      <c r="AW419" s="142" t="s">
        <v>123</v>
      </c>
    </row>
    <row r="420" spans="2:49" s="142" customFormat="1" ht="21" customHeight="1" x14ac:dyDescent="0.25">
      <c r="B420" s="173" t="str">
        <f>IF(C420="HOLD RM","HOLD RM",IF(C420="BAL","WIP",IF(C420="HOLD SLT","HOLD SLT",IF(C420="MILL","RM",IF(C420="RE SLT","WIP",IF(C420="RM","RM",IF(C420="RM BAL","RM",IF(C420="RM SLT","RM",IF(C420="RR","WIP",IF(C420="SKP","WIP",IF(C420="SLT","WIP",IF(C420="CTL","WIP",IF(C420="RM SLT RUST","RM SLT RUST",0)))))))))))))&amp;"-"&amp;G420&amp;"/"&amp;IF(H420="2B","2B",IF(H420="NO.1","1D",IF(H420="FH","FH",0)))&amp;"-"&amp;IF(J420="",(TEXT(I420,"0.00")),TEXT(J420,"0.00"))&amp;"X"&amp;M420</f>
        <v>WIP-316L/2B-1.50X772</v>
      </c>
      <c r="C420" s="173" t="s">
        <v>18</v>
      </c>
      <c r="D420" s="173" t="s">
        <v>146</v>
      </c>
      <c r="E420" s="190" t="s">
        <v>1650</v>
      </c>
      <c r="F420" s="190" t="s">
        <v>1651</v>
      </c>
      <c r="G420" s="173" t="s">
        <v>135</v>
      </c>
      <c r="H420" s="173" t="s">
        <v>114</v>
      </c>
      <c r="I420" s="174">
        <v>3.47</v>
      </c>
      <c r="J420" s="174">
        <v>1.5</v>
      </c>
      <c r="K420" s="174">
        <v>1.48</v>
      </c>
      <c r="L420" s="174">
        <v>1.52</v>
      </c>
      <c r="M420" s="191">
        <v>772</v>
      </c>
      <c r="N420" s="176">
        <v>2.7650000000000001</v>
      </c>
      <c r="O420" s="176" t="s">
        <v>114</v>
      </c>
      <c r="P420" s="177"/>
      <c r="Q420" s="178" t="s">
        <v>115</v>
      </c>
      <c r="R420" s="178" t="s">
        <v>615</v>
      </c>
      <c r="S420" s="179"/>
      <c r="T420" s="177">
        <v>44859</v>
      </c>
      <c r="U420" s="177"/>
      <c r="V420" s="177">
        <v>44859</v>
      </c>
      <c r="W420" s="177"/>
      <c r="X420" s="177">
        <v>44862</v>
      </c>
      <c r="Y420" s="177"/>
      <c r="Z420" s="177"/>
      <c r="AA420" s="177"/>
      <c r="AB420" s="177"/>
      <c r="AC420" s="177"/>
      <c r="AD420" s="180" t="s">
        <v>1652</v>
      </c>
      <c r="AE420" s="173" t="s">
        <v>69</v>
      </c>
      <c r="AF420" s="181" t="s">
        <v>142</v>
      </c>
      <c r="AG420" s="192" t="s">
        <v>1653</v>
      </c>
      <c r="AH420" s="198"/>
      <c r="AI420" s="181">
        <v>44849</v>
      </c>
      <c r="AJ420" s="181"/>
      <c r="AK420" s="181">
        <f ca="1">TODAY()</f>
        <v>44958</v>
      </c>
      <c r="AL420" s="173">
        <f ca="1">IF(AI420&lt;&gt;0,AK420-AI420,0)</f>
        <v>109</v>
      </c>
      <c r="AM420" s="173">
        <f ca="1">IF(ISNUMBER(X420)=TRUE,AK420-X420,IF(X420="","",(AK420)-(MID(RIGHT(X420,10),4,2)&amp;"/"&amp;LEFT((RIGHT(X420,10)),2)&amp;"/"&amp;RIGHT(X420,4))))</f>
        <v>96</v>
      </c>
      <c r="AN420" s="181"/>
      <c r="AO420" s="190" t="s">
        <v>1654</v>
      </c>
      <c r="AP420" s="176">
        <v>10.654999999999999</v>
      </c>
      <c r="AQ420" s="176">
        <v>10.664999999999999</v>
      </c>
      <c r="AR420" s="176">
        <v>10.689999999999998</v>
      </c>
      <c r="AS420" s="176">
        <v>10.694999999999999</v>
      </c>
      <c r="AT420" s="173" t="str">
        <f>IF(ISNUMBER(U420)=TRUE,AK420-U420,IF(U420="","",(AK420)-(MID(RIGHT(U420,10),4,2)&amp;"/"&amp;LEFT((RIGHT(U420,10)),2)&amp;"/"&amp;RIGHT(U420,4))))</f>
        <v/>
      </c>
      <c r="AU420" s="173">
        <v>456</v>
      </c>
      <c r="AW420" s="142" t="s">
        <v>123</v>
      </c>
    </row>
    <row r="421" spans="2:49" s="142" customFormat="1" ht="21" customHeight="1" x14ac:dyDescent="0.25">
      <c r="B421" s="173" t="str">
        <f>IF(C421="HOLD RM","HOLD RM",IF(C421="BAL","WIP",IF(C421="HOLD SLT","HOLD SLT",IF(C421="MILL","RM",IF(C421="RE SLT","WIP",IF(C421="RM","RM",IF(C421="RM BAL","RM",IF(C421="RM SLT","RM",IF(C421="RR","WIP",IF(C421="SKP","WIP",IF(C421="SLT","WIP",IF(C421="CTL","WIP",IF(C421="RM SLT RUST","RM SLT RUST",0)))))))))))))&amp;"-"&amp;G421&amp;"/"&amp;IF(H421="2B","2B",IF(H421="NO.1","1D",IF(H421="FH","FH",0)))&amp;"-"&amp;IF(J421="",(TEXT(I421,"0.00")),TEXT(J421,"0.00"))&amp;"X"&amp;M421</f>
        <v>WIP-304L/FH-2.00X643</v>
      </c>
      <c r="C421" s="173" t="s">
        <v>16</v>
      </c>
      <c r="D421" s="173" t="s">
        <v>16</v>
      </c>
      <c r="E421" s="190" t="s">
        <v>1655</v>
      </c>
      <c r="F421" s="190" t="s">
        <v>1656</v>
      </c>
      <c r="G421" s="173" t="s">
        <v>182</v>
      </c>
      <c r="H421" s="173" t="s">
        <v>70</v>
      </c>
      <c r="I421" s="174">
        <v>3.94</v>
      </c>
      <c r="J421" s="174">
        <v>2</v>
      </c>
      <c r="K421" s="174"/>
      <c r="L421" s="174"/>
      <c r="M421" s="191">
        <v>643</v>
      </c>
      <c r="N421" s="176">
        <v>10.38</v>
      </c>
      <c r="O421" s="176" t="s">
        <v>114</v>
      </c>
      <c r="P421" s="177"/>
      <c r="Q421" s="178" t="s">
        <v>1210</v>
      </c>
      <c r="R421" s="179"/>
      <c r="S421" s="179"/>
      <c r="T421" s="177">
        <v>44956</v>
      </c>
      <c r="U421" s="177"/>
      <c r="V421" s="177">
        <v>44956</v>
      </c>
      <c r="W421" s="177"/>
      <c r="X421" s="177"/>
      <c r="Y421" s="177"/>
      <c r="Z421" s="177"/>
      <c r="AA421" s="177"/>
      <c r="AB421" s="177"/>
      <c r="AC421" s="177"/>
      <c r="AD421" s="180" t="s">
        <v>1593</v>
      </c>
      <c r="AE421" s="173" t="s">
        <v>69</v>
      </c>
      <c r="AF421" s="181" t="s">
        <v>142</v>
      </c>
      <c r="AG421" s="192" t="s">
        <v>1657</v>
      </c>
      <c r="AH421" s="198"/>
      <c r="AI421" s="181">
        <v>44849</v>
      </c>
      <c r="AJ421" s="181"/>
      <c r="AK421" s="181">
        <f ca="1">TODAY()</f>
        <v>44958</v>
      </c>
      <c r="AL421" s="173">
        <f ca="1">IF(AI421&lt;&gt;0,AK421-AI421,0)</f>
        <v>109</v>
      </c>
      <c r="AM421" s="173" t="str">
        <f>IF(ISNUMBER(X421)=TRUE,AK421-X421,IF(X421="","",(AK421)-(MID(RIGHT(X421,10),4,2)&amp;"/"&amp;LEFT((RIGHT(X421,10)),2)&amp;"/"&amp;RIGHT(X421,4))))</f>
        <v/>
      </c>
      <c r="AN421" s="181"/>
      <c r="AO421" s="190" t="s">
        <v>1658</v>
      </c>
      <c r="AP421" s="176">
        <v>10.395</v>
      </c>
      <c r="AQ421" s="176">
        <v>10.404999999999999</v>
      </c>
      <c r="AR421" s="176">
        <v>10.429999999999998</v>
      </c>
      <c r="AS421" s="176">
        <v>10.434999999999999</v>
      </c>
      <c r="AT421" s="173" t="str">
        <f>IF(ISNUMBER(U421)=TRUE,AK421-U421,IF(U421="","",(AK421)-(MID(RIGHT(U421,10),4,2)&amp;"/"&amp;LEFT((RIGHT(U421,10)),2)&amp;"/"&amp;RIGHT(U421,4))))</f>
        <v/>
      </c>
      <c r="AU421" s="173">
        <v>456</v>
      </c>
      <c r="AW421" s="142" t="s">
        <v>123</v>
      </c>
    </row>
    <row r="422" spans="2:49" s="142" customFormat="1" ht="21" customHeight="1" x14ac:dyDescent="0.25">
      <c r="B422" s="173" t="str">
        <f>IF(C422="HOLD RM","HOLD RM",IF(C422="BAL","WIP",IF(C422="HOLD SLT","HOLD SLT",IF(C422="MILL","RM",IF(C422="RE SLT","WIP",IF(C422="RM","RM",IF(C422="RM BAL","RM",IF(C422="RM SLT","RM",IF(C422="RR","WIP",IF(C422="SKP","WIP",IF(C422="SLT","WIP",IF(C422="CTL","WIP",IF(C422="RM SLT RUST","RM SLT RUST",0)))))))))))))&amp;"-"&amp;G422&amp;"/"&amp;IF(H422="2B","2B",IF(H422="NO.1","1D",IF(H422="FH","FH",0)))&amp;"-"&amp;IF(J422="",(TEXT(I422,"0.00")),TEXT(J422,"0.00"))&amp;"X"&amp;M422</f>
        <v>WIP-304L/FH-1.45X638</v>
      </c>
      <c r="C422" s="173" t="s">
        <v>16</v>
      </c>
      <c r="D422" s="173" t="s">
        <v>16</v>
      </c>
      <c r="E422" s="190" t="s">
        <v>1659</v>
      </c>
      <c r="F422" s="190" t="s">
        <v>1660</v>
      </c>
      <c r="G422" s="173" t="s">
        <v>182</v>
      </c>
      <c r="H422" s="173" t="s">
        <v>70</v>
      </c>
      <c r="I422" s="174">
        <v>3.88</v>
      </c>
      <c r="J422" s="174">
        <v>1.45</v>
      </c>
      <c r="K422" s="174"/>
      <c r="L422" s="174"/>
      <c r="M422" s="191">
        <v>638</v>
      </c>
      <c r="N422" s="176">
        <v>10.414999999999999</v>
      </c>
      <c r="O422" s="176" t="s">
        <v>114</v>
      </c>
      <c r="P422" s="177"/>
      <c r="Q422" s="178" t="s">
        <v>1592</v>
      </c>
      <c r="R422" s="179"/>
      <c r="S422" s="179"/>
      <c r="T422" s="177">
        <v>44947</v>
      </c>
      <c r="U422" s="177"/>
      <c r="V422" s="177"/>
      <c r="W422" s="177">
        <v>44956</v>
      </c>
      <c r="X422" s="177"/>
      <c r="Y422" s="177"/>
      <c r="Z422" s="177"/>
      <c r="AA422" s="177"/>
      <c r="AB422" s="177"/>
      <c r="AC422" s="177"/>
      <c r="AD422" s="180" t="s">
        <v>1609</v>
      </c>
      <c r="AE422" s="173" t="s">
        <v>69</v>
      </c>
      <c r="AF422" s="181" t="s">
        <v>142</v>
      </c>
      <c r="AG422" s="192" t="s">
        <v>1657</v>
      </c>
      <c r="AH422" s="198"/>
      <c r="AI422" s="181">
        <v>44849</v>
      </c>
      <c r="AJ422" s="181"/>
      <c r="AK422" s="181">
        <f ca="1">TODAY()</f>
        <v>44958</v>
      </c>
      <c r="AL422" s="173">
        <f ca="1">IF(AI422&lt;&gt;0,AK422-AI422,0)</f>
        <v>109</v>
      </c>
      <c r="AM422" s="173" t="str">
        <f>IF(ISNUMBER(X422)=TRUE,AK422-X422,IF(X422="","",(AK422)-(MID(RIGHT(X422,10),4,2)&amp;"/"&amp;LEFT((RIGHT(X422,10)),2)&amp;"/"&amp;RIGHT(X422,4))))</f>
        <v/>
      </c>
      <c r="AN422" s="181"/>
      <c r="AO422" s="190" t="s">
        <v>1661</v>
      </c>
      <c r="AP422" s="176">
        <v>10.414999999999999</v>
      </c>
      <c r="AQ422" s="176">
        <v>10.425000000000001</v>
      </c>
      <c r="AR422" s="176">
        <v>10.45</v>
      </c>
      <c r="AS422" s="176">
        <v>10.455</v>
      </c>
      <c r="AT422" s="173" t="str">
        <f>IF(ISNUMBER(U422)=TRUE,AK422-U422,IF(U422="","",(AK422)-(MID(RIGHT(U422,10),4,2)&amp;"/"&amp;LEFT((RIGHT(U422,10)),2)&amp;"/"&amp;RIGHT(U422,4))))</f>
        <v/>
      </c>
      <c r="AU422" s="173">
        <v>456</v>
      </c>
      <c r="AW422" s="142" t="s">
        <v>123</v>
      </c>
    </row>
    <row r="423" spans="2:49" s="142" customFormat="1" ht="21" customHeight="1" x14ac:dyDescent="0.25">
      <c r="B423" s="173" t="str">
        <f>IF(C423="HOLD RM","HOLD RM",IF(C423="BAL","WIP",IF(C423="HOLD SLT","HOLD SLT",IF(C423="MILL","RM",IF(C423="RE SLT","WIP",IF(C423="RM","RM",IF(C423="RM BAL","RM",IF(C423="RM SLT","RM",IF(C423="RR","WIP",IF(C423="SKP","WIP",IF(C423="SLT","WIP",IF(C423="CTL","WIP",IF(C423="RM SLT RUST","RM SLT RUST",0)))))))))))))&amp;"-"&amp;G423&amp;"/"&amp;IF(H423="2B","2B",IF(H423="NO.1","1D",IF(H423="FH","FH",0)))&amp;"-"&amp;IF(J423="",(TEXT(I423,"0.00")),TEXT(J423,"0.00"))&amp;"X"&amp;M423</f>
        <v>WIP-304L/FH-2.00X643</v>
      </c>
      <c r="C423" s="173" t="s">
        <v>16</v>
      </c>
      <c r="D423" s="173" t="s">
        <v>16</v>
      </c>
      <c r="E423" s="190" t="s">
        <v>1662</v>
      </c>
      <c r="F423" s="190" t="s">
        <v>1663</v>
      </c>
      <c r="G423" s="173" t="s">
        <v>182</v>
      </c>
      <c r="H423" s="173" t="s">
        <v>70</v>
      </c>
      <c r="I423" s="174">
        <v>3.95</v>
      </c>
      <c r="J423" s="174">
        <v>2</v>
      </c>
      <c r="K423" s="174"/>
      <c r="L423" s="174"/>
      <c r="M423" s="191">
        <v>643</v>
      </c>
      <c r="N423" s="176">
        <v>10.585000000000001</v>
      </c>
      <c r="O423" s="176" t="s">
        <v>114</v>
      </c>
      <c r="P423" s="177"/>
      <c r="Q423" s="178" t="s">
        <v>1210</v>
      </c>
      <c r="R423" s="179"/>
      <c r="S423" s="179"/>
      <c r="T423" s="177">
        <v>44954</v>
      </c>
      <c r="U423" s="177"/>
      <c r="V423" s="177">
        <v>44955</v>
      </c>
      <c r="W423" s="177"/>
      <c r="X423" s="177"/>
      <c r="Y423" s="177"/>
      <c r="Z423" s="177"/>
      <c r="AA423" s="177"/>
      <c r="AB423" s="177"/>
      <c r="AC423" s="177"/>
      <c r="AD423" s="180" t="s">
        <v>1593</v>
      </c>
      <c r="AE423" s="173" t="s">
        <v>69</v>
      </c>
      <c r="AF423" s="181" t="s">
        <v>142</v>
      </c>
      <c r="AG423" s="192" t="s">
        <v>1657</v>
      </c>
      <c r="AH423" s="198"/>
      <c r="AI423" s="181">
        <v>44849</v>
      </c>
      <c r="AJ423" s="181"/>
      <c r="AK423" s="181">
        <f ca="1">TODAY()</f>
        <v>44958</v>
      </c>
      <c r="AL423" s="173">
        <f ca="1">IF(AI423&lt;&gt;0,AK423-AI423,0)</f>
        <v>109</v>
      </c>
      <c r="AM423" s="173" t="str">
        <f>IF(ISNUMBER(X423)=TRUE,AK423-X423,IF(X423="","",(AK423)-(MID(RIGHT(X423,10),4,2)&amp;"/"&amp;LEFT((RIGHT(X423,10)),2)&amp;"/"&amp;RIGHT(X423,4))))</f>
        <v/>
      </c>
      <c r="AN423" s="181"/>
      <c r="AO423" s="190" t="s">
        <v>1664</v>
      </c>
      <c r="AP423" s="176">
        <v>10.574999999999999</v>
      </c>
      <c r="AQ423" s="176">
        <v>10.585000000000001</v>
      </c>
      <c r="AR423" s="176">
        <v>10.61</v>
      </c>
      <c r="AS423" s="176">
        <v>10.615</v>
      </c>
      <c r="AT423" s="173" t="str">
        <f>IF(ISNUMBER(U423)=TRUE,AK423-U423,IF(U423="","",(AK423)-(MID(RIGHT(U423,10),4,2)&amp;"/"&amp;LEFT((RIGHT(U423,10)),2)&amp;"/"&amp;RIGHT(U423,4))))</f>
        <v/>
      </c>
      <c r="AU423" s="173">
        <v>456</v>
      </c>
      <c r="AW423" s="142" t="s">
        <v>123</v>
      </c>
    </row>
    <row r="424" spans="2:49" s="142" customFormat="1" ht="21" customHeight="1" x14ac:dyDescent="0.25">
      <c r="B424" s="173" t="str">
        <f>IF(C424="HOLD RM","HOLD RM",IF(C424="BAL","WIP",IF(C424="HOLD SLT","HOLD SLT",IF(C424="MILL","RM",IF(C424="RE SLT","WIP",IF(C424="RM","RM",IF(C424="RM BAL","RM",IF(C424="RM SLT","RM",IF(C424="RR","WIP",IF(C424="SKP","WIP",IF(C424="SLT","WIP",IF(C424="CTL","WIP",IF(C424="RM SLT RUST","RM SLT RUST",0)))))))))))))&amp;"-"&amp;G424&amp;"/"&amp;IF(H424="2B","2B",IF(H424="NO.1","1D",IF(H424="FH","FH",0)))&amp;"-"&amp;IF(J424="",(TEXT(I424,"0.00")),TEXT(J424,"0.00"))&amp;"X"&amp;M424</f>
        <v>WIP-304/FH-1.15X643</v>
      </c>
      <c r="C424" s="173" t="s">
        <v>16</v>
      </c>
      <c r="D424" s="173" t="s">
        <v>16</v>
      </c>
      <c r="E424" s="190" t="s">
        <v>1665</v>
      </c>
      <c r="F424" s="190" t="s">
        <v>1666</v>
      </c>
      <c r="G424" s="173">
        <v>304</v>
      </c>
      <c r="H424" s="173" t="s">
        <v>70</v>
      </c>
      <c r="I424" s="174">
        <v>3.51</v>
      </c>
      <c r="J424" s="174">
        <v>1.1499999999999999</v>
      </c>
      <c r="K424" s="174"/>
      <c r="L424" s="174"/>
      <c r="M424" s="191">
        <v>643</v>
      </c>
      <c r="N424" s="176">
        <v>10.625</v>
      </c>
      <c r="O424" s="176" t="s">
        <v>114</v>
      </c>
      <c r="P424" s="177"/>
      <c r="Q424" s="178" t="s">
        <v>1592</v>
      </c>
      <c r="R424" s="179"/>
      <c r="S424" s="179"/>
      <c r="T424" s="177"/>
      <c r="U424" s="177">
        <v>44953</v>
      </c>
      <c r="V424" s="177"/>
      <c r="W424" s="177">
        <v>44956</v>
      </c>
      <c r="X424" s="177"/>
      <c r="Y424" s="177"/>
      <c r="Z424" s="177"/>
      <c r="AA424" s="177"/>
      <c r="AB424" s="177"/>
      <c r="AC424" s="177"/>
      <c r="AD424" s="180" t="s">
        <v>1643</v>
      </c>
      <c r="AE424" s="173" t="s">
        <v>69</v>
      </c>
      <c r="AF424" s="181" t="s">
        <v>142</v>
      </c>
      <c r="AG424" s="192" t="s">
        <v>1657</v>
      </c>
      <c r="AH424" s="198"/>
      <c r="AI424" s="181">
        <v>44849</v>
      </c>
      <c r="AJ424" s="181"/>
      <c r="AK424" s="181">
        <f ca="1">TODAY()</f>
        <v>44958</v>
      </c>
      <c r="AL424" s="173">
        <f ca="1">IF(AI424&lt;&gt;0,AK424-AI424,0)</f>
        <v>109</v>
      </c>
      <c r="AM424" s="173" t="str">
        <f>IF(ISNUMBER(X424)=TRUE,AK424-X424,IF(X424="","",(AK424)-(MID(RIGHT(X424,10),4,2)&amp;"/"&amp;LEFT((RIGHT(X424,10)),2)&amp;"/"&amp;RIGHT(X424,4))))</f>
        <v/>
      </c>
      <c r="AN424" s="181"/>
      <c r="AO424" s="190" t="s">
        <v>1667</v>
      </c>
      <c r="AP424" s="176">
        <v>10.63</v>
      </c>
      <c r="AQ424" s="176">
        <v>10.64</v>
      </c>
      <c r="AR424" s="176">
        <v>10.664999999999999</v>
      </c>
      <c r="AS424" s="176">
        <v>10.67</v>
      </c>
      <c r="AT424" s="173">
        <f ca="1">IF(ISNUMBER(U424)=TRUE,AK424-U424,IF(U424="","",(AK424)-(MID(RIGHT(U424,10),4,2)&amp;"/"&amp;LEFT((RIGHT(U424,10)),2)&amp;"/"&amp;RIGHT(U424,4))))</f>
        <v>5</v>
      </c>
      <c r="AU424" s="173">
        <v>456</v>
      </c>
      <c r="AW424" s="142" t="s">
        <v>123</v>
      </c>
    </row>
    <row r="425" spans="2:49" s="142" customFormat="1" ht="21" customHeight="1" x14ac:dyDescent="0.25">
      <c r="B425" s="173" t="str">
        <f>IF(C425="HOLD RM","HOLD RM",IF(C425="BAL","WIP",IF(C425="HOLD SLT","HOLD SLT",IF(C425="MILL","RM",IF(C425="RE SLT","WIP",IF(C425="RM","RM",IF(C425="RM BAL","RM",IF(C425="RM SLT","RM",IF(C425="RR","WIP",IF(C425="SKP","WIP",IF(C425="SLT","WIP",IF(C425="CTL","WIP",IF(C425="RM SLT RUST","RM SLT RUST",0)))))))))))))&amp;"-"&amp;G425&amp;"/"&amp;IF(H425="2B","2B",IF(H425="NO.1","1D",IF(H425="FH","FH",0)))&amp;"-"&amp;IF(J425="",(TEXT(I425,"0.00")),TEXT(J425,"0.00"))&amp;"X"&amp;M425</f>
        <v>WIP-304L/FH-1.15X643</v>
      </c>
      <c r="C425" s="173" t="s">
        <v>16</v>
      </c>
      <c r="D425" s="173" t="s">
        <v>16</v>
      </c>
      <c r="E425" s="190" t="s">
        <v>1668</v>
      </c>
      <c r="F425" s="190" t="s">
        <v>1669</v>
      </c>
      <c r="G425" s="173" t="s">
        <v>182</v>
      </c>
      <c r="H425" s="173" t="s">
        <v>70</v>
      </c>
      <c r="I425" s="174">
        <v>3.1</v>
      </c>
      <c r="J425" s="174">
        <v>1.1499999999999999</v>
      </c>
      <c r="K425" s="174"/>
      <c r="L425" s="174"/>
      <c r="M425" s="191">
        <v>643</v>
      </c>
      <c r="N425" s="176">
        <v>10.67</v>
      </c>
      <c r="O425" s="176" t="s">
        <v>114</v>
      </c>
      <c r="P425" s="177"/>
      <c r="Q425" s="178" t="s">
        <v>1592</v>
      </c>
      <c r="R425" s="179"/>
      <c r="S425" s="179"/>
      <c r="T425" s="177">
        <v>44945</v>
      </c>
      <c r="U425" s="177">
        <v>44946</v>
      </c>
      <c r="V425" s="177"/>
      <c r="W425" s="177">
        <v>44946</v>
      </c>
      <c r="X425" s="177"/>
      <c r="Y425" s="177"/>
      <c r="Z425" s="177"/>
      <c r="AA425" s="177"/>
      <c r="AB425" s="177"/>
      <c r="AC425" s="177"/>
      <c r="AD425" s="180" t="s">
        <v>1605</v>
      </c>
      <c r="AE425" s="173" t="s">
        <v>69</v>
      </c>
      <c r="AF425" s="181" t="s">
        <v>142</v>
      </c>
      <c r="AG425" s="192" t="s">
        <v>1657</v>
      </c>
      <c r="AH425" s="198"/>
      <c r="AI425" s="181">
        <v>44849</v>
      </c>
      <c r="AJ425" s="181"/>
      <c r="AK425" s="181">
        <f ca="1">TODAY()</f>
        <v>44958</v>
      </c>
      <c r="AL425" s="173">
        <f ca="1">IF(AI425&lt;&gt;0,AK425-AI425,0)</f>
        <v>109</v>
      </c>
      <c r="AM425" s="173" t="str">
        <f>IF(ISNUMBER(X425)=TRUE,AK425-X425,IF(X425="","",(AK425)-(MID(RIGHT(X425,10),4,2)&amp;"/"&amp;LEFT((RIGHT(X425,10)),2)&amp;"/"&amp;RIGHT(X425,4))))</f>
        <v/>
      </c>
      <c r="AN425" s="181"/>
      <c r="AO425" s="190" t="s">
        <v>1670</v>
      </c>
      <c r="AP425" s="176">
        <v>10.67</v>
      </c>
      <c r="AQ425" s="176">
        <v>10.68</v>
      </c>
      <c r="AR425" s="176">
        <v>10.704999999999998</v>
      </c>
      <c r="AS425" s="176">
        <v>10.709999999999999</v>
      </c>
      <c r="AT425" s="173">
        <f ca="1">IF(ISNUMBER(U425)=TRUE,AK425-U425,IF(U425="","",(AK425)-(MID(RIGHT(U425,10),4,2)&amp;"/"&amp;LEFT((RIGHT(U425,10)),2)&amp;"/"&amp;RIGHT(U425,4))))</f>
        <v>12</v>
      </c>
      <c r="AU425" s="173">
        <v>456</v>
      </c>
      <c r="AW425" s="142" t="s">
        <v>123</v>
      </c>
    </row>
    <row r="426" spans="2:49" s="142" customFormat="1" ht="21" customHeight="1" x14ac:dyDescent="0.25">
      <c r="B426" s="173" t="str">
        <f>IF(C426="HOLD RM","HOLD RM",IF(C426="BAL","WIP",IF(C426="HOLD SLT","HOLD SLT",IF(C426="MILL","RM",IF(C426="RE SLT","WIP",IF(C426="RM","RM",IF(C426="RM BAL","RM",IF(C426="RM SLT","RM",IF(C426="RR","WIP",IF(C426="SKP","WIP",IF(C426="SLT","WIP",IF(C426="CTL","WIP",IF(C426="RM SLT RUST","RM SLT RUST",0)))))))))))))&amp;"-"&amp;G426&amp;"/"&amp;IF(H426="2B","2B",IF(H426="NO.1","1D",IF(H426="FH","FH",0)))&amp;"-"&amp;IF(J426="",(TEXT(I426,"0.00")),TEXT(J426,"0.00"))&amp;"X"&amp;M426</f>
        <v>WIP-304L/FH-1.15X643</v>
      </c>
      <c r="C426" s="173" t="s">
        <v>16</v>
      </c>
      <c r="D426" s="173" t="s">
        <v>16</v>
      </c>
      <c r="E426" s="190" t="s">
        <v>1671</v>
      </c>
      <c r="F426" s="190" t="s">
        <v>1672</v>
      </c>
      <c r="G426" s="173" t="s">
        <v>182</v>
      </c>
      <c r="H426" s="173" t="s">
        <v>70</v>
      </c>
      <c r="I426" s="174">
        <v>2.99</v>
      </c>
      <c r="J426" s="174">
        <v>1.1499999999999999</v>
      </c>
      <c r="K426" s="174"/>
      <c r="L426" s="174"/>
      <c r="M426" s="191">
        <v>643</v>
      </c>
      <c r="N426" s="176">
        <v>10.72</v>
      </c>
      <c r="O426" s="176" t="s">
        <v>114</v>
      </c>
      <c r="P426" s="177"/>
      <c r="Q426" s="178" t="s">
        <v>1592</v>
      </c>
      <c r="R426" s="179"/>
      <c r="S426" s="179"/>
      <c r="T426" s="177"/>
      <c r="U426" s="177">
        <v>44955</v>
      </c>
      <c r="V426" s="177"/>
      <c r="W426" s="177">
        <v>44956</v>
      </c>
      <c r="X426" s="177"/>
      <c r="Y426" s="177"/>
      <c r="Z426" s="177"/>
      <c r="AA426" s="177"/>
      <c r="AB426" s="177"/>
      <c r="AC426" s="177"/>
      <c r="AD426" s="180" t="s">
        <v>1593</v>
      </c>
      <c r="AE426" s="173" t="s">
        <v>69</v>
      </c>
      <c r="AF426" s="181" t="s">
        <v>142</v>
      </c>
      <c r="AG426" s="192" t="s">
        <v>1657</v>
      </c>
      <c r="AH426" s="198"/>
      <c r="AI426" s="181">
        <v>44849</v>
      </c>
      <c r="AJ426" s="181"/>
      <c r="AK426" s="181">
        <f ca="1">TODAY()</f>
        <v>44958</v>
      </c>
      <c r="AL426" s="173">
        <f ca="1">IF(AI426&lt;&gt;0,AK426-AI426,0)</f>
        <v>109</v>
      </c>
      <c r="AM426" s="173" t="str">
        <f>IF(ISNUMBER(X426)=TRUE,AK426-X426,IF(X426="","",(AK426)-(MID(RIGHT(X426,10),4,2)&amp;"/"&amp;LEFT((RIGHT(X426,10)),2)&amp;"/"&amp;RIGHT(X426,4))))</f>
        <v/>
      </c>
      <c r="AN426" s="181"/>
      <c r="AO426" s="190" t="s">
        <v>1673</v>
      </c>
      <c r="AP426" s="176">
        <v>10.71</v>
      </c>
      <c r="AQ426" s="176">
        <v>10.72</v>
      </c>
      <c r="AR426" s="176">
        <v>10.744999999999999</v>
      </c>
      <c r="AS426" s="176">
        <v>10.75</v>
      </c>
      <c r="AT426" s="173">
        <f ca="1">IF(ISNUMBER(U426)=TRUE,AK426-U426,IF(U426="","",(AK426)-(MID(RIGHT(U426,10),4,2)&amp;"/"&amp;LEFT((RIGHT(U426,10)),2)&amp;"/"&amp;RIGHT(U426,4))))</f>
        <v>3</v>
      </c>
      <c r="AU426" s="173">
        <v>456</v>
      </c>
      <c r="AW426" s="142" t="s">
        <v>123</v>
      </c>
    </row>
    <row r="427" spans="2:49" s="142" customFormat="1" ht="21" customHeight="1" x14ac:dyDescent="0.25">
      <c r="B427" s="173" t="str">
        <f>IF(C427="HOLD RM","HOLD RM",IF(C427="BAL","WIP",IF(C427="HOLD SLT","HOLD SLT",IF(C427="MILL","RM",IF(C427="RE SLT","WIP",IF(C427="RM","RM",IF(C427="RM BAL","RM",IF(C427="RM SLT","RM",IF(C427="RR","WIP",IF(C427="SKP","WIP",IF(C427="SLT","WIP",IF(C427="CTL","WIP",IF(C427="RM SLT RUST","RM SLT RUST",0)))))))))))))&amp;"-"&amp;G427&amp;"/"&amp;IF(H427="2B","2B",IF(H427="NO.1","1D",IF(H427="FH","FH",0)))&amp;"-"&amp;IF(J427="",(TEXT(I427,"0.00")),TEXT(J427,"0.00"))&amp;"X"&amp;M427</f>
        <v>WIP-304L/FH-1.45X642</v>
      </c>
      <c r="C427" s="173" t="s">
        <v>16</v>
      </c>
      <c r="D427" s="173" t="s">
        <v>16</v>
      </c>
      <c r="E427" s="190" t="s">
        <v>1674</v>
      </c>
      <c r="F427" s="190" t="s">
        <v>1675</v>
      </c>
      <c r="G427" s="173" t="s">
        <v>182</v>
      </c>
      <c r="H427" s="173" t="s">
        <v>70</v>
      </c>
      <c r="I427" s="174">
        <v>3.79</v>
      </c>
      <c r="J427" s="174">
        <v>1.45</v>
      </c>
      <c r="K427" s="174"/>
      <c r="L427" s="174"/>
      <c r="M427" s="191">
        <v>642</v>
      </c>
      <c r="N427" s="176">
        <v>10.664999999999999</v>
      </c>
      <c r="O427" s="176" t="s">
        <v>114</v>
      </c>
      <c r="P427" s="177"/>
      <c r="Q427" s="178" t="s">
        <v>1592</v>
      </c>
      <c r="R427" s="179"/>
      <c r="S427" s="179"/>
      <c r="T427" s="177">
        <v>44956</v>
      </c>
      <c r="U427" s="177"/>
      <c r="V427" s="177">
        <v>44957</v>
      </c>
      <c r="W427" s="177"/>
      <c r="X427" s="177"/>
      <c r="Y427" s="177"/>
      <c r="Z427" s="177"/>
      <c r="AA427" s="177"/>
      <c r="AB427" s="177"/>
      <c r="AC427" s="177"/>
      <c r="AD427" s="180" t="s">
        <v>1593</v>
      </c>
      <c r="AE427" s="173" t="s">
        <v>69</v>
      </c>
      <c r="AF427" s="181" t="s">
        <v>142</v>
      </c>
      <c r="AG427" s="192" t="s">
        <v>1657</v>
      </c>
      <c r="AH427" s="198"/>
      <c r="AI427" s="181">
        <v>44849</v>
      </c>
      <c r="AJ427" s="181"/>
      <c r="AK427" s="181">
        <f ca="1">TODAY()</f>
        <v>44958</v>
      </c>
      <c r="AL427" s="173">
        <f ca="1">IF(AI427&lt;&gt;0,AK427-AI427,0)</f>
        <v>109</v>
      </c>
      <c r="AM427" s="173" t="str">
        <f>IF(ISNUMBER(X427)=TRUE,AK427-X427,IF(X427="","",(AK427)-(MID(RIGHT(X427,10),4,2)&amp;"/"&amp;LEFT((RIGHT(X427,10)),2)&amp;"/"&amp;RIGHT(X427,4))))</f>
        <v/>
      </c>
      <c r="AN427" s="181"/>
      <c r="AO427" s="190" t="s">
        <v>1676</v>
      </c>
      <c r="AP427" s="176">
        <v>10.645</v>
      </c>
      <c r="AQ427" s="176">
        <v>10.654999999999999</v>
      </c>
      <c r="AR427" s="176">
        <v>10.679999999999998</v>
      </c>
      <c r="AS427" s="176">
        <v>10.684999999999999</v>
      </c>
      <c r="AT427" s="173" t="str">
        <f>IF(ISNUMBER(U427)=TRUE,AK427-U427,IF(U427="","",(AK427)-(MID(RIGHT(U427,10),4,2)&amp;"/"&amp;LEFT((RIGHT(U427,10)),2)&amp;"/"&amp;RIGHT(U427,4))))</f>
        <v/>
      </c>
      <c r="AU427" s="173">
        <v>456</v>
      </c>
      <c r="AW427" s="142" t="s">
        <v>123</v>
      </c>
    </row>
    <row r="428" spans="2:49" s="142" customFormat="1" ht="21" customHeight="1" x14ac:dyDescent="0.25">
      <c r="B428" s="173" t="str">
        <f>IF(C428="HOLD RM","HOLD RM",IF(C428="BAL","WIP",IF(C428="HOLD SLT","HOLD SLT",IF(C428="MILL","RM",IF(C428="RE SLT","WIP",IF(C428="RM","RM",IF(C428="RM BAL","RM",IF(C428="RM SLT","RM",IF(C428="RR","WIP",IF(C428="SKP","WIP",IF(C428="SLT","WIP",IF(C428="CTL","WIP",IF(C428="RM SLT RUST","RM SLT RUST",0)))))))))))))&amp;"-"&amp;G428&amp;"/"&amp;IF(H428="2B","2B",IF(H428="NO.1","1D",IF(H428="FH","FH",0)))&amp;"-"&amp;IF(J428="",(TEXT(I428,"0.00")),TEXT(J428,"0.00"))&amp;"X"&amp;M428</f>
        <v>WIP-304L/FH-1.15X643</v>
      </c>
      <c r="C428" s="173" t="s">
        <v>16</v>
      </c>
      <c r="D428" s="173" t="s">
        <v>16</v>
      </c>
      <c r="E428" s="190" t="s">
        <v>1677</v>
      </c>
      <c r="F428" s="190" t="s">
        <v>1678</v>
      </c>
      <c r="G428" s="173" t="s">
        <v>182</v>
      </c>
      <c r="H428" s="173" t="s">
        <v>70</v>
      </c>
      <c r="I428" s="174">
        <v>3.5</v>
      </c>
      <c r="J428" s="174">
        <v>1.1499999999999999</v>
      </c>
      <c r="K428" s="174"/>
      <c r="L428" s="174"/>
      <c r="M428" s="191">
        <v>643</v>
      </c>
      <c r="N428" s="176">
        <v>10.664999999999999</v>
      </c>
      <c r="O428" s="176" t="s">
        <v>114</v>
      </c>
      <c r="P428" s="177"/>
      <c r="Q428" s="178" t="s">
        <v>1592</v>
      </c>
      <c r="R428" s="179"/>
      <c r="S428" s="179"/>
      <c r="T428" s="177">
        <v>44943</v>
      </c>
      <c r="U428" s="177">
        <v>44946</v>
      </c>
      <c r="V428" s="177"/>
      <c r="W428" s="177">
        <v>44946</v>
      </c>
      <c r="X428" s="177"/>
      <c r="Y428" s="177"/>
      <c r="Z428" s="177"/>
      <c r="AA428" s="177"/>
      <c r="AB428" s="177"/>
      <c r="AC428" s="177"/>
      <c r="AD428" s="180" t="s">
        <v>1605</v>
      </c>
      <c r="AE428" s="173" t="s">
        <v>69</v>
      </c>
      <c r="AF428" s="181" t="s">
        <v>142</v>
      </c>
      <c r="AG428" s="192" t="s">
        <v>1657</v>
      </c>
      <c r="AH428" s="198"/>
      <c r="AI428" s="181">
        <v>44849</v>
      </c>
      <c r="AJ428" s="181"/>
      <c r="AK428" s="181">
        <f ca="1">TODAY()</f>
        <v>44958</v>
      </c>
      <c r="AL428" s="173">
        <f ca="1">IF(AI428&lt;&gt;0,AK428-AI428,0)</f>
        <v>109</v>
      </c>
      <c r="AM428" s="173" t="str">
        <f>IF(ISNUMBER(X428)=TRUE,AK428-X428,IF(X428="","",(AK428)-(MID(RIGHT(X428,10),4,2)&amp;"/"&amp;LEFT((RIGHT(X428,10)),2)&amp;"/"&amp;RIGHT(X428,4))))</f>
        <v/>
      </c>
      <c r="AN428" s="181"/>
      <c r="AO428" s="190" t="s">
        <v>1679</v>
      </c>
      <c r="AP428" s="176">
        <v>10.664999999999999</v>
      </c>
      <c r="AQ428" s="176">
        <v>10.675000000000001</v>
      </c>
      <c r="AR428" s="176">
        <v>10.7</v>
      </c>
      <c r="AS428" s="176">
        <v>10.705</v>
      </c>
      <c r="AT428" s="173">
        <f ca="1">IF(ISNUMBER(U428)=TRUE,AK428-U428,IF(U428="","",(AK428)-(MID(RIGHT(U428,10),4,2)&amp;"/"&amp;LEFT((RIGHT(U428,10)),2)&amp;"/"&amp;RIGHT(U428,4))))</f>
        <v>12</v>
      </c>
      <c r="AU428" s="173">
        <v>456</v>
      </c>
      <c r="AW428" s="142" t="s">
        <v>123</v>
      </c>
    </row>
    <row r="429" spans="2:49" s="142" customFormat="1" ht="21" customHeight="1" x14ac:dyDescent="0.25">
      <c r="B429" s="173" t="str">
        <f>IF(C429="HOLD RM","HOLD RM",IF(C429="BAL","WIP",IF(C429="HOLD SLT","HOLD SLT",IF(C429="MILL","RM",IF(C429="RE SLT","WIP",IF(C429="RM","RM",IF(C429="RM BAL","RM",IF(C429="RM SLT","RM",IF(C429="RR","WIP",IF(C429="SKP","WIP",IF(C429="SLT","WIP",IF(C429="CTL","WIP",IF(C429="RM SLT RUST","RM SLT RUST",0)))))))))))))&amp;"-"&amp;G429&amp;"/"&amp;IF(H429="2B","2B",IF(H429="NO.1","1D",IF(H429="FH","FH",0)))&amp;"-"&amp;IF(J429="",(TEXT(I429,"0.00")),TEXT(J429,"0.00"))&amp;"X"&amp;M429</f>
        <v>RM-304L/1D-3.90X638</v>
      </c>
      <c r="C429" s="173" t="s">
        <v>13</v>
      </c>
      <c r="D429" s="173" t="s">
        <v>13</v>
      </c>
      <c r="E429" s="190" t="s">
        <v>1680</v>
      </c>
      <c r="F429" s="190" t="s">
        <v>1681</v>
      </c>
      <c r="G429" s="173" t="s">
        <v>182</v>
      </c>
      <c r="H429" s="173" t="s">
        <v>127</v>
      </c>
      <c r="I429" s="174">
        <v>3.9</v>
      </c>
      <c r="J429" s="174"/>
      <c r="K429" s="174"/>
      <c r="L429" s="174"/>
      <c r="M429" s="191">
        <v>638</v>
      </c>
      <c r="N429" s="176">
        <v>10.545</v>
      </c>
      <c r="O429" s="176"/>
      <c r="P429" s="177"/>
      <c r="Q429" s="178"/>
      <c r="R429" s="179"/>
      <c r="S429" s="179"/>
      <c r="T429" s="177"/>
      <c r="U429" s="177">
        <v>44957</v>
      </c>
      <c r="V429" s="177"/>
      <c r="W429" s="177"/>
      <c r="X429" s="177"/>
      <c r="Y429" s="177"/>
      <c r="Z429" s="177"/>
      <c r="AA429" s="177"/>
      <c r="AB429" s="177"/>
      <c r="AC429" s="177"/>
      <c r="AD429" s="180" t="s">
        <v>1593</v>
      </c>
      <c r="AE429" s="173" t="s">
        <v>69</v>
      </c>
      <c r="AF429" s="181" t="s">
        <v>142</v>
      </c>
      <c r="AG429" s="192" t="s">
        <v>1657</v>
      </c>
      <c r="AH429" s="198"/>
      <c r="AI429" s="181">
        <v>44849</v>
      </c>
      <c r="AJ429" s="181"/>
      <c r="AK429" s="181">
        <f ca="1">TODAY()</f>
        <v>44958</v>
      </c>
      <c r="AL429" s="173">
        <f ca="1">IF(AI429&lt;&gt;0,AK429-AI429,0)</f>
        <v>109</v>
      </c>
      <c r="AM429" s="173" t="str">
        <f>IF(ISNUMBER(X429)=TRUE,AK429-X429,IF(X429="","",(AK429)-(MID(RIGHT(X429,10),4,2)&amp;"/"&amp;LEFT((RIGHT(X429,10)),2)&amp;"/"&amp;RIGHT(X429,4))))</f>
        <v/>
      </c>
      <c r="AN429" s="181"/>
      <c r="AO429" s="190" t="s">
        <v>1682</v>
      </c>
      <c r="AP429" s="176">
        <v>10.545</v>
      </c>
      <c r="AQ429" s="176">
        <v>10.555</v>
      </c>
      <c r="AR429" s="176">
        <v>10.579999999999998</v>
      </c>
      <c r="AS429" s="176">
        <v>10.584999999999999</v>
      </c>
      <c r="AT429" s="173">
        <f ca="1">IF(ISNUMBER(U429)=TRUE,AK429-U429,IF(U429="","",(AK429)-(MID(RIGHT(U429,10),4,2)&amp;"/"&amp;LEFT((RIGHT(U429,10)),2)&amp;"/"&amp;RIGHT(U429,4))))</f>
        <v>1</v>
      </c>
      <c r="AU429" s="173">
        <v>456</v>
      </c>
      <c r="AW429" s="142" t="s">
        <v>123</v>
      </c>
    </row>
    <row r="430" spans="2:49" s="142" customFormat="1" ht="21" customHeight="1" x14ac:dyDescent="0.25">
      <c r="B430" s="173" t="str">
        <f>IF(C430="HOLD RM","HOLD RM",IF(C430="BAL","WIP",IF(C430="HOLD SLT","HOLD SLT",IF(C430="MILL","RM",IF(C430="RE SLT","WIP",IF(C430="RM","RM",IF(C430="RM BAL","RM",IF(C430="RM SLT","RM",IF(C430="RR","WIP",IF(C430="SKP","WIP",IF(C430="SLT","WIP",IF(C430="CTL","WIP",IF(C430="RM SLT RUST","RM SLT RUST",0)))))))))))))&amp;"-"&amp;G430&amp;"/"&amp;IF(H430="2B","2B",IF(H430="NO.1","1D",IF(H430="FH","FH",0)))&amp;"-"&amp;IF(J430="",(TEXT(I430,"0.00")),TEXT(J430,"0.00"))&amp;"X"&amp;M430</f>
        <v>WIP-304L/FH-1.45X637</v>
      </c>
      <c r="C430" s="173" t="s">
        <v>16</v>
      </c>
      <c r="D430" s="173" t="s">
        <v>16</v>
      </c>
      <c r="E430" s="190" t="s">
        <v>1683</v>
      </c>
      <c r="F430" s="190" t="s">
        <v>1684</v>
      </c>
      <c r="G430" s="173" t="s">
        <v>182</v>
      </c>
      <c r="H430" s="173" t="s">
        <v>70</v>
      </c>
      <c r="I430" s="174">
        <v>3.9</v>
      </c>
      <c r="J430" s="174">
        <v>1.45</v>
      </c>
      <c r="K430" s="174"/>
      <c r="L430" s="174"/>
      <c r="M430" s="191">
        <v>637</v>
      </c>
      <c r="N430" s="176">
        <v>10.6</v>
      </c>
      <c r="O430" s="176" t="s">
        <v>114</v>
      </c>
      <c r="P430" s="177"/>
      <c r="Q430" s="178" t="s">
        <v>1592</v>
      </c>
      <c r="R430" s="179"/>
      <c r="S430" s="179"/>
      <c r="T430" s="177">
        <v>44956</v>
      </c>
      <c r="U430" s="177"/>
      <c r="V430" s="177">
        <v>44957</v>
      </c>
      <c r="W430" s="177"/>
      <c r="X430" s="177"/>
      <c r="Y430" s="177"/>
      <c r="Z430" s="177"/>
      <c r="AA430" s="177"/>
      <c r="AB430" s="177"/>
      <c r="AC430" s="177"/>
      <c r="AD430" s="180" t="s">
        <v>1593</v>
      </c>
      <c r="AE430" s="173" t="s">
        <v>69</v>
      </c>
      <c r="AF430" s="181" t="s">
        <v>142</v>
      </c>
      <c r="AG430" s="192" t="s">
        <v>1657</v>
      </c>
      <c r="AH430" s="198"/>
      <c r="AI430" s="181">
        <v>44849</v>
      </c>
      <c r="AJ430" s="181"/>
      <c r="AK430" s="181">
        <f ca="1">TODAY()</f>
        <v>44958</v>
      </c>
      <c r="AL430" s="173">
        <f ca="1">IF(AI430&lt;&gt;0,AK430-AI430,0)</f>
        <v>109</v>
      </c>
      <c r="AM430" s="173" t="str">
        <f>IF(ISNUMBER(X430)=TRUE,AK430-X430,IF(X430="","",(AK430)-(MID(RIGHT(X430,10),4,2)&amp;"/"&amp;LEFT((RIGHT(X430,10)),2)&amp;"/"&amp;RIGHT(X430,4))))</f>
        <v/>
      </c>
      <c r="AN430" s="181"/>
      <c r="AO430" s="190" t="s">
        <v>1685</v>
      </c>
      <c r="AP430" s="176">
        <v>10.58</v>
      </c>
      <c r="AQ430" s="176">
        <v>10.59</v>
      </c>
      <c r="AR430" s="176">
        <v>10.614999999999998</v>
      </c>
      <c r="AS430" s="176">
        <v>10.62</v>
      </c>
      <c r="AT430" s="173" t="str">
        <f>IF(ISNUMBER(U430)=TRUE,AK430-U430,IF(U430="","",(AK430)-(MID(RIGHT(U430,10),4,2)&amp;"/"&amp;LEFT((RIGHT(U430,10)),2)&amp;"/"&amp;RIGHT(U430,4))))</f>
        <v/>
      </c>
      <c r="AU430" s="173">
        <v>456</v>
      </c>
      <c r="AW430" s="142" t="s">
        <v>123</v>
      </c>
    </row>
    <row r="431" spans="2:49" s="142" customFormat="1" ht="21" customHeight="1" x14ac:dyDescent="0.25">
      <c r="B431" s="173" t="str">
        <f>IF(C431="HOLD RM","HOLD RM",IF(C431="BAL","WIP",IF(C431="HOLD SLT","HOLD SLT",IF(C431="MILL","RM",IF(C431="RE SLT","WIP",IF(C431="RM","RM",IF(C431="RM BAL","RM",IF(C431="RM SLT","RM",IF(C431="RR","WIP",IF(C431="SKP","WIP",IF(C431="SLT","WIP",IF(C431="CTL","WIP",IF(C431="RM SLT RUST","RM SLT RUST",0)))))))))))))&amp;"-"&amp;G431&amp;"/"&amp;IF(H431="2B","2B",IF(H431="NO.1","1D",IF(H431="FH","FH",0)))&amp;"-"&amp;IF(J431="",(TEXT(I431,"0.00")),TEXT(J431,"0.00"))&amp;"X"&amp;M431</f>
        <v>WIP-304L/FH-1.10X644</v>
      </c>
      <c r="C431" s="173" t="s">
        <v>16</v>
      </c>
      <c r="D431" s="173" t="s">
        <v>16</v>
      </c>
      <c r="E431" s="190" t="s">
        <v>1686</v>
      </c>
      <c r="F431" s="190" t="s">
        <v>1687</v>
      </c>
      <c r="G431" s="173" t="s">
        <v>182</v>
      </c>
      <c r="H431" s="173" t="s">
        <v>70</v>
      </c>
      <c r="I431" s="174">
        <v>2.79</v>
      </c>
      <c r="J431" s="174">
        <v>1.1000000000000001</v>
      </c>
      <c r="K431" s="174"/>
      <c r="L431" s="174"/>
      <c r="M431" s="191">
        <v>644</v>
      </c>
      <c r="N431" s="176">
        <v>1.44</v>
      </c>
      <c r="O431" s="176" t="s">
        <v>114</v>
      </c>
      <c r="P431" s="177"/>
      <c r="Q431" s="178" t="s">
        <v>115</v>
      </c>
      <c r="R431" s="179" t="s">
        <v>1688</v>
      </c>
      <c r="S431" s="179"/>
      <c r="T431" s="177">
        <v>44933</v>
      </c>
      <c r="U431" s="177">
        <v>44945</v>
      </c>
      <c r="V431" s="177"/>
      <c r="W431" s="177">
        <v>44935</v>
      </c>
      <c r="X431" s="177"/>
      <c r="Y431" s="177"/>
      <c r="Z431" s="177"/>
      <c r="AA431" s="177"/>
      <c r="AB431" s="177"/>
      <c r="AC431" s="177"/>
      <c r="AD431" s="180" t="s">
        <v>1619</v>
      </c>
      <c r="AE431" s="173" t="s">
        <v>69</v>
      </c>
      <c r="AF431" s="181" t="s">
        <v>142</v>
      </c>
      <c r="AG431" s="192" t="s">
        <v>1657</v>
      </c>
      <c r="AH431" s="198"/>
      <c r="AI431" s="181">
        <v>44849</v>
      </c>
      <c r="AJ431" s="181"/>
      <c r="AK431" s="181">
        <f ca="1">TODAY()</f>
        <v>44958</v>
      </c>
      <c r="AL431" s="173">
        <f ca="1">IF(AI431&lt;&gt;0,AK431-AI431,0)</f>
        <v>109</v>
      </c>
      <c r="AM431" s="173" t="str">
        <f>IF(ISNUMBER(X431)=TRUE,AK431-X431,IF(X431="","",(AK431)-(MID(RIGHT(X431,10),4,2)&amp;"/"&amp;LEFT((RIGHT(X431,10)),2)&amp;"/"&amp;RIGHT(X431,4))))</f>
        <v/>
      </c>
      <c r="AN431" s="181"/>
      <c r="AO431" s="190" t="s">
        <v>1689</v>
      </c>
      <c r="AP431" s="176">
        <v>10.725</v>
      </c>
      <c r="AQ431" s="176">
        <v>10.734999999999999</v>
      </c>
      <c r="AR431" s="176">
        <v>10.759999999999998</v>
      </c>
      <c r="AS431" s="176">
        <v>10.764999999999999</v>
      </c>
      <c r="AT431" s="173">
        <f ca="1">IF(ISNUMBER(U431)=TRUE,AK431-U431,IF(U431="","",(AK431)-(MID(RIGHT(U431,10),4,2)&amp;"/"&amp;LEFT((RIGHT(U431,10)),2)&amp;"/"&amp;RIGHT(U431,4))))</f>
        <v>13</v>
      </c>
      <c r="AU431" s="173">
        <v>456</v>
      </c>
      <c r="AW431" s="142" t="s">
        <v>123</v>
      </c>
    </row>
    <row r="432" spans="2:49" s="142" customFormat="1" ht="21" customHeight="1" x14ac:dyDescent="0.25">
      <c r="B432" s="173" t="str">
        <f>IF(C432="HOLD RM","HOLD RM",IF(C432="BAL","WIP",IF(C432="HOLD SLT","HOLD SLT",IF(C432="MILL","RM",IF(C432="RE SLT","WIP",IF(C432="RM","RM",IF(C432="RM BAL","RM",IF(C432="RM SLT","RM",IF(C432="RR","WIP",IF(C432="SKP","WIP",IF(C432="SLT","WIP",IF(C432="CTL","WIP",IF(C432="RM SLT RUST","RM SLT RUST",0)))))))))))))&amp;"-"&amp;G432&amp;"/"&amp;IF(H432="2B","2B",IF(H432="NO.1","1D",IF(H432="FH","FH",0)))&amp;"-"&amp;IF(J432="",(TEXT(I432,"0.00")),TEXT(J432,"0.00"))&amp;"X"&amp;M432</f>
        <v>RM-304L/1D-3.92X643</v>
      </c>
      <c r="C432" s="173" t="s">
        <v>48</v>
      </c>
      <c r="D432" s="173" t="s">
        <v>48</v>
      </c>
      <c r="E432" s="190" t="s">
        <v>1690</v>
      </c>
      <c r="F432" s="190" t="s">
        <v>1691</v>
      </c>
      <c r="G432" s="173" t="s">
        <v>182</v>
      </c>
      <c r="H432" s="173" t="s">
        <v>127</v>
      </c>
      <c r="I432" s="174">
        <v>3.92</v>
      </c>
      <c r="J432" s="174"/>
      <c r="K432" s="174"/>
      <c r="L432" s="174"/>
      <c r="M432" s="191">
        <v>643</v>
      </c>
      <c r="N432" s="176">
        <v>10.68</v>
      </c>
      <c r="O432" s="176"/>
      <c r="P432" s="177"/>
      <c r="Q432" s="178"/>
      <c r="R432" s="179"/>
      <c r="S432" s="179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80" t="s">
        <v>1593</v>
      </c>
      <c r="AE432" s="173" t="s">
        <v>69</v>
      </c>
      <c r="AF432" s="181" t="s">
        <v>142</v>
      </c>
      <c r="AG432" s="192" t="s">
        <v>1657</v>
      </c>
      <c r="AH432" s="198"/>
      <c r="AI432" s="181">
        <v>44849</v>
      </c>
      <c r="AJ432" s="181"/>
      <c r="AK432" s="181">
        <f ca="1">TODAY()</f>
        <v>44958</v>
      </c>
      <c r="AL432" s="173">
        <f ca="1">IF(AI432&lt;&gt;0,AK432-AI432,0)</f>
        <v>109</v>
      </c>
      <c r="AM432" s="173" t="str">
        <f>IF(ISNUMBER(X432)=TRUE,AK432-X432,IF(X432="","",(AK432)-(MID(RIGHT(X432,10),4,2)&amp;"/"&amp;LEFT((RIGHT(X432,10)),2)&amp;"/"&amp;RIGHT(X432,4))))</f>
        <v/>
      </c>
      <c r="AN432" s="181"/>
      <c r="AO432" s="190" t="s">
        <v>1692</v>
      </c>
      <c r="AP432" s="176">
        <v>10.68</v>
      </c>
      <c r="AQ432" s="176">
        <v>10.69</v>
      </c>
      <c r="AR432" s="176">
        <v>10.714999999999998</v>
      </c>
      <c r="AS432" s="176">
        <v>10.719999999999999</v>
      </c>
      <c r="AT432" s="173" t="str">
        <f>IF(ISNUMBER(U432)=TRUE,AK432-U432,IF(U432="","",(AK432)-(MID(RIGHT(U432,10),4,2)&amp;"/"&amp;LEFT((RIGHT(U432,10)),2)&amp;"/"&amp;RIGHT(U432,4))))</f>
        <v/>
      </c>
      <c r="AU432" s="173">
        <v>456</v>
      </c>
      <c r="AW432" s="142" t="s">
        <v>123</v>
      </c>
    </row>
    <row r="433" spans="2:49" s="142" customFormat="1" ht="21" customHeight="1" x14ac:dyDescent="0.25">
      <c r="B433" s="173" t="str">
        <f>IF(C433="HOLD RM","HOLD RM",IF(C433="BAL","WIP",IF(C433="HOLD SLT","HOLD SLT",IF(C433="MILL","RM",IF(C433="RE SLT","WIP",IF(C433="RM","RM",IF(C433="RM BAL","RM",IF(C433="RM SLT","RM",IF(C433="RR","WIP",IF(C433="SKP","WIP",IF(C433="SLT","WIP",IF(C433="CTL","WIP",IF(C433="RM SLT RUST","RM SLT RUST",0)))))))))))))&amp;"-"&amp;G433&amp;"/"&amp;IF(H433="2B","2B",IF(H433="NO.1","1D",IF(H433="FH","FH",0)))&amp;"-"&amp;IF(J433="",(TEXT(I433,"0.00")),TEXT(J433,"0.00"))&amp;"X"&amp;M433</f>
        <v>RM-304L/1D-3.92X642</v>
      </c>
      <c r="C433" s="173" t="s">
        <v>48</v>
      </c>
      <c r="D433" s="173" t="s">
        <v>48</v>
      </c>
      <c r="E433" s="190" t="s">
        <v>1693</v>
      </c>
      <c r="F433" s="190" t="s">
        <v>1694</v>
      </c>
      <c r="G433" s="173" t="s">
        <v>182</v>
      </c>
      <c r="H433" s="173" t="s">
        <v>127</v>
      </c>
      <c r="I433" s="174">
        <v>3.92</v>
      </c>
      <c r="J433" s="174"/>
      <c r="K433" s="174"/>
      <c r="L433" s="174"/>
      <c r="M433" s="191">
        <v>642</v>
      </c>
      <c r="N433" s="176">
        <v>10.66</v>
      </c>
      <c r="O433" s="176"/>
      <c r="P433" s="177"/>
      <c r="Q433" s="178"/>
      <c r="R433" s="179"/>
      <c r="S433" s="179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80" t="s">
        <v>1593</v>
      </c>
      <c r="AE433" s="173" t="s">
        <v>69</v>
      </c>
      <c r="AF433" s="181" t="s">
        <v>142</v>
      </c>
      <c r="AG433" s="192" t="s">
        <v>1657</v>
      </c>
      <c r="AH433" s="198"/>
      <c r="AI433" s="181">
        <v>44849</v>
      </c>
      <c r="AJ433" s="181"/>
      <c r="AK433" s="181">
        <f ca="1">TODAY()</f>
        <v>44958</v>
      </c>
      <c r="AL433" s="173">
        <f ca="1">IF(AI433&lt;&gt;0,AK433-AI433,0)</f>
        <v>109</v>
      </c>
      <c r="AM433" s="173" t="str">
        <f>IF(ISNUMBER(X433)=TRUE,AK433-X433,IF(X433="","",(AK433)-(MID(RIGHT(X433,10),4,2)&amp;"/"&amp;LEFT((RIGHT(X433,10)),2)&amp;"/"&amp;RIGHT(X433,4))))</f>
        <v/>
      </c>
      <c r="AN433" s="181"/>
      <c r="AO433" s="190" t="s">
        <v>1692</v>
      </c>
      <c r="AP433" s="176">
        <v>10.66</v>
      </c>
      <c r="AQ433" s="176">
        <v>10.67</v>
      </c>
      <c r="AR433" s="176">
        <v>10.694999999999999</v>
      </c>
      <c r="AS433" s="176">
        <v>10.7</v>
      </c>
      <c r="AT433" s="173" t="str">
        <f>IF(ISNUMBER(U433)=TRUE,AK433-U433,IF(U433="","",(AK433)-(MID(RIGHT(U433,10),4,2)&amp;"/"&amp;LEFT((RIGHT(U433,10)),2)&amp;"/"&amp;RIGHT(U433,4))))</f>
        <v/>
      </c>
      <c r="AU433" s="173">
        <v>456</v>
      </c>
      <c r="AW433" s="142" t="s">
        <v>123</v>
      </c>
    </row>
    <row r="434" spans="2:49" s="142" customFormat="1" ht="21" customHeight="1" x14ac:dyDescent="0.25">
      <c r="B434" s="173" t="str">
        <f>IF(C434="HOLD RM","HOLD RM",IF(C434="BAL","WIP",IF(C434="HOLD SLT","HOLD SLT",IF(C434="MILL","RM",IF(C434="RE SLT","WIP",IF(C434="RM","RM",IF(C434="RM BAL","RM",IF(C434="RM SLT","RM",IF(C434="RR","WIP",IF(C434="SKP","WIP",IF(C434="SLT","WIP",IF(C434="CTL","WIP",IF(C434="RM SLT RUST","RM SLT RUST",0)))))))))))))&amp;"-"&amp;G434&amp;"/"&amp;IF(H434="2B","2B",IF(H434="NO.1","1D",IF(H434="FH","FH",0)))&amp;"-"&amp;IF(J434="",(TEXT(I434,"0.00")),TEXT(J434,"0.00"))&amp;"X"&amp;M434</f>
        <v>RM-304L/1D-3.92X638</v>
      </c>
      <c r="C434" s="173" t="s">
        <v>13</v>
      </c>
      <c r="D434" s="173" t="s">
        <v>13</v>
      </c>
      <c r="E434" s="190" t="s">
        <v>1695</v>
      </c>
      <c r="F434" s="190" t="s">
        <v>1696</v>
      </c>
      <c r="G434" s="173" t="s">
        <v>182</v>
      </c>
      <c r="H434" s="173" t="s">
        <v>127</v>
      </c>
      <c r="I434" s="174">
        <v>3.92</v>
      </c>
      <c r="J434" s="174"/>
      <c r="K434" s="174"/>
      <c r="L434" s="174"/>
      <c r="M434" s="191">
        <v>638</v>
      </c>
      <c r="N434" s="176">
        <v>10.545</v>
      </c>
      <c r="O434" s="176"/>
      <c r="P434" s="177"/>
      <c r="Q434" s="178"/>
      <c r="R434" s="179"/>
      <c r="S434" s="179"/>
      <c r="T434" s="177">
        <v>44957</v>
      </c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80" t="s">
        <v>1593</v>
      </c>
      <c r="AE434" s="173" t="s">
        <v>69</v>
      </c>
      <c r="AF434" s="181" t="s">
        <v>142</v>
      </c>
      <c r="AG434" s="192" t="s">
        <v>1657</v>
      </c>
      <c r="AH434" s="198"/>
      <c r="AI434" s="181">
        <v>44849</v>
      </c>
      <c r="AJ434" s="181"/>
      <c r="AK434" s="181">
        <f ca="1">TODAY()</f>
        <v>44958</v>
      </c>
      <c r="AL434" s="173">
        <f ca="1">IF(AI434&lt;&gt;0,AK434-AI434,0)</f>
        <v>109</v>
      </c>
      <c r="AM434" s="173" t="str">
        <f>IF(ISNUMBER(X434)=TRUE,AK434-X434,IF(X434="","",(AK434)-(MID(RIGHT(X434,10),4,2)&amp;"/"&amp;LEFT((RIGHT(X434,10)),2)&amp;"/"&amp;RIGHT(X434,4))))</f>
        <v/>
      </c>
      <c r="AN434" s="181"/>
      <c r="AO434" s="190" t="s">
        <v>1697</v>
      </c>
      <c r="AP434" s="176">
        <v>10.545</v>
      </c>
      <c r="AQ434" s="176">
        <v>10.555</v>
      </c>
      <c r="AR434" s="176">
        <v>10.579999999999998</v>
      </c>
      <c r="AS434" s="176">
        <v>10.584999999999999</v>
      </c>
      <c r="AT434" s="173" t="str">
        <f>IF(ISNUMBER(U434)=TRUE,AK434-U434,IF(U434="","",(AK434)-(MID(RIGHT(U434,10),4,2)&amp;"/"&amp;LEFT((RIGHT(U434,10)),2)&amp;"/"&amp;RIGHT(U434,4))))</f>
        <v/>
      </c>
      <c r="AU434" s="173">
        <v>456</v>
      </c>
      <c r="AW434" s="142" t="s">
        <v>123</v>
      </c>
    </row>
    <row r="435" spans="2:49" s="142" customFormat="1" ht="21" customHeight="1" x14ac:dyDescent="0.25">
      <c r="B435" s="173" t="str">
        <f>IF(C435="HOLD RM","HOLD RM",IF(C435="BAL","WIP",IF(C435="HOLD SLT","HOLD SLT",IF(C435="MILL","RM",IF(C435="RE SLT","WIP",IF(C435="RM","RM",IF(C435="RM BAL","RM",IF(C435="RM SLT","RM",IF(C435="RR","WIP",IF(C435="SKP","WIP",IF(C435="SLT","WIP",IF(C435="CTL","WIP",IF(C435="RM SLT RUST","RM SLT RUST",0)))))))))))))&amp;"-"&amp;G435&amp;"/"&amp;IF(H435="2B","2B",IF(H435="NO.1","1D",IF(H435="FH","FH",0)))&amp;"-"&amp;IF(J435="",(TEXT(I435,"0.00")),TEXT(J435,"0.00"))&amp;"X"&amp;M435</f>
        <v>WIP-304L/FH-1.45X641</v>
      </c>
      <c r="C435" s="173" t="s">
        <v>16</v>
      </c>
      <c r="D435" s="173" t="s">
        <v>16</v>
      </c>
      <c r="E435" s="190" t="s">
        <v>1698</v>
      </c>
      <c r="F435" s="190" t="s">
        <v>1699</v>
      </c>
      <c r="G435" s="173" t="s">
        <v>182</v>
      </c>
      <c r="H435" s="173" t="s">
        <v>70</v>
      </c>
      <c r="I435" s="174">
        <v>3.88</v>
      </c>
      <c r="J435" s="174">
        <v>1.45</v>
      </c>
      <c r="K435" s="174"/>
      <c r="L435" s="174"/>
      <c r="M435" s="191">
        <v>641</v>
      </c>
      <c r="N435" s="176">
        <v>10.6</v>
      </c>
      <c r="O435" s="176" t="s">
        <v>114</v>
      </c>
      <c r="P435" s="177"/>
      <c r="Q435" s="178" t="s">
        <v>1592</v>
      </c>
      <c r="R435" s="179"/>
      <c r="S435" s="179"/>
      <c r="T435" s="177">
        <v>44949</v>
      </c>
      <c r="U435" s="177"/>
      <c r="V435" s="177"/>
      <c r="W435" s="177">
        <v>44956</v>
      </c>
      <c r="X435" s="177"/>
      <c r="Y435" s="177"/>
      <c r="Z435" s="177"/>
      <c r="AA435" s="177"/>
      <c r="AB435" s="177"/>
      <c r="AC435" s="177"/>
      <c r="AD435" s="180" t="s">
        <v>1605</v>
      </c>
      <c r="AE435" s="173" t="s">
        <v>69</v>
      </c>
      <c r="AF435" s="181" t="s">
        <v>142</v>
      </c>
      <c r="AG435" s="192" t="s">
        <v>1657</v>
      </c>
      <c r="AH435" s="198"/>
      <c r="AI435" s="181">
        <v>44849</v>
      </c>
      <c r="AJ435" s="181"/>
      <c r="AK435" s="181">
        <f ca="1">TODAY()</f>
        <v>44958</v>
      </c>
      <c r="AL435" s="173">
        <f ca="1">IF(AI435&lt;&gt;0,AK435-AI435,0)</f>
        <v>109</v>
      </c>
      <c r="AM435" s="173" t="str">
        <f>IF(ISNUMBER(X435)=TRUE,AK435-X435,IF(X435="","",(AK435)-(MID(RIGHT(X435,10),4,2)&amp;"/"&amp;LEFT((RIGHT(X435,10)),2)&amp;"/"&amp;RIGHT(X435,4))))</f>
        <v/>
      </c>
      <c r="AN435" s="181"/>
      <c r="AO435" s="190" t="s">
        <v>1700</v>
      </c>
      <c r="AP435" s="176">
        <v>10.6</v>
      </c>
      <c r="AQ435" s="176">
        <v>10.61</v>
      </c>
      <c r="AR435" s="176">
        <v>10.634999999999998</v>
      </c>
      <c r="AS435" s="176">
        <v>10.639999999999999</v>
      </c>
      <c r="AT435" s="173" t="str">
        <f>IF(ISNUMBER(U435)=TRUE,AK435-U435,IF(U435="","",(AK435)-(MID(RIGHT(U435,10),4,2)&amp;"/"&amp;LEFT((RIGHT(U435,10)),2)&amp;"/"&amp;RIGHT(U435,4))))</f>
        <v/>
      </c>
      <c r="AU435" s="173">
        <v>456</v>
      </c>
      <c r="AW435" s="142" t="s">
        <v>123</v>
      </c>
    </row>
    <row r="436" spans="2:49" s="142" customFormat="1" ht="21" customHeight="1" x14ac:dyDescent="0.25">
      <c r="B436" s="173" t="str">
        <f>IF(C436="HOLD RM","HOLD RM",IF(C436="BAL","WIP",IF(C436="HOLD SLT","HOLD SLT",IF(C436="MILL","RM",IF(C436="RE SLT","WIP",IF(C436="RM","RM",IF(C436="RM BAL","RM",IF(C436="RM SLT","RM",IF(C436="RR","WIP",IF(C436="SKP","WIP",IF(C436="SLT","WIP",IF(C436="CTL","WIP",IF(C436="RM SLT RUST","RM SLT RUST",0)))))))))))))&amp;"-"&amp;G436&amp;"/"&amp;IF(H436="2B","2B",IF(H436="NO.1","1D",IF(H436="FH","FH",0)))&amp;"-"&amp;IF(J436="",(TEXT(I436,"0.00")),TEXT(J436,"0.00"))&amp;"X"&amp;M436</f>
        <v>WIP-304L/FH-1.45X638</v>
      </c>
      <c r="C436" s="173" t="s">
        <v>16</v>
      </c>
      <c r="D436" s="173" t="s">
        <v>16</v>
      </c>
      <c r="E436" s="190" t="s">
        <v>1701</v>
      </c>
      <c r="F436" s="190" t="s">
        <v>1702</v>
      </c>
      <c r="G436" s="173" t="s">
        <v>182</v>
      </c>
      <c r="H436" s="173" t="s">
        <v>70</v>
      </c>
      <c r="I436" s="174">
        <v>3.87</v>
      </c>
      <c r="J436" s="174">
        <v>1.45</v>
      </c>
      <c r="K436" s="174"/>
      <c r="L436" s="174"/>
      <c r="M436" s="191">
        <v>638</v>
      </c>
      <c r="N436" s="176">
        <v>10.515000000000001</v>
      </c>
      <c r="O436" s="176" t="s">
        <v>114</v>
      </c>
      <c r="P436" s="177"/>
      <c r="Q436" s="178" t="s">
        <v>1592</v>
      </c>
      <c r="R436" s="179"/>
      <c r="S436" s="179"/>
      <c r="T436" s="177" t="s">
        <v>1703</v>
      </c>
      <c r="U436" s="177"/>
      <c r="V436" s="177"/>
      <c r="W436" s="177">
        <v>44956</v>
      </c>
      <c r="X436" s="177"/>
      <c r="Y436" s="177"/>
      <c r="Z436" s="177"/>
      <c r="AA436" s="177"/>
      <c r="AB436" s="177"/>
      <c r="AC436" s="177"/>
      <c r="AD436" s="180" t="s">
        <v>1609</v>
      </c>
      <c r="AE436" s="173" t="s">
        <v>69</v>
      </c>
      <c r="AF436" s="181" t="s">
        <v>142</v>
      </c>
      <c r="AG436" s="192" t="s">
        <v>1657</v>
      </c>
      <c r="AH436" s="198"/>
      <c r="AI436" s="181">
        <v>44849</v>
      </c>
      <c r="AJ436" s="181"/>
      <c r="AK436" s="181">
        <f ca="1">TODAY()</f>
        <v>44958</v>
      </c>
      <c r="AL436" s="173">
        <f ca="1">IF(AI436&lt;&gt;0,AK436-AI436,0)</f>
        <v>109</v>
      </c>
      <c r="AM436" s="173" t="str">
        <f>IF(ISNUMBER(X436)=TRUE,AK436-X436,IF(X436="","",(AK436)-(MID(RIGHT(X436,10),4,2)&amp;"/"&amp;LEFT((RIGHT(X436,10)),2)&amp;"/"&amp;RIGHT(X436,4))))</f>
        <v/>
      </c>
      <c r="AN436" s="181"/>
      <c r="AO436" s="190" t="s">
        <v>1700</v>
      </c>
      <c r="AP436" s="176">
        <v>10.515000000000001</v>
      </c>
      <c r="AQ436" s="176">
        <v>10.525</v>
      </c>
      <c r="AR436" s="176">
        <v>10.549999999999999</v>
      </c>
      <c r="AS436" s="176">
        <v>10.555</v>
      </c>
      <c r="AT436" s="173" t="str">
        <f>IF(ISNUMBER(U436)=TRUE,AK436-U436,IF(U436="","",(AK436)-(MID(RIGHT(U436,10),4,2)&amp;"/"&amp;LEFT((RIGHT(U436,10)),2)&amp;"/"&amp;RIGHT(U436,4))))</f>
        <v/>
      </c>
      <c r="AU436" s="173">
        <v>456</v>
      </c>
      <c r="AW436" s="142" t="s">
        <v>123</v>
      </c>
    </row>
    <row r="437" spans="2:49" s="142" customFormat="1" ht="21" customHeight="1" x14ac:dyDescent="0.25">
      <c r="B437" s="173" t="str">
        <f>IF(C437="HOLD RM","HOLD RM",IF(C437="BAL","WIP",IF(C437="HOLD SLT","HOLD SLT",IF(C437="MILL","RM",IF(C437="RE SLT","WIP",IF(C437="RM","RM",IF(C437="RM BAL","RM",IF(C437="RM SLT","RM",IF(C437="RR","WIP",IF(C437="SKP","WIP",IF(C437="SLT","WIP",IF(C437="CTL","WIP",IF(C437="RM SLT RUST","RM SLT RUST",0)))))))))))))&amp;"-"&amp;G437&amp;"/"&amp;IF(H437="2B","2B",IF(H437="NO.1","1D",IF(H437="FH","FH",0)))&amp;"-"&amp;IF(J437="",(TEXT(I437,"0.00")),TEXT(J437,"0.00"))&amp;"X"&amp;M437</f>
        <v>WIP-304L/FH-1.15X643</v>
      </c>
      <c r="C437" s="173" t="s">
        <v>16</v>
      </c>
      <c r="D437" s="173" t="s">
        <v>16</v>
      </c>
      <c r="E437" s="190" t="s">
        <v>1704</v>
      </c>
      <c r="F437" s="190" t="s">
        <v>1705</v>
      </c>
      <c r="G437" s="173" t="s">
        <v>182</v>
      </c>
      <c r="H437" s="173" t="s">
        <v>70</v>
      </c>
      <c r="I437" s="174">
        <v>3.38</v>
      </c>
      <c r="J437" s="174">
        <v>1.1499999999999999</v>
      </c>
      <c r="K437" s="174"/>
      <c r="L437" s="174"/>
      <c r="M437" s="191">
        <v>643</v>
      </c>
      <c r="N437" s="176">
        <v>2.085</v>
      </c>
      <c r="O437" s="176" t="s">
        <v>114</v>
      </c>
      <c r="P437" s="177"/>
      <c r="Q437" s="178" t="s">
        <v>1592</v>
      </c>
      <c r="R437" s="179"/>
      <c r="S437" s="179"/>
      <c r="T437" s="177">
        <v>44949</v>
      </c>
      <c r="U437" s="177"/>
      <c r="V437" s="177"/>
      <c r="W437" s="177">
        <v>44950</v>
      </c>
      <c r="X437" s="177"/>
      <c r="Y437" s="177"/>
      <c r="Z437" s="177"/>
      <c r="AA437" s="177"/>
      <c r="AB437" s="177"/>
      <c r="AC437" s="177"/>
      <c r="AD437" s="180" t="s">
        <v>1605</v>
      </c>
      <c r="AE437" s="173" t="s">
        <v>69</v>
      </c>
      <c r="AF437" s="181" t="s">
        <v>142</v>
      </c>
      <c r="AG437" s="192" t="s">
        <v>1657</v>
      </c>
      <c r="AH437" s="198"/>
      <c r="AI437" s="181">
        <v>44849</v>
      </c>
      <c r="AJ437" s="181"/>
      <c r="AK437" s="181">
        <f ca="1">TODAY()</f>
        <v>44958</v>
      </c>
      <c r="AL437" s="173">
        <f ca="1">IF(AI437&lt;&gt;0,AK437-AI437,0)</f>
        <v>109</v>
      </c>
      <c r="AM437" s="173" t="str">
        <f>IF(ISNUMBER(X437)=TRUE,AK437-X437,IF(X437="","",(AK437)-(MID(RIGHT(X437,10),4,2)&amp;"/"&amp;LEFT((RIGHT(X437,10)),2)&amp;"/"&amp;RIGHT(X437,4))))</f>
        <v/>
      </c>
      <c r="AN437" s="181"/>
      <c r="AO437" s="190" t="s">
        <v>1706</v>
      </c>
      <c r="AP437" s="176">
        <v>10.574999999999999</v>
      </c>
      <c r="AQ437" s="176">
        <v>10.585000000000001</v>
      </c>
      <c r="AR437" s="176">
        <v>10.61</v>
      </c>
      <c r="AS437" s="176">
        <v>10.615</v>
      </c>
      <c r="AT437" s="173" t="str">
        <f>IF(ISNUMBER(U437)=TRUE,AK437-U437,IF(U437="","",(AK437)-(MID(RIGHT(U437,10),4,2)&amp;"/"&amp;LEFT((RIGHT(U437,10)),2)&amp;"/"&amp;RIGHT(U437,4))))</f>
        <v/>
      </c>
      <c r="AU437" s="173">
        <v>456</v>
      </c>
      <c r="AW437" s="142" t="s">
        <v>123</v>
      </c>
    </row>
    <row r="438" spans="2:49" s="142" customFormat="1" ht="21" customHeight="1" x14ac:dyDescent="0.25">
      <c r="B438" s="173" t="str">
        <f>IF(C438="HOLD RM","HOLD RM",IF(C438="BAL","WIP",IF(C438="HOLD SLT","HOLD SLT",IF(C438="MILL","RM",IF(C438="RE SLT","WIP",IF(C438="RM","RM",IF(C438="RM BAL","RM",IF(C438="RM SLT","RM",IF(C438="RR","WIP",IF(C438="SKP","WIP",IF(C438="SLT","WIP",IF(C438="CTL","WIP",IF(C438="RM SLT RUST","RM SLT RUST",0)))))))))))))&amp;"-"&amp;G438&amp;"/"&amp;IF(H438="2B","2B",IF(H438="NO.1","1D",IF(H438="FH","FH",0)))&amp;"-"&amp;IF(J438="",(TEXT(I438,"0.00")),TEXT(J438,"0.00"))&amp;"X"&amp;M438</f>
        <v>RM-304L/1D-3.38X643</v>
      </c>
      <c r="C438" s="173" t="s">
        <v>13</v>
      </c>
      <c r="D438" s="173" t="s">
        <v>13</v>
      </c>
      <c r="E438" s="190" t="s">
        <v>1704</v>
      </c>
      <c r="F438" s="190" t="s">
        <v>1707</v>
      </c>
      <c r="G438" s="173" t="s">
        <v>182</v>
      </c>
      <c r="H438" s="173" t="s">
        <v>127</v>
      </c>
      <c r="I438" s="174">
        <v>3.38</v>
      </c>
      <c r="J438" s="174"/>
      <c r="K438" s="174"/>
      <c r="L438" s="174"/>
      <c r="M438" s="191">
        <v>643</v>
      </c>
      <c r="N438" s="176">
        <f>10.575-2.085</f>
        <v>8.4899999999999984</v>
      </c>
      <c r="O438" s="176"/>
      <c r="P438" s="177"/>
      <c r="Q438" s="178"/>
      <c r="R438" s="179"/>
      <c r="S438" s="179"/>
      <c r="T438" s="177">
        <v>44949</v>
      </c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80" t="s">
        <v>1605</v>
      </c>
      <c r="AE438" s="173" t="s">
        <v>69</v>
      </c>
      <c r="AF438" s="181" t="s">
        <v>142</v>
      </c>
      <c r="AG438" s="192" t="s">
        <v>1657</v>
      </c>
      <c r="AH438" s="198"/>
      <c r="AI438" s="181">
        <v>44849</v>
      </c>
      <c r="AJ438" s="181"/>
      <c r="AK438" s="181">
        <f ca="1">TODAY()</f>
        <v>44958</v>
      </c>
      <c r="AL438" s="173">
        <f ca="1">IF(AI438&lt;&gt;0,AK438-AI438,0)</f>
        <v>109</v>
      </c>
      <c r="AM438" s="173" t="str">
        <f>IF(ISNUMBER(X438)=TRUE,AK438-X438,IF(X438="","",(AK438)-(MID(RIGHT(X438,10),4,2)&amp;"/"&amp;LEFT((RIGHT(X438,10)),2)&amp;"/"&amp;RIGHT(X438,4))))</f>
        <v/>
      </c>
      <c r="AN438" s="181"/>
      <c r="AO438" s="190" t="s">
        <v>1706</v>
      </c>
      <c r="AP438" s="176">
        <v>10.574999999999999</v>
      </c>
      <c r="AQ438" s="176">
        <v>10.585000000000001</v>
      </c>
      <c r="AR438" s="176">
        <v>10.61</v>
      </c>
      <c r="AS438" s="176">
        <v>10.615</v>
      </c>
      <c r="AT438" s="173" t="str">
        <f>IF(ISNUMBER(U438)=TRUE,AK438-U438,IF(U438="","",(AK438)-(MID(RIGHT(U438,10),4,2)&amp;"/"&amp;LEFT((RIGHT(U438,10)),2)&amp;"/"&amp;RIGHT(U438,4))))</f>
        <v/>
      </c>
      <c r="AU438" s="173">
        <v>456</v>
      </c>
      <c r="AW438" s="142" t="s">
        <v>123</v>
      </c>
    </row>
    <row r="439" spans="2:49" s="142" customFormat="1" ht="21" customHeight="1" x14ac:dyDescent="0.25">
      <c r="B439" s="173" t="str">
        <f>IF(C439="HOLD RM","HOLD RM",IF(C439="BAL","WIP",IF(C439="HOLD SLT","HOLD SLT",IF(C439="MILL","RM",IF(C439="RE SLT","WIP",IF(C439="RM","RM",IF(C439="RM BAL","RM",IF(C439="RM SLT","RM",IF(C439="RR","WIP",IF(C439="SKP","WIP",IF(C439="SLT","WIP",IF(C439="CTL","WIP",IF(C439="RM SLT RUST","RM SLT RUST",0)))))))))))))&amp;"-"&amp;G439&amp;"/"&amp;IF(H439="2B","2B",IF(H439="NO.1","1D",IF(H439="FH","FH",0)))&amp;"-"&amp;IF(J439="",(TEXT(I439,"0.00")),TEXT(J439,"0.00"))&amp;"X"&amp;M439</f>
        <v>WIP-304L/FH-1.15X642</v>
      </c>
      <c r="C439" s="173" t="s">
        <v>16</v>
      </c>
      <c r="D439" s="173" t="s">
        <v>16</v>
      </c>
      <c r="E439" s="190" t="s">
        <v>1708</v>
      </c>
      <c r="F439" s="190" t="s">
        <v>1709</v>
      </c>
      <c r="G439" s="173" t="s">
        <v>182</v>
      </c>
      <c r="H439" s="173" t="s">
        <v>70</v>
      </c>
      <c r="I439" s="174">
        <v>2.9</v>
      </c>
      <c r="J439" s="174">
        <v>1.1499999999999999</v>
      </c>
      <c r="K439" s="174"/>
      <c r="L439" s="174"/>
      <c r="M439" s="191">
        <v>642</v>
      </c>
      <c r="N439" s="176">
        <v>4.3099999999999996</v>
      </c>
      <c r="O439" s="176" t="s">
        <v>114</v>
      </c>
      <c r="P439" s="177"/>
      <c r="Q439" s="178" t="s">
        <v>361</v>
      </c>
      <c r="R439" s="179"/>
      <c r="S439" s="179"/>
      <c r="T439" s="177">
        <v>44957</v>
      </c>
      <c r="U439" s="177"/>
      <c r="V439" s="177"/>
      <c r="W439" s="177">
        <v>44957</v>
      </c>
      <c r="X439" s="177"/>
      <c r="Y439" s="177"/>
      <c r="Z439" s="177"/>
      <c r="AA439" s="177"/>
      <c r="AB439" s="177"/>
      <c r="AC439" s="177"/>
      <c r="AD439" s="180" t="s">
        <v>1593</v>
      </c>
      <c r="AE439" s="173" t="s">
        <v>69</v>
      </c>
      <c r="AF439" s="181" t="s">
        <v>142</v>
      </c>
      <c r="AG439" s="192" t="s">
        <v>1657</v>
      </c>
      <c r="AH439" s="198"/>
      <c r="AI439" s="181">
        <v>44849</v>
      </c>
      <c r="AJ439" s="181"/>
      <c r="AK439" s="181">
        <f ca="1">TODAY()</f>
        <v>44958</v>
      </c>
      <c r="AL439" s="173">
        <f ca="1">IF(AI439&lt;&gt;0,AK439-AI439,0)</f>
        <v>109</v>
      </c>
      <c r="AM439" s="173" t="str">
        <f>IF(ISNUMBER(X439)=TRUE,AK439-X439,IF(X439="","",(AK439)-(MID(RIGHT(X439,10),4,2)&amp;"/"&amp;LEFT((RIGHT(X439,10)),2)&amp;"/"&amp;RIGHT(X439,4))))</f>
        <v/>
      </c>
      <c r="AN439" s="181"/>
      <c r="AO439" s="190" t="s">
        <v>1710</v>
      </c>
      <c r="AP439" s="176">
        <v>10.71</v>
      </c>
      <c r="AQ439" s="176">
        <v>10.72</v>
      </c>
      <c r="AR439" s="176">
        <v>10.744999999999999</v>
      </c>
      <c r="AS439" s="176">
        <v>10.75</v>
      </c>
      <c r="AT439" s="173" t="str">
        <f>IF(ISNUMBER(U439)=TRUE,AK439-U439,IF(U439="","",(AK439)-(MID(RIGHT(U439,10),4,2)&amp;"/"&amp;LEFT((RIGHT(U439,10)),2)&amp;"/"&amp;RIGHT(U439,4))))</f>
        <v/>
      </c>
      <c r="AU439" s="173">
        <v>456</v>
      </c>
      <c r="AW439" s="142" t="s">
        <v>123</v>
      </c>
    </row>
    <row r="440" spans="2:49" s="142" customFormat="1" ht="21" customHeight="1" x14ac:dyDescent="0.25">
      <c r="B440" s="173" t="str">
        <f>IF(C440="HOLD RM","HOLD RM",IF(C440="BAL","WIP",IF(C440="HOLD SLT","HOLD SLT",IF(C440="MILL","RM",IF(C440="RE SLT","WIP",IF(C440="RM","RM",IF(C440="RM BAL","RM",IF(C440="RM SLT","RM",IF(C440="RR","WIP",IF(C440="SKP","WIP",IF(C440="SLT","WIP",IF(C440="CTL","WIP",IF(C440="RM SLT RUST","RM SLT RUST",0)))))))))))))&amp;"-"&amp;G440&amp;"/"&amp;IF(H440="2B","2B",IF(H440="NO.1","1D",IF(H440="FH","FH",0)))&amp;"-"&amp;IF(J440="",(TEXT(I440,"0.00")),TEXT(J440,"0.00"))&amp;"X"&amp;M440</f>
        <v>WIP-304L/FH-1.15X642</v>
      </c>
      <c r="C440" s="173" t="s">
        <v>16</v>
      </c>
      <c r="D440" s="173" t="s">
        <v>16</v>
      </c>
      <c r="E440" s="190" t="s">
        <v>1708</v>
      </c>
      <c r="F440" s="190" t="s">
        <v>1711</v>
      </c>
      <c r="G440" s="173" t="s">
        <v>182</v>
      </c>
      <c r="H440" s="173" t="s">
        <v>70</v>
      </c>
      <c r="I440" s="174">
        <v>2.9</v>
      </c>
      <c r="J440" s="174">
        <v>1.1499999999999999</v>
      </c>
      <c r="K440" s="174"/>
      <c r="L440" s="174"/>
      <c r="M440" s="191">
        <v>642</v>
      </c>
      <c r="N440" s="176">
        <v>6.4</v>
      </c>
      <c r="O440" s="176" t="s">
        <v>114</v>
      </c>
      <c r="P440" s="177"/>
      <c r="Q440" s="178" t="s">
        <v>361</v>
      </c>
      <c r="R440" s="179"/>
      <c r="S440" s="179"/>
      <c r="T440" s="177">
        <v>44957</v>
      </c>
      <c r="U440" s="177"/>
      <c r="V440" s="177"/>
      <c r="W440" s="177">
        <v>44957</v>
      </c>
      <c r="X440" s="177"/>
      <c r="Y440" s="177"/>
      <c r="Z440" s="177"/>
      <c r="AA440" s="177"/>
      <c r="AB440" s="177"/>
      <c r="AC440" s="177"/>
      <c r="AD440" s="180" t="s">
        <v>1593</v>
      </c>
      <c r="AE440" s="173" t="s">
        <v>69</v>
      </c>
      <c r="AF440" s="181" t="s">
        <v>142</v>
      </c>
      <c r="AG440" s="192" t="s">
        <v>1657</v>
      </c>
      <c r="AH440" s="198"/>
      <c r="AI440" s="181">
        <v>44849</v>
      </c>
      <c r="AJ440" s="181"/>
      <c r="AK440" s="181">
        <f ca="1">TODAY()</f>
        <v>44958</v>
      </c>
      <c r="AL440" s="173">
        <f ca="1">IF(AI440&lt;&gt;0,AK440-AI440,0)</f>
        <v>109</v>
      </c>
      <c r="AM440" s="173" t="str">
        <f>IF(ISNUMBER(X440)=TRUE,AK440-X440,IF(X440="","",(AK440)-(MID(RIGHT(X440,10),4,2)&amp;"/"&amp;LEFT((RIGHT(X440,10)),2)&amp;"/"&amp;RIGHT(X440,4))))</f>
        <v/>
      </c>
      <c r="AN440" s="181"/>
      <c r="AO440" s="190" t="s">
        <v>1710</v>
      </c>
      <c r="AP440" s="176">
        <v>10.71</v>
      </c>
      <c r="AQ440" s="176">
        <v>10.72</v>
      </c>
      <c r="AR440" s="176">
        <v>10.744999999999999</v>
      </c>
      <c r="AS440" s="176">
        <v>10.75</v>
      </c>
      <c r="AT440" s="173" t="str">
        <f>IF(ISNUMBER(U440)=TRUE,AK440-U440,IF(U440="","",(AK440)-(MID(RIGHT(U440,10),4,2)&amp;"/"&amp;LEFT((RIGHT(U440,10)),2)&amp;"/"&amp;RIGHT(U440,4))))</f>
        <v/>
      </c>
      <c r="AU440" s="173">
        <v>456</v>
      </c>
      <c r="AW440" s="142" t="s">
        <v>123</v>
      </c>
    </row>
    <row r="441" spans="2:49" s="142" customFormat="1" ht="21" customHeight="1" x14ac:dyDescent="0.25">
      <c r="B441" s="173" t="str">
        <f>IF(C441="HOLD RM","HOLD RM",IF(C441="BAL","WIP",IF(C441="HOLD SLT","HOLD SLT",IF(C441="MILL","RM",IF(C441="RE SLT","WIP",IF(C441="RM","RM",IF(C441="RM BAL","RM",IF(C441="RM SLT","RM",IF(C441="RR","WIP",IF(C441="SKP","WIP",IF(C441="SLT","WIP",IF(C441="CTL","WIP",IF(C441="RM SLT RUST","RM SLT RUST",0)))))))))))))&amp;"-"&amp;G441&amp;"/"&amp;IF(H441="2B","2B",IF(H441="NO.1","1D",IF(H441="FH","FH",0)))&amp;"-"&amp;IF(J441="",(TEXT(I441,"0.00")),TEXT(J441,"0.00"))&amp;"X"&amp;M441</f>
        <v>RM-304L/1D-2.90X642</v>
      </c>
      <c r="C441" s="173" t="s">
        <v>48</v>
      </c>
      <c r="D441" s="173" t="s">
        <v>48</v>
      </c>
      <c r="E441" s="190" t="s">
        <v>1712</v>
      </c>
      <c r="F441" s="190" t="s">
        <v>1713</v>
      </c>
      <c r="G441" s="173" t="s">
        <v>182</v>
      </c>
      <c r="H441" s="173" t="s">
        <v>127</v>
      </c>
      <c r="I441" s="174">
        <v>2.9</v>
      </c>
      <c r="J441" s="174"/>
      <c r="K441" s="174"/>
      <c r="L441" s="174"/>
      <c r="M441" s="191">
        <v>642</v>
      </c>
      <c r="N441" s="176">
        <v>10.73</v>
      </c>
      <c r="O441" s="176"/>
      <c r="P441" s="177"/>
      <c r="Q441" s="178"/>
      <c r="R441" s="179"/>
      <c r="S441" s="179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80" t="s">
        <v>1593</v>
      </c>
      <c r="AE441" s="173" t="s">
        <v>69</v>
      </c>
      <c r="AF441" s="181" t="s">
        <v>142</v>
      </c>
      <c r="AG441" s="192" t="s">
        <v>1657</v>
      </c>
      <c r="AH441" s="198"/>
      <c r="AI441" s="181">
        <v>44849</v>
      </c>
      <c r="AJ441" s="181"/>
      <c r="AK441" s="181">
        <f ca="1">TODAY()</f>
        <v>44958</v>
      </c>
      <c r="AL441" s="173">
        <f ca="1">IF(AI441&lt;&gt;0,AK441-AI441,0)</f>
        <v>109</v>
      </c>
      <c r="AM441" s="173" t="str">
        <f>IF(ISNUMBER(X441)=TRUE,AK441-X441,IF(X441="","",(AK441)-(MID(RIGHT(X441,10),4,2)&amp;"/"&amp;LEFT((RIGHT(X441,10)),2)&amp;"/"&amp;RIGHT(X441,4))))</f>
        <v/>
      </c>
      <c r="AN441" s="181"/>
      <c r="AO441" s="190" t="s">
        <v>1710</v>
      </c>
      <c r="AP441" s="176">
        <v>10.73</v>
      </c>
      <c r="AQ441" s="176">
        <v>10.74</v>
      </c>
      <c r="AR441" s="176">
        <v>10.764999999999999</v>
      </c>
      <c r="AS441" s="176">
        <v>10.77</v>
      </c>
      <c r="AT441" s="173" t="str">
        <f>IF(ISNUMBER(U441)=TRUE,AK441-U441,IF(U441="","",(AK441)-(MID(RIGHT(U441,10),4,2)&amp;"/"&amp;LEFT((RIGHT(U441,10)),2)&amp;"/"&amp;RIGHT(U441,4))))</f>
        <v/>
      </c>
      <c r="AU441" s="173">
        <v>456</v>
      </c>
      <c r="AW441" s="142" t="s">
        <v>123</v>
      </c>
    </row>
    <row r="442" spans="2:49" s="142" customFormat="1" ht="21" customHeight="1" x14ac:dyDescent="0.25">
      <c r="B442" s="173" t="str">
        <f>IF(C442="HOLD RM","HOLD RM",IF(C442="BAL","WIP",IF(C442="HOLD SLT","HOLD SLT",IF(C442="MILL","RM",IF(C442="RE SLT","WIP",IF(C442="RM","RM",IF(C442="RM BAL","RM",IF(C442="RM SLT","RM",IF(C442="RR","WIP",IF(C442="SKP","WIP",IF(C442="SLT","WIP",IF(C442="CTL","WIP",IF(C442="RM SLT RUST","RM SLT RUST",0)))))))))))))&amp;"-"&amp;G442&amp;"/"&amp;IF(H442="2B","2B",IF(H442="NO.1","1D",IF(H442="FH","FH",0)))&amp;"-"&amp;IF(J442="",(TEXT(I442,"0.00")),TEXT(J442,"0.00"))&amp;"X"&amp;M442</f>
        <v>WIP-304L/FH-1.15X642</v>
      </c>
      <c r="C442" s="173" t="s">
        <v>16</v>
      </c>
      <c r="D442" s="173" t="s">
        <v>16</v>
      </c>
      <c r="E442" s="190" t="s">
        <v>1714</v>
      </c>
      <c r="F442" s="190" t="s">
        <v>1715</v>
      </c>
      <c r="G442" s="173" t="s">
        <v>182</v>
      </c>
      <c r="H442" s="173" t="s">
        <v>70</v>
      </c>
      <c r="I442" s="174">
        <v>2.99</v>
      </c>
      <c r="J442" s="174">
        <v>1.1499999999999999</v>
      </c>
      <c r="K442" s="174"/>
      <c r="L442" s="174"/>
      <c r="M442" s="191">
        <v>642</v>
      </c>
      <c r="N442" s="176">
        <v>10.72</v>
      </c>
      <c r="O442" s="176" t="s">
        <v>114</v>
      </c>
      <c r="P442" s="177"/>
      <c r="Q442" s="178" t="s">
        <v>1592</v>
      </c>
      <c r="R442" s="179"/>
      <c r="S442" s="179"/>
      <c r="T442" s="177"/>
      <c r="U442" s="177">
        <v>44955</v>
      </c>
      <c r="V442" s="177"/>
      <c r="W442" s="177">
        <v>44956</v>
      </c>
      <c r="X442" s="177"/>
      <c r="Y442" s="177"/>
      <c r="Z442" s="177"/>
      <c r="AA442" s="177"/>
      <c r="AB442" s="177"/>
      <c r="AC442" s="177"/>
      <c r="AD442" s="180" t="s">
        <v>1593</v>
      </c>
      <c r="AE442" s="173" t="s">
        <v>69</v>
      </c>
      <c r="AF442" s="181" t="s">
        <v>142</v>
      </c>
      <c r="AG442" s="192" t="s">
        <v>1657</v>
      </c>
      <c r="AH442" s="198"/>
      <c r="AI442" s="181">
        <v>44849</v>
      </c>
      <c r="AJ442" s="181"/>
      <c r="AK442" s="181">
        <f ca="1">TODAY()</f>
        <v>44958</v>
      </c>
      <c r="AL442" s="173">
        <f ca="1">IF(AI442&lt;&gt;0,AK442-AI442,0)</f>
        <v>109</v>
      </c>
      <c r="AM442" s="173" t="str">
        <f>IF(ISNUMBER(X442)=TRUE,AK442-X442,IF(X442="","",(AK442)-(MID(RIGHT(X442,10),4,2)&amp;"/"&amp;LEFT((RIGHT(X442,10)),2)&amp;"/"&amp;RIGHT(X442,4))))</f>
        <v/>
      </c>
      <c r="AN442" s="181"/>
      <c r="AO442" s="190" t="s">
        <v>1716</v>
      </c>
      <c r="AP442" s="176">
        <v>10.71</v>
      </c>
      <c r="AQ442" s="176">
        <v>10.72</v>
      </c>
      <c r="AR442" s="176">
        <v>10.744999999999999</v>
      </c>
      <c r="AS442" s="176">
        <v>10.75</v>
      </c>
      <c r="AT442" s="173">
        <f ca="1">IF(ISNUMBER(U442)=TRUE,AK442-U442,IF(U442="","",(AK442)-(MID(RIGHT(U442,10),4,2)&amp;"/"&amp;LEFT((RIGHT(U442,10)),2)&amp;"/"&amp;RIGHT(U442,4))))</f>
        <v>3</v>
      </c>
      <c r="AU442" s="173">
        <v>456</v>
      </c>
      <c r="AW442" s="142" t="s">
        <v>123</v>
      </c>
    </row>
    <row r="443" spans="2:49" s="142" customFormat="1" ht="21" customHeight="1" x14ac:dyDescent="0.25">
      <c r="B443" s="173" t="str">
        <f>IF(C443="HOLD RM","HOLD RM",IF(C443="BAL","WIP",IF(C443="HOLD SLT","HOLD SLT",IF(C443="MILL","RM",IF(C443="RE SLT","WIP",IF(C443="RM","RM",IF(C443="RM BAL","RM",IF(C443="RM SLT","RM",IF(C443="RR","WIP",IF(C443="SKP","WIP",IF(C443="SLT","WIP",IF(C443="CTL","WIP",IF(C443="RM SLT RUST","RM SLT RUST",0)))))))))))))&amp;"-"&amp;G443&amp;"/"&amp;IF(H443="2B","2B",IF(H443="NO.1","1D",IF(H443="FH","FH",0)))&amp;"-"&amp;IF(J443="",(TEXT(I443,"0.00")),TEXT(J443,"0.00"))&amp;"X"&amp;M443</f>
        <v>RM-304/1D-2.88X643</v>
      </c>
      <c r="C443" s="173" t="s">
        <v>48</v>
      </c>
      <c r="D443" s="173" t="s">
        <v>48</v>
      </c>
      <c r="E443" s="190" t="s">
        <v>1717</v>
      </c>
      <c r="F443" s="190" t="s">
        <v>1718</v>
      </c>
      <c r="G443" s="173">
        <v>304</v>
      </c>
      <c r="H443" s="173" t="s">
        <v>127</v>
      </c>
      <c r="I443" s="174">
        <v>2.88</v>
      </c>
      <c r="J443" s="174"/>
      <c r="K443" s="174"/>
      <c r="L443" s="174"/>
      <c r="M443" s="191">
        <v>643</v>
      </c>
      <c r="N443" s="176">
        <v>7.5949999999999998</v>
      </c>
      <c r="O443" s="176"/>
      <c r="P443" s="177"/>
      <c r="Q443" s="178"/>
      <c r="R443" s="179"/>
      <c r="S443" s="179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80" t="s">
        <v>1593</v>
      </c>
      <c r="AE443" s="173" t="s">
        <v>69</v>
      </c>
      <c r="AF443" s="181" t="s">
        <v>142</v>
      </c>
      <c r="AG443" s="192" t="s">
        <v>1657</v>
      </c>
      <c r="AH443" s="198"/>
      <c r="AI443" s="181">
        <v>44849</v>
      </c>
      <c r="AJ443" s="181"/>
      <c r="AK443" s="181">
        <f ca="1">TODAY()</f>
        <v>44958</v>
      </c>
      <c r="AL443" s="173">
        <f ca="1">IF(AI443&lt;&gt;0,AK443-AI443,0)</f>
        <v>109</v>
      </c>
      <c r="AM443" s="173" t="str">
        <f>IF(ISNUMBER(X443)=TRUE,AK443-X443,IF(X443="","",(AK443)-(MID(RIGHT(X443,10),4,2)&amp;"/"&amp;LEFT((RIGHT(X443,10)),2)&amp;"/"&amp;RIGHT(X443,4))))</f>
        <v/>
      </c>
      <c r="AN443" s="181"/>
      <c r="AO443" s="190" t="s">
        <v>1719</v>
      </c>
      <c r="AP443" s="176">
        <v>7.5949999999999998</v>
      </c>
      <c r="AQ443" s="176">
        <v>7.6050000000000004</v>
      </c>
      <c r="AR443" s="176">
        <v>7.6300000000000008</v>
      </c>
      <c r="AS443" s="176">
        <v>7.6350000000000007</v>
      </c>
      <c r="AT443" s="173" t="str">
        <f>IF(ISNUMBER(U443)=TRUE,AK443-U443,IF(U443="","",(AK443)-(MID(RIGHT(U443,10),4,2)&amp;"/"&amp;LEFT((RIGHT(U443,10)),2)&amp;"/"&amp;RIGHT(U443,4))))</f>
        <v/>
      </c>
      <c r="AU443" s="173">
        <v>456</v>
      </c>
      <c r="AW443" s="142" t="s">
        <v>123</v>
      </c>
    </row>
    <row r="444" spans="2:49" s="142" customFormat="1" ht="21" customHeight="1" x14ac:dyDescent="0.25">
      <c r="B444" s="173" t="str">
        <f>IF(C444="HOLD RM","HOLD RM",IF(C444="BAL","WIP",IF(C444="HOLD SLT","HOLD SLT",IF(C444="MILL","RM",IF(C444="RE SLT","WIP",IF(C444="RM","RM",IF(C444="RM BAL","RM",IF(C444="RM SLT","RM",IF(C444="RR","WIP",IF(C444="SKP","WIP",IF(C444="SLT","WIP",IF(C444="CTL","WIP",IF(C444="RM SLT RUST","RM SLT RUST",0)))))))))))))&amp;"-"&amp;G444&amp;"/"&amp;IF(H444="2B","2B",IF(H444="NO.1","1D",IF(H444="FH","FH",0)))&amp;"-"&amp;IF(J444="",(TEXT(I444,"0.00")),TEXT(J444,"0.00"))&amp;"X"&amp;M444</f>
        <v>RM-304/1D-2.88X640</v>
      </c>
      <c r="C444" s="173" t="s">
        <v>48</v>
      </c>
      <c r="D444" s="173" t="s">
        <v>48</v>
      </c>
      <c r="E444" s="190" t="s">
        <v>1720</v>
      </c>
      <c r="F444" s="190" t="s">
        <v>1721</v>
      </c>
      <c r="G444" s="173">
        <v>304</v>
      </c>
      <c r="H444" s="173" t="s">
        <v>127</v>
      </c>
      <c r="I444" s="174">
        <v>2.88</v>
      </c>
      <c r="J444" s="174"/>
      <c r="K444" s="174"/>
      <c r="L444" s="174"/>
      <c r="M444" s="191">
        <v>640</v>
      </c>
      <c r="N444" s="176">
        <v>7.5750000000000002</v>
      </c>
      <c r="O444" s="176"/>
      <c r="P444" s="177"/>
      <c r="Q444" s="178"/>
      <c r="R444" s="179"/>
      <c r="S444" s="179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80" t="s">
        <v>1593</v>
      </c>
      <c r="AE444" s="173" t="s">
        <v>69</v>
      </c>
      <c r="AF444" s="181" t="s">
        <v>142</v>
      </c>
      <c r="AG444" s="192" t="s">
        <v>1657</v>
      </c>
      <c r="AH444" s="198"/>
      <c r="AI444" s="181">
        <v>44849</v>
      </c>
      <c r="AJ444" s="181"/>
      <c r="AK444" s="181">
        <f ca="1">TODAY()</f>
        <v>44958</v>
      </c>
      <c r="AL444" s="173">
        <f ca="1">IF(AI444&lt;&gt;0,AK444-AI444,0)</f>
        <v>109</v>
      </c>
      <c r="AM444" s="173" t="str">
        <f>IF(ISNUMBER(X444)=TRUE,AK444-X444,IF(X444="","",(AK444)-(MID(RIGHT(X444,10),4,2)&amp;"/"&amp;LEFT((RIGHT(X444,10)),2)&amp;"/"&amp;RIGHT(X444,4))))</f>
        <v/>
      </c>
      <c r="AN444" s="181"/>
      <c r="AO444" s="190" t="s">
        <v>1719</v>
      </c>
      <c r="AP444" s="176">
        <v>7.5750000000000002</v>
      </c>
      <c r="AQ444" s="176">
        <v>7.585</v>
      </c>
      <c r="AR444" s="176">
        <v>7.61</v>
      </c>
      <c r="AS444" s="176">
        <v>7.6150000000000002</v>
      </c>
      <c r="AT444" s="173" t="str">
        <f>IF(ISNUMBER(U444)=TRUE,AK444-U444,IF(U444="","",(AK444)-(MID(RIGHT(U444,10),4,2)&amp;"/"&amp;LEFT((RIGHT(U444,10)),2)&amp;"/"&amp;RIGHT(U444,4))))</f>
        <v/>
      </c>
      <c r="AU444" s="173">
        <v>456</v>
      </c>
      <c r="AW444" s="142" t="s">
        <v>123</v>
      </c>
    </row>
    <row r="445" spans="2:49" s="142" customFormat="1" ht="21" customHeight="1" x14ac:dyDescent="0.25">
      <c r="B445" s="173" t="str">
        <f>IF(C445="HOLD RM","HOLD RM",IF(C445="BAL","WIP",IF(C445="HOLD SLT","HOLD SLT",IF(C445="MILL","RM",IF(C445="RE SLT","WIP",IF(C445="RM","RM",IF(C445="RM BAL","RM",IF(C445="RM SLT","RM",IF(C445="RR","WIP",IF(C445="SKP","WIP",IF(C445="SLT","WIP",IF(C445="CTL","WIP",IF(C445="RM SLT RUST","RM SLT RUST",0)))))))))))))&amp;"-"&amp;G445&amp;"/"&amp;IF(H445="2B","2B",IF(H445="NO.1","1D",IF(H445="FH","FH",0)))&amp;"-"&amp;IF(J445="",(TEXT(I445,"0.00")),TEXT(J445,"0.00"))&amp;"X"&amp;M445</f>
        <v>RM-304L/1D-3.95X643</v>
      </c>
      <c r="C445" s="173" t="s">
        <v>13</v>
      </c>
      <c r="D445" s="173" t="s">
        <v>13</v>
      </c>
      <c r="E445" s="190" t="s">
        <v>1722</v>
      </c>
      <c r="F445" s="190" t="s">
        <v>1723</v>
      </c>
      <c r="G445" s="173" t="s">
        <v>182</v>
      </c>
      <c r="H445" s="173" t="s">
        <v>127</v>
      </c>
      <c r="I445" s="174">
        <v>3.95</v>
      </c>
      <c r="J445" s="174"/>
      <c r="K445" s="174"/>
      <c r="L445" s="174"/>
      <c r="M445" s="191">
        <v>643</v>
      </c>
      <c r="N445" s="176">
        <v>10.64</v>
      </c>
      <c r="O445" s="176"/>
      <c r="P445" s="177"/>
      <c r="Q445" s="178"/>
      <c r="R445" s="179"/>
      <c r="S445" s="179"/>
      <c r="T445" s="177">
        <v>44957</v>
      </c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80" t="s">
        <v>1593</v>
      </c>
      <c r="AE445" s="173" t="s">
        <v>69</v>
      </c>
      <c r="AF445" s="181" t="s">
        <v>142</v>
      </c>
      <c r="AG445" s="192" t="s">
        <v>1657</v>
      </c>
      <c r="AH445" s="198"/>
      <c r="AI445" s="181">
        <v>44849</v>
      </c>
      <c r="AJ445" s="181"/>
      <c r="AK445" s="181">
        <f ca="1">TODAY()</f>
        <v>44958</v>
      </c>
      <c r="AL445" s="173">
        <f ca="1">IF(AI445&lt;&gt;0,AK445-AI445,0)</f>
        <v>109</v>
      </c>
      <c r="AM445" s="173" t="str">
        <f>IF(ISNUMBER(X445)=TRUE,AK445-X445,IF(X445="","",(AK445)-(MID(RIGHT(X445,10),4,2)&amp;"/"&amp;LEFT((RIGHT(X445,10)),2)&amp;"/"&amp;RIGHT(X445,4))))</f>
        <v/>
      </c>
      <c r="AN445" s="181"/>
      <c r="AO445" s="190" t="s">
        <v>1724</v>
      </c>
      <c r="AP445" s="176">
        <v>10.64</v>
      </c>
      <c r="AQ445" s="176">
        <v>10.65</v>
      </c>
      <c r="AR445" s="176">
        <v>10.674999999999999</v>
      </c>
      <c r="AS445" s="176">
        <v>10.68</v>
      </c>
      <c r="AT445" s="173" t="str">
        <f>IF(ISNUMBER(U445)=TRUE,AK445-U445,IF(U445="","",(AK445)-(MID(RIGHT(U445,10),4,2)&amp;"/"&amp;LEFT((RIGHT(U445,10)),2)&amp;"/"&amp;RIGHT(U445,4))))</f>
        <v/>
      </c>
      <c r="AU445" s="173">
        <v>456</v>
      </c>
      <c r="AW445" s="142" t="s">
        <v>123</v>
      </c>
    </row>
    <row r="446" spans="2:49" s="142" customFormat="1" ht="21" customHeight="1" x14ac:dyDescent="0.25">
      <c r="B446" s="173" t="str">
        <f>IF(C446="HOLD RM","HOLD RM",IF(C446="BAL","WIP",IF(C446="HOLD SLT","HOLD SLT",IF(C446="MILL","RM",IF(C446="RE SLT","WIP",IF(C446="RM","RM",IF(C446="RM BAL","RM",IF(C446="RM SLT","RM",IF(C446="RR","WIP",IF(C446="SKP","WIP",IF(C446="SLT","WIP",IF(C446="CTL","WIP",IF(C446="RM SLT RUST","RM SLT RUST",0)))))))))))))&amp;"-"&amp;G446&amp;"/"&amp;IF(H446="2B","2B",IF(H446="NO.1","1D",IF(H446="FH","FH",0)))&amp;"-"&amp;IF(J446="",(TEXT(I446,"0.00")),TEXT(J446,"0.00"))&amp;"X"&amp;M446</f>
        <v>RM-304L/1D-3.95X643</v>
      </c>
      <c r="C446" s="173" t="s">
        <v>48</v>
      </c>
      <c r="D446" s="173" t="s">
        <v>48</v>
      </c>
      <c r="E446" s="190" t="s">
        <v>1725</v>
      </c>
      <c r="F446" s="190" t="s">
        <v>1726</v>
      </c>
      <c r="G446" s="173" t="s">
        <v>182</v>
      </c>
      <c r="H446" s="173" t="s">
        <v>127</v>
      </c>
      <c r="I446" s="174">
        <v>3.95</v>
      </c>
      <c r="J446" s="174"/>
      <c r="K446" s="174"/>
      <c r="L446" s="174"/>
      <c r="M446" s="191">
        <v>643</v>
      </c>
      <c r="N446" s="176">
        <v>10.615</v>
      </c>
      <c r="O446" s="176"/>
      <c r="P446" s="177"/>
      <c r="Q446" s="178"/>
      <c r="R446" s="179"/>
      <c r="S446" s="179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80" t="s">
        <v>1593</v>
      </c>
      <c r="AE446" s="173" t="s">
        <v>69</v>
      </c>
      <c r="AF446" s="181" t="s">
        <v>142</v>
      </c>
      <c r="AG446" s="192" t="s">
        <v>1657</v>
      </c>
      <c r="AH446" s="198"/>
      <c r="AI446" s="181">
        <v>44849</v>
      </c>
      <c r="AJ446" s="181"/>
      <c r="AK446" s="181">
        <f ca="1">TODAY()</f>
        <v>44958</v>
      </c>
      <c r="AL446" s="173">
        <f ca="1">IF(AI446&lt;&gt;0,AK446-AI446,0)</f>
        <v>109</v>
      </c>
      <c r="AM446" s="173" t="str">
        <f>IF(ISNUMBER(X446)=TRUE,AK446-X446,IF(X446="","",(AK446)-(MID(RIGHT(X446,10),4,2)&amp;"/"&amp;LEFT((RIGHT(X446,10)),2)&amp;"/"&amp;RIGHT(X446,4))))</f>
        <v/>
      </c>
      <c r="AN446" s="181"/>
      <c r="AO446" s="190" t="s">
        <v>1724</v>
      </c>
      <c r="AP446" s="176">
        <v>10.615</v>
      </c>
      <c r="AQ446" s="176">
        <v>10.625</v>
      </c>
      <c r="AR446" s="176">
        <v>10.649999999999999</v>
      </c>
      <c r="AS446" s="176">
        <v>10.654999999999999</v>
      </c>
      <c r="AT446" s="173" t="str">
        <f>IF(ISNUMBER(U446)=TRUE,AK446-U446,IF(U446="","",(AK446)-(MID(RIGHT(U446,10),4,2)&amp;"/"&amp;LEFT((RIGHT(U446,10)),2)&amp;"/"&amp;RIGHT(U446,4))))</f>
        <v/>
      </c>
      <c r="AU446" s="173">
        <v>456</v>
      </c>
      <c r="AW446" s="142" t="s">
        <v>123</v>
      </c>
    </row>
    <row r="447" spans="2:49" s="142" customFormat="1" ht="21" customHeight="1" x14ac:dyDescent="0.25">
      <c r="B447" s="173" t="str">
        <f>IF(C447="HOLD RM","HOLD RM",IF(C447="BAL","WIP",IF(C447="HOLD SLT","HOLD SLT",IF(C447="MILL","RM",IF(C447="RE SLT","WIP",IF(C447="RM","RM",IF(C447="RM BAL","RM",IF(C447="RM SLT","RM",IF(C447="RR","WIP",IF(C447="SKP","WIP",IF(C447="SLT","WIP",IF(C447="CTL","WIP",IF(C447="RM SLT RUST","RM SLT RUST",0)))))))))))))&amp;"-"&amp;G447&amp;"/"&amp;IF(H447="2B","2B",IF(H447="NO.1","1D",IF(H447="FH","FH",0)))&amp;"-"&amp;IF(J447="",(TEXT(I447,"0.00")),TEXT(J447,"0.00"))&amp;"X"&amp;M447</f>
        <v>WIP-304L/FH-1.45X637</v>
      </c>
      <c r="C447" s="173" t="s">
        <v>16</v>
      </c>
      <c r="D447" s="173" t="s">
        <v>16</v>
      </c>
      <c r="E447" s="190" t="s">
        <v>1727</v>
      </c>
      <c r="F447" s="190" t="s">
        <v>1728</v>
      </c>
      <c r="G447" s="173" t="s">
        <v>182</v>
      </c>
      <c r="H447" s="173" t="s">
        <v>70</v>
      </c>
      <c r="I447" s="174">
        <v>3.89</v>
      </c>
      <c r="J447" s="174">
        <v>1.45</v>
      </c>
      <c r="K447" s="174"/>
      <c r="L447" s="174"/>
      <c r="M447" s="191">
        <v>637</v>
      </c>
      <c r="N447" s="176">
        <v>10.525</v>
      </c>
      <c r="O447" s="176" t="s">
        <v>114</v>
      </c>
      <c r="P447" s="177"/>
      <c r="Q447" s="178" t="s">
        <v>361</v>
      </c>
      <c r="R447" s="179"/>
      <c r="S447" s="179"/>
      <c r="T447" s="177">
        <v>44955</v>
      </c>
      <c r="U447" s="177"/>
      <c r="V447" s="177">
        <v>44956</v>
      </c>
      <c r="W447" s="177"/>
      <c r="X447" s="177"/>
      <c r="Y447" s="177"/>
      <c r="Z447" s="177"/>
      <c r="AA447" s="177"/>
      <c r="AB447" s="177"/>
      <c r="AC447" s="177"/>
      <c r="AD447" s="180" t="s">
        <v>1643</v>
      </c>
      <c r="AE447" s="173" t="s">
        <v>69</v>
      </c>
      <c r="AF447" s="181" t="s">
        <v>142</v>
      </c>
      <c r="AG447" s="192" t="s">
        <v>1657</v>
      </c>
      <c r="AH447" s="198"/>
      <c r="AI447" s="181">
        <v>44849</v>
      </c>
      <c r="AJ447" s="181"/>
      <c r="AK447" s="181">
        <f ca="1">TODAY()</f>
        <v>44958</v>
      </c>
      <c r="AL447" s="173">
        <f ca="1">IF(AI447&lt;&gt;0,AK447-AI447,0)</f>
        <v>109</v>
      </c>
      <c r="AM447" s="173" t="str">
        <f>IF(ISNUMBER(X447)=TRUE,AK447-X447,IF(X447="","",(AK447)-(MID(RIGHT(X447,10),4,2)&amp;"/"&amp;LEFT((RIGHT(X447,10)),2)&amp;"/"&amp;RIGHT(X447,4))))</f>
        <v/>
      </c>
      <c r="AN447" s="181"/>
      <c r="AO447" s="190" t="s">
        <v>1729</v>
      </c>
      <c r="AP447" s="176">
        <v>10.51</v>
      </c>
      <c r="AQ447" s="176">
        <v>10.52</v>
      </c>
      <c r="AR447" s="176">
        <v>10.544999999999998</v>
      </c>
      <c r="AS447" s="176">
        <v>10.549999999999999</v>
      </c>
      <c r="AT447" s="173" t="str">
        <f>IF(ISNUMBER(U447)=TRUE,AK447-U447,IF(U447="","",(AK447)-(MID(RIGHT(U447,10),4,2)&amp;"/"&amp;LEFT((RIGHT(U447,10)),2)&amp;"/"&amp;RIGHT(U447,4))))</f>
        <v/>
      </c>
      <c r="AU447" s="173">
        <v>456</v>
      </c>
      <c r="AW447" s="142" t="s">
        <v>123</v>
      </c>
    </row>
    <row r="448" spans="2:49" s="142" customFormat="1" ht="21" customHeight="1" x14ac:dyDescent="0.25">
      <c r="B448" s="173" t="str">
        <f>IF(C448="HOLD RM","HOLD RM",IF(C448="BAL","WIP",IF(C448="HOLD SLT","HOLD SLT",IF(C448="MILL","RM",IF(C448="RE SLT","WIP",IF(C448="RM","RM",IF(C448="RM BAL","RM",IF(C448="RM SLT","RM",IF(C448="RR","WIP",IF(C448="SKP","WIP",IF(C448="SLT","WIP",IF(C448="CTL","WIP",IF(C448="RM SLT RUST","RM SLT RUST",0)))))))))))))&amp;"-"&amp;G448&amp;"/"&amp;IF(H448="2B","2B",IF(H448="NO.1","1D",IF(H448="FH","FH",0)))&amp;"-"&amp;IF(J448="",(TEXT(I448,"0.00")),TEXT(J448,"0.00"))&amp;"X"&amp;M448</f>
        <v>RM-304L/1D-2.88X641</v>
      </c>
      <c r="C448" s="173" t="s">
        <v>48</v>
      </c>
      <c r="D448" s="173" t="s">
        <v>48</v>
      </c>
      <c r="E448" s="190" t="s">
        <v>1730</v>
      </c>
      <c r="F448" s="190" t="s">
        <v>1731</v>
      </c>
      <c r="G448" s="173" t="s">
        <v>182</v>
      </c>
      <c r="H448" s="173" t="s">
        <v>127</v>
      </c>
      <c r="I448" s="174">
        <v>2.88</v>
      </c>
      <c r="J448" s="174"/>
      <c r="K448" s="174"/>
      <c r="L448" s="174"/>
      <c r="M448" s="191">
        <v>641</v>
      </c>
      <c r="N448" s="176">
        <v>7.415</v>
      </c>
      <c r="O448" s="176"/>
      <c r="P448" s="177"/>
      <c r="Q448" s="178"/>
      <c r="R448" s="179"/>
      <c r="S448" s="179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80" t="s">
        <v>1593</v>
      </c>
      <c r="AE448" s="173" t="s">
        <v>69</v>
      </c>
      <c r="AF448" s="181" t="s">
        <v>142</v>
      </c>
      <c r="AG448" s="192" t="s">
        <v>1657</v>
      </c>
      <c r="AH448" s="198"/>
      <c r="AI448" s="181">
        <v>44849</v>
      </c>
      <c r="AJ448" s="181"/>
      <c r="AK448" s="181">
        <f ca="1">TODAY()</f>
        <v>44958</v>
      </c>
      <c r="AL448" s="173">
        <f ca="1">IF(AI448&lt;&gt;0,AK448-AI448,0)</f>
        <v>109</v>
      </c>
      <c r="AM448" s="173" t="str">
        <f>IF(ISNUMBER(X448)=TRUE,AK448-X448,IF(X448="","",(AK448)-(MID(RIGHT(X448,10),4,2)&amp;"/"&amp;LEFT((RIGHT(X448,10)),2)&amp;"/"&amp;RIGHT(X448,4))))</f>
        <v/>
      </c>
      <c r="AN448" s="181"/>
      <c r="AO448" s="190" t="s">
        <v>1732</v>
      </c>
      <c r="AP448" s="176">
        <v>7.415</v>
      </c>
      <c r="AQ448" s="176">
        <v>7.4249999999999998</v>
      </c>
      <c r="AR448" s="176">
        <v>7.45</v>
      </c>
      <c r="AS448" s="176">
        <v>7.4550000000000001</v>
      </c>
      <c r="AT448" s="173" t="str">
        <f>IF(ISNUMBER(U448)=TRUE,AK448-U448,IF(U448="","",(AK448)-(MID(RIGHT(U448,10),4,2)&amp;"/"&amp;LEFT((RIGHT(U448,10)),2)&amp;"/"&amp;RIGHT(U448,4))))</f>
        <v/>
      </c>
      <c r="AU448" s="173">
        <v>456</v>
      </c>
      <c r="AW448" s="142" t="s">
        <v>123</v>
      </c>
    </row>
    <row r="449" spans="2:49" s="142" customFormat="1" ht="21" customHeight="1" x14ac:dyDescent="0.25">
      <c r="B449" s="173" t="str">
        <f>IF(C449="HOLD RM","HOLD RM",IF(C449="BAL","WIP",IF(C449="HOLD SLT","HOLD SLT",IF(C449="MILL","RM",IF(C449="RE SLT","WIP",IF(C449="RM","RM",IF(C449="RM BAL","RM",IF(C449="RM SLT","RM",IF(C449="RR","WIP",IF(C449="SKP","WIP",IF(C449="SLT","WIP",IF(C449="CTL","WIP",IF(C449="RM SLT RUST","RM SLT RUST",0)))))))))))))&amp;"-"&amp;G449&amp;"/"&amp;IF(H449="2B","2B",IF(H449="NO.1","1D",IF(H449="FH","FH",0)))&amp;"-"&amp;IF(J449="",(TEXT(I449,"0.00")),TEXT(J449,"0.00"))&amp;"X"&amp;M449</f>
        <v>RM-304L/1D-2.88X643</v>
      </c>
      <c r="C449" s="173" t="s">
        <v>48</v>
      </c>
      <c r="D449" s="173" t="s">
        <v>48</v>
      </c>
      <c r="E449" s="190" t="s">
        <v>1733</v>
      </c>
      <c r="F449" s="190" t="s">
        <v>1734</v>
      </c>
      <c r="G449" s="173" t="s">
        <v>182</v>
      </c>
      <c r="H449" s="173" t="s">
        <v>127</v>
      </c>
      <c r="I449" s="174">
        <v>2.88</v>
      </c>
      <c r="J449" s="174"/>
      <c r="K449" s="174"/>
      <c r="L449" s="174"/>
      <c r="M449" s="191">
        <v>643</v>
      </c>
      <c r="N449" s="176">
        <v>7.4</v>
      </c>
      <c r="O449" s="176"/>
      <c r="P449" s="177"/>
      <c r="Q449" s="178"/>
      <c r="R449" s="179"/>
      <c r="S449" s="179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80" t="s">
        <v>1593</v>
      </c>
      <c r="AE449" s="173" t="s">
        <v>69</v>
      </c>
      <c r="AF449" s="181" t="s">
        <v>142</v>
      </c>
      <c r="AG449" s="192" t="s">
        <v>1657</v>
      </c>
      <c r="AH449" s="198"/>
      <c r="AI449" s="181">
        <v>44849</v>
      </c>
      <c r="AJ449" s="181"/>
      <c r="AK449" s="181">
        <f ca="1">TODAY()</f>
        <v>44958</v>
      </c>
      <c r="AL449" s="173">
        <f ca="1">IF(AI449&lt;&gt;0,AK449-AI449,0)</f>
        <v>109</v>
      </c>
      <c r="AM449" s="173" t="str">
        <f>IF(ISNUMBER(X449)=TRUE,AK449-X449,IF(X449="","",(AK449)-(MID(RIGHT(X449,10),4,2)&amp;"/"&amp;LEFT((RIGHT(X449,10)),2)&amp;"/"&amp;RIGHT(X449,4))))</f>
        <v/>
      </c>
      <c r="AN449" s="181"/>
      <c r="AO449" s="190" t="s">
        <v>1732</v>
      </c>
      <c r="AP449" s="176">
        <v>7.4</v>
      </c>
      <c r="AQ449" s="176">
        <v>7.41</v>
      </c>
      <c r="AR449" s="176">
        <v>7.4350000000000005</v>
      </c>
      <c r="AS449" s="176">
        <v>7.44</v>
      </c>
      <c r="AT449" s="173" t="str">
        <f>IF(ISNUMBER(U449)=TRUE,AK449-U449,IF(U449="","",(AK449)-(MID(RIGHT(U449,10),4,2)&amp;"/"&amp;LEFT((RIGHT(U449,10)),2)&amp;"/"&amp;RIGHT(U449,4))))</f>
        <v/>
      </c>
      <c r="AU449" s="173">
        <v>456</v>
      </c>
      <c r="AW449" s="142" t="s">
        <v>123</v>
      </c>
    </row>
    <row r="450" spans="2:49" s="142" customFormat="1" ht="21" customHeight="1" x14ac:dyDescent="0.25">
      <c r="B450" s="173" t="str">
        <f>IF(C450="HOLD RM","HOLD RM",IF(C450="BAL","WIP",IF(C450="HOLD SLT","HOLD SLT",IF(C450="MILL","RM",IF(C450="RE SLT","WIP",IF(C450="RM","RM",IF(C450="RM BAL","RM",IF(C450="RM SLT","RM",IF(C450="RR","WIP",IF(C450="SKP","WIP",IF(C450="SLT","WIP",IF(C450="CTL","WIP",IF(C450="RM SLT RUST","RM SLT RUST",0)))))))))))))&amp;"-"&amp;G450&amp;"/"&amp;IF(H450="2B","2B",IF(H450="NO.1","1D",IF(H450="FH","FH",0)))&amp;"-"&amp;IF(J450="",(TEXT(I450,"0.00")),TEXT(J450,"0.00"))&amp;"X"&amp;M450</f>
        <v>WIP-304L/FH-0.90X643</v>
      </c>
      <c r="C450" s="173" t="s">
        <v>16</v>
      </c>
      <c r="D450" s="173" t="s">
        <v>16</v>
      </c>
      <c r="E450" s="190" t="s">
        <v>1735</v>
      </c>
      <c r="F450" s="190" t="s">
        <v>1736</v>
      </c>
      <c r="G450" s="173" t="s">
        <v>182</v>
      </c>
      <c r="H450" s="173" t="s">
        <v>70</v>
      </c>
      <c r="I450" s="174">
        <v>2.95</v>
      </c>
      <c r="J450" s="174">
        <v>0.9</v>
      </c>
      <c r="K450" s="174"/>
      <c r="L450" s="174"/>
      <c r="M450" s="191">
        <v>643</v>
      </c>
      <c r="N450" s="176">
        <v>10.02</v>
      </c>
      <c r="O450" s="176" t="s">
        <v>114</v>
      </c>
      <c r="P450" s="177"/>
      <c r="Q450" s="178" t="s">
        <v>1210</v>
      </c>
      <c r="R450" s="179"/>
      <c r="S450" s="179"/>
      <c r="T450" s="177">
        <v>44955</v>
      </c>
      <c r="U450" s="177"/>
      <c r="V450" s="177">
        <v>44955</v>
      </c>
      <c r="W450" s="177"/>
      <c r="X450" s="177"/>
      <c r="Y450" s="177"/>
      <c r="Z450" s="177"/>
      <c r="AA450" s="177"/>
      <c r="AB450" s="177"/>
      <c r="AC450" s="177"/>
      <c r="AD450" s="180" t="s">
        <v>1643</v>
      </c>
      <c r="AE450" s="173" t="s">
        <v>69</v>
      </c>
      <c r="AF450" s="181" t="s">
        <v>142</v>
      </c>
      <c r="AG450" s="192" t="s">
        <v>1657</v>
      </c>
      <c r="AH450" s="198"/>
      <c r="AI450" s="181">
        <v>44849</v>
      </c>
      <c r="AJ450" s="181"/>
      <c r="AK450" s="181">
        <f ca="1">TODAY()</f>
        <v>44958</v>
      </c>
      <c r="AL450" s="173">
        <f ca="1">IF(AI450&lt;&gt;0,AK450-AI450,0)</f>
        <v>109</v>
      </c>
      <c r="AM450" s="173" t="str">
        <f>IF(ISNUMBER(X450)=TRUE,AK450-X450,IF(X450="","",(AK450)-(MID(RIGHT(X450,10),4,2)&amp;"/"&amp;LEFT((RIGHT(X450,10)),2)&amp;"/"&amp;RIGHT(X450,4))))</f>
        <v/>
      </c>
      <c r="AN450" s="181"/>
      <c r="AO450" s="190" t="s">
        <v>1737</v>
      </c>
      <c r="AP450" s="176">
        <v>10.015000000000001</v>
      </c>
      <c r="AQ450" s="176">
        <v>10.025</v>
      </c>
      <c r="AR450" s="176">
        <v>10.049999999999999</v>
      </c>
      <c r="AS450" s="176">
        <v>10.055</v>
      </c>
      <c r="AT450" s="173" t="str">
        <f>IF(ISNUMBER(U450)=TRUE,AK450-U450,IF(U450="","",(AK450)-(MID(RIGHT(U450,10),4,2)&amp;"/"&amp;LEFT((RIGHT(U450,10)),2)&amp;"/"&amp;RIGHT(U450,4))))</f>
        <v/>
      </c>
      <c r="AU450" s="173">
        <v>456</v>
      </c>
      <c r="AW450" s="142" t="s">
        <v>123</v>
      </c>
    </row>
    <row r="451" spans="2:49" s="142" customFormat="1" ht="21" customHeight="1" x14ac:dyDescent="0.25">
      <c r="B451" s="173" t="str">
        <f>IF(C451="HOLD RM","HOLD RM",IF(C451="BAL","WIP",IF(C451="HOLD SLT","HOLD SLT",IF(C451="MILL","RM",IF(C451="RE SLT","WIP",IF(C451="RM","RM",IF(C451="RM BAL","RM",IF(C451="RM SLT","RM",IF(C451="RR","WIP",IF(C451="SKP","WIP",IF(C451="SLT","WIP",IF(C451="CTL","WIP",IF(C451="RM SLT RUST","RM SLT RUST",0)))))))))))))&amp;"-"&amp;G451&amp;"/"&amp;IF(H451="2B","2B",IF(H451="NO.1","1D",IF(H451="FH","FH",0)))&amp;"-"&amp;IF(J451="",(TEXT(I451,"0.00")),TEXT(J451,"0.00"))&amp;"X"&amp;M451</f>
        <v>WIP-304L/FH-1.15X642</v>
      </c>
      <c r="C451" s="173" t="s">
        <v>16</v>
      </c>
      <c r="D451" s="173" t="s">
        <v>16</v>
      </c>
      <c r="E451" s="190" t="s">
        <v>1738</v>
      </c>
      <c r="F451" s="190" t="s">
        <v>1739</v>
      </c>
      <c r="G451" s="173" t="s">
        <v>182</v>
      </c>
      <c r="H451" s="173" t="s">
        <v>70</v>
      </c>
      <c r="I451" s="174">
        <v>3.09</v>
      </c>
      <c r="J451" s="174">
        <v>1.1499999999999999</v>
      </c>
      <c r="K451" s="174"/>
      <c r="L451" s="174"/>
      <c r="M451" s="191">
        <v>642</v>
      </c>
      <c r="N451" s="176">
        <v>10.705</v>
      </c>
      <c r="O451" s="176" t="s">
        <v>114</v>
      </c>
      <c r="P451" s="177"/>
      <c r="Q451" s="178" t="s">
        <v>1210</v>
      </c>
      <c r="R451" s="179"/>
      <c r="S451" s="179"/>
      <c r="T451" s="177">
        <v>44955</v>
      </c>
      <c r="U451" s="177"/>
      <c r="V451" s="177">
        <v>44956</v>
      </c>
      <c r="W451" s="177"/>
      <c r="X451" s="177"/>
      <c r="Y451" s="177"/>
      <c r="Z451" s="177"/>
      <c r="AA451" s="177"/>
      <c r="AB451" s="177"/>
      <c r="AC451" s="177"/>
      <c r="AD451" s="180" t="s">
        <v>1643</v>
      </c>
      <c r="AE451" s="173" t="s">
        <v>69</v>
      </c>
      <c r="AF451" s="181" t="s">
        <v>142</v>
      </c>
      <c r="AG451" s="192" t="s">
        <v>1657</v>
      </c>
      <c r="AH451" s="198"/>
      <c r="AI451" s="181">
        <v>44849</v>
      </c>
      <c r="AJ451" s="181"/>
      <c r="AK451" s="181">
        <f ca="1">TODAY()</f>
        <v>44958</v>
      </c>
      <c r="AL451" s="173">
        <f ca="1">IF(AI451&lt;&gt;0,AK451-AI451,0)</f>
        <v>109</v>
      </c>
      <c r="AM451" s="173" t="str">
        <f>IF(ISNUMBER(X451)=TRUE,AK451-X451,IF(X451="","",(AK451)-(MID(RIGHT(X451,10),4,2)&amp;"/"&amp;LEFT((RIGHT(X451,10)),2)&amp;"/"&amp;RIGHT(X451,4))))</f>
        <v/>
      </c>
      <c r="AN451" s="181"/>
      <c r="AO451" s="190" t="s">
        <v>1740</v>
      </c>
      <c r="AP451" s="176">
        <v>10.69</v>
      </c>
      <c r="AQ451" s="176">
        <v>10.7</v>
      </c>
      <c r="AR451" s="176">
        <v>10.724999999999998</v>
      </c>
      <c r="AS451" s="176">
        <v>10.729999999999999</v>
      </c>
      <c r="AT451" s="173" t="str">
        <f>IF(ISNUMBER(U451)=TRUE,AK451-U451,IF(U451="","",(AK451)-(MID(RIGHT(U451,10),4,2)&amp;"/"&amp;LEFT((RIGHT(U451,10)),2)&amp;"/"&amp;RIGHT(U451,4))))</f>
        <v/>
      </c>
      <c r="AU451" s="173">
        <v>456</v>
      </c>
      <c r="AW451" s="142" t="s">
        <v>123</v>
      </c>
    </row>
    <row r="452" spans="2:49" s="142" customFormat="1" ht="21" customHeight="1" x14ac:dyDescent="0.25">
      <c r="B452" s="173" t="str">
        <f>IF(C452="HOLD RM","HOLD RM",IF(C452="BAL","WIP",IF(C452="HOLD SLT","HOLD SLT",IF(C452="MILL","RM",IF(C452="RE SLT","WIP",IF(C452="RM","RM",IF(C452="RM BAL","RM",IF(C452="RM SLT","RM",IF(C452="RR","WIP",IF(C452="SKP","WIP",IF(C452="SLT","WIP",IF(C452="CTL","WIP",IF(C452="RM SLT RUST","RM SLT RUST",0)))))))))))))&amp;"-"&amp;G452&amp;"/"&amp;IF(H452="2B","2B",IF(H452="NO.1","1D",IF(H452="FH","FH",0)))&amp;"-"&amp;IF(J452="",(TEXT(I452,"0.00")),TEXT(J452,"0.00"))&amp;"X"&amp;M452</f>
        <v>WIP-304L/FH-1.15X643</v>
      </c>
      <c r="C452" s="173" t="s">
        <v>16</v>
      </c>
      <c r="D452" s="173" t="s">
        <v>16</v>
      </c>
      <c r="E452" s="190" t="s">
        <v>1741</v>
      </c>
      <c r="F452" s="190" t="s">
        <v>1742</v>
      </c>
      <c r="G452" s="173" t="s">
        <v>182</v>
      </c>
      <c r="H452" s="173" t="s">
        <v>70</v>
      </c>
      <c r="I452" s="174">
        <v>3.09</v>
      </c>
      <c r="J452" s="174">
        <v>1.1499999999999999</v>
      </c>
      <c r="K452" s="174"/>
      <c r="L452" s="174"/>
      <c r="M452" s="191">
        <v>643</v>
      </c>
      <c r="N452" s="176">
        <v>10.66</v>
      </c>
      <c r="O452" s="176" t="s">
        <v>114</v>
      </c>
      <c r="P452" s="177"/>
      <c r="Q452" s="178" t="s">
        <v>361</v>
      </c>
      <c r="R452" s="179"/>
      <c r="S452" s="179"/>
      <c r="T452" s="177">
        <v>44954</v>
      </c>
      <c r="U452" s="177"/>
      <c r="V452" s="177">
        <v>44954</v>
      </c>
      <c r="W452" s="177"/>
      <c r="X452" s="177"/>
      <c r="Y452" s="177"/>
      <c r="Z452" s="177"/>
      <c r="AA452" s="177"/>
      <c r="AB452" s="177"/>
      <c r="AC452" s="177"/>
      <c r="AD452" s="180" t="s">
        <v>1643</v>
      </c>
      <c r="AE452" s="173" t="s">
        <v>69</v>
      </c>
      <c r="AF452" s="181" t="s">
        <v>142</v>
      </c>
      <c r="AG452" s="192" t="s">
        <v>1657</v>
      </c>
      <c r="AH452" s="198"/>
      <c r="AI452" s="181">
        <v>44849</v>
      </c>
      <c r="AJ452" s="181"/>
      <c r="AK452" s="181">
        <f ca="1">TODAY()</f>
        <v>44958</v>
      </c>
      <c r="AL452" s="173">
        <f ca="1">IF(AI452&lt;&gt;0,AK452-AI452,0)</f>
        <v>109</v>
      </c>
      <c r="AM452" s="173" t="str">
        <f>IF(ISNUMBER(X452)=TRUE,AK452-X452,IF(X452="","",(AK452)-(MID(RIGHT(X452,10),4,2)&amp;"/"&amp;LEFT((RIGHT(X452,10)),2)&amp;"/"&amp;RIGHT(X452,4))))</f>
        <v/>
      </c>
      <c r="AN452" s="181"/>
      <c r="AO452" s="190" t="s">
        <v>1740</v>
      </c>
      <c r="AP452" s="176">
        <v>10.64</v>
      </c>
      <c r="AQ452" s="176">
        <v>10.65</v>
      </c>
      <c r="AR452" s="176">
        <v>10.674999999999999</v>
      </c>
      <c r="AS452" s="176">
        <v>10.68</v>
      </c>
      <c r="AT452" s="173" t="str">
        <f>IF(ISNUMBER(U452)=TRUE,AK452-U452,IF(U452="","",(AK452)-(MID(RIGHT(U452,10),4,2)&amp;"/"&amp;LEFT((RIGHT(U452,10)),2)&amp;"/"&amp;RIGHT(U452,4))))</f>
        <v/>
      </c>
      <c r="AU452" s="173">
        <v>456</v>
      </c>
      <c r="AW452" s="142" t="s">
        <v>123</v>
      </c>
    </row>
    <row r="453" spans="2:49" s="142" customFormat="1" ht="21" customHeight="1" x14ac:dyDescent="0.25">
      <c r="B453" s="173" t="str">
        <f>IF(C453="HOLD RM","HOLD RM",IF(C453="BAL","WIP",IF(C453="HOLD SLT","HOLD SLT",IF(C453="MILL","RM",IF(C453="RE SLT","WIP",IF(C453="RM","RM",IF(C453="RM BAL","RM",IF(C453="RM SLT","RM",IF(C453="RR","WIP",IF(C453="SKP","WIP",IF(C453="SLT","WIP",IF(C453="CTL","WIP",IF(C453="RM SLT RUST","RM SLT RUST",0)))))))))))))&amp;"-"&amp;G453&amp;"/"&amp;IF(H453="2B","2B",IF(H453="NO.1","1D",IF(H453="FH","FH",0)))&amp;"-"&amp;IF(J453="",(TEXT(I453,"0.00")),TEXT(J453,"0.00"))&amp;"X"&amp;M453</f>
        <v>WIP-304L/FH-1.15X643</v>
      </c>
      <c r="C453" s="173" t="s">
        <v>16</v>
      </c>
      <c r="D453" s="173" t="s">
        <v>16</v>
      </c>
      <c r="E453" s="190" t="s">
        <v>1743</v>
      </c>
      <c r="F453" s="190" t="s">
        <v>1744</v>
      </c>
      <c r="G453" s="173" t="s">
        <v>182</v>
      </c>
      <c r="H453" s="173" t="s">
        <v>70</v>
      </c>
      <c r="I453" s="174">
        <v>2.95</v>
      </c>
      <c r="J453" s="174">
        <v>1.1499999999999999</v>
      </c>
      <c r="K453" s="174"/>
      <c r="L453" s="174"/>
      <c r="M453" s="191">
        <v>643</v>
      </c>
      <c r="N453" s="176">
        <v>10.035</v>
      </c>
      <c r="O453" s="176" t="s">
        <v>114</v>
      </c>
      <c r="P453" s="177"/>
      <c r="Q453" s="178" t="s">
        <v>1592</v>
      </c>
      <c r="R453" s="179"/>
      <c r="S453" s="179"/>
      <c r="T453" s="177">
        <v>44957</v>
      </c>
      <c r="U453" s="177"/>
      <c r="V453" s="177">
        <v>44957</v>
      </c>
      <c r="W453" s="177"/>
      <c r="X453" s="177"/>
      <c r="Y453" s="177"/>
      <c r="Z453" s="177"/>
      <c r="AA453" s="177"/>
      <c r="AB453" s="177"/>
      <c r="AC453" s="177"/>
      <c r="AD453" s="180" t="s">
        <v>1593</v>
      </c>
      <c r="AE453" s="173" t="s">
        <v>69</v>
      </c>
      <c r="AF453" s="181" t="s">
        <v>142</v>
      </c>
      <c r="AG453" s="192" t="s">
        <v>1657</v>
      </c>
      <c r="AH453" s="198"/>
      <c r="AI453" s="181">
        <v>44849</v>
      </c>
      <c r="AJ453" s="181"/>
      <c r="AK453" s="181">
        <f ca="1">TODAY()</f>
        <v>44958</v>
      </c>
      <c r="AL453" s="173">
        <f ca="1">IF(AI453&lt;&gt;0,AK453-AI453,0)</f>
        <v>109</v>
      </c>
      <c r="AM453" s="173" t="str">
        <f>IF(ISNUMBER(X453)=TRUE,AK453-X453,IF(X453="","",(AK453)-(MID(RIGHT(X453,10),4,2)&amp;"/"&amp;LEFT((RIGHT(X453,10)),2)&amp;"/"&amp;RIGHT(X453,4))))</f>
        <v/>
      </c>
      <c r="AN453" s="181"/>
      <c r="AO453" s="190" t="s">
        <v>1745</v>
      </c>
      <c r="AP453" s="176">
        <v>10.025</v>
      </c>
      <c r="AQ453" s="176">
        <v>10.035</v>
      </c>
      <c r="AR453" s="176">
        <v>10.059999999999999</v>
      </c>
      <c r="AS453" s="176">
        <v>10.065</v>
      </c>
      <c r="AT453" s="173" t="str">
        <f>IF(ISNUMBER(U453)=TRUE,AK453-U453,IF(U453="","",(AK453)-(MID(RIGHT(U453,10),4,2)&amp;"/"&amp;LEFT((RIGHT(U453,10)),2)&amp;"/"&amp;RIGHT(U453,4))))</f>
        <v/>
      </c>
      <c r="AU453" s="173">
        <v>456</v>
      </c>
      <c r="AW453" s="142" t="s">
        <v>123</v>
      </c>
    </row>
    <row r="454" spans="2:49" s="142" customFormat="1" ht="21" customHeight="1" x14ac:dyDescent="0.25">
      <c r="B454" s="173" t="str">
        <f>IF(C454="HOLD RM","HOLD RM",IF(C454="BAL","WIP",IF(C454="HOLD SLT","HOLD SLT",IF(C454="MILL","RM",IF(C454="RE SLT","WIP",IF(C454="RM","RM",IF(C454="RM BAL","RM",IF(C454="RM SLT","RM",IF(C454="RR","WIP",IF(C454="SKP","WIP",IF(C454="SLT","WIP",IF(C454="CTL","WIP",IF(C454="RM SLT RUST","RM SLT RUST",0)))))))))))))&amp;"-"&amp;G454&amp;"/"&amp;IF(H454="2B","2B",IF(H454="NO.1","1D",IF(H454="FH","FH",0)))&amp;"-"&amp;IF(J454="",(TEXT(I454,"0.00")),TEXT(J454,"0.00"))&amp;"X"&amp;M454</f>
        <v>WIP-304L/FH-1.15X643</v>
      </c>
      <c r="C454" s="173" t="s">
        <v>16</v>
      </c>
      <c r="D454" s="173" t="s">
        <v>16</v>
      </c>
      <c r="E454" s="190" t="s">
        <v>1746</v>
      </c>
      <c r="F454" s="190" t="s">
        <v>1747</v>
      </c>
      <c r="G454" s="173" t="s">
        <v>182</v>
      </c>
      <c r="H454" s="173" t="s">
        <v>70</v>
      </c>
      <c r="I454" s="174">
        <v>2.95</v>
      </c>
      <c r="J454" s="174">
        <v>1.1499999999999999</v>
      </c>
      <c r="K454" s="174"/>
      <c r="L454" s="174"/>
      <c r="M454" s="191">
        <v>643</v>
      </c>
      <c r="N454" s="176">
        <v>10.015000000000001</v>
      </c>
      <c r="O454" s="176" t="s">
        <v>114</v>
      </c>
      <c r="P454" s="177"/>
      <c r="Q454" s="178" t="s">
        <v>1592</v>
      </c>
      <c r="R454" s="179"/>
      <c r="S454" s="179"/>
      <c r="T454" s="177">
        <v>44957</v>
      </c>
      <c r="U454" s="177"/>
      <c r="V454" s="177">
        <v>44957</v>
      </c>
      <c r="W454" s="177"/>
      <c r="X454" s="177"/>
      <c r="Y454" s="177"/>
      <c r="Z454" s="177"/>
      <c r="AA454" s="177"/>
      <c r="AB454" s="177"/>
      <c r="AC454" s="177"/>
      <c r="AD454" s="180" t="s">
        <v>1593</v>
      </c>
      <c r="AE454" s="173" t="s">
        <v>69</v>
      </c>
      <c r="AF454" s="181" t="s">
        <v>142</v>
      </c>
      <c r="AG454" s="192" t="s">
        <v>1657</v>
      </c>
      <c r="AH454" s="198"/>
      <c r="AI454" s="181">
        <v>44849</v>
      </c>
      <c r="AJ454" s="181"/>
      <c r="AK454" s="181">
        <f ca="1">TODAY()</f>
        <v>44958</v>
      </c>
      <c r="AL454" s="173">
        <f ca="1">IF(AI454&lt;&gt;0,AK454-AI454,0)</f>
        <v>109</v>
      </c>
      <c r="AM454" s="173" t="str">
        <f>IF(ISNUMBER(X454)=TRUE,AK454-X454,IF(X454="","",(AK454)-(MID(RIGHT(X454,10),4,2)&amp;"/"&amp;LEFT((RIGHT(X454,10)),2)&amp;"/"&amp;RIGHT(X454,4))))</f>
        <v/>
      </c>
      <c r="AN454" s="181"/>
      <c r="AO454" s="190" t="s">
        <v>1745</v>
      </c>
      <c r="AP454" s="176">
        <v>10.025</v>
      </c>
      <c r="AQ454" s="176">
        <v>10.035</v>
      </c>
      <c r="AR454" s="176">
        <v>10.059999999999999</v>
      </c>
      <c r="AS454" s="176">
        <v>10.065</v>
      </c>
      <c r="AT454" s="173" t="str">
        <f>IF(ISNUMBER(U454)=TRUE,AK454-U454,IF(U454="","",(AK454)-(MID(RIGHT(U454,10),4,2)&amp;"/"&amp;LEFT((RIGHT(U454,10)),2)&amp;"/"&amp;RIGHT(U454,4))))</f>
        <v/>
      </c>
      <c r="AU454" s="173">
        <v>456</v>
      </c>
      <c r="AW454" s="142" t="s">
        <v>123</v>
      </c>
    </row>
    <row r="455" spans="2:49" s="142" customFormat="1" ht="21" customHeight="1" x14ac:dyDescent="0.25">
      <c r="B455" s="173" t="str">
        <f>IF(C455="HOLD RM","HOLD RM",IF(C455="BAL","WIP",IF(C455="HOLD SLT","HOLD SLT",IF(C455="MILL","RM",IF(C455="RE SLT","WIP",IF(C455="RM","RM",IF(C455="RM BAL","RM",IF(C455="RM SLT","RM",IF(C455="RR","WIP",IF(C455="SKP","WIP",IF(C455="SLT","WIP",IF(C455="CTL","WIP",IF(C455="RM SLT RUST","RM SLT RUST",0)))))))))))))&amp;"-"&amp;G455&amp;"/"&amp;IF(H455="2B","2B",IF(H455="NO.1","1D",IF(H455="FH","FH",0)))&amp;"-"&amp;IF(J455="",(TEXT(I455,"0.00")),TEXT(J455,"0.00"))&amp;"X"&amp;M455</f>
        <v>WIP-304L/FH-1.15X646</v>
      </c>
      <c r="C455" s="173" t="s">
        <v>16</v>
      </c>
      <c r="D455" s="173" t="s">
        <v>16</v>
      </c>
      <c r="E455" s="190" t="s">
        <v>1748</v>
      </c>
      <c r="F455" s="190" t="s">
        <v>1749</v>
      </c>
      <c r="G455" s="173" t="s">
        <v>182</v>
      </c>
      <c r="H455" s="173" t="s">
        <v>70</v>
      </c>
      <c r="I455" s="174">
        <v>2.88</v>
      </c>
      <c r="J455" s="174">
        <v>1.1499999999999999</v>
      </c>
      <c r="K455" s="174"/>
      <c r="L455" s="174"/>
      <c r="M455" s="191">
        <v>646</v>
      </c>
      <c r="N455" s="176">
        <v>10.664999999999999</v>
      </c>
      <c r="O455" s="176" t="s">
        <v>114</v>
      </c>
      <c r="P455" s="177"/>
      <c r="Q455" s="178" t="s">
        <v>1592</v>
      </c>
      <c r="R455" s="179"/>
      <c r="S455" s="179"/>
      <c r="T455" s="177">
        <v>44957</v>
      </c>
      <c r="U455" s="177"/>
      <c r="V455" s="177">
        <v>44957</v>
      </c>
      <c r="W455" s="177"/>
      <c r="X455" s="177"/>
      <c r="Y455" s="177"/>
      <c r="Z455" s="177"/>
      <c r="AA455" s="177"/>
      <c r="AB455" s="177"/>
      <c r="AC455" s="177"/>
      <c r="AD455" s="180" t="s">
        <v>1593</v>
      </c>
      <c r="AE455" s="173" t="s">
        <v>69</v>
      </c>
      <c r="AF455" s="181" t="s">
        <v>142</v>
      </c>
      <c r="AG455" s="192" t="s">
        <v>1657</v>
      </c>
      <c r="AH455" s="198"/>
      <c r="AI455" s="181">
        <v>44849</v>
      </c>
      <c r="AJ455" s="181"/>
      <c r="AK455" s="181">
        <f ca="1">TODAY()</f>
        <v>44958</v>
      </c>
      <c r="AL455" s="173">
        <f ca="1">IF(AI455&lt;&gt;0,AK455-AI455,0)</f>
        <v>109</v>
      </c>
      <c r="AM455" s="173" t="str">
        <f>IF(ISNUMBER(X455)=TRUE,AK455-X455,IF(X455="","",(AK455)-(MID(RIGHT(X455,10),4,2)&amp;"/"&amp;LEFT((RIGHT(X455,10)),2)&amp;"/"&amp;RIGHT(X455,4))))</f>
        <v/>
      </c>
      <c r="AN455" s="181"/>
      <c r="AO455" s="190" t="s">
        <v>1750</v>
      </c>
      <c r="AP455" s="176">
        <v>10.664999999999999</v>
      </c>
      <c r="AQ455" s="176">
        <v>10.675000000000001</v>
      </c>
      <c r="AR455" s="176">
        <v>10.7</v>
      </c>
      <c r="AS455" s="176">
        <v>10.705</v>
      </c>
      <c r="AT455" s="173" t="str">
        <f>IF(ISNUMBER(U455)=TRUE,AK455-U455,IF(U455="","",(AK455)-(MID(RIGHT(U455,10),4,2)&amp;"/"&amp;LEFT((RIGHT(U455,10)),2)&amp;"/"&amp;RIGHT(U455,4))))</f>
        <v/>
      </c>
      <c r="AU455" s="173">
        <v>456</v>
      </c>
      <c r="AW455" s="142" t="s">
        <v>123</v>
      </c>
    </row>
    <row r="456" spans="2:49" s="142" customFormat="1" ht="21" customHeight="1" x14ac:dyDescent="0.25">
      <c r="B456" s="173" t="str">
        <f>IF(C456="HOLD RM","HOLD RM",IF(C456="BAL","WIP",IF(C456="HOLD SLT","HOLD SLT",IF(C456="MILL","RM",IF(C456="RE SLT","WIP",IF(C456="RM","RM",IF(C456="RM BAL","RM",IF(C456="RM SLT","RM",IF(C456="RR","WIP",IF(C456="SKP","WIP",IF(C456="SLT","WIP",IF(C456="CTL","WIP",IF(C456="RM SLT RUST","RM SLT RUST",0)))))))))))))&amp;"-"&amp;G456&amp;"/"&amp;IF(H456="2B","2B",IF(H456="NO.1","1D",IF(H456="FH","FH",0)))&amp;"-"&amp;IF(J456="",(TEXT(I456,"0.00")),TEXT(J456,"0.00"))&amp;"X"&amp;M456</f>
        <v>WIP-304L/FH-1.15X643</v>
      </c>
      <c r="C456" s="173" t="s">
        <v>16</v>
      </c>
      <c r="D456" s="173" t="s">
        <v>16</v>
      </c>
      <c r="E456" s="190" t="s">
        <v>1751</v>
      </c>
      <c r="F456" s="190" t="s">
        <v>1752</v>
      </c>
      <c r="G456" s="173" t="s">
        <v>182</v>
      </c>
      <c r="H456" s="173" t="s">
        <v>70</v>
      </c>
      <c r="I456" s="174">
        <v>2.88</v>
      </c>
      <c r="J456" s="174">
        <v>1.1499999999999999</v>
      </c>
      <c r="K456" s="174"/>
      <c r="L456" s="174"/>
      <c r="M456" s="191">
        <v>643</v>
      </c>
      <c r="N456" s="176">
        <v>10.6</v>
      </c>
      <c r="O456" s="176" t="s">
        <v>114</v>
      </c>
      <c r="P456" s="177"/>
      <c r="Q456" s="178" t="s">
        <v>1592</v>
      </c>
      <c r="R456" s="179"/>
      <c r="S456" s="179"/>
      <c r="T456" s="177">
        <v>44957</v>
      </c>
      <c r="U456" s="177"/>
      <c r="V456" s="177">
        <v>44957</v>
      </c>
      <c r="W456" s="177"/>
      <c r="X456" s="177"/>
      <c r="Y456" s="177"/>
      <c r="Z456" s="177"/>
      <c r="AA456" s="177"/>
      <c r="AB456" s="177"/>
      <c r="AC456" s="177"/>
      <c r="AD456" s="180" t="s">
        <v>1593</v>
      </c>
      <c r="AE456" s="173" t="s">
        <v>69</v>
      </c>
      <c r="AF456" s="181" t="s">
        <v>142</v>
      </c>
      <c r="AG456" s="192" t="s">
        <v>1657</v>
      </c>
      <c r="AH456" s="198"/>
      <c r="AI456" s="181">
        <v>44849</v>
      </c>
      <c r="AJ456" s="181"/>
      <c r="AK456" s="181">
        <f ca="1">TODAY()</f>
        <v>44958</v>
      </c>
      <c r="AL456" s="173">
        <f ca="1">IF(AI456&lt;&gt;0,AK456-AI456,0)</f>
        <v>109</v>
      </c>
      <c r="AM456" s="173" t="str">
        <f>IF(ISNUMBER(X456)=TRUE,AK456-X456,IF(X456="","",(AK456)-(MID(RIGHT(X456,10),4,2)&amp;"/"&amp;LEFT((RIGHT(X456,10)),2)&amp;"/"&amp;RIGHT(X456,4))))</f>
        <v/>
      </c>
      <c r="AN456" s="181"/>
      <c r="AO456" s="190" t="s">
        <v>1750</v>
      </c>
      <c r="AP456" s="176">
        <v>10.595000000000001</v>
      </c>
      <c r="AQ456" s="176">
        <v>10.605</v>
      </c>
      <c r="AR456" s="176">
        <v>10.629999999999999</v>
      </c>
      <c r="AS456" s="176">
        <v>10.635</v>
      </c>
      <c r="AT456" s="173" t="str">
        <f>IF(ISNUMBER(U456)=TRUE,AK456-U456,IF(U456="","",(AK456)-(MID(RIGHT(U456,10),4,2)&amp;"/"&amp;LEFT((RIGHT(U456,10)),2)&amp;"/"&amp;RIGHT(U456,4))))</f>
        <v/>
      </c>
      <c r="AU456" s="173">
        <v>456</v>
      </c>
      <c r="AW456" s="142" t="s">
        <v>123</v>
      </c>
    </row>
    <row r="457" spans="2:49" s="142" customFormat="1" ht="21" customHeight="1" x14ac:dyDescent="0.25">
      <c r="B457" s="173" t="str">
        <f>IF(C457="HOLD RM","HOLD RM",IF(C457="BAL","WIP",IF(C457="HOLD SLT","HOLD SLT",IF(C457="MILL","RM",IF(C457="RE SLT","WIP",IF(C457="RM","RM",IF(C457="RM BAL","RM",IF(C457="RM SLT","RM",IF(C457="RR","WIP",IF(C457="SKP","WIP",IF(C457="SLT","WIP",IF(C457="CTL","WIP",IF(C457="RM SLT RUST","RM SLT RUST",0)))))))))))))&amp;"-"&amp;G457&amp;"/"&amp;IF(H457="2B","2B",IF(H457="NO.1","1D",IF(H457="FH","FH",0)))&amp;"-"&amp;IF(J457="",(TEXT(I457,"0.00")),TEXT(J457,"0.00"))&amp;"X"&amp;M457</f>
        <v>RM-304L/1D-2.88X641</v>
      </c>
      <c r="C457" s="173" t="s">
        <v>48</v>
      </c>
      <c r="D457" s="173" t="s">
        <v>48</v>
      </c>
      <c r="E457" s="190" t="s">
        <v>1753</v>
      </c>
      <c r="F457" s="190" t="s">
        <v>1754</v>
      </c>
      <c r="G457" s="173" t="s">
        <v>182</v>
      </c>
      <c r="H457" s="173" t="s">
        <v>127</v>
      </c>
      <c r="I457" s="174">
        <v>2.88</v>
      </c>
      <c r="J457" s="174"/>
      <c r="K457" s="174"/>
      <c r="L457" s="174"/>
      <c r="M457" s="191">
        <v>641</v>
      </c>
      <c r="N457" s="176">
        <v>9.2200000000000006</v>
      </c>
      <c r="O457" s="176"/>
      <c r="P457" s="177"/>
      <c r="Q457" s="178"/>
      <c r="R457" s="179"/>
      <c r="S457" s="179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80" t="s">
        <v>1593</v>
      </c>
      <c r="AE457" s="173" t="s">
        <v>69</v>
      </c>
      <c r="AF457" s="181" t="s">
        <v>142</v>
      </c>
      <c r="AG457" s="192" t="s">
        <v>1657</v>
      </c>
      <c r="AH457" s="198"/>
      <c r="AI457" s="181">
        <v>44849</v>
      </c>
      <c r="AJ457" s="181"/>
      <c r="AK457" s="181">
        <f ca="1">TODAY()</f>
        <v>44958</v>
      </c>
      <c r="AL457" s="173">
        <f ca="1">IF(AI457&lt;&gt;0,AK457-AI457,0)</f>
        <v>109</v>
      </c>
      <c r="AM457" s="173" t="str">
        <f>IF(ISNUMBER(X457)=TRUE,AK457-X457,IF(X457="","",(AK457)-(MID(RIGHT(X457,10),4,2)&amp;"/"&amp;LEFT((RIGHT(X457,10)),2)&amp;"/"&amp;RIGHT(X457,4))))</f>
        <v/>
      </c>
      <c r="AN457" s="181"/>
      <c r="AO457" s="190" t="s">
        <v>1755</v>
      </c>
      <c r="AP457" s="176">
        <v>9.2200000000000006</v>
      </c>
      <c r="AQ457" s="176">
        <v>9.23</v>
      </c>
      <c r="AR457" s="176">
        <v>9.254999999999999</v>
      </c>
      <c r="AS457" s="176">
        <v>9.26</v>
      </c>
      <c r="AT457" s="173" t="str">
        <f>IF(ISNUMBER(U457)=TRUE,AK457-U457,IF(U457="","",(AK457)-(MID(RIGHT(U457,10),4,2)&amp;"/"&amp;LEFT((RIGHT(U457,10)),2)&amp;"/"&amp;RIGHT(U457,4))))</f>
        <v/>
      </c>
      <c r="AU457" s="173">
        <v>456</v>
      </c>
      <c r="AW457" s="142" t="s">
        <v>123</v>
      </c>
    </row>
    <row r="458" spans="2:49" s="142" customFormat="1" ht="21" customHeight="1" x14ac:dyDescent="0.25">
      <c r="B458" s="173" t="str">
        <f>IF(C458="HOLD RM","HOLD RM",IF(C458="BAL","WIP",IF(C458="HOLD SLT","HOLD SLT",IF(C458="MILL","RM",IF(C458="RE SLT","WIP",IF(C458="RM","RM",IF(C458="RM BAL","RM",IF(C458="RM SLT","RM",IF(C458="RR","WIP",IF(C458="SKP","WIP",IF(C458="SLT","WIP",IF(C458="CTL","WIP",IF(C458="RM SLT RUST","RM SLT RUST",0)))))))))))))&amp;"-"&amp;G458&amp;"/"&amp;IF(H458="2B","2B",IF(H458="NO.1","1D",IF(H458="FH","FH",0)))&amp;"-"&amp;IF(J458="",(TEXT(I458,"0.00")),TEXT(J458,"0.00"))&amp;"X"&amp;M458</f>
        <v>RM-304L/1D-2.88X640</v>
      </c>
      <c r="C458" s="173" t="s">
        <v>48</v>
      </c>
      <c r="D458" s="173" t="s">
        <v>48</v>
      </c>
      <c r="E458" s="190" t="s">
        <v>1756</v>
      </c>
      <c r="F458" s="190" t="s">
        <v>1757</v>
      </c>
      <c r="G458" s="173" t="s">
        <v>182</v>
      </c>
      <c r="H458" s="173" t="s">
        <v>127</v>
      </c>
      <c r="I458" s="174">
        <v>2.88</v>
      </c>
      <c r="J458" s="174"/>
      <c r="K458" s="174"/>
      <c r="L458" s="174"/>
      <c r="M458" s="191">
        <v>640</v>
      </c>
      <c r="N458" s="176">
        <v>9.19</v>
      </c>
      <c r="O458" s="176"/>
      <c r="P458" s="177"/>
      <c r="Q458" s="178"/>
      <c r="R458" s="179"/>
      <c r="S458" s="179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80" t="s">
        <v>1593</v>
      </c>
      <c r="AE458" s="173" t="s">
        <v>69</v>
      </c>
      <c r="AF458" s="181" t="s">
        <v>142</v>
      </c>
      <c r="AG458" s="192" t="s">
        <v>1657</v>
      </c>
      <c r="AH458" s="198"/>
      <c r="AI458" s="181">
        <v>44849</v>
      </c>
      <c r="AJ458" s="181"/>
      <c r="AK458" s="181">
        <f ca="1">TODAY()</f>
        <v>44958</v>
      </c>
      <c r="AL458" s="173">
        <f ca="1">IF(AI458&lt;&gt;0,AK458-AI458,0)</f>
        <v>109</v>
      </c>
      <c r="AM458" s="173" t="str">
        <f>IF(ISNUMBER(X458)=TRUE,AK458-X458,IF(X458="","",(AK458)-(MID(RIGHT(X458,10),4,2)&amp;"/"&amp;LEFT((RIGHT(X458,10)),2)&amp;"/"&amp;RIGHT(X458,4))))</f>
        <v/>
      </c>
      <c r="AN458" s="181"/>
      <c r="AO458" s="190" t="s">
        <v>1755</v>
      </c>
      <c r="AP458" s="176">
        <v>9.19</v>
      </c>
      <c r="AQ458" s="176">
        <v>9.1999999999999993</v>
      </c>
      <c r="AR458" s="176">
        <v>9.2249999999999979</v>
      </c>
      <c r="AS458" s="176">
        <v>9.2299999999999986</v>
      </c>
      <c r="AT458" s="173" t="str">
        <f>IF(ISNUMBER(U458)=TRUE,AK458-U458,IF(U458="","",(AK458)-(MID(RIGHT(U458,10),4,2)&amp;"/"&amp;LEFT((RIGHT(U458,10)),2)&amp;"/"&amp;RIGHT(U458,4))))</f>
        <v/>
      </c>
      <c r="AU458" s="173">
        <v>456</v>
      </c>
      <c r="AW458" s="142" t="s">
        <v>123</v>
      </c>
    </row>
    <row r="459" spans="2:49" s="142" customFormat="1" ht="21" customHeight="1" x14ac:dyDescent="0.25">
      <c r="B459" s="173" t="str">
        <f>IF(C459="HOLD RM","HOLD RM",IF(C459="BAL","WIP",IF(C459="HOLD SLT","HOLD SLT",IF(C459="MILL","RM",IF(C459="RE SLT","WIP",IF(C459="RM","RM",IF(C459="RM BAL","RM",IF(C459="RM SLT","RM",IF(C459="RR","WIP",IF(C459="SKP","WIP",IF(C459="SLT","WIP",IF(C459="CTL","WIP",IF(C459="RM SLT RUST","RM SLT RUST",0)))))))))))))&amp;"-"&amp;G459&amp;"/"&amp;IF(H459="2B","2B",IF(H459="NO.1","1D",IF(H459="FH","FH",0)))&amp;"-"&amp;IF(J459="",(TEXT(I459,"0.00")),TEXT(J459,"0.00"))&amp;"X"&amp;M459</f>
        <v>WIP-304L/FH-0.90X644</v>
      </c>
      <c r="C459" s="173" t="s">
        <v>16</v>
      </c>
      <c r="D459" s="173" t="s">
        <v>16</v>
      </c>
      <c r="E459" s="190" t="s">
        <v>1758</v>
      </c>
      <c r="F459" s="190" t="s">
        <v>1759</v>
      </c>
      <c r="G459" s="173" t="s">
        <v>182</v>
      </c>
      <c r="H459" s="173" t="s">
        <v>70</v>
      </c>
      <c r="I459" s="174">
        <v>3.5</v>
      </c>
      <c r="J459" s="174">
        <v>0.9</v>
      </c>
      <c r="K459" s="174"/>
      <c r="L459" s="174"/>
      <c r="M459" s="191">
        <v>644</v>
      </c>
      <c r="N459" s="176">
        <v>10.6</v>
      </c>
      <c r="O459" s="176" t="s">
        <v>114</v>
      </c>
      <c r="P459" s="177"/>
      <c r="Q459" s="178" t="s">
        <v>1592</v>
      </c>
      <c r="R459" s="179"/>
      <c r="S459" s="179"/>
      <c r="T459" s="177">
        <v>44956</v>
      </c>
      <c r="U459" s="177"/>
      <c r="V459" s="177">
        <v>44956</v>
      </c>
      <c r="W459" s="177">
        <v>44953</v>
      </c>
      <c r="X459" s="177"/>
      <c r="Y459" s="177"/>
      <c r="Z459" s="177"/>
      <c r="AA459" s="177"/>
      <c r="AB459" s="177"/>
      <c r="AC459" s="177"/>
      <c r="AD459" s="180" t="s">
        <v>1605</v>
      </c>
      <c r="AE459" s="173" t="s">
        <v>69</v>
      </c>
      <c r="AF459" s="181" t="s">
        <v>142</v>
      </c>
      <c r="AG459" s="192" t="s">
        <v>1657</v>
      </c>
      <c r="AH459" s="198"/>
      <c r="AI459" s="181">
        <v>44849</v>
      </c>
      <c r="AJ459" s="181"/>
      <c r="AK459" s="181">
        <f ca="1">TODAY()</f>
        <v>44958</v>
      </c>
      <c r="AL459" s="173">
        <f ca="1">IF(AI459&lt;&gt;0,AK459-AI459,0)</f>
        <v>109</v>
      </c>
      <c r="AM459" s="173" t="str">
        <f>IF(ISNUMBER(X459)=TRUE,AK459-X459,IF(X459="","",(AK459)-(MID(RIGHT(X459,10),4,2)&amp;"/"&amp;LEFT((RIGHT(X459,10)),2)&amp;"/"&amp;RIGHT(X459,4))))</f>
        <v/>
      </c>
      <c r="AN459" s="181"/>
      <c r="AO459" s="190" t="s">
        <v>1760</v>
      </c>
      <c r="AP459" s="176">
        <v>10.615</v>
      </c>
      <c r="AQ459" s="176">
        <v>10.625</v>
      </c>
      <c r="AR459" s="176">
        <v>10.649999999999999</v>
      </c>
      <c r="AS459" s="176">
        <v>10.654999999999999</v>
      </c>
      <c r="AT459" s="173" t="str">
        <f>IF(ISNUMBER(U459)=TRUE,AK459-U459,IF(U459="","",(AK459)-(MID(RIGHT(U459,10),4,2)&amp;"/"&amp;LEFT((RIGHT(U459,10)),2)&amp;"/"&amp;RIGHT(U459,4))))</f>
        <v/>
      </c>
      <c r="AU459" s="173">
        <v>456</v>
      </c>
      <c r="AW459" s="142" t="s">
        <v>123</v>
      </c>
    </row>
    <row r="460" spans="2:49" s="142" customFormat="1" ht="21" customHeight="1" x14ac:dyDescent="0.25">
      <c r="B460" s="173" t="str">
        <f>IF(C460="HOLD RM","HOLD RM",IF(C460="BAL","WIP",IF(C460="HOLD SLT","HOLD SLT",IF(C460="MILL","RM",IF(C460="RE SLT","WIP",IF(C460="RM","RM",IF(C460="RM BAL","RM",IF(C460="RM SLT","RM",IF(C460="RR","WIP",IF(C460="SKP","WIP",IF(C460="SLT","WIP",IF(C460="CTL","WIP",IF(C460="RM SLT RUST","RM SLT RUST",0)))))))))))))&amp;"-"&amp;G460&amp;"/"&amp;IF(H460="2B","2B",IF(H460="NO.1","1D",IF(H460="FH","FH",0)))&amp;"-"&amp;IF(J460="",(TEXT(I460,"0.00")),TEXT(J460,"0.00"))&amp;"X"&amp;M460</f>
        <v>WIP-304/FH-1.15X643</v>
      </c>
      <c r="C460" s="173" t="s">
        <v>16</v>
      </c>
      <c r="D460" s="173" t="s">
        <v>16</v>
      </c>
      <c r="E460" s="190" t="s">
        <v>1761</v>
      </c>
      <c r="F460" s="190" t="s">
        <v>1762</v>
      </c>
      <c r="G460" s="173">
        <v>304</v>
      </c>
      <c r="H460" s="173" t="s">
        <v>70</v>
      </c>
      <c r="I460" s="174">
        <v>3.47</v>
      </c>
      <c r="J460" s="174">
        <v>1.1499999999999999</v>
      </c>
      <c r="K460" s="174"/>
      <c r="L460" s="174"/>
      <c r="M460" s="191">
        <v>643</v>
      </c>
      <c r="N460" s="176">
        <v>8.3149999999999995</v>
      </c>
      <c r="O460" s="176" t="s">
        <v>114</v>
      </c>
      <c r="P460" s="177"/>
      <c r="Q460" s="178" t="s">
        <v>1210</v>
      </c>
      <c r="R460" s="179"/>
      <c r="S460" s="179"/>
      <c r="T460" s="177">
        <v>44953</v>
      </c>
      <c r="U460" s="177"/>
      <c r="V460" s="177">
        <v>44954</v>
      </c>
      <c r="W460" s="177"/>
      <c r="X460" s="177"/>
      <c r="Y460" s="177"/>
      <c r="Z460" s="177"/>
      <c r="AA460" s="177"/>
      <c r="AB460" s="177"/>
      <c r="AC460" s="177"/>
      <c r="AD460" s="180" t="s">
        <v>1643</v>
      </c>
      <c r="AE460" s="173" t="s">
        <v>69</v>
      </c>
      <c r="AF460" s="181" t="s">
        <v>142</v>
      </c>
      <c r="AG460" s="192" t="s">
        <v>1657</v>
      </c>
      <c r="AH460" s="198"/>
      <c r="AI460" s="181">
        <v>44849</v>
      </c>
      <c r="AJ460" s="181"/>
      <c r="AK460" s="181">
        <f ca="1">TODAY()</f>
        <v>44958</v>
      </c>
      <c r="AL460" s="173">
        <f ca="1">IF(AI460&lt;&gt;0,AK460-AI460,0)</f>
        <v>109</v>
      </c>
      <c r="AM460" s="173" t="str">
        <f>IF(ISNUMBER(X460)=TRUE,AK460-X460,IF(X460="","",(AK460)-(MID(RIGHT(X460,10),4,2)&amp;"/"&amp;LEFT((RIGHT(X460,10)),2)&amp;"/"&amp;RIGHT(X460,4))))</f>
        <v/>
      </c>
      <c r="AN460" s="181"/>
      <c r="AO460" s="190" t="s">
        <v>1763</v>
      </c>
      <c r="AP460" s="176">
        <v>8.3249999999999993</v>
      </c>
      <c r="AQ460" s="176">
        <v>8.3350000000000009</v>
      </c>
      <c r="AR460" s="176">
        <v>8.36</v>
      </c>
      <c r="AS460" s="176">
        <v>8.3650000000000002</v>
      </c>
      <c r="AT460" s="173" t="str">
        <f>IF(ISNUMBER(U460)=TRUE,AK460-U460,IF(U460="","",(AK460)-(MID(RIGHT(U460,10),4,2)&amp;"/"&amp;LEFT((RIGHT(U460,10)),2)&amp;"/"&amp;RIGHT(U460,4))))</f>
        <v/>
      </c>
      <c r="AU460" s="173">
        <v>456</v>
      </c>
      <c r="AW460" s="142" t="s">
        <v>123</v>
      </c>
    </row>
    <row r="461" spans="2:49" s="142" customFormat="1" ht="21" customHeight="1" x14ac:dyDescent="0.25">
      <c r="B461" s="173" t="str">
        <f>IF(C461="HOLD RM","HOLD RM",IF(C461="BAL","WIP",IF(C461="HOLD SLT","HOLD SLT",IF(C461="MILL","RM",IF(C461="RE SLT","WIP",IF(C461="RM","RM",IF(C461="RM BAL","RM",IF(C461="RM SLT","RM",IF(C461="RR","WIP",IF(C461="SKP","WIP",IF(C461="SLT","WIP",IF(C461="CTL","WIP",IF(C461="RM SLT RUST","RM SLT RUST",0)))))))))))))&amp;"-"&amp;G461&amp;"/"&amp;IF(H461="2B","2B",IF(H461="NO.1","1D",IF(H461="FH","FH",0)))&amp;"-"&amp;IF(J461="",(TEXT(I461,"0.00")),TEXT(J461,"0.00"))&amp;"X"&amp;M461</f>
        <v>WIP-304L/FH-1.15X647</v>
      </c>
      <c r="C461" s="173" t="s">
        <v>16</v>
      </c>
      <c r="D461" s="173" t="s">
        <v>16</v>
      </c>
      <c r="E461" s="190" t="s">
        <v>1764</v>
      </c>
      <c r="F461" s="190" t="s">
        <v>1765</v>
      </c>
      <c r="G461" s="173" t="s">
        <v>182</v>
      </c>
      <c r="H461" s="173" t="s">
        <v>70</v>
      </c>
      <c r="I461" s="174">
        <v>2.9</v>
      </c>
      <c r="J461" s="174">
        <v>1.1499999999999999</v>
      </c>
      <c r="K461" s="174"/>
      <c r="L461" s="174"/>
      <c r="M461" s="191">
        <v>647</v>
      </c>
      <c r="N461" s="176">
        <v>10.199999999999999</v>
      </c>
      <c r="O461" s="176" t="s">
        <v>114</v>
      </c>
      <c r="P461" s="177"/>
      <c r="Q461" s="178" t="s">
        <v>1592</v>
      </c>
      <c r="R461" s="179"/>
      <c r="S461" s="179"/>
      <c r="T461" s="177">
        <v>44957</v>
      </c>
      <c r="U461" s="177"/>
      <c r="V461" s="177">
        <v>44957</v>
      </c>
      <c r="W461" s="177"/>
      <c r="X461" s="177"/>
      <c r="Y461" s="177"/>
      <c r="Z461" s="177"/>
      <c r="AA461" s="177"/>
      <c r="AB461" s="177"/>
      <c r="AC461" s="177"/>
      <c r="AD461" s="180" t="s">
        <v>1593</v>
      </c>
      <c r="AE461" s="173" t="s">
        <v>69</v>
      </c>
      <c r="AF461" s="181" t="s">
        <v>142</v>
      </c>
      <c r="AG461" s="192" t="s">
        <v>1657</v>
      </c>
      <c r="AH461" s="198"/>
      <c r="AI461" s="181">
        <v>44849</v>
      </c>
      <c r="AJ461" s="181"/>
      <c r="AK461" s="181">
        <f ca="1">TODAY()</f>
        <v>44958</v>
      </c>
      <c r="AL461" s="173">
        <f ca="1">IF(AI461&lt;&gt;0,AK461-AI461,0)</f>
        <v>109</v>
      </c>
      <c r="AM461" s="173" t="str">
        <f>IF(ISNUMBER(X461)=TRUE,AK461-X461,IF(X461="","",(AK461)-(MID(RIGHT(X461,10),4,2)&amp;"/"&amp;LEFT((RIGHT(X461,10)),2)&amp;"/"&amp;RIGHT(X461,4))))</f>
        <v/>
      </c>
      <c r="AN461" s="181"/>
      <c r="AO461" s="190" t="s">
        <v>1766</v>
      </c>
      <c r="AP461" s="176">
        <v>10.25</v>
      </c>
      <c r="AQ461" s="176">
        <v>10.26</v>
      </c>
      <c r="AR461" s="176">
        <v>10.284999999999998</v>
      </c>
      <c r="AS461" s="176">
        <v>10.29</v>
      </c>
      <c r="AT461" s="173" t="str">
        <f>IF(ISNUMBER(U461)=TRUE,AK461-U461,IF(U461="","",(AK461)-(MID(RIGHT(U461,10),4,2)&amp;"/"&amp;LEFT((RIGHT(U461,10)),2)&amp;"/"&amp;RIGHT(U461,4))))</f>
        <v/>
      </c>
      <c r="AU461" s="173">
        <v>456</v>
      </c>
      <c r="AW461" s="142" t="s">
        <v>123</v>
      </c>
    </row>
    <row r="462" spans="2:49" s="142" customFormat="1" ht="21" customHeight="1" x14ac:dyDescent="0.25">
      <c r="B462" s="173" t="str">
        <f>IF(C462="HOLD RM","HOLD RM",IF(C462="BAL","WIP",IF(C462="HOLD SLT","HOLD SLT",IF(C462="MILL","RM",IF(C462="RE SLT","WIP",IF(C462="RM","RM",IF(C462="RM BAL","RM",IF(C462="RM SLT","RM",IF(C462="RR","WIP",IF(C462="SKP","WIP",IF(C462="SLT","WIP",IF(C462="CTL","WIP",IF(C462="RM SLT RUST","RM SLT RUST",0)))))))))))))&amp;"-"&amp;G462&amp;"/"&amp;IF(H462="2B","2B",IF(H462="NO.1","1D",IF(H462="FH","FH",0)))&amp;"-"&amp;IF(J462="",(TEXT(I462,"0.00")),TEXT(J462,"0.00"))&amp;"X"&amp;M462</f>
        <v>RM-304/1D-2.91X643</v>
      </c>
      <c r="C462" s="173" t="s">
        <v>48</v>
      </c>
      <c r="D462" s="173" t="s">
        <v>48</v>
      </c>
      <c r="E462" s="190" t="s">
        <v>1767</v>
      </c>
      <c r="F462" s="190" t="s">
        <v>1768</v>
      </c>
      <c r="G462" s="173">
        <v>304</v>
      </c>
      <c r="H462" s="173" t="s">
        <v>127</v>
      </c>
      <c r="I462" s="174">
        <v>2.91</v>
      </c>
      <c r="J462" s="174"/>
      <c r="K462" s="174"/>
      <c r="L462" s="174"/>
      <c r="M462" s="191">
        <v>643</v>
      </c>
      <c r="N462" s="176">
        <v>7.47</v>
      </c>
      <c r="O462" s="176"/>
      <c r="P462" s="177"/>
      <c r="Q462" s="178"/>
      <c r="R462" s="179"/>
      <c r="S462" s="179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80" t="s">
        <v>1593</v>
      </c>
      <c r="AE462" s="173" t="s">
        <v>69</v>
      </c>
      <c r="AF462" s="181" t="s">
        <v>142</v>
      </c>
      <c r="AG462" s="192" t="s">
        <v>1657</v>
      </c>
      <c r="AH462" s="198"/>
      <c r="AI462" s="181">
        <v>44849</v>
      </c>
      <c r="AJ462" s="181"/>
      <c r="AK462" s="181">
        <f ca="1">TODAY()</f>
        <v>44958</v>
      </c>
      <c r="AL462" s="173">
        <f ca="1">IF(AI462&lt;&gt;0,AK462-AI462,0)</f>
        <v>109</v>
      </c>
      <c r="AM462" s="173" t="str">
        <f>IF(ISNUMBER(X462)=TRUE,AK462-X462,IF(X462="","",(AK462)-(MID(RIGHT(X462,10),4,2)&amp;"/"&amp;LEFT((RIGHT(X462,10)),2)&amp;"/"&amp;RIGHT(X462,4))))</f>
        <v/>
      </c>
      <c r="AN462" s="181"/>
      <c r="AO462" s="190" t="s">
        <v>1769</v>
      </c>
      <c r="AP462" s="176">
        <v>7.47</v>
      </c>
      <c r="AQ462" s="176">
        <v>7.48</v>
      </c>
      <c r="AR462" s="176">
        <v>7.5050000000000008</v>
      </c>
      <c r="AS462" s="176">
        <v>7.5100000000000007</v>
      </c>
      <c r="AT462" s="173" t="str">
        <f>IF(ISNUMBER(U462)=TRUE,AK462-U462,IF(U462="","",(AK462)-(MID(RIGHT(U462,10),4,2)&amp;"/"&amp;LEFT((RIGHT(U462,10)),2)&amp;"/"&amp;RIGHT(U462,4))))</f>
        <v/>
      </c>
      <c r="AU462" s="173">
        <v>456</v>
      </c>
      <c r="AW462" s="142" t="s">
        <v>123</v>
      </c>
    </row>
    <row r="463" spans="2:49" s="142" customFormat="1" ht="21" customHeight="1" x14ac:dyDescent="0.25">
      <c r="B463" s="173" t="str">
        <f>IF(C463="HOLD RM","HOLD RM",IF(C463="BAL","WIP",IF(C463="HOLD SLT","HOLD SLT",IF(C463="MILL","RM",IF(C463="RE SLT","WIP",IF(C463="RM","RM",IF(C463="RM BAL","RM",IF(C463="RM SLT","RM",IF(C463="RR","WIP",IF(C463="SKP","WIP",IF(C463="SLT","WIP",IF(C463="CTL","WIP",IF(C463="RM SLT RUST","RM SLT RUST",0)))))))))))))&amp;"-"&amp;G463&amp;"/"&amp;IF(H463="2B","2B",IF(H463="NO.1","1D",IF(H463="FH","FH",0)))&amp;"-"&amp;IF(J463="",(TEXT(I463,"0.00")),TEXT(J463,"0.00"))&amp;"X"&amp;M463</f>
        <v>RM-304/1D-2.91X642</v>
      </c>
      <c r="C463" s="173" t="s">
        <v>48</v>
      </c>
      <c r="D463" s="173" t="s">
        <v>48</v>
      </c>
      <c r="E463" s="190" t="s">
        <v>1770</v>
      </c>
      <c r="F463" s="190" t="s">
        <v>1771</v>
      </c>
      <c r="G463" s="173">
        <v>304</v>
      </c>
      <c r="H463" s="173" t="s">
        <v>127</v>
      </c>
      <c r="I463" s="174">
        <v>2.91</v>
      </c>
      <c r="J463" s="174"/>
      <c r="K463" s="174"/>
      <c r="L463" s="174"/>
      <c r="M463" s="191">
        <v>642</v>
      </c>
      <c r="N463" s="176">
        <v>7.47</v>
      </c>
      <c r="O463" s="176"/>
      <c r="P463" s="177"/>
      <c r="Q463" s="178"/>
      <c r="R463" s="179"/>
      <c r="S463" s="179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80" t="s">
        <v>1593</v>
      </c>
      <c r="AE463" s="173" t="s">
        <v>69</v>
      </c>
      <c r="AF463" s="181" t="s">
        <v>142</v>
      </c>
      <c r="AG463" s="192" t="s">
        <v>1657</v>
      </c>
      <c r="AH463" s="198"/>
      <c r="AI463" s="181">
        <v>44849</v>
      </c>
      <c r="AJ463" s="181"/>
      <c r="AK463" s="181">
        <f ca="1">TODAY()</f>
        <v>44958</v>
      </c>
      <c r="AL463" s="173">
        <f ca="1">IF(AI463&lt;&gt;0,AK463-AI463,0)</f>
        <v>109</v>
      </c>
      <c r="AM463" s="173" t="str">
        <f>IF(ISNUMBER(X463)=TRUE,AK463-X463,IF(X463="","",(AK463)-(MID(RIGHT(X463,10),4,2)&amp;"/"&amp;LEFT((RIGHT(X463,10)),2)&amp;"/"&amp;RIGHT(X463,4))))</f>
        <v/>
      </c>
      <c r="AN463" s="181"/>
      <c r="AO463" s="190" t="s">
        <v>1769</v>
      </c>
      <c r="AP463" s="176">
        <v>7.47</v>
      </c>
      <c r="AQ463" s="176">
        <v>7.48</v>
      </c>
      <c r="AR463" s="176">
        <v>7.5050000000000008</v>
      </c>
      <c r="AS463" s="176">
        <v>7.5100000000000007</v>
      </c>
      <c r="AT463" s="173" t="str">
        <f>IF(ISNUMBER(U463)=TRUE,AK463-U463,IF(U463="","",(AK463)-(MID(RIGHT(U463,10),4,2)&amp;"/"&amp;LEFT((RIGHT(U463,10)),2)&amp;"/"&amp;RIGHT(U463,4))))</f>
        <v/>
      </c>
      <c r="AU463" s="173">
        <v>456</v>
      </c>
      <c r="AW463" s="142" t="s">
        <v>123</v>
      </c>
    </row>
    <row r="464" spans="2:49" s="142" customFormat="1" ht="21" customHeight="1" x14ac:dyDescent="0.25">
      <c r="B464" s="173" t="str">
        <f>IF(C464="HOLD RM","HOLD RM",IF(C464="BAL","WIP",IF(C464="HOLD SLT","HOLD SLT",IF(C464="MILL","RM",IF(C464="RE SLT","WIP",IF(C464="RM","RM",IF(C464="RM BAL","RM",IF(C464="RM SLT","RM",IF(C464="RR","WIP",IF(C464="SKP","WIP",IF(C464="SLT","WIP",IF(C464="CTL","WIP",IF(C464="RM SLT RUST","RM SLT RUST",0)))))))))))))&amp;"-"&amp;G464&amp;"/"&amp;IF(H464="2B","2B",IF(H464="NO.1","1D",IF(H464="FH","FH",0)))&amp;"-"&amp;IF(J464="",(TEXT(I464,"0.00")),TEXT(J464,"0.00"))&amp;"X"&amp;M464</f>
        <v>HOLD SLT-304L/2B-0.40X644</v>
      </c>
      <c r="C464" s="173" t="s">
        <v>68</v>
      </c>
      <c r="D464" s="173" t="s">
        <v>68</v>
      </c>
      <c r="E464" s="190" t="s">
        <v>1772</v>
      </c>
      <c r="F464" s="190" t="s">
        <v>1773</v>
      </c>
      <c r="G464" s="173" t="s">
        <v>182</v>
      </c>
      <c r="H464" s="173" t="s">
        <v>114</v>
      </c>
      <c r="I464" s="174">
        <v>2.4900000000000002</v>
      </c>
      <c r="J464" s="174">
        <v>0.4</v>
      </c>
      <c r="K464" s="174">
        <v>0.37</v>
      </c>
      <c r="L464" s="174">
        <v>0.39</v>
      </c>
      <c r="M464" s="191">
        <v>644</v>
      </c>
      <c r="N464" s="176">
        <v>2.61</v>
      </c>
      <c r="O464" s="176" t="s">
        <v>114</v>
      </c>
      <c r="P464" s="177"/>
      <c r="Q464" s="178" t="s">
        <v>1344</v>
      </c>
      <c r="R464" s="179"/>
      <c r="S464" s="179"/>
      <c r="T464" s="177">
        <v>44915</v>
      </c>
      <c r="U464" s="177"/>
      <c r="V464" s="177"/>
      <c r="W464" s="177">
        <v>44942</v>
      </c>
      <c r="X464" s="177">
        <v>44943</v>
      </c>
      <c r="Y464" s="177"/>
      <c r="Z464" s="177" t="s">
        <v>1774</v>
      </c>
      <c r="AA464" s="177"/>
      <c r="AB464" s="177"/>
      <c r="AC464" s="177"/>
      <c r="AD464" s="180" t="s">
        <v>1619</v>
      </c>
      <c r="AE464" s="173" t="s">
        <v>69</v>
      </c>
      <c r="AF464" s="181" t="s">
        <v>142</v>
      </c>
      <c r="AG464" s="192" t="s">
        <v>1657</v>
      </c>
      <c r="AH464" s="198"/>
      <c r="AI464" s="181">
        <v>44849</v>
      </c>
      <c r="AJ464" s="181"/>
      <c r="AK464" s="181">
        <f ca="1">TODAY()</f>
        <v>44958</v>
      </c>
      <c r="AL464" s="173">
        <f ca="1">IF(AI464&lt;&gt;0,AK464-AI464,0)</f>
        <v>109</v>
      </c>
      <c r="AM464" s="173">
        <f ca="1">IF(ISNUMBER(X464)=TRUE,AK464-X464,IF(X464="","",(AK464)-(MID(RIGHT(X464,10),4,2)&amp;"/"&amp;LEFT((RIGHT(X464,10)),2)&amp;"/"&amp;RIGHT(X464,4))))</f>
        <v>15</v>
      </c>
      <c r="AN464" s="181"/>
      <c r="AO464" s="190" t="s">
        <v>1775</v>
      </c>
      <c r="AP464" s="176">
        <v>10.64</v>
      </c>
      <c r="AQ464" s="176">
        <v>10.65</v>
      </c>
      <c r="AR464" s="176">
        <v>10.674999999999999</v>
      </c>
      <c r="AS464" s="176">
        <v>10.68</v>
      </c>
      <c r="AT464" s="173" t="str">
        <f>IF(ISNUMBER(U464)=TRUE,AK464-U464,IF(U464="","",(AK464)-(MID(RIGHT(U464,10),4,2)&amp;"/"&amp;LEFT((RIGHT(U464,10)),2)&amp;"/"&amp;RIGHT(U464,4))))</f>
        <v/>
      </c>
      <c r="AU464" s="173">
        <v>456</v>
      </c>
      <c r="AW464" s="142" t="s">
        <v>123</v>
      </c>
    </row>
    <row r="465" spans="2:49" s="142" customFormat="1" ht="21" customHeight="1" x14ac:dyDescent="0.25">
      <c r="B465" s="173" t="str">
        <f>IF(C465="HOLD RM","HOLD RM",IF(C465="BAL","WIP",IF(C465="HOLD SLT","HOLD SLT",IF(C465="MILL","RM",IF(C465="RE SLT","WIP",IF(C465="RM","RM",IF(C465="RM BAL","RM",IF(C465="RM SLT","RM",IF(C465="RR","WIP",IF(C465="SKP","WIP",IF(C465="SLT","WIP",IF(C465="CTL","WIP",IF(C465="RM SLT RUST","RM SLT RUST",0)))))))))))))&amp;"-"&amp;G465&amp;"/"&amp;IF(H465="2B","2B",IF(H465="NO.1","1D",IF(H465="FH","FH",0)))&amp;"-"&amp;IF(J465="",(TEXT(I465,"0.00")),TEXT(J465,"0.00"))&amp;"X"&amp;M465</f>
        <v>WIP-304L/2B-0.38X628</v>
      </c>
      <c r="C465" s="173" t="s">
        <v>775</v>
      </c>
      <c r="D465" s="173" t="s">
        <v>1237</v>
      </c>
      <c r="E465" s="190" t="s">
        <v>1776</v>
      </c>
      <c r="F465" s="190" t="s">
        <v>1777</v>
      </c>
      <c r="G465" s="173" t="s">
        <v>182</v>
      </c>
      <c r="H465" s="173" t="s">
        <v>114</v>
      </c>
      <c r="I465" s="174">
        <v>2.4900000000000002</v>
      </c>
      <c r="J465" s="174">
        <v>0.38</v>
      </c>
      <c r="K465" s="174">
        <v>0.38</v>
      </c>
      <c r="L465" s="174">
        <v>0.39</v>
      </c>
      <c r="M465" s="191">
        <v>628</v>
      </c>
      <c r="N465" s="176">
        <v>8.9849999999999994</v>
      </c>
      <c r="O465" s="176" t="s">
        <v>114</v>
      </c>
      <c r="P465" s="177"/>
      <c r="Q465" s="178" t="s">
        <v>1370</v>
      </c>
      <c r="R465" s="179"/>
      <c r="S465" s="179" t="s">
        <v>230</v>
      </c>
      <c r="T465" s="177">
        <v>44918</v>
      </c>
      <c r="U465" s="177"/>
      <c r="V465" s="177"/>
      <c r="W465" s="177">
        <v>44922</v>
      </c>
      <c r="X465" s="177">
        <v>44949</v>
      </c>
      <c r="Y465" s="177"/>
      <c r="Z465" s="177">
        <v>44955</v>
      </c>
      <c r="AA465" s="177"/>
      <c r="AB465" s="177"/>
      <c r="AC465" s="177"/>
      <c r="AD465" s="180" t="s">
        <v>1619</v>
      </c>
      <c r="AE465" s="173" t="s">
        <v>69</v>
      </c>
      <c r="AF465" s="181" t="s">
        <v>142</v>
      </c>
      <c r="AG465" s="192" t="s">
        <v>1657</v>
      </c>
      <c r="AH465" s="198"/>
      <c r="AI465" s="181">
        <v>44849</v>
      </c>
      <c r="AJ465" s="181"/>
      <c r="AK465" s="181">
        <f ca="1">TODAY()</f>
        <v>44958</v>
      </c>
      <c r="AL465" s="173">
        <f ca="1">IF(AI465&lt;&gt;0,AK465-AI465,0)</f>
        <v>109</v>
      </c>
      <c r="AM465" s="173">
        <f ca="1">IF(ISNUMBER(X465)=TRUE,AK465-X465,IF(X465="","",(AK465)-(MID(RIGHT(X465,10),4,2)&amp;"/"&amp;LEFT((RIGHT(X465,10)),2)&amp;"/"&amp;RIGHT(X465,4))))</f>
        <v>9</v>
      </c>
      <c r="AN465" s="181"/>
      <c r="AO465" s="190" t="s">
        <v>1775</v>
      </c>
      <c r="AP465" s="176">
        <v>10.664999999999999</v>
      </c>
      <c r="AQ465" s="176">
        <v>10.675000000000001</v>
      </c>
      <c r="AR465" s="176">
        <v>10.7</v>
      </c>
      <c r="AS465" s="176">
        <v>10.705</v>
      </c>
      <c r="AT465" s="173" t="str">
        <f>IF(ISNUMBER(U465)=TRUE,AK465-U465,IF(U465="","",(AK465)-(MID(RIGHT(U465,10),4,2)&amp;"/"&amp;LEFT((RIGHT(U465,10)),2)&amp;"/"&amp;RIGHT(U465,4))))</f>
        <v/>
      </c>
      <c r="AU465" s="173">
        <v>456</v>
      </c>
      <c r="AW465" s="142" t="s">
        <v>123</v>
      </c>
    </row>
    <row r="466" spans="2:49" s="142" customFormat="1" ht="21" customHeight="1" x14ac:dyDescent="0.25">
      <c r="B466" s="173" t="str">
        <f>IF(C466="HOLD RM","HOLD RM",IF(C466="BAL","WIP",IF(C466="HOLD SLT","HOLD SLT",IF(C466="MILL","RM",IF(C466="RE SLT","WIP",IF(C466="RM","RM",IF(C466="RM BAL","RM",IF(C466="RM SLT","RM",IF(C466="RR","WIP",IF(C466="SKP","WIP",IF(C466="SLT","WIP",IF(C466="CTL","WIP",IF(C466="RM SLT RUST","RM SLT RUST",0)))))))))))))&amp;"-"&amp;G466&amp;"/"&amp;IF(H466="2B","2B",IF(H466="NO.1","1D",IF(H466="FH","FH",0)))&amp;"-"&amp;IF(J466="",(TEXT(I466,"0.00")),TEXT(J466,"0.00"))&amp;"X"&amp;M466</f>
        <v>RM-304L/1D-2.49X644</v>
      </c>
      <c r="C466" s="173" t="s">
        <v>13</v>
      </c>
      <c r="D466" s="173" t="s">
        <v>13</v>
      </c>
      <c r="E466" s="190" t="s">
        <v>1776</v>
      </c>
      <c r="F466" s="190" t="s">
        <v>1778</v>
      </c>
      <c r="G466" s="173" t="s">
        <v>182</v>
      </c>
      <c r="H466" s="173" t="s">
        <v>127</v>
      </c>
      <c r="I466" s="174">
        <v>2.4900000000000002</v>
      </c>
      <c r="J466" s="174"/>
      <c r="K466" s="174"/>
      <c r="L466" s="174"/>
      <c r="M466" s="191">
        <v>644</v>
      </c>
      <c r="N466" s="176">
        <f>10.665-9.185</f>
        <v>1.4799999999999986</v>
      </c>
      <c r="O466" s="176"/>
      <c r="P466" s="177"/>
      <c r="Q466" s="178"/>
      <c r="R466" s="179"/>
      <c r="S466" s="179"/>
      <c r="T466" s="177">
        <v>44918</v>
      </c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80" t="s">
        <v>1619</v>
      </c>
      <c r="AE466" s="173" t="s">
        <v>69</v>
      </c>
      <c r="AF466" s="181" t="s">
        <v>142</v>
      </c>
      <c r="AG466" s="192" t="s">
        <v>1657</v>
      </c>
      <c r="AH466" s="198"/>
      <c r="AI466" s="181">
        <v>44849</v>
      </c>
      <c r="AJ466" s="181"/>
      <c r="AK466" s="181">
        <f ca="1">TODAY()</f>
        <v>44958</v>
      </c>
      <c r="AL466" s="173">
        <f ca="1">IF(AI466&lt;&gt;0,AK466-AI466,0)</f>
        <v>109</v>
      </c>
      <c r="AM466" s="173" t="str">
        <f>IF(ISNUMBER(X466)=TRUE,AK466-X466,IF(X466="","",(AK466)-(MID(RIGHT(X466,10),4,2)&amp;"/"&amp;LEFT((RIGHT(X466,10)),2)&amp;"/"&amp;RIGHT(X466,4))))</f>
        <v/>
      </c>
      <c r="AN466" s="181"/>
      <c r="AO466" s="190" t="s">
        <v>1775</v>
      </c>
      <c r="AP466" s="176">
        <v>10.664999999999999</v>
      </c>
      <c r="AQ466" s="176">
        <v>10.675000000000001</v>
      </c>
      <c r="AR466" s="176">
        <v>10.7</v>
      </c>
      <c r="AS466" s="176">
        <v>10.705</v>
      </c>
      <c r="AT466" s="173" t="str">
        <f>IF(ISNUMBER(U466)=TRUE,AK466-U466,IF(U466="","",(AK466)-(MID(RIGHT(U466,10),4,2)&amp;"/"&amp;LEFT((RIGHT(U466,10)),2)&amp;"/"&amp;RIGHT(U466,4))))</f>
        <v/>
      </c>
      <c r="AU466" s="173">
        <v>456</v>
      </c>
      <c r="AW466" s="142" t="s">
        <v>123</v>
      </c>
    </row>
    <row r="467" spans="2:49" s="142" customFormat="1" ht="21" customHeight="1" x14ac:dyDescent="0.25">
      <c r="B467" s="173" t="str">
        <f>IF(C467="HOLD RM","HOLD RM",IF(C467="BAL","WIP",IF(C467="HOLD SLT","HOLD SLT",IF(C467="MILL","RM",IF(C467="RE SLT","WIP",IF(C467="RM","RM",IF(C467="RM BAL","RM",IF(C467="RM SLT","RM",IF(C467="RR","WIP",IF(C467="SKP","WIP",IF(C467="SLT","WIP",IF(C467="CTL","WIP",IF(C467="RM SLT RUST","RM SLT RUST",0)))))))))))))&amp;"-"&amp;G467&amp;"/"&amp;IF(H467="2B","2B",IF(H467="NO.1","1D",IF(H467="FH","FH",0)))&amp;"-"&amp;IF(J467="",(TEXT(I467,"0.00")),TEXT(J467,"0.00"))&amp;"X"&amp;M467</f>
        <v>RM-304/1D-3.95X642</v>
      </c>
      <c r="C467" s="173" t="s">
        <v>48</v>
      </c>
      <c r="D467" s="173" t="s">
        <v>48</v>
      </c>
      <c r="E467" s="190" t="s">
        <v>1779</v>
      </c>
      <c r="F467" s="190" t="s">
        <v>1780</v>
      </c>
      <c r="G467" s="173">
        <v>304</v>
      </c>
      <c r="H467" s="173" t="s">
        <v>127</v>
      </c>
      <c r="I467" s="174">
        <v>3.95</v>
      </c>
      <c r="J467" s="174"/>
      <c r="K467" s="174"/>
      <c r="L467" s="174"/>
      <c r="M467" s="191">
        <v>642</v>
      </c>
      <c r="N467" s="176">
        <v>10.734999999999999</v>
      </c>
      <c r="O467" s="176"/>
      <c r="P467" s="177"/>
      <c r="Q467" s="178"/>
      <c r="R467" s="179"/>
      <c r="S467" s="179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80" t="s">
        <v>1593</v>
      </c>
      <c r="AE467" s="173" t="s">
        <v>69</v>
      </c>
      <c r="AF467" s="181" t="s">
        <v>142</v>
      </c>
      <c r="AG467" s="192" t="s">
        <v>1657</v>
      </c>
      <c r="AH467" s="198"/>
      <c r="AI467" s="181">
        <v>44849</v>
      </c>
      <c r="AJ467" s="181"/>
      <c r="AK467" s="181">
        <f ca="1">TODAY()</f>
        <v>44958</v>
      </c>
      <c r="AL467" s="173">
        <f ca="1">IF(AI467&lt;&gt;0,AK467-AI467,0)</f>
        <v>109</v>
      </c>
      <c r="AM467" s="173" t="str">
        <f>IF(ISNUMBER(X467)=TRUE,AK467-X467,IF(X467="","",(AK467)-(MID(RIGHT(X467,10),4,2)&amp;"/"&amp;LEFT((RIGHT(X467,10)),2)&amp;"/"&amp;RIGHT(X467,4))))</f>
        <v/>
      </c>
      <c r="AN467" s="181"/>
      <c r="AO467" s="190" t="s">
        <v>1781</v>
      </c>
      <c r="AP467" s="176">
        <v>10.734999999999999</v>
      </c>
      <c r="AQ467" s="176">
        <v>10.744999999999999</v>
      </c>
      <c r="AR467" s="176">
        <v>10.769999999999998</v>
      </c>
      <c r="AS467" s="176">
        <v>10.774999999999999</v>
      </c>
      <c r="AT467" s="173" t="str">
        <f>IF(ISNUMBER(U467)=TRUE,AK467-U467,IF(U467="","",(AK467)-(MID(RIGHT(U467,10),4,2)&amp;"/"&amp;LEFT((RIGHT(U467,10)),2)&amp;"/"&amp;RIGHT(U467,4))))</f>
        <v/>
      </c>
      <c r="AU467" s="173">
        <v>456</v>
      </c>
      <c r="AW467" s="142" t="s">
        <v>123</v>
      </c>
    </row>
    <row r="468" spans="2:49" s="142" customFormat="1" ht="21" customHeight="1" x14ac:dyDescent="0.25">
      <c r="B468" s="173" t="str">
        <f>IF(C468="HOLD RM","HOLD RM",IF(C468="BAL","WIP",IF(C468="HOLD SLT","HOLD SLT",IF(C468="MILL","RM",IF(C468="RE SLT","WIP",IF(C468="RM","RM",IF(C468="RM BAL","RM",IF(C468="RM SLT","RM",IF(C468="RR","WIP",IF(C468="SKP","WIP",IF(C468="SLT","WIP",IF(C468="CTL","WIP",IF(C468="RM SLT RUST","RM SLT RUST",0)))))))))))))&amp;"-"&amp;G468&amp;"/"&amp;IF(H468="2B","2B",IF(H468="NO.1","1D",IF(H468="FH","FH",0)))&amp;"-"&amp;IF(J468="",(TEXT(I468,"0.00")),TEXT(J468,"0.00"))&amp;"X"&amp;M468</f>
        <v>WIP-304L/FH-0.90X641</v>
      </c>
      <c r="C468" s="173" t="s">
        <v>16</v>
      </c>
      <c r="D468" s="173" t="s">
        <v>16</v>
      </c>
      <c r="E468" s="190" t="s">
        <v>1782</v>
      </c>
      <c r="F468" s="190" t="s">
        <v>1783</v>
      </c>
      <c r="G468" s="173" t="s">
        <v>182</v>
      </c>
      <c r="H468" s="173" t="s">
        <v>70</v>
      </c>
      <c r="I468" s="174">
        <v>2.88</v>
      </c>
      <c r="J468" s="174">
        <v>0.9</v>
      </c>
      <c r="K468" s="174"/>
      <c r="L468" s="174"/>
      <c r="M468" s="191">
        <v>641</v>
      </c>
      <c r="N468" s="176">
        <v>10.72</v>
      </c>
      <c r="O468" s="176" t="s">
        <v>114</v>
      </c>
      <c r="P468" s="177"/>
      <c r="Q468" s="178" t="s">
        <v>1210</v>
      </c>
      <c r="R468" s="179"/>
      <c r="S468" s="179"/>
      <c r="T468" s="177">
        <v>44955</v>
      </c>
      <c r="U468" s="177"/>
      <c r="V468" s="177">
        <v>44955</v>
      </c>
      <c r="W468" s="177"/>
      <c r="X468" s="177"/>
      <c r="Y468" s="177"/>
      <c r="Z468" s="177"/>
      <c r="AA468" s="177"/>
      <c r="AB468" s="177"/>
      <c r="AC468" s="177"/>
      <c r="AD468" s="180" t="s">
        <v>1593</v>
      </c>
      <c r="AE468" s="173" t="s">
        <v>69</v>
      </c>
      <c r="AF468" s="181" t="s">
        <v>142</v>
      </c>
      <c r="AG468" s="192" t="s">
        <v>1657</v>
      </c>
      <c r="AH468" s="198"/>
      <c r="AI468" s="181">
        <v>44849</v>
      </c>
      <c r="AJ468" s="181"/>
      <c r="AK468" s="181">
        <f ca="1">TODAY()</f>
        <v>44958</v>
      </c>
      <c r="AL468" s="173">
        <f ca="1">IF(AI468&lt;&gt;0,AK468-AI468,0)</f>
        <v>109</v>
      </c>
      <c r="AM468" s="173" t="str">
        <f>IF(ISNUMBER(X468)=TRUE,AK468-X468,IF(X468="","",(AK468)-(MID(RIGHT(X468,10),4,2)&amp;"/"&amp;LEFT((RIGHT(X468,10)),2)&amp;"/"&amp;RIGHT(X468,4))))</f>
        <v/>
      </c>
      <c r="AN468" s="181"/>
      <c r="AO468" s="190" t="s">
        <v>1784</v>
      </c>
      <c r="AP468" s="176">
        <v>10.725</v>
      </c>
      <c r="AQ468" s="176">
        <v>10.734999999999999</v>
      </c>
      <c r="AR468" s="176">
        <v>10.759999999999998</v>
      </c>
      <c r="AS468" s="176">
        <v>10.764999999999999</v>
      </c>
      <c r="AT468" s="173" t="str">
        <f>IF(ISNUMBER(U468)=TRUE,AK468-U468,IF(U468="","",(AK468)-(MID(RIGHT(U468,10),4,2)&amp;"/"&amp;LEFT((RIGHT(U468,10)),2)&amp;"/"&amp;RIGHT(U468,4))))</f>
        <v/>
      </c>
      <c r="AU468" s="173">
        <v>456</v>
      </c>
      <c r="AW468" s="142" t="s">
        <v>123</v>
      </c>
    </row>
    <row r="469" spans="2:49" s="142" customFormat="1" ht="21" customHeight="1" x14ac:dyDescent="0.25">
      <c r="B469" s="173" t="str">
        <f>IF(C469="HOLD RM","HOLD RM",IF(C469="BAL","WIP",IF(C469="HOLD SLT","HOLD SLT",IF(C469="MILL","RM",IF(C469="RE SLT","WIP",IF(C469="RM","RM",IF(C469="RM BAL","RM",IF(C469="RM SLT","RM",IF(C469="RR","WIP",IF(C469="SKP","WIP",IF(C469="SLT","WIP",IF(C469="CTL","WIP",IF(C469="RM SLT RUST","RM SLT RUST",0)))))))))))))&amp;"-"&amp;G469&amp;"/"&amp;IF(H469="2B","2B",IF(H469="NO.1","1D",IF(H469="FH","FH",0)))&amp;"-"&amp;IF(J469="",(TEXT(I469,"0.00")),TEXT(J469,"0.00"))&amp;"X"&amp;M469</f>
        <v>RM-304L/1D-2.49X644</v>
      </c>
      <c r="C469" s="173" t="s">
        <v>48</v>
      </c>
      <c r="D469" s="173" t="s">
        <v>48</v>
      </c>
      <c r="E469" s="190" t="s">
        <v>1785</v>
      </c>
      <c r="F469" s="190" t="s">
        <v>1786</v>
      </c>
      <c r="G469" s="173" t="s">
        <v>182</v>
      </c>
      <c r="H469" s="173" t="s">
        <v>127</v>
      </c>
      <c r="I469" s="174">
        <v>2.4900000000000002</v>
      </c>
      <c r="J469" s="174"/>
      <c r="K469" s="174"/>
      <c r="L469" s="174"/>
      <c r="M469" s="191">
        <v>644</v>
      </c>
      <c r="N469" s="176">
        <v>10.6</v>
      </c>
      <c r="O469" s="176"/>
      <c r="P469" s="177"/>
      <c r="Q469" s="178"/>
      <c r="R469" s="179"/>
      <c r="S469" s="179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80" t="s">
        <v>1593</v>
      </c>
      <c r="AE469" s="173" t="s">
        <v>69</v>
      </c>
      <c r="AF469" s="181" t="s">
        <v>142</v>
      </c>
      <c r="AG469" s="192" t="s">
        <v>1657</v>
      </c>
      <c r="AH469" s="198"/>
      <c r="AI469" s="181">
        <v>44849</v>
      </c>
      <c r="AJ469" s="181"/>
      <c r="AK469" s="181">
        <f ca="1">TODAY()</f>
        <v>44958</v>
      </c>
      <c r="AL469" s="173">
        <f ca="1">IF(AI469&lt;&gt;0,AK469-AI469,0)</f>
        <v>109</v>
      </c>
      <c r="AM469" s="173" t="str">
        <f>IF(ISNUMBER(X469)=TRUE,AK469-X469,IF(X469="","",(AK469)-(MID(RIGHT(X469,10),4,2)&amp;"/"&amp;LEFT((RIGHT(X469,10)),2)&amp;"/"&amp;RIGHT(X469,4))))</f>
        <v/>
      </c>
      <c r="AN469" s="181"/>
      <c r="AO469" s="190" t="s">
        <v>1787</v>
      </c>
      <c r="AP469" s="176">
        <v>10.6</v>
      </c>
      <c r="AQ469" s="176">
        <v>10.61</v>
      </c>
      <c r="AR469" s="176">
        <v>10.634999999999998</v>
      </c>
      <c r="AS469" s="176">
        <v>10.639999999999999</v>
      </c>
      <c r="AT469" s="173" t="str">
        <f>IF(ISNUMBER(U469)=TRUE,AK469-U469,IF(U469="","",(AK469)-(MID(RIGHT(U469,10),4,2)&amp;"/"&amp;LEFT((RIGHT(U469,10)),2)&amp;"/"&amp;RIGHT(U469,4))))</f>
        <v/>
      </c>
      <c r="AU469" s="173">
        <v>456</v>
      </c>
      <c r="AW469" s="142" t="s">
        <v>123</v>
      </c>
    </row>
    <row r="470" spans="2:49" s="142" customFormat="1" ht="21" customHeight="1" x14ac:dyDescent="0.25">
      <c r="B470" s="173" t="str">
        <f>IF(C470="HOLD RM","HOLD RM",IF(C470="BAL","WIP",IF(C470="HOLD SLT","HOLD SLT",IF(C470="MILL","RM",IF(C470="RE SLT","WIP",IF(C470="RM","RM",IF(C470="RM BAL","RM",IF(C470="RM SLT","RM",IF(C470="RR","WIP",IF(C470="SKP","WIP",IF(C470="SLT","WIP",IF(C470="CTL","WIP",IF(C470="RM SLT RUST","RM SLT RUST",0)))))))))))))&amp;"-"&amp;G470&amp;"/"&amp;IF(H470="2B","2B",IF(H470="NO.1","1D",IF(H470="FH","FH",0)))&amp;"-"&amp;IF(J470="",(TEXT(I470,"0.00")),TEXT(J470,"0.00"))&amp;"X"&amp;M470</f>
        <v>RM-304L/1D-2.49X643</v>
      </c>
      <c r="C470" s="173" t="s">
        <v>48</v>
      </c>
      <c r="D470" s="173" t="s">
        <v>48</v>
      </c>
      <c r="E470" s="190" t="s">
        <v>1788</v>
      </c>
      <c r="F470" s="190" t="s">
        <v>1789</v>
      </c>
      <c r="G470" s="173" t="s">
        <v>182</v>
      </c>
      <c r="H470" s="173" t="s">
        <v>127</v>
      </c>
      <c r="I470" s="174">
        <v>2.4900000000000002</v>
      </c>
      <c r="J470" s="174"/>
      <c r="K470" s="174"/>
      <c r="L470" s="174"/>
      <c r="M470" s="191">
        <v>643</v>
      </c>
      <c r="N470" s="176">
        <v>10.565</v>
      </c>
      <c r="O470" s="176"/>
      <c r="P470" s="177"/>
      <c r="Q470" s="178"/>
      <c r="R470" s="179"/>
      <c r="S470" s="179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80" t="s">
        <v>1593</v>
      </c>
      <c r="AE470" s="173" t="s">
        <v>69</v>
      </c>
      <c r="AF470" s="181" t="s">
        <v>142</v>
      </c>
      <c r="AG470" s="192" t="s">
        <v>1657</v>
      </c>
      <c r="AH470" s="198"/>
      <c r="AI470" s="181">
        <v>44849</v>
      </c>
      <c r="AJ470" s="181"/>
      <c r="AK470" s="181">
        <f ca="1">TODAY()</f>
        <v>44958</v>
      </c>
      <c r="AL470" s="173">
        <f ca="1">IF(AI470&lt;&gt;0,AK470-AI470,0)</f>
        <v>109</v>
      </c>
      <c r="AM470" s="173" t="str">
        <f>IF(ISNUMBER(X470)=TRUE,AK470-X470,IF(X470="","",(AK470)-(MID(RIGHT(X470,10),4,2)&amp;"/"&amp;LEFT((RIGHT(X470,10)),2)&amp;"/"&amp;RIGHT(X470,4))))</f>
        <v/>
      </c>
      <c r="AN470" s="181"/>
      <c r="AO470" s="190" t="s">
        <v>1787</v>
      </c>
      <c r="AP470" s="176">
        <v>10.565</v>
      </c>
      <c r="AQ470" s="176">
        <v>10.574999999999999</v>
      </c>
      <c r="AR470" s="176">
        <v>10.599999999999998</v>
      </c>
      <c r="AS470" s="176">
        <v>10.604999999999999</v>
      </c>
      <c r="AT470" s="173" t="str">
        <f>IF(ISNUMBER(U470)=TRUE,AK470-U470,IF(U470="","",(AK470)-(MID(RIGHT(U470,10),4,2)&amp;"/"&amp;LEFT((RIGHT(U470,10)),2)&amp;"/"&amp;RIGHT(U470,4))))</f>
        <v/>
      </c>
      <c r="AU470" s="173">
        <v>456</v>
      </c>
      <c r="AW470" s="142" t="s">
        <v>123</v>
      </c>
    </row>
    <row r="471" spans="2:49" s="142" customFormat="1" ht="21" customHeight="1" x14ac:dyDescent="0.25">
      <c r="B471" s="173" t="str">
        <f>IF(C471="HOLD RM","HOLD RM",IF(C471="BAL","WIP",IF(C471="HOLD SLT","HOLD SLT",IF(C471="MILL","RM",IF(C471="RE SLT","WIP",IF(C471="RM","RM",IF(C471="RM BAL","RM",IF(C471="RM SLT","RM",IF(C471="RR","WIP",IF(C471="SKP","WIP",IF(C471="SLT","WIP",IF(C471="CTL","WIP",IF(C471="RM SLT RUST","RM SLT RUST",0)))))))))))))&amp;"-"&amp;G471&amp;"/"&amp;IF(H471="2B","2B",IF(H471="NO.1","1D",IF(H471="FH","FH",0)))&amp;"-"&amp;IF(J471="",(TEXT(I471,"0.00")),TEXT(J471,"0.00"))&amp;"X"&amp;M471</f>
        <v>WIP-304L/FH-1.45X646</v>
      </c>
      <c r="C471" s="173" t="s">
        <v>16</v>
      </c>
      <c r="D471" s="173" t="s">
        <v>16</v>
      </c>
      <c r="E471" s="190" t="s">
        <v>1790</v>
      </c>
      <c r="F471" s="190" t="s">
        <v>1791</v>
      </c>
      <c r="G471" s="173" t="s">
        <v>182</v>
      </c>
      <c r="H471" s="173" t="s">
        <v>70</v>
      </c>
      <c r="I471" s="174">
        <v>3.89</v>
      </c>
      <c r="J471" s="174">
        <v>1.45</v>
      </c>
      <c r="K471" s="174"/>
      <c r="L471" s="174"/>
      <c r="M471" s="191">
        <v>646</v>
      </c>
      <c r="N471" s="176">
        <v>10.68</v>
      </c>
      <c r="O471" s="176" t="s">
        <v>114</v>
      </c>
      <c r="P471" s="177"/>
      <c r="Q471" s="178" t="s">
        <v>1210</v>
      </c>
      <c r="R471" s="179"/>
      <c r="S471" s="179"/>
      <c r="T471" s="177">
        <v>44955</v>
      </c>
      <c r="U471" s="177"/>
      <c r="V471" s="177">
        <v>44956</v>
      </c>
      <c r="W471" s="177"/>
      <c r="X471" s="177"/>
      <c r="Y471" s="177"/>
      <c r="Z471" s="177"/>
      <c r="AA471" s="177"/>
      <c r="AB471" s="177"/>
      <c r="AC471" s="177"/>
      <c r="AD471" s="180" t="s">
        <v>1643</v>
      </c>
      <c r="AE471" s="173" t="s">
        <v>69</v>
      </c>
      <c r="AF471" s="181" t="s">
        <v>142</v>
      </c>
      <c r="AG471" s="192" t="s">
        <v>1657</v>
      </c>
      <c r="AH471" s="198"/>
      <c r="AI471" s="181">
        <v>44849</v>
      </c>
      <c r="AJ471" s="181"/>
      <c r="AK471" s="181">
        <f ca="1">TODAY()</f>
        <v>44958</v>
      </c>
      <c r="AL471" s="173">
        <f ca="1">IF(AI471&lt;&gt;0,AK471-AI471,0)</f>
        <v>109</v>
      </c>
      <c r="AM471" s="173" t="str">
        <f>IF(ISNUMBER(X471)=TRUE,AK471-X471,IF(X471="","",(AK471)-(MID(RIGHT(X471,10),4,2)&amp;"/"&amp;LEFT((RIGHT(X471,10)),2)&amp;"/"&amp;RIGHT(X471,4))))</f>
        <v/>
      </c>
      <c r="AN471" s="181"/>
      <c r="AO471" s="190" t="s">
        <v>1792</v>
      </c>
      <c r="AP471" s="176">
        <v>10.69</v>
      </c>
      <c r="AQ471" s="176">
        <v>10.7</v>
      </c>
      <c r="AR471" s="176">
        <v>10.724999999999998</v>
      </c>
      <c r="AS471" s="176">
        <v>10.729999999999999</v>
      </c>
      <c r="AT471" s="173" t="str">
        <f>IF(ISNUMBER(U471)=TRUE,AK471-U471,IF(U471="","",(AK471)-(MID(RIGHT(U471,10),4,2)&amp;"/"&amp;LEFT((RIGHT(U471,10)),2)&amp;"/"&amp;RIGHT(U471,4))))</f>
        <v/>
      </c>
      <c r="AU471" s="173">
        <v>456</v>
      </c>
      <c r="AW471" s="142" t="s">
        <v>123</v>
      </c>
    </row>
    <row r="472" spans="2:49" s="142" customFormat="1" ht="21" customHeight="1" x14ac:dyDescent="0.25">
      <c r="B472" s="173" t="str">
        <f>IF(C472="HOLD RM","HOLD RM",IF(C472="BAL","WIP",IF(C472="HOLD SLT","HOLD SLT",IF(C472="MILL","RM",IF(C472="RE SLT","WIP",IF(C472="RM","RM",IF(C472="RM BAL","RM",IF(C472="RM SLT","RM",IF(C472="RR","WIP",IF(C472="SKP","WIP",IF(C472="SLT","WIP",IF(C472="CTL","WIP",IF(C472="RM SLT RUST","RM SLT RUST",0)))))))))))))&amp;"-"&amp;G472&amp;"/"&amp;IF(H472="2B","2B",IF(H472="NO.1","1D",IF(H472="FH","FH",0)))&amp;"-"&amp;IF(J472="",(TEXT(I472,"0.00")),TEXT(J472,"0.00"))&amp;"X"&amp;M472</f>
        <v>WIP-304/FH-1.15X770</v>
      </c>
      <c r="C472" s="173" t="s">
        <v>16</v>
      </c>
      <c r="D472" s="173" t="s">
        <v>16</v>
      </c>
      <c r="E472" s="190" t="s">
        <v>1793</v>
      </c>
      <c r="F472" s="190" t="s">
        <v>1794</v>
      </c>
      <c r="G472" s="173">
        <v>304</v>
      </c>
      <c r="H472" s="173" t="s">
        <v>70</v>
      </c>
      <c r="I472" s="174">
        <v>3.58</v>
      </c>
      <c r="J472" s="174">
        <v>1.1499999999999999</v>
      </c>
      <c r="K472" s="174"/>
      <c r="L472" s="174"/>
      <c r="M472" s="191">
        <v>770</v>
      </c>
      <c r="N472" s="176">
        <v>2.2850000000000001</v>
      </c>
      <c r="O472" s="176" t="s">
        <v>114</v>
      </c>
      <c r="P472" s="177"/>
      <c r="Q472" s="178" t="s">
        <v>361</v>
      </c>
      <c r="R472" s="179"/>
      <c r="S472" s="179"/>
      <c r="T472" s="177">
        <v>44871</v>
      </c>
      <c r="U472" s="177"/>
      <c r="V472" s="177">
        <v>44872</v>
      </c>
      <c r="W472" s="177"/>
      <c r="X472" s="177"/>
      <c r="Y472" s="177"/>
      <c r="Z472" s="177"/>
      <c r="AA472" s="177"/>
      <c r="AB472" s="177"/>
      <c r="AC472" s="177"/>
      <c r="AD472" s="180" t="s">
        <v>1795</v>
      </c>
      <c r="AE472" s="173" t="s">
        <v>69</v>
      </c>
      <c r="AF472" s="181" t="s">
        <v>142</v>
      </c>
      <c r="AG472" s="192" t="s">
        <v>1657</v>
      </c>
      <c r="AH472" s="198"/>
      <c r="AI472" s="181">
        <v>44849</v>
      </c>
      <c r="AJ472" s="181"/>
      <c r="AK472" s="181">
        <f ca="1">TODAY()</f>
        <v>44958</v>
      </c>
      <c r="AL472" s="173">
        <f ca="1">IF(AI472&lt;&gt;0,AK472-AI472,0)</f>
        <v>109</v>
      </c>
      <c r="AM472" s="173" t="str">
        <f>IF(ISNUMBER(X472)=TRUE,AK472-X472,IF(X472="","",(AK472)-(MID(RIGHT(X472,10),4,2)&amp;"/"&amp;LEFT((RIGHT(X472,10)),2)&amp;"/"&amp;RIGHT(X472,4))))</f>
        <v/>
      </c>
      <c r="AN472" s="181"/>
      <c r="AO472" s="190" t="s">
        <v>1796</v>
      </c>
      <c r="AP472" s="176">
        <v>12.11</v>
      </c>
      <c r="AQ472" s="176">
        <v>12.12</v>
      </c>
      <c r="AR472" s="176">
        <v>12.144999999999998</v>
      </c>
      <c r="AS472" s="176">
        <v>12.149999999999999</v>
      </c>
      <c r="AT472" s="173" t="str">
        <f>IF(ISNUMBER(U472)=TRUE,AK472-U472,IF(U472="","",(AK472)-(MID(RIGHT(U472,10),4,2)&amp;"/"&amp;LEFT((RIGHT(U472,10)),2)&amp;"/"&amp;RIGHT(U472,4))))</f>
        <v/>
      </c>
      <c r="AU472" s="173">
        <v>456</v>
      </c>
      <c r="AW472" s="142" t="s">
        <v>123</v>
      </c>
    </row>
    <row r="473" spans="2:49" s="142" customFormat="1" ht="21" customHeight="1" x14ac:dyDescent="0.25">
      <c r="B473" s="173" t="str">
        <f>IF(C473="HOLD RM","HOLD RM",IF(C473="BAL","WIP",IF(C473="HOLD SLT","HOLD SLT",IF(C473="MILL","RM",IF(C473="RE SLT","WIP",IF(C473="RM","RM",IF(C473="RM BAL","RM",IF(C473="RM SLT","RM",IF(C473="RR","WIP",IF(C473="SKP","WIP",IF(C473="SLT","WIP",IF(C473="CTL","WIP",IF(C473="RM SLT RUST","RM SLT RUST",0)))))))))))))&amp;"-"&amp;G473&amp;"/"&amp;IF(H473="2B","2B",IF(H473="NO.1","1D",IF(H473="FH","FH",0)))&amp;"-"&amp;IF(J473="",(TEXT(I473,"0.00")),TEXT(J473,"0.00"))&amp;"X"&amp;M473</f>
        <v>RM-J3/1D-2.40X720</v>
      </c>
      <c r="C473" s="173" t="s">
        <v>48</v>
      </c>
      <c r="D473" s="173" t="s">
        <v>48</v>
      </c>
      <c r="E473" s="190" t="s">
        <v>1797</v>
      </c>
      <c r="F473" s="190" t="s">
        <v>1798</v>
      </c>
      <c r="G473" s="173" t="s">
        <v>34</v>
      </c>
      <c r="H473" s="173" t="s">
        <v>127</v>
      </c>
      <c r="I473" s="174">
        <v>2.4</v>
      </c>
      <c r="J473" s="174"/>
      <c r="K473" s="174"/>
      <c r="L473" s="174"/>
      <c r="M473" s="191">
        <v>720</v>
      </c>
      <c r="N473" s="176">
        <v>10.805999999999999</v>
      </c>
      <c r="O473" s="176"/>
      <c r="P473" s="177"/>
      <c r="Q473" s="178"/>
      <c r="R473" s="179"/>
      <c r="S473" s="179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80"/>
      <c r="AE473" s="173" t="s">
        <v>69</v>
      </c>
      <c r="AF473" s="181" t="s">
        <v>1065</v>
      </c>
      <c r="AG473" s="192" t="s">
        <v>1799</v>
      </c>
      <c r="AH473" s="198">
        <v>44829</v>
      </c>
      <c r="AI473" s="181">
        <v>44866</v>
      </c>
      <c r="AJ473" s="181"/>
      <c r="AK473" s="181">
        <f ca="1">TODAY()</f>
        <v>44958</v>
      </c>
      <c r="AL473" s="173">
        <f ca="1">IF(AI473&lt;&gt;0,AK473-AI473,0)</f>
        <v>92</v>
      </c>
      <c r="AM473" s="173" t="str">
        <f>IF(ISNUMBER(X473)=TRUE,AK473-X473,IF(X473="","",(AK473)-(MID(RIGHT(X473,10),4,2)&amp;"/"&amp;LEFT((RIGHT(X473,10)),2)&amp;"/"&amp;RIGHT(X473,4))))</f>
        <v/>
      </c>
      <c r="AN473" s="181" t="s">
        <v>1800</v>
      </c>
      <c r="AO473" s="190" t="s">
        <v>1801</v>
      </c>
      <c r="AP473" s="176">
        <v>10.805999999999999</v>
      </c>
      <c r="AQ473" s="176">
        <v>10.846</v>
      </c>
      <c r="AR473" s="176">
        <v>10.870999999999999</v>
      </c>
      <c r="AS473" s="176">
        <v>10.875999999999999</v>
      </c>
      <c r="AT473" s="173" t="str">
        <f>IF(ISNUMBER(U473)=TRUE,AK473-U473,IF(U473="","",(AK473)-(MID(RIGHT(U473,10),4,2)&amp;"/"&amp;LEFT((RIGHT(U473,10)),2)&amp;"/"&amp;RIGHT(U473,4))))</f>
        <v/>
      </c>
      <c r="AU473" s="173">
        <v>457</v>
      </c>
      <c r="AW473" s="142" t="s">
        <v>123</v>
      </c>
    </row>
    <row r="474" spans="2:49" s="142" customFormat="1" ht="21" customHeight="1" x14ac:dyDescent="0.25">
      <c r="B474" s="173" t="str">
        <f>IF(C474="HOLD RM","HOLD RM",IF(C474="BAL","WIP",IF(C474="HOLD SLT","HOLD SLT",IF(C474="MILL","RM",IF(C474="RE SLT","WIP",IF(C474="RM","RM",IF(C474="RM BAL","RM",IF(C474="RM SLT","RM",IF(C474="RR","WIP",IF(C474="SKP","WIP",IF(C474="SLT","WIP",IF(C474="CTL","WIP",IF(C474="RM SLT RUST","RM SLT RUST",0)))))))))))))&amp;"-"&amp;G474&amp;"/"&amp;IF(H474="2B","2B",IF(H474="NO.1","1D",IF(H474="FH","FH",0)))&amp;"-"&amp;IF(J474="",(TEXT(I474,"0.00")),TEXT(J474,"0.00"))&amp;"X"&amp;M474</f>
        <v>RM-J3/1D-2.40X720</v>
      </c>
      <c r="C474" s="173" t="s">
        <v>48</v>
      </c>
      <c r="D474" s="173" t="s">
        <v>48</v>
      </c>
      <c r="E474" s="190" t="s">
        <v>1802</v>
      </c>
      <c r="F474" s="190" t="s">
        <v>1803</v>
      </c>
      <c r="G474" s="173" t="s">
        <v>34</v>
      </c>
      <c r="H474" s="173" t="s">
        <v>127</v>
      </c>
      <c r="I474" s="174">
        <v>2.4</v>
      </c>
      <c r="J474" s="174"/>
      <c r="K474" s="174"/>
      <c r="L474" s="174"/>
      <c r="M474" s="191">
        <v>720</v>
      </c>
      <c r="N474" s="176">
        <v>10.792</v>
      </c>
      <c r="O474" s="176"/>
      <c r="P474" s="177"/>
      <c r="Q474" s="178"/>
      <c r="R474" s="179"/>
      <c r="S474" s="179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80"/>
      <c r="AE474" s="173" t="s">
        <v>69</v>
      </c>
      <c r="AF474" s="181" t="s">
        <v>1065</v>
      </c>
      <c r="AG474" s="192" t="s">
        <v>1799</v>
      </c>
      <c r="AH474" s="198">
        <v>44829</v>
      </c>
      <c r="AI474" s="181">
        <v>44866</v>
      </c>
      <c r="AJ474" s="181"/>
      <c r="AK474" s="181">
        <f ca="1">TODAY()</f>
        <v>44958</v>
      </c>
      <c r="AL474" s="173">
        <f ca="1">IF(AI474&lt;&gt;0,AK474-AI474,0)</f>
        <v>92</v>
      </c>
      <c r="AM474" s="173" t="str">
        <f>IF(ISNUMBER(X474)=TRUE,AK474-X474,IF(X474="","",(AK474)-(MID(RIGHT(X474,10),4,2)&amp;"/"&amp;LEFT((RIGHT(X474,10)),2)&amp;"/"&amp;RIGHT(X474,4))))</f>
        <v/>
      </c>
      <c r="AN474" s="181" t="s">
        <v>1800</v>
      </c>
      <c r="AO474" s="190" t="s">
        <v>1804</v>
      </c>
      <c r="AP474" s="176">
        <v>10.792</v>
      </c>
      <c r="AQ474" s="176">
        <v>10.831999999999999</v>
      </c>
      <c r="AR474" s="176">
        <v>10.856999999999998</v>
      </c>
      <c r="AS474" s="176">
        <v>10.861999999999998</v>
      </c>
      <c r="AT474" s="173" t="str">
        <f>IF(ISNUMBER(U474)=TRUE,AK474-U474,IF(U474="","",(AK474)-(MID(RIGHT(U474,10),4,2)&amp;"/"&amp;LEFT((RIGHT(U474,10)),2)&amp;"/"&amp;RIGHT(U474,4))))</f>
        <v/>
      </c>
      <c r="AU474" s="173">
        <v>457</v>
      </c>
      <c r="AW474" s="142" t="s">
        <v>123</v>
      </c>
    </row>
    <row r="475" spans="2:49" s="142" customFormat="1" ht="21" customHeight="1" x14ac:dyDescent="0.25">
      <c r="B475" s="173" t="str">
        <f>IF(C475="HOLD RM","HOLD RM",IF(C475="BAL","WIP",IF(C475="HOLD SLT","HOLD SLT",IF(C475="MILL","RM",IF(C475="RE SLT","WIP",IF(C475="RM","RM",IF(C475="RM BAL","RM",IF(C475="RM SLT","RM",IF(C475="RR","WIP",IF(C475="SKP","WIP",IF(C475="SLT","WIP",IF(C475="CTL","WIP",IF(C475="RM SLT RUST","RM SLT RUST",0)))))))))))))&amp;"-"&amp;G475&amp;"/"&amp;IF(H475="2B","2B",IF(H475="NO.1","1D",IF(H475="FH","FH",0)))&amp;"-"&amp;IF(J475="",(TEXT(I475,"0.00")),TEXT(J475,"0.00"))&amp;"X"&amp;M475</f>
        <v>RM-J3/1D-2.20X670</v>
      </c>
      <c r="C475" s="173" t="s">
        <v>48</v>
      </c>
      <c r="D475" s="173" t="s">
        <v>48</v>
      </c>
      <c r="E475" s="190" t="s">
        <v>1805</v>
      </c>
      <c r="F475" s="190" t="s">
        <v>1806</v>
      </c>
      <c r="G475" s="173" t="s">
        <v>34</v>
      </c>
      <c r="H475" s="173" t="s">
        <v>127</v>
      </c>
      <c r="I475" s="174">
        <v>2.2000000000000002</v>
      </c>
      <c r="J475" s="174"/>
      <c r="K475" s="174"/>
      <c r="L475" s="174"/>
      <c r="M475" s="191">
        <v>670</v>
      </c>
      <c r="N475" s="176">
        <v>10.895</v>
      </c>
      <c r="O475" s="176"/>
      <c r="P475" s="177"/>
      <c r="Q475" s="178"/>
      <c r="R475" s="179"/>
      <c r="S475" s="179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80"/>
      <c r="AE475" s="173" t="s">
        <v>69</v>
      </c>
      <c r="AF475" s="181" t="s">
        <v>1065</v>
      </c>
      <c r="AG475" s="192" t="s">
        <v>1799</v>
      </c>
      <c r="AH475" s="198">
        <v>44829</v>
      </c>
      <c r="AI475" s="181">
        <v>44866</v>
      </c>
      <c r="AJ475" s="181"/>
      <c r="AK475" s="181">
        <f ca="1">TODAY()</f>
        <v>44958</v>
      </c>
      <c r="AL475" s="173">
        <f ca="1">IF(AI475&lt;&gt;0,AK475-AI475,0)</f>
        <v>92</v>
      </c>
      <c r="AM475" s="173" t="str">
        <f>IF(ISNUMBER(X475)=TRUE,AK475-X475,IF(X475="","",(AK475)-(MID(RIGHT(X475,10),4,2)&amp;"/"&amp;LEFT((RIGHT(X475,10)),2)&amp;"/"&amp;RIGHT(X475,4))))</f>
        <v/>
      </c>
      <c r="AN475" s="181" t="s">
        <v>1807</v>
      </c>
      <c r="AO475" s="190" t="s">
        <v>1808</v>
      </c>
      <c r="AP475" s="176">
        <v>10.895</v>
      </c>
      <c r="AQ475" s="176">
        <v>10.934999999999999</v>
      </c>
      <c r="AR475" s="176">
        <v>10.959999999999997</v>
      </c>
      <c r="AS475" s="176">
        <v>10.964999999999998</v>
      </c>
      <c r="AT475" s="173" t="str">
        <f>IF(ISNUMBER(U475)=TRUE,AK475-U475,IF(U475="","",(AK475)-(MID(RIGHT(U475,10),4,2)&amp;"/"&amp;LEFT((RIGHT(U475,10)),2)&amp;"/"&amp;RIGHT(U475,4))))</f>
        <v/>
      </c>
      <c r="AU475" s="173">
        <v>457</v>
      </c>
      <c r="AW475" s="142" t="s">
        <v>123</v>
      </c>
    </row>
    <row r="476" spans="2:49" s="142" customFormat="1" ht="21" customHeight="1" x14ac:dyDescent="0.25">
      <c r="B476" s="173" t="str">
        <f>IF(C476="HOLD RM","HOLD RM",IF(C476="BAL","WIP",IF(C476="HOLD SLT","HOLD SLT",IF(C476="MILL","RM",IF(C476="RE SLT","WIP",IF(C476="RM","RM",IF(C476="RM BAL","RM",IF(C476="RM SLT","RM",IF(C476="RR","WIP",IF(C476="SKP","WIP",IF(C476="SLT","WIP",IF(C476="CTL","WIP",IF(C476="RM SLT RUST","RM SLT RUST",0)))))))))))))&amp;"-"&amp;G476&amp;"/"&amp;IF(H476="2B","2B",IF(H476="NO.1","1D",IF(H476="FH","FH",0)))&amp;"-"&amp;IF(J476="",(TEXT(I476,"0.00")),TEXT(J476,"0.00"))&amp;"X"&amp;M476</f>
        <v>RM-J3/1D-2.40X645</v>
      </c>
      <c r="C476" s="173" t="s">
        <v>48</v>
      </c>
      <c r="D476" s="173" t="s">
        <v>48</v>
      </c>
      <c r="E476" s="190" t="s">
        <v>1809</v>
      </c>
      <c r="F476" s="190" t="s">
        <v>1810</v>
      </c>
      <c r="G476" s="173" t="s">
        <v>34</v>
      </c>
      <c r="H476" s="173" t="s">
        <v>127</v>
      </c>
      <c r="I476" s="174">
        <v>2.4</v>
      </c>
      <c r="J476" s="174"/>
      <c r="K476" s="174"/>
      <c r="L476" s="174"/>
      <c r="M476" s="191">
        <v>645</v>
      </c>
      <c r="N476" s="176">
        <v>10.475</v>
      </c>
      <c r="O476" s="176"/>
      <c r="P476" s="177"/>
      <c r="Q476" s="178"/>
      <c r="R476" s="179"/>
      <c r="S476" s="179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80"/>
      <c r="AE476" s="173" t="s">
        <v>69</v>
      </c>
      <c r="AF476" s="181" t="s">
        <v>1065</v>
      </c>
      <c r="AG476" s="192" t="s">
        <v>1799</v>
      </c>
      <c r="AH476" s="198">
        <v>44829</v>
      </c>
      <c r="AI476" s="181">
        <v>44866</v>
      </c>
      <c r="AJ476" s="181"/>
      <c r="AK476" s="181">
        <f ca="1">TODAY()</f>
        <v>44958</v>
      </c>
      <c r="AL476" s="173">
        <f ca="1">IF(AI476&lt;&gt;0,AK476-AI476,0)</f>
        <v>92</v>
      </c>
      <c r="AM476" s="173" t="str">
        <f>IF(ISNUMBER(X476)=TRUE,AK476-X476,IF(X476="","",(AK476)-(MID(RIGHT(X476,10),4,2)&amp;"/"&amp;LEFT((RIGHT(X476,10)),2)&amp;"/"&amp;RIGHT(X476,4))))</f>
        <v/>
      </c>
      <c r="AN476" s="181" t="s">
        <v>1807</v>
      </c>
      <c r="AO476" s="190" t="s">
        <v>1811</v>
      </c>
      <c r="AP476" s="176">
        <v>10.475</v>
      </c>
      <c r="AQ476" s="176">
        <v>10.514999999999999</v>
      </c>
      <c r="AR476" s="176">
        <v>10.539999999999997</v>
      </c>
      <c r="AS476" s="176">
        <v>10.544999999999998</v>
      </c>
      <c r="AT476" s="173" t="str">
        <f>IF(ISNUMBER(U476)=TRUE,AK476-U476,IF(U476="","",(AK476)-(MID(RIGHT(U476,10),4,2)&amp;"/"&amp;LEFT((RIGHT(U476,10)),2)&amp;"/"&amp;RIGHT(U476,4))))</f>
        <v/>
      </c>
      <c r="AU476" s="173">
        <v>457</v>
      </c>
      <c r="AW476" s="142" t="s">
        <v>123</v>
      </c>
    </row>
    <row r="477" spans="2:49" s="142" customFormat="1" ht="21" customHeight="1" x14ac:dyDescent="0.25">
      <c r="B477" s="173" t="str">
        <f>IF(C477="HOLD RM","HOLD RM",IF(C477="BAL","WIP",IF(C477="HOLD SLT","HOLD SLT",IF(C477="MILL","RM",IF(C477="RE SLT","WIP",IF(C477="RM","RM",IF(C477="RM BAL","RM",IF(C477="RM SLT","RM",IF(C477="RR","WIP",IF(C477="SKP","WIP",IF(C477="SLT","WIP",IF(C477="CTL","WIP",IF(C477="RM SLT RUST","RM SLT RUST",0)))))))))))))&amp;"-"&amp;G477&amp;"/"&amp;IF(H477="2B","2B",IF(H477="NO.1","1D",IF(H477="FH","FH",0)))&amp;"-"&amp;IF(J477="",(TEXT(I477,"0.00")),TEXT(J477,"0.00"))&amp;"X"&amp;M477</f>
        <v>RM-J3/1D-2.40X645</v>
      </c>
      <c r="C477" s="173" t="s">
        <v>48</v>
      </c>
      <c r="D477" s="173" t="s">
        <v>48</v>
      </c>
      <c r="E477" s="190" t="s">
        <v>1812</v>
      </c>
      <c r="F477" s="190" t="s">
        <v>1813</v>
      </c>
      <c r="G477" s="173" t="s">
        <v>34</v>
      </c>
      <c r="H477" s="173" t="s">
        <v>127</v>
      </c>
      <c r="I477" s="174">
        <v>2.4</v>
      </c>
      <c r="J477" s="174"/>
      <c r="K477" s="174"/>
      <c r="L477" s="174"/>
      <c r="M477" s="191">
        <v>645</v>
      </c>
      <c r="N477" s="176">
        <v>10.448</v>
      </c>
      <c r="O477" s="176"/>
      <c r="P477" s="177"/>
      <c r="Q477" s="178"/>
      <c r="R477" s="179"/>
      <c r="S477" s="179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80"/>
      <c r="AE477" s="173" t="s">
        <v>69</v>
      </c>
      <c r="AF477" s="181" t="s">
        <v>1065</v>
      </c>
      <c r="AG477" s="192" t="s">
        <v>1799</v>
      </c>
      <c r="AH477" s="198">
        <v>44829</v>
      </c>
      <c r="AI477" s="181">
        <v>44866</v>
      </c>
      <c r="AJ477" s="181"/>
      <c r="AK477" s="181">
        <f ca="1">TODAY()</f>
        <v>44958</v>
      </c>
      <c r="AL477" s="173">
        <f ca="1">IF(AI477&lt;&gt;0,AK477-AI477,0)</f>
        <v>92</v>
      </c>
      <c r="AM477" s="173" t="str">
        <f>IF(ISNUMBER(X477)=TRUE,AK477-X477,IF(X477="","",(AK477)-(MID(RIGHT(X477,10),4,2)&amp;"/"&amp;LEFT((RIGHT(X477,10)),2)&amp;"/"&amp;RIGHT(X477,4))))</f>
        <v/>
      </c>
      <c r="AN477" s="181" t="s">
        <v>1814</v>
      </c>
      <c r="AO477" s="190" t="s">
        <v>1815</v>
      </c>
      <c r="AP477" s="176">
        <v>10.448</v>
      </c>
      <c r="AQ477" s="176">
        <v>10.488</v>
      </c>
      <c r="AR477" s="176">
        <v>10.512999999999998</v>
      </c>
      <c r="AS477" s="176">
        <v>10.517999999999999</v>
      </c>
      <c r="AT477" s="173" t="str">
        <f>IF(ISNUMBER(U477)=TRUE,AK477-U477,IF(U477="","",(AK477)-(MID(RIGHT(U477,10),4,2)&amp;"/"&amp;LEFT((RIGHT(U477,10)),2)&amp;"/"&amp;RIGHT(U477,4))))</f>
        <v/>
      </c>
      <c r="AU477" s="173">
        <v>457</v>
      </c>
      <c r="AW477" s="142" t="s">
        <v>123</v>
      </c>
    </row>
    <row r="478" spans="2:49" s="142" customFormat="1" ht="21" customHeight="1" x14ac:dyDescent="0.25">
      <c r="B478" s="173" t="str">
        <f>IF(C478="HOLD RM","HOLD RM",IF(C478="BAL","WIP",IF(C478="HOLD SLT","HOLD SLT",IF(C478="MILL","RM",IF(C478="RE SLT","WIP",IF(C478="RM","RM",IF(C478="RM BAL","RM",IF(C478="RM SLT","RM",IF(C478="RR","WIP",IF(C478="SKP","WIP",IF(C478="SLT","WIP",IF(C478="CTL","WIP",IF(C478="RM SLT RUST","RM SLT RUST",0)))))))))))))&amp;"-"&amp;G478&amp;"/"&amp;IF(H478="2B","2B",IF(H478="NO.1","1D",IF(H478="FH","FH",0)))&amp;"-"&amp;IF(J478="",(TEXT(I478,"0.00")),TEXT(J478,"0.00"))&amp;"X"&amp;M478</f>
        <v>WIP-J3/FH-0.75X620</v>
      </c>
      <c r="C478" s="173" t="s">
        <v>16</v>
      </c>
      <c r="D478" s="173" t="s">
        <v>16</v>
      </c>
      <c r="E478" s="190" t="s">
        <v>1816</v>
      </c>
      <c r="F478" s="190" t="s">
        <v>1817</v>
      </c>
      <c r="G478" s="173" t="s">
        <v>34</v>
      </c>
      <c r="H478" s="173" t="s">
        <v>70</v>
      </c>
      <c r="I478" s="174">
        <v>2.2000000000000002</v>
      </c>
      <c r="J478" s="174">
        <v>0.75</v>
      </c>
      <c r="K478" s="174"/>
      <c r="L478" s="174"/>
      <c r="M478" s="191">
        <v>620</v>
      </c>
      <c r="N478" s="176">
        <v>10.105</v>
      </c>
      <c r="O478" s="176" t="s">
        <v>114</v>
      </c>
      <c r="P478" s="177"/>
      <c r="Q478" s="178" t="s">
        <v>295</v>
      </c>
      <c r="R478" s="179"/>
      <c r="S478" s="179"/>
      <c r="T478" s="177">
        <v>44901</v>
      </c>
      <c r="U478" s="177"/>
      <c r="V478" s="177"/>
      <c r="W478" s="177">
        <v>44902</v>
      </c>
      <c r="X478" s="177"/>
      <c r="Y478" s="177"/>
      <c r="Z478" s="177"/>
      <c r="AA478" s="177"/>
      <c r="AB478" s="177"/>
      <c r="AC478" s="177"/>
      <c r="AD478" s="180"/>
      <c r="AE478" s="173" t="s">
        <v>69</v>
      </c>
      <c r="AF478" s="181" t="s">
        <v>1065</v>
      </c>
      <c r="AG478" s="192" t="s">
        <v>1799</v>
      </c>
      <c r="AH478" s="198">
        <v>44829</v>
      </c>
      <c r="AI478" s="181">
        <v>44866</v>
      </c>
      <c r="AJ478" s="181"/>
      <c r="AK478" s="181">
        <f ca="1">TODAY()</f>
        <v>44958</v>
      </c>
      <c r="AL478" s="173">
        <f ca="1">IF(AI478&lt;&gt;0,AK478-AI478,0)</f>
        <v>92</v>
      </c>
      <c r="AM478" s="173" t="str">
        <f>IF(ISNUMBER(X478)=TRUE,AK478-X478,IF(X478="","",(AK478)-(MID(RIGHT(X478,10),4,2)&amp;"/"&amp;LEFT((RIGHT(X478,10)),2)&amp;"/"&amp;RIGHT(X478,4))))</f>
        <v/>
      </c>
      <c r="AN478" s="181" t="s">
        <v>1818</v>
      </c>
      <c r="AO478" s="190" t="s">
        <v>1819</v>
      </c>
      <c r="AP478" s="176">
        <v>10.105</v>
      </c>
      <c r="AQ478" s="176">
        <v>10.145</v>
      </c>
      <c r="AR478" s="176">
        <v>10.169999999999998</v>
      </c>
      <c r="AS478" s="176">
        <v>10.174999999999999</v>
      </c>
      <c r="AT478" s="173" t="str">
        <f>IF(ISNUMBER(U478)=TRUE,AK478-U478,IF(U478="","",(AK478)-(MID(RIGHT(U478,10),4,2)&amp;"/"&amp;LEFT((RIGHT(U478,10)),2)&amp;"/"&amp;RIGHT(U478,4))))</f>
        <v/>
      </c>
      <c r="AU478" s="173">
        <v>457</v>
      </c>
      <c r="AW478" s="142" t="s">
        <v>123</v>
      </c>
    </row>
    <row r="479" spans="2:49" s="142" customFormat="1" ht="21" customHeight="1" x14ac:dyDescent="0.25">
      <c r="B479" s="173" t="str">
        <f>IF(C479="HOLD RM","HOLD RM",IF(C479="BAL","WIP",IF(C479="HOLD SLT","HOLD SLT",IF(C479="MILL","RM",IF(C479="RE SLT","WIP",IF(C479="RM","RM",IF(C479="RM BAL","RM",IF(C479="RM SLT","RM",IF(C479="RR","WIP",IF(C479="SKP","WIP",IF(C479="SLT","WIP",IF(C479="CTL","WIP",IF(C479="RM SLT RUST","RM SLT RUST",0)))))))))))))&amp;"-"&amp;G479&amp;"/"&amp;IF(H479="2B","2B",IF(H479="NO.1","1D",IF(H479="FH","FH",0)))&amp;"-"&amp;IF(J479="",(TEXT(I479,"0.00")),TEXT(J479,"0.00"))&amp;"X"&amp;M479</f>
        <v>WIP-J3/FH-0.91X620</v>
      </c>
      <c r="C479" s="173" t="s">
        <v>16</v>
      </c>
      <c r="D479" s="173" t="s">
        <v>16</v>
      </c>
      <c r="E479" s="190" t="s">
        <v>1820</v>
      </c>
      <c r="F479" s="190" t="s">
        <v>1821</v>
      </c>
      <c r="G479" s="173" t="s">
        <v>34</v>
      </c>
      <c r="H479" s="173" t="s">
        <v>70</v>
      </c>
      <c r="I479" s="174">
        <v>2.2000000000000002</v>
      </c>
      <c r="J479" s="174">
        <v>0.91</v>
      </c>
      <c r="K479" s="174"/>
      <c r="L479" s="174"/>
      <c r="M479" s="191">
        <v>620</v>
      </c>
      <c r="N479" s="176">
        <v>10.045</v>
      </c>
      <c r="O479" s="176" t="s">
        <v>114</v>
      </c>
      <c r="P479" s="177"/>
      <c r="Q479" s="178" t="s">
        <v>295</v>
      </c>
      <c r="R479" s="179"/>
      <c r="S479" s="179"/>
      <c r="T479" s="177">
        <v>44890</v>
      </c>
      <c r="U479" s="177"/>
      <c r="V479" s="177"/>
      <c r="W479" s="177">
        <v>44890</v>
      </c>
      <c r="X479" s="177"/>
      <c r="Y479" s="177"/>
      <c r="Z479" s="177"/>
      <c r="AA479" s="177"/>
      <c r="AB479" s="177"/>
      <c r="AC479" s="177"/>
      <c r="AD479" s="180"/>
      <c r="AE479" s="173" t="s">
        <v>69</v>
      </c>
      <c r="AF479" s="181" t="s">
        <v>1065</v>
      </c>
      <c r="AG479" s="192" t="s">
        <v>1799</v>
      </c>
      <c r="AH479" s="198">
        <v>44829</v>
      </c>
      <c r="AI479" s="181">
        <v>44866</v>
      </c>
      <c r="AJ479" s="181"/>
      <c r="AK479" s="181">
        <f ca="1">TODAY()</f>
        <v>44958</v>
      </c>
      <c r="AL479" s="173">
        <f ca="1">IF(AI479&lt;&gt;0,AK479-AI479,0)</f>
        <v>92</v>
      </c>
      <c r="AM479" s="173" t="str">
        <f>IF(ISNUMBER(X479)=TRUE,AK479-X479,IF(X479="","",(AK479)-(MID(RIGHT(X479,10),4,2)&amp;"/"&amp;LEFT((RIGHT(X479,10)),2)&amp;"/"&amp;RIGHT(X479,4))))</f>
        <v/>
      </c>
      <c r="AN479" s="181" t="s">
        <v>1814</v>
      </c>
      <c r="AO479" s="190" t="s">
        <v>1819</v>
      </c>
      <c r="AP479" s="176">
        <v>10.105</v>
      </c>
      <c r="AQ479" s="176">
        <v>10.145</v>
      </c>
      <c r="AR479" s="176">
        <v>10.169999999999998</v>
      </c>
      <c r="AS479" s="176">
        <v>10.174999999999999</v>
      </c>
      <c r="AT479" s="173" t="str">
        <f>IF(ISNUMBER(U479)=TRUE,AK479-U479,IF(U479="","",(AK479)-(MID(RIGHT(U479,10),4,2)&amp;"/"&amp;LEFT((RIGHT(U479,10)),2)&amp;"/"&amp;RIGHT(U479,4))))</f>
        <v/>
      </c>
      <c r="AU479" s="173">
        <v>457</v>
      </c>
      <c r="AW479" s="142" t="s">
        <v>123</v>
      </c>
    </row>
    <row r="480" spans="2:49" s="142" customFormat="1" ht="21" customHeight="1" x14ac:dyDescent="0.25">
      <c r="B480" s="173" t="str">
        <f>IF(C480="HOLD RM","HOLD RM",IF(C480="BAL","WIP",IF(C480="HOLD SLT","HOLD SLT",IF(C480="MILL","RM",IF(C480="RE SLT","WIP",IF(C480="RM","RM",IF(C480="RM BAL","RM",IF(C480="RM SLT","RM",IF(C480="RR","WIP",IF(C480="SKP","WIP",IF(C480="SLT","WIP",IF(C480="CTL","WIP",IF(C480="RM SLT RUST","RM SLT RUST",0)))))))))))))&amp;"-"&amp;G480&amp;"/"&amp;IF(H480="2B","2B",IF(H480="NO.1","1D",IF(H480="FH","FH",0)))&amp;"-"&amp;IF(J480="",(TEXT(I480,"0.00")),TEXT(J480,"0.00"))&amp;"X"&amp;M480</f>
        <v>RM-J3/1D-2.20X650</v>
      </c>
      <c r="C480" s="173" t="s">
        <v>48</v>
      </c>
      <c r="D480" s="173" t="s">
        <v>48</v>
      </c>
      <c r="E480" s="190" t="s">
        <v>1822</v>
      </c>
      <c r="F480" s="190" t="s">
        <v>1823</v>
      </c>
      <c r="G480" s="173" t="s">
        <v>34</v>
      </c>
      <c r="H480" s="173" t="s">
        <v>127</v>
      </c>
      <c r="I480" s="174">
        <v>2.2000000000000002</v>
      </c>
      <c r="J480" s="174"/>
      <c r="K480" s="174"/>
      <c r="L480" s="174"/>
      <c r="M480" s="191">
        <v>650</v>
      </c>
      <c r="N480" s="176">
        <v>11.066000000000001</v>
      </c>
      <c r="O480" s="176"/>
      <c r="P480" s="177"/>
      <c r="Q480" s="178"/>
      <c r="R480" s="179"/>
      <c r="S480" s="179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80"/>
      <c r="AE480" s="173" t="s">
        <v>69</v>
      </c>
      <c r="AF480" s="181" t="s">
        <v>1065</v>
      </c>
      <c r="AG480" s="192" t="s">
        <v>1799</v>
      </c>
      <c r="AH480" s="198">
        <v>44829</v>
      </c>
      <c r="AI480" s="181">
        <v>44866</v>
      </c>
      <c r="AJ480" s="181"/>
      <c r="AK480" s="181">
        <f ca="1">TODAY()</f>
        <v>44958</v>
      </c>
      <c r="AL480" s="173">
        <f ca="1">IF(AI480&lt;&gt;0,AK480-AI480,0)</f>
        <v>92</v>
      </c>
      <c r="AM480" s="173" t="str">
        <f>IF(ISNUMBER(X480)=TRUE,AK480-X480,IF(X480="","",(AK480)-(MID(RIGHT(X480,10),4,2)&amp;"/"&amp;LEFT((RIGHT(X480,10)),2)&amp;"/"&amp;RIGHT(X480,4))))</f>
        <v/>
      </c>
      <c r="AN480" s="181" t="s">
        <v>1818</v>
      </c>
      <c r="AO480" s="190" t="s">
        <v>1824</v>
      </c>
      <c r="AP480" s="176">
        <v>11.066000000000001</v>
      </c>
      <c r="AQ480" s="176">
        <v>11.106</v>
      </c>
      <c r="AR480" s="176">
        <v>11.130999999999998</v>
      </c>
      <c r="AS480" s="176">
        <v>11.135999999999999</v>
      </c>
      <c r="AT480" s="173" t="str">
        <f>IF(ISNUMBER(U480)=TRUE,AK480-U480,IF(U480="","",(AK480)-(MID(RIGHT(U480,10),4,2)&amp;"/"&amp;LEFT((RIGHT(U480,10)),2)&amp;"/"&amp;RIGHT(U480,4))))</f>
        <v/>
      </c>
      <c r="AU480" s="173">
        <v>457</v>
      </c>
      <c r="AW480" s="142" t="s">
        <v>123</v>
      </c>
    </row>
    <row r="481" spans="2:49" s="142" customFormat="1" ht="21" customHeight="1" x14ac:dyDescent="0.25">
      <c r="B481" s="173" t="str">
        <f>IF(C481="HOLD RM","HOLD RM",IF(C481="BAL","WIP",IF(C481="HOLD SLT","HOLD SLT",IF(C481="MILL","RM",IF(C481="RE SLT","WIP",IF(C481="RM","RM",IF(C481="RM BAL","RM",IF(C481="RM SLT","RM",IF(C481="RR","WIP",IF(C481="SKP","WIP",IF(C481="SLT","WIP",IF(C481="CTL","WIP",IF(C481="RM SLT RUST","RM SLT RUST",0)))))))))))))&amp;"-"&amp;G481&amp;"/"&amp;IF(H481="2B","2B",IF(H481="NO.1","1D",IF(H481="FH","FH",0)))&amp;"-"&amp;IF(J481="",(TEXT(I481,"0.00")),TEXT(J481,"0.00"))&amp;"X"&amp;M481</f>
        <v>RM-J3/1D-2.40X670</v>
      </c>
      <c r="C481" s="173" t="s">
        <v>48</v>
      </c>
      <c r="D481" s="173" t="s">
        <v>48</v>
      </c>
      <c r="E481" s="190" t="s">
        <v>1825</v>
      </c>
      <c r="F481" s="190" t="s">
        <v>1826</v>
      </c>
      <c r="G481" s="173" t="s">
        <v>34</v>
      </c>
      <c r="H481" s="173" t="s">
        <v>127</v>
      </c>
      <c r="I481" s="174">
        <v>2.4</v>
      </c>
      <c r="J481" s="174"/>
      <c r="K481" s="174"/>
      <c r="L481" s="174"/>
      <c r="M481" s="191">
        <v>670</v>
      </c>
      <c r="N481" s="176">
        <v>5.0519999999999996</v>
      </c>
      <c r="O481" s="176"/>
      <c r="P481" s="177"/>
      <c r="Q481" s="178"/>
      <c r="R481" s="179"/>
      <c r="S481" s="179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80"/>
      <c r="AE481" s="173" t="s">
        <v>69</v>
      </c>
      <c r="AF481" s="181" t="s">
        <v>1065</v>
      </c>
      <c r="AG481" s="192" t="s">
        <v>1799</v>
      </c>
      <c r="AH481" s="198">
        <v>44829</v>
      </c>
      <c r="AI481" s="181">
        <v>44866</v>
      </c>
      <c r="AJ481" s="181"/>
      <c r="AK481" s="181">
        <f ca="1">TODAY()</f>
        <v>44958</v>
      </c>
      <c r="AL481" s="173">
        <f ca="1">IF(AI481&lt;&gt;0,AK481-AI481,0)</f>
        <v>92</v>
      </c>
      <c r="AM481" s="173" t="str">
        <f>IF(ISNUMBER(X481)=TRUE,AK481-X481,IF(X481="","",(AK481)-(MID(RIGHT(X481,10),4,2)&amp;"/"&amp;LEFT((RIGHT(X481,10)),2)&amp;"/"&amp;RIGHT(X481,4))))</f>
        <v/>
      </c>
      <c r="AN481" s="181" t="s">
        <v>1800</v>
      </c>
      <c r="AO481" s="190" t="s">
        <v>1827</v>
      </c>
      <c r="AP481" s="176">
        <v>5.0519999999999996</v>
      </c>
      <c r="AQ481" s="176">
        <v>5.0919999999999996</v>
      </c>
      <c r="AR481" s="176">
        <v>5.117</v>
      </c>
      <c r="AS481" s="176">
        <v>5.1219999999999999</v>
      </c>
      <c r="AT481" s="173" t="str">
        <f>IF(ISNUMBER(U481)=TRUE,AK481-U481,IF(U481="","",(AK481)-(MID(RIGHT(U481,10),4,2)&amp;"/"&amp;LEFT((RIGHT(U481,10)),2)&amp;"/"&amp;RIGHT(U481,4))))</f>
        <v/>
      </c>
      <c r="AU481" s="173">
        <v>457</v>
      </c>
      <c r="AW481" s="142" t="s">
        <v>123</v>
      </c>
    </row>
    <row r="482" spans="2:49" s="142" customFormat="1" ht="21" customHeight="1" x14ac:dyDescent="0.25">
      <c r="B482" s="173" t="str">
        <f>IF(C482="HOLD RM","HOLD RM",IF(C482="BAL","WIP",IF(C482="HOLD SLT","HOLD SLT",IF(C482="MILL","RM",IF(C482="RE SLT","WIP",IF(C482="RM","RM",IF(C482="RM BAL","RM",IF(C482="RM SLT","RM",IF(C482="RR","WIP",IF(C482="SKP","WIP",IF(C482="SLT","WIP",IF(C482="CTL","WIP",IF(C482="RM SLT RUST","RM SLT RUST",0)))))))))))))&amp;"-"&amp;G482&amp;"/"&amp;IF(H482="2B","2B",IF(H482="NO.1","1D",IF(H482="FH","FH",0)))&amp;"-"&amp;IF(J482="",(TEXT(I482,"0.00")),TEXT(J482,"0.00"))&amp;"X"&amp;M482</f>
        <v>RM-J3/1D-2.40X670</v>
      </c>
      <c r="C482" s="173" t="s">
        <v>48</v>
      </c>
      <c r="D482" s="173" t="s">
        <v>48</v>
      </c>
      <c r="E482" s="190" t="s">
        <v>1828</v>
      </c>
      <c r="F482" s="190" t="s">
        <v>1829</v>
      </c>
      <c r="G482" s="173" t="s">
        <v>34</v>
      </c>
      <c r="H482" s="173" t="s">
        <v>127</v>
      </c>
      <c r="I482" s="174">
        <v>2.4</v>
      </c>
      <c r="J482" s="174"/>
      <c r="K482" s="174"/>
      <c r="L482" s="174"/>
      <c r="M482" s="191">
        <v>670</v>
      </c>
      <c r="N482" s="176">
        <v>5.0579999999999998</v>
      </c>
      <c r="O482" s="176"/>
      <c r="P482" s="177"/>
      <c r="Q482" s="178"/>
      <c r="R482" s="179"/>
      <c r="S482" s="179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80"/>
      <c r="AE482" s="173" t="s">
        <v>69</v>
      </c>
      <c r="AF482" s="181" t="s">
        <v>1065</v>
      </c>
      <c r="AG482" s="192" t="s">
        <v>1799</v>
      </c>
      <c r="AH482" s="198">
        <v>44829</v>
      </c>
      <c r="AI482" s="181">
        <v>44866</v>
      </c>
      <c r="AJ482" s="181"/>
      <c r="AK482" s="181">
        <f ca="1">TODAY()</f>
        <v>44958</v>
      </c>
      <c r="AL482" s="173">
        <f ca="1">IF(AI482&lt;&gt;0,AK482-AI482,0)</f>
        <v>92</v>
      </c>
      <c r="AM482" s="173" t="str">
        <f>IF(ISNUMBER(X482)=TRUE,AK482-X482,IF(X482="","",(AK482)-(MID(RIGHT(X482,10),4,2)&amp;"/"&amp;LEFT((RIGHT(X482,10)),2)&amp;"/"&amp;RIGHT(X482,4))))</f>
        <v/>
      </c>
      <c r="AN482" s="181" t="s">
        <v>1818</v>
      </c>
      <c r="AO482" s="190" t="s">
        <v>1827</v>
      </c>
      <c r="AP482" s="176">
        <v>5.0579999999999998</v>
      </c>
      <c r="AQ482" s="176">
        <v>5.0979999999999999</v>
      </c>
      <c r="AR482" s="176">
        <v>5.1230000000000002</v>
      </c>
      <c r="AS482" s="176">
        <v>5.1280000000000001</v>
      </c>
      <c r="AT482" s="173" t="str">
        <f>IF(ISNUMBER(U482)=TRUE,AK482-U482,IF(U482="","",(AK482)-(MID(RIGHT(U482,10),4,2)&amp;"/"&amp;LEFT((RIGHT(U482,10)),2)&amp;"/"&amp;RIGHT(U482,4))))</f>
        <v/>
      </c>
      <c r="AU482" s="173">
        <v>457</v>
      </c>
      <c r="AW482" s="142" t="s">
        <v>123</v>
      </c>
    </row>
    <row r="483" spans="2:49" s="142" customFormat="1" ht="21" customHeight="1" x14ac:dyDescent="0.25">
      <c r="B483" s="173" t="str">
        <f>IF(C483="HOLD RM","HOLD RM",IF(C483="BAL","WIP",IF(C483="HOLD SLT","HOLD SLT",IF(C483="MILL","RM",IF(C483="RE SLT","WIP",IF(C483="RM","RM",IF(C483="RM BAL","RM",IF(C483="RM SLT","RM",IF(C483="RR","WIP",IF(C483="SKP","WIP",IF(C483="SLT","WIP",IF(C483="CTL","WIP",IF(C483="RM SLT RUST","RM SLT RUST",0)))))))))))))&amp;"-"&amp;G483&amp;"/"&amp;IF(H483="2B","2B",IF(H483="NO.1","1D",IF(H483="FH","FH",0)))&amp;"-"&amp;IF(J483="",(TEXT(I483,"0.00")),TEXT(J483,"0.00"))&amp;"X"&amp;M483</f>
        <v>RM-J3/1D-2.40X670</v>
      </c>
      <c r="C483" s="173" t="s">
        <v>48</v>
      </c>
      <c r="D483" s="173" t="s">
        <v>48</v>
      </c>
      <c r="E483" s="190" t="s">
        <v>1830</v>
      </c>
      <c r="F483" s="190" t="s">
        <v>1831</v>
      </c>
      <c r="G483" s="173" t="s">
        <v>34</v>
      </c>
      <c r="H483" s="173" t="s">
        <v>127</v>
      </c>
      <c r="I483" s="174">
        <v>2.4</v>
      </c>
      <c r="J483" s="174"/>
      <c r="K483" s="174"/>
      <c r="L483" s="174"/>
      <c r="M483" s="191">
        <v>670</v>
      </c>
      <c r="N483" s="176">
        <v>5.2140000000000004</v>
      </c>
      <c r="O483" s="176"/>
      <c r="P483" s="177"/>
      <c r="Q483" s="178"/>
      <c r="R483" s="179"/>
      <c r="S483" s="179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80"/>
      <c r="AE483" s="173" t="s">
        <v>69</v>
      </c>
      <c r="AF483" s="181" t="s">
        <v>1065</v>
      </c>
      <c r="AG483" s="192" t="s">
        <v>1799</v>
      </c>
      <c r="AH483" s="198">
        <v>44829</v>
      </c>
      <c r="AI483" s="181">
        <v>44866</v>
      </c>
      <c r="AJ483" s="181"/>
      <c r="AK483" s="181">
        <f ca="1">TODAY()</f>
        <v>44958</v>
      </c>
      <c r="AL483" s="173">
        <f ca="1">IF(AI483&lt;&gt;0,AK483-AI483,0)</f>
        <v>92</v>
      </c>
      <c r="AM483" s="173" t="str">
        <f>IF(ISNUMBER(X483)=TRUE,AK483-X483,IF(X483="","",(AK483)-(MID(RIGHT(X483,10),4,2)&amp;"/"&amp;LEFT((RIGHT(X483,10)),2)&amp;"/"&amp;RIGHT(X483,4))))</f>
        <v/>
      </c>
      <c r="AN483" s="181" t="s">
        <v>1814</v>
      </c>
      <c r="AO483" s="190" t="s">
        <v>1827</v>
      </c>
      <c r="AP483" s="176">
        <v>5.2140000000000004</v>
      </c>
      <c r="AQ483" s="176">
        <v>5.2540000000000004</v>
      </c>
      <c r="AR483" s="176">
        <v>5.2790000000000008</v>
      </c>
      <c r="AS483" s="176">
        <v>5.2840000000000007</v>
      </c>
      <c r="AT483" s="173" t="str">
        <f>IF(ISNUMBER(U483)=TRUE,AK483-U483,IF(U483="","",(AK483)-(MID(RIGHT(U483,10),4,2)&amp;"/"&amp;LEFT((RIGHT(U483,10)),2)&amp;"/"&amp;RIGHT(U483,4))))</f>
        <v/>
      </c>
      <c r="AU483" s="173">
        <v>457</v>
      </c>
      <c r="AW483" s="142" t="s">
        <v>123</v>
      </c>
    </row>
    <row r="484" spans="2:49" s="142" customFormat="1" ht="21" customHeight="1" x14ac:dyDescent="0.25">
      <c r="B484" s="173" t="str">
        <f>IF(C484="HOLD RM","HOLD RM",IF(C484="BAL","WIP",IF(C484="HOLD SLT","HOLD SLT",IF(C484="MILL","RM",IF(C484="RE SLT","WIP",IF(C484="RM","RM",IF(C484="RM BAL","RM",IF(C484="RM SLT","RM",IF(C484="RR","WIP",IF(C484="SKP","WIP",IF(C484="SLT","WIP",IF(C484="CTL","WIP",IF(C484="RM SLT RUST","RM SLT RUST",0)))))))))))))&amp;"-"&amp;G484&amp;"/"&amp;IF(H484="2B","2B",IF(H484="NO.1","1D",IF(H484="FH","FH",0)))&amp;"-"&amp;IF(J484="",(TEXT(I484,"0.00")),TEXT(J484,"0.00"))&amp;"X"&amp;M484</f>
        <v>RM-J3/1D-2.40X670</v>
      </c>
      <c r="C484" s="173" t="s">
        <v>48</v>
      </c>
      <c r="D484" s="173" t="s">
        <v>48</v>
      </c>
      <c r="E484" s="190" t="s">
        <v>1832</v>
      </c>
      <c r="F484" s="190" t="s">
        <v>1833</v>
      </c>
      <c r="G484" s="173" t="s">
        <v>34</v>
      </c>
      <c r="H484" s="173" t="s">
        <v>127</v>
      </c>
      <c r="I484" s="174">
        <v>2.4</v>
      </c>
      <c r="J484" s="174"/>
      <c r="K484" s="174"/>
      <c r="L484" s="174"/>
      <c r="M484" s="191">
        <v>670</v>
      </c>
      <c r="N484" s="176">
        <v>5.2060000000000004</v>
      </c>
      <c r="O484" s="176"/>
      <c r="P484" s="177"/>
      <c r="Q484" s="178"/>
      <c r="R484" s="179"/>
      <c r="S484" s="179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80"/>
      <c r="AE484" s="173" t="s">
        <v>69</v>
      </c>
      <c r="AF484" s="181" t="s">
        <v>1065</v>
      </c>
      <c r="AG484" s="192" t="s">
        <v>1799</v>
      </c>
      <c r="AH484" s="198">
        <v>44829</v>
      </c>
      <c r="AI484" s="181">
        <v>44866</v>
      </c>
      <c r="AJ484" s="181"/>
      <c r="AK484" s="181">
        <f ca="1">TODAY()</f>
        <v>44958</v>
      </c>
      <c r="AL484" s="173">
        <f ca="1">IF(AI484&lt;&gt;0,AK484-AI484,0)</f>
        <v>92</v>
      </c>
      <c r="AM484" s="173" t="str">
        <f>IF(ISNUMBER(X484)=TRUE,AK484-X484,IF(X484="","",(AK484)-(MID(RIGHT(X484,10),4,2)&amp;"/"&amp;LEFT((RIGHT(X484,10)),2)&amp;"/"&amp;RIGHT(X484,4))))</f>
        <v/>
      </c>
      <c r="AN484" s="181" t="s">
        <v>1807</v>
      </c>
      <c r="AO484" s="190" t="s">
        <v>1827</v>
      </c>
      <c r="AP484" s="176">
        <v>5.2060000000000004</v>
      </c>
      <c r="AQ484" s="176">
        <v>5.2460000000000004</v>
      </c>
      <c r="AR484" s="176">
        <v>5.2710000000000008</v>
      </c>
      <c r="AS484" s="176">
        <v>5.2760000000000007</v>
      </c>
      <c r="AT484" s="173" t="str">
        <f>IF(ISNUMBER(U484)=TRUE,AK484-U484,IF(U484="","",(AK484)-(MID(RIGHT(U484,10),4,2)&amp;"/"&amp;LEFT((RIGHT(U484,10)),2)&amp;"/"&amp;RIGHT(U484,4))))</f>
        <v/>
      </c>
      <c r="AU484" s="173">
        <v>457</v>
      </c>
      <c r="AW484" s="142" t="s">
        <v>123</v>
      </c>
    </row>
    <row r="485" spans="2:49" s="142" customFormat="1" ht="21" customHeight="1" x14ac:dyDescent="0.25">
      <c r="B485" s="173" t="str">
        <f>IF(C485="HOLD RM","HOLD RM",IF(C485="BAL","WIP",IF(C485="HOLD SLT","HOLD SLT",IF(C485="MILL","RM",IF(C485="RE SLT","WIP",IF(C485="RM","RM",IF(C485="RM BAL","RM",IF(C485="RM SLT","RM",IF(C485="RR","WIP",IF(C485="SKP","WIP",IF(C485="SLT","WIP",IF(C485="CTL","WIP",IF(C485="RM SLT RUST","RM SLT RUST",0)))))))))))))&amp;"-"&amp;G485&amp;"/"&amp;IF(H485="2B","2B",IF(H485="NO.1","1D",IF(H485="FH","FH",0)))&amp;"-"&amp;IF(J485="",(TEXT(I485,"0.00")),TEXT(J485,"0.00"))&amp;"X"&amp;M485</f>
        <v>RM-J3/1D-2.20X700</v>
      </c>
      <c r="C485" s="173" t="s">
        <v>48</v>
      </c>
      <c r="D485" s="173" t="s">
        <v>48</v>
      </c>
      <c r="E485" s="190" t="s">
        <v>1834</v>
      </c>
      <c r="F485" s="190" t="s">
        <v>1835</v>
      </c>
      <c r="G485" s="173" t="s">
        <v>34</v>
      </c>
      <c r="H485" s="173" t="s">
        <v>127</v>
      </c>
      <c r="I485" s="174">
        <v>2.2000000000000002</v>
      </c>
      <c r="J485" s="174"/>
      <c r="K485" s="174"/>
      <c r="L485" s="174"/>
      <c r="M485" s="191">
        <v>700</v>
      </c>
      <c r="N485" s="176">
        <v>11.416</v>
      </c>
      <c r="O485" s="176"/>
      <c r="P485" s="177"/>
      <c r="Q485" s="178"/>
      <c r="R485" s="179"/>
      <c r="S485" s="179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80"/>
      <c r="AE485" s="173" t="s">
        <v>69</v>
      </c>
      <c r="AF485" s="181" t="s">
        <v>1065</v>
      </c>
      <c r="AG485" s="192" t="s">
        <v>1799</v>
      </c>
      <c r="AH485" s="198">
        <v>44829</v>
      </c>
      <c r="AI485" s="181">
        <v>44866</v>
      </c>
      <c r="AJ485" s="181"/>
      <c r="AK485" s="181">
        <f ca="1">TODAY()</f>
        <v>44958</v>
      </c>
      <c r="AL485" s="173">
        <f ca="1">IF(AI485&lt;&gt;0,AK485-AI485,0)</f>
        <v>92</v>
      </c>
      <c r="AM485" s="173" t="str">
        <f>IF(ISNUMBER(X485)=TRUE,AK485-X485,IF(X485="","",(AK485)-(MID(RIGHT(X485,10),4,2)&amp;"/"&amp;LEFT((RIGHT(X485,10)),2)&amp;"/"&amp;RIGHT(X485,4))))</f>
        <v/>
      </c>
      <c r="AN485" s="181" t="s">
        <v>1836</v>
      </c>
      <c r="AO485" s="190" t="s">
        <v>1837</v>
      </c>
      <c r="AP485" s="176">
        <v>11.416</v>
      </c>
      <c r="AQ485" s="176">
        <v>11.456</v>
      </c>
      <c r="AR485" s="176">
        <v>11.480999999999998</v>
      </c>
      <c r="AS485" s="176">
        <v>11.485999999999999</v>
      </c>
      <c r="AT485" s="173" t="str">
        <f>IF(ISNUMBER(U485)=TRUE,AK485-U485,IF(U485="","",(AK485)-(MID(RIGHT(U485,10),4,2)&amp;"/"&amp;LEFT((RIGHT(U485,10)),2)&amp;"/"&amp;RIGHT(U485,4))))</f>
        <v/>
      </c>
      <c r="AU485" s="173">
        <v>457</v>
      </c>
      <c r="AW485" s="142" t="s">
        <v>123</v>
      </c>
    </row>
    <row r="486" spans="2:49" s="142" customFormat="1" ht="21" customHeight="1" x14ac:dyDescent="0.25">
      <c r="B486" s="173" t="str">
        <f>IF(C486="HOLD RM","HOLD RM",IF(C486="BAL","WIP",IF(C486="HOLD SLT","HOLD SLT",IF(C486="MILL","RM",IF(C486="RE SLT","WIP",IF(C486="RM","RM",IF(C486="RM BAL","RM",IF(C486="RM SLT","RM",IF(C486="RR","WIP",IF(C486="SKP","WIP",IF(C486="SLT","WIP",IF(C486="CTL","WIP",IF(C486="RM SLT RUST","RM SLT RUST",0)))))))))))))&amp;"-"&amp;G486&amp;"/"&amp;IF(H486="2B","2B",IF(H486="NO.1","1D",IF(H486="FH","FH",0)))&amp;"-"&amp;IF(J486="",(TEXT(I486,"0.00")),TEXT(J486,"0.00"))&amp;"X"&amp;M486</f>
        <v>RM-J3/1D-2.40X670</v>
      </c>
      <c r="C486" s="173" t="s">
        <v>48</v>
      </c>
      <c r="D486" s="173" t="s">
        <v>48</v>
      </c>
      <c r="E486" s="190" t="s">
        <v>1838</v>
      </c>
      <c r="F486" s="190" t="s">
        <v>1839</v>
      </c>
      <c r="G486" s="173" t="s">
        <v>34</v>
      </c>
      <c r="H486" s="173" t="s">
        <v>127</v>
      </c>
      <c r="I486" s="174">
        <v>2.4</v>
      </c>
      <c r="J486" s="174"/>
      <c r="K486" s="174"/>
      <c r="L486" s="174"/>
      <c r="M486" s="191">
        <v>670</v>
      </c>
      <c r="N486" s="176">
        <v>5.17</v>
      </c>
      <c r="O486" s="176"/>
      <c r="P486" s="177"/>
      <c r="Q486" s="178"/>
      <c r="R486" s="179"/>
      <c r="S486" s="179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80"/>
      <c r="AE486" s="173" t="s">
        <v>69</v>
      </c>
      <c r="AF486" s="181" t="s">
        <v>1065</v>
      </c>
      <c r="AG486" s="192" t="s">
        <v>1799</v>
      </c>
      <c r="AH486" s="198">
        <v>44829</v>
      </c>
      <c r="AI486" s="181">
        <v>44866</v>
      </c>
      <c r="AJ486" s="181"/>
      <c r="AK486" s="181">
        <f ca="1">TODAY()</f>
        <v>44958</v>
      </c>
      <c r="AL486" s="173">
        <f ca="1">IF(AI486&lt;&gt;0,AK486-AI486,0)</f>
        <v>92</v>
      </c>
      <c r="AM486" s="173" t="str">
        <f>IF(ISNUMBER(X486)=TRUE,AK486-X486,IF(X486="","",(AK486)-(MID(RIGHT(X486,10),4,2)&amp;"/"&amp;LEFT((RIGHT(X486,10)),2)&amp;"/"&amp;RIGHT(X486,4))))</f>
        <v/>
      </c>
      <c r="AN486" s="181" t="s">
        <v>1840</v>
      </c>
      <c r="AO486" s="190" t="s">
        <v>1460</v>
      </c>
      <c r="AP486" s="176">
        <v>5.17</v>
      </c>
      <c r="AQ486" s="176">
        <v>5.21</v>
      </c>
      <c r="AR486" s="176">
        <v>5.2350000000000003</v>
      </c>
      <c r="AS486" s="176">
        <v>5.24</v>
      </c>
      <c r="AT486" s="173" t="str">
        <f>IF(ISNUMBER(U486)=TRUE,AK486-U486,IF(U486="","",(AK486)-(MID(RIGHT(U486,10),4,2)&amp;"/"&amp;LEFT((RIGHT(U486,10)),2)&amp;"/"&amp;RIGHT(U486,4))))</f>
        <v/>
      </c>
      <c r="AU486" s="173">
        <v>457</v>
      </c>
      <c r="AW486" s="142" t="s">
        <v>123</v>
      </c>
    </row>
    <row r="487" spans="2:49" s="142" customFormat="1" ht="21" customHeight="1" x14ac:dyDescent="0.25">
      <c r="B487" s="173" t="str">
        <f>IF(C487="HOLD RM","HOLD RM",IF(C487="BAL","WIP",IF(C487="HOLD SLT","HOLD SLT",IF(C487="MILL","RM",IF(C487="RE SLT","WIP",IF(C487="RM","RM",IF(C487="RM BAL","RM",IF(C487="RM SLT","RM",IF(C487="RR","WIP",IF(C487="SKP","WIP",IF(C487="SLT","WIP",IF(C487="CTL","WIP",IF(C487="RM SLT RUST","RM SLT RUST",0)))))))))))))&amp;"-"&amp;G487&amp;"/"&amp;IF(H487="2B","2B",IF(H487="NO.1","1D",IF(H487="FH","FH",0)))&amp;"-"&amp;IF(J487="",(TEXT(I487,"0.00")),TEXT(J487,"0.00"))&amp;"X"&amp;M487</f>
        <v>RM-J3/1D-2.40X670</v>
      </c>
      <c r="C487" s="173" t="s">
        <v>48</v>
      </c>
      <c r="D487" s="173" t="s">
        <v>48</v>
      </c>
      <c r="E487" s="190" t="s">
        <v>1841</v>
      </c>
      <c r="F487" s="190" t="s">
        <v>1842</v>
      </c>
      <c r="G487" s="173" t="s">
        <v>34</v>
      </c>
      <c r="H487" s="173" t="s">
        <v>127</v>
      </c>
      <c r="I487" s="174">
        <v>2.4</v>
      </c>
      <c r="J487" s="174"/>
      <c r="K487" s="174"/>
      <c r="L487" s="174"/>
      <c r="M487" s="191">
        <v>670</v>
      </c>
      <c r="N487" s="176">
        <v>5.194</v>
      </c>
      <c r="O487" s="176"/>
      <c r="P487" s="177"/>
      <c r="Q487" s="178"/>
      <c r="R487" s="179"/>
      <c r="S487" s="179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80"/>
      <c r="AE487" s="173" t="s">
        <v>69</v>
      </c>
      <c r="AF487" s="181" t="s">
        <v>1065</v>
      </c>
      <c r="AG487" s="192" t="s">
        <v>1799</v>
      </c>
      <c r="AH487" s="198">
        <v>44829</v>
      </c>
      <c r="AI487" s="181">
        <v>44866</v>
      </c>
      <c r="AJ487" s="181"/>
      <c r="AK487" s="181">
        <f ca="1">TODAY()</f>
        <v>44958</v>
      </c>
      <c r="AL487" s="173">
        <f ca="1">IF(AI487&lt;&gt;0,AK487-AI487,0)</f>
        <v>92</v>
      </c>
      <c r="AM487" s="173" t="str">
        <f>IF(ISNUMBER(X487)=TRUE,AK487-X487,IF(X487="","",(AK487)-(MID(RIGHT(X487,10),4,2)&amp;"/"&amp;LEFT((RIGHT(X487,10)),2)&amp;"/"&amp;RIGHT(X487,4))))</f>
        <v/>
      </c>
      <c r="AN487" s="181" t="s">
        <v>1843</v>
      </c>
      <c r="AO487" s="190" t="s">
        <v>1460</v>
      </c>
      <c r="AP487" s="176">
        <v>5.194</v>
      </c>
      <c r="AQ487" s="176">
        <v>5.234</v>
      </c>
      <c r="AR487" s="176">
        <v>5.2590000000000003</v>
      </c>
      <c r="AS487" s="176">
        <v>5.2640000000000002</v>
      </c>
      <c r="AT487" s="173" t="str">
        <f>IF(ISNUMBER(U487)=TRUE,AK487-U487,IF(U487="","",(AK487)-(MID(RIGHT(U487,10),4,2)&amp;"/"&amp;LEFT((RIGHT(U487,10)),2)&amp;"/"&amp;RIGHT(U487,4))))</f>
        <v/>
      </c>
      <c r="AU487" s="173">
        <v>457</v>
      </c>
      <c r="AW487" s="142" t="s">
        <v>123</v>
      </c>
    </row>
    <row r="488" spans="2:49" s="142" customFormat="1" ht="21" customHeight="1" x14ac:dyDescent="0.25">
      <c r="B488" s="173" t="str">
        <f>IF(C488="HOLD RM","HOLD RM",IF(C488="BAL","WIP",IF(C488="HOLD SLT","HOLD SLT",IF(C488="MILL","RM",IF(C488="RE SLT","WIP",IF(C488="RM","RM",IF(C488="RM BAL","RM",IF(C488="RM SLT","RM",IF(C488="RR","WIP",IF(C488="SKP","WIP",IF(C488="SLT","WIP",IF(C488="CTL","WIP",IF(C488="RM SLT RUST","RM SLT RUST",0)))))))))))))&amp;"-"&amp;G488&amp;"/"&amp;IF(H488="2B","2B",IF(H488="NO.1","1D",IF(H488="FH","FH",0)))&amp;"-"&amp;IF(J488="",(TEXT(I488,"0.00")),TEXT(J488,"0.00"))&amp;"X"&amp;M488</f>
        <v>RM-J3/1D-2.40X670</v>
      </c>
      <c r="C488" s="173" t="s">
        <v>48</v>
      </c>
      <c r="D488" s="173" t="s">
        <v>48</v>
      </c>
      <c r="E488" s="190" t="s">
        <v>1844</v>
      </c>
      <c r="F488" s="190" t="s">
        <v>1845</v>
      </c>
      <c r="G488" s="173" t="s">
        <v>34</v>
      </c>
      <c r="H488" s="173" t="s">
        <v>127</v>
      </c>
      <c r="I488" s="174">
        <v>2.4</v>
      </c>
      <c r="J488" s="174"/>
      <c r="K488" s="174"/>
      <c r="L488" s="174"/>
      <c r="M488" s="191">
        <v>670</v>
      </c>
      <c r="N488" s="176">
        <v>5.3140000000000001</v>
      </c>
      <c r="O488" s="176"/>
      <c r="P488" s="177"/>
      <c r="Q488" s="178"/>
      <c r="R488" s="179"/>
      <c r="S488" s="179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80"/>
      <c r="AE488" s="173" t="s">
        <v>69</v>
      </c>
      <c r="AF488" s="181" t="s">
        <v>1065</v>
      </c>
      <c r="AG488" s="192" t="s">
        <v>1799</v>
      </c>
      <c r="AH488" s="198">
        <v>44829</v>
      </c>
      <c r="AI488" s="181">
        <v>44866</v>
      </c>
      <c r="AJ488" s="181"/>
      <c r="AK488" s="181">
        <f ca="1">TODAY()</f>
        <v>44958</v>
      </c>
      <c r="AL488" s="173">
        <f ca="1">IF(AI488&lt;&gt;0,AK488-AI488,0)</f>
        <v>92</v>
      </c>
      <c r="AM488" s="173" t="str">
        <f>IF(ISNUMBER(X488)=TRUE,AK488-X488,IF(X488="","",(AK488)-(MID(RIGHT(X488,10),4,2)&amp;"/"&amp;LEFT((RIGHT(X488,10)),2)&amp;"/"&amp;RIGHT(X488,4))))</f>
        <v/>
      </c>
      <c r="AN488" s="181" t="s">
        <v>1846</v>
      </c>
      <c r="AO488" s="190" t="s">
        <v>1460</v>
      </c>
      <c r="AP488" s="176">
        <v>5.3140000000000001</v>
      </c>
      <c r="AQ488" s="176">
        <v>5.3540000000000001</v>
      </c>
      <c r="AR488" s="176">
        <v>5.3790000000000004</v>
      </c>
      <c r="AS488" s="176">
        <v>5.3840000000000003</v>
      </c>
      <c r="AT488" s="173" t="str">
        <f>IF(ISNUMBER(U488)=TRUE,AK488-U488,IF(U488="","",(AK488)-(MID(RIGHT(U488,10),4,2)&amp;"/"&amp;LEFT((RIGHT(U488,10)),2)&amp;"/"&amp;RIGHT(U488,4))))</f>
        <v/>
      </c>
      <c r="AU488" s="173">
        <v>457</v>
      </c>
      <c r="AW488" s="142" t="s">
        <v>123</v>
      </c>
    </row>
    <row r="489" spans="2:49" s="142" customFormat="1" ht="21" customHeight="1" x14ac:dyDescent="0.25">
      <c r="B489" s="173" t="str">
        <f>IF(C489="HOLD RM","HOLD RM",IF(C489="BAL","WIP",IF(C489="HOLD SLT","HOLD SLT",IF(C489="MILL","RM",IF(C489="RE SLT","WIP",IF(C489="RM","RM",IF(C489="RM BAL","RM",IF(C489="RM SLT","RM",IF(C489="RR","WIP",IF(C489="SKP","WIP",IF(C489="SLT","WIP",IF(C489="CTL","WIP",IF(C489="RM SLT RUST","RM SLT RUST",0)))))))))))))&amp;"-"&amp;G489&amp;"/"&amp;IF(H489="2B","2B",IF(H489="NO.1","1D",IF(H489="FH","FH",0)))&amp;"-"&amp;IF(J489="",(TEXT(I489,"0.00")),TEXT(J489,"0.00"))&amp;"X"&amp;M489</f>
        <v>RM-J3/1D-2.40X670</v>
      </c>
      <c r="C489" s="173" t="s">
        <v>48</v>
      </c>
      <c r="D489" s="173" t="s">
        <v>48</v>
      </c>
      <c r="E489" s="190" t="s">
        <v>1847</v>
      </c>
      <c r="F489" s="190" t="s">
        <v>1848</v>
      </c>
      <c r="G489" s="173" t="s">
        <v>34</v>
      </c>
      <c r="H489" s="173" t="s">
        <v>127</v>
      </c>
      <c r="I489" s="174">
        <v>2.4</v>
      </c>
      <c r="J489" s="174"/>
      <c r="K489" s="174"/>
      <c r="L489" s="174"/>
      <c r="M489" s="191">
        <v>670</v>
      </c>
      <c r="N489" s="176">
        <v>5.3319999999999999</v>
      </c>
      <c r="O489" s="176"/>
      <c r="P489" s="177"/>
      <c r="Q489" s="178"/>
      <c r="R489" s="179"/>
      <c r="S489" s="179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80"/>
      <c r="AE489" s="173" t="s">
        <v>69</v>
      </c>
      <c r="AF489" s="181" t="s">
        <v>1065</v>
      </c>
      <c r="AG489" s="192" t="s">
        <v>1799</v>
      </c>
      <c r="AH489" s="198">
        <v>44829</v>
      </c>
      <c r="AI489" s="181">
        <v>44866</v>
      </c>
      <c r="AJ489" s="181"/>
      <c r="AK489" s="181">
        <f ca="1">TODAY()</f>
        <v>44958</v>
      </c>
      <c r="AL489" s="173">
        <f ca="1">IF(AI489&lt;&gt;0,AK489-AI489,0)</f>
        <v>92</v>
      </c>
      <c r="AM489" s="173" t="str">
        <f>IF(ISNUMBER(X489)=TRUE,AK489-X489,IF(X489="","",(AK489)-(MID(RIGHT(X489,10),4,2)&amp;"/"&amp;LEFT((RIGHT(X489,10)),2)&amp;"/"&amp;RIGHT(X489,4))))</f>
        <v/>
      </c>
      <c r="AN489" s="181" t="s">
        <v>1849</v>
      </c>
      <c r="AO489" s="190" t="s">
        <v>1460</v>
      </c>
      <c r="AP489" s="176">
        <v>5.3319999999999999</v>
      </c>
      <c r="AQ489" s="176">
        <v>5.3719999999999999</v>
      </c>
      <c r="AR489" s="176">
        <v>5.3970000000000002</v>
      </c>
      <c r="AS489" s="176">
        <v>5.4020000000000001</v>
      </c>
      <c r="AT489" s="173" t="str">
        <f>IF(ISNUMBER(U489)=TRUE,AK489-U489,IF(U489="","",(AK489)-(MID(RIGHT(U489,10),4,2)&amp;"/"&amp;LEFT((RIGHT(U489,10)),2)&amp;"/"&amp;RIGHT(U489,4))))</f>
        <v/>
      </c>
      <c r="AU489" s="173">
        <v>457</v>
      </c>
      <c r="AW489" s="142" t="s">
        <v>123</v>
      </c>
    </row>
    <row r="490" spans="2:49" s="142" customFormat="1" ht="21" customHeight="1" x14ac:dyDescent="0.25">
      <c r="B490" s="173" t="str">
        <f>IF(C490="HOLD RM","HOLD RM",IF(C490="BAL","WIP",IF(C490="HOLD SLT","HOLD SLT",IF(C490="MILL","RM",IF(C490="RE SLT","WIP",IF(C490="RM","RM",IF(C490="RM BAL","RM",IF(C490="RM SLT","RM",IF(C490="RR","WIP",IF(C490="SKP","WIP",IF(C490="SLT","WIP",IF(C490="CTL","WIP",IF(C490="RM SLT RUST","RM SLT RUST",0)))))))))))))&amp;"-"&amp;G490&amp;"/"&amp;IF(H490="2B","2B",IF(H490="NO.1","1D",IF(H490="FH","FH",0)))&amp;"-"&amp;IF(J490="",(TEXT(I490,"0.00")),TEXT(J490,"0.00"))&amp;"X"&amp;M490</f>
        <v>RM-J3/1D-2.20X620</v>
      </c>
      <c r="C490" s="173" t="s">
        <v>48</v>
      </c>
      <c r="D490" s="173" t="s">
        <v>48</v>
      </c>
      <c r="E490" s="190" t="s">
        <v>1850</v>
      </c>
      <c r="F490" s="190" t="s">
        <v>1851</v>
      </c>
      <c r="G490" s="173" t="s">
        <v>34</v>
      </c>
      <c r="H490" s="173" t="s">
        <v>127</v>
      </c>
      <c r="I490" s="174">
        <v>2.2000000000000002</v>
      </c>
      <c r="J490" s="174"/>
      <c r="K490" s="174"/>
      <c r="L490" s="174"/>
      <c r="M490" s="191">
        <v>620</v>
      </c>
      <c r="N490" s="176">
        <v>4.93</v>
      </c>
      <c r="O490" s="176"/>
      <c r="P490" s="177"/>
      <c r="Q490" s="178"/>
      <c r="R490" s="179"/>
      <c r="S490" s="179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80"/>
      <c r="AE490" s="173" t="s">
        <v>69</v>
      </c>
      <c r="AF490" s="181" t="s">
        <v>1065</v>
      </c>
      <c r="AG490" s="192" t="s">
        <v>1799</v>
      </c>
      <c r="AH490" s="198">
        <v>44829</v>
      </c>
      <c r="AI490" s="181">
        <v>44866</v>
      </c>
      <c r="AJ490" s="181"/>
      <c r="AK490" s="181">
        <f ca="1">TODAY()</f>
        <v>44958</v>
      </c>
      <c r="AL490" s="173">
        <f ca="1">IF(AI490&lt;&gt;0,AK490-AI490,0)</f>
        <v>92</v>
      </c>
      <c r="AM490" s="173" t="str">
        <f>IF(ISNUMBER(X490)=TRUE,AK490-X490,IF(X490="","",(AK490)-(MID(RIGHT(X490,10),4,2)&amp;"/"&amp;LEFT((RIGHT(X490,10)),2)&amp;"/"&amp;RIGHT(X490,4))))</f>
        <v/>
      </c>
      <c r="AN490" s="181" t="s">
        <v>1836</v>
      </c>
      <c r="AO490" s="190" t="s">
        <v>1852</v>
      </c>
      <c r="AP490" s="176">
        <v>4.93</v>
      </c>
      <c r="AQ490" s="176">
        <v>4.97</v>
      </c>
      <c r="AR490" s="176">
        <v>4.9950000000000001</v>
      </c>
      <c r="AS490" s="176">
        <v>5</v>
      </c>
      <c r="AT490" s="173" t="str">
        <f>IF(ISNUMBER(U490)=TRUE,AK490-U490,IF(U490="","",(AK490)-(MID(RIGHT(U490,10),4,2)&amp;"/"&amp;LEFT((RIGHT(U490,10)),2)&amp;"/"&amp;RIGHT(U490,4))))</f>
        <v/>
      </c>
      <c r="AU490" s="173">
        <v>457</v>
      </c>
      <c r="AW490" s="142" t="s">
        <v>123</v>
      </c>
    </row>
    <row r="491" spans="2:49" s="142" customFormat="1" ht="21" customHeight="1" x14ac:dyDescent="0.25">
      <c r="B491" s="173" t="str">
        <f>IF(C491="HOLD RM","HOLD RM",IF(C491="BAL","WIP",IF(C491="HOLD SLT","HOLD SLT",IF(C491="MILL","RM",IF(C491="RE SLT","WIP",IF(C491="RM","RM",IF(C491="RM BAL","RM",IF(C491="RM SLT","RM",IF(C491="RR","WIP",IF(C491="SKP","WIP",IF(C491="SLT","WIP",IF(C491="CTL","WIP",IF(C491="RM SLT RUST","RM SLT RUST",0)))))))))))))&amp;"-"&amp;G491&amp;"/"&amp;IF(H491="2B","2B",IF(H491="NO.1","1D",IF(H491="FH","FH",0)))&amp;"-"&amp;IF(J491="",(TEXT(I491,"0.00")),TEXT(J491,"0.00"))&amp;"X"&amp;M491</f>
        <v>RM-J3/1D-2.20X620</v>
      </c>
      <c r="C491" s="173" t="s">
        <v>48</v>
      </c>
      <c r="D491" s="173" t="s">
        <v>48</v>
      </c>
      <c r="E491" s="190" t="s">
        <v>1853</v>
      </c>
      <c r="F491" s="190" t="s">
        <v>1854</v>
      </c>
      <c r="G491" s="173" t="s">
        <v>34</v>
      </c>
      <c r="H491" s="173" t="s">
        <v>127</v>
      </c>
      <c r="I491" s="174">
        <v>2.2000000000000002</v>
      </c>
      <c r="J491" s="174"/>
      <c r="K491" s="174"/>
      <c r="L491" s="174"/>
      <c r="M491" s="191">
        <v>620</v>
      </c>
      <c r="N491" s="176">
        <v>4.9180000000000001</v>
      </c>
      <c r="O491" s="176"/>
      <c r="P491" s="177"/>
      <c r="Q491" s="178"/>
      <c r="R491" s="179"/>
      <c r="S491" s="179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80"/>
      <c r="AE491" s="173" t="s">
        <v>69</v>
      </c>
      <c r="AF491" s="181" t="s">
        <v>1065</v>
      </c>
      <c r="AG491" s="192" t="s">
        <v>1799</v>
      </c>
      <c r="AH491" s="198">
        <v>44829</v>
      </c>
      <c r="AI491" s="181">
        <v>44866</v>
      </c>
      <c r="AJ491" s="181"/>
      <c r="AK491" s="181">
        <f ca="1">TODAY()</f>
        <v>44958</v>
      </c>
      <c r="AL491" s="173">
        <f ca="1">IF(AI491&lt;&gt;0,AK491-AI491,0)</f>
        <v>92</v>
      </c>
      <c r="AM491" s="173" t="str">
        <f>IF(ISNUMBER(X491)=TRUE,AK491-X491,IF(X491="","",(AK491)-(MID(RIGHT(X491,10),4,2)&amp;"/"&amp;LEFT((RIGHT(X491,10)),2)&amp;"/"&amp;RIGHT(X491,4))))</f>
        <v/>
      </c>
      <c r="AN491" s="181" t="s">
        <v>1855</v>
      </c>
      <c r="AO491" s="190" t="s">
        <v>1852</v>
      </c>
      <c r="AP491" s="176">
        <v>4.9180000000000001</v>
      </c>
      <c r="AQ491" s="176">
        <v>4.9580000000000002</v>
      </c>
      <c r="AR491" s="176">
        <v>4.9830000000000005</v>
      </c>
      <c r="AS491" s="176">
        <v>4.9880000000000004</v>
      </c>
      <c r="AT491" s="173" t="str">
        <f>IF(ISNUMBER(U491)=TRUE,AK491-U491,IF(U491="","",(AK491)-(MID(RIGHT(U491,10),4,2)&amp;"/"&amp;LEFT((RIGHT(U491,10)),2)&amp;"/"&amp;RIGHT(U491,4))))</f>
        <v/>
      </c>
      <c r="AU491" s="173">
        <v>457</v>
      </c>
      <c r="AW491" s="142" t="s">
        <v>123</v>
      </c>
    </row>
    <row r="492" spans="2:49" s="142" customFormat="1" ht="21" customHeight="1" x14ac:dyDescent="0.25">
      <c r="B492" s="173" t="str">
        <f>IF(C492="HOLD RM","HOLD RM",IF(C492="BAL","WIP",IF(C492="HOLD SLT","HOLD SLT",IF(C492="MILL","RM",IF(C492="RE SLT","WIP",IF(C492="RM","RM",IF(C492="RM BAL","RM",IF(C492="RM SLT","RM",IF(C492="RR","WIP",IF(C492="SKP","WIP",IF(C492="SLT","WIP",IF(C492="CTL","WIP",IF(C492="RM SLT RUST","RM SLT RUST",0)))))))))))))&amp;"-"&amp;G492&amp;"/"&amp;IF(H492="2B","2B",IF(H492="NO.1","1D",IF(H492="FH","FH",0)))&amp;"-"&amp;IF(J492="",(TEXT(I492,"0.00")),TEXT(J492,"0.00"))&amp;"X"&amp;M492</f>
        <v>RM-J3/1D-2.20X620</v>
      </c>
      <c r="C492" s="173" t="s">
        <v>48</v>
      </c>
      <c r="D492" s="173" t="s">
        <v>48</v>
      </c>
      <c r="E492" s="190" t="s">
        <v>1856</v>
      </c>
      <c r="F492" s="190" t="s">
        <v>1857</v>
      </c>
      <c r="G492" s="173" t="s">
        <v>34</v>
      </c>
      <c r="H492" s="173" t="s">
        <v>127</v>
      </c>
      <c r="I492" s="174">
        <v>2.2000000000000002</v>
      </c>
      <c r="J492" s="174"/>
      <c r="K492" s="174"/>
      <c r="L492" s="174"/>
      <c r="M492" s="191">
        <v>620</v>
      </c>
      <c r="N492" s="176">
        <v>5.1680000000000001</v>
      </c>
      <c r="O492" s="176"/>
      <c r="P492" s="177"/>
      <c r="Q492" s="178"/>
      <c r="R492" s="179"/>
      <c r="S492" s="179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80"/>
      <c r="AE492" s="173" t="s">
        <v>69</v>
      </c>
      <c r="AF492" s="181" t="s">
        <v>1065</v>
      </c>
      <c r="AG492" s="192" t="s">
        <v>1799</v>
      </c>
      <c r="AH492" s="198">
        <v>44829</v>
      </c>
      <c r="AI492" s="181">
        <v>44866</v>
      </c>
      <c r="AJ492" s="181"/>
      <c r="AK492" s="181">
        <f ca="1">TODAY()</f>
        <v>44958</v>
      </c>
      <c r="AL492" s="173">
        <f ca="1">IF(AI492&lt;&gt;0,AK492-AI492,0)</f>
        <v>92</v>
      </c>
      <c r="AM492" s="173" t="str">
        <f>IF(ISNUMBER(X492)=TRUE,AK492-X492,IF(X492="","",(AK492)-(MID(RIGHT(X492,10),4,2)&amp;"/"&amp;LEFT((RIGHT(X492,10)),2)&amp;"/"&amp;RIGHT(X492,4))))</f>
        <v/>
      </c>
      <c r="AN492" s="181" t="s">
        <v>1836</v>
      </c>
      <c r="AO492" s="190" t="s">
        <v>1852</v>
      </c>
      <c r="AP492" s="176">
        <v>5.1680000000000001</v>
      </c>
      <c r="AQ492" s="176">
        <v>5.2080000000000002</v>
      </c>
      <c r="AR492" s="176">
        <v>5.2330000000000005</v>
      </c>
      <c r="AS492" s="176">
        <v>5.2380000000000004</v>
      </c>
      <c r="AT492" s="173" t="str">
        <f>IF(ISNUMBER(U492)=TRUE,AK492-U492,IF(U492="","",(AK492)-(MID(RIGHT(U492,10),4,2)&amp;"/"&amp;LEFT((RIGHT(U492,10)),2)&amp;"/"&amp;RIGHT(U492,4))))</f>
        <v/>
      </c>
      <c r="AU492" s="173">
        <v>457</v>
      </c>
      <c r="AW492" s="142" t="s">
        <v>123</v>
      </c>
    </row>
    <row r="493" spans="2:49" s="142" customFormat="1" ht="21" customHeight="1" x14ac:dyDescent="0.25">
      <c r="B493" s="173" t="str">
        <f>IF(C493="HOLD RM","HOLD RM",IF(C493="BAL","WIP",IF(C493="HOLD SLT","HOLD SLT",IF(C493="MILL","RM",IF(C493="RE SLT","WIP",IF(C493="RM","RM",IF(C493="RM BAL","RM",IF(C493="RM SLT","RM",IF(C493="RR","WIP",IF(C493="SKP","WIP",IF(C493="SLT","WIP",IF(C493="CTL","WIP",IF(C493="RM SLT RUST","RM SLT RUST",0)))))))))))))&amp;"-"&amp;G493&amp;"/"&amp;IF(H493="2B","2B",IF(H493="NO.1","1D",IF(H493="FH","FH",0)))&amp;"-"&amp;IF(J493="",(TEXT(I493,"0.00")),TEXT(J493,"0.00"))&amp;"X"&amp;M493</f>
        <v>RM-J3/1D-2.20X620</v>
      </c>
      <c r="C493" s="173" t="s">
        <v>48</v>
      </c>
      <c r="D493" s="173" t="s">
        <v>48</v>
      </c>
      <c r="E493" s="190" t="s">
        <v>1858</v>
      </c>
      <c r="F493" s="190" t="s">
        <v>1859</v>
      </c>
      <c r="G493" s="173" t="s">
        <v>34</v>
      </c>
      <c r="H493" s="173" t="s">
        <v>127</v>
      </c>
      <c r="I493" s="174">
        <v>2.2000000000000002</v>
      </c>
      <c r="J493" s="174"/>
      <c r="K493" s="174"/>
      <c r="L493" s="174"/>
      <c r="M493" s="191">
        <v>620</v>
      </c>
      <c r="N493" s="176">
        <v>5.1740000000000004</v>
      </c>
      <c r="O493" s="176"/>
      <c r="P493" s="177"/>
      <c r="Q493" s="178"/>
      <c r="R493" s="179"/>
      <c r="S493" s="179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80"/>
      <c r="AE493" s="173" t="s">
        <v>69</v>
      </c>
      <c r="AF493" s="181" t="s">
        <v>1065</v>
      </c>
      <c r="AG493" s="192" t="s">
        <v>1799</v>
      </c>
      <c r="AH493" s="198">
        <v>44829</v>
      </c>
      <c r="AI493" s="181">
        <v>44866</v>
      </c>
      <c r="AJ493" s="181"/>
      <c r="AK493" s="181">
        <f ca="1">TODAY()</f>
        <v>44958</v>
      </c>
      <c r="AL493" s="173">
        <f ca="1">IF(AI493&lt;&gt;0,AK493-AI493,0)</f>
        <v>92</v>
      </c>
      <c r="AM493" s="173" t="str">
        <f>IF(ISNUMBER(X493)=TRUE,AK493-X493,IF(X493="","",(AK493)-(MID(RIGHT(X493,10),4,2)&amp;"/"&amp;LEFT((RIGHT(X493,10)),2)&amp;"/"&amp;RIGHT(X493,4))))</f>
        <v/>
      </c>
      <c r="AN493" s="181" t="s">
        <v>1836</v>
      </c>
      <c r="AO493" s="190" t="s">
        <v>1852</v>
      </c>
      <c r="AP493" s="176">
        <v>5.1740000000000004</v>
      </c>
      <c r="AQ493" s="176">
        <v>5.2140000000000004</v>
      </c>
      <c r="AR493" s="176">
        <v>5.2390000000000008</v>
      </c>
      <c r="AS493" s="176">
        <v>5.2440000000000007</v>
      </c>
      <c r="AT493" s="173" t="str">
        <f>IF(ISNUMBER(U493)=TRUE,AK493-U493,IF(U493="","",(AK493)-(MID(RIGHT(U493,10),4,2)&amp;"/"&amp;LEFT((RIGHT(U493,10)),2)&amp;"/"&amp;RIGHT(U493,4))))</f>
        <v/>
      </c>
      <c r="AU493" s="173">
        <v>457</v>
      </c>
      <c r="AW493" s="142" t="s">
        <v>123</v>
      </c>
    </row>
    <row r="494" spans="2:49" s="142" customFormat="1" ht="21" customHeight="1" x14ac:dyDescent="0.25">
      <c r="B494" s="173" t="str">
        <f>IF(C494="HOLD RM","HOLD RM",IF(C494="BAL","WIP",IF(C494="HOLD SLT","HOLD SLT",IF(C494="MILL","RM",IF(C494="RE SLT","WIP",IF(C494="RM","RM",IF(C494="RM BAL","RM",IF(C494="RM SLT","RM",IF(C494="RR","WIP",IF(C494="SKP","WIP",IF(C494="SLT","WIP",IF(C494="CTL","WIP",IF(C494="RM SLT RUST","RM SLT RUST",0)))))))))))))&amp;"-"&amp;G494&amp;"/"&amp;IF(H494="2B","2B",IF(H494="NO.1","1D",IF(H494="FH","FH",0)))&amp;"-"&amp;IF(J494="",(TEXT(I494,"0.00")),TEXT(J494,"0.00"))&amp;"X"&amp;M494</f>
        <v>RM-J3/1D-2.20X620</v>
      </c>
      <c r="C494" s="173" t="s">
        <v>48</v>
      </c>
      <c r="D494" s="173" t="s">
        <v>48</v>
      </c>
      <c r="E494" s="190" t="s">
        <v>1860</v>
      </c>
      <c r="F494" s="190" t="s">
        <v>1861</v>
      </c>
      <c r="G494" s="173" t="s">
        <v>34</v>
      </c>
      <c r="H494" s="173" t="s">
        <v>127</v>
      </c>
      <c r="I494" s="174">
        <v>2.2000000000000002</v>
      </c>
      <c r="J494" s="174"/>
      <c r="K494" s="174"/>
      <c r="L494" s="174"/>
      <c r="M494" s="191">
        <v>620</v>
      </c>
      <c r="N494" s="176">
        <v>10.112</v>
      </c>
      <c r="O494" s="176"/>
      <c r="P494" s="177"/>
      <c r="Q494" s="178"/>
      <c r="R494" s="179"/>
      <c r="S494" s="179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80"/>
      <c r="AE494" s="173" t="s">
        <v>69</v>
      </c>
      <c r="AF494" s="181" t="s">
        <v>1065</v>
      </c>
      <c r="AG494" s="192" t="s">
        <v>1799</v>
      </c>
      <c r="AH494" s="198">
        <v>44829</v>
      </c>
      <c r="AI494" s="181">
        <v>44866</v>
      </c>
      <c r="AJ494" s="181"/>
      <c r="AK494" s="181">
        <f ca="1">TODAY()</f>
        <v>44958</v>
      </c>
      <c r="AL494" s="173">
        <f ca="1">IF(AI494&lt;&gt;0,AK494-AI494,0)</f>
        <v>92</v>
      </c>
      <c r="AM494" s="173" t="str">
        <f>IF(ISNUMBER(X494)=TRUE,AK494-X494,IF(X494="","",(AK494)-(MID(RIGHT(X494,10),4,2)&amp;"/"&amp;LEFT((RIGHT(X494,10)),2)&amp;"/"&amp;RIGHT(X494,4))))</f>
        <v/>
      </c>
      <c r="AN494" s="181" t="s">
        <v>1843</v>
      </c>
      <c r="AO494" s="190" t="s">
        <v>1862</v>
      </c>
      <c r="AP494" s="176">
        <v>10.112</v>
      </c>
      <c r="AQ494" s="176">
        <v>10.151999999999999</v>
      </c>
      <c r="AR494" s="176">
        <v>10.176999999999998</v>
      </c>
      <c r="AS494" s="176">
        <v>10.181999999999999</v>
      </c>
      <c r="AT494" s="173" t="str">
        <f>IF(ISNUMBER(U494)=TRUE,AK494-U494,IF(U494="","",(AK494)-(MID(RIGHT(U494,10),4,2)&amp;"/"&amp;LEFT((RIGHT(U494,10)),2)&amp;"/"&amp;RIGHT(U494,4))))</f>
        <v/>
      </c>
      <c r="AU494" s="173">
        <v>457</v>
      </c>
      <c r="AW494" s="142" t="s">
        <v>123</v>
      </c>
    </row>
    <row r="495" spans="2:49" s="142" customFormat="1" ht="21" customHeight="1" x14ac:dyDescent="0.25">
      <c r="B495" s="173" t="str">
        <f>IF(C495="HOLD RM","HOLD RM",IF(C495="BAL","WIP",IF(C495="HOLD SLT","HOLD SLT",IF(C495="MILL","RM",IF(C495="RE SLT","WIP",IF(C495="RM","RM",IF(C495="RM BAL","RM",IF(C495="RM SLT","RM",IF(C495="RR","WIP",IF(C495="SKP","WIP",IF(C495="SLT","WIP",IF(C495="CTL","WIP",IF(C495="RM SLT RUST","RM SLT RUST",0)))))))))))))&amp;"-"&amp;G495&amp;"/"&amp;IF(H495="2B","2B",IF(H495="NO.1","1D",IF(H495="FH","FH",0)))&amp;"-"&amp;IF(J495="",(TEXT(I495,"0.00")),TEXT(J495,"0.00"))&amp;"X"&amp;M495</f>
        <v>RM-J3/1D-2.20X620</v>
      </c>
      <c r="C495" s="173" t="s">
        <v>48</v>
      </c>
      <c r="D495" s="173" t="s">
        <v>48</v>
      </c>
      <c r="E495" s="190" t="s">
        <v>1863</v>
      </c>
      <c r="F495" s="190" t="s">
        <v>1864</v>
      </c>
      <c r="G495" s="173" t="s">
        <v>34</v>
      </c>
      <c r="H495" s="173" t="s">
        <v>127</v>
      </c>
      <c r="I495" s="174">
        <v>2.2000000000000002</v>
      </c>
      <c r="J495" s="174"/>
      <c r="K495" s="174"/>
      <c r="L495" s="174"/>
      <c r="M495" s="191">
        <v>620</v>
      </c>
      <c r="N495" s="176">
        <v>10.118</v>
      </c>
      <c r="O495" s="176"/>
      <c r="P495" s="177"/>
      <c r="Q495" s="178"/>
      <c r="R495" s="179"/>
      <c r="S495" s="179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80"/>
      <c r="AE495" s="173" t="s">
        <v>69</v>
      </c>
      <c r="AF495" s="181" t="s">
        <v>1065</v>
      </c>
      <c r="AG495" s="192" t="s">
        <v>1799</v>
      </c>
      <c r="AH495" s="198">
        <v>44829</v>
      </c>
      <c r="AI495" s="181">
        <v>44866</v>
      </c>
      <c r="AJ495" s="181"/>
      <c r="AK495" s="181">
        <f ca="1">TODAY()</f>
        <v>44958</v>
      </c>
      <c r="AL495" s="173">
        <f ca="1">IF(AI495&lt;&gt;0,AK495-AI495,0)</f>
        <v>92</v>
      </c>
      <c r="AM495" s="173" t="str">
        <f>IF(ISNUMBER(X495)=TRUE,AK495-X495,IF(X495="","",(AK495)-(MID(RIGHT(X495,10),4,2)&amp;"/"&amp;LEFT((RIGHT(X495,10)),2)&amp;"/"&amp;RIGHT(X495,4))))</f>
        <v/>
      </c>
      <c r="AN495" s="181" t="s">
        <v>1843</v>
      </c>
      <c r="AO495" s="190" t="s">
        <v>1862</v>
      </c>
      <c r="AP495" s="176">
        <v>10.118</v>
      </c>
      <c r="AQ495" s="176">
        <v>10.157999999999999</v>
      </c>
      <c r="AR495" s="176">
        <v>10.182999999999998</v>
      </c>
      <c r="AS495" s="176">
        <v>10.187999999999999</v>
      </c>
      <c r="AT495" s="173" t="str">
        <f>IF(ISNUMBER(U495)=TRUE,AK495-U495,IF(U495="","",(AK495)-(MID(RIGHT(U495,10),4,2)&amp;"/"&amp;LEFT((RIGHT(U495,10)),2)&amp;"/"&amp;RIGHT(U495,4))))</f>
        <v/>
      </c>
      <c r="AU495" s="173">
        <v>457</v>
      </c>
      <c r="AW495" s="142" t="s">
        <v>123</v>
      </c>
    </row>
    <row r="496" spans="2:49" s="142" customFormat="1" ht="21" customHeight="1" x14ac:dyDescent="0.25">
      <c r="B496" s="173" t="str">
        <f>IF(C496="HOLD RM","HOLD RM",IF(C496="BAL","WIP",IF(C496="HOLD SLT","HOLD SLT",IF(C496="MILL","RM",IF(C496="RE SLT","WIP",IF(C496="RM","RM",IF(C496="RM BAL","RM",IF(C496="RM SLT","RM",IF(C496="RR","WIP",IF(C496="SKP","WIP",IF(C496="SLT","WIP",IF(C496="CTL","WIP",IF(C496="RM SLT RUST","RM SLT RUST",0)))))))))))))&amp;"-"&amp;G496&amp;"/"&amp;IF(H496="2B","2B",IF(H496="NO.1","1D",IF(H496="FH","FH",0)))&amp;"-"&amp;IF(J496="",(TEXT(I496,"0.00")),TEXT(J496,"0.00"))&amp;"X"&amp;M496</f>
        <v>WIP-J3/FH-1.41X620</v>
      </c>
      <c r="C496" s="173" t="s">
        <v>16</v>
      </c>
      <c r="D496" s="173" t="s">
        <v>16</v>
      </c>
      <c r="E496" s="190" t="s">
        <v>1865</v>
      </c>
      <c r="F496" s="190" t="s">
        <v>1866</v>
      </c>
      <c r="G496" s="173" t="s">
        <v>34</v>
      </c>
      <c r="H496" s="173" t="s">
        <v>70</v>
      </c>
      <c r="I496" s="174">
        <v>2.4</v>
      </c>
      <c r="J496" s="174">
        <v>1.41</v>
      </c>
      <c r="K496" s="174"/>
      <c r="L496" s="174"/>
      <c r="M496" s="191">
        <v>620</v>
      </c>
      <c r="N496" s="176">
        <v>10.07</v>
      </c>
      <c r="O496" s="176" t="s">
        <v>114</v>
      </c>
      <c r="P496" s="177"/>
      <c r="Q496" s="178" t="s">
        <v>361</v>
      </c>
      <c r="R496" s="179"/>
      <c r="S496" s="179"/>
      <c r="T496" s="177">
        <v>44890</v>
      </c>
      <c r="U496" s="177"/>
      <c r="V496" s="177"/>
      <c r="W496" s="177">
        <v>44893</v>
      </c>
      <c r="X496" s="177"/>
      <c r="Y496" s="177"/>
      <c r="Z496" s="177"/>
      <c r="AA496" s="177"/>
      <c r="AB496" s="177"/>
      <c r="AC496" s="177"/>
      <c r="AD496" s="180"/>
      <c r="AE496" s="173" t="s">
        <v>69</v>
      </c>
      <c r="AF496" s="181" t="s">
        <v>1065</v>
      </c>
      <c r="AG496" s="192" t="s">
        <v>1799</v>
      </c>
      <c r="AH496" s="198">
        <v>44829</v>
      </c>
      <c r="AI496" s="181">
        <v>44866</v>
      </c>
      <c r="AJ496" s="181"/>
      <c r="AK496" s="181">
        <f ca="1">TODAY()</f>
        <v>44958</v>
      </c>
      <c r="AL496" s="173">
        <f ca="1">IF(AI496&lt;&gt;0,AK496-AI496,0)</f>
        <v>92</v>
      </c>
      <c r="AM496" s="173" t="str">
        <f>IF(ISNUMBER(X496)=TRUE,AK496-X496,IF(X496="","",(AK496)-(MID(RIGHT(X496,10),4,2)&amp;"/"&amp;LEFT((RIGHT(X496,10)),2)&amp;"/"&amp;RIGHT(X496,4))))</f>
        <v/>
      </c>
      <c r="AN496" s="181" t="s">
        <v>1840</v>
      </c>
      <c r="AO496" s="190" t="s">
        <v>1867</v>
      </c>
      <c r="AP496" s="176">
        <v>10.130000000000001</v>
      </c>
      <c r="AQ496" s="176">
        <v>10.17</v>
      </c>
      <c r="AR496" s="176">
        <v>10.194999999999999</v>
      </c>
      <c r="AS496" s="176">
        <v>10.199999999999999</v>
      </c>
      <c r="AT496" s="173" t="str">
        <f>IF(ISNUMBER(U496)=TRUE,AK496-U496,IF(U496="","",(AK496)-(MID(RIGHT(U496,10),4,2)&amp;"/"&amp;LEFT((RIGHT(U496,10)),2)&amp;"/"&amp;RIGHT(U496,4))))</f>
        <v/>
      </c>
      <c r="AU496" s="173">
        <v>457</v>
      </c>
      <c r="AW496" s="142" t="s">
        <v>123</v>
      </c>
    </row>
    <row r="497" spans="2:49" s="142" customFormat="1" ht="21" customHeight="1" x14ac:dyDescent="0.25">
      <c r="B497" s="173" t="str">
        <f>IF(C497="HOLD RM","HOLD RM",IF(C497="BAL","WIP",IF(C497="HOLD SLT","HOLD SLT",IF(C497="MILL","RM",IF(C497="RE SLT","WIP",IF(C497="RM","RM",IF(C497="RM BAL","RM",IF(C497="RM SLT","RM",IF(C497="RR","WIP",IF(C497="SKP","WIP",IF(C497="SLT","WIP",IF(C497="CTL","WIP",IF(C497="RM SLT RUST","RM SLT RUST",0)))))))))))))&amp;"-"&amp;G497&amp;"/"&amp;IF(H497="2B","2B",IF(H497="NO.1","1D",IF(H497="FH","FH",0)))&amp;"-"&amp;IF(J497="",(TEXT(I497,"0.00")),TEXT(J497,"0.00"))&amp;"X"&amp;M497</f>
        <v>RM-J3/1D-2.20X620</v>
      </c>
      <c r="C497" s="173" t="s">
        <v>13</v>
      </c>
      <c r="D497" s="173" t="s">
        <v>13</v>
      </c>
      <c r="E497" s="190" t="s">
        <v>1868</v>
      </c>
      <c r="F497" s="190" t="s">
        <v>1869</v>
      </c>
      <c r="G497" s="173" t="s">
        <v>34</v>
      </c>
      <c r="H497" s="173" t="s">
        <v>127</v>
      </c>
      <c r="I497" s="174">
        <v>2.2000000000000002</v>
      </c>
      <c r="J497" s="174"/>
      <c r="K497" s="174"/>
      <c r="L497" s="174"/>
      <c r="M497" s="191">
        <v>620</v>
      </c>
      <c r="N497" s="176">
        <v>10.044</v>
      </c>
      <c r="O497" s="176"/>
      <c r="P497" s="177"/>
      <c r="Q497" s="178"/>
      <c r="R497" s="179"/>
      <c r="S497" s="179"/>
      <c r="T497" s="177">
        <v>44953</v>
      </c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80"/>
      <c r="AE497" s="173" t="s">
        <v>69</v>
      </c>
      <c r="AF497" s="181" t="s">
        <v>1065</v>
      </c>
      <c r="AG497" s="192" t="s">
        <v>1799</v>
      </c>
      <c r="AH497" s="198">
        <v>44829</v>
      </c>
      <c r="AI497" s="181">
        <v>44866</v>
      </c>
      <c r="AJ497" s="181"/>
      <c r="AK497" s="181">
        <f ca="1">TODAY()</f>
        <v>44958</v>
      </c>
      <c r="AL497" s="173">
        <f ca="1">IF(AI497&lt;&gt;0,AK497-AI497,0)</f>
        <v>92</v>
      </c>
      <c r="AM497" s="173" t="str">
        <f>IF(ISNUMBER(X497)=TRUE,AK497-X497,IF(X497="","",(AK497)-(MID(RIGHT(X497,10),4,2)&amp;"/"&amp;LEFT((RIGHT(X497,10)),2)&amp;"/"&amp;RIGHT(X497,4))))</f>
        <v/>
      </c>
      <c r="AN497" s="181" t="s">
        <v>1846</v>
      </c>
      <c r="AO497" s="190" t="s">
        <v>1824</v>
      </c>
      <c r="AP497" s="176">
        <v>10.044</v>
      </c>
      <c r="AQ497" s="176">
        <v>10.084</v>
      </c>
      <c r="AR497" s="176">
        <v>10.108999999999998</v>
      </c>
      <c r="AS497" s="176">
        <v>10.113999999999999</v>
      </c>
      <c r="AT497" s="173" t="str">
        <f>IF(ISNUMBER(U497)=TRUE,AK497-U497,IF(U497="","",(AK497)-(MID(RIGHT(U497,10),4,2)&amp;"/"&amp;LEFT((RIGHT(U497,10)),2)&amp;"/"&amp;RIGHT(U497,4))))</f>
        <v/>
      </c>
      <c r="AU497" s="173">
        <v>457</v>
      </c>
      <c r="AW497" s="142" t="s">
        <v>123</v>
      </c>
    </row>
    <row r="498" spans="2:49" s="142" customFormat="1" ht="21" customHeight="1" x14ac:dyDescent="0.25">
      <c r="B498" s="173" t="str">
        <f>IF(C498="HOLD RM","HOLD RM",IF(C498="BAL","WIP",IF(C498="HOLD SLT","HOLD SLT",IF(C498="MILL","RM",IF(C498="RE SLT","WIP",IF(C498="RM","RM",IF(C498="RM BAL","RM",IF(C498="RM SLT","RM",IF(C498="RR","WIP",IF(C498="SKP","WIP",IF(C498="SLT","WIP",IF(C498="CTL","WIP",IF(C498="RM SLT RUST","RM SLT RUST",0)))))))))))))&amp;"-"&amp;G498&amp;"/"&amp;IF(H498="2B","2B",IF(H498="NO.1","1D",IF(H498="FH","FH",0)))&amp;"-"&amp;IF(J498="",(TEXT(I498,"0.00")),TEXT(J498,"0.00"))&amp;"X"&amp;M498</f>
        <v>WIP-J3/FH-0.73X620</v>
      </c>
      <c r="C498" s="173" t="s">
        <v>16</v>
      </c>
      <c r="D498" s="173" t="s">
        <v>16</v>
      </c>
      <c r="E498" s="190" t="s">
        <v>1868</v>
      </c>
      <c r="F498" s="190" t="s">
        <v>1870</v>
      </c>
      <c r="G498" s="173" t="s">
        <v>34</v>
      </c>
      <c r="H498" s="173" t="s">
        <v>70</v>
      </c>
      <c r="I498" s="174">
        <v>2.2000000000000002</v>
      </c>
      <c r="J498" s="174">
        <v>0.73</v>
      </c>
      <c r="K498" s="174"/>
      <c r="L498" s="174"/>
      <c r="M498" s="191">
        <v>620</v>
      </c>
      <c r="N498" s="176">
        <v>10.066000000000001</v>
      </c>
      <c r="O498" s="176" t="s">
        <v>114</v>
      </c>
      <c r="P498" s="177"/>
      <c r="Q498" s="178" t="s">
        <v>361</v>
      </c>
      <c r="R498" s="179"/>
      <c r="S498" s="179"/>
      <c r="T498" s="177">
        <v>44880</v>
      </c>
      <c r="U498" s="177">
        <v>44947</v>
      </c>
      <c r="V498" s="177"/>
      <c r="W498" s="177">
        <v>44883</v>
      </c>
      <c r="X498" s="177"/>
      <c r="Y498" s="177"/>
      <c r="Z498" s="177"/>
      <c r="AA498" s="177"/>
      <c r="AB498" s="177"/>
      <c r="AC498" s="177"/>
      <c r="AD498" s="180"/>
      <c r="AE498" s="173" t="s">
        <v>69</v>
      </c>
      <c r="AF498" s="181" t="s">
        <v>1065</v>
      </c>
      <c r="AG498" s="192" t="s">
        <v>1799</v>
      </c>
      <c r="AH498" s="198">
        <v>44829</v>
      </c>
      <c r="AI498" s="181">
        <v>44866</v>
      </c>
      <c r="AJ498" s="181"/>
      <c r="AK498" s="181">
        <f ca="1">TODAY()</f>
        <v>44958</v>
      </c>
      <c r="AL498" s="173">
        <f ca="1">IF(AI498&lt;&gt;0,AK498-AI498,0)</f>
        <v>92</v>
      </c>
      <c r="AM498" s="173" t="str">
        <f>IF(ISNUMBER(X498)=TRUE,AK498-X498,IF(X498="","",(AK498)-(MID(RIGHT(X498,10),4,2)&amp;"/"&amp;LEFT((RIGHT(X498,10)),2)&amp;"/"&amp;RIGHT(X498,4))))</f>
        <v/>
      </c>
      <c r="AN498" s="181" t="s">
        <v>1846</v>
      </c>
      <c r="AO498" s="190" t="s">
        <v>1824</v>
      </c>
      <c r="AP498" s="176">
        <v>10.066000000000001</v>
      </c>
      <c r="AQ498" s="176">
        <v>10.106</v>
      </c>
      <c r="AR498" s="176">
        <v>10.130999999999998</v>
      </c>
      <c r="AS498" s="176">
        <v>10.135999999999999</v>
      </c>
      <c r="AT498" s="173">
        <f ca="1">IF(ISNUMBER(U498)=TRUE,AK498-U498,IF(U498="","",(AK498)-(MID(RIGHT(U498,10),4,2)&amp;"/"&amp;LEFT((RIGHT(U498,10)),2)&amp;"/"&amp;RIGHT(U498,4))))</f>
        <v>11</v>
      </c>
      <c r="AU498" s="173">
        <v>457</v>
      </c>
      <c r="AW498" s="142" t="s">
        <v>123</v>
      </c>
    </row>
    <row r="499" spans="2:49" s="142" customFormat="1" ht="21" customHeight="1" x14ac:dyDescent="0.25">
      <c r="B499" s="173" t="str">
        <f>IF(C499="HOLD RM","HOLD RM",IF(C499="BAL","WIP",IF(C499="HOLD SLT","HOLD SLT",IF(C499="MILL","RM",IF(C499="RE SLT","WIP",IF(C499="RM","RM",IF(C499="RM BAL","RM",IF(C499="RM SLT","RM",IF(C499="RR","WIP",IF(C499="SKP","WIP",IF(C499="SLT","WIP",IF(C499="CTL","WIP",IF(C499="RM SLT RUST","RM SLT RUST",0)))))))))))))&amp;"-"&amp;G499&amp;"/"&amp;IF(H499="2B","2B",IF(H499="NO.1","1D",IF(H499="FH","FH",0)))&amp;"-"&amp;IF(J499="",(TEXT(I499,"0.00")),TEXT(J499,"0.00"))&amp;"X"&amp;M499</f>
        <v>WIP-J3/2B-0.97X620</v>
      </c>
      <c r="C499" s="173" t="s">
        <v>18</v>
      </c>
      <c r="D499" s="173" t="s">
        <v>836</v>
      </c>
      <c r="E499" s="190" t="s">
        <v>1871</v>
      </c>
      <c r="F499" s="190" t="s">
        <v>1872</v>
      </c>
      <c r="G499" s="173" t="s">
        <v>34</v>
      </c>
      <c r="H499" s="173" t="s">
        <v>114</v>
      </c>
      <c r="I499" s="174">
        <v>2.4</v>
      </c>
      <c r="J499" s="174">
        <v>0.97</v>
      </c>
      <c r="K499" s="174">
        <v>0.95</v>
      </c>
      <c r="L499" s="174">
        <v>0.97</v>
      </c>
      <c r="M499" s="191">
        <v>620</v>
      </c>
      <c r="N499" s="176">
        <v>3.24</v>
      </c>
      <c r="O499" s="176" t="s">
        <v>114</v>
      </c>
      <c r="P499" s="177"/>
      <c r="Q499" s="178" t="s">
        <v>805</v>
      </c>
      <c r="R499" s="179"/>
      <c r="S499" s="179"/>
      <c r="T499" s="177">
        <v>44897</v>
      </c>
      <c r="U499" s="177"/>
      <c r="V499" s="177"/>
      <c r="W499" s="177">
        <v>44900</v>
      </c>
      <c r="X499" s="177">
        <v>44901</v>
      </c>
      <c r="Y499" s="177"/>
      <c r="Z499" s="177">
        <v>44900</v>
      </c>
      <c r="AA499" s="177"/>
      <c r="AB499" s="177"/>
      <c r="AC499" s="177"/>
      <c r="AD499" s="180"/>
      <c r="AE499" s="173" t="s">
        <v>69</v>
      </c>
      <c r="AF499" s="181" t="s">
        <v>1065</v>
      </c>
      <c r="AG499" s="192" t="s">
        <v>1799</v>
      </c>
      <c r="AH499" s="198">
        <v>44829</v>
      </c>
      <c r="AI499" s="181">
        <v>44866</v>
      </c>
      <c r="AJ499" s="181"/>
      <c r="AK499" s="181">
        <f ca="1">TODAY()</f>
        <v>44958</v>
      </c>
      <c r="AL499" s="173">
        <f ca="1">IF(AI499&lt;&gt;0,AK499-AI499,0)</f>
        <v>92</v>
      </c>
      <c r="AM499" s="173">
        <f ca="1">IF(ISNUMBER(X499)=TRUE,AK499-X499,IF(X499="","",(AK499)-(MID(RIGHT(X499,10),4,2)&amp;"/"&amp;LEFT((RIGHT(X499,10)),2)&amp;"/"&amp;RIGHT(X499,4))))</f>
        <v>57</v>
      </c>
      <c r="AN499" s="181" t="s">
        <v>1849</v>
      </c>
      <c r="AO499" s="190" t="s">
        <v>1873</v>
      </c>
      <c r="AP499" s="176">
        <v>10.102</v>
      </c>
      <c r="AQ499" s="176">
        <v>10.141999999999999</v>
      </c>
      <c r="AR499" s="176">
        <v>10.166999999999998</v>
      </c>
      <c r="AS499" s="176">
        <v>10.171999999999999</v>
      </c>
      <c r="AT499" s="173" t="str">
        <f>IF(ISNUMBER(U499)=TRUE,AK499-U499,IF(U499="","",(AK499)-(MID(RIGHT(U499,10),4,2)&amp;"/"&amp;LEFT((RIGHT(U499,10)),2)&amp;"/"&amp;RIGHT(U499,4))))</f>
        <v/>
      </c>
      <c r="AU499" s="173">
        <v>457</v>
      </c>
      <c r="AW499" s="142" t="s">
        <v>123</v>
      </c>
    </row>
    <row r="500" spans="2:49" s="142" customFormat="1" ht="21" customHeight="1" x14ac:dyDescent="0.25">
      <c r="B500" s="173" t="str">
        <f>IF(C500="HOLD RM","HOLD RM",IF(C500="BAL","WIP",IF(C500="HOLD SLT","HOLD SLT",IF(C500="MILL","RM",IF(C500="RE SLT","WIP",IF(C500="RM","RM",IF(C500="RM BAL","RM",IF(C500="RM SLT","RM",IF(C500="RR","WIP",IF(C500="SKP","WIP",IF(C500="SLT","WIP",IF(C500="CTL","WIP",IF(C500="RM SLT RUST","RM SLT RUST",0)))))))))))))&amp;"-"&amp;G500&amp;"/"&amp;IF(H500="2B","2B",IF(H500="NO.1","1D",IF(H500="FH","FH",0)))&amp;"-"&amp;IF(J500="",(TEXT(I500,"0.00")),TEXT(J500,"0.00"))&amp;"X"&amp;M500</f>
        <v>RM-J3/1D-2.40X660</v>
      </c>
      <c r="C500" s="173" t="s">
        <v>48</v>
      </c>
      <c r="D500" s="173" t="s">
        <v>48</v>
      </c>
      <c r="E500" s="190" t="s">
        <v>1874</v>
      </c>
      <c r="F500" s="190" t="s">
        <v>1875</v>
      </c>
      <c r="G500" s="173" t="s">
        <v>34</v>
      </c>
      <c r="H500" s="173" t="s">
        <v>127</v>
      </c>
      <c r="I500" s="174">
        <v>2.4</v>
      </c>
      <c r="J500" s="174"/>
      <c r="K500" s="174"/>
      <c r="L500" s="174"/>
      <c r="M500" s="191">
        <v>660</v>
      </c>
      <c r="N500" s="176">
        <v>10.845000000000001</v>
      </c>
      <c r="O500" s="176"/>
      <c r="P500" s="177"/>
      <c r="Q500" s="178"/>
      <c r="R500" s="179"/>
      <c r="S500" s="179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80"/>
      <c r="AE500" s="173" t="s">
        <v>69</v>
      </c>
      <c r="AF500" s="181" t="s">
        <v>1065</v>
      </c>
      <c r="AG500" s="192" t="s">
        <v>1799</v>
      </c>
      <c r="AH500" s="198">
        <v>44829</v>
      </c>
      <c r="AI500" s="181">
        <v>44866</v>
      </c>
      <c r="AJ500" s="181"/>
      <c r="AK500" s="181">
        <f ca="1">TODAY()</f>
        <v>44958</v>
      </c>
      <c r="AL500" s="173">
        <f ca="1">IF(AI500&lt;&gt;0,AK500-AI500,0)</f>
        <v>92</v>
      </c>
      <c r="AM500" s="173" t="str">
        <f>IF(ISNUMBER(X500)=TRUE,AK500-X500,IF(X500="","",(AK500)-(MID(RIGHT(X500,10),4,2)&amp;"/"&amp;LEFT((RIGHT(X500,10)),2)&amp;"/"&amp;RIGHT(X500,4))))</f>
        <v/>
      </c>
      <c r="AN500" s="181" t="s">
        <v>1855</v>
      </c>
      <c r="AO500" s="190" t="s">
        <v>1876</v>
      </c>
      <c r="AP500" s="176">
        <v>10.845000000000001</v>
      </c>
      <c r="AQ500" s="176">
        <v>10.885</v>
      </c>
      <c r="AR500" s="176">
        <v>10.909999999999998</v>
      </c>
      <c r="AS500" s="176">
        <v>10.914999999999999</v>
      </c>
      <c r="AT500" s="173" t="str">
        <f>IF(ISNUMBER(U500)=TRUE,AK500-U500,IF(U500="","",(AK500)-(MID(RIGHT(U500,10),4,2)&amp;"/"&amp;LEFT((RIGHT(U500,10)),2)&amp;"/"&amp;RIGHT(U500,4))))</f>
        <v/>
      </c>
      <c r="AU500" s="173">
        <v>457</v>
      </c>
      <c r="AW500" s="142" t="s">
        <v>123</v>
      </c>
    </row>
    <row r="501" spans="2:49" s="142" customFormat="1" ht="21" customHeight="1" x14ac:dyDescent="0.25">
      <c r="B501" s="173" t="str">
        <f>IF(C501="HOLD RM","HOLD RM",IF(C501="BAL","WIP",IF(C501="HOLD SLT","HOLD SLT",IF(C501="MILL","RM",IF(C501="RE SLT","WIP",IF(C501="RM","RM",IF(C501="RM BAL","RM",IF(C501="RM SLT","RM",IF(C501="RR","WIP",IF(C501="SKP","WIP",IF(C501="SLT","WIP",IF(C501="CTL","WIP",IF(C501="RM SLT RUST","RM SLT RUST",0)))))))))))))&amp;"-"&amp;G501&amp;"/"&amp;IF(H501="2B","2B",IF(H501="NO.1","1D",IF(H501="FH","FH",0)))&amp;"-"&amp;IF(J501="",(TEXT(I501,"0.00")),TEXT(J501,"0.00"))&amp;"X"&amp;M501</f>
        <v>RM-J3/1D-2.40X660</v>
      </c>
      <c r="C501" s="173" t="s">
        <v>48</v>
      </c>
      <c r="D501" s="173" t="s">
        <v>48</v>
      </c>
      <c r="E501" s="190" t="s">
        <v>1877</v>
      </c>
      <c r="F501" s="190" t="s">
        <v>1878</v>
      </c>
      <c r="G501" s="173" t="s">
        <v>34</v>
      </c>
      <c r="H501" s="173" t="s">
        <v>127</v>
      </c>
      <c r="I501" s="174">
        <v>2.4</v>
      </c>
      <c r="J501" s="174"/>
      <c r="K501" s="174"/>
      <c r="L501" s="174"/>
      <c r="M501" s="191">
        <v>660</v>
      </c>
      <c r="N501" s="176">
        <v>10.925000000000001</v>
      </c>
      <c r="O501" s="176"/>
      <c r="P501" s="177"/>
      <c r="Q501" s="178"/>
      <c r="R501" s="179"/>
      <c r="S501" s="179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80"/>
      <c r="AE501" s="173" t="s">
        <v>69</v>
      </c>
      <c r="AF501" s="181" t="s">
        <v>1065</v>
      </c>
      <c r="AG501" s="192" t="s">
        <v>1799</v>
      </c>
      <c r="AH501" s="198">
        <v>44829</v>
      </c>
      <c r="AI501" s="181">
        <v>44866</v>
      </c>
      <c r="AJ501" s="181"/>
      <c r="AK501" s="181">
        <f ca="1">TODAY()</f>
        <v>44958</v>
      </c>
      <c r="AL501" s="173">
        <f ca="1">IF(AI501&lt;&gt;0,AK501-AI501,0)</f>
        <v>92</v>
      </c>
      <c r="AM501" s="173" t="str">
        <f>IF(ISNUMBER(X501)=TRUE,AK501-X501,IF(X501="","",(AK501)-(MID(RIGHT(X501,10),4,2)&amp;"/"&amp;LEFT((RIGHT(X501,10)),2)&amp;"/"&amp;RIGHT(X501,4))))</f>
        <v/>
      </c>
      <c r="AN501" s="181" t="s">
        <v>1855</v>
      </c>
      <c r="AO501" s="190" t="s">
        <v>1876</v>
      </c>
      <c r="AP501" s="176">
        <v>10.925000000000001</v>
      </c>
      <c r="AQ501" s="176">
        <v>10.965</v>
      </c>
      <c r="AR501" s="176">
        <v>10.989999999999998</v>
      </c>
      <c r="AS501" s="176">
        <v>10.994999999999999</v>
      </c>
      <c r="AT501" s="173" t="str">
        <f>IF(ISNUMBER(U501)=TRUE,AK501-U501,IF(U501="","",(AK501)-(MID(RIGHT(U501,10),4,2)&amp;"/"&amp;LEFT((RIGHT(U501,10)),2)&amp;"/"&amp;RIGHT(U501,4))))</f>
        <v/>
      </c>
      <c r="AU501" s="173">
        <v>457</v>
      </c>
      <c r="AW501" s="142" t="s">
        <v>123</v>
      </c>
    </row>
    <row r="502" spans="2:49" s="142" customFormat="1" ht="21" customHeight="1" x14ac:dyDescent="0.25">
      <c r="B502" s="173" t="str">
        <f>IF(C502="HOLD RM","HOLD RM",IF(C502="BAL","WIP",IF(C502="HOLD SLT","HOLD SLT",IF(C502="MILL","RM",IF(C502="RE SLT","WIP",IF(C502="RM","RM",IF(C502="RM BAL","RM",IF(C502="RM SLT","RM",IF(C502="RR","WIP",IF(C502="SKP","WIP",IF(C502="SLT","WIP",IF(C502="CTL","WIP",IF(C502="RM SLT RUST","RM SLT RUST",0)))))))))))))&amp;"-"&amp;G502&amp;"/"&amp;IF(H502="2B","2B",IF(H502="NO.1","1D",IF(H502="FH","FH",0)))&amp;"-"&amp;IF(J502="",(TEXT(I502,"0.00")),TEXT(J502,"0.00"))&amp;"X"&amp;M502</f>
        <v>RM-304L/1D-2.89X642</v>
      </c>
      <c r="C502" s="173" t="s">
        <v>48</v>
      </c>
      <c r="D502" s="173" t="s">
        <v>48</v>
      </c>
      <c r="E502" s="190" t="s">
        <v>1879</v>
      </c>
      <c r="F502" s="190" t="s">
        <v>1880</v>
      </c>
      <c r="G502" s="173" t="s">
        <v>182</v>
      </c>
      <c r="H502" s="173" t="s">
        <v>127</v>
      </c>
      <c r="I502" s="174">
        <v>2.89</v>
      </c>
      <c r="J502" s="174"/>
      <c r="K502" s="174"/>
      <c r="L502" s="174"/>
      <c r="M502" s="191">
        <v>642</v>
      </c>
      <c r="N502" s="176">
        <v>9.0449999999999999</v>
      </c>
      <c r="O502" s="176"/>
      <c r="P502" s="177"/>
      <c r="Q502" s="178"/>
      <c r="R502" s="179"/>
      <c r="S502" s="179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80" t="s">
        <v>1881</v>
      </c>
      <c r="AE502" s="173" t="s">
        <v>69</v>
      </c>
      <c r="AF502" s="181" t="s">
        <v>142</v>
      </c>
      <c r="AG502" s="192" t="s">
        <v>1653</v>
      </c>
      <c r="AH502" s="198"/>
      <c r="AI502" s="181">
        <v>44880</v>
      </c>
      <c r="AJ502" s="181"/>
      <c r="AK502" s="181">
        <f ca="1">TODAY()</f>
        <v>44958</v>
      </c>
      <c r="AL502" s="173">
        <f ca="1">IF(AI502&lt;&gt;0,AK502-AI502,0)</f>
        <v>78</v>
      </c>
      <c r="AM502" s="173" t="str">
        <f>IF(ISNUMBER(X502)=TRUE,AK502-X502,IF(X502="","",(AK502)-(MID(RIGHT(X502,10),4,2)&amp;"/"&amp;LEFT((RIGHT(X502,10)),2)&amp;"/"&amp;RIGHT(X502,4))))</f>
        <v/>
      </c>
      <c r="AN502" s="181"/>
      <c r="AO502" s="190" t="s">
        <v>1882</v>
      </c>
      <c r="AP502" s="176">
        <v>9.0449999999999999</v>
      </c>
      <c r="AQ502" s="176">
        <v>9.0549999999999997</v>
      </c>
      <c r="AR502" s="176">
        <v>9.0799999999999983</v>
      </c>
      <c r="AS502" s="176">
        <v>9.0849999999999991</v>
      </c>
      <c r="AT502" s="173" t="str">
        <f>IF(ISNUMBER(U502)=TRUE,AK502-U502,IF(U502="","",(AK502)-(MID(RIGHT(U502,10),4,2)&amp;"/"&amp;LEFT((RIGHT(U502,10)),2)&amp;"/"&amp;RIGHT(U502,4))))</f>
        <v/>
      </c>
      <c r="AU502" s="173">
        <v>459</v>
      </c>
      <c r="AW502" s="142" t="s">
        <v>123</v>
      </c>
    </row>
    <row r="503" spans="2:49" s="142" customFormat="1" ht="21" customHeight="1" x14ac:dyDescent="0.25">
      <c r="B503" s="173" t="str">
        <f>IF(C503="HOLD RM","HOLD RM",IF(C503="BAL","WIP",IF(C503="HOLD SLT","HOLD SLT",IF(C503="MILL","RM",IF(C503="RE SLT","WIP",IF(C503="RM","RM",IF(C503="RM BAL","RM",IF(C503="RM SLT","RM",IF(C503="RR","WIP",IF(C503="SKP","WIP",IF(C503="SLT","WIP",IF(C503="CTL","WIP",IF(C503="RM SLT RUST","RM SLT RUST",0)))))))))))))&amp;"-"&amp;G503&amp;"/"&amp;IF(H503="2B","2B",IF(H503="NO.1","1D",IF(H503="FH","FH",0)))&amp;"-"&amp;IF(J503="",(TEXT(I503,"0.00")),TEXT(J503,"0.00"))&amp;"X"&amp;M503</f>
        <v>RM-304L/1D-2.90X642</v>
      </c>
      <c r="C503" s="173" t="s">
        <v>48</v>
      </c>
      <c r="D503" s="173" t="s">
        <v>48</v>
      </c>
      <c r="E503" s="190" t="s">
        <v>1883</v>
      </c>
      <c r="F503" s="190" t="s">
        <v>1884</v>
      </c>
      <c r="G503" s="173" t="s">
        <v>182</v>
      </c>
      <c r="H503" s="173" t="s">
        <v>127</v>
      </c>
      <c r="I503" s="174">
        <v>2.9</v>
      </c>
      <c r="J503" s="174"/>
      <c r="K503" s="174"/>
      <c r="L503" s="174"/>
      <c r="M503" s="191">
        <v>642</v>
      </c>
      <c r="N503" s="176">
        <v>9.0649999999999995</v>
      </c>
      <c r="O503" s="176"/>
      <c r="P503" s="177"/>
      <c r="Q503" s="178"/>
      <c r="R503" s="179"/>
      <c r="S503" s="179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80" t="s">
        <v>1881</v>
      </c>
      <c r="AE503" s="173" t="s">
        <v>69</v>
      </c>
      <c r="AF503" s="181" t="s">
        <v>142</v>
      </c>
      <c r="AG503" s="192" t="s">
        <v>1653</v>
      </c>
      <c r="AH503" s="198"/>
      <c r="AI503" s="181">
        <v>44880</v>
      </c>
      <c r="AJ503" s="181"/>
      <c r="AK503" s="181">
        <f ca="1">TODAY()</f>
        <v>44958</v>
      </c>
      <c r="AL503" s="173">
        <f ca="1">IF(AI503&lt;&gt;0,AK503-AI503,0)</f>
        <v>78</v>
      </c>
      <c r="AM503" s="173" t="str">
        <f>IF(ISNUMBER(X503)=TRUE,AK503-X503,IF(X503="","",(AK503)-(MID(RIGHT(X503,10),4,2)&amp;"/"&amp;LEFT((RIGHT(X503,10)),2)&amp;"/"&amp;RIGHT(X503,4))))</f>
        <v/>
      </c>
      <c r="AN503" s="181"/>
      <c r="AO503" s="190" t="s">
        <v>1882</v>
      </c>
      <c r="AP503" s="176">
        <v>9.0649999999999995</v>
      </c>
      <c r="AQ503" s="176">
        <v>9.0749999999999993</v>
      </c>
      <c r="AR503" s="176">
        <v>9.0999999999999979</v>
      </c>
      <c r="AS503" s="176">
        <v>9.1049999999999986</v>
      </c>
      <c r="AT503" s="173" t="str">
        <f>IF(ISNUMBER(U503)=TRUE,AK503-U503,IF(U503="","",(AK503)-(MID(RIGHT(U503,10),4,2)&amp;"/"&amp;LEFT((RIGHT(U503,10)),2)&amp;"/"&amp;RIGHT(U503,4))))</f>
        <v/>
      </c>
      <c r="AU503" s="173">
        <v>459</v>
      </c>
      <c r="AW503" s="142" t="s">
        <v>123</v>
      </c>
    </row>
    <row r="504" spans="2:49" s="142" customFormat="1" ht="21" customHeight="1" x14ac:dyDescent="0.25">
      <c r="B504" s="173" t="str">
        <f>IF(C504="HOLD RM","HOLD RM",IF(C504="BAL","WIP",IF(C504="HOLD SLT","HOLD SLT",IF(C504="MILL","RM",IF(C504="RE SLT","WIP",IF(C504="RM","RM",IF(C504="RM BAL","RM",IF(C504="RM SLT","RM",IF(C504="RR","WIP",IF(C504="SKP","WIP",IF(C504="SLT","WIP",IF(C504="CTL","WIP",IF(C504="RM SLT RUST","RM SLT RUST",0)))))))))))))&amp;"-"&amp;G504&amp;"/"&amp;IF(H504="2B","2B",IF(H504="NO.1","1D",IF(H504="FH","FH",0)))&amp;"-"&amp;IF(J504="",(TEXT(I504,"0.00")),TEXT(J504,"0.00"))&amp;"X"&amp;M504</f>
        <v>RM-304/1D-2.88X643</v>
      </c>
      <c r="C504" s="173" t="s">
        <v>48</v>
      </c>
      <c r="D504" s="173" t="s">
        <v>48</v>
      </c>
      <c r="E504" s="190" t="s">
        <v>1885</v>
      </c>
      <c r="F504" s="190" t="s">
        <v>1886</v>
      </c>
      <c r="G504" s="173">
        <v>304</v>
      </c>
      <c r="H504" s="173" t="s">
        <v>127</v>
      </c>
      <c r="I504" s="174">
        <v>2.88</v>
      </c>
      <c r="J504" s="174"/>
      <c r="K504" s="174"/>
      <c r="L504" s="174"/>
      <c r="M504" s="191">
        <v>643</v>
      </c>
      <c r="N504" s="176">
        <v>8.7750000000000004</v>
      </c>
      <c r="O504" s="176"/>
      <c r="P504" s="177"/>
      <c r="Q504" s="178"/>
      <c r="R504" s="179"/>
      <c r="S504" s="179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80" t="s">
        <v>1881</v>
      </c>
      <c r="AE504" s="173" t="s">
        <v>69</v>
      </c>
      <c r="AF504" s="181" t="s">
        <v>142</v>
      </c>
      <c r="AG504" s="192" t="s">
        <v>1887</v>
      </c>
      <c r="AH504" s="198"/>
      <c r="AI504" s="181">
        <v>44880</v>
      </c>
      <c r="AJ504" s="181"/>
      <c r="AK504" s="181">
        <f ca="1">TODAY()</f>
        <v>44958</v>
      </c>
      <c r="AL504" s="173">
        <f ca="1">IF(AI504&lt;&gt;0,AK504-AI504,0)</f>
        <v>78</v>
      </c>
      <c r="AM504" s="173" t="str">
        <f>IF(ISNUMBER(X504)=TRUE,AK504-X504,IF(X504="","",(AK504)-(MID(RIGHT(X504,10),4,2)&amp;"/"&amp;LEFT((RIGHT(X504,10)),2)&amp;"/"&amp;RIGHT(X504,4))))</f>
        <v/>
      </c>
      <c r="AN504" s="181"/>
      <c r="AO504" s="190" t="s">
        <v>1888</v>
      </c>
      <c r="AP504" s="176">
        <v>8.7750000000000004</v>
      </c>
      <c r="AQ504" s="176">
        <v>8.7850000000000001</v>
      </c>
      <c r="AR504" s="176">
        <v>8.8099999999999987</v>
      </c>
      <c r="AS504" s="176">
        <v>8.8149999999999995</v>
      </c>
      <c r="AT504" s="173" t="str">
        <f>IF(ISNUMBER(U504)=TRUE,AK504-U504,IF(U504="","",(AK504)-(MID(RIGHT(U504,10),4,2)&amp;"/"&amp;LEFT((RIGHT(U504,10)),2)&amp;"/"&amp;RIGHT(U504,4))))</f>
        <v/>
      </c>
      <c r="AU504" s="173">
        <v>459</v>
      </c>
      <c r="AW504" s="142" t="s">
        <v>123</v>
      </c>
    </row>
    <row r="505" spans="2:49" s="142" customFormat="1" ht="21" customHeight="1" x14ac:dyDescent="0.25">
      <c r="B505" s="173" t="str">
        <f>IF(C505="HOLD RM","HOLD RM",IF(C505="BAL","WIP",IF(C505="HOLD SLT","HOLD SLT",IF(C505="MILL","RM",IF(C505="RE SLT","WIP",IF(C505="RM","RM",IF(C505="RM BAL","RM",IF(C505="RM SLT","RM",IF(C505="RR","WIP",IF(C505="SKP","WIP",IF(C505="SLT","WIP",IF(C505="CTL","WIP",IF(C505="RM SLT RUST","RM SLT RUST",0)))))))))))))&amp;"-"&amp;G505&amp;"/"&amp;IF(H505="2B","2B",IF(H505="NO.1","1D",IF(H505="FH","FH",0)))&amp;"-"&amp;IF(J505="",(TEXT(I505,"0.00")),TEXT(J505,"0.00"))&amp;"X"&amp;M505</f>
        <v>RM-304/1D-2.88X643</v>
      </c>
      <c r="C505" s="173" t="s">
        <v>48</v>
      </c>
      <c r="D505" s="173" t="s">
        <v>48</v>
      </c>
      <c r="E505" s="190" t="s">
        <v>1889</v>
      </c>
      <c r="F505" s="190" t="s">
        <v>1890</v>
      </c>
      <c r="G505" s="173">
        <v>304</v>
      </c>
      <c r="H505" s="173" t="s">
        <v>127</v>
      </c>
      <c r="I505" s="174">
        <v>2.88</v>
      </c>
      <c r="J505" s="174"/>
      <c r="K505" s="174"/>
      <c r="L505" s="174"/>
      <c r="M505" s="191">
        <v>643</v>
      </c>
      <c r="N505" s="176">
        <v>8.8049999999999997</v>
      </c>
      <c r="O505" s="176"/>
      <c r="P505" s="177"/>
      <c r="Q505" s="178"/>
      <c r="R505" s="179"/>
      <c r="S505" s="179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80" t="s">
        <v>1881</v>
      </c>
      <c r="AE505" s="173" t="s">
        <v>69</v>
      </c>
      <c r="AF505" s="181" t="s">
        <v>142</v>
      </c>
      <c r="AG505" s="192" t="s">
        <v>1887</v>
      </c>
      <c r="AH505" s="198"/>
      <c r="AI505" s="181">
        <v>44880</v>
      </c>
      <c r="AJ505" s="181"/>
      <c r="AK505" s="181">
        <f ca="1">TODAY()</f>
        <v>44958</v>
      </c>
      <c r="AL505" s="173">
        <f ca="1">IF(AI505&lt;&gt;0,AK505-AI505,0)</f>
        <v>78</v>
      </c>
      <c r="AM505" s="173" t="str">
        <f>IF(ISNUMBER(X505)=TRUE,AK505-X505,IF(X505="","",(AK505)-(MID(RIGHT(X505,10),4,2)&amp;"/"&amp;LEFT((RIGHT(X505,10)),2)&amp;"/"&amp;RIGHT(X505,4))))</f>
        <v/>
      </c>
      <c r="AN505" s="181"/>
      <c r="AO505" s="190" t="s">
        <v>1888</v>
      </c>
      <c r="AP505" s="176">
        <v>8.8049999999999997</v>
      </c>
      <c r="AQ505" s="176">
        <v>8.8149999999999995</v>
      </c>
      <c r="AR505" s="176">
        <v>8.8399999999999981</v>
      </c>
      <c r="AS505" s="176">
        <v>8.8449999999999989</v>
      </c>
      <c r="AT505" s="173" t="str">
        <f>IF(ISNUMBER(U505)=TRUE,AK505-U505,IF(U505="","",(AK505)-(MID(RIGHT(U505,10),4,2)&amp;"/"&amp;LEFT((RIGHT(U505,10)),2)&amp;"/"&amp;RIGHT(U505,4))))</f>
        <v/>
      </c>
      <c r="AU505" s="173">
        <v>459</v>
      </c>
      <c r="AW505" s="142" t="s">
        <v>123</v>
      </c>
    </row>
    <row r="506" spans="2:49" s="142" customFormat="1" ht="21" customHeight="1" x14ac:dyDescent="0.25">
      <c r="B506" s="173" t="str">
        <f>IF(C506="HOLD RM","HOLD RM",IF(C506="BAL","WIP",IF(C506="HOLD SLT","HOLD SLT",IF(C506="MILL","RM",IF(C506="RE SLT","WIP",IF(C506="RM","RM",IF(C506="RM BAL","RM",IF(C506="RM SLT","RM",IF(C506="RR","WIP",IF(C506="SKP","WIP",IF(C506="SLT","WIP",IF(C506="CTL","WIP",IF(C506="RM SLT RUST","RM SLT RUST",0)))))))))))))&amp;"-"&amp;G506&amp;"/"&amp;IF(H506="2B","2B",IF(H506="NO.1","1D",IF(H506="FH","FH",0)))&amp;"-"&amp;IF(J506="",(TEXT(I506,"0.00")),TEXT(J506,"0.00"))&amp;"X"&amp;M506</f>
        <v>RM-304L/1D-2.90X643</v>
      </c>
      <c r="C506" s="173" t="s">
        <v>48</v>
      </c>
      <c r="D506" s="173" t="s">
        <v>48</v>
      </c>
      <c r="E506" s="190" t="s">
        <v>1891</v>
      </c>
      <c r="F506" s="190" t="s">
        <v>1892</v>
      </c>
      <c r="G506" s="173" t="s">
        <v>182</v>
      </c>
      <c r="H506" s="173" t="s">
        <v>127</v>
      </c>
      <c r="I506" s="174">
        <v>2.9</v>
      </c>
      <c r="J506" s="174"/>
      <c r="K506" s="174"/>
      <c r="L506" s="174"/>
      <c r="M506" s="191">
        <v>643</v>
      </c>
      <c r="N506" s="176">
        <v>10.414999999999999</v>
      </c>
      <c r="O506" s="176"/>
      <c r="P506" s="177"/>
      <c r="Q506" s="178"/>
      <c r="R506" s="179"/>
      <c r="S506" s="179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80" t="s">
        <v>1881</v>
      </c>
      <c r="AE506" s="173" t="s">
        <v>69</v>
      </c>
      <c r="AF506" s="181" t="s">
        <v>142</v>
      </c>
      <c r="AG506" s="192" t="s">
        <v>1887</v>
      </c>
      <c r="AH506" s="198"/>
      <c r="AI506" s="181">
        <v>44880</v>
      </c>
      <c r="AJ506" s="181"/>
      <c r="AK506" s="181">
        <f ca="1">TODAY()</f>
        <v>44958</v>
      </c>
      <c r="AL506" s="173">
        <f ca="1">IF(AI506&lt;&gt;0,AK506-AI506,0)</f>
        <v>78</v>
      </c>
      <c r="AM506" s="173" t="str">
        <f>IF(ISNUMBER(X506)=TRUE,AK506-X506,IF(X506="","",(AK506)-(MID(RIGHT(X506,10),4,2)&amp;"/"&amp;LEFT((RIGHT(X506,10)),2)&amp;"/"&amp;RIGHT(X506,4))))</f>
        <v/>
      </c>
      <c r="AN506" s="181"/>
      <c r="AO506" s="190" t="s">
        <v>1893</v>
      </c>
      <c r="AP506" s="176">
        <v>10.414999999999999</v>
      </c>
      <c r="AQ506" s="176">
        <v>10.424999999999999</v>
      </c>
      <c r="AR506" s="176">
        <v>10.449999999999998</v>
      </c>
      <c r="AS506" s="176">
        <v>10.454999999999998</v>
      </c>
      <c r="AT506" s="173" t="str">
        <f>IF(ISNUMBER(U506)=TRUE,AK506-U506,IF(U506="","",(AK506)-(MID(RIGHT(U506,10),4,2)&amp;"/"&amp;LEFT((RIGHT(U506,10)),2)&amp;"/"&amp;RIGHT(U506,4))))</f>
        <v/>
      </c>
      <c r="AU506" s="173">
        <v>459</v>
      </c>
      <c r="AW506" s="142" t="s">
        <v>123</v>
      </c>
    </row>
    <row r="507" spans="2:49" s="142" customFormat="1" ht="21" customHeight="1" x14ac:dyDescent="0.25">
      <c r="B507" s="173" t="str">
        <f>IF(C507="HOLD RM","HOLD RM",IF(C507="BAL","WIP",IF(C507="HOLD SLT","HOLD SLT",IF(C507="MILL","RM",IF(C507="RE SLT","WIP",IF(C507="RM","RM",IF(C507="RM BAL","RM",IF(C507="RM SLT","RM",IF(C507="RR","WIP",IF(C507="SKP","WIP",IF(C507="SLT","WIP",IF(C507="CTL","WIP",IF(C507="RM SLT RUST","RM SLT RUST",0)))))))))))))&amp;"-"&amp;G507&amp;"/"&amp;IF(H507="2B","2B",IF(H507="NO.1","1D",IF(H507="FH","FH",0)))&amp;"-"&amp;IF(J507="",(TEXT(I507,"0.00")),TEXT(J507,"0.00"))&amp;"X"&amp;M507</f>
        <v>RM-304L/1D-2.90X644</v>
      </c>
      <c r="C507" s="173" t="s">
        <v>48</v>
      </c>
      <c r="D507" s="173" t="s">
        <v>48</v>
      </c>
      <c r="E507" s="190" t="s">
        <v>1894</v>
      </c>
      <c r="F507" s="190" t="s">
        <v>1895</v>
      </c>
      <c r="G507" s="173" t="s">
        <v>182</v>
      </c>
      <c r="H507" s="173" t="s">
        <v>127</v>
      </c>
      <c r="I507" s="174">
        <v>2.9</v>
      </c>
      <c r="J507" s="174"/>
      <c r="K507" s="174"/>
      <c r="L507" s="174"/>
      <c r="M507" s="191">
        <v>644</v>
      </c>
      <c r="N507" s="176">
        <v>10.455</v>
      </c>
      <c r="O507" s="176"/>
      <c r="P507" s="177"/>
      <c r="Q507" s="178"/>
      <c r="R507" s="179"/>
      <c r="S507" s="179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80" t="s">
        <v>1881</v>
      </c>
      <c r="AE507" s="173" t="s">
        <v>69</v>
      </c>
      <c r="AF507" s="181" t="s">
        <v>142</v>
      </c>
      <c r="AG507" s="192" t="s">
        <v>1887</v>
      </c>
      <c r="AH507" s="198"/>
      <c r="AI507" s="181">
        <v>44880</v>
      </c>
      <c r="AJ507" s="181"/>
      <c r="AK507" s="181">
        <f ca="1">TODAY()</f>
        <v>44958</v>
      </c>
      <c r="AL507" s="173">
        <f ca="1">IF(AI507&lt;&gt;0,AK507-AI507,0)</f>
        <v>78</v>
      </c>
      <c r="AM507" s="173" t="str">
        <f>IF(ISNUMBER(X507)=TRUE,AK507-X507,IF(X507="","",(AK507)-(MID(RIGHT(X507,10),4,2)&amp;"/"&amp;LEFT((RIGHT(X507,10)),2)&amp;"/"&amp;RIGHT(X507,4))))</f>
        <v/>
      </c>
      <c r="AN507" s="181"/>
      <c r="AO507" s="190" t="s">
        <v>1893</v>
      </c>
      <c r="AP507" s="176">
        <v>10.455</v>
      </c>
      <c r="AQ507" s="176">
        <v>10.465</v>
      </c>
      <c r="AR507" s="176">
        <v>10.489999999999998</v>
      </c>
      <c r="AS507" s="176">
        <v>10.494999999999999</v>
      </c>
      <c r="AT507" s="173" t="str">
        <f>IF(ISNUMBER(U507)=TRUE,AK507-U507,IF(U507="","",(AK507)-(MID(RIGHT(U507,10),4,2)&amp;"/"&amp;LEFT((RIGHT(U507,10)),2)&amp;"/"&amp;RIGHT(U507,4))))</f>
        <v/>
      </c>
      <c r="AU507" s="173">
        <v>459</v>
      </c>
      <c r="AW507" s="142" t="s">
        <v>123</v>
      </c>
    </row>
    <row r="508" spans="2:49" s="142" customFormat="1" ht="21" customHeight="1" x14ac:dyDescent="0.25">
      <c r="B508" s="173" t="str">
        <f>IF(C508="HOLD RM","HOLD RM",IF(C508="BAL","WIP",IF(C508="HOLD SLT","HOLD SLT",IF(C508="MILL","RM",IF(C508="RE SLT","WIP",IF(C508="RM","RM",IF(C508="RM BAL","RM",IF(C508="RM SLT","RM",IF(C508="RR","WIP",IF(C508="SKP","WIP",IF(C508="SLT","WIP",IF(C508="CTL","WIP",IF(C508="RM SLT RUST","RM SLT RUST",0)))))))))))))&amp;"-"&amp;G508&amp;"/"&amp;IF(H508="2B","2B",IF(H508="NO.1","1D",IF(H508="FH","FH",0)))&amp;"-"&amp;IF(J508="",(TEXT(I508,"0.00")),TEXT(J508,"0.00"))&amp;"X"&amp;M508</f>
        <v>RM-304L/1D-3.88X642</v>
      </c>
      <c r="C508" s="173" t="s">
        <v>48</v>
      </c>
      <c r="D508" s="173" t="s">
        <v>48</v>
      </c>
      <c r="E508" s="190" t="s">
        <v>1896</v>
      </c>
      <c r="F508" s="190" t="s">
        <v>1897</v>
      </c>
      <c r="G508" s="173" t="s">
        <v>182</v>
      </c>
      <c r="H508" s="173" t="s">
        <v>127</v>
      </c>
      <c r="I508" s="174">
        <v>3.88</v>
      </c>
      <c r="J508" s="174"/>
      <c r="K508" s="174"/>
      <c r="L508" s="174"/>
      <c r="M508" s="191">
        <v>642</v>
      </c>
      <c r="N508" s="176">
        <v>10.42</v>
      </c>
      <c r="O508" s="176"/>
      <c r="P508" s="177"/>
      <c r="Q508" s="178"/>
      <c r="R508" s="179"/>
      <c r="S508" s="179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80" t="s">
        <v>1898</v>
      </c>
      <c r="AE508" s="173" t="s">
        <v>69</v>
      </c>
      <c r="AF508" s="181" t="s">
        <v>142</v>
      </c>
      <c r="AG508" s="192" t="s">
        <v>1887</v>
      </c>
      <c r="AH508" s="198"/>
      <c r="AI508" s="181">
        <v>44880</v>
      </c>
      <c r="AJ508" s="181"/>
      <c r="AK508" s="181">
        <f ca="1">TODAY()</f>
        <v>44958</v>
      </c>
      <c r="AL508" s="173">
        <f ca="1">IF(AI508&lt;&gt;0,AK508-AI508,0)</f>
        <v>78</v>
      </c>
      <c r="AM508" s="173" t="str">
        <f>IF(ISNUMBER(X508)=TRUE,AK508-X508,IF(X508="","",(AK508)-(MID(RIGHT(X508,10),4,2)&amp;"/"&amp;LEFT((RIGHT(X508,10)),2)&amp;"/"&amp;RIGHT(X508,4))))</f>
        <v/>
      </c>
      <c r="AN508" s="181"/>
      <c r="AO508" s="190" t="s">
        <v>1899</v>
      </c>
      <c r="AP508" s="176">
        <v>10.42</v>
      </c>
      <c r="AQ508" s="176">
        <v>10.43</v>
      </c>
      <c r="AR508" s="176">
        <v>10.454999999999998</v>
      </c>
      <c r="AS508" s="176">
        <v>10.459999999999999</v>
      </c>
      <c r="AT508" s="173" t="str">
        <f>IF(ISNUMBER(U508)=TRUE,AK508-U508,IF(U508="","",(AK508)-(MID(RIGHT(U508,10),4,2)&amp;"/"&amp;LEFT((RIGHT(U508,10)),2)&amp;"/"&amp;RIGHT(U508,4))))</f>
        <v/>
      </c>
      <c r="AU508" s="173">
        <v>459</v>
      </c>
      <c r="AW508" s="142" t="s">
        <v>123</v>
      </c>
    </row>
    <row r="509" spans="2:49" s="142" customFormat="1" ht="21" customHeight="1" x14ac:dyDescent="0.25">
      <c r="B509" s="173" t="str">
        <f>IF(C509="HOLD RM","HOLD RM",IF(C509="BAL","WIP",IF(C509="HOLD SLT","HOLD SLT",IF(C509="MILL","RM",IF(C509="RE SLT","WIP",IF(C509="RM","RM",IF(C509="RM BAL","RM",IF(C509="RM SLT","RM",IF(C509="RR","WIP",IF(C509="SKP","WIP",IF(C509="SLT","WIP",IF(C509="CTL","WIP",IF(C509="RM SLT RUST","RM SLT RUST",0)))))))))))))&amp;"-"&amp;G509&amp;"/"&amp;IF(H509="2B","2B",IF(H509="NO.1","1D",IF(H509="FH","FH",0)))&amp;"-"&amp;IF(J509="",(TEXT(I509,"0.00")),TEXT(J509,"0.00"))&amp;"X"&amp;M509</f>
        <v>RM-304L/1D-3.88X643</v>
      </c>
      <c r="C509" s="173" t="s">
        <v>48</v>
      </c>
      <c r="D509" s="173" t="s">
        <v>48</v>
      </c>
      <c r="E509" s="190" t="s">
        <v>1900</v>
      </c>
      <c r="F509" s="190" t="s">
        <v>1901</v>
      </c>
      <c r="G509" s="173" t="s">
        <v>182</v>
      </c>
      <c r="H509" s="173" t="s">
        <v>127</v>
      </c>
      <c r="I509" s="174">
        <v>3.88</v>
      </c>
      <c r="J509" s="174"/>
      <c r="K509" s="174"/>
      <c r="L509" s="174"/>
      <c r="M509" s="191">
        <v>643</v>
      </c>
      <c r="N509" s="176">
        <v>10.475</v>
      </c>
      <c r="O509" s="176"/>
      <c r="P509" s="177"/>
      <c r="Q509" s="178"/>
      <c r="R509" s="179"/>
      <c r="S509" s="179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80" t="s">
        <v>1898</v>
      </c>
      <c r="AE509" s="173" t="s">
        <v>69</v>
      </c>
      <c r="AF509" s="181" t="s">
        <v>142</v>
      </c>
      <c r="AG509" s="192" t="s">
        <v>1887</v>
      </c>
      <c r="AH509" s="198"/>
      <c r="AI509" s="181">
        <v>44880</v>
      </c>
      <c r="AJ509" s="181"/>
      <c r="AK509" s="181">
        <f ca="1">TODAY()</f>
        <v>44958</v>
      </c>
      <c r="AL509" s="173">
        <f ca="1">IF(AI509&lt;&gt;0,AK509-AI509,0)</f>
        <v>78</v>
      </c>
      <c r="AM509" s="173" t="str">
        <f>IF(ISNUMBER(X509)=TRUE,AK509-X509,IF(X509="","",(AK509)-(MID(RIGHT(X509,10),4,2)&amp;"/"&amp;LEFT((RIGHT(X509,10)),2)&amp;"/"&amp;RIGHT(X509,4))))</f>
        <v/>
      </c>
      <c r="AN509" s="181"/>
      <c r="AO509" s="190" t="s">
        <v>1899</v>
      </c>
      <c r="AP509" s="176">
        <v>10.475</v>
      </c>
      <c r="AQ509" s="176">
        <v>10.484999999999999</v>
      </c>
      <c r="AR509" s="176">
        <v>10.509999999999998</v>
      </c>
      <c r="AS509" s="176">
        <v>10.514999999999999</v>
      </c>
      <c r="AT509" s="173" t="str">
        <f>IF(ISNUMBER(U509)=TRUE,AK509-U509,IF(U509="","",(AK509)-(MID(RIGHT(U509,10),4,2)&amp;"/"&amp;LEFT((RIGHT(U509,10)),2)&amp;"/"&amp;RIGHT(U509,4))))</f>
        <v/>
      </c>
      <c r="AU509" s="173">
        <v>459</v>
      </c>
      <c r="AW509" s="142" t="s">
        <v>123</v>
      </c>
    </row>
    <row r="510" spans="2:49" s="142" customFormat="1" ht="21" customHeight="1" x14ac:dyDescent="0.25">
      <c r="B510" s="173" t="str">
        <f>IF(C510="HOLD RM","HOLD RM",IF(C510="BAL","WIP",IF(C510="HOLD SLT","HOLD SLT",IF(C510="MILL","RM",IF(C510="RE SLT","WIP",IF(C510="RM","RM",IF(C510="RM BAL","RM",IF(C510="RM SLT","RM",IF(C510="RR","WIP",IF(C510="SKP","WIP",IF(C510="SLT","WIP",IF(C510="CTL","WIP",IF(C510="RM SLT RUST","RM SLT RUST",0)))))))))))))&amp;"-"&amp;G510&amp;"/"&amp;IF(H510="2B","2B",IF(H510="NO.1","1D",IF(H510="FH","FH",0)))&amp;"-"&amp;IF(J510="",(TEXT(I510,"0.00")),TEXT(J510,"0.00"))&amp;"X"&amp;M510</f>
        <v>RM-304L/1D-2.89X647</v>
      </c>
      <c r="C510" s="173" t="s">
        <v>48</v>
      </c>
      <c r="D510" s="173" t="s">
        <v>48</v>
      </c>
      <c r="E510" s="190" t="s">
        <v>1902</v>
      </c>
      <c r="F510" s="190" t="s">
        <v>1903</v>
      </c>
      <c r="G510" s="173" t="s">
        <v>182</v>
      </c>
      <c r="H510" s="173" t="s">
        <v>127</v>
      </c>
      <c r="I510" s="174">
        <v>2.89</v>
      </c>
      <c r="J510" s="174"/>
      <c r="K510" s="174"/>
      <c r="L510" s="174"/>
      <c r="M510" s="191">
        <v>647</v>
      </c>
      <c r="N510" s="176">
        <v>9.9749999999999996</v>
      </c>
      <c r="O510" s="176"/>
      <c r="P510" s="177"/>
      <c r="Q510" s="178"/>
      <c r="R510" s="179"/>
      <c r="S510" s="179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80" t="s">
        <v>1881</v>
      </c>
      <c r="AE510" s="173" t="s">
        <v>69</v>
      </c>
      <c r="AF510" s="181" t="s">
        <v>142</v>
      </c>
      <c r="AG510" s="192" t="s">
        <v>1653</v>
      </c>
      <c r="AH510" s="198"/>
      <c r="AI510" s="181">
        <v>44880</v>
      </c>
      <c r="AJ510" s="181"/>
      <c r="AK510" s="181">
        <f ca="1">TODAY()</f>
        <v>44958</v>
      </c>
      <c r="AL510" s="173">
        <f ca="1">IF(AI510&lt;&gt;0,AK510-AI510,0)</f>
        <v>78</v>
      </c>
      <c r="AM510" s="173" t="str">
        <f>IF(ISNUMBER(X510)=TRUE,AK510-X510,IF(X510="","",(AK510)-(MID(RIGHT(X510,10),4,2)&amp;"/"&amp;LEFT((RIGHT(X510,10)),2)&amp;"/"&amp;RIGHT(X510,4))))</f>
        <v/>
      </c>
      <c r="AN510" s="181"/>
      <c r="AO510" s="190" t="s">
        <v>1904</v>
      </c>
      <c r="AP510" s="176">
        <v>9.9749999999999996</v>
      </c>
      <c r="AQ510" s="176">
        <v>9.9849999999999994</v>
      </c>
      <c r="AR510" s="176">
        <v>10.009999999999998</v>
      </c>
      <c r="AS510" s="176">
        <v>10.014999999999999</v>
      </c>
      <c r="AT510" s="173" t="str">
        <f>IF(ISNUMBER(U510)=TRUE,AK510-U510,IF(U510="","",(AK510)-(MID(RIGHT(U510,10),4,2)&amp;"/"&amp;LEFT((RIGHT(U510,10)),2)&amp;"/"&amp;RIGHT(U510,4))))</f>
        <v/>
      </c>
      <c r="AU510" s="173">
        <v>459</v>
      </c>
      <c r="AW510" s="142" t="s">
        <v>123</v>
      </c>
    </row>
    <row r="511" spans="2:49" s="142" customFormat="1" ht="21" customHeight="1" x14ac:dyDescent="0.25">
      <c r="B511" s="173" t="str">
        <f>IF(C511="HOLD RM","HOLD RM",IF(C511="BAL","WIP",IF(C511="HOLD SLT","HOLD SLT",IF(C511="MILL","RM",IF(C511="RE SLT","WIP",IF(C511="RM","RM",IF(C511="RM BAL","RM",IF(C511="RM SLT","RM",IF(C511="RR","WIP",IF(C511="SKP","WIP",IF(C511="SLT","WIP",IF(C511="CTL","WIP",IF(C511="RM SLT RUST","RM SLT RUST",0)))))))))))))&amp;"-"&amp;G511&amp;"/"&amp;IF(H511="2B","2B",IF(H511="NO.1","1D",IF(H511="FH","FH",0)))&amp;"-"&amp;IF(J511="",(TEXT(I511,"0.00")),TEXT(J511,"0.00"))&amp;"X"&amp;M511</f>
        <v>RM-304L/1D-2.90X647</v>
      </c>
      <c r="C511" s="173" t="s">
        <v>48</v>
      </c>
      <c r="D511" s="173" t="s">
        <v>48</v>
      </c>
      <c r="E511" s="190" t="s">
        <v>1905</v>
      </c>
      <c r="F511" s="190" t="s">
        <v>1906</v>
      </c>
      <c r="G511" s="173" t="s">
        <v>182</v>
      </c>
      <c r="H511" s="173" t="s">
        <v>127</v>
      </c>
      <c r="I511" s="174">
        <v>2.9</v>
      </c>
      <c r="J511" s="174"/>
      <c r="K511" s="174"/>
      <c r="L511" s="174"/>
      <c r="M511" s="191">
        <v>647</v>
      </c>
      <c r="N511" s="176">
        <v>9.94</v>
      </c>
      <c r="O511" s="176"/>
      <c r="P511" s="177"/>
      <c r="Q511" s="178"/>
      <c r="R511" s="179"/>
      <c r="S511" s="179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80" t="s">
        <v>1881</v>
      </c>
      <c r="AE511" s="173" t="s">
        <v>69</v>
      </c>
      <c r="AF511" s="181" t="s">
        <v>142</v>
      </c>
      <c r="AG511" s="192" t="s">
        <v>1653</v>
      </c>
      <c r="AH511" s="198"/>
      <c r="AI511" s="181">
        <v>44880</v>
      </c>
      <c r="AJ511" s="181"/>
      <c r="AK511" s="181">
        <f ca="1">TODAY()</f>
        <v>44958</v>
      </c>
      <c r="AL511" s="173">
        <f ca="1">IF(AI511&lt;&gt;0,AK511-AI511,0)</f>
        <v>78</v>
      </c>
      <c r="AM511" s="173" t="str">
        <f>IF(ISNUMBER(X511)=TRUE,AK511-X511,IF(X511="","",(AK511)-(MID(RIGHT(X511,10),4,2)&amp;"/"&amp;LEFT((RIGHT(X511,10)),2)&amp;"/"&amp;RIGHT(X511,4))))</f>
        <v/>
      </c>
      <c r="AN511" s="181"/>
      <c r="AO511" s="190" t="s">
        <v>1904</v>
      </c>
      <c r="AP511" s="176">
        <v>9.94</v>
      </c>
      <c r="AQ511" s="176">
        <v>9.9499999999999993</v>
      </c>
      <c r="AR511" s="176">
        <v>9.9749999999999979</v>
      </c>
      <c r="AS511" s="176">
        <v>9.9799999999999986</v>
      </c>
      <c r="AT511" s="173" t="str">
        <f>IF(ISNUMBER(U511)=TRUE,AK511-U511,IF(U511="","",(AK511)-(MID(RIGHT(U511,10),4,2)&amp;"/"&amp;LEFT((RIGHT(U511,10)),2)&amp;"/"&amp;RIGHT(U511,4))))</f>
        <v/>
      </c>
      <c r="AU511" s="173">
        <v>459</v>
      </c>
      <c r="AW511" s="142" t="s">
        <v>123</v>
      </c>
    </row>
    <row r="512" spans="2:49" s="142" customFormat="1" ht="21" customHeight="1" x14ac:dyDescent="0.25">
      <c r="B512" s="173" t="str">
        <f>IF(C512="HOLD RM","HOLD RM",IF(C512="BAL","WIP",IF(C512="HOLD SLT","HOLD SLT",IF(C512="MILL","RM",IF(C512="RE SLT","WIP",IF(C512="RM","RM",IF(C512="RM BAL","RM",IF(C512="RM SLT","RM",IF(C512="RR","WIP",IF(C512="SKP","WIP",IF(C512="SLT","WIP",IF(C512="CTL","WIP",IF(C512="RM SLT RUST","RM SLT RUST",0)))))))))))))&amp;"-"&amp;G512&amp;"/"&amp;IF(H512="2B","2B",IF(H512="NO.1","1D",IF(H512="FH","FH",0)))&amp;"-"&amp;IF(J512="",(TEXT(I512,"0.00")),TEXT(J512,"0.00"))&amp;"X"&amp;M512</f>
        <v>RM-304L/1D-2.99X643</v>
      </c>
      <c r="C512" s="173" t="s">
        <v>48</v>
      </c>
      <c r="D512" s="173" t="s">
        <v>48</v>
      </c>
      <c r="E512" s="190" t="s">
        <v>1907</v>
      </c>
      <c r="F512" s="190" t="s">
        <v>1908</v>
      </c>
      <c r="G512" s="173" t="s">
        <v>182</v>
      </c>
      <c r="H512" s="173" t="s">
        <v>127</v>
      </c>
      <c r="I512" s="174">
        <v>2.99</v>
      </c>
      <c r="J512" s="174"/>
      <c r="K512" s="174"/>
      <c r="L512" s="174"/>
      <c r="M512" s="191">
        <v>643</v>
      </c>
      <c r="N512" s="176">
        <v>9.8949999999999996</v>
      </c>
      <c r="O512" s="176"/>
      <c r="P512" s="177"/>
      <c r="Q512" s="178"/>
      <c r="R512" s="179"/>
      <c r="S512" s="179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80" t="s">
        <v>1898</v>
      </c>
      <c r="AE512" s="173" t="s">
        <v>69</v>
      </c>
      <c r="AF512" s="181" t="s">
        <v>142</v>
      </c>
      <c r="AG512" s="192" t="s">
        <v>1653</v>
      </c>
      <c r="AH512" s="198"/>
      <c r="AI512" s="181">
        <v>44880</v>
      </c>
      <c r="AJ512" s="181"/>
      <c r="AK512" s="181">
        <f ca="1">TODAY()</f>
        <v>44958</v>
      </c>
      <c r="AL512" s="173">
        <f ca="1">IF(AI512&lt;&gt;0,AK512-AI512,0)</f>
        <v>78</v>
      </c>
      <c r="AM512" s="173" t="str">
        <f>IF(ISNUMBER(X512)=TRUE,AK512-X512,IF(X512="","",(AK512)-(MID(RIGHT(X512,10),4,2)&amp;"/"&amp;LEFT((RIGHT(X512,10)),2)&amp;"/"&amp;RIGHT(X512,4))))</f>
        <v/>
      </c>
      <c r="AN512" s="181"/>
      <c r="AO512" s="190" t="s">
        <v>1909</v>
      </c>
      <c r="AP512" s="176">
        <v>9.8949999999999996</v>
      </c>
      <c r="AQ512" s="176">
        <v>9.9049999999999994</v>
      </c>
      <c r="AR512" s="176">
        <v>9.9299999999999979</v>
      </c>
      <c r="AS512" s="176">
        <v>9.9349999999999987</v>
      </c>
      <c r="AT512" s="173" t="str">
        <f>IF(ISNUMBER(U512)=TRUE,AK512-U512,IF(U512="","",(AK512)-(MID(RIGHT(U512,10),4,2)&amp;"/"&amp;LEFT((RIGHT(U512,10)),2)&amp;"/"&amp;RIGHT(U512,4))))</f>
        <v/>
      </c>
      <c r="AU512" s="173">
        <v>459</v>
      </c>
      <c r="AW512" s="142" t="s">
        <v>123</v>
      </c>
    </row>
    <row r="513" spans="2:49" s="142" customFormat="1" ht="21" customHeight="1" x14ac:dyDescent="0.25">
      <c r="B513" s="173" t="str">
        <f>IF(C513="HOLD RM","HOLD RM",IF(C513="BAL","WIP",IF(C513="HOLD SLT","HOLD SLT",IF(C513="MILL","RM",IF(C513="RE SLT","WIP",IF(C513="RM","RM",IF(C513="RM BAL","RM",IF(C513="RM SLT","RM",IF(C513="RR","WIP",IF(C513="SKP","WIP",IF(C513="SLT","WIP",IF(C513="CTL","WIP",IF(C513="RM SLT RUST","RM SLT RUST",0)))))))))))))&amp;"-"&amp;G513&amp;"/"&amp;IF(H513="2B","2B",IF(H513="NO.1","1D",IF(H513="FH","FH",0)))&amp;"-"&amp;IF(J513="",(TEXT(I513,"0.00")),TEXT(J513,"0.00"))&amp;"X"&amp;M513</f>
        <v>RM-304L/1D-2.99X641</v>
      </c>
      <c r="C513" s="173" t="s">
        <v>48</v>
      </c>
      <c r="D513" s="173" t="s">
        <v>48</v>
      </c>
      <c r="E513" s="190" t="s">
        <v>1910</v>
      </c>
      <c r="F513" s="190" t="s">
        <v>1911</v>
      </c>
      <c r="G513" s="173" t="s">
        <v>182</v>
      </c>
      <c r="H513" s="173" t="s">
        <v>127</v>
      </c>
      <c r="I513" s="174">
        <v>2.99</v>
      </c>
      <c r="J513" s="174"/>
      <c r="K513" s="174"/>
      <c r="L513" s="174"/>
      <c r="M513" s="191">
        <v>641</v>
      </c>
      <c r="N513" s="176">
        <v>9.9049999999999994</v>
      </c>
      <c r="O513" s="176"/>
      <c r="P513" s="177"/>
      <c r="Q513" s="178"/>
      <c r="R513" s="179"/>
      <c r="S513" s="179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80" t="s">
        <v>1898</v>
      </c>
      <c r="AE513" s="173" t="s">
        <v>69</v>
      </c>
      <c r="AF513" s="181" t="s">
        <v>142</v>
      </c>
      <c r="AG513" s="192" t="s">
        <v>1653</v>
      </c>
      <c r="AH513" s="198"/>
      <c r="AI513" s="181">
        <v>44880</v>
      </c>
      <c r="AJ513" s="181"/>
      <c r="AK513" s="181">
        <f ca="1">TODAY()</f>
        <v>44958</v>
      </c>
      <c r="AL513" s="173">
        <f ca="1">IF(AI513&lt;&gt;0,AK513-AI513,0)</f>
        <v>78</v>
      </c>
      <c r="AM513" s="173" t="str">
        <f>IF(ISNUMBER(X513)=TRUE,AK513-X513,IF(X513="","",(AK513)-(MID(RIGHT(X513,10),4,2)&amp;"/"&amp;LEFT((RIGHT(X513,10)),2)&amp;"/"&amp;RIGHT(X513,4))))</f>
        <v/>
      </c>
      <c r="AN513" s="181"/>
      <c r="AO513" s="190" t="s">
        <v>1909</v>
      </c>
      <c r="AP513" s="176">
        <v>9.9049999999999994</v>
      </c>
      <c r="AQ513" s="176">
        <v>9.9149999999999991</v>
      </c>
      <c r="AR513" s="176">
        <v>9.9399999999999977</v>
      </c>
      <c r="AS513" s="176">
        <v>9.9449999999999985</v>
      </c>
      <c r="AT513" s="173" t="str">
        <f>IF(ISNUMBER(U513)=TRUE,AK513-U513,IF(U513="","",(AK513)-(MID(RIGHT(U513,10),4,2)&amp;"/"&amp;LEFT((RIGHT(U513,10)),2)&amp;"/"&amp;RIGHT(U513,4))))</f>
        <v/>
      </c>
      <c r="AU513" s="173">
        <v>459</v>
      </c>
      <c r="AW513" s="142" t="s">
        <v>123</v>
      </c>
    </row>
    <row r="514" spans="2:49" s="142" customFormat="1" ht="21" customHeight="1" x14ac:dyDescent="0.25">
      <c r="B514" s="173" t="str">
        <f>IF(C514="HOLD RM","HOLD RM",IF(C514="BAL","WIP",IF(C514="HOLD SLT","HOLD SLT",IF(C514="MILL","RM",IF(C514="RE SLT","WIP",IF(C514="RM","RM",IF(C514="RM BAL","RM",IF(C514="RM SLT","RM",IF(C514="RR","WIP",IF(C514="SKP","WIP",IF(C514="SLT","WIP",IF(C514="CTL","WIP",IF(C514="RM SLT RUST","RM SLT RUST",0)))))))))))))&amp;"-"&amp;G514&amp;"/"&amp;IF(H514="2B","2B",IF(H514="NO.1","1D",IF(H514="FH","FH",0)))&amp;"-"&amp;IF(J514="",(TEXT(I514,"0.00")),TEXT(J514,"0.00"))&amp;"X"&amp;M514</f>
        <v>RM-304L/1D-2.89X642</v>
      </c>
      <c r="C514" s="173" t="s">
        <v>48</v>
      </c>
      <c r="D514" s="173" t="s">
        <v>48</v>
      </c>
      <c r="E514" s="190" t="s">
        <v>1912</v>
      </c>
      <c r="F514" s="190" t="s">
        <v>1913</v>
      </c>
      <c r="G514" s="173" t="s">
        <v>182</v>
      </c>
      <c r="H514" s="173" t="s">
        <v>127</v>
      </c>
      <c r="I514" s="174">
        <v>2.89</v>
      </c>
      <c r="J514" s="174"/>
      <c r="K514" s="174"/>
      <c r="L514" s="174"/>
      <c r="M514" s="191">
        <v>642</v>
      </c>
      <c r="N514" s="176">
        <v>10.1</v>
      </c>
      <c r="O514" s="176"/>
      <c r="P514" s="177"/>
      <c r="Q514" s="178"/>
      <c r="R514" s="179"/>
      <c r="S514" s="179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80" t="s">
        <v>1881</v>
      </c>
      <c r="AE514" s="173" t="s">
        <v>69</v>
      </c>
      <c r="AF514" s="181" t="s">
        <v>142</v>
      </c>
      <c r="AG514" s="192" t="s">
        <v>1653</v>
      </c>
      <c r="AH514" s="198"/>
      <c r="AI514" s="181">
        <v>44880</v>
      </c>
      <c r="AJ514" s="181"/>
      <c r="AK514" s="181">
        <f ca="1">TODAY()</f>
        <v>44958</v>
      </c>
      <c r="AL514" s="173">
        <f ca="1">IF(AI514&lt;&gt;0,AK514-AI514,0)</f>
        <v>78</v>
      </c>
      <c r="AM514" s="173" t="str">
        <f>IF(ISNUMBER(X514)=TRUE,AK514-X514,IF(X514="","",(AK514)-(MID(RIGHT(X514,10),4,2)&amp;"/"&amp;LEFT((RIGHT(X514,10)),2)&amp;"/"&amp;RIGHT(X514,4))))</f>
        <v/>
      </c>
      <c r="AN514" s="181"/>
      <c r="AO514" s="190" t="s">
        <v>1914</v>
      </c>
      <c r="AP514" s="176">
        <v>10.1</v>
      </c>
      <c r="AQ514" s="176">
        <v>10.11</v>
      </c>
      <c r="AR514" s="176">
        <v>10.134999999999998</v>
      </c>
      <c r="AS514" s="176">
        <v>10.139999999999999</v>
      </c>
      <c r="AT514" s="173" t="str">
        <f>IF(ISNUMBER(U514)=TRUE,AK514-U514,IF(U514="","",(AK514)-(MID(RIGHT(U514,10),4,2)&amp;"/"&amp;LEFT((RIGHT(U514,10)),2)&amp;"/"&amp;RIGHT(U514,4))))</f>
        <v/>
      </c>
      <c r="AU514" s="173">
        <v>459</v>
      </c>
      <c r="AW514" s="142" t="s">
        <v>123</v>
      </c>
    </row>
    <row r="515" spans="2:49" s="142" customFormat="1" ht="21" customHeight="1" x14ac:dyDescent="0.25">
      <c r="B515" s="173" t="str">
        <f>IF(C515="HOLD RM","HOLD RM",IF(C515="BAL","WIP",IF(C515="HOLD SLT","HOLD SLT",IF(C515="MILL","RM",IF(C515="RE SLT","WIP",IF(C515="RM","RM",IF(C515="RM BAL","RM",IF(C515="RM SLT","RM",IF(C515="RR","WIP",IF(C515="SKP","WIP",IF(C515="SLT","WIP",IF(C515="CTL","WIP",IF(C515="RM SLT RUST","RM SLT RUST",0)))))))))))))&amp;"-"&amp;G515&amp;"/"&amp;IF(H515="2B","2B",IF(H515="NO.1","1D",IF(H515="FH","FH",0)))&amp;"-"&amp;IF(J515="",(TEXT(I515,"0.00")),TEXT(J515,"0.00"))&amp;"X"&amp;M515</f>
        <v>RM-304L/1D-2.89X643</v>
      </c>
      <c r="C515" s="173" t="s">
        <v>48</v>
      </c>
      <c r="D515" s="173" t="s">
        <v>48</v>
      </c>
      <c r="E515" s="190" t="s">
        <v>1915</v>
      </c>
      <c r="F515" s="190" t="s">
        <v>1916</v>
      </c>
      <c r="G515" s="173" t="s">
        <v>182</v>
      </c>
      <c r="H515" s="173" t="s">
        <v>127</v>
      </c>
      <c r="I515" s="174">
        <v>2.89</v>
      </c>
      <c r="J515" s="174"/>
      <c r="K515" s="174"/>
      <c r="L515" s="174"/>
      <c r="M515" s="191">
        <v>643</v>
      </c>
      <c r="N515" s="176">
        <v>10.115</v>
      </c>
      <c r="O515" s="176"/>
      <c r="P515" s="177"/>
      <c r="Q515" s="178"/>
      <c r="R515" s="179"/>
      <c r="S515" s="179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80" t="s">
        <v>1881</v>
      </c>
      <c r="AE515" s="173" t="s">
        <v>69</v>
      </c>
      <c r="AF515" s="181" t="s">
        <v>142</v>
      </c>
      <c r="AG515" s="192" t="s">
        <v>1653</v>
      </c>
      <c r="AH515" s="198"/>
      <c r="AI515" s="181">
        <v>44880</v>
      </c>
      <c r="AJ515" s="181"/>
      <c r="AK515" s="181">
        <f ca="1">TODAY()</f>
        <v>44958</v>
      </c>
      <c r="AL515" s="173">
        <f ca="1">IF(AI515&lt;&gt;0,AK515-AI515,0)</f>
        <v>78</v>
      </c>
      <c r="AM515" s="173" t="str">
        <f>IF(ISNUMBER(X515)=TRUE,AK515-X515,IF(X515="","",(AK515)-(MID(RIGHT(X515,10),4,2)&amp;"/"&amp;LEFT((RIGHT(X515,10)),2)&amp;"/"&amp;RIGHT(X515,4))))</f>
        <v/>
      </c>
      <c r="AN515" s="181"/>
      <c r="AO515" s="190" t="s">
        <v>1914</v>
      </c>
      <c r="AP515" s="176">
        <v>10.115</v>
      </c>
      <c r="AQ515" s="176">
        <v>10.125</v>
      </c>
      <c r="AR515" s="176">
        <v>10.149999999999999</v>
      </c>
      <c r="AS515" s="176">
        <v>10.154999999999999</v>
      </c>
      <c r="AT515" s="173" t="str">
        <f>IF(ISNUMBER(U515)=TRUE,AK515-U515,IF(U515="","",(AK515)-(MID(RIGHT(U515,10),4,2)&amp;"/"&amp;LEFT((RIGHT(U515,10)),2)&amp;"/"&amp;RIGHT(U515,4))))</f>
        <v/>
      </c>
      <c r="AU515" s="173">
        <v>459</v>
      </c>
      <c r="AW515" s="142" t="s">
        <v>123</v>
      </c>
    </row>
    <row r="516" spans="2:49" s="142" customFormat="1" ht="21" customHeight="1" x14ac:dyDescent="0.25">
      <c r="B516" s="173" t="str">
        <f>IF(C516="HOLD RM","HOLD RM",IF(C516="BAL","WIP",IF(C516="HOLD SLT","HOLD SLT",IF(C516="MILL","RM",IF(C516="RE SLT","WIP",IF(C516="RM","RM",IF(C516="RM BAL","RM",IF(C516="RM SLT","RM",IF(C516="RR","WIP",IF(C516="SKP","WIP",IF(C516="SLT","WIP",IF(C516="CTL","WIP",IF(C516="RM SLT RUST","RM SLT RUST",0)))))))))))))&amp;"-"&amp;G516&amp;"/"&amp;IF(H516="2B","2B",IF(H516="NO.1","1D",IF(H516="FH","FH",0)))&amp;"-"&amp;IF(J516="",(TEXT(I516,"0.00")),TEXT(J516,"0.00"))&amp;"X"&amp;M516</f>
        <v>RM-304/1D-2.52X642</v>
      </c>
      <c r="C516" s="173" t="s">
        <v>48</v>
      </c>
      <c r="D516" s="173" t="s">
        <v>48</v>
      </c>
      <c r="E516" s="190" t="s">
        <v>1917</v>
      </c>
      <c r="F516" s="190" t="s">
        <v>1918</v>
      </c>
      <c r="G516" s="173">
        <v>304</v>
      </c>
      <c r="H516" s="173" t="s">
        <v>127</v>
      </c>
      <c r="I516" s="174">
        <v>2.52</v>
      </c>
      <c r="J516" s="174"/>
      <c r="K516" s="174"/>
      <c r="L516" s="174"/>
      <c r="M516" s="191">
        <v>642</v>
      </c>
      <c r="N516" s="176">
        <v>10.675000000000001</v>
      </c>
      <c r="O516" s="176"/>
      <c r="P516" s="177"/>
      <c r="Q516" s="178"/>
      <c r="R516" s="179"/>
      <c r="S516" s="179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80" t="s">
        <v>1881</v>
      </c>
      <c r="AE516" s="173" t="s">
        <v>69</v>
      </c>
      <c r="AF516" s="181" t="s">
        <v>142</v>
      </c>
      <c r="AG516" s="192" t="s">
        <v>1653</v>
      </c>
      <c r="AH516" s="198"/>
      <c r="AI516" s="181">
        <v>44880</v>
      </c>
      <c r="AJ516" s="181"/>
      <c r="AK516" s="181">
        <f ca="1">TODAY()</f>
        <v>44958</v>
      </c>
      <c r="AL516" s="173">
        <f ca="1">IF(AI516&lt;&gt;0,AK516-AI516,0)</f>
        <v>78</v>
      </c>
      <c r="AM516" s="173" t="str">
        <f>IF(ISNUMBER(X516)=TRUE,AK516-X516,IF(X516="","",(AK516)-(MID(RIGHT(X516,10),4,2)&amp;"/"&amp;LEFT((RIGHT(X516,10)),2)&amp;"/"&amp;RIGHT(X516,4))))</f>
        <v/>
      </c>
      <c r="AN516" s="181"/>
      <c r="AO516" s="190" t="s">
        <v>1919</v>
      </c>
      <c r="AP516" s="176">
        <v>10.675000000000001</v>
      </c>
      <c r="AQ516" s="176">
        <v>10.685</v>
      </c>
      <c r="AR516" s="176">
        <v>10.709999999999999</v>
      </c>
      <c r="AS516" s="176">
        <v>10.715</v>
      </c>
      <c r="AT516" s="173" t="str">
        <f>IF(ISNUMBER(U516)=TRUE,AK516-U516,IF(U516="","",(AK516)-(MID(RIGHT(U516,10),4,2)&amp;"/"&amp;LEFT((RIGHT(U516,10)),2)&amp;"/"&amp;RIGHT(U516,4))))</f>
        <v/>
      </c>
      <c r="AU516" s="173">
        <v>459</v>
      </c>
      <c r="AW516" s="142" t="s">
        <v>123</v>
      </c>
    </row>
    <row r="517" spans="2:49" s="142" customFormat="1" ht="21" customHeight="1" x14ac:dyDescent="0.25">
      <c r="B517" s="173" t="str">
        <f>IF(C517="HOLD RM","HOLD RM",IF(C517="BAL","WIP",IF(C517="HOLD SLT","HOLD SLT",IF(C517="MILL","RM",IF(C517="RE SLT","WIP",IF(C517="RM","RM",IF(C517="RM BAL","RM",IF(C517="RM SLT","RM",IF(C517="RR","WIP",IF(C517="SKP","WIP",IF(C517="SLT","WIP",IF(C517="CTL","WIP",IF(C517="RM SLT RUST","RM SLT RUST",0)))))))))))))&amp;"-"&amp;G517&amp;"/"&amp;IF(H517="2B","2B",IF(H517="NO.1","1D",IF(H517="FH","FH",0)))&amp;"-"&amp;IF(J517="",(TEXT(I517,"0.00")),TEXT(J517,"0.00"))&amp;"X"&amp;M517</f>
        <v>RM-304/1D-2.53X643</v>
      </c>
      <c r="C517" s="173" t="s">
        <v>48</v>
      </c>
      <c r="D517" s="173" t="s">
        <v>48</v>
      </c>
      <c r="E517" s="190" t="s">
        <v>1920</v>
      </c>
      <c r="F517" s="190" t="s">
        <v>1921</v>
      </c>
      <c r="G517" s="173">
        <v>304</v>
      </c>
      <c r="H517" s="173" t="s">
        <v>127</v>
      </c>
      <c r="I517" s="174">
        <v>2.5299999999999998</v>
      </c>
      <c r="J517" s="174"/>
      <c r="K517" s="174"/>
      <c r="L517" s="174"/>
      <c r="M517" s="191">
        <v>643</v>
      </c>
      <c r="N517" s="176">
        <v>10.63</v>
      </c>
      <c r="O517" s="176"/>
      <c r="P517" s="177"/>
      <c r="Q517" s="178"/>
      <c r="R517" s="179"/>
      <c r="S517" s="179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80" t="s">
        <v>1881</v>
      </c>
      <c r="AE517" s="173" t="s">
        <v>69</v>
      </c>
      <c r="AF517" s="181" t="s">
        <v>142</v>
      </c>
      <c r="AG517" s="192" t="s">
        <v>1653</v>
      </c>
      <c r="AH517" s="198"/>
      <c r="AI517" s="181">
        <v>44880</v>
      </c>
      <c r="AJ517" s="181"/>
      <c r="AK517" s="181">
        <f ca="1">TODAY()</f>
        <v>44958</v>
      </c>
      <c r="AL517" s="173">
        <f ca="1">IF(AI517&lt;&gt;0,AK517-AI517,0)</f>
        <v>78</v>
      </c>
      <c r="AM517" s="173" t="str">
        <f>IF(ISNUMBER(X517)=TRUE,AK517-X517,IF(X517="","",(AK517)-(MID(RIGHT(X517,10),4,2)&amp;"/"&amp;LEFT((RIGHT(X517,10)),2)&amp;"/"&amp;RIGHT(X517,4))))</f>
        <v/>
      </c>
      <c r="AN517" s="181"/>
      <c r="AO517" s="190" t="s">
        <v>1919</v>
      </c>
      <c r="AP517" s="176">
        <v>10.63</v>
      </c>
      <c r="AQ517" s="176">
        <v>10.64</v>
      </c>
      <c r="AR517" s="176">
        <v>10.664999999999999</v>
      </c>
      <c r="AS517" s="176">
        <v>10.67</v>
      </c>
      <c r="AT517" s="173" t="str">
        <f>IF(ISNUMBER(U517)=TRUE,AK517-U517,IF(U517="","",(AK517)-(MID(RIGHT(U517,10),4,2)&amp;"/"&amp;LEFT((RIGHT(U517,10)),2)&amp;"/"&amp;RIGHT(U517,4))))</f>
        <v/>
      </c>
      <c r="AU517" s="173">
        <v>459</v>
      </c>
      <c r="AW517" s="142" t="s">
        <v>123</v>
      </c>
    </row>
    <row r="518" spans="2:49" s="142" customFormat="1" ht="21" customHeight="1" x14ac:dyDescent="0.25">
      <c r="B518" s="173" t="str">
        <f>IF(C518="HOLD RM","HOLD RM",IF(C518="BAL","WIP",IF(C518="HOLD SLT","HOLD SLT",IF(C518="MILL","RM",IF(C518="RE SLT","WIP",IF(C518="RM","RM",IF(C518="RM BAL","RM",IF(C518="RM SLT","RM",IF(C518="RR","WIP",IF(C518="SKP","WIP",IF(C518="SLT","WIP",IF(C518="CTL","WIP",IF(C518="RM SLT RUST","RM SLT RUST",0)))))))))))))&amp;"-"&amp;G518&amp;"/"&amp;IF(H518="2B","2B",IF(H518="NO.1","1D",IF(H518="FH","FH",0)))&amp;"-"&amp;IF(J518="",(TEXT(I518,"0.00")),TEXT(J518,"0.00"))&amp;"X"&amp;M518</f>
        <v>RM-304L/1D-3.88X639</v>
      </c>
      <c r="C518" s="173" t="s">
        <v>48</v>
      </c>
      <c r="D518" s="173" t="s">
        <v>48</v>
      </c>
      <c r="E518" s="190" t="s">
        <v>1922</v>
      </c>
      <c r="F518" s="190" t="s">
        <v>1923</v>
      </c>
      <c r="G518" s="173" t="s">
        <v>182</v>
      </c>
      <c r="H518" s="173" t="s">
        <v>127</v>
      </c>
      <c r="I518" s="174">
        <v>3.88</v>
      </c>
      <c r="J518" s="174"/>
      <c r="K518" s="174"/>
      <c r="L518" s="174"/>
      <c r="M518" s="191">
        <v>639</v>
      </c>
      <c r="N518" s="176">
        <v>10.34</v>
      </c>
      <c r="O518" s="176"/>
      <c r="P518" s="177"/>
      <c r="Q518" s="178"/>
      <c r="R518" s="179"/>
      <c r="S518" s="179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80" t="s">
        <v>1898</v>
      </c>
      <c r="AE518" s="173" t="s">
        <v>69</v>
      </c>
      <c r="AF518" s="181" t="s">
        <v>142</v>
      </c>
      <c r="AG518" s="192" t="s">
        <v>1887</v>
      </c>
      <c r="AH518" s="198"/>
      <c r="AI518" s="181">
        <v>44880</v>
      </c>
      <c r="AJ518" s="181"/>
      <c r="AK518" s="181">
        <f ca="1">TODAY()</f>
        <v>44958</v>
      </c>
      <c r="AL518" s="173">
        <f ca="1">IF(AI518&lt;&gt;0,AK518-AI518,0)</f>
        <v>78</v>
      </c>
      <c r="AM518" s="173" t="str">
        <f>IF(ISNUMBER(X518)=TRUE,AK518-X518,IF(X518="","",(AK518)-(MID(RIGHT(X518,10),4,2)&amp;"/"&amp;LEFT((RIGHT(X518,10)),2)&amp;"/"&amp;RIGHT(X518,4))))</f>
        <v/>
      </c>
      <c r="AN518" s="181"/>
      <c r="AO518" s="190" t="s">
        <v>1924</v>
      </c>
      <c r="AP518" s="176">
        <v>10.34</v>
      </c>
      <c r="AQ518" s="176">
        <v>10.35</v>
      </c>
      <c r="AR518" s="176">
        <v>10.374999999999998</v>
      </c>
      <c r="AS518" s="176">
        <v>10.379999999999999</v>
      </c>
      <c r="AT518" s="173" t="str">
        <f>IF(ISNUMBER(U518)=TRUE,AK518-U518,IF(U518="","",(AK518)-(MID(RIGHT(U518,10),4,2)&amp;"/"&amp;LEFT((RIGHT(U518,10)),2)&amp;"/"&amp;RIGHT(U518,4))))</f>
        <v/>
      </c>
      <c r="AU518" s="173">
        <v>459</v>
      </c>
      <c r="AW518" s="142" t="s">
        <v>123</v>
      </c>
    </row>
    <row r="519" spans="2:49" s="142" customFormat="1" ht="21" customHeight="1" x14ac:dyDescent="0.25">
      <c r="B519" s="173" t="str">
        <f>IF(C519="HOLD RM","HOLD RM",IF(C519="BAL","WIP",IF(C519="HOLD SLT","HOLD SLT",IF(C519="MILL","RM",IF(C519="RE SLT","WIP",IF(C519="RM","RM",IF(C519="RM BAL","RM",IF(C519="RM SLT","RM",IF(C519="RR","WIP",IF(C519="SKP","WIP",IF(C519="SLT","WIP",IF(C519="CTL","WIP",IF(C519="RM SLT RUST","RM SLT RUST",0)))))))))))))&amp;"-"&amp;G519&amp;"/"&amp;IF(H519="2B","2B",IF(H519="NO.1","1D",IF(H519="FH","FH",0)))&amp;"-"&amp;IF(J519="",(TEXT(I519,"0.00")),TEXT(J519,"0.00"))&amp;"X"&amp;M519</f>
        <v>RM-304L/1D-3.88X639</v>
      </c>
      <c r="C519" s="173" t="s">
        <v>48</v>
      </c>
      <c r="D519" s="173" t="s">
        <v>48</v>
      </c>
      <c r="E519" s="190" t="s">
        <v>1925</v>
      </c>
      <c r="F519" s="190" t="s">
        <v>1926</v>
      </c>
      <c r="G519" s="173" t="s">
        <v>182</v>
      </c>
      <c r="H519" s="173" t="s">
        <v>127</v>
      </c>
      <c r="I519" s="174">
        <v>3.88</v>
      </c>
      <c r="J519" s="174"/>
      <c r="K519" s="174"/>
      <c r="L519" s="174"/>
      <c r="M519" s="191">
        <v>639</v>
      </c>
      <c r="N519" s="176">
        <v>10.32</v>
      </c>
      <c r="O519" s="176"/>
      <c r="P519" s="177"/>
      <c r="Q519" s="178"/>
      <c r="R519" s="179"/>
      <c r="S519" s="179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80" t="s">
        <v>1898</v>
      </c>
      <c r="AE519" s="173" t="s">
        <v>69</v>
      </c>
      <c r="AF519" s="181" t="s">
        <v>142</v>
      </c>
      <c r="AG519" s="192" t="s">
        <v>1887</v>
      </c>
      <c r="AH519" s="198"/>
      <c r="AI519" s="181">
        <v>44880</v>
      </c>
      <c r="AJ519" s="181"/>
      <c r="AK519" s="181">
        <f ca="1">TODAY()</f>
        <v>44958</v>
      </c>
      <c r="AL519" s="173">
        <f ca="1">IF(AI519&lt;&gt;0,AK519-AI519,0)</f>
        <v>78</v>
      </c>
      <c r="AM519" s="173" t="str">
        <f>IF(ISNUMBER(X519)=TRUE,AK519-X519,IF(X519="","",(AK519)-(MID(RIGHT(X519,10),4,2)&amp;"/"&amp;LEFT((RIGHT(X519,10)),2)&amp;"/"&amp;RIGHT(X519,4))))</f>
        <v/>
      </c>
      <c r="AN519" s="181"/>
      <c r="AO519" s="190" t="s">
        <v>1924</v>
      </c>
      <c r="AP519" s="176">
        <v>10.32</v>
      </c>
      <c r="AQ519" s="176">
        <v>10.33</v>
      </c>
      <c r="AR519" s="176">
        <v>10.354999999999999</v>
      </c>
      <c r="AS519" s="176">
        <v>10.36</v>
      </c>
      <c r="AT519" s="173" t="str">
        <f>IF(ISNUMBER(U519)=TRUE,AK519-U519,IF(U519="","",(AK519)-(MID(RIGHT(U519,10),4,2)&amp;"/"&amp;LEFT((RIGHT(U519,10)),2)&amp;"/"&amp;RIGHT(U519,4))))</f>
        <v/>
      </c>
      <c r="AU519" s="173">
        <v>459</v>
      </c>
      <c r="AW519" s="142" t="s">
        <v>123</v>
      </c>
    </row>
    <row r="520" spans="2:49" s="142" customFormat="1" ht="21" customHeight="1" x14ac:dyDescent="0.25">
      <c r="B520" s="173" t="str">
        <f>IF(C520="HOLD RM","HOLD RM",IF(C520="BAL","WIP",IF(C520="HOLD SLT","HOLD SLT",IF(C520="MILL","RM",IF(C520="RE SLT","WIP",IF(C520="RM","RM",IF(C520="RM BAL","RM",IF(C520="RM SLT","RM",IF(C520="RR","WIP",IF(C520="SKP","WIP",IF(C520="SLT","WIP",IF(C520="CTL","WIP",IF(C520="RM SLT RUST","RM SLT RUST",0)))))))))))))&amp;"-"&amp;G520&amp;"/"&amp;IF(H520="2B","2B",IF(H520="NO.1","1D",IF(H520="FH","FH",0)))&amp;"-"&amp;IF(J520="",(TEXT(I520,"0.00")),TEXT(J520,"0.00"))&amp;"X"&amp;M520</f>
        <v>RM-304L/1D-3.90X638</v>
      </c>
      <c r="C520" s="173" t="s">
        <v>48</v>
      </c>
      <c r="D520" s="173" t="s">
        <v>48</v>
      </c>
      <c r="E520" s="190" t="s">
        <v>1927</v>
      </c>
      <c r="F520" s="190" t="s">
        <v>1928</v>
      </c>
      <c r="G520" s="173" t="s">
        <v>182</v>
      </c>
      <c r="H520" s="173" t="s">
        <v>127</v>
      </c>
      <c r="I520" s="174">
        <v>3.9</v>
      </c>
      <c r="J520" s="174"/>
      <c r="K520" s="174"/>
      <c r="L520" s="174"/>
      <c r="M520" s="191">
        <v>638</v>
      </c>
      <c r="N520" s="176">
        <v>10.46</v>
      </c>
      <c r="O520" s="176"/>
      <c r="P520" s="177"/>
      <c r="Q520" s="178"/>
      <c r="R520" s="179"/>
      <c r="S520" s="179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80" t="s">
        <v>1881</v>
      </c>
      <c r="AE520" s="173" t="s">
        <v>69</v>
      </c>
      <c r="AF520" s="181" t="s">
        <v>142</v>
      </c>
      <c r="AG520" s="192" t="s">
        <v>1887</v>
      </c>
      <c r="AH520" s="198"/>
      <c r="AI520" s="181">
        <v>44880</v>
      </c>
      <c r="AJ520" s="181"/>
      <c r="AK520" s="181">
        <f ca="1">TODAY()</f>
        <v>44958</v>
      </c>
      <c r="AL520" s="173">
        <f ca="1">IF(AI520&lt;&gt;0,AK520-AI520,0)</f>
        <v>78</v>
      </c>
      <c r="AM520" s="173" t="str">
        <f>IF(ISNUMBER(X520)=TRUE,AK520-X520,IF(X520="","",(AK520)-(MID(RIGHT(X520,10),4,2)&amp;"/"&amp;LEFT((RIGHT(X520,10)),2)&amp;"/"&amp;RIGHT(X520,4))))</f>
        <v/>
      </c>
      <c r="AN520" s="181"/>
      <c r="AO520" s="190" t="s">
        <v>1929</v>
      </c>
      <c r="AP520" s="176">
        <v>10.46</v>
      </c>
      <c r="AQ520" s="176">
        <v>10.47</v>
      </c>
      <c r="AR520" s="176">
        <v>10.494999999999999</v>
      </c>
      <c r="AS520" s="176">
        <v>10.5</v>
      </c>
      <c r="AT520" s="173" t="str">
        <f>IF(ISNUMBER(U520)=TRUE,AK520-U520,IF(U520="","",(AK520)-(MID(RIGHT(U520,10),4,2)&amp;"/"&amp;LEFT((RIGHT(U520,10)),2)&amp;"/"&amp;RIGHT(U520,4))))</f>
        <v/>
      </c>
      <c r="AU520" s="173">
        <v>459</v>
      </c>
      <c r="AW520" s="142" t="s">
        <v>123</v>
      </c>
    </row>
    <row r="521" spans="2:49" s="142" customFormat="1" ht="21" customHeight="1" x14ac:dyDescent="0.25">
      <c r="B521" s="173" t="str">
        <f>IF(C521="HOLD RM","HOLD RM",IF(C521="BAL","WIP",IF(C521="HOLD SLT","HOLD SLT",IF(C521="MILL","RM",IF(C521="RE SLT","WIP",IF(C521="RM","RM",IF(C521="RM BAL","RM",IF(C521="RM SLT","RM",IF(C521="RR","WIP",IF(C521="SKP","WIP",IF(C521="SLT","WIP",IF(C521="CTL","WIP",IF(C521="RM SLT RUST","RM SLT RUST",0)))))))))))))&amp;"-"&amp;G521&amp;"/"&amp;IF(H521="2B","2B",IF(H521="NO.1","1D",IF(H521="FH","FH",0)))&amp;"-"&amp;IF(J521="",(TEXT(I521,"0.00")),TEXT(J521,"0.00"))&amp;"X"&amp;M521</f>
        <v>RM-304L/1D-3.91X642</v>
      </c>
      <c r="C521" s="173" t="s">
        <v>48</v>
      </c>
      <c r="D521" s="173" t="s">
        <v>48</v>
      </c>
      <c r="E521" s="190" t="s">
        <v>1930</v>
      </c>
      <c r="F521" s="190" t="s">
        <v>1931</v>
      </c>
      <c r="G521" s="173" t="s">
        <v>182</v>
      </c>
      <c r="H521" s="173" t="s">
        <v>127</v>
      </c>
      <c r="I521" s="174">
        <v>3.91</v>
      </c>
      <c r="J521" s="174"/>
      <c r="K521" s="174"/>
      <c r="L521" s="174"/>
      <c r="M521" s="191">
        <v>642</v>
      </c>
      <c r="N521" s="176">
        <v>10.54</v>
      </c>
      <c r="O521" s="176"/>
      <c r="P521" s="177"/>
      <c r="Q521" s="178"/>
      <c r="R521" s="179"/>
      <c r="S521" s="179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80" t="s">
        <v>1881</v>
      </c>
      <c r="AE521" s="173" t="s">
        <v>69</v>
      </c>
      <c r="AF521" s="181" t="s">
        <v>142</v>
      </c>
      <c r="AG521" s="192" t="s">
        <v>1887</v>
      </c>
      <c r="AH521" s="198"/>
      <c r="AI521" s="181">
        <v>44880</v>
      </c>
      <c r="AJ521" s="181"/>
      <c r="AK521" s="181">
        <f ca="1">TODAY()</f>
        <v>44958</v>
      </c>
      <c r="AL521" s="173">
        <f ca="1">IF(AI521&lt;&gt;0,AK521-AI521,0)</f>
        <v>78</v>
      </c>
      <c r="AM521" s="173" t="str">
        <f>IF(ISNUMBER(X521)=TRUE,AK521-X521,IF(X521="","",(AK521)-(MID(RIGHT(X521,10),4,2)&amp;"/"&amp;LEFT((RIGHT(X521,10)),2)&amp;"/"&amp;RIGHT(X521,4))))</f>
        <v/>
      </c>
      <c r="AN521" s="181"/>
      <c r="AO521" s="190" t="s">
        <v>1929</v>
      </c>
      <c r="AP521" s="176">
        <v>10.54</v>
      </c>
      <c r="AQ521" s="176">
        <v>10.549999999999999</v>
      </c>
      <c r="AR521" s="176">
        <v>10.574999999999998</v>
      </c>
      <c r="AS521" s="176">
        <v>10.579999999999998</v>
      </c>
      <c r="AT521" s="173" t="str">
        <f>IF(ISNUMBER(U521)=TRUE,AK521-U521,IF(U521="","",(AK521)-(MID(RIGHT(U521,10),4,2)&amp;"/"&amp;LEFT((RIGHT(U521,10)),2)&amp;"/"&amp;RIGHT(U521,4))))</f>
        <v/>
      </c>
      <c r="AU521" s="173">
        <v>459</v>
      </c>
      <c r="AW521" s="142" t="s">
        <v>123</v>
      </c>
    </row>
    <row r="522" spans="2:49" s="142" customFormat="1" ht="21" customHeight="1" x14ac:dyDescent="0.25">
      <c r="B522" s="173" t="str">
        <f>IF(C522="HOLD RM","HOLD RM",IF(C522="BAL","WIP",IF(C522="HOLD SLT","HOLD SLT",IF(C522="MILL","RM",IF(C522="RE SLT","WIP",IF(C522="RM","RM",IF(C522="RM BAL","RM",IF(C522="RM SLT","RM",IF(C522="RR","WIP",IF(C522="SKP","WIP",IF(C522="SLT","WIP",IF(C522="CTL","WIP",IF(C522="RM SLT RUST","RM SLT RUST",0)))))))))))))&amp;"-"&amp;G522&amp;"/"&amp;IF(H522="2B","2B",IF(H522="NO.1","1D",IF(H522="FH","FH",0)))&amp;"-"&amp;IF(J522="",(TEXT(I522,"0.00")),TEXT(J522,"0.00"))&amp;"X"&amp;M522</f>
        <v>RM-304/1D-3.90X637</v>
      </c>
      <c r="C522" s="173" t="s">
        <v>48</v>
      </c>
      <c r="D522" s="173" t="s">
        <v>48</v>
      </c>
      <c r="E522" s="190" t="s">
        <v>1932</v>
      </c>
      <c r="F522" s="190" t="s">
        <v>1933</v>
      </c>
      <c r="G522" s="173">
        <v>304</v>
      </c>
      <c r="H522" s="173" t="s">
        <v>127</v>
      </c>
      <c r="I522" s="174">
        <v>3.9</v>
      </c>
      <c r="J522" s="174"/>
      <c r="K522" s="174"/>
      <c r="L522" s="174"/>
      <c r="M522" s="191">
        <v>637</v>
      </c>
      <c r="N522" s="176">
        <v>10.365</v>
      </c>
      <c r="O522" s="176"/>
      <c r="P522" s="177"/>
      <c r="Q522" s="178"/>
      <c r="R522" s="179"/>
      <c r="S522" s="179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80" t="s">
        <v>1881</v>
      </c>
      <c r="AE522" s="173" t="s">
        <v>69</v>
      </c>
      <c r="AF522" s="181" t="s">
        <v>142</v>
      </c>
      <c r="AG522" s="192" t="s">
        <v>1887</v>
      </c>
      <c r="AH522" s="198"/>
      <c r="AI522" s="181">
        <v>44880</v>
      </c>
      <c r="AJ522" s="181"/>
      <c r="AK522" s="181">
        <f ca="1">TODAY()</f>
        <v>44958</v>
      </c>
      <c r="AL522" s="173">
        <f ca="1">IF(AI522&lt;&gt;0,AK522-AI522,0)</f>
        <v>78</v>
      </c>
      <c r="AM522" s="173" t="str">
        <f>IF(ISNUMBER(X522)=TRUE,AK522-X522,IF(X522="","",(AK522)-(MID(RIGHT(X522,10),4,2)&amp;"/"&amp;LEFT((RIGHT(X522,10)),2)&amp;"/"&amp;RIGHT(X522,4))))</f>
        <v/>
      </c>
      <c r="AN522" s="181"/>
      <c r="AO522" s="190" t="s">
        <v>1934</v>
      </c>
      <c r="AP522" s="176">
        <v>10.365</v>
      </c>
      <c r="AQ522" s="176">
        <v>10.375</v>
      </c>
      <c r="AR522" s="176">
        <v>10.399999999999999</v>
      </c>
      <c r="AS522" s="176">
        <v>10.404999999999999</v>
      </c>
      <c r="AT522" s="173" t="str">
        <f>IF(ISNUMBER(U522)=TRUE,AK522-U522,IF(U522="","",(AK522)-(MID(RIGHT(U522,10),4,2)&amp;"/"&amp;LEFT((RIGHT(U522,10)),2)&amp;"/"&amp;RIGHT(U522,4))))</f>
        <v/>
      </c>
      <c r="AU522" s="173">
        <v>459</v>
      </c>
      <c r="AW522" s="142" t="s">
        <v>123</v>
      </c>
    </row>
    <row r="523" spans="2:49" s="142" customFormat="1" ht="21" customHeight="1" x14ac:dyDescent="0.25">
      <c r="B523" s="173" t="str">
        <f>IF(C523="HOLD RM","HOLD RM",IF(C523="BAL","WIP",IF(C523="HOLD SLT","HOLD SLT",IF(C523="MILL","RM",IF(C523="RE SLT","WIP",IF(C523="RM","RM",IF(C523="RM BAL","RM",IF(C523="RM SLT","RM",IF(C523="RR","WIP",IF(C523="SKP","WIP",IF(C523="SLT","WIP",IF(C523="CTL","WIP",IF(C523="RM SLT RUST","RM SLT RUST",0)))))))))))))&amp;"-"&amp;G523&amp;"/"&amp;IF(H523="2B","2B",IF(H523="NO.1","1D",IF(H523="FH","FH",0)))&amp;"-"&amp;IF(J523="",(TEXT(I523,"0.00")),TEXT(J523,"0.00"))&amp;"X"&amp;M523</f>
        <v>RM-304/1D-3.91X638</v>
      </c>
      <c r="C523" s="173" t="s">
        <v>48</v>
      </c>
      <c r="D523" s="173" t="s">
        <v>48</v>
      </c>
      <c r="E523" s="190" t="s">
        <v>1935</v>
      </c>
      <c r="F523" s="190" t="s">
        <v>1936</v>
      </c>
      <c r="G523" s="173">
        <v>304</v>
      </c>
      <c r="H523" s="173" t="s">
        <v>127</v>
      </c>
      <c r="I523" s="174">
        <v>3.91</v>
      </c>
      <c r="J523" s="174"/>
      <c r="K523" s="174"/>
      <c r="L523" s="174"/>
      <c r="M523" s="191">
        <v>638</v>
      </c>
      <c r="N523" s="176">
        <v>10.37</v>
      </c>
      <c r="O523" s="176"/>
      <c r="P523" s="177"/>
      <c r="Q523" s="178"/>
      <c r="R523" s="179"/>
      <c r="S523" s="179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80" t="s">
        <v>1881</v>
      </c>
      <c r="AE523" s="173" t="s">
        <v>69</v>
      </c>
      <c r="AF523" s="181" t="s">
        <v>142</v>
      </c>
      <c r="AG523" s="192" t="s">
        <v>1887</v>
      </c>
      <c r="AH523" s="198"/>
      <c r="AI523" s="181">
        <v>44880</v>
      </c>
      <c r="AJ523" s="181"/>
      <c r="AK523" s="181">
        <f ca="1">TODAY()</f>
        <v>44958</v>
      </c>
      <c r="AL523" s="173">
        <f ca="1">IF(AI523&lt;&gt;0,AK523-AI523,0)</f>
        <v>78</v>
      </c>
      <c r="AM523" s="173" t="str">
        <f>IF(ISNUMBER(X523)=TRUE,AK523-X523,IF(X523="","",(AK523)-(MID(RIGHT(X523,10),4,2)&amp;"/"&amp;LEFT((RIGHT(X523,10)),2)&amp;"/"&amp;RIGHT(X523,4))))</f>
        <v/>
      </c>
      <c r="AN523" s="181"/>
      <c r="AO523" s="190" t="s">
        <v>1934</v>
      </c>
      <c r="AP523" s="176">
        <v>10.37</v>
      </c>
      <c r="AQ523" s="176">
        <v>10.379999999999999</v>
      </c>
      <c r="AR523" s="176">
        <v>10.404999999999998</v>
      </c>
      <c r="AS523" s="176">
        <v>10.409999999999998</v>
      </c>
      <c r="AT523" s="173" t="str">
        <f>IF(ISNUMBER(U523)=TRUE,AK523-U523,IF(U523="","",(AK523)-(MID(RIGHT(U523,10),4,2)&amp;"/"&amp;LEFT((RIGHT(U523,10)),2)&amp;"/"&amp;RIGHT(U523,4))))</f>
        <v/>
      </c>
      <c r="AU523" s="173">
        <v>459</v>
      </c>
      <c r="AW523" s="142" t="s">
        <v>123</v>
      </c>
    </row>
    <row r="524" spans="2:49" s="142" customFormat="1" ht="21" customHeight="1" x14ac:dyDescent="0.25">
      <c r="B524" s="173" t="str">
        <f>IF(C524="HOLD RM","HOLD RM",IF(C524="BAL","WIP",IF(C524="HOLD SLT","HOLD SLT",IF(C524="MILL","RM",IF(C524="RE SLT","WIP",IF(C524="RM","RM",IF(C524="RM BAL","RM",IF(C524="RM SLT","RM",IF(C524="RR","WIP",IF(C524="SKP","WIP",IF(C524="SLT","WIP",IF(C524="CTL","WIP",IF(C524="RM SLT RUST","RM SLT RUST",0)))))))))))))&amp;"-"&amp;G524&amp;"/"&amp;IF(H524="2B","2B",IF(H524="NO.1","1D",IF(H524="FH","FH",0)))&amp;"-"&amp;IF(J524="",(TEXT(I524,"0.00")),TEXT(J524,"0.00"))&amp;"X"&amp;M524</f>
        <v>RM-304L/1D-2.81X642</v>
      </c>
      <c r="C524" s="173" t="s">
        <v>48</v>
      </c>
      <c r="D524" s="173" t="s">
        <v>48</v>
      </c>
      <c r="E524" s="190" t="s">
        <v>1937</v>
      </c>
      <c r="F524" s="190" t="s">
        <v>1938</v>
      </c>
      <c r="G524" s="173" t="s">
        <v>182</v>
      </c>
      <c r="H524" s="173" t="s">
        <v>127</v>
      </c>
      <c r="I524" s="174">
        <v>2.81</v>
      </c>
      <c r="J524" s="174"/>
      <c r="K524" s="174"/>
      <c r="L524" s="174"/>
      <c r="M524" s="191">
        <v>642</v>
      </c>
      <c r="N524" s="176">
        <v>10.6</v>
      </c>
      <c r="O524" s="176"/>
      <c r="P524" s="177"/>
      <c r="Q524" s="178"/>
      <c r="R524" s="179"/>
      <c r="S524" s="179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80" t="s">
        <v>1881</v>
      </c>
      <c r="AE524" s="173" t="s">
        <v>69</v>
      </c>
      <c r="AF524" s="181" t="s">
        <v>142</v>
      </c>
      <c r="AG524" s="192" t="s">
        <v>1653</v>
      </c>
      <c r="AH524" s="198"/>
      <c r="AI524" s="181">
        <v>44880</v>
      </c>
      <c r="AJ524" s="181"/>
      <c r="AK524" s="181">
        <f ca="1">TODAY()</f>
        <v>44958</v>
      </c>
      <c r="AL524" s="173">
        <f ca="1">IF(AI524&lt;&gt;0,AK524-AI524,0)</f>
        <v>78</v>
      </c>
      <c r="AM524" s="173" t="str">
        <f>IF(ISNUMBER(X524)=TRUE,AK524-X524,IF(X524="","",(AK524)-(MID(RIGHT(X524,10),4,2)&amp;"/"&amp;LEFT((RIGHT(X524,10)),2)&amp;"/"&amp;RIGHT(X524,4))))</f>
        <v/>
      </c>
      <c r="AN524" s="181"/>
      <c r="AO524" s="190" t="s">
        <v>1939</v>
      </c>
      <c r="AP524" s="176">
        <v>10.6</v>
      </c>
      <c r="AQ524" s="176">
        <v>10.61</v>
      </c>
      <c r="AR524" s="176">
        <v>10.634999999999998</v>
      </c>
      <c r="AS524" s="176">
        <v>10.639999999999999</v>
      </c>
      <c r="AT524" s="173" t="str">
        <f>IF(ISNUMBER(U524)=TRUE,AK524-U524,IF(U524="","",(AK524)-(MID(RIGHT(U524,10),4,2)&amp;"/"&amp;LEFT((RIGHT(U524,10)),2)&amp;"/"&amp;RIGHT(U524,4))))</f>
        <v/>
      </c>
      <c r="AU524" s="173">
        <v>459</v>
      </c>
      <c r="AW524" s="142" t="s">
        <v>123</v>
      </c>
    </row>
    <row r="525" spans="2:49" s="142" customFormat="1" ht="21" customHeight="1" x14ac:dyDescent="0.25">
      <c r="B525" s="173" t="str">
        <f>IF(C525="HOLD RM","HOLD RM",IF(C525="BAL","WIP",IF(C525="HOLD SLT","HOLD SLT",IF(C525="MILL","RM",IF(C525="RE SLT","WIP",IF(C525="RM","RM",IF(C525="RM BAL","RM",IF(C525="RM SLT","RM",IF(C525="RR","WIP",IF(C525="SKP","WIP",IF(C525="SLT","WIP",IF(C525="CTL","WIP",IF(C525="RM SLT RUST","RM SLT RUST",0)))))))))))))&amp;"-"&amp;G525&amp;"/"&amp;IF(H525="2B","2B",IF(H525="NO.1","1D",IF(H525="FH","FH",0)))&amp;"-"&amp;IF(J525="",(TEXT(I525,"0.00")),TEXT(J525,"0.00"))&amp;"X"&amp;M525</f>
        <v>RM-304L/1D-2.92X642</v>
      </c>
      <c r="C525" s="173" t="s">
        <v>48</v>
      </c>
      <c r="D525" s="173" t="s">
        <v>48</v>
      </c>
      <c r="E525" s="190" t="s">
        <v>1940</v>
      </c>
      <c r="F525" s="190" t="s">
        <v>1941</v>
      </c>
      <c r="G525" s="173" t="s">
        <v>182</v>
      </c>
      <c r="H525" s="173" t="s">
        <v>127</v>
      </c>
      <c r="I525" s="174">
        <v>2.92</v>
      </c>
      <c r="J525" s="174"/>
      <c r="K525" s="174"/>
      <c r="L525" s="174"/>
      <c r="M525" s="191">
        <v>642</v>
      </c>
      <c r="N525" s="176">
        <v>10.49</v>
      </c>
      <c r="O525" s="176"/>
      <c r="P525" s="177"/>
      <c r="Q525" s="178"/>
      <c r="R525" s="179"/>
      <c r="S525" s="179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80" t="s">
        <v>1881</v>
      </c>
      <c r="AE525" s="173" t="s">
        <v>69</v>
      </c>
      <c r="AF525" s="181" t="s">
        <v>142</v>
      </c>
      <c r="AG525" s="192" t="s">
        <v>1653</v>
      </c>
      <c r="AH525" s="198"/>
      <c r="AI525" s="181">
        <v>44880</v>
      </c>
      <c r="AJ525" s="181"/>
      <c r="AK525" s="181">
        <f ca="1">TODAY()</f>
        <v>44958</v>
      </c>
      <c r="AL525" s="173">
        <f ca="1">IF(AI525&lt;&gt;0,AK525-AI525,0)</f>
        <v>78</v>
      </c>
      <c r="AM525" s="173" t="str">
        <f>IF(ISNUMBER(X525)=TRUE,AK525-X525,IF(X525="","",(AK525)-(MID(RIGHT(X525,10),4,2)&amp;"/"&amp;LEFT((RIGHT(X525,10)),2)&amp;"/"&amp;RIGHT(X525,4))))</f>
        <v/>
      </c>
      <c r="AN525" s="181"/>
      <c r="AO525" s="190" t="s">
        <v>1942</v>
      </c>
      <c r="AP525" s="176">
        <v>10.49</v>
      </c>
      <c r="AQ525" s="176">
        <v>10.5</v>
      </c>
      <c r="AR525" s="176">
        <v>10.524999999999999</v>
      </c>
      <c r="AS525" s="176">
        <v>10.53</v>
      </c>
      <c r="AT525" s="173" t="str">
        <f>IF(ISNUMBER(U525)=TRUE,AK525-U525,IF(U525="","",(AK525)-(MID(RIGHT(U525,10),4,2)&amp;"/"&amp;LEFT((RIGHT(U525,10)),2)&amp;"/"&amp;RIGHT(U525,4))))</f>
        <v/>
      </c>
      <c r="AU525" s="173">
        <v>459</v>
      </c>
      <c r="AW525" s="142" t="s">
        <v>123</v>
      </c>
    </row>
    <row r="526" spans="2:49" s="142" customFormat="1" ht="21" customHeight="1" x14ac:dyDescent="0.25">
      <c r="B526" s="173" t="str">
        <f>IF(C526="HOLD RM","HOLD RM",IF(C526="BAL","WIP",IF(C526="HOLD SLT","HOLD SLT",IF(C526="MILL","RM",IF(C526="RE SLT","WIP",IF(C526="RM","RM",IF(C526="RM BAL","RM",IF(C526="RM SLT","RM",IF(C526="RR","WIP",IF(C526="SKP","WIP",IF(C526="SLT","WIP",IF(C526="CTL","WIP",IF(C526="RM SLT RUST","RM SLT RUST",0)))))))))))))&amp;"-"&amp;G526&amp;"/"&amp;IF(H526="2B","2B",IF(H526="NO.1","1D",IF(H526="FH","FH",0)))&amp;"-"&amp;IF(J526="",(TEXT(I526,"0.00")),TEXT(J526,"0.00"))&amp;"X"&amp;M526</f>
        <v>RM-304L/1D-2.91X642</v>
      </c>
      <c r="C526" s="173" t="s">
        <v>48</v>
      </c>
      <c r="D526" s="173" t="s">
        <v>48</v>
      </c>
      <c r="E526" s="190" t="s">
        <v>1943</v>
      </c>
      <c r="F526" s="190" t="s">
        <v>1944</v>
      </c>
      <c r="G526" s="173" t="s">
        <v>182</v>
      </c>
      <c r="H526" s="173" t="s">
        <v>127</v>
      </c>
      <c r="I526" s="174">
        <v>2.91</v>
      </c>
      <c r="J526" s="174"/>
      <c r="K526" s="174"/>
      <c r="L526" s="174"/>
      <c r="M526" s="191">
        <v>642</v>
      </c>
      <c r="N526" s="176">
        <v>10.505000000000001</v>
      </c>
      <c r="O526" s="176"/>
      <c r="P526" s="177"/>
      <c r="Q526" s="178"/>
      <c r="R526" s="179"/>
      <c r="S526" s="179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80" t="s">
        <v>1881</v>
      </c>
      <c r="AE526" s="173" t="s">
        <v>69</v>
      </c>
      <c r="AF526" s="181" t="s">
        <v>142</v>
      </c>
      <c r="AG526" s="192" t="s">
        <v>1653</v>
      </c>
      <c r="AH526" s="198"/>
      <c r="AI526" s="181">
        <v>44880</v>
      </c>
      <c r="AJ526" s="181"/>
      <c r="AK526" s="181">
        <f ca="1">TODAY()</f>
        <v>44958</v>
      </c>
      <c r="AL526" s="173">
        <f ca="1">IF(AI526&lt;&gt;0,AK526-AI526,0)</f>
        <v>78</v>
      </c>
      <c r="AM526" s="173" t="str">
        <f>IF(ISNUMBER(X526)=TRUE,AK526-X526,IF(X526="","",(AK526)-(MID(RIGHT(X526,10),4,2)&amp;"/"&amp;LEFT((RIGHT(X526,10)),2)&amp;"/"&amp;RIGHT(X526,4))))</f>
        <v/>
      </c>
      <c r="AN526" s="181"/>
      <c r="AO526" s="190" t="s">
        <v>1942</v>
      </c>
      <c r="AP526" s="176">
        <v>10.505000000000001</v>
      </c>
      <c r="AQ526" s="176">
        <v>10.515000000000001</v>
      </c>
      <c r="AR526" s="176">
        <v>10.54</v>
      </c>
      <c r="AS526" s="176">
        <v>10.545</v>
      </c>
      <c r="AT526" s="173" t="str">
        <f>IF(ISNUMBER(U526)=TRUE,AK526-U526,IF(U526="","",(AK526)-(MID(RIGHT(U526,10),4,2)&amp;"/"&amp;LEFT((RIGHT(U526,10)),2)&amp;"/"&amp;RIGHT(U526,4))))</f>
        <v/>
      </c>
      <c r="AU526" s="173">
        <v>459</v>
      </c>
      <c r="AW526" s="142" t="s">
        <v>123</v>
      </c>
    </row>
    <row r="527" spans="2:49" s="142" customFormat="1" ht="21" customHeight="1" x14ac:dyDescent="0.25">
      <c r="B527" s="173" t="str">
        <f>IF(C527="HOLD RM","HOLD RM",IF(C527="BAL","WIP",IF(C527="HOLD SLT","HOLD SLT",IF(C527="MILL","RM",IF(C527="RE SLT","WIP",IF(C527="RM","RM",IF(C527="RM BAL","RM",IF(C527="RM SLT","RM",IF(C527="RR","WIP",IF(C527="SKP","WIP",IF(C527="SLT","WIP",IF(C527="CTL","WIP",IF(C527="RM SLT RUST","RM SLT RUST",0)))))))))))))&amp;"-"&amp;G527&amp;"/"&amp;IF(H527="2B","2B",IF(H527="NO.1","1D",IF(H527="FH","FH",0)))&amp;"-"&amp;IF(J527="",(TEXT(I527,"0.00")),TEXT(J527,"0.00"))&amp;"X"&amp;M527</f>
        <v>RM-304/1D-2.52X643</v>
      </c>
      <c r="C527" s="173" t="s">
        <v>48</v>
      </c>
      <c r="D527" s="173" t="s">
        <v>48</v>
      </c>
      <c r="E527" s="190" t="s">
        <v>1945</v>
      </c>
      <c r="F527" s="190" t="s">
        <v>1946</v>
      </c>
      <c r="G527" s="173">
        <v>304</v>
      </c>
      <c r="H527" s="173" t="s">
        <v>127</v>
      </c>
      <c r="I527" s="174">
        <v>2.52</v>
      </c>
      <c r="J527" s="174"/>
      <c r="K527" s="174"/>
      <c r="L527" s="174"/>
      <c r="M527" s="191">
        <v>643</v>
      </c>
      <c r="N527" s="176">
        <v>10.645</v>
      </c>
      <c r="O527" s="176"/>
      <c r="P527" s="177"/>
      <c r="Q527" s="178"/>
      <c r="R527" s="179"/>
      <c r="S527" s="179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80" t="s">
        <v>1881</v>
      </c>
      <c r="AE527" s="173" t="s">
        <v>69</v>
      </c>
      <c r="AF527" s="181" t="s">
        <v>142</v>
      </c>
      <c r="AG527" s="192" t="s">
        <v>1653</v>
      </c>
      <c r="AH527" s="198"/>
      <c r="AI527" s="181">
        <v>44880</v>
      </c>
      <c r="AJ527" s="181"/>
      <c r="AK527" s="181">
        <f ca="1">TODAY()</f>
        <v>44958</v>
      </c>
      <c r="AL527" s="173">
        <f ca="1">IF(AI527&lt;&gt;0,AK527-AI527,0)</f>
        <v>78</v>
      </c>
      <c r="AM527" s="173" t="str">
        <f>IF(ISNUMBER(X527)=TRUE,AK527-X527,IF(X527="","",(AK527)-(MID(RIGHT(X527,10),4,2)&amp;"/"&amp;LEFT((RIGHT(X527,10)),2)&amp;"/"&amp;RIGHT(X527,4))))</f>
        <v/>
      </c>
      <c r="AN527" s="181"/>
      <c r="AO527" s="190" t="s">
        <v>1947</v>
      </c>
      <c r="AP527" s="176">
        <v>10.645</v>
      </c>
      <c r="AQ527" s="176">
        <v>10.654999999999999</v>
      </c>
      <c r="AR527" s="176">
        <v>10.679999999999998</v>
      </c>
      <c r="AS527" s="176">
        <v>10.684999999999999</v>
      </c>
      <c r="AT527" s="173" t="str">
        <f>IF(ISNUMBER(U527)=TRUE,AK527-U527,IF(U527="","",(AK527)-(MID(RIGHT(U527,10),4,2)&amp;"/"&amp;LEFT((RIGHT(U527,10)),2)&amp;"/"&amp;RIGHT(U527,4))))</f>
        <v/>
      </c>
      <c r="AU527" s="173">
        <v>459</v>
      </c>
      <c r="AW527" s="142" t="s">
        <v>123</v>
      </c>
    </row>
    <row r="528" spans="2:49" s="142" customFormat="1" ht="21" customHeight="1" x14ac:dyDescent="0.25">
      <c r="B528" s="173" t="str">
        <f>IF(C528="HOLD RM","HOLD RM",IF(C528="BAL","WIP",IF(C528="HOLD SLT","HOLD SLT",IF(C528="MILL","RM",IF(C528="RE SLT","WIP",IF(C528="RM","RM",IF(C528="RM BAL","RM",IF(C528="RM SLT","RM",IF(C528="RR","WIP",IF(C528="SKP","WIP",IF(C528="SLT","WIP",IF(C528="CTL","WIP",IF(C528="RM SLT RUST","RM SLT RUST",0)))))))))))))&amp;"-"&amp;G528&amp;"/"&amp;IF(H528="2B","2B",IF(H528="NO.1","1D",IF(H528="FH","FH",0)))&amp;"-"&amp;IF(J528="",(TEXT(I528,"0.00")),TEXT(J528,"0.00"))&amp;"X"&amp;M528</f>
        <v>RM-304/1D-2.52X642</v>
      </c>
      <c r="C528" s="173" t="s">
        <v>48</v>
      </c>
      <c r="D528" s="173" t="s">
        <v>48</v>
      </c>
      <c r="E528" s="190" t="s">
        <v>1948</v>
      </c>
      <c r="F528" s="190" t="s">
        <v>1949</v>
      </c>
      <c r="G528" s="173">
        <v>304</v>
      </c>
      <c r="H528" s="173" t="s">
        <v>127</v>
      </c>
      <c r="I528" s="174">
        <v>2.52</v>
      </c>
      <c r="J528" s="174"/>
      <c r="K528" s="174"/>
      <c r="L528" s="174"/>
      <c r="M528" s="191">
        <v>642</v>
      </c>
      <c r="N528" s="176">
        <v>10.625</v>
      </c>
      <c r="O528" s="176"/>
      <c r="P528" s="177"/>
      <c r="Q528" s="178"/>
      <c r="R528" s="179"/>
      <c r="S528" s="179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80" t="s">
        <v>1881</v>
      </c>
      <c r="AE528" s="173" t="s">
        <v>69</v>
      </c>
      <c r="AF528" s="181" t="s">
        <v>142</v>
      </c>
      <c r="AG528" s="192" t="s">
        <v>1653</v>
      </c>
      <c r="AH528" s="198"/>
      <c r="AI528" s="181">
        <v>44880</v>
      </c>
      <c r="AJ528" s="181"/>
      <c r="AK528" s="181">
        <f ca="1">TODAY()</f>
        <v>44958</v>
      </c>
      <c r="AL528" s="173">
        <f ca="1">IF(AI528&lt;&gt;0,AK528-AI528,0)</f>
        <v>78</v>
      </c>
      <c r="AM528" s="173" t="str">
        <f>IF(ISNUMBER(X528)=TRUE,AK528-X528,IF(X528="","",(AK528)-(MID(RIGHT(X528,10),4,2)&amp;"/"&amp;LEFT((RIGHT(X528,10)),2)&amp;"/"&amp;RIGHT(X528,4))))</f>
        <v/>
      </c>
      <c r="AN528" s="181"/>
      <c r="AO528" s="190" t="s">
        <v>1947</v>
      </c>
      <c r="AP528" s="176">
        <v>10.625</v>
      </c>
      <c r="AQ528" s="176">
        <v>10.635</v>
      </c>
      <c r="AR528" s="176">
        <v>10.659999999999998</v>
      </c>
      <c r="AS528" s="176">
        <v>10.664999999999999</v>
      </c>
      <c r="AT528" s="173" t="str">
        <f>IF(ISNUMBER(U528)=TRUE,AK528-U528,IF(U528="","",(AK528)-(MID(RIGHT(U528,10),4,2)&amp;"/"&amp;LEFT((RIGHT(U528,10)),2)&amp;"/"&amp;RIGHT(U528,4))))</f>
        <v/>
      </c>
      <c r="AU528" s="173">
        <v>459</v>
      </c>
      <c r="AW528" s="142" t="s">
        <v>123</v>
      </c>
    </row>
    <row r="529" spans="2:49" s="142" customFormat="1" ht="21" customHeight="1" x14ac:dyDescent="0.25">
      <c r="B529" s="173" t="str">
        <f>IF(C529="HOLD RM","HOLD RM",IF(C529="BAL","WIP",IF(C529="HOLD SLT","HOLD SLT",IF(C529="MILL","RM",IF(C529="RE SLT","WIP",IF(C529="RM","RM",IF(C529="RM BAL","RM",IF(C529="RM SLT","RM",IF(C529="RR","WIP",IF(C529="SKP","WIP",IF(C529="SLT","WIP",IF(C529="CTL","WIP",IF(C529="RM SLT RUST","RM SLT RUST",0)))))))))))))&amp;"-"&amp;G529&amp;"/"&amp;IF(H529="2B","2B",IF(H529="NO.1","1D",IF(H529="FH","FH",0)))&amp;"-"&amp;IF(J529="",(TEXT(I529,"0.00")),TEXT(J529,"0.00"))&amp;"X"&amp;M529</f>
        <v>RM-304/1D-2.52X644</v>
      </c>
      <c r="C529" s="173" t="s">
        <v>48</v>
      </c>
      <c r="D529" s="173" t="s">
        <v>48</v>
      </c>
      <c r="E529" s="190" t="s">
        <v>1950</v>
      </c>
      <c r="F529" s="190" t="s">
        <v>1951</v>
      </c>
      <c r="G529" s="173">
        <v>304</v>
      </c>
      <c r="H529" s="173" t="s">
        <v>127</v>
      </c>
      <c r="I529" s="174">
        <v>2.52</v>
      </c>
      <c r="J529" s="174"/>
      <c r="K529" s="174"/>
      <c r="L529" s="174"/>
      <c r="M529" s="191">
        <v>644</v>
      </c>
      <c r="N529" s="176">
        <v>10.65</v>
      </c>
      <c r="O529" s="176"/>
      <c r="P529" s="177"/>
      <c r="Q529" s="178"/>
      <c r="R529" s="179"/>
      <c r="S529" s="179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80" t="s">
        <v>1881</v>
      </c>
      <c r="AE529" s="173" t="s">
        <v>69</v>
      </c>
      <c r="AF529" s="181" t="s">
        <v>142</v>
      </c>
      <c r="AG529" s="192" t="s">
        <v>1653</v>
      </c>
      <c r="AH529" s="198"/>
      <c r="AI529" s="181">
        <v>44880</v>
      </c>
      <c r="AJ529" s="181"/>
      <c r="AK529" s="181">
        <f ca="1">TODAY()</f>
        <v>44958</v>
      </c>
      <c r="AL529" s="173">
        <f ca="1">IF(AI529&lt;&gt;0,AK529-AI529,0)</f>
        <v>78</v>
      </c>
      <c r="AM529" s="173" t="str">
        <f>IF(ISNUMBER(X529)=TRUE,AK529-X529,IF(X529="","",(AK529)-(MID(RIGHT(X529,10),4,2)&amp;"/"&amp;LEFT((RIGHT(X529,10)),2)&amp;"/"&amp;RIGHT(X529,4))))</f>
        <v/>
      </c>
      <c r="AN529" s="181"/>
      <c r="AO529" s="190" t="s">
        <v>1952</v>
      </c>
      <c r="AP529" s="176">
        <v>10.65</v>
      </c>
      <c r="AQ529" s="176">
        <v>10.66</v>
      </c>
      <c r="AR529" s="176">
        <v>10.684999999999999</v>
      </c>
      <c r="AS529" s="176">
        <v>10.69</v>
      </c>
      <c r="AT529" s="173" t="str">
        <f>IF(ISNUMBER(U529)=TRUE,AK529-U529,IF(U529="","",(AK529)-(MID(RIGHT(U529,10),4,2)&amp;"/"&amp;LEFT((RIGHT(U529,10)),2)&amp;"/"&amp;RIGHT(U529,4))))</f>
        <v/>
      </c>
      <c r="AU529" s="173">
        <v>459</v>
      </c>
      <c r="AW529" s="142" t="s">
        <v>123</v>
      </c>
    </row>
    <row r="530" spans="2:49" s="142" customFormat="1" ht="21" customHeight="1" x14ac:dyDescent="0.25">
      <c r="B530" s="173" t="str">
        <f>IF(C530="HOLD RM","HOLD RM",IF(C530="BAL","WIP",IF(C530="HOLD SLT","HOLD SLT",IF(C530="MILL","RM",IF(C530="RE SLT","WIP",IF(C530="RM","RM",IF(C530="RM BAL","RM",IF(C530="RM SLT","RM",IF(C530="RR","WIP",IF(C530="SKP","WIP",IF(C530="SLT","WIP",IF(C530="CTL","WIP",IF(C530="RM SLT RUST","RM SLT RUST",0)))))))))))))&amp;"-"&amp;G530&amp;"/"&amp;IF(H530="2B","2B",IF(H530="NO.1","1D",IF(H530="FH","FH",0)))&amp;"-"&amp;IF(J530="",(TEXT(I530,"0.00")),TEXT(J530,"0.00"))&amp;"X"&amp;M530</f>
        <v>RM-304/1D-2.52X642</v>
      </c>
      <c r="C530" s="173" t="s">
        <v>48</v>
      </c>
      <c r="D530" s="173" t="s">
        <v>48</v>
      </c>
      <c r="E530" s="190" t="s">
        <v>1953</v>
      </c>
      <c r="F530" s="190" t="s">
        <v>1954</v>
      </c>
      <c r="G530" s="173">
        <v>304</v>
      </c>
      <c r="H530" s="173" t="s">
        <v>127</v>
      </c>
      <c r="I530" s="174">
        <v>2.52</v>
      </c>
      <c r="J530" s="174"/>
      <c r="K530" s="174"/>
      <c r="L530" s="174"/>
      <c r="M530" s="191">
        <v>642</v>
      </c>
      <c r="N530" s="176">
        <v>10.62</v>
      </c>
      <c r="O530" s="176"/>
      <c r="P530" s="177"/>
      <c r="Q530" s="178"/>
      <c r="R530" s="179"/>
      <c r="S530" s="179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80" t="s">
        <v>1881</v>
      </c>
      <c r="AE530" s="173" t="s">
        <v>69</v>
      </c>
      <c r="AF530" s="181" t="s">
        <v>142</v>
      </c>
      <c r="AG530" s="192" t="s">
        <v>1653</v>
      </c>
      <c r="AH530" s="198"/>
      <c r="AI530" s="181">
        <v>44880</v>
      </c>
      <c r="AJ530" s="181"/>
      <c r="AK530" s="181">
        <f ca="1">TODAY()</f>
        <v>44958</v>
      </c>
      <c r="AL530" s="173">
        <f ca="1">IF(AI530&lt;&gt;0,AK530-AI530,0)</f>
        <v>78</v>
      </c>
      <c r="AM530" s="173" t="str">
        <f>IF(ISNUMBER(X530)=TRUE,AK530-X530,IF(X530="","",(AK530)-(MID(RIGHT(X530,10),4,2)&amp;"/"&amp;LEFT((RIGHT(X530,10)),2)&amp;"/"&amp;RIGHT(X530,4))))</f>
        <v/>
      </c>
      <c r="AN530" s="181"/>
      <c r="AO530" s="190" t="s">
        <v>1952</v>
      </c>
      <c r="AP530" s="176">
        <v>10.62</v>
      </c>
      <c r="AQ530" s="176">
        <v>10.629999999999999</v>
      </c>
      <c r="AR530" s="176">
        <v>10.654999999999998</v>
      </c>
      <c r="AS530" s="176">
        <v>10.659999999999998</v>
      </c>
      <c r="AT530" s="173" t="str">
        <f>IF(ISNUMBER(U530)=TRUE,AK530-U530,IF(U530="","",(AK530)-(MID(RIGHT(U530,10),4,2)&amp;"/"&amp;LEFT((RIGHT(U530,10)),2)&amp;"/"&amp;RIGHT(U530,4))))</f>
        <v/>
      </c>
      <c r="AU530" s="173">
        <v>459</v>
      </c>
      <c r="AW530" s="142" t="s">
        <v>123</v>
      </c>
    </row>
    <row r="531" spans="2:49" s="142" customFormat="1" ht="21" customHeight="1" x14ac:dyDescent="0.25">
      <c r="B531" s="173" t="str">
        <f>IF(C531="HOLD RM","HOLD RM",IF(C531="BAL","WIP",IF(C531="HOLD SLT","HOLD SLT",IF(C531="MILL","RM",IF(C531="RE SLT","WIP",IF(C531="RM","RM",IF(C531="RM BAL","RM",IF(C531="RM SLT","RM",IF(C531="RR","WIP",IF(C531="SKP","WIP",IF(C531="SLT","WIP",IF(C531="CTL","WIP",IF(C531="RM SLT RUST","RM SLT RUST",0)))))))))))))&amp;"-"&amp;G531&amp;"/"&amp;IF(H531="2B","2B",IF(H531="NO.1","1D",IF(H531="FH","FH",0)))&amp;"-"&amp;IF(J531="",(TEXT(I531,"0.00")),TEXT(J531,"0.00"))&amp;"X"&amp;M531</f>
        <v>RM-304L/1D-3.91X641</v>
      </c>
      <c r="C531" s="173" t="s">
        <v>48</v>
      </c>
      <c r="D531" s="173" t="s">
        <v>48</v>
      </c>
      <c r="E531" s="190" t="s">
        <v>1955</v>
      </c>
      <c r="F531" s="190" t="s">
        <v>1956</v>
      </c>
      <c r="G531" s="173" t="s">
        <v>182</v>
      </c>
      <c r="H531" s="173" t="s">
        <v>127</v>
      </c>
      <c r="I531" s="174">
        <v>3.91</v>
      </c>
      <c r="J531" s="174"/>
      <c r="K531" s="174"/>
      <c r="L531" s="174"/>
      <c r="M531" s="191">
        <v>641</v>
      </c>
      <c r="N531" s="176">
        <v>10.42</v>
      </c>
      <c r="O531" s="176"/>
      <c r="P531" s="177"/>
      <c r="Q531" s="178"/>
      <c r="R531" s="179"/>
      <c r="S531" s="179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80" t="s">
        <v>1881</v>
      </c>
      <c r="AE531" s="173" t="s">
        <v>69</v>
      </c>
      <c r="AF531" s="181" t="s">
        <v>142</v>
      </c>
      <c r="AG531" s="192" t="s">
        <v>1887</v>
      </c>
      <c r="AH531" s="198"/>
      <c r="AI531" s="181">
        <v>44880</v>
      </c>
      <c r="AJ531" s="181"/>
      <c r="AK531" s="181">
        <f ca="1">TODAY()</f>
        <v>44958</v>
      </c>
      <c r="AL531" s="173">
        <f ca="1">IF(AI531&lt;&gt;0,AK531-AI531,0)</f>
        <v>78</v>
      </c>
      <c r="AM531" s="173" t="str">
        <f>IF(ISNUMBER(X531)=TRUE,AK531-X531,IF(X531="","",(AK531)-(MID(RIGHT(X531,10),4,2)&amp;"/"&amp;LEFT((RIGHT(X531,10)),2)&amp;"/"&amp;RIGHT(X531,4))))</f>
        <v/>
      </c>
      <c r="AN531" s="181"/>
      <c r="AO531" s="190" t="s">
        <v>1957</v>
      </c>
      <c r="AP531" s="176">
        <v>10.42</v>
      </c>
      <c r="AQ531" s="176">
        <v>10.43</v>
      </c>
      <c r="AR531" s="176">
        <v>10.454999999999998</v>
      </c>
      <c r="AS531" s="176">
        <v>10.459999999999999</v>
      </c>
      <c r="AT531" s="173" t="str">
        <f>IF(ISNUMBER(U531)=TRUE,AK531-U531,IF(U531="","",(AK531)-(MID(RIGHT(U531,10),4,2)&amp;"/"&amp;LEFT((RIGHT(U531,10)),2)&amp;"/"&amp;RIGHT(U531,4))))</f>
        <v/>
      </c>
      <c r="AU531" s="173">
        <v>459</v>
      </c>
      <c r="AW531" s="142" t="s">
        <v>123</v>
      </c>
    </row>
    <row r="532" spans="2:49" s="142" customFormat="1" ht="21" customHeight="1" x14ac:dyDescent="0.25">
      <c r="B532" s="173" t="str">
        <f>IF(C532="HOLD RM","HOLD RM",IF(C532="BAL","WIP",IF(C532="HOLD SLT","HOLD SLT",IF(C532="MILL","RM",IF(C532="RE SLT","WIP",IF(C532="RM","RM",IF(C532="RM BAL","RM",IF(C532="RM SLT","RM",IF(C532="RR","WIP",IF(C532="SKP","WIP",IF(C532="SLT","WIP",IF(C532="CTL","WIP",IF(C532="RM SLT RUST","RM SLT RUST",0)))))))))))))&amp;"-"&amp;G532&amp;"/"&amp;IF(H532="2B","2B",IF(H532="NO.1","1D",IF(H532="FH","FH",0)))&amp;"-"&amp;IF(J532="",(TEXT(I532,"0.00")),TEXT(J532,"0.00"))&amp;"X"&amp;M532</f>
        <v>RM-304L/1D-3.90X642</v>
      </c>
      <c r="C532" s="173" t="s">
        <v>48</v>
      </c>
      <c r="D532" s="173" t="s">
        <v>48</v>
      </c>
      <c r="E532" s="190" t="s">
        <v>1958</v>
      </c>
      <c r="F532" s="190" t="s">
        <v>1959</v>
      </c>
      <c r="G532" s="173" t="s">
        <v>182</v>
      </c>
      <c r="H532" s="173" t="s">
        <v>127</v>
      </c>
      <c r="I532" s="174">
        <v>3.9</v>
      </c>
      <c r="J532" s="174"/>
      <c r="K532" s="174"/>
      <c r="L532" s="174"/>
      <c r="M532" s="191">
        <v>642</v>
      </c>
      <c r="N532" s="176">
        <v>10.505000000000001</v>
      </c>
      <c r="O532" s="176"/>
      <c r="P532" s="177"/>
      <c r="Q532" s="178"/>
      <c r="R532" s="179"/>
      <c r="S532" s="179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80" t="s">
        <v>1881</v>
      </c>
      <c r="AE532" s="173" t="s">
        <v>69</v>
      </c>
      <c r="AF532" s="181" t="s">
        <v>142</v>
      </c>
      <c r="AG532" s="192" t="s">
        <v>1887</v>
      </c>
      <c r="AH532" s="198"/>
      <c r="AI532" s="181">
        <v>44880</v>
      </c>
      <c r="AJ532" s="181"/>
      <c r="AK532" s="181">
        <f ca="1">TODAY()</f>
        <v>44958</v>
      </c>
      <c r="AL532" s="173">
        <f ca="1">IF(AI532&lt;&gt;0,AK532-AI532,0)</f>
        <v>78</v>
      </c>
      <c r="AM532" s="173" t="str">
        <f>IF(ISNUMBER(X532)=TRUE,AK532-X532,IF(X532="","",(AK532)-(MID(RIGHT(X532,10),4,2)&amp;"/"&amp;LEFT((RIGHT(X532,10)),2)&amp;"/"&amp;RIGHT(X532,4))))</f>
        <v/>
      </c>
      <c r="AN532" s="181"/>
      <c r="AO532" s="190" t="s">
        <v>1957</v>
      </c>
      <c r="AP532" s="176">
        <v>10.505000000000001</v>
      </c>
      <c r="AQ532" s="176">
        <v>10.515000000000001</v>
      </c>
      <c r="AR532" s="176">
        <v>10.54</v>
      </c>
      <c r="AS532" s="176">
        <v>10.545</v>
      </c>
      <c r="AT532" s="173" t="str">
        <f>IF(ISNUMBER(U532)=TRUE,AK532-U532,IF(U532="","",(AK532)-(MID(RIGHT(U532,10),4,2)&amp;"/"&amp;LEFT((RIGHT(U532,10)),2)&amp;"/"&amp;RIGHT(U532,4))))</f>
        <v/>
      </c>
      <c r="AU532" s="173">
        <v>459</v>
      </c>
      <c r="AW532" s="142" t="s">
        <v>123</v>
      </c>
    </row>
    <row r="533" spans="2:49" s="142" customFormat="1" ht="21" customHeight="1" x14ac:dyDescent="0.25">
      <c r="B533" s="173" t="str">
        <f>IF(C533="HOLD RM","HOLD RM",IF(C533="BAL","WIP",IF(C533="HOLD SLT","HOLD SLT",IF(C533="MILL","RM",IF(C533="RE SLT","WIP",IF(C533="RM","RM",IF(C533="RM BAL","RM",IF(C533="RM SLT","RM",IF(C533="RR","WIP",IF(C533="SKP","WIP",IF(C533="SLT","WIP",IF(C533="CTL","WIP",IF(C533="RM SLT RUST","RM SLT RUST",0)))))))))))))&amp;"-"&amp;G533&amp;"/"&amp;IF(H533="2B","2B",IF(H533="NO.1","1D",IF(H533="FH","FH",0)))&amp;"-"&amp;IF(J533="",(TEXT(I533,"0.00")),TEXT(J533,"0.00"))&amp;"X"&amp;M533</f>
        <v>RM-304/1D-3.51X642</v>
      </c>
      <c r="C533" s="173" t="s">
        <v>48</v>
      </c>
      <c r="D533" s="173" t="s">
        <v>48</v>
      </c>
      <c r="E533" s="190" t="s">
        <v>1960</v>
      </c>
      <c r="F533" s="190" t="s">
        <v>1961</v>
      </c>
      <c r="G533" s="173">
        <v>304</v>
      </c>
      <c r="H533" s="173" t="s">
        <v>127</v>
      </c>
      <c r="I533" s="174">
        <v>3.51</v>
      </c>
      <c r="J533" s="174"/>
      <c r="K533" s="174"/>
      <c r="L533" s="174"/>
      <c r="M533" s="191">
        <v>642</v>
      </c>
      <c r="N533" s="176">
        <v>10.53</v>
      </c>
      <c r="O533" s="176"/>
      <c r="P533" s="177"/>
      <c r="Q533" s="178"/>
      <c r="R533" s="179"/>
      <c r="S533" s="179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80" t="s">
        <v>1898</v>
      </c>
      <c r="AE533" s="173" t="s">
        <v>69</v>
      </c>
      <c r="AF533" s="181" t="s">
        <v>142</v>
      </c>
      <c r="AG533" s="192" t="s">
        <v>1887</v>
      </c>
      <c r="AH533" s="198"/>
      <c r="AI533" s="181">
        <v>44880</v>
      </c>
      <c r="AJ533" s="181"/>
      <c r="AK533" s="181">
        <f ca="1">TODAY()</f>
        <v>44958</v>
      </c>
      <c r="AL533" s="173">
        <f ca="1">IF(AI533&lt;&gt;0,AK533-AI533,0)</f>
        <v>78</v>
      </c>
      <c r="AM533" s="173" t="str">
        <f>IF(ISNUMBER(X533)=TRUE,AK533-X533,IF(X533="","",(AK533)-(MID(RIGHT(X533,10),4,2)&amp;"/"&amp;LEFT((RIGHT(X533,10)),2)&amp;"/"&amp;RIGHT(X533,4))))</f>
        <v/>
      </c>
      <c r="AN533" s="181"/>
      <c r="AO533" s="190" t="s">
        <v>1962</v>
      </c>
      <c r="AP533" s="176">
        <v>10.53</v>
      </c>
      <c r="AQ533" s="176">
        <v>10.54</v>
      </c>
      <c r="AR533" s="176">
        <v>10.564999999999998</v>
      </c>
      <c r="AS533" s="176">
        <v>10.569999999999999</v>
      </c>
      <c r="AT533" s="173" t="str">
        <f>IF(ISNUMBER(U533)=TRUE,AK533-U533,IF(U533="","",(AK533)-(MID(RIGHT(U533,10),4,2)&amp;"/"&amp;LEFT((RIGHT(U533,10)),2)&amp;"/"&amp;RIGHT(U533,4))))</f>
        <v/>
      </c>
      <c r="AU533" s="173">
        <v>459</v>
      </c>
      <c r="AW533" s="142" t="s">
        <v>123</v>
      </c>
    </row>
    <row r="534" spans="2:49" s="142" customFormat="1" ht="21" customHeight="1" x14ac:dyDescent="0.25">
      <c r="B534" s="173" t="str">
        <f>IF(C534="HOLD RM","HOLD RM",IF(C534="BAL","WIP",IF(C534="HOLD SLT","HOLD SLT",IF(C534="MILL","RM",IF(C534="RE SLT","WIP",IF(C534="RM","RM",IF(C534="RM BAL","RM",IF(C534="RM SLT","RM",IF(C534="RR","WIP",IF(C534="SKP","WIP",IF(C534="SLT","WIP",IF(C534="CTL","WIP",IF(C534="RM SLT RUST","RM SLT RUST",0)))))))))))))&amp;"-"&amp;G534&amp;"/"&amp;IF(H534="2B","2B",IF(H534="NO.1","1D",IF(H534="FH","FH",0)))&amp;"-"&amp;IF(J534="",(TEXT(I534,"0.00")),TEXT(J534,"0.00"))&amp;"X"&amp;M534</f>
        <v>RM-304/1D-3.51X642</v>
      </c>
      <c r="C534" s="173" t="s">
        <v>48</v>
      </c>
      <c r="D534" s="173" t="s">
        <v>48</v>
      </c>
      <c r="E534" s="190" t="s">
        <v>1963</v>
      </c>
      <c r="F534" s="190" t="s">
        <v>1964</v>
      </c>
      <c r="G534" s="173">
        <v>304</v>
      </c>
      <c r="H534" s="173" t="s">
        <v>127</v>
      </c>
      <c r="I534" s="174">
        <v>3.51</v>
      </c>
      <c r="J534" s="174"/>
      <c r="K534" s="174"/>
      <c r="L534" s="174"/>
      <c r="M534" s="191">
        <v>642</v>
      </c>
      <c r="N534" s="176">
        <v>10.43</v>
      </c>
      <c r="O534" s="176"/>
      <c r="P534" s="177"/>
      <c r="Q534" s="178"/>
      <c r="R534" s="179"/>
      <c r="S534" s="179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80" t="s">
        <v>1898</v>
      </c>
      <c r="AE534" s="173" t="s">
        <v>69</v>
      </c>
      <c r="AF534" s="181" t="s">
        <v>142</v>
      </c>
      <c r="AG534" s="192" t="s">
        <v>1887</v>
      </c>
      <c r="AH534" s="198"/>
      <c r="AI534" s="181">
        <v>44880</v>
      </c>
      <c r="AJ534" s="181"/>
      <c r="AK534" s="181">
        <f ca="1">TODAY()</f>
        <v>44958</v>
      </c>
      <c r="AL534" s="173">
        <f ca="1">IF(AI534&lt;&gt;0,AK534-AI534,0)</f>
        <v>78</v>
      </c>
      <c r="AM534" s="173" t="str">
        <f>IF(ISNUMBER(X534)=TRUE,AK534-X534,IF(X534="","",(AK534)-(MID(RIGHT(X534,10),4,2)&amp;"/"&amp;LEFT((RIGHT(X534,10)),2)&amp;"/"&amp;RIGHT(X534,4))))</f>
        <v/>
      </c>
      <c r="AN534" s="181"/>
      <c r="AO534" s="190" t="s">
        <v>1962</v>
      </c>
      <c r="AP534" s="176">
        <v>10.43</v>
      </c>
      <c r="AQ534" s="176">
        <v>10.44</v>
      </c>
      <c r="AR534" s="176">
        <v>10.464999999999998</v>
      </c>
      <c r="AS534" s="176">
        <v>10.469999999999999</v>
      </c>
      <c r="AT534" s="173" t="str">
        <f>IF(ISNUMBER(U534)=TRUE,AK534-U534,IF(U534="","",(AK534)-(MID(RIGHT(U534,10),4,2)&amp;"/"&amp;LEFT((RIGHT(U534,10)),2)&amp;"/"&amp;RIGHT(U534,4))))</f>
        <v/>
      </c>
      <c r="AU534" s="173">
        <v>459</v>
      </c>
      <c r="AW534" s="142" t="s">
        <v>123</v>
      </c>
    </row>
    <row r="535" spans="2:49" s="142" customFormat="1" ht="21" customHeight="1" x14ac:dyDescent="0.25">
      <c r="B535" s="173" t="str">
        <f>IF(C535="HOLD RM","HOLD RM",IF(C535="BAL","WIP",IF(C535="HOLD SLT","HOLD SLT",IF(C535="MILL","RM",IF(C535="RE SLT","WIP",IF(C535="RM","RM",IF(C535="RM BAL","RM",IF(C535="RM SLT","RM",IF(C535="RR","WIP",IF(C535="SKP","WIP",IF(C535="SLT","WIP",IF(C535="CTL","WIP",IF(C535="RM SLT RUST","RM SLT RUST",0)))))))))))))&amp;"-"&amp;G535&amp;"/"&amp;IF(H535="2B","2B",IF(H535="NO.1","1D",IF(H535="FH","FH",0)))&amp;"-"&amp;IF(J535="",(TEXT(I535,"0.00")),TEXT(J535,"0.00"))&amp;"X"&amp;M535</f>
        <v>RM-304L/1D-2.83X640</v>
      </c>
      <c r="C535" s="173" t="s">
        <v>48</v>
      </c>
      <c r="D535" s="173" t="s">
        <v>48</v>
      </c>
      <c r="E535" s="190" t="s">
        <v>1965</v>
      </c>
      <c r="F535" s="190" t="s">
        <v>1966</v>
      </c>
      <c r="G535" s="173" t="s">
        <v>182</v>
      </c>
      <c r="H535" s="173" t="s">
        <v>127</v>
      </c>
      <c r="I535" s="174">
        <v>2.83</v>
      </c>
      <c r="J535" s="174"/>
      <c r="K535" s="174"/>
      <c r="L535" s="174"/>
      <c r="M535" s="191">
        <v>640</v>
      </c>
      <c r="N535" s="176">
        <v>10.595000000000001</v>
      </c>
      <c r="O535" s="176"/>
      <c r="P535" s="177"/>
      <c r="Q535" s="178"/>
      <c r="R535" s="179"/>
      <c r="S535" s="179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80" t="s">
        <v>1881</v>
      </c>
      <c r="AE535" s="173" t="s">
        <v>69</v>
      </c>
      <c r="AF535" s="181" t="s">
        <v>142</v>
      </c>
      <c r="AG535" s="192" t="s">
        <v>1653</v>
      </c>
      <c r="AH535" s="198"/>
      <c r="AI535" s="181">
        <v>44880</v>
      </c>
      <c r="AJ535" s="181"/>
      <c r="AK535" s="181">
        <f ca="1">TODAY()</f>
        <v>44958</v>
      </c>
      <c r="AL535" s="173">
        <f ca="1">IF(AI535&lt;&gt;0,AK535-AI535,0)</f>
        <v>78</v>
      </c>
      <c r="AM535" s="173" t="str">
        <f>IF(ISNUMBER(X535)=TRUE,AK535-X535,IF(X535="","",(AK535)-(MID(RIGHT(X535,10),4,2)&amp;"/"&amp;LEFT((RIGHT(X535,10)),2)&amp;"/"&amp;RIGHT(X535,4))))</f>
        <v/>
      </c>
      <c r="AN535" s="181"/>
      <c r="AO535" s="190" t="s">
        <v>1967</v>
      </c>
      <c r="AP535" s="176">
        <v>10.595000000000001</v>
      </c>
      <c r="AQ535" s="176">
        <v>10.605</v>
      </c>
      <c r="AR535" s="176">
        <v>10.629999999999999</v>
      </c>
      <c r="AS535" s="176">
        <v>10.635</v>
      </c>
      <c r="AT535" s="173" t="str">
        <f>IF(ISNUMBER(U535)=TRUE,AK535-U535,IF(U535="","",(AK535)-(MID(RIGHT(U535,10),4,2)&amp;"/"&amp;LEFT((RIGHT(U535,10)),2)&amp;"/"&amp;RIGHT(U535,4))))</f>
        <v/>
      </c>
      <c r="AU535" s="173">
        <v>459</v>
      </c>
      <c r="AW535" s="142" t="s">
        <v>123</v>
      </c>
    </row>
    <row r="536" spans="2:49" s="142" customFormat="1" ht="21" customHeight="1" x14ac:dyDescent="0.25">
      <c r="B536" s="173" t="str">
        <f>IF(C536="HOLD RM","HOLD RM",IF(C536="BAL","WIP",IF(C536="HOLD SLT","HOLD SLT",IF(C536="MILL","RM",IF(C536="RE SLT","WIP",IF(C536="RM","RM",IF(C536="RM BAL","RM",IF(C536="RM SLT","RM",IF(C536="RR","WIP",IF(C536="SKP","WIP",IF(C536="SLT","WIP",IF(C536="CTL","WIP",IF(C536="RM SLT RUST","RM SLT RUST",0)))))))))))))&amp;"-"&amp;G536&amp;"/"&amp;IF(H536="2B","2B",IF(H536="NO.1","1D",IF(H536="FH","FH",0)))&amp;"-"&amp;IF(J536="",(TEXT(I536,"0.00")),TEXT(J536,"0.00"))&amp;"X"&amp;M536</f>
        <v>RM-304L/1D-3.90X641</v>
      </c>
      <c r="C536" s="173" t="s">
        <v>48</v>
      </c>
      <c r="D536" s="173" t="s">
        <v>48</v>
      </c>
      <c r="E536" s="190" t="s">
        <v>1968</v>
      </c>
      <c r="F536" s="190" t="s">
        <v>1969</v>
      </c>
      <c r="G536" s="173" t="s">
        <v>182</v>
      </c>
      <c r="H536" s="173" t="s">
        <v>127</v>
      </c>
      <c r="I536" s="174">
        <v>3.9</v>
      </c>
      <c r="J536" s="174"/>
      <c r="K536" s="174"/>
      <c r="L536" s="174"/>
      <c r="M536" s="191">
        <v>641</v>
      </c>
      <c r="N536" s="176">
        <v>10.39</v>
      </c>
      <c r="O536" s="176"/>
      <c r="P536" s="177"/>
      <c r="Q536" s="178"/>
      <c r="R536" s="179"/>
      <c r="S536" s="179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80" t="s">
        <v>1881</v>
      </c>
      <c r="AE536" s="173" t="s">
        <v>69</v>
      </c>
      <c r="AF536" s="181" t="s">
        <v>142</v>
      </c>
      <c r="AG536" s="192" t="s">
        <v>1887</v>
      </c>
      <c r="AH536" s="198"/>
      <c r="AI536" s="181">
        <v>44880</v>
      </c>
      <c r="AJ536" s="181"/>
      <c r="AK536" s="181">
        <f ca="1">TODAY()</f>
        <v>44958</v>
      </c>
      <c r="AL536" s="173">
        <f ca="1">IF(AI536&lt;&gt;0,AK536-AI536,0)</f>
        <v>78</v>
      </c>
      <c r="AM536" s="173" t="str">
        <f>IF(ISNUMBER(X536)=TRUE,AK536-X536,IF(X536="","",(AK536)-(MID(RIGHT(X536,10),4,2)&amp;"/"&amp;LEFT((RIGHT(X536,10)),2)&amp;"/"&amp;RIGHT(X536,4))))</f>
        <v/>
      </c>
      <c r="AN536" s="181"/>
      <c r="AO536" s="190" t="s">
        <v>1970</v>
      </c>
      <c r="AP536" s="176">
        <v>10.39</v>
      </c>
      <c r="AQ536" s="176">
        <v>10.4</v>
      </c>
      <c r="AR536" s="176">
        <v>10.424999999999999</v>
      </c>
      <c r="AS536" s="176">
        <v>10.43</v>
      </c>
      <c r="AT536" s="173" t="str">
        <f>IF(ISNUMBER(U536)=TRUE,AK536-U536,IF(U536="","",(AK536)-(MID(RIGHT(U536,10),4,2)&amp;"/"&amp;LEFT((RIGHT(U536,10)),2)&amp;"/"&amp;RIGHT(U536,4))))</f>
        <v/>
      </c>
      <c r="AU536" s="173">
        <v>459</v>
      </c>
      <c r="AW536" s="142" t="s">
        <v>123</v>
      </c>
    </row>
    <row r="537" spans="2:49" s="142" customFormat="1" ht="21" customHeight="1" x14ac:dyDescent="0.25">
      <c r="B537" s="173" t="str">
        <f>IF(C537="HOLD RM","HOLD RM",IF(C537="BAL","WIP",IF(C537="HOLD SLT","HOLD SLT",IF(C537="MILL","RM",IF(C537="RE SLT","WIP",IF(C537="RM","RM",IF(C537="RM BAL","RM",IF(C537="RM SLT","RM",IF(C537="RR","WIP",IF(C537="SKP","WIP",IF(C537="SLT","WIP",IF(C537="CTL","WIP",IF(C537="RM SLT RUST","RM SLT RUST",0)))))))))))))&amp;"-"&amp;G537&amp;"/"&amp;IF(H537="2B","2B",IF(H537="NO.1","1D",IF(H537="FH","FH",0)))&amp;"-"&amp;IF(J537="",(TEXT(I537,"0.00")),TEXT(J537,"0.00"))&amp;"X"&amp;M537</f>
        <v>RM-304L/1D-3.90X643</v>
      </c>
      <c r="C537" s="173" t="s">
        <v>48</v>
      </c>
      <c r="D537" s="173" t="s">
        <v>48</v>
      </c>
      <c r="E537" s="190" t="s">
        <v>1971</v>
      </c>
      <c r="F537" s="190" t="s">
        <v>1972</v>
      </c>
      <c r="G537" s="173" t="s">
        <v>182</v>
      </c>
      <c r="H537" s="173" t="s">
        <v>127</v>
      </c>
      <c r="I537" s="174">
        <v>3.9</v>
      </c>
      <c r="J537" s="174"/>
      <c r="K537" s="174"/>
      <c r="L537" s="174"/>
      <c r="M537" s="191">
        <v>643</v>
      </c>
      <c r="N537" s="176">
        <v>10.5</v>
      </c>
      <c r="O537" s="176"/>
      <c r="P537" s="177"/>
      <c r="Q537" s="178"/>
      <c r="R537" s="179"/>
      <c r="S537" s="179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80" t="s">
        <v>1881</v>
      </c>
      <c r="AE537" s="173" t="s">
        <v>69</v>
      </c>
      <c r="AF537" s="181" t="s">
        <v>142</v>
      </c>
      <c r="AG537" s="192" t="s">
        <v>1887</v>
      </c>
      <c r="AH537" s="198"/>
      <c r="AI537" s="181">
        <v>44880</v>
      </c>
      <c r="AJ537" s="181"/>
      <c r="AK537" s="181">
        <f ca="1">TODAY()</f>
        <v>44958</v>
      </c>
      <c r="AL537" s="173">
        <f ca="1">IF(AI537&lt;&gt;0,AK537-AI537,0)</f>
        <v>78</v>
      </c>
      <c r="AM537" s="173" t="str">
        <f>IF(ISNUMBER(X537)=TRUE,AK537-X537,IF(X537="","",(AK537)-(MID(RIGHT(X537,10),4,2)&amp;"/"&amp;LEFT((RIGHT(X537,10)),2)&amp;"/"&amp;RIGHT(X537,4))))</f>
        <v/>
      </c>
      <c r="AN537" s="181"/>
      <c r="AO537" s="190" t="s">
        <v>1970</v>
      </c>
      <c r="AP537" s="176">
        <v>10.5</v>
      </c>
      <c r="AQ537" s="176">
        <v>10.51</v>
      </c>
      <c r="AR537" s="176">
        <v>10.534999999999998</v>
      </c>
      <c r="AS537" s="176">
        <v>10.54</v>
      </c>
      <c r="AT537" s="173" t="str">
        <f>IF(ISNUMBER(U537)=TRUE,AK537-U537,IF(U537="","",(AK537)-(MID(RIGHT(U537,10),4,2)&amp;"/"&amp;LEFT((RIGHT(U537,10)),2)&amp;"/"&amp;RIGHT(U537,4))))</f>
        <v/>
      </c>
      <c r="AU537" s="173">
        <v>459</v>
      </c>
      <c r="AW537" s="142" t="s">
        <v>123</v>
      </c>
    </row>
    <row r="538" spans="2:49" s="142" customFormat="1" ht="21" customHeight="1" x14ac:dyDescent="0.25">
      <c r="B538" s="173" t="str">
        <f>IF(C538="HOLD RM","HOLD RM",IF(C538="BAL","WIP",IF(C538="HOLD SLT","HOLD SLT",IF(C538="MILL","RM",IF(C538="RE SLT","WIP",IF(C538="RM","RM",IF(C538="RM BAL","RM",IF(C538="RM SLT","RM",IF(C538="RR","WIP",IF(C538="SKP","WIP",IF(C538="SLT","WIP",IF(C538="CTL","WIP",IF(C538="RM SLT RUST","RM SLT RUST",0)))))))))))))&amp;"-"&amp;G538&amp;"/"&amp;IF(H538="2B","2B",IF(H538="NO.1","1D",IF(H538="FH","FH",0)))&amp;"-"&amp;IF(J538="",(TEXT(I538,"0.00")),TEXT(J538,"0.00"))&amp;"X"&amp;M538</f>
        <v>RM-304L/1D-2.79X643</v>
      </c>
      <c r="C538" s="173" t="s">
        <v>48</v>
      </c>
      <c r="D538" s="173" t="s">
        <v>48</v>
      </c>
      <c r="E538" s="190" t="s">
        <v>1973</v>
      </c>
      <c r="F538" s="190" t="s">
        <v>1974</v>
      </c>
      <c r="G538" s="173" t="s">
        <v>182</v>
      </c>
      <c r="H538" s="173" t="s">
        <v>127</v>
      </c>
      <c r="I538" s="174">
        <v>2.79</v>
      </c>
      <c r="J538" s="174"/>
      <c r="K538" s="174"/>
      <c r="L538" s="174"/>
      <c r="M538" s="191">
        <v>643</v>
      </c>
      <c r="N538" s="176">
        <v>9.76</v>
      </c>
      <c r="O538" s="176"/>
      <c r="P538" s="177"/>
      <c r="Q538" s="178"/>
      <c r="R538" s="179"/>
      <c r="S538" s="179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80" t="s">
        <v>1881</v>
      </c>
      <c r="AE538" s="173" t="s">
        <v>69</v>
      </c>
      <c r="AF538" s="181" t="s">
        <v>142</v>
      </c>
      <c r="AG538" s="192" t="s">
        <v>1653</v>
      </c>
      <c r="AH538" s="198"/>
      <c r="AI538" s="181">
        <v>44880</v>
      </c>
      <c r="AJ538" s="181"/>
      <c r="AK538" s="181">
        <f ca="1">TODAY()</f>
        <v>44958</v>
      </c>
      <c r="AL538" s="173">
        <f ca="1">IF(AI538&lt;&gt;0,AK538-AI538,0)</f>
        <v>78</v>
      </c>
      <c r="AM538" s="173" t="str">
        <f>IF(ISNUMBER(X538)=TRUE,AK538-X538,IF(X538="","",(AK538)-(MID(RIGHT(X538,10),4,2)&amp;"/"&amp;LEFT((RIGHT(X538,10)),2)&amp;"/"&amp;RIGHT(X538,4))))</f>
        <v/>
      </c>
      <c r="AN538" s="181"/>
      <c r="AO538" s="190" t="s">
        <v>1975</v>
      </c>
      <c r="AP538" s="176">
        <v>9.76</v>
      </c>
      <c r="AQ538" s="176">
        <v>9.77</v>
      </c>
      <c r="AR538" s="176">
        <v>9.7949999999999982</v>
      </c>
      <c r="AS538" s="176">
        <v>9.7999999999999989</v>
      </c>
      <c r="AT538" s="173" t="str">
        <f>IF(ISNUMBER(U538)=TRUE,AK538-U538,IF(U538="","",(AK538)-(MID(RIGHT(U538,10),4,2)&amp;"/"&amp;LEFT((RIGHT(U538,10)),2)&amp;"/"&amp;RIGHT(U538,4))))</f>
        <v/>
      </c>
      <c r="AU538" s="173">
        <v>459</v>
      </c>
      <c r="AW538" s="142" t="s">
        <v>123</v>
      </c>
    </row>
    <row r="539" spans="2:49" s="142" customFormat="1" ht="21" customHeight="1" x14ac:dyDescent="0.25">
      <c r="B539" s="173" t="str">
        <f>IF(C539="HOLD RM","HOLD RM",IF(C539="BAL","WIP",IF(C539="HOLD SLT","HOLD SLT",IF(C539="MILL","RM",IF(C539="RE SLT","WIP",IF(C539="RM","RM",IF(C539="RM BAL","RM",IF(C539="RM SLT","RM",IF(C539="RR","WIP",IF(C539="SKP","WIP",IF(C539="SLT","WIP",IF(C539="CTL","WIP",IF(C539="RM SLT RUST","RM SLT RUST",0)))))))))))))&amp;"-"&amp;G539&amp;"/"&amp;IF(H539="2B","2B",IF(H539="NO.1","1D",IF(H539="FH","FH",0)))&amp;"-"&amp;IF(J539="",(TEXT(I539,"0.00")),TEXT(J539,"0.00"))&amp;"X"&amp;M539</f>
        <v>RM-304L/1D-2.80X642</v>
      </c>
      <c r="C539" s="173" t="s">
        <v>48</v>
      </c>
      <c r="D539" s="173" t="s">
        <v>48</v>
      </c>
      <c r="E539" s="190" t="s">
        <v>1976</v>
      </c>
      <c r="F539" s="190" t="s">
        <v>1977</v>
      </c>
      <c r="G539" s="173" t="s">
        <v>182</v>
      </c>
      <c r="H539" s="173" t="s">
        <v>127</v>
      </c>
      <c r="I539" s="174">
        <v>2.8</v>
      </c>
      <c r="J539" s="174"/>
      <c r="K539" s="174"/>
      <c r="L539" s="174"/>
      <c r="M539" s="191">
        <v>642</v>
      </c>
      <c r="N539" s="176">
        <v>9.7050000000000001</v>
      </c>
      <c r="O539" s="176"/>
      <c r="P539" s="177"/>
      <c r="Q539" s="178"/>
      <c r="R539" s="179"/>
      <c r="S539" s="179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80" t="s">
        <v>1881</v>
      </c>
      <c r="AE539" s="173" t="s">
        <v>69</v>
      </c>
      <c r="AF539" s="181" t="s">
        <v>142</v>
      </c>
      <c r="AG539" s="192" t="s">
        <v>1653</v>
      </c>
      <c r="AH539" s="198"/>
      <c r="AI539" s="181">
        <v>44880</v>
      </c>
      <c r="AJ539" s="181"/>
      <c r="AK539" s="181">
        <f ca="1">TODAY()</f>
        <v>44958</v>
      </c>
      <c r="AL539" s="173">
        <f ca="1">IF(AI539&lt;&gt;0,AK539-AI539,0)</f>
        <v>78</v>
      </c>
      <c r="AM539" s="173" t="str">
        <f>IF(ISNUMBER(X539)=TRUE,AK539-X539,IF(X539="","",(AK539)-(MID(RIGHT(X539,10),4,2)&amp;"/"&amp;LEFT((RIGHT(X539,10)),2)&amp;"/"&amp;RIGHT(X539,4))))</f>
        <v/>
      </c>
      <c r="AN539" s="181"/>
      <c r="AO539" s="190" t="s">
        <v>1975</v>
      </c>
      <c r="AP539" s="176">
        <v>9.7050000000000001</v>
      </c>
      <c r="AQ539" s="176">
        <v>9.7149999999999999</v>
      </c>
      <c r="AR539" s="176">
        <v>9.7399999999999984</v>
      </c>
      <c r="AS539" s="176">
        <v>9.7449999999999992</v>
      </c>
      <c r="AT539" s="173" t="str">
        <f>IF(ISNUMBER(U539)=TRUE,AK539-U539,IF(U539="","",(AK539)-(MID(RIGHT(U539,10),4,2)&amp;"/"&amp;LEFT((RIGHT(U539,10)),2)&amp;"/"&amp;RIGHT(U539,4))))</f>
        <v/>
      </c>
      <c r="AU539" s="173">
        <v>459</v>
      </c>
      <c r="AW539" s="142" t="s">
        <v>123</v>
      </c>
    </row>
    <row r="540" spans="2:49" s="142" customFormat="1" ht="21" customHeight="1" x14ac:dyDescent="0.25">
      <c r="B540" s="173" t="str">
        <f>IF(C540="HOLD RM","HOLD RM",IF(C540="BAL","WIP",IF(C540="HOLD SLT","HOLD SLT",IF(C540="MILL","RM",IF(C540="RE SLT","WIP",IF(C540="RM","RM",IF(C540="RM BAL","RM",IF(C540="RM SLT","RM",IF(C540="RR","WIP",IF(C540="SKP","WIP",IF(C540="SLT","WIP",IF(C540="CTL","WIP",IF(C540="RM SLT RUST","RM SLT RUST",0)))))))))))))&amp;"-"&amp;G540&amp;"/"&amp;IF(H540="2B","2B",IF(H540="NO.1","1D",IF(H540="FH","FH",0)))&amp;"-"&amp;IF(J540="",(TEXT(I540,"0.00")),TEXT(J540,"0.00"))&amp;"X"&amp;M540</f>
        <v>RM-304L/1D-2.91X641</v>
      </c>
      <c r="C540" s="173" t="s">
        <v>48</v>
      </c>
      <c r="D540" s="173" t="s">
        <v>48</v>
      </c>
      <c r="E540" s="190" t="s">
        <v>1978</v>
      </c>
      <c r="F540" s="190" t="s">
        <v>1979</v>
      </c>
      <c r="G540" s="173" t="s">
        <v>182</v>
      </c>
      <c r="H540" s="173" t="s">
        <v>127</v>
      </c>
      <c r="I540" s="174">
        <v>2.91</v>
      </c>
      <c r="J540" s="174"/>
      <c r="K540" s="174"/>
      <c r="L540" s="174"/>
      <c r="M540" s="191">
        <v>641</v>
      </c>
      <c r="N540" s="176">
        <v>10.904999999999999</v>
      </c>
      <c r="O540" s="176"/>
      <c r="P540" s="177"/>
      <c r="Q540" s="178"/>
      <c r="R540" s="179"/>
      <c r="S540" s="179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80" t="s">
        <v>1881</v>
      </c>
      <c r="AE540" s="173" t="s">
        <v>69</v>
      </c>
      <c r="AF540" s="181" t="s">
        <v>142</v>
      </c>
      <c r="AG540" s="192" t="s">
        <v>1653</v>
      </c>
      <c r="AH540" s="198"/>
      <c r="AI540" s="181">
        <v>44880</v>
      </c>
      <c r="AJ540" s="181"/>
      <c r="AK540" s="181">
        <f ca="1">TODAY()</f>
        <v>44958</v>
      </c>
      <c r="AL540" s="173">
        <f ca="1">IF(AI540&lt;&gt;0,AK540-AI540,0)</f>
        <v>78</v>
      </c>
      <c r="AM540" s="173" t="str">
        <f>IF(ISNUMBER(X540)=TRUE,AK540-X540,IF(X540="","",(AK540)-(MID(RIGHT(X540,10),4,2)&amp;"/"&amp;LEFT((RIGHT(X540,10)),2)&amp;"/"&amp;RIGHT(X540,4))))</f>
        <v/>
      </c>
      <c r="AN540" s="181"/>
      <c r="AO540" s="190" t="s">
        <v>1980</v>
      </c>
      <c r="AP540" s="176">
        <v>10.904999999999999</v>
      </c>
      <c r="AQ540" s="176">
        <v>10.914999999999999</v>
      </c>
      <c r="AR540" s="176">
        <v>10.939999999999998</v>
      </c>
      <c r="AS540" s="176">
        <v>10.944999999999999</v>
      </c>
      <c r="AT540" s="173" t="str">
        <f>IF(ISNUMBER(U540)=TRUE,AK540-U540,IF(U540="","",(AK540)-(MID(RIGHT(U540,10),4,2)&amp;"/"&amp;LEFT((RIGHT(U540,10)),2)&amp;"/"&amp;RIGHT(U540,4))))</f>
        <v/>
      </c>
      <c r="AU540" s="173">
        <v>459</v>
      </c>
      <c r="AW540" s="142" t="s">
        <v>123</v>
      </c>
    </row>
    <row r="541" spans="2:49" s="142" customFormat="1" ht="21" customHeight="1" x14ac:dyDescent="0.25">
      <c r="B541" s="173" t="str">
        <f>IF(C541="HOLD RM","HOLD RM",IF(C541="BAL","WIP",IF(C541="HOLD SLT","HOLD SLT",IF(C541="MILL","RM",IF(C541="RE SLT","WIP",IF(C541="RM","RM",IF(C541="RM BAL","RM",IF(C541="RM SLT","RM",IF(C541="RR","WIP",IF(C541="SKP","WIP",IF(C541="SLT","WIP",IF(C541="CTL","WIP",IF(C541="RM SLT RUST","RM SLT RUST",0)))))))))))))&amp;"-"&amp;G541&amp;"/"&amp;IF(H541="2B","2B",IF(H541="NO.1","1D",IF(H541="FH","FH",0)))&amp;"-"&amp;IF(J541="",(TEXT(I541,"0.00")),TEXT(J541,"0.00"))&amp;"X"&amp;M541</f>
        <v>RM-304L/1D-2.91X642</v>
      </c>
      <c r="C541" s="173" t="s">
        <v>48</v>
      </c>
      <c r="D541" s="173" t="s">
        <v>48</v>
      </c>
      <c r="E541" s="190" t="s">
        <v>1981</v>
      </c>
      <c r="F541" s="190" t="s">
        <v>1982</v>
      </c>
      <c r="G541" s="173" t="s">
        <v>182</v>
      </c>
      <c r="H541" s="173" t="s">
        <v>127</v>
      </c>
      <c r="I541" s="174">
        <v>2.91</v>
      </c>
      <c r="J541" s="174"/>
      <c r="K541" s="174"/>
      <c r="L541" s="174"/>
      <c r="M541" s="191">
        <v>642</v>
      </c>
      <c r="N541" s="176">
        <v>10.845000000000001</v>
      </c>
      <c r="O541" s="176"/>
      <c r="P541" s="177"/>
      <c r="Q541" s="178"/>
      <c r="R541" s="179"/>
      <c r="S541" s="179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80" t="s">
        <v>1881</v>
      </c>
      <c r="AE541" s="173" t="s">
        <v>69</v>
      </c>
      <c r="AF541" s="181" t="s">
        <v>142</v>
      </c>
      <c r="AG541" s="192" t="s">
        <v>1653</v>
      </c>
      <c r="AH541" s="198"/>
      <c r="AI541" s="181">
        <v>44880</v>
      </c>
      <c r="AJ541" s="181"/>
      <c r="AK541" s="181">
        <f ca="1">TODAY()</f>
        <v>44958</v>
      </c>
      <c r="AL541" s="173">
        <f ca="1">IF(AI541&lt;&gt;0,AK541-AI541,0)</f>
        <v>78</v>
      </c>
      <c r="AM541" s="173" t="str">
        <f>IF(ISNUMBER(X541)=TRUE,AK541-X541,IF(X541="","",(AK541)-(MID(RIGHT(X541,10),4,2)&amp;"/"&amp;LEFT((RIGHT(X541,10)),2)&amp;"/"&amp;RIGHT(X541,4))))</f>
        <v/>
      </c>
      <c r="AN541" s="181"/>
      <c r="AO541" s="190" t="s">
        <v>1980</v>
      </c>
      <c r="AP541" s="176">
        <v>10.845000000000001</v>
      </c>
      <c r="AQ541" s="176">
        <v>10.855</v>
      </c>
      <c r="AR541" s="176">
        <v>10.879999999999999</v>
      </c>
      <c r="AS541" s="176">
        <v>10.885</v>
      </c>
      <c r="AT541" s="173" t="str">
        <f>IF(ISNUMBER(U541)=TRUE,AK541-U541,IF(U541="","",(AK541)-(MID(RIGHT(U541,10),4,2)&amp;"/"&amp;LEFT((RIGHT(U541,10)),2)&amp;"/"&amp;RIGHT(U541,4))))</f>
        <v/>
      </c>
      <c r="AU541" s="173">
        <v>459</v>
      </c>
      <c r="AW541" s="142" t="s">
        <v>123</v>
      </c>
    </row>
    <row r="542" spans="2:49" s="142" customFormat="1" ht="21" customHeight="1" x14ac:dyDescent="0.25">
      <c r="B542" s="173" t="str">
        <f>IF(C542="HOLD RM","HOLD RM",IF(C542="BAL","WIP",IF(C542="HOLD SLT","HOLD SLT",IF(C542="MILL","RM",IF(C542="RE SLT","WIP",IF(C542="RM","RM",IF(C542="RM BAL","RM",IF(C542="RM SLT","RM",IF(C542="RR","WIP",IF(C542="SKP","WIP",IF(C542="SLT","WIP",IF(C542="CTL","WIP",IF(C542="RM SLT RUST","RM SLT RUST",0)))))))))))))&amp;"-"&amp;G542&amp;"/"&amp;IF(H542="2B","2B",IF(H542="NO.1","1D",IF(H542="FH","FH",0)))&amp;"-"&amp;IF(J542="",(TEXT(I542,"0.00")),TEXT(J542,"0.00"))&amp;"X"&amp;M542</f>
        <v>RM-304L/1D-3.91X646</v>
      </c>
      <c r="C542" s="173" t="s">
        <v>48</v>
      </c>
      <c r="D542" s="173" t="s">
        <v>48</v>
      </c>
      <c r="E542" s="190" t="s">
        <v>1983</v>
      </c>
      <c r="F542" s="190" t="s">
        <v>1984</v>
      </c>
      <c r="G542" s="173" t="s">
        <v>182</v>
      </c>
      <c r="H542" s="173" t="s">
        <v>127</v>
      </c>
      <c r="I542" s="174">
        <v>3.91</v>
      </c>
      <c r="J542" s="174"/>
      <c r="K542" s="174"/>
      <c r="L542" s="174"/>
      <c r="M542" s="191">
        <v>646</v>
      </c>
      <c r="N542" s="176">
        <v>10.385</v>
      </c>
      <c r="O542" s="176"/>
      <c r="P542" s="177"/>
      <c r="Q542" s="178"/>
      <c r="R542" s="179"/>
      <c r="S542" s="179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80" t="s">
        <v>1881</v>
      </c>
      <c r="AE542" s="173" t="s">
        <v>69</v>
      </c>
      <c r="AF542" s="181" t="s">
        <v>142</v>
      </c>
      <c r="AG542" s="192" t="s">
        <v>1887</v>
      </c>
      <c r="AH542" s="198"/>
      <c r="AI542" s="181">
        <v>44880</v>
      </c>
      <c r="AJ542" s="181"/>
      <c r="AK542" s="181">
        <f ca="1">TODAY()</f>
        <v>44958</v>
      </c>
      <c r="AL542" s="173">
        <f ca="1">IF(AI542&lt;&gt;0,AK542-AI542,0)</f>
        <v>78</v>
      </c>
      <c r="AM542" s="173" t="str">
        <f>IF(ISNUMBER(X542)=TRUE,AK542-X542,IF(X542="","",(AK542)-(MID(RIGHT(X542,10),4,2)&amp;"/"&amp;LEFT((RIGHT(X542,10)),2)&amp;"/"&amp;RIGHT(X542,4))))</f>
        <v/>
      </c>
      <c r="AN542" s="181"/>
      <c r="AO542" s="190" t="s">
        <v>1985</v>
      </c>
      <c r="AP542" s="176">
        <v>10.385</v>
      </c>
      <c r="AQ542" s="176">
        <v>10.395</v>
      </c>
      <c r="AR542" s="176">
        <v>10.419999999999998</v>
      </c>
      <c r="AS542" s="176">
        <v>10.424999999999999</v>
      </c>
      <c r="AT542" s="173" t="str">
        <f>IF(ISNUMBER(U542)=TRUE,AK542-U542,IF(U542="","",(AK542)-(MID(RIGHT(U542,10),4,2)&amp;"/"&amp;LEFT((RIGHT(U542,10)),2)&amp;"/"&amp;RIGHT(U542,4))))</f>
        <v/>
      </c>
      <c r="AU542" s="173">
        <v>459</v>
      </c>
      <c r="AW542" s="142" t="s">
        <v>123</v>
      </c>
    </row>
    <row r="543" spans="2:49" s="142" customFormat="1" ht="21" customHeight="1" x14ac:dyDescent="0.25">
      <c r="B543" s="173" t="str">
        <f>IF(C543="HOLD RM","HOLD RM",IF(C543="BAL","WIP",IF(C543="HOLD SLT","HOLD SLT",IF(C543="MILL","RM",IF(C543="RE SLT","WIP",IF(C543="RM","RM",IF(C543="RM BAL","RM",IF(C543="RM SLT","RM",IF(C543="RR","WIP",IF(C543="SKP","WIP",IF(C543="SLT","WIP",IF(C543="CTL","WIP",IF(C543="RM SLT RUST","RM SLT RUST",0)))))))))))))&amp;"-"&amp;G543&amp;"/"&amp;IF(H543="2B","2B",IF(H543="NO.1","1D",IF(H543="FH","FH",0)))&amp;"-"&amp;IF(J543="",(TEXT(I543,"0.00")),TEXT(J543,"0.00"))&amp;"X"&amp;M543</f>
        <v>RM-304L/1D-3.91X646</v>
      </c>
      <c r="C543" s="173" t="s">
        <v>48</v>
      </c>
      <c r="D543" s="173" t="s">
        <v>48</v>
      </c>
      <c r="E543" s="190" t="s">
        <v>1986</v>
      </c>
      <c r="F543" s="190" t="s">
        <v>1987</v>
      </c>
      <c r="G543" s="173" t="s">
        <v>182</v>
      </c>
      <c r="H543" s="173" t="s">
        <v>127</v>
      </c>
      <c r="I543" s="174">
        <v>3.91</v>
      </c>
      <c r="J543" s="174"/>
      <c r="K543" s="174"/>
      <c r="L543" s="174"/>
      <c r="M543" s="191">
        <v>646</v>
      </c>
      <c r="N543" s="176">
        <v>10.39</v>
      </c>
      <c r="O543" s="176"/>
      <c r="P543" s="177"/>
      <c r="Q543" s="178"/>
      <c r="R543" s="179"/>
      <c r="S543" s="179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80" t="s">
        <v>1881</v>
      </c>
      <c r="AE543" s="173" t="s">
        <v>69</v>
      </c>
      <c r="AF543" s="181" t="s">
        <v>142</v>
      </c>
      <c r="AG543" s="192" t="s">
        <v>1887</v>
      </c>
      <c r="AH543" s="198"/>
      <c r="AI543" s="181">
        <v>44880</v>
      </c>
      <c r="AJ543" s="181"/>
      <c r="AK543" s="181">
        <f ca="1">TODAY()</f>
        <v>44958</v>
      </c>
      <c r="AL543" s="173">
        <f ca="1">IF(AI543&lt;&gt;0,AK543-AI543,0)</f>
        <v>78</v>
      </c>
      <c r="AM543" s="173" t="str">
        <f>IF(ISNUMBER(X543)=TRUE,AK543-X543,IF(X543="","",(AK543)-(MID(RIGHT(X543,10),4,2)&amp;"/"&amp;LEFT((RIGHT(X543,10)),2)&amp;"/"&amp;RIGHT(X543,4))))</f>
        <v/>
      </c>
      <c r="AN543" s="181"/>
      <c r="AO543" s="190" t="s">
        <v>1985</v>
      </c>
      <c r="AP543" s="176">
        <v>10.39</v>
      </c>
      <c r="AQ543" s="176">
        <v>10.4</v>
      </c>
      <c r="AR543" s="176">
        <v>10.424999999999999</v>
      </c>
      <c r="AS543" s="176">
        <v>10.43</v>
      </c>
      <c r="AT543" s="173" t="str">
        <f>IF(ISNUMBER(U543)=TRUE,AK543-U543,IF(U543="","",(AK543)-(MID(RIGHT(U543,10),4,2)&amp;"/"&amp;LEFT((RIGHT(U543,10)),2)&amp;"/"&amp;RIGHT(U543,4))))</f>
        <v/>
      </c>
      <c r="AU543" s="173">
        <v>459</v>
      </c>
      <c r="AW543" s="142" t="s">
        <v>123</v>
      </c>
    </row>
    <row r="544" spans="2:49" s="142" customFormat="1" ht="21" customHeight="1" x14ac:dyDescent="0.25">
      <c r="B544" s="173" t="str">
        <f>IF(C544="HOLD RM","HOLD RM",IF(C544="BAL","WIP",IF(C544="HOLD SLT","HOLD SLT",IF(C544="MILL","RM",IF(C544="RE SLT","WIP",IF(C544="RM","RM",IF(C544="RM BAL","RM",IF(C544="RM SLT","RM",IF(C544="RR","WIP",IF(C544="SKP","WIP",IF(C544="SLT","WIP",IF(C544="CTL","WIP",IF(C544="RM SLT RUST","RM SLT RUST",0)))))))))))))&amp;"-"&amp;G544&amp;"/"&amp;IF(H544="2B","2B",IF(H544="NO.1","1D",IF(H544="FH","FH",0)))&amp;"-"&amp;IF(J544="",(TEXT(I544,"0.00")),TEXT(J544,"0.00"))&amp;"X"&amp;M544</f>
        <v>RM-304L/1D-2.97X643</v>
      </c>
      <c r="C544" s="173" t="s">
        <v>48</v>
      </c>
      <c r="D544" s="173" t="s">
        <v>48</v>
      </c>
      <c r="E544" s="190" t="s">
        <v>1988</v>
      </c>
      <c r="F544" s="190" t="s">
        <v>1989</v>
      </c>
      <c r="G544" s="173" t="s">
        <v>182</v>
      </c>
      <c r="H544" s="173" t="s">
        <v>127</v>
      </c>
      <c r="I544" s="174">
        <v>2.97</v>
      </c>
      <c r="J544" s="174"/>
      <c r="K544" s="174"/>
      <c r="L544" s="174"/>
      <c r="M544" s="191">
        <v>643</v>
      </c>
      <c r="N544" s="176">
        <v>10.055</v>
      </c>
      <c r="O544" s="176"/>
      <c r="P544" s="177"/>
      <c r="Q544" s="178"/>
      <c r="R544" s="179"/>
      <c r="S544" s="179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80" t="s">
        <v>1898</v>
      </c>
      <c r="AE544" s="173" t="s">
        <v>69</v>
      </c>
      <c r="AF544" s="181" t="s">
        <v>142</v>
      </c>
      <c r="AG544" s="192" t="s">
        <v>1653</v>
      </c>
      <c r="AH544" s="198"/>
      <c r="AI544" s="181">
        <v>44880</v>
      </c>
      <c r="AJ544" s="181"/>
      <c r="AK544" s="181">
        <f ca="1">TODAY()</f>
        <v>44958</v>
      </c>
      <c r="AL544" s="173">
        <f ca="1">IF(AI544&lt;&gt;0,AK544-AI544,0)</f>
        <v>78</v>
      </c>
      <c r="AM544" s="173" t="str">
        <f>IF(ISNUMBER(X544)=TRUE,AK544-X544,IF(X544="","",(AK544)-(MID(RIGHT(X544,10),4,2)&amp;"/"&amp;LEFT((RIGHT(X544,10)),2)&amp;"/"&amp;RIGHT(X544,4))))</f>
        <v/>
      </c>
      <c r="AN544" s="181"/>
      <c r="AO544" s="190" t="s">
        <v>1990</v>
      </c>
      <c r="AP544" s="176">
        <v>10.055</v>
      </c>
      <c r="AQ544" s="176">
        <v>10.065</v>
      </c>
      <c r="AR544" s="176">
        <v>10.089999999999998</v>
      </c>
      <c r="AS544" s="176">
        <v>10.094999999999999</v>
      </c>
      <c r="AT544" s="173" t="str">
        <f>IF(ISNUMBER(U544)=TRUE,AK544-U544,IF(U544="","",(AK544)-(MID(RIGHT(U544,10),4,2)&amp;"/"&amp;LEFT((RIGHT(U544,10)),2)&amp;"/"&amp;RIGHT(U544,4))))</f>
        <v/>
      </c>
      <c r="AU544" s="173">
        <v>459</v>
      </c>
      <c r="AW544" s="142" t="s">
        <v>123</v>
      </c>
    </row>
    <row r="545" spans="2:49" s="142" customFormat="1" ht="21" customHeight="1" x14ac:dyDescent="0.25">
      <c r="B545" s="173" t="str">
        <f>IF(C545="HOLD RM","HOLD RM",IF(C545="BAL","WIP",IF(C545="HOLD SLT","HOLD SLT",IF(C545="MILL","RM",IF(C545="RE SLT","WIP",IF(C545="RM","RM",IF(C545="RM BAL","RM",IF(C545="RM SLT","RM",IF(C545="RR","WIP",IF(C545="SKP","WIP",IF(C545="SLT","WIP",IF(C545="CTL","WIP",IF(C545="RM SLT RUST","RM SLT RUST",0)))))))))))))&amp;"-"&amp;G545&amp;"/"&amp;IF(H545="2B","2B",IF(H545="NO.1","1D",IF(H545="FH","FH",0)))&amp;"-"&amp;IF(J545="",(TEXT(I545,"0.00")),TEXT(J545,"0.00"))&amp;"X"&amp;M545</f>
        <v>RM-304L/1D-2.97X643</v>
      </c>
      <c r="C545" s="173" t="s">
        <v>48</v>
      </c>
      <c r="D545" s="173" t="s">
        <v>48</v>
      </c>
      <c r="E545" s="190" t="s">
        <v>1991</v>
      </c>
      <c r="F545" s="190" t="s">
        <v>1992</v>
      </c>
      <c r="G545" s="173" t="s">
        <v>182</v>
      </c>
      <c r="H545" s="173" t="s">
        <v>127</v>
      </c>
      <c r="I545" s="174">
        <v>2.97</v>
      </c>
      <c r="J545" s="174"/>
      <c r="K545" s="174"/>
      <c r="L545" s="174"/>
      <c r="M545" s="191">
        <v>643</v>
      </c>
      <c r="N545" s="176">
        <v>10.06</v>
      </c>
      <c r="O545" s="176"/>
      <c r="P545" s="177"/>
      <c r="Q545" s="178"/>
      <c r="R545" s="179"/>
      <c r="S545" s="179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80" t="s">
        <v>1881</v>
      </c>
      <c r="AE545" s="173" t="s">
        <v>69</v>
      </c>
      <c r="AF545" s="181" t="s">
        <v>142</v>
      </c>
      <c r="AG545" s="192" t="s">
        <v>1653</v>
      </c>
      <c r="AH545" s="198"/>
      <c r="AI545" s="181">
        <v>44880</v>
      </c>
      <c r="AJ545" s="181"/>
      <c r="AK545" s="181">
        <f ca="1">TODAY()</f>
        <v>44958</v>
      </c>
      <c r="AL545" s="173">
        <f ca="1">IF(AI545&lt;&gt;0,AK545-AI545,0)</f>
        <v>78</v>
      </c>
      <c r="AM545" s="173" t="str">
        <f>IF(ISNUMBER(X545)=TRUE,AK545-X545,IF(X545="","",(AK545)-(MID(RIGHT(X545,10),4,2)&amp;"/"&amp;LEFT((RIGHT(X545,10)),2)&amp;"/"&amp;RIGHT(X545,4))))</f>
        <v/>
      </c>
      <c r="AN545" s="181"/>
      <c r="AO545" s="190" t="s">
        <v>1990</v>
      </c>
      <c r="AP545" s="176">
        <v>10.06</v>
      </c>
      <c r="AQ545" s="176">
        <v>10.07</v>
      </c>
      <c r="AR545" s="176">
        <v>10.094999999999999</v>
      </c>
      <c r="AS545" s="176">
        <v>10.1</v>
      </c>
      <c r="AT545" s="173" t="str">
        <f>IF(ISNUMBER(U545)=TRUE,AK545-U545,IF(U545="","",(AK545)-(MID(RIGHT(U545,10),4,2)&amp;"/"&amp;LEFT((RIGHT(U545,10)),2)&amp;"/"&amp;RIGHT(U545,4))))</f>
        <v/>
      </c>
      <c r="AU545" s="173">
        <v>459</v>
      </c>
      <c r="AW545" s="142" t="s">
        <v>123</v>
      </c>
    </row>
    <row r="546" spans="2:49" s="142" customFormat="1" ht="21" customHeight="1" x14ac:dyDescent="0.25">
      <c r="B546" s="173" t="str">
        <f>IF(C546="HOLD RM","HOLD RM",IF(C546="BAL","WIP",IF(C546="HOLD SLT","HOLD SLT",IF(C546="MILL","RM",IF(C546="RE SLT","WIP",IF(C546="RM","RM",IF(C546="RM BAL","RM",IF(C546="RM SLT","RM",IF(C546="RR","WIP",IF(C546="SKP","WIP",IF(C546="SLT","WIP",IF(C546="CTL","WIP",IF(C546="RM SLT RUST","RM SLT RUST",0)))))))))))))&amp;"-"&amp;G546&amp;"/"&amp;IF(H546="2B","2B",IF(H546="NO.1","1D",IF(H546="FH","FH",0)))&amp;"-"&amp;IF(J546="",(TEXT(I546,"0.00")),TEXT(J546,"0.00"))&amp;"X"&amp;M546</f>
        <v>RM-304L/1D-3.00X643</v>
      </c>
      <c r="C546" s="173" t="s">
        <v>48</v>
      </c>
      <c r="D546" s="173" t="s">
        <v>48</v>
      </c>
      <c r="E546" s="190" t="s">
        <v>1993</v>
      </c>
      <c r="F546" s="190" t="s">
        <v>1994</v>
      </c>
      <c r="G546" s="173" t="s">
        <v>182</v>
      </c>
      <c r="H546" s="173" t="s">
        <v>127</v>
      </c>
      <c r="I546" s="174">
        <v>3</v>
      </c>
      <c r="J546" s="174"/>
      <c r="K546" s="174"/>
      <c r="L546" s="174"/>
      <c r="M546" s="191">
        <v>643</v>
      </c>
      <c r="N546" s="176">
        <v>10.75</v>
      </c>
      <c r="O546" s="176"/>
      <c r="P546" s="177"/>
      <c r="Q546" s="178"/>
      <c r="R546" s="179"/>
      <c r="S546" s="179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80" t="s">
        <v>1898</v>
      </c>
      <c r="AE546" s="173" t="s">
        <v>69</v>
      </c>
      <c r="AF546" s="181" t="s">
        <v>142</v>
      </c>
      <c r="AG546" s="192" t="s">
        <v>1653</v>
      </c>
      <c r="AH546" s="198"/>
      <c r="AI546" s="181">
        <v>44880</v>
      </c>
      <c r="AJ546" s="181"/>
      <c r="AK546" s="181">
        <f ca="1">TODAY()</f>
        <v>44958</v>
      </c>
      <c r="AL546" s="173">
        <f ca="1">IF(AI546&lt;&gt;0,AK546-AI546,0)</f>
        <v>78</v>
      </c>
      <c r="AM546" s="173" t="str">
        <f>IF(ISNUMBER(X546)=TRUE,AK546-X546,IF(X546="","",(AK546)-(MID(RIGHT(X546,10),4,2)&amp;"/"&amp;LEFT((RIGHT(X546,10)),2)&amp;"/"&amp;RIGHT(X546,4))))</f>
        <v/>
      </c>
      <c r="AN546" s="181"/>
      <c r="AO546" s="190" t="s">
        <v>1995</v>
      </c>
      <c r="AP546" s="176">
        <v>10.75</v>
      </c>
      <c r="AQ546" s="176">
        <v>10.76</v>
      </c>
      <c r="AR546" s="176">
        <v>10.784999999999998</v>
      </c>
      <c r="AS546" s="176">
        <v>10.79</v>
      </c>
      <c r="AT546" s="173" t="str">
        <f>IF(ISNUMBER(U546)=TRUE,AK546-U546,IF(U546="","",(AK546)-(MID(RIGHT(U546,10),4,2)&amp;"/"&amp;LEFT((RIGHT(U546,10)),2)&amp;"/"&amp;RIGHT(U546,4))))</f>
        <v/>
      </c>
      <c r="AU546" s="173">
        <v>459</v>
      </c>
      <c r="AW546" s="142" t="s">
        <v>123</v>
      </c>
    </row>
    <row r="547" spans="2:49" s="142" customFormat="1" ht="21" customHeight="1" x14ac:dyDescent="0.25">
      <c r="B547" s="173" t="str">
        <f>IF(C547="HOLD RM","HOLD RM",IF(C547="BAL","WIP",IF(C547="HOLD SLT","HOLD SLT",IF(C547="MILL","RM",IF(C547="RE SLT","WIP",IF(C547="RM","RM",IF(C547="RM BAL","RM",IF(C547="RM SLT","RM",IF(C547="RR","WIP",IF(C547="SKP","WIP",IF(C547="SLT","WIP",IF(C547="CTL","WIP",IF(C547="RM SLT RUST","RM SLT RUST",0)))))))))))))&amp;"-"&amp;G547&amp;"/"&amp;IF(H547="2B","2B",IF(H547="NO.1","1D",IF(H547="FH","FH",0)))&amp;"-"&amp;IF(J547="",(TEXT(I547,"0.00")),TEXT(J547,"0.00"))&amp;"X"&amp;M547</f>
        <v>RM-304L/1D-3.01X642</v>
      </c>
      <c r="C547" s="173" t="s">
        <v>48</v>
      </c>
      <c r="D547" s="173" t="s">
        <v>48</v>
      </c>
      <c r="E547" s="190" t="s">
        <v>1996</v>
      </c>
      <c r="F547" s="190" t="s">
        <v>1997</v>
      </c>
      <c r="G547" s="173" t="s">
        <v>182</v>
      </c>
      <c r="H547" s="173" t="s">
        <v>127</v>
      </c>
      <c r="I547" s="174">
        <v>3.01</v>
      </c>
      <c r="J547" s="174"/>
      <c r="K547" s="174"/>
      <c r="L547" s="174"/>
      <c r="M547" s="191">
        <v>642</v>
      </c>
      <c r="N547" s="176">
        <v>10.66</v>
      </c>
      <c r="O547" s="176"/>
      <c r="P547" s="177"/>
      <c r="Q547" s="178"/>
      <c r="R547" s="179"/>
      <c r="S547" s="179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80" t="s">
        <v>1898</v>
      </c>
      <c r="AE547" s="173" t="s">
        <v>69</v>
      </c>
      <c r="AF547" s="181" t="s">
        <v>142</v>
      </c>
      <c r="AG547" s="192" t="s">
        <v>1653</v>
      </c>
      <c r="AH547" s="198"/>
      <c r="AI547" s="181">
        <v>44880</v>
      </c>
      <c r="AJ547" s="181"/>
      <c r="AK547" s="181">
        <f ca="1">TODAY()</f>
        <v>44958</v>
      </c>
      <c r="AL547" s="173">
        <f ca="1">IF(AI547&lt;&gt;0,AK547-AI547,0)</f>
        <v>78</v>
      </c>
      <c r="AM547" s="173" t="str">
        <f>IF(ISNUMBER(X547)=TRUE,AK547-X547,IF(X547="","",(AK547)-(MID(RIGHT(X547,10),4,2)&amp;"/"&amp;LEFT((RIGHT(X547,10)),2)&amp;"/"&amp;RIGHT(X547,4))))</f>
        <v/>
      </c>
      <c r="AN547" s="181"/>
      <c r="AO547" s="190" t="s">
        <v>1995</v>
      </c>
      <c r="AP547" s="176">
        <v>10.66</v>
      </c>
      <c r="AQ547" s="176">
        <v>10.67</v>
      </c>
      <c r="AR547" s="176">
        <v>10.694999999999999</v>
      </c>
      <c r="AS547" s="176">
        <v>10.7</v>
      </c>
      <c r="AT547" s="173" t="str">
        <f>IF(ISNUMBER(U547)=TRUE,AK547-U547,IF(U547="","",(AK547)-(MID(RIGHT(U547,10),4,2)&amp;"/"&amp;LEFT((RIGHT(U547,10)),2)&amp;"/"&amp;RIGHT(U547,4))))</f>
        <v/>
      </c>
      <c r="AU547" s="173">
        <v>459</v>
      </c>
      <c r="AW547" s="142" t="s">
        <v>123</v>
      </c>
    </row>
    <row r="548" spans="2:49" s="142" customFormat="1" ht="21" customHeight="1" x14ac:dyDescent="0.25">
      <c r="B548" s="173" t="str">
        <f>IF(C548="HOLD RM","HOLD RM",IF(C548="BAL","WIP",IF(C548="HOLD SLT","HOLD SLT",IF(C548="MILL","RM",IF(C548="RE SLT","WIP",IF(C548="RM","RM",IF(C548="RM BAL","RM",IF(C548="RM SLT","RM",IF(C548="RR","WIP",IF(C548="SKP","WIP",IF(C548="SLT","WIP",IF(C548="CTL","WIP",IF(C548="RM SLT RUST","RM SLT RUST",0)))))))))))))&amp;"-"&amp;G548&amp;"/"&amp;IF(H548="2B","2B",IF(H548="NO.1","1D",IF(H548="FH","FH",0)))&amp;"-"&amp;IF(J548="",(TEXT(I548,"0.00")),TEXT(J548,"0.00"))&amp;"X"&amp;M548</f>
        <v>RM-304L/1D-3.81X644</v>
      </c>
      <c r="C548" s="173" t="s">
        <v>48</v>
      </c>
      <c r="D548" s="173" t="s">
        <v>48</v>
      </c>
      <c r="E548" s="190" t="s">
        <v>1998</v>
      </c>
      <c r="F548" s="190" t="s">
        <v>1999</v>
      </c>
      <c r="G548" s="173" t="s">
        <v>182</v>
      </c>
      <c r="H548" s="173" t="s">
        <v>127</v>
      </c>
      <c r="I548" s="174">
        <v>3.81</v>
      </c>
      <c r="J548" s="174"/>
      <c r="K548" s="174"/>
      <c r="L548" s="174"/>
      <c r="M548" s="191">
        <v>644</v>
      </c>
      <c r="N548" s="176">
        <v>9.8249999999999993</v>
      </c>
      <c r="O548" s="176"/>
      <c r="P548" s="177"/>
      <c r="Q548" s="178"/>
      <c r="R548" s="179"/>
      <c r="S548" s="179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80" t="s">
        <v>1898</v>
      </c>
      <c r="AE548" s="173" t="s">
        <v>69</v>
      </c>
      <c r="AF548" s="181" t="s">
        <v>142</v>
      </c>
      <c r="AG548" s="192" t="s">
        <v>1653</v>
      </c>
      <c r="AH548" s="198"/>
      <c r="AI548" s="181">
        <v>44880</v>
      </c>
      <c r="AJ548" s="181"/>
      <c r="AK548" s="181">
        <f ca="1">TODAY()</f>
        <v>44958</v>
      </c>
      <c r="AL548" s="173">
        <f ca="1">IF(AI548&lt;&gt;0,AK548-AI548,0)</f>
        <v>78</v>
      </c>
      <c r="AM548" s="173" t="str">
        <f>IF(ISNUMBER(X548)=TRUE,AK548-X548,IF(X548="","",(AK548)-(MID(RIGHT(X548,10),4,2)&amp;"/"&amp;LEFT((RIGHT(X548,10)),2)&amp;"/"&amp;RIGHT(X548,4))))</f>
        <v/>
      </c>
      <c r="AN548" s="181"/>
      <c r="AO548" s="190" t="s">
        <v>2000</v>
      </c>
      <c r="AP548" s="176">
        <v>9.8249999999999993</v>
      </c>
      <c r="AQ548" s="176">
        <v>9.8349999999999991</v>
      </c>
      <c r="AR548" s="176">
        <v>9.8599999999999977</v>
      </c>
      <c r="AS548" s="176">
        <v>9.8649999999999984</v>
      </c>
      <c r="AT548" s="173" t="str">
        <f>IF(ISNUMBER(U548)=TRUE,AK548-U548,IF(U548="","",(AK548)-(MID(RIGHT(U548,10),4,2)&amp;"/"&amp;LEFT((RIGHT(U548,10)),2)&amp;"/"&amp;RIGHT(U548,4))))</f>
        <v/>
      </c>
      <c r="AU548" s="173">
        <v>459</v>
      </c>
      <c r="AW548" s="142" t="s">
        <v>123</v>
      </c>
    </row>
    <row r="549" spans="2:49" s="142" customFormat="1" ht="21" customHeight="1" x14ac:dyDescent="0.25">
      <c r="B549" s="173" t="str">
        <f>IF(C549="HOLD RM","HOLD RM",IF(C549="BAL","WIP",IF(C549="HOLD SLT","HOLD SLT",IF(C549="MILL","RM",IF(C549="RE SLT","WIP",IF(C549="RM","RM",IF(C549="RM BAL","RM",IF(C549="RM SLT","RM",IF(C549="RR","WIP",IF(C549="SKP","WIP",IF(C549="SLT","WIP",IF(C549="CTL","WIP",IF(C549="RM SLT RUST","RM SLT RUST",0)))))))))))))&amp;"-"&amp;G549&amp;"/"&amp;IF(H549="2B","2B",IF(H549="NO.1","1D",IF(H549="FH","FH",0)))&amp;"-"&amp;IF(J549="",(TEXT(I549,"0.00")),TEXT(J549,"0.00"))&amp;"X"&amp;M549</f>
        <v>RM-304L/1D-3.81X642</v>
      </c>
      <c r="C549" s="173" t="s">
        <v>48</v>
      </c>
      <c r="D549" s="173" t="s">
        <v>48</v>
      </c>
      <c r="E549" s="190" t="s">
        <v>2001</v>
      </c>
      <c r="F549" s="190" t="s">
        <v>2002</v>
      </c>
      <c r="G549" s="173" t="s">
        <v>182</v>
      </c>
      <c r="H549" s="173" t="s">
        <v>127</v>
      </c>
      <c r="I549" s="174">
        <v>3.81</v>
      </c>
      <c r="J549" s="174"/>
      <c r="K549" s="174"/>
      <c r="L549" s="174"/>
      <c r="M549" s="191">
        <v>642</v>
      </c>
      <c r="N549" s="176">
        <v>9.8049999999999997</v>
      </c>
      <c r="O549" s="176"/>
      <c r="P549" s="177"/>
      <c r="Q549" s="178"/>
      <c r="R549" s="179"/>
      <c r="S549" s="179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80" t="s">
        <v>1898</v>
      </c>
      <c r="AE549" s="173" t="s">
        <v>69</v>
      </c>
      <c r="AF549" s="181" t="s">
        <v>142</v>
      </c>
      <c r="AG549" s="192" t="s">
        <v>1653</v>
      </c>
      <c r="AH549" s="198"/>
      <c r="AI549" s="181">
        <v>44880</v>
      </c>
      <c r="AJ549" s="181"/>
      <c r="AK549" s="181">
        <f ca="1">TODAY()</f>
        <v>44958</v>
      </c>
      <c r="AL549" s="173">
        <f ca="1">IF(AI549&lt;&gt;0,AK549-AI549,0)</f>
        <v>78</v>
      </c>
      <c r="AM549" s="173" t="str">
        <f>IF(ISNUMBER(X549)=TRUE,AK549-X549,IF(X549="","",(AK549)-(MID(RIGHT(X549,10),4,2)&amp;"/"&amp;LEFT((RIGHT(X549,10)),2)&amp;"/"&amp;RIGHT(X549,4))))</f>
        <v/>
      </c>
      <c r="AN549" s="181"/>
      <c r="AO549" s="190" t="s">
        <v>2000</v>
      </c>
      <c r="AP549" s="176">
        <v>9.8049999999999997</v>
      </c>
      <c r="AQ549" s="176">
        <v>9.8149999999999995</v>
      </c>
      <c r="AR549" s="176">
        <v>9.8399999999999981</v>
      </c>
      <c r="AS549" s="176">
        <v>9.8449999999999989</v>
      </c>
      <c r="AT549" s="173" t="str">
        <f>IF(ISNUMBER(U549)=TRUE,AK549-U549,IF(U549="","",(AK549)-(MID(RIGHT(U549,10),4,2)&amp;"/"&amp;LEFT((RIGHT(U549,10)),2)&amp;"/"&amp;RIGHT(U549,4))))</f>
        <v/>
      </c>
      <c r="AU549" s="173">
        <v>459</v>
      </c>
      <c r="AW549" s="142" t="s">
        <v>123</v>
      </c>
    </row>
    <row r="550" spans="2:49" s="142" customFormat="1" ht="21" customHeight="1" x14ac:dyDescent="0.25">
      <c r="B550" s="173" t="str">
        <f>IF(C550="HOLD RM","HOLD RM",IF(C550="BAL","WIP",IF(C550="HOLD SLT","HOLD SLT",IF(C550="MILL","RM",IF(C550="RE SLT","WIP",IF(C550="RM","RM",IF(C550="RM BAL","RM",IF(C550="RM SLT","RM",IF(C550="RR","WIP",IF(C550="SKP","WIP",IF(C550="SLT","WIP",IF(C550="CTL","WIP",IF(C550="RM SLT RUST","RM SLT RUST",0)))))))))))))&amp;"-"&amp;G550&amp;"/"&amp;IF(H550="2B","2B",IF(H550="NO.1","1D",IF(H550="FH","FH",0)))&amp;"-"&amp;IF(J550="",(TEXT(I550,"0.00")),TEXT(J550,"0.00"))&amp;"X"&amp;M550</f>
        <v>RM-304/1D-3.86X647</v>
      </c>
      <c r="C550" s="173" t="s">
        <v>48</v>
      </c>
      <c r="D550" s="173" t="s">
        <v>48</v>
      </c>
      <c r="E550" s="190" t="s">
        <v>2003</v>
      </c>
      <c r="F550" s="190" t="s">
        <v>2004</v>
      </c>
      <c r="G550" s="173">
        <v>304</v>
      </c>
      <c r="H550" s="173" t="s">
        <v>127</v>
      </c>
      <c r="I550" s="174">
        <v>3.86</v>
      </c>
      <c r="J550" s="174"/>
      <c r="K550" s="174"/>
      <c r="L550" s="174"/>
      <c r="M550" s="191">
        <v>647</v>
      </c>
      <c r="N550" s="176">
        <v>10.535</v>
      </c>
      <c r="O550" s="176"/>
      <c r="P550" s="177"/>
      <c r="Q550" s="178"/>
      <c r="R550" s="179"/>
      <c r="S550" s="179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80" t="s">
        <v>1898</v>
      </c>
      <c r="AE550" s="173" t="s">
        <v>69</v>
      </c>
      <c r="AF550" s="181" t="s">
        <v>142</v>
      </c>
      <c r="AG550" s="192" t="s">
        <v>1653</v>
      </c>
      <c r="AH550" s="198"/>
      <c r="AI550" s="181">
        <v>44880</v>
      </c>
      <c r="AJ550" s="181"/>
      <c r="AK550" s="181">
        <f ca="1">TODAY()</f>
        <v>44958</v>
      </c>
      <c r="AL550" s="173">
        <f ca="1">IF(AI550&lt;&gt;0,AK550-AI550,0)</f>
        <v>78</v>
      </c>
      <c r="AM550" s="173" t="str">
        <f>IF(ISNUMBER(X550)=TRUE,AK550-X550,IF(X550="","",(AK550)-(MID(RIGHT(X550,10),4,2)&amp;"/"&amp;LEFT((RIGHT(X550,10)),2)&amp;"/"&amp;RIGHT(X550,4))))</f>
        <v/>
      </c>
      <c r="AN550" s="181"/>
      <c r="AO550" s="190" t="s">
        <v>2005</v>
      </c>
      <c r="AP550" s="176">
        <v>10.535</v>
      </c>
      <c r="AQ550" s="176">
        <v>10.545</v>
      </c>
      <c r="AR550" s="176">
        <v>10.569999999999999</v>
      </c>
      <c r="AS550" s="176">
        <v>10.574999999999999</v>
      </c>
      <c r="AT550" s="173" t="str">
        <f>IF(ISNUMBER(U550)=TRUE,AK550-U550,IF(U550="","",(AK550)-(MID(RIGHT(U550,10),4,2)&amp;"/"&amp;LEFT((RIGHT(U550,10)),2)&amp;"/"&amp;RIGHT(U550,4))))</f>
        <v/>
      </c>
      <c r="AU550" s="173">
        <v>459</v>
      </c>
      <c r="AW550" s="142" t="s">
        <v>123</v>
      </c>
    </row>
    <row r="551" spans="2:49" s="142" customFormat="1" ht="21" customHeight="1" x14ac:dyDescent="0.25">
      <c r="B551" s="173" t="str">
        <f>IF(C551="HOLD RM","HOLD RM",IF(C551="BAL","WIP",IF(C551="HOLD SLT","HOLD SLT",IF(C551="MILL","RM",IF(C551="RE SLT","WIP",IF(C551="RM","RM",IF(C551="RM BAL","RM",IF(C551="RM SLT","RM",IF(C551="RR","WIP",IF(C551="SKP","WIP",IF(C551="SLT","WIP",IF(C551="CTL","WIP",IF(C551="RM SLT RUST","RM SLT RUST",0)))))))))))))&amp;"-"&amp;G551&amp;"/"&amp;IF(H551="2B","2B",IF(H551="NO.1","1D",IF(H551="FH","FH",0)))&amp;"-"&amp;IF(J551="",(TEXT(I551,"0.00")),TEXT(J551,"0.00"))&amp;"X"&amp;M551</f>
        <v>RM-304/1D-3.86X644</v>
      </c>
      <c r="C551" s="173" t="s">
        <v>48</v>
      </c>
      <c r="D551" s="173" t="s">
        <v>48</v>
      </c>
      <c r="E551" s="190" t="s">
        <v>2006</v>
      </c>
      <c r="F551" s="190" t="s">
        <v>2007</v>
      </c>
      <c r="G551" s="173">
        <v>304</v>
      </c>
      <c r="H551" s="173" t="s">
        <v>127</v>
      </c>
      <c r="I551" s="174">
        <v>3.86</v>
      </c>
      <c r="J551" s="174"/>
      <c r="K551" s="174"/>
      <c r="L551" s="174"/>
      <c r="M551" s="191">
        <v>644</v>
      </c>
      <c r="N551" s="176">
        <v>10.48</v>
      </c>
      <c r="O551" s="176"/>
      <c r="P551" s="177"/>
      <c r="Q551" s="178"/>
      <c r="R551" s="179"/>
      <c r="S551" s="179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80" t="s">
        <v>1898</v>
      </c>
      <c r="AE551" s="173" t="s">
        <v>69</v>
      </c>
      <c r="AF551" s="181" t="s">
        <v>142</v>
      </c>
      <c r="AG551" s="192" t="s">
        <v>1653</v>
      </c>
      <c r="AH551" s="198"/>
      <c r="AI551" s="181">
        <v>44880</v>
      </c>
      <c r="AJ551" s="181"/>
      <c r="AK551" s="181">
        <f ca="1">TODAY()</f>
        <v>44958</v>
      </c>
      <c r="AL551" s="173">
        <f ca="1">IF(AI551&lt;&gt;0,AK551-AI551,0)</f>
        <v>78</v>
      </c>
      <c r="AM551" s="173" t="str">
        <f>IF(ISNUMBER(X551)=TRUE,AK551-X551,IF(X551="","",(AK551)-(MID(RIGHT(X551,10),4,2)&amp;"/"&amp;LEFT((RIGHT(X551,10)),2)&amp;"/"&amp;RIGHT(X551,4))))</f>
        <v/>
      </c>
      <c r="AN551" s="181"/>
      <c r="AO551" s="190" t="s">
        <v>2005</v>
      </c>
      <c r="AP551" s="176">
        <v>10.48</v>
      </c>
      <c r="AQ551" s="176">
        <v>10.49</v>
      </c>
      <c r="AR551" s="176">
        <v>10.514999999999999</v>
      </c>
      <c r="AS551" s="176">
        <v>10.52</v>
      </c>
      <c r="AT551" s="173" t="str">
        <f>IF(ISNUMBER(U551)=TRUE,AK551-U551,IF(U551="","",(AK551)-(MID(RIGHT(U551,10),4,2)&amp;"/"&amp;LEFT((RIGHT(U551,10)),2)&amp;"/"&amp;RIGHT(U551,4))))</f>
        <v/>
      </c>
      <c r="AU551" s="173">
        <v>459</v>
      </c>
      <c r="AW551" s="142" t="s">
        <v>123</v>
      </c>
    </row>
    <row r="552" spans="2:49" s="142" customFormat="1" ht="21" customHeight="1" x14ac:dyDescent="0.25">
      <c r="B552" s="173" t="str">
        <f>IF(C552="HOLD RM","HOLD RM",IF(C552="BAL","WIP",IF(C552="HOLD SLT","HOLD SLT",IF(C552="MILL","RM",IF(C552="RE SLT","WIP",IF(C552="RM","RM",IF(C552="RM BAL","RM",IF(C552="RM SLT","RM",IF(C552="RR","WIP",IF(C552="SKP","WIP",IF(C552="SLT","WIP",IF(C552="CTL","WIP",IF(C552="RM SLT RUST","RM SLT RUST",0)))))))))))))&amp;"-"&amp;G552&amp;"/"&amp;IF(H552="2B","2B",IF(H552="NO.1","1D",IF(H552="FH","FH",0)))&amp;"-"&amp;IF(J552="",(TEXT(I552,"0.00")),TEXT(J552,"0.00"))&amp;"X"&amp;M552</f>
        <v>RM-304L/1D-3.89X644</v>
      </c>
      <c r="C552" s="173" t="s">
        <v>48</v>
      </c>
      <c r="D552" s="173" t="s">
        <v>48</v>
      </c>
      <c r="E552" s="190" t="s">
        <v>2008</v>
      </c>
      <c r="F552" s="190" t="s">
        <v>2009</v>
      </c>
      <c r="G552" s="173" t="s">
        <v>182</v>
      </c>
      <c r="H552" s="173" t="s">
        <v>127</v>
      </c>
      <c r="I552" s="174">
        <v>3.89</v>
      </c>
      <c r="J552" s="174"/>
      <c r="K552" s="174"/>
      <c r="L552" s="174"/>
      <c r="M552" s="191">
        <v>644</v>
      </c>
      <c r="N552" s="176">
        <v>10.574999999999999</v>
      </c>
      <c r="O552" s="176"/>
      <c r="P552" s="177"/>
      <c r="Q552" s="178"/>
      <c r="R552" s="179"/>
      <c r="S552" s="179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80" t="s">
        <v>1881</v>
      </c>
      <c r="AE552" s="173" t="s">
        <v>69</v>
      </c>
      <c r="AF552" s="181" t="s">
        <v>142</v>
      </c>
      <c r="AG552" s="192" t="s">
        <v>1653</v>
      </c>
      <c r="AH552" s="198"/>
      <c r="AI552" s="181">
        <v>44880</v>
      </c>
      <c r="AJ552" s="181"/>
      <c r="AK552" s="181">
        <f ca="1">TODAY()</f>
        <v>44958</v>
      </c>
      <c r="AL552" s="173">
        <f ca="1">IF(AI552&lt;&gt;0,AK552-AI552,0)</f>
        <v>78</v>
      </c>
      <c r="AM552" s="173" t="str">
        <f>IF(ISNUMBER(X552)=TRUE,AK552-X552,IF(X552="","",(AK552)-(MID(RIGHT(X552,10),4,2)&amp;"/"&amp;LEFT((RIGHT(X552,10)),2)&amp;"/"&amp;RIGHT(X552,4))))</f>
        <v/>
      </c>
      <c r="AN552" s="181"/>
      <c r="AO552" s="190" t="s">
        <v>2010</v>
      </c>
      <c r="AP552" s="176">
        <v>10.574999999999999</v>
      </c>
      <c r="AQ552" s="176">
        <v>10.584999999999999</v>
      </c>
      <c r="AR552" s="176">
        <v>10.609999999999998</v>
      </c>
      <c r="AS552" s="176">
        <v>10.614999999999998</v>
      </c>
      <c r="AT552" s="173" t="str">
        <f>IF(ISNUMBER(U552)=TRUE,AK552-U552,IF(U552="","",(AK552)-(MID(RIGHT(U552,10),4,2)&amp;"/"&amp;LEFT((RIGHT(U552,10)),2)&amp;"/"&amp;RIGHT(U552,4))))</f>
        <v/>
      </c>
      <c r="AU552" s="173">
        <v>459</v>
      </c>
      <c r="AW552" s="142" t="s">
        <v>123</v>
      </c>
    </row>
    <row r="553" spans="2:49" s="142" customFormat="1" ht="21" customHeight="1" x14ac:dyDescent="0.25">
      <c r="B553" s="173" t="str">
        <f>IF(C553="HOLD RM","HOLD RM",IF(C553="BAL","WIP",IF(C553="HOLD SLT","HOLD SLT",IF(C553="MILL","RM",IF(C553="RE SLT","WIP",IF(C553="RM","RM",IF(C553="RM BAL","RM",IF(C553="RM SLT","RM",IF(C553="RR","WIP",IF(C553="SKP","WIP",IF(C553="SLT","WIP",IF(C553="CTL","WIP",IF(C553="RM SLT RUST","RM SLT RUST",0)))))))))))))&amp;"-"&amp;G553&amp;"/"&amp;IF(H553="2B","2B",IF(H553="NO.1","1D",IF(H553="FH","FH",0)))&amp;"-"&amp;IF(J553="",(TEXT(I553,"0.00")),TEXT(J553,"0.00"))&amp;"X"&amp;M553</f>
        <v>RM-304L/1D-3.89X643</v>
      </c>
      <c r="C553" s="173" t="s">
        <v>48</v>
      </c>
      <c r="D553" s="173" t="s">
        <v>48</v>
      </c>
      <c r="E553" s="190" t="s">
        <v>2011</v>
      </c>
      <c r="F553" s="190" t="s">
        <v>2012</v>
      </c>
      <c r="G553" s="173" t="s">
        <v>182</v>
      </c>
      <c r="H553" s="173" t="s">
        <v>127</v>
      </c>
      <c r="I553" s="174">
        <v>3.89</v>
      </c>
      <c r="J553" s="174"/>
      <c r="K553" s="174"/>
      <c r="L553" s="174"/>
      <c r="M553" s="191">
        <v>643</v>
      </c>
      <c r="N553" s="176">
        <v>10.565</v>
      </c>
      <c r="O553" s="176"/>
      <c r="P553" s="177"/>
      <c r="Q553" s="178"/>
      <c r="R553" s="179"/>
      <c r="S553" s="179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80" t="s">
        <v>1881</v>
      </c>
      <c r="AE553" s="173" t="s">
        <v>69</v>
      </c>
      <c r="AF553" s="181" t="s">
        <v>142</v>
      </c>
      <c r="AG553" s="192" t="s">
        <v>1653</v>
      </c>
      <c r="AH553" s="198"/>
      <c r="AI553" s="181">
        <v>44880</v>
      </c>
      <c r="AJ553" s="181"/>
      <c r="AK553" s="181">
        <f ca="1">TODAY()</f>
        <v>44958</v>
      </c>
      <c r="AL553" s="173">
        <f ca="1">IF(AI553&lt;&gt;0,AK553-AI553,0)</f>
        <v>78</v>
      </c>
      <c r="AM553" s="173" t="str">
        <f>IF(ISNUMBER(X553)=TRUE,AK553-X553,IF(X553="","",(AK553)-(MID(RIGHT(X553,10),4,2)&amp;"/"&amp;LEFT((RIGHT(X553,10)),2)&amp;"/"&amp;RIGHT(X553,4))))</f>
        <v/>
      </c>
      <c r="AN553" s="181"/>
      <c r="AO553" s="190" t="s">
        <v>2010</v>
      </c>
      <c r="AP553" s="176">
        <v>10.565</v>
      </c>
      <c r="AQ553" s="176">
        <v>10.574999999999999</v>
      </c>
      <c r="AR553" s="176">
        <v>10.599999999999998</v>
      </c>
      <c r="AS553" s="176">
        <v>10.604999999999999</v>
      </c>
      <c r="AT553" s="173" t="str">
        <f>IF(ISNUMBER(U553)=TRUE,AK553-U553,IF(U553="","",(AK553)-(MID(RIGHT(U553,10),4,2)&amp;"/"&amp;LEFT((RIGHT(U553,10)),2)&amp;"/"&amp;RIGHT(U553,4))))</f>
        <v/>
      </c>
      <c r="AU553" s="173">
        <v>459</v>
      </c>
      <c r="AW553" s="142" t="s">
        <v>123</v>
      </c>
    </row>
    <row r="554" spans="2:49" s="142" customFormat="1" ht="21" customHeight="1" x14ac:dyDescent="0.25">
      <c r="B554" s="173" t="str">
        <f>IF(C554="HOLD RM","HOLD RM",IF(C554="BAL","WIP",IF(C554="HOLD SLT","HOLD SLT",IF(C554="MILL","RM",IF(C554="RE SLT","WIP",IF(C554="RM","RM",IF(C554="RM BAL","RM",IF(C554="RM SLT","RM",IF(C554="RR","WIP",IF(C554="SKP","WIP",IF(C554="SLT","WIP",IF(C554="CTL","WIP",IF(C554="RM SLT RUST","RM SLT RUST",0)))))))))))))&amp;"-"&amp;G554&amp;"/"&amp;IF(H554="2B","2B",IF(H554="NO.1","1D",IF(H554="FH","FH",0)))&amp;"-"&amp;IF(J554="",(TEXT(I554,"0.00")),TEXT(J554,"0.00"))&amp;"X"&amp;M554</f>
        <v>RM-304L/1D-2.88X641</v>
      </c>
      <c r="C554" s="173" t="s">
        <v>48</v>
      </c>
      <c r="D554" s="173" t="s">
        <v>48</v>
      </c>
      <c r="E554" s="190" t="s">
        <v>2013</v>
      </c>
      <c r="F554" s="190" t="s">
        <v>2014</v>
      </c>
      <c r="G554" s="173" t="s">
        <v>182</v>
      </c>
      <c r="H554" s="173" t="s">
        <v>127</v>
      </c>
      <c r="I554" s="174">
        <v>2.88</v>
      </c>
      <c r="J554" s="174"/>
      <c r="K554" s="174"/>
      <c r="L554" s="174"/>
      <c r="M554" s="191">
        <v>641</v>
      </c>
      <c r="N554" s="176">
        <v>10.635</v>
      </c>
      <c r="O554" s="176"/>
      <c r="P554" s="177"/>
      <c r="Q554" s="178"/>
      <c r="R554" s="179"/>
      <c r="S554" s="179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80" t="s">
        <v>1881</v>
      </c>
      <c r="AE554" s="173" t="s">
        <v>69</v>
      </c>
      <c r="AF554" s="181" t="s">
        <v>142</v>
      </c>
      <c r="AG554" s="192" t="s">
        <v>1653</v>
      </c>
      <c r="AH554" s="198"/>
      <c r="AI554" s="181">
        <v>44880</v>
      </c>
      <c r="AJ554" s="181"/>
      <c r="AK554" s="181">
        <f ca="1">TODAY()</f>
        <v>44958</v>
      </c>
      <c r="AL554" s="173">
        <f ca="1">IF(AI554&lt;&gt;0,AK554-AI554,0)</f>
        <v>78</v>
      </c>
      <c r="AM554" s="173" t="str">
        <f>IF(ISNUMBER(X554)=TRUE,AK554-X554,IF(X554="","",(AK554)-(MID(RIGHT(X554,10),4,2)&amp;"/"&amp;LEFT((RIGHT(X554,10)),2)&amp;"/"&amp;RIGHT(X554,4))))</f>
        <v/>
      </c>
      <c r="AN554" s="181"/>
      <c r="AO554" s="190" t="s">
        <v>2015</v>
      </c>
      <c r="AP554" s="176">
        <v>10.635</v>
      </c>
      <c r="AQ554" s="176">
        <v>10.645</v>
      </c>
      <c r="AR554" s="176">
        <v>10.669999999999998</v>
      </c>
      <c r="AS554" s="176">
        <v>10.674999999999999</v>
      </c>
      <c r="AT554" s="173" t="str">
        <f>IF(ISNUMBER(U554)=TRUE,AK554-U554,IF(U554="","",(AK554)-(MID(RIGHT(U554,10),4,2)&amp;"/"&amp;LEFT((RIGHT(U554,10)),2)&amp;"/"&amp;RIGHT(U554,4))))</f>
        <v/>
      </c>
      <c r="AU554" s="173">
        <v>459</v>
      </c>
      <c r="AW554" s="142" t="s">
        <v>123</v>
      </c>
    </row>
    <row r="555" spans="2:49" s="142" customFormat="1" ht="21" customHeight="1" x14ac:dyDescent="0.25">
      <c r="B555" s="173" t="str">
        <f>IF(C555="HOLD RM","HOLD RM",IF(C555="BAL","WIP",IF(C555="HOLD SLT","HOLD SLT",IF(C555="MILL","RM",IF(C555="RE SLT","WIP",IF(C555="RM","RM",IF(C555="RM BAL","RM",IF(C555="RM SLT","RM",IF(C555="RR","WIP",IF(C555="SKP","WIP",IF(C555="SLT","WIP",IF(C555="CTL","WIP",IF(C555="RM SLT RUST","RM SLT RUST",0)))))))))))))&amp;"-"&amp;G555&amp;"/"&amp;IF(H555="2B","2B",IF(H555="NO.1","1D",IF(H555="FH","FH",0)))&amp;"-"&amp;IF(J555="",(TEXT(I555,"0.00")),TEXT(J555,"0.00"))&amp;"X"&amp;M555</f>
        <v>RM-304L/1D-2.88X641</v>
      </c>
      <c r="C555" s="173" t="s">
        <v>48</v>
      </c>
      <c r="D555" s="173" t="s">
        <v>48</v>
      </c>
      <c r="E555" s="190" t="s">
        <v>2016</v>
      </c>
      <c r="F555" s="190" t="s">
        <v>2017</v>
      </c>
      <c r="G555" s="173" t="s">
        <v>182</v>
      </c>
      <c r="H555" s="173" t="s">
        <v>127</v>
      </c>
      <c r="I555" s="174">
        <v>2.88</v>
      </c>
      <c r="J555" s="174"/>
      <c r="K555" s="174"/>
      <c r="L555" s="174"/>
      <c r="M555" s="191">
        <v>641</v>
      </c>
      <c r="N555" s="176">
        <v>10.67</v>
      </c>
      <c r="O555" s="176"/>
      <c r="P555" s="177"/>
      <c r="Q555" s="178"/>
      <c r="R555" s="179"/>
      <c r="S555" s="179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80" t="s">
        <v>1881</v>
      </c>
      <c r="AE555" s="173" t="s">
        <v>69</v>
      </c>
      <c r="AF555" s="181" t="s">
        <v>142</v>
      </c>
      <c r="AG555" s="192" t="s">
        <v>1653</v>
      </c>
      <c r="AH555" s="198"/>
      <c r="AI555" s="181">
        <v>44880</v>
      </c>
      <c r="AJ555" s="181"/>
      <c r="AK555" s="181">
        <f ca="1">TODAY()</f>
        <v>44958</v>
      </c>
      <c r="AL555" s="173">
        <f ca="1">IF(AI555&lt;&gt;0,AK555-AI555,0)</f>
        <v>78</v>
      </c>
      <c r="AM555" s="173" t="str">
        <f>IF(ISNUMBER(X555)=TRUE,AK555-X555,IF(X555="","",(AK555)-(MID(RIGHT(X555,10),4,2)&amp;"/"&amp;LEFT((RIGHT(X555,10)),2)&amp;"/"&amp;RIGHT(X555,4))))</f>
        <v/>
      </c>
      <c r="AN555" s="181"/>
      <c r="AO555" s="190" t="s">
        <v>2015</v>
      </c>
      <c r="AP555" s="176">
        <v>10.67</v>
      </c>
      <c r="AQ555" s="176">
        <v>10.68</v>
      </c>
      <c r="AR555" s="176">
        <v>10.704999999999998</v>
      </c>
      <c r="AS555" s="176">
        <v>10.709999999999999</v>
      </c>
      <c r="AT555" s="173" t="str">
        <f>IF(ISNUMBER(U555)=TRUE,AK555-U555,IF(U555="","",(AK555)-(MID(RIGHT(U555,10),4,2)&amp;"/"&amp;LEFT((RIGHT(U555,10)),2)&amp;"/"&amp;RIGHT(U555,4))))</f>
        <v/>
      </c>
      <c r="AU555" s="173">
        <v>459</v>
      </c>
      <c r="AW555" s="142" t="s">
        <v>123</v>
      </c>
    </row>
    <row r="556" spans="2:49" s="142" customFormat="1" ht="21" customHeight="1" x14ac:dyDescent="0.25">
      <c r="B556" s="173" t="str">
        <f>IF(C556="HOLD RM","HOLD RM",IF(C556="BAL","WIP",IF(C556="HOLD SLT","HOLD SLT",IF(C556="MILL","RM",IF(C556="RE SLT","WIP",IF(C556="RM","RM",IF(C556="RM BAL","RM",IF(C556="RM SLT","RM",IF(C556="RR","WIP",IF(C556="SKP","WIP",IF(C556="SLT","WIP",IF(C556="CTL","WIP",IF(C556="RM SLT RUST","RM SLT RUST",0)))))))))))))&amp;"-"&amp;G556&amp;"/"&amp;IF(H556="2B","2B",IF(H556="NO.1","1D",IF(H556="FH","FH",0)))&amp;"-"&amp;IF(J556="",(TEXT(I556,"0.00")),TEXT(J556,"0.00"))&amp;"X"&amp;M556</f>
        <v>RM-304/1D-3.87X637</v>
      </c>
      <c r="C556" s="173" t="s">
        <v>48</v>
      </c>
      <c r="D556" s="173" t="s">
        <v>48</v>
      </c>
      <c r="E556" s="190" t="s">
        <v>2018</v>
      </c>
      <c r="F556" s="190" t="s">
        <v>2019</v>
      </c>
      <c r="G556" s="173">
        <v>304</v>
      </c>
      <c r="H556" s="173" t="s">
        <v>127</v>
      </c>
      <c r="I556" s="174">
        <v>3.87</v>
      </c>
      <c r="J556" s="174"/>
      <c r="K556" s="174"/>
      <c r="L556" s="174"/>
      <c r="M556" s="191">
        <v>637</v>
      </c>
      <c r="N556" s="176">
        <v>10.52</v>
      </c>
      <c r="O556" s="176"/>
      <c r="P556" s="177"/>
      <c r="Q556" s="178"/>
      <c r="R556" s="179"/>
      <c r="S556" s="179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80" t="s">
        <v>1898</v>
      </c>
      <c r="AE556" s="173" t="s">
        <v>69</v>
      </c>
      <c r="AF556" s="181" t="s">
        <v>142</v>
      </c>
      <c r="AG556" s="192" t="s">
        <v>1887</v>
      </c>
      <c r="AH556" s="198"/>
      <c r="AI556" s="181">
        <v>44880</v>
      </c>
      <c r="AJ556" s="181"/>
      <c r="AK556" s="181">
        <f ca="1">TODAY()</f>
        <v>44958</v>
      </c>
      <c r="AL556" s="173">
        <f ca="1">IF(AI556&lt;&gt;0,AK556-AI556,0)</f>
        <v>78</v>
      </c>
      <c r="AM556" s="173" t="str">
        <f>IF(ISNUMBER(X556)=TRUE,AK556-X556,IF(X556="","",(AK556)-(MID(RIGHT(X556,10),4,2)&amp;"/"&amp;LEFT((RIGHT(X556,10)),2)&amp;"/"&amp;RIGHT(X556,4))))</f>
        <v/>
      </c>
      <c r="AN556" s="181"/>
      <c r="AO556" s="190" t="s">
        <v>2020</v>
      </c>
      <c r="AP556" s="176">
        <v>10.52</v>
      </c>
      <c r="AQ556" s="176">
        <v>10.53</v>
      </c>
      <c r="AR556" s="176">
        <v>10.554999999999998</v>
      </c>
      <c r="AS556" s="176">
        <v>10.559999999999999</v>
      </c>
      <c r="AT556" s="173" t="str">
        <f>IF(ISNUMBER(U556)=TRUE,AK556-U556,IF(U556="","",(AK556)-(MID(RIGHT(U556,10),4,2)&amp;"/"&amp;LEFT((RIGHT(U556,10)),2)&amp;"/"&amp;RIGHT(U556,4))))</f>
        <v/>
      </c>
      <c r="AU556" s="173">
        <v>459</v>
      </c>
      <c r="AW556" s="142" t="s">
        <v>123</v>
      </c>
    </row>
    <row r="557" spans="2:49" s="142" customFormat="1" ht="21" customHeight="1" x14ac:dyDescent="0.25">
      <c r="B557" s="173" t="str">
        <f>IF(C557="HOLD RM","HOLD RM",IF(C557="BAL","WIP",IF(C557="HOLD SLT","HOLD SLT",IF(C557="MILL","RM",IF(C557="RE SLT","WIP",IF(C557="RM","RM",IF(C557="RM BAL","RM",IF(C557="RM SLT","RM",IF(C557="RR","WIP",IF(C557="SKP","WIP",IF(C557="SLT","WIP",IF(C557="CTL","WIP",IF(C557="RM SLT RUST","RM SLT RUST",0)))))))))))))&amp;"-"&amp;G557&amp;"/"&amp;IF(H557="2B","2B",IF(H557="NO.1","1D",IF(H557="FH","FH",0)))&amp;"-"&amp;IF(J557="",(TEXT(I557,"0.00")),TEXT(J557,"0.00"))&amp;"X"&amp;M557</f>
        <v>RM-304/1D-3.88X638</v>
      </c>
      <c r="C557" s="173" t="s">
        <v>48</v>
      </c>
      <c r="D557" s="173" t="s">
        <v>48</v>
      </c>
      <c r="E557" s="190" t="s">
        <v>2021</v>
      </c>
      <c r="F557" s="190" t="s">
        <v>2022</v>
      </c>
      <c r="G557" s="173">
        <v>304</v>
      </c>
      <c r="H557" s="173" t="s">
        <v>127</v>
      </c>
      <c r="I557" s="174">
        <v>3.88</v>
      </c>
      <c r="J557" s="174"/>
      <c r="K557" s="174"/>
      <c r="L557" s="174"/>
      <c r="M557" s="191">
        <v>638</v>
      </c>
      <c r="N557" s="176">
        <v>10.545</v>
      </c>
      <c r="O557" s="176"/>
      <c r="P557" s="177"/>
      <c r="Q557" s="178"/>
      <c r="R557" s="179"/>
      <c r="S557" s="179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80" t="s">
        <v>1898</v>
      </c>
      <c r="AE557" s="173" t="s">
        <v>69</v>
      </c>
      <c r="AF557" s="181" t="s">
        <v>142</v>
      </c>
      <c r="AG557" s="192" t="s">
        <v>1887</v>
      </c>
      <c r="AH557" s="198"/>
      <c r="AI557" s="181">
        <v>44880</v>
      </c>
      <c r="AJ557" s="181"/>
      <c r="AK557" s="181">
        <f ca="1">TODAY()</f>
        <v>44958</v>
      </c>
      <c r="AL557" s="173">
        <f ca="1">IF(AI557&lt;&gt;0,AK557-AI557,0)</f>
        <v>78</v>
      </c>
      <c r="AM557" s="173" t="str">
        <f>IF(ISNUMBER(X557)=TRUE,AK557-X557,IF(X557="","",(AK557)-(MID(RIGHT(X557,10),4,2)&amp;"/"&amp;LEFT((RIGHT(X557,10)),2)&amp;"/"&amp;RIGHT(X557,4))))</f>
        <v/>
      </c>
      <c r="AN557" s="181"/>
      <c r="AO557" s="190" t="s">
        <v>2020</v>
      </c>
      <c r="AP557" s="176">
        <v>10.545</v>
      </c>
      <c r="AQ557" s="176">
        <v>10.555</v>
      </c>
      <c r="AR557" s="176">
        <v>10.579999999999998</v>
      </c>
      <c r="AS557" s="176">
        <v>10.584999999999999</v>
      </c>
      <c r="AT557" s="173" t="str">
        <f>IF(ISNUMBER(U557)=TRUE,AK557-U557,IF(U557="","",(AK557)-(MID(RIGHT(U557,10),4,2)&amp;"/"&amp;LEFT((RIGHT(U557,10)),2)&amp;"/"&amp;RIGHT(U557,4))))</f>
        <v/>
      </c>
      <c r="AU557" s="173">
        <v>459</v>
      </c>
      <c r="AW557" s="142" t="s">
        <v>123</v>
      </c>
    </row>
    <row r="558" spans="2:49" s="142" customFormat="1" ht="21" customHeight="1" x14ac:dyDescent="0.25">
      <c r="B558" s="173" t="str">
        <f>IF(C558="HOLD RM","HOLD RM",IF(C558="BAL","WIP",IF(C558="HOLD SLT","HOLD SLT",IF(C558="MILL","RM",IF(C558="RE SLT","WIP",IF(C558="RM","RM",IF(C558="RM BAL","RM",IF(C558="RM SLT","RM",IF(C558="RR","WIP",IF(C558="SKP","WIP",IF(C558="SLT","WIP",IF(C558="CTL","WIP",IF(C558="RM SLT RUST","RM SLT RUST",0)))))))))))))&amp;"-"&amp;G558&amp;"/"&amp;IF(H558="2B","2B",IF(H558="NO.1","1D",IF(H558="FH","FH",0)))&amp;"-"&amp;IF(J558="",(TEXT(I558,"0.00")),TEXT(J558,"0.00"))&amp;"X"&amp;M558</f>
        <v>RM-304L/1D-3.91X642</v>
      </c>
      <c r="C558" s="173" t="s">
        <v>48</v>
      </c>
      <c r="D558" s="173" t="s">
        <v>48</v>
      </c>
      <c r="E558" s="190" t="s">
        <v>2023</v>
      </c>
      <c r="F558" s="190" t="s">
        <v>2024</v>
      </c>
      <c r="G558" s="173" t="s">
        <v>182</v>
      </c>
      <c r="H558" s="173" t="s">
        <v>127</v>
      </c>
      <c r="I558" s="174">
        <v>3.91</v>
      </c>
      <c r="J558" s="174"/>
      <c r="K558" s="174"/>
      <c r="L558" s="174"/>
      <c r="M558" s="191">
        <v>642</v>
      </c>
      <c r="N558" s="176">
        <v>9.8800000000000008</v>
      </c>
      <c r="O558" s="176"/>
      <c r="P558" s="177"/>
      <c r="Q558" s="178"/>
      <c r="R558" s="179"/>
      <c r="S558" s="179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80" t="s">
        <v>1881</v>
      </c>
      <c r="AE558" s="173" t="s">
        <v>69</v>
      </c>
      <c r="AF558" s="181" t="s">
        <v>142</v>
      </c>
      <c r="AG558" s="192" t="s">
        <v>1653</v>
      </c>
      <c r="AH558" s="198"/>
      <c r="AI558" s="181">
        <v>44880</v>
      </c>
      <c r="AJ558" s="181"/>
      <c r="AK558" s="181">
        <f ca="1">TODAY()</f>
        <v>44958</v>
      </c>
      <c r="AL558" s="173">
        <f ca="1">IF(AI558&lt;&gt;0,AK558-AI558,0)</f>
        <v>78</v>
      </c>
      <c r="AM558" s="173" t="str">
        <f>IF(ISNUMBER(X558)=TRUE,AK558-X558,IF(X558="","",(AK558)-(MID(RIGHT(X558,10),4,2)&amp;"/"&amp;LEFT((RIGHT(X558,10)),2)&amp;"/"&amp;RIGHT(X558,4))))</f>
        <v/>
      </c>
      <c r="AN558" s="181"/>
      <c r="AO558" s="190" t="s">
        <v>2025</v>
      </c>
      <c r="AP558" s="176">
        <v>9.8800000000000008</v>
      </c>
      <c r="AQ558" s="176">
        <v>9.89</v>
      </c>
      <c r="AR558" s="176">
        <v>9.9149999999999991</v>
      </c>
      <c r="AS558" s="176">
        <v>9.92</v>
      </c>
      <c r="AT558" s="173" t="str">
        <f>IF(ISNUMBER(U558)=TRUE,AK558-U558,IF(U558="","",(AK558)-(MID(RIGHT(U558,10),4,2)&amp;"/"&amp;LEFT((RIGHT(U558,10)),2)&amp;"/"&amp;RIGHT(U558,4))))</f>
        <v/>
      </c>
      <c r="AU558" s="173">
        <v>459</v>
      </c>
      <c r="AW558" s="142" t="s">
        <v>123</v>
      </c>
    </row>
    <row r="559" spans="2:49" s="142" customFormat="1" ht="21" customHeight="1" x14ac:dyDescent="0.25">
      <c r="B559" s="173" t="str">
        <f>IF(C559="HOLD RM","HOLD RM",IF(C559="BAL","WIP",IF(C559="HOLD SLT","HOLD SLT",IF(C559="MILL","RM",IF(C559="RE SLT","WIP",IF(C559="RM","RM",IF(C559="RM BAL","RM",IF(C559="RM SLT","RM",IF(C559="RR","WIP",IF(C559="SKP","WIP",IF(C559="SLT","WIP",IF(C559="CTL","WIP",IF(C559="RM SLT RUST","RM SLT RUST",0)))))))))))))&amp;"-"&amp;G559&amp;"/"&amp;IF(H559="2B","2B",IF(H559="NO.1","1D",IF(H559="FH","FH",0)))&amp;"-"&amp;IF(J559="",(TEXT(I559,"0.00")),TEXT(J559,"0.00"))&amp;"X"&amp;M559</f>
        <v>RM-304L/1D-3.91X638</v>
      </c>
      <c r="C559" s="173" t="s">
        <v>48</v>
      </c>
      <c r="D559" s="173" t="s">
        <v>48</v>
      </c>
      <c r="E559" s="190" t="s">
        <v>2026</v>
      </c>
      <c r="F559" s="190" t="s">
        <v>2027</v>
      </c>
      <c r="G559" s="173" t="s">
        <v>182</v>
      </c>
      <c r="H559" s="173" t="s">
        <v>127</v>
      </c>
      <c r="I559" s="174">
        <v>3.91</v>
      </c>
      <c r="J559" s="174"/>
      <c r="K559" s="174"/>
      <c r="L559" s="174"/>
      <c r="M559" s="191">
        <v>638</v>
      </c>
      <c r="N559" s="176">
        <v>9.83</v>
      </c>
      <c r="O559" s="176"/>
      <c r="P559" s="177"/>
      <c r="Q559" s="178"/>
      <c r="R559" s="179"/>
      <c r="S559" s="179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80" t="s">
        <v>1881</v>
      </c>
      <c r="AE559" s="173" t="s">
        <v>69</v>
      </c>
      <c r="AF559" s="181" t="s">
        <v>142</v>
      </c>
      <c r="AG559" s="192" t="s">
        <v>1653</v>
      </c>
      <c r="AH559" s="198"/>
      <c r="AI559" s="181">
        <v>44880</v>
      </c>
      <c r="AJ559" s="181"/>
      <c r="AK559" s="181">
        <f ca="1">TODAY()</f>
        <v>44958</v>
      </c>
      <c r="AL559" s="173">
        <f ca="1">IF(AI559&lt;&gt;0,AK559-AI559,0)</f>
        <v>78</v>
      </c>
      <c r="AM559" s="173" t="str">
        <f>IF(ISNUMBER(X559)=TRUE,AK559-X559,IF(X559="","",(AK559)-(MID(RIGHT(X559,10),4,2)&amp;"/"&amp;LEFT((RIGHT(X559,10)),2)&amp;"/"&amp;RIGHT(X559,4))))</f>
        <v/>
      </c>
      <c r="AN559" s="181"/>
      <c r="AO559" s="190" t="s">
        <v>2025</v>
      </c>
      <c r="AP559" s="176">
        <v>9.83</v>
      </c>
      <c r="AQ559" s="176">
        <v>9.84</v>
      </c>
      <c r="AR559" s="176">
        <v>9.8649999999999984</v>
      </c>
      <c r="AS559" s="176">
        <v>9.8699999999999992</v>
      </c>
      <c r="AT559" s="173" t="str">
        <f>IF(ISNUMBER(U559)=TRUE,AK559-U559,IF(U559="","",(AK559)-(MID(RIGHT(U559,10),4,2)&amp;"/"&amp;LEFT((RIGHT(U559,10)),2)&amp;"/"&amp;RIGHT(U559,4))))</f>
        <v/>
      </c>
      <c r="AU559" s="173">
        <v>459</v>
      </c>
      <c r="AW559" s="142" t="s">
        <v>123</v>
      </c>
    </row>
    <row r="560" spans="2:49" s="142" customFormat="1" ht="21" customHeight="1" x14ac:dyDescent="0.25">
      <c r="B560" s="173" t="str">
        <f>IF(C560="HOLD RM","HOLD RM",IF(C560="BAL","WIP",IF(C560="HOLD SLT","HOLD SLT",IF(C560="MILL","RM",IF(C560="RE SLT","WIP",IF(C560="RM","RM",IF(C560="RM BAL","RM",IF(C560="RM SLT","RM",IF(C560="RR","WIP",IF(C560="SKP","WIP",IF(C560="SLT","WIP",IF(C560="CTL","WIP",IF(C560="RM SLT RUST","RM SLT RUST",0)))))))))))))&amp;"-"&amp;G560&amp;"/"&amp;IF(H560="2B","2B",IF(H560="NO.1","1D",IF(H560="FH","FH",0)))&amp;"-"&amp;IF(J560="",(TEXT(I560,"0.00")),TEXT(J560,"0.00"))&amp;"X"&amp;M560</f>
        <v>RM-304/1D-3.90X636</v>
      </c>
      <c r="C560" s="173" t="s">
        <v>48</v>
      </c>
      <c r="D560" s="173" t="s">
        <v>48</v>
      </c>
      <c r="E560" s="190" t="s">
        <v>2028</v>
      </c>
      <c r="F560" s="190" t="s">
        <v>2029</v>
      </c>
      <c r="G560" s="173">
        <v>304</v>
      </c>
      <c r="H560" s="173" t="s">
        <v>127</v>
      </c>
      <c r="I560" s="174">
        <v>3.9</v>
      </c>
      <c r="J560" s="174"/>
      <c r="K560" s="174"/>
      <c r="L560" s="174"/>
      <c r="M560" s="191">
        <v>636</v>
      </c>
      <c r="N560" s="176">
        <v>10.385</v>
      </c>
      <c r="O560" s="176"/>
      <c r="P560" s="177"/>
      <c r="Q560" s="178"/>
      <c r="R560" s="179"/>
      <c r="S560" s="179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80" t="s">
        <v>1881</v>
      </c>
      <c r="AE560" s="173" t="s">
        <v>69</v>
      </c>
      <c r="AF560" s="181" t="s">
        <v>142</v>
      </c>
      <c r="AG560" s="192" t="s">
        <v>1887</v>
      </c>
      <c r="AH560" s="198"/>
      <c r="AI560" s="181">
        <v>44880</v>
      </c>
      <c r="AJ560" s="181"/>
      <c r="AK560" s="181">
        <f ca="1">TODAY()</f>
        <v>44958</v>
      </c>
      <c r="AL560" s="173">
        <f ca="1">IF(AI560&lt;&gt;0,AK560-AI560,0)</f>
        <v>78</v>
      </c>
      <c r="AM560" s="173" t="str">
        <f>IF(ISNUMBER(X560)=TRUE,AK560-X560,IF(X560="","",(AK560)-(MID(RIGHT(X560,10),4,2)&amp;"/"&amp;LEFT((RIGHT(X560,10)),2)&amp;"/"&amp;RIGHT(X560,4))))</f>
        <v/>
      </c>
      <c r="AN560" s="181"/>
      <c r="AO560" s="190" t="s">
        <v>2030</v>
      </c>
      <c r="AP560" s="176">
        <v>10.385</v>
      </c>
      <c r="AQ560" s="176">
        <v>10.395</v>
      </c>
      <c r="AR560" s="176">
        <v>10.419999999999998</v>
      </c>
      <c r="AS560" s="176">
        <v>10.424999999999999</v>
      </c>
      <c r="AT560" s="173" t="str">
        <f>IF(ISNUMBER(U560)=TRUE,AK560-U560,IF(U560="","",(AK560)-(MID(RIGHT(U560,10),4,2)&amp;"/"&amp;LEFT((RIGHT(U560,10)),2)&amp;"/"&amp;RIGHT(U560,4))))</f>
        <v/>
      </c>
      <c r="AU560" s="173">
        <v>459</v>
      </c>
      <c r="AW560" s="142" t="s">
        <v>123</v>
      </c>
    </row>
    <row r="561" spans="2:49" s="142" customFormat="1" ht="21" customHeight="1" x14ac:dyDescent="0.25">
      <c r="B561" s="173" t="str">
        <f>IF(C561="HOLD RM","HOLD RM",IF(C561="BAL","WIP",IF(C561="HOLD SLT","HOLD SLT",IF(C561="MILL","RM",IF(C561="RE SLT","WIP",IF(C561="RM","RM",IF(C561="RM BAL","RM",IF(C561="RM SLT","RM",IF(C561="RR","WIP",IF(C561="SKP","WIP",IF(C561="SLT","WIP",IF(C561="CTL","WIP",IF(C561="RM SLT RUST","RM SLT RUST",0)))))))))))))&amp;"-"&amp;G561&amp;"/"&amp;IF(H561="2B","2B",IF(H561="NO.1","1D",IF(H561="FH","FH",0)))&amp;"-"&amp;IF(J561="",(TEXT(I561,"0.00")),TEXT(J561,"0.00"))&amp;"X"&amp;M561</f>
        <v>RM-304/1D-3.91X642</v>
      </c>
      <c r="C561" s="173" t="s">
        <v>48</v>
      </c>
      <c r="D561" s="173" t="s">
        <v>48</v>
      </c>
      <c r="E561" s="190" t="s">
        <v>2031</v>
      </c>
      <c r="F561" s="190" t="s">
        <v>2032</v>
      </c>
      <c r="G561" s="173">
        <v>304</v>
      </c>
      <c r="H561" s="173" t="s">
        <v>127</v>
      </c>
      <c r="I561" s="174">
        <v>3.91</v>
      </c>
      <c r="J561" s="174"/>
      <c r="K561" s="174"/>
      <c r="L561" s="174"/>
      <c r="M561" s="191">
        <v>642</v>
      </c>
      <c r="N561" s="176">
        <v>10.455</v>
      </c>
      <c r="O561" s="176"/>
      <c r="P561" s="177"/>
      <c r="Q561" s="178"/>
      <c r="R561" s="179"/>
      <c r="S561" s="179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80" t="s">
        <v>1881</v>
      </c>
      <c r="AE561" s="173" t="s">
        <v>69</v>
      </c>
      <c r="AF561" s="181" t="s">
        <v>142</v>
      </c>
      <c r="AG561" s="192" t="s">
        <v>1887</v>
      </c>
      <c r="AH561" s="198"/>
      <c r="AI561" s="181">
        <v>44880</v>
      </c>
      <c r="AJ561" s="181"/>
      <c r="AK561" s="181">
        <f ca="1">TODAY()</f>
        <v>44958</v>
      </c>
      <c r="AL561" s="173">
        <f ca="1">IF(AI561&lt;&gt;0,AK561-AI561,0)</f>
        <v>78</v>
      </c>
      <c r="AM561" s="173" t="str">
        <f>IF(ISNUMBER(X561)=TRUE,AK561-X561,IF(X561="","",(AK561)-(MID(RIGHT(X561,10),4,2)&amp;"/"&amp;LEFT((RIGHT(X561,10)),2)&amp;"/"&amp;RIGHT(X561,4))))</f>
        <v/>
      </c>
      <c r="AN561" s="181"/>
      <c r="AO561" s="190" t="s">
        <v>2030</v>
      </c>
      <c r="AP561" s="176">
        <v>10.455</v>
      </c>
      <c r="AQ561" s="176">
        <v>10.465</v>
      </c>
      <c r="AR561" s="176">
        <v>10.489999999999998</v>
      </c>
      <c r="AS561" s="176">
        <v>10.494999999999999</v>
      </c>
      <c r="AT561" s="173" t="str">
        <f>IF(ISNUMBER(U561)=TRUE,AK561-U561,IF(U561="","",(AK561)-(MID(RIGHT(U561,10),4,2)&amp;"/"&amp;LEFT((RIGHT(U561,10)),2)&amp;"/"&amp;RIGHT(U561,4))))</f>
        <v/>
      </c>
      <c r="AU561" s="173">
        <v>459</v>
      </c>
      <c r="AW561" s="142" t="s">
        <v>123</v>
      </c>
    </row>
    <row r="562" spans="2:49" s="142" customFormat="1" ht="21" customHeight="1" x14ac:dyDescent="0.25">
      <c r="B562" s="173" t="str">
        <f>IF(C562="HOLD RM","HOLD RM",IF(C562="BAL","WIP",IF(C562="HOLD SLT","HOLD SLT",IF(C562="MILL","RM",IF(C562="RE SLT","WIP",IF(C562="RM","RM",IF(C562="RM BAL","RM",IF(C562="RM SLT","RM",IF(C562="RR","WIP",IF(C562="SKP","WIP",IF(C562="SLT","WIP",IF(C562="CTL","WIP",IF(C562="RM SLT RUST","RM SLT RUST",0)))))))))))))&amp;"-"&amp;G562&amp;"/"&amp;IF(H562="2B","2B",IF(H562="NO.1","1D",IF(H562="FH","FH",0)))&amp;"-"&amp;IF(J562="",(TEXT(I562,"0.00")),TEXT(J562,"0.00"))&amp;"X"&amp;M562</f>
        <v>RM-304L/1D-3.88X644</v>
      </c>
      <c r="C562" s="173" t="s">
        <v>48</v>
      </c>
      <c r="D562" s="173" t="s">
        <v>48</v>
      </c>
      <c r="E562" s="190" t="s">
        <v>2033</v>
      </c>
      <c r="F562" s="190" t="s">
        <v>2034</v>
      </c>
      <c r="G562" s="173" t="s">
        <v>182</v>
      </c>
      <c r="H562" s="173" t="s">
        <v>127</v>
      </c>
      <c r="I562" s="174">
        <v>3.88</v>
      </c>
      <c r="J562" s="174"/>
      <c r="K562" s="174"/>
      <c r="L562" s="174"/>
      <c r="M562" s="191">
        <v>644</v>
      </c>
      <c r="N562" s="176">
        <v>10.535</v>
      </c>
      <c r="O562" s="176"/>
      <c r="P562" s="177"/>
      <c r="Q562" s="178"/>
      <c r="R562" s="179"/>
      <c r="S562" s="179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80" t="s">
        <v>1898</v>
      </c>
      <c r="AE562" s="173" t="s">
        <v>69</v>
      </c>
      <c r="AF562" s="181" t="s">
        <v>142</v>
      </c>
      <c r="AG562" s="192" t="s">
        <v>1653</v>
      </c>
      <c r="AH562" s="198"/>
      <c r="AI562" s="181">
        <v>44880</v>
      </c>
      <c r="AJ562" s="181"/>
      <c r="AK562" s="181">
        <f ca="1">TODAY()</f>
        <v>44958</v>
      </c>
      <c r="AL562" s="173">
        <f ca="1">IF(AI562&lt;&gt;0,AK562-AI562,0)</f>
        <v>78</v>
      </c>
      <c r="AM562" s="173" t="str">
        <f>IF(ISNUMBER(X562)=TRUE,AK562-X562,IF(X562="","",(AK562)-(MID(RIGHT(X562,10),4,2)&amp;"/"&amp;LEFT((RIGHT(X562,10)),2)&amp;"/"&amp;RIGHT(X562,4))))</f>
        <v/>
      </c>
      <c r="AN562" s="181"/>
      <c r="AO562" s="190" t="s">
        <v>2035</v>
      </c>
      <c r="AP562" s="176">
        <v>10.535</v>
      </c>
      <c r="AQ562" s="176">
        <v>10.545</v>
      </c>
      <c r="AR562" s="176">
        <v>10.569999999999999</v>
      </c>
      <c r="AS562" s="176">
        <v>10.574999999999999</v>
      </c>
      <c r="AT562" s="173" t="str">
        <f>IF(ISNUMBER(U562)=TRUE,AK562-U562,IF(U562="","",(AK562)-(MID(RIGHT(U562,10),4,2)&amp;"/"&amp;LEFT((RIGHT(U562,10)),2)&amp;"/"&amp;RIGHT(U562,4))))</f>
        <v/>
      </c>
      <c r="AU562" s="173">
        <v>459</v>
      </c>
      <c r="AW562" s="142" t="s">
        <v>123</v>
      </c>
    </row>
    <row r="563" spans="2:49" s="142" customFormat="1" ht="21" customHeight="1" x14ac:dyDescent="0.25">
      <c r="B563" s="173" t="str">
        <f>IF(C563="HOLD RM","HOLD RM",IF(C563="BAL","WIP",IF(C563="HOLD SLT","HOLD SLT",IF(C563="MILL","RM",IF(C563="RE SLT","WIP",IF(C563="RM","RM",IF(C563="RM BAL","RM",IF(C563="RM SLT","RM",IF(C563="RR","WIP",IF(C563="SKP","WIP",IF(C563="SLT","WIP",IF(C563="CTL","WIP",IF(C563="RM SLT RUST","RM SLT RUST",0)))))))))))))&amp;"-"&amp;G563&amp;"/"&amp;IF(H563="2B","2B",IF(H563="NO.1","1D",IF(H563="FH","FH",0)))&amp;"-"&amp;IF(J563="",(TEXT(I563,"0.00")),TEXT(J563,"0.00"))&amp;"X"&amp;M563</f>
        <v>RM-304L/1D-3.88X643</v>
      </c>
      <c r="C563" s="173" t="s">
        <v>48</v>
      </c>
      <c r="D563" s="173" t="s">
        <v>48</v>
      </c>
      <c r="E563" s="190" t="s">
        <v>2036</v>
      </c>
      <c r="F563" s="190" t="s">
        <v>2037</v>
      </c>
      <c r="G563" s="173" t="s">
        <v>182</v>
      </c>
      <c r="H563" s="173" t="s">
        <v>127</v>
      </c>
      <c r="I563" s="174">
        <v>3.88</v>
      </c>
      <c r="J563" s="174"/>
      <c r="K563" s="174"/>
      <c r="L563" s="174"/>
      <c r="M563" s="191">
        <v>643</v>
      </c>
      <c r="N563" s="176">
        <v>10.52</v>
      </c>
      <c r="O563" s="176"/>
      <c r="P563" s="177"/>
      <c r="Q563" s="178"/>
      <c r="R563" s="179"/>
      <c r="S563" s="179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80" t="s">
        <v>1898</v>
      </c>
      <c r="AE563" s="173" t="s">
        <v>69</v>
      </c>
      <c r="AF563" s="181" t="s">
        <v>142</v>
      </c>
      <c r="AG563" s="192" t="s">
        <v>1653</v>
      </c>
      <c r="AH563" s="198"/>
      <c r="AI563" s="181">
        <v>44880</v>
      </c>
      <c r="AJ563" s="181"/>
      <c r="AK563" s="181">
        <f ca="1">TODAY()</f>
        <v>44958</v>
      </c>
      <c r="AL563" s="173">
        <f ca="1">IF(AI563&lt;&gt;0,AK563-AI563,0)</f>
        <v>78</v>
      </c>
      <c r="AM563" s="173" t="str">
        <f>IF(ISNUMBER(X563)=TRUE,AK563-X563,IF(X563="","",(AK563)-(MID(RIGHT(X563,10),4,2)&amp;"/"&amp;LEFT((RIGHT(X563,10)),2)&amp;"/"&amp;RIGHT(X563,4))))</f>
        <v/>
      </c>
      <c r="AN563" s="181"/>
      <c r="AO563" s="190" t="s">
        <v>2035</v>
      </c>
      <c r="AP563" s="176">
        <v>10.52</v>
      </c>
      <c r="AQ563" s="176">
        <v>10.53</v>
      </c>
      <c r="AR563" s="176">
        <v>10.554999999999998</v>
      </c>
      <c r="AS563" s="176">
        <v>10.559999999999999</v>
      </c>
      <c r="AT563" s="173" t="str">
        <f>IF(ISNUMBER(U563)=TRUE,AK563-U563,IF(U563="","",(AK563)-(MID(RIGHT(U563,10),4,2)&amp;"/"&amp;LEFT((RIGHT(U563,10)),2)&amp;"/"&amp;RIGHT(U563,4))))</f>
        <v/>
      </c>
      <c r="AU563" s="173">
        <v>459</v>
      </c>
      <c r="AW563" s="142" t="s">
        <v>123</v>
      </c>
    </row>
    <row r="564" spans="2:49" s="142" customFormat="1" ht="21" customHeight="1" x14ac:dyDescent="0.25">
      <c r="B564" s="173" t="str">
        <f>IF(C564="HOLD RM","HOLD RM",IF(C564="BAL","WIP",IF(C564="HOLD SLT","HOLD SLT",IF(C564="MILL","RM",IF(C564="RE SLT","WIP",IF(C564="RM","RM",IF(C564="RM BAL","RM",IF(C564="RM SLT","RM",IF(C564="RR","WIP",IF(C564="SKP","WIP",IF(C564="SLT","WIP",IF(C564="CTL","WIP",IF(C564="RM SLT RUST","RM SLT RUST",0)))))))))))))&amp;"-"&amp;G564&amp;"/"&amp;IF(H564="2B","2B",IF(H564="NO.1","1D",IF(H564="FH","FH",0)))&amp;"-"&amp;IF(J564="",(TEXT(I564,"0.00")),TEXT(J564,"0.00"))&amp;"X"&amp;M564</f>
        <v>RM-304/1D-3.88X637</v>
      </c>
      <c r="C564" s="173" t="s">
        <v>48</v>
      </c>
      <c r="D564" s="173" t="s">
        <v>48</v>
      </c>
      <c r="E564" s="190" t="s">
        <v>2038</v>
      </c>
      <c r="F564" s="190" t="s">
        <v>2039</v>
      </c>
      <c r="G564" s="173">
        <v>304</v>
      </c>
      <c r="H564" s="173" t="s">
        <v>127</v>
      </c>
      <c r="I564" s="174">
        <v>3.88</v>
      </c>
      <c r="J564" s="174"/>
      <c r="K564" s="174"/>
      <c r="L564" s="174"/>
      <c r="M564" s="191">
        <v>637</v>
      </c>
      <c r="N564" s="176">
        <v>10.465</v>
      </c>
      <c r="O564" s="176"/>
      <c r="P564" s="177"/>
      <c r="Q564" s="178"/>
      <c r="R564" s="179"/>
      <c r="S564" s="179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80" t="s">
        <v>1898</v>
      </c>
      <c r="AE564" s="173" t="s">
        <v>69</v>
      </c>
      <c r="AF564" s="181" t="s">
        <v>142</v>
      </c>
      <c r="AG564" s="192" t="s">
        <v>1887</v>
      </c>
      <c r="AH564" s="198"/>
      <c r="AI564" s="181">
        <v>44880</v>
      </c>
      <c r="AJ564" s="181"/>
      <c r="AK564" s="181">
        <f ca="1">TODAY()</f>
        <v>44958</v>
      </c>
      <c r="AL564" s="173">
        <f ca="1">IF(AI564&lt;&gt;0,AK564-AI564,0)</f>
        <v>78</v>
      </c>
      <c r="AM564" s="173" t="str">
        <f>IF(ISNUMBER(X564)=TRUE,AK564-X564,IF(X564="","",(AK564)-(MID(RIGHT(X564,10),4,2)&amp;"/"&amp;LEFT((RIGHT(X564,10)),2)&amp;"/"&amp;RIGHT(X564,4))))</f>
        <v/>
      </c>
      <c r="AN564" s="181"/>
      <c r="AO564" s="190" t="s">
        <v>2040</v>
      </c>
      <c r="AP564" s="176">
        <v>10.465</v>
      </c>
      <c r="AQ564" s="176">
        <v>10.475</v>
      </c>
      <c r="AR564" s="176">
        <v>10.499999999999998</v>
      </c>
      <c r="AS564" s="176">
        <v>10.504999999999999</v>
      </c>
      <c r="AT564" s="173" t="str">
        <f>IF(ISNUMBER(U564)=TRUE,AK564-U564,IF(U564="","",(AK564)-(MID(RIGHT(U564,10),4,2)&amp;"/"&amp;LEFT((RIGHT(U564,10)),2)&amp;"/"&amp;RIGHT(U564,4))))</f>
        <v/>
      </c>
      <c r="AU564" s="173">
        <v>459</v>
      </c>
      <c r="AW564" s="142" t="s">
        <v>123</v>
      </c>
    </row>
    <row r="565" spans="2:49" s="142" customFormat="1" ht="21" customHeight="1" x14ac:dyDescent="0.25">
      <c r="B565" s="173" t="str">
        <f>IF(C565="HOLD RM","HOLD RM",IF(C565="BAL","WIP",IF(C565="HOLD SLT","HOLD SLT",IF(C565="MILL","RM",IF(C565="RE SLT","WIP",IF(C565="RM","RM",IF(C565="RM BAL","RM",IF(C565="RM SLT","RM",IF(C565="RR","WIP",IF(C565="SKP","WIP",IF(C565="SLT","WIP",IF(C565="CTL","WIP",IF(C565="RM SLT RUST","RM SLT RUST",0)))))))))))))&amp;"-"&amp;G565&amp;"/"&amp;IF(H565="2B","2B",IF(H565="NO.1","1D",IF(H565="FH","FH",0)))&amp;"-"&amp;IF(J565="",(TEXT(I565,"0.00")),TEXT(J565,"0.00"))&amp;"X"&amp;M565</f>
        <v>RM-304/1D-3.88X638</v>
      </c>
      <c r="C565" s="173" t="s">
        <v>48</v>
      </c>
      <c r="D565" s="173" t="s">
        <v>48</v>
      </c>
      <c r="E565" s="190" t="s">
        <v>2041</v>
      </c>
      <c r="F565" s="190" t="s">
        <v>2042</v>
      </c>
      <c r="G565" s="173">
        <v>304</v>
      </c>
      <c r="H565" s="173" t="s">
        <v>127</v>
      </c>
      <c r="I565" s="174">
        <v>3.88</v>
      </c>
      <c r="J565" s="174"/>
      <c r="K565" s="174"/>
      <c r="L565" s="174"/>
      <c r="M565" s="191">
        <v>638</v>
      </c>
      <c r="N565" s="176">
        <v>10.494999999999999</v>
      </c>
      <c r="O565" s="176"/>
      <c r="P565" s="177"/>
      <c r="Q565" s="178"/>
      <c r="R565" s="179"/>
      <c r="S565" s="179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80" t="s">
        <v>1898</v>
      </c>
      <c r="AE565" s="173" t="s">
        <v>69</v>
      </c>
      <c r="AF565" s="181" t="s">
        <v>142</v>
      </c>
      <c r="AG565" s="192" t="s">
        <v>1887</v>
      </c>
      <c r="AH565" s="198"/>
      <c r="AI565" s="181">
        <v>44880</v>
      </c>
      <c r="AJ565" s="181"/>
      <c r="AK565" s="181">
        <f ca="1">TODAY()</f>
        <v>44958</v>
      </c>
      <c r="AL565" s="173">
        <f ca="1">IF(AI565&lt;&gt;0,AK565-AI565,0)</f>
        <v>78</v>
      </c>
      <c r="AM565" s="173" t="str">
        <f>IF(ISNUMBER(X565)=TRUE,AK565-X565,IF(X565="","",(AK565)-(MID(RIGHT(X565,10),4,2)&amp;"/"&amp;LEFT((RIGHT(X565,10)),2)&amp;"/"&amp;RIGHT(X565,4))))</f>
        <v/>
      </c>
      <c r="AN565" s="181"/>
      <c r="AO565" s="190" t="s">
        <v>2040</v>
      </c>
      <c r="AP565" s="176">
        <v>10.494999999999999</v>
      </c>
      <c r="AQ565" s="176">
        <v>10.504999999999999</v>
      </c>
      <c r="AR565" s="176">
        <v>10.529999999999998</v>
      </c>
      <c r="AS565" s="176">
        <v>10.534999999999998</v>
      </c>
      <c r="AT565" s="173" t="str">
        <f>IF(ISNUMBER(U565)=TRUE,AK565-U565,IF(U565="","",(AK565)-(MID(RIGHT(U565,10),4,2)&amp;"/"&amp;LEFT((RIGHT(U565,10)),2)&amp;"/"&amp;RIGHT(U565,4))))</f>
        <v/>
      </c>
      <c r="AU565" s="173">
        <v>459</v>
      </c>
      <c r="AW565" s="142" t="s">
        <v>123</v>
      </c>
    </row>
    <row r="566" spans="2:49" s="142" customFormat="1" ht="21" customHeight="1" x14ac:dyDescent="0.25">
      <c r="B566" s="173" t="str">
        <f>IF(C566="HOLD RM","HOLD RM",IF(C566="BAL","WIP",IF(C566="HOLD SLT","HOLD SLT",IF(C566="MILL","RM",IF(C566="RE SLT","WIP",IF(C566="RM","RM",IF(C566="RM BAL","RM",IF(C566="RM SLT","RM",IF(C566="RR","WIP",IF(C566="SKP","WIP",IF(C566="SLT","WIP",IF(C566="CTL","WIP",IF(C566="RM SLT RUST","RM SLT RUST",0)))))))))))))&amp;"-"&amp;G566&amp;"/"&amp;IF(H566="2B","2B",IF(H566="NO.1","1D",IF(H566="FH","FH",0)))&amp;"-"&amp;IF(J566="",(TEXT(I566,"0.00")),TEXT(J566,"0.00"))&amp;"X"&amp;M566</f>
        <v>RM-304L/1D-3.88X643</v>
      </c>
      <c r="C566" s="173" t="s">
        <v>48</v>
      </c>
      <c r="D566" s="173" t="s">
        <v>48</v>
      </c>
      <c r="E566" s="190" t="s">
        <v>2043</v>
      </c>
      <c r="F566" s="190" t="s">
        <v>2044</v>
      </c>
      <c r="G566" s="173" t="s">
        <v>182</v>
      </c>
      <c r="H566" s="173" t="s">
        <v>127</v>
      </c>
      <c r="I566" s="174">
        <v>3.88</v>
      </c>
      <c r="J566" s="174"/>
      <c r="K566" s="174"/>
      <c r="L566" s="174"/>
      <c r="M566" s="191">
        <v>643</v>
      </c>
      <c r="N566" s="176">
        <v>10.664999999999999</v>
      </c>
      <c r="O566" s="176"/>
      <c r="P566" s="177"/>
      <c r="Q566" s="178"/>
      <c r="R566" s="179"/>
      <c r="S566" s="179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80" t="s">
        <v>1898</v>
      </c>
      <c r="AE566" s="173" t="s">
        <v>69</v>
      </c>
      <c r="AF566" s="181" t="s">
        <v>142</v>
      </c>
      <c r="AG566" s="192" t="s">
        <v>1887</v>
      </c>
      <c r="AH566" s="198"/>
      <c r="AI566" s="181">
        <v>44880</v>
      </c>
      <c r="AJ566" s="181"/>
      <c r="AK566" s="181">
        <f ca="1">TODAY()</f>
        <v>44958</v>
      </c>
      <c r="AL566" s="173">
        <f ca="1">IF(AI566&lt;&gt;0,AK566-AI566,0)</f>
        <v>78</v>
      </c>
      <c r="AM566" s="173" t="str">
        <f>IF(ISNUMBER(X566)=TRUE,AK566-X566,IF(X566="","",(AK566)-(MID(RIGHT(X566,10),4,2)&amp;"/"&amp;LEFT((RIGHT(X566,10)),2)&amp;"/"&amp;RIGHT(X566,4))))</f>
        <v/>
      </c>
      <c r="AN566" s="181"/>
      <c r="AO566" s="190" t="s">
        <v>2045</v>
      </c>
      <c r="AP566" s="176">
        <v>10.664999999999999</v>
      </c>
      <c r="AQ566" s="176">
        <v>10.674999999999999</v>
      </c>
      <c r="AR566" s="176">
        <v>10.699999999999998</v>
      </c>
      <c r="AS566" s="176">
        <v>10.704999999999998</v>
      </c>
      <c r="AT566" s="173" t="str">
        <f>IF(ISNUMBER(U566)=TRUE,AK566-U566,IF(U566="","",(AK566)-(MID(RIGHT(U566,10),4,2)&amp;"/"&amp;LEFT((RIGHT(U566,10)),2)&amp;"/"&amp;RIGHT(U566,4))))</f>
        <v/>
      </c>
      <c r="AU566" s="173">
        <v>459</v>
      </c>
      <c r="AW566" s="142" t="s">
        <v>123</v>
      </c>
    </row>
    <row r="567" spans="2:49" s="142" customFormat="1" ht="21" customHeight="1" x14ac:dyDescent="0.25">
      <c r="B567" s="173" t="str">
        <f>IF(C567="HOLD RM","HOLD RM",IF(C567="BAL","WIP",IF(C567="HOLD SLT","HOLD SLT",IF(C567="MILL","RM",IF(C567="RE SLT","WIP",IF(C567="RM","RM",IF(C567="RM BAL","RM",IF(C567="RM SLT","RM",IF(C567="RR","WIP",IF(C567="SKP","WIP",IF(C567="SLT","WIP",IF(C567="CTL","WIP",IF(C567="RM SLT RUST","RM SLT RUST",0)))))))))))))&amp;"-"&amp;G567&amp;"/"&amp;IF(H567="2B","2B",IF(H567="NO.1","1D",IF(H567="FH","FH",0)))&amp;"-"&amp;IF(J567="",(TEXT(I567,"0.00")),TEXT(J567,"0.00"))&amp;"X"&amp;M567</f>
        <v>RM-304L/1D-3.89X646</v>
      </c>
      <c r="C567" s="173" t="s">
        <v>48</v>
      </c>
      <c r="D567" s="173" t="s">
        <v>48</v>
      </c>
      <c r="E567" s="190" t="s">
        <v>2046</v>
      </c>
      <c r="F567" s="190" t="s">
        <v>2047</v>
      </c>
      <c r="G567" s="173" t="s">
        <v>182</v>
      </c>
      <c r="H567" s="173" t="s">
        <v>127</v>
      </c>
      <c r="I567" s="174">
        <v>3.89</v>
      </c>
      <c r="J567" s="174"/>
      <c r="K567" s="174"/>
      <c r="L567" s="174"/>
      <c r="M567" s="191">
        <v>646</v>
      </c>
      <c r="N567" s="176">
        <v>10.69</v>
      </c>
      <c r="O567" s="176"/>
      <c r="P567" s="177"/>
      <c r="Q567" s="178"/>
      <c r="R567" s="179"/>
      <c r="S567" s="179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80" t="s">
        <v>1881</v>
      </c>
      <c r="AE567" s="173" t="s">
        <v>69</v>
      </c>
      <c r="AF567" s="181" t="s">
        <v>142</v>
      </c>
      <c r="AG567" s="192" t="s">
        <v>1887</v>
      </c>
      <c r="AH567" s="198"/>
      <c r="AI567" s="181">
        <v>44880</v>
      </c>
      <c r="AJ567" s="181"/>
      <c r="AK567" s="181">
        <f ca="1">TODAY()</f>
        <v>44958</v>
      </c>
      <c r="AL567" s="173">
        <f ca="1">IF(AI567&lt;&gt;0,AK567-AI567,0)</f>
        <v>78</v>
      </c>
      <c r="AM567" s="173" t="str">
        <f>IF(ISNUMBER(X567)=TRUE,AK567-X567,IF(X567="","",(AK567)-(MID(RIGHT(X567,10),4,2)&amp;"/"&amp;LEFT((RIGHT(X567,10)),2)&amp;"/"&amp;RIGHT(X567,4))))</f>
        <v/>
      </c>
      <c r="AN567" s="181"/>
      <c r="AO567" s="190" t="s">
        <v>2045</v>
      </c>
      <c r="AP567" s="176">
        <v>10.69</v>
      </c>
      <c r="AQ567" s="176">
        <v>10.7</v>
      </c>
      <c r="AR567" s="176">
        <v>10.724999999999998</v>
      </c>
      <c r="AS567" s="176">
        <v>10.729999999999999</v>
      </c>
      <c r="AT567" s="173" t="str">
        <f>IF(ISNUMBER(U567)=TRUE,AK567-U567,IF(U567="","",(AK567)-(MID(RIGHT(U567,10),4,2)&amp;"/"&amp;LEFT((RIGHT(U567,10)),2)&amp;"/"&amp;RIGHT(U567,4))))</f>
        <v/>
      </c>
      <c r="AU567" s="173">
        <v>459</v>
      </c>
      <c r="AW567" s="142" t="s">
        <v>123</v>
      </c>
    </row>
    <row r="568" spans="2:49" s="142" customFormat="1" ht="21" customHeight="1" x14ac:dyDescent="0.25">
      <c r="B568" s="173" t="str">
        <f>IF(C568="HOLD RM","HOLD RM",IF(C568="BAL","WIP",IF(C568="HOLD SLT","HOLD SLT",IF(C568="MILL","RM",IF(C568="RE SLT","WIP",IF(C568="RM","RM",IF(C568="RM BAL","RM",IF(C568="RM SLT","RM",IF(C568="RR","WIP",IF(C568="SKP","WIP",IF(C568="SLT","WIP",IF(C568="CTL","WIP",IF(C568="RM SLT RUST","RM SLT RUST",0)))))))))))))&amp;"-"&amp;G568&amp;"/"&amp;IF(H568="2B","2B",IF(H568="NO.1","1D",IF(H568="FH","FH",0)))&amp;"-"&amp;IF(J568="",(TEXT(I568,"0.00")),TEXT(J568,"0.00"))&amp;"X"&amp;M568</f>
        <v>RM-304L/1D-2.88X645</v>
      </c>
      <c r="C568" s="173" t="s">
        <v>48</v>
      </c>
      <c r="D568" s="173" t="s">
        <v>48</v>
      </c>
      <c r="E568" s="190" t="s">
        <v>2048</v>
      </c>
      <c r="F568" s="190" t="s">
        <v>2049</v>
      </c>
      <c r="G568" s="173" t="s">
        <v>182</v>
      </c>
      <c r="H568" s="173" t="s">
        <v>127</v>
      </c>
      <c r="I568" s="174">
        <v>2.88</v>
      </c>
      <c r="J568" s="174"/>
      <c r="K568" s="174"/>
      <c r="L568" s="174"/>
      <c r="M568" s="191">
        <v>645</v>
      </c>
      <c r="N568" s="176">
        <v>10.73</v>
      </c>
      <c r="O568" s="176"/>
      <c r="P568" s="177"/>
      <c r="Q568" s="178"/>
      <c r="R568" s="179"/>
      <c r="S568" s="179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80" t="s">
        <v>1881</v>
      </c>
      <c r="AE568" s="173" t="s">
        <v>69</v>
      </c>
      <c r="AF568" s="181" t="s">
        <v>142</v>
      </c>
      <c r="AG568" s="192" t="s">
        <v>1887</v>
      </c>
      <c r="AH568" s="198"/>
      <c r="AI568" s="181">
        <v>44880</v>
      </c>
      <c r="AJ568" s="181"/>
      <c r="AK568" s="181">
        <f ca="1">TODAY()</f>
        <v>44958</v>
      </c>
      <c r="AL568" s="173">
        <f ca="1">IF(AI568&lt;&gt;0,AK568-AI568,0)</f>
        <v>78</v>
      </c>
      <c r="AM568" s="173" t="str">
        <f>IF(ISNUMBER(X568)=TRUE,AK568-X568,IF(X568="","",(AK568)-(MID(RIGHT(X568,10),4,2)&amp;"/"&amp;LEFT((RIGHT(X568,10)),2)&amp;"/"&amp;RIGHT(X568,4))))</f>
        <v/>
      </c>
      <c r="AN568" s="181"/>
      <c r="AO568" s="190" t="s">
        <v>2050</v>
      </c>
      <c r="AP568" s="176">
        <v>10.73</v>
      </c>
      <c r="AQ568" s="176">
        <v>10.74</v>
      </c>
      <c r="AR568" s="176">
        <v>10.764999999999999</v>
      </c>
      <c r="AS568" s="176">
        <v>10.77</v>
      </c>
      <c r="AT568" s="173" t="str">
        <f>IF(ISNUMBER(U568)=TRUE,AK568-U568,IF(U568="","",(AK568)-(MID(RIGHT(U568,10),4,2)&amp;"/"&amp;LEFT((RIGHT(U568,10)),2)&amp;"/"&amp;RIGHT(U568,4))))</f>
        <v/>
      </c>
      <c r="AU568" s="173">
        <v>459</v>
      </c>
      <c r="AW568" s="142" t="s">
        <v>123</v>
      </c>
    </row>
    <row r="569" spans="2:49" s="142" customFormat="1" ht="21" customHeight="1" x14ac:dyDescent="0.25">
      <c r="B569" s="173" t="str">
        <f>IF(C569="HOLD RM","HOLD RM",IF(C569="BAL","WIP",IF(C569="HOLD SLT","HOLD SLT",IF(C569="MILL","RM",IF(C569="RE SLT","WIP",IF(C569="RM","RM",IF(C569="RM BAL","RM",IF(C569="RM SLT","RM",IF(C569="RR","WIP",IF(C569="SKP","WIP",IF(C569="SLT","WIP",IF(C569="CTL","WIP",IF(C569="RM SLT RUST","RM SLT RUST",0)))))))))))))&amp;"-"&amp;G569&amp;"/"&amp;IF(H569="2B","2B",IF(H569="NO.1","1D",IF(H569="FH","FH",0)))&amp;"-"&amp;IF(J569="",(TEXT(I569,"0.00")),TEXT(J569,"0.00"))&amp;"X"&amp;M569</f>
        <v>RM-304L/1D-2.88X646</v>
      </c>
      <c r="C569" s="173" t="s">
        <v>48</v>
      </c>
      <c r="D569" s="173" t="s">
        <v>48</v>
      </c>
      <c r="E569" s="190" t="s">
        <v>2051</v>
      </c>
      <c r="F569" s="190" t="s">
        <v>2052</v>
      </c>
      <c r="G569" s="173" t="s">
        <v>182</v>
      </c>
      <c r="H569" s="173" t="s">
        <v>127</v>
      </c>
      <c r="I569" s="174">
        <v>2.88</v>
      </c>
      <c r="J569" s="174"/>
      <c r="K569" s="174"/>
      <c r="L569" s="174"/>
      <c r="M569" s="191">
        <v>646</v>
      </c>
      <c r="N569" s="176">
        <v>10.78</v>
      </c>
      <c r="O569" s="176"/>
      <c r="P569" s="177"/>
      <c r="Q569" s="178"/>
      <c r="R569" s="179"/>
      <c r="S569" s="179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80" t="s">
        <v>1881</v>
      </c>
      <c r="AE569" s="173" t="s">
        <v>69</v>
      </c>
      <c r="AF569" s="181" t="s">
        <v>142</v>
      </c>
      <c r="AG569" s="192" t="s">
        <v>1887</v>
      </c>
      <c r="AH569" s="198"/>
      <c r="AI569" s="181">
        <v>44880</v>
      </c>
      <c r="AJ569" s="181"/>
      <c r="AK569" s="181">
        <f ca="1">TODAY()</f>
        <v>44958</v>
      </c>
      <c r="AL569" s="173">
        <f ca="1">IF(AI569&lt;&gt;0,AK569-AI569,0)</f>
        <v>78</v>
      </c>
      <c r="AM569" s="173" t="str">
        <f>IF(ISNUMBER(X569)=TRUE,AK569-X569,IF(X569="","",(AK569)-(MID(RIGHT(X569,10),4,2)&amp;"/"&amp;LEFT((RIGHT(X569,10)),2)&amp;"/"&amp;RIGHT(X569,4))))</f>
        <v/>
      </c>
      <c r="AN569" s="181"/>
      <c r="AO569" s="190" t="s">
        <v>2050</v>
      </c>
      <c r="AP569" s="176">
        <v>10.78</v>
      </c>
      <c r="AQ569" s="176">
        <v>10.79</v>
      </c>
      <c r="AR569" s="176">
        <v>10.814999999999998</v>
      </c>
      <c r="AS569" s="176">
        <v>10.819999999999999</v>
      </c>
      <c r="AT569" s="173" t="str">
        <f>IF(ISNUMBER(U569)=TRUE,AK569-U569,IF(U569="","",(AK569)-(MID(RIGHT(U569,10),4,2)&amp;"/"&amp;LEFT((RIGHT(U569,10)),2)&amp;"/"&amp;RIGHT(U569,4))))</f>
        <v/>
      </c>
      <c r="AU569" s="173">
        <v>459</v>
      </c>
      <c r="AW569" s="142" t="s">
        <v>123</v>
      </c>
    </row>
    <row r="570" spans="2:49" s="142" customFormat="1" ht="21" customHeight="1" x14ac:dyDescent="0.25">
      <c r="B570" s="173" t="str">
        <f>IF(C570="HOLD RM","HOLD RM",IF(C570="BAL","WIP",IF(C570="HOLD SLT","HOLD SLT",IF(C570="MILL","RM",IF(C570="RE SLT","WIP",IF(C570="RM","RM",IF(C570="RM BAL","RM",IF(C570="RM SLT","RM",IF(C570="RR","WIP",IF(C570="SKP","WIP",IF(C570="SLT","WIP",IF(C570="CTL","WIP",IF(C570="RM SLT RUST","RM SLT RUST",0)))))))))))))&amp;"-"&amp;G570&amp;"/"&amp;IF(H570="2B","2B",IF(H570="NO.1","1D",IF(H570="FH","FH",0)))&amp;"-"&amp;IF(J570="",(TEXT(I570,"0.00")),TEXT(J570,"0.00"))&amp;"X"&amp;M570</f>
        <v>RM-304/1D-3.87X637</v>
      </c>
      <c r="C570" s="173" t="s">
        <v>48</v>
      </c>
      <c r="D570" s="173" t="s">
        <v>48</v>
      </c>
      <c r="E570" s="190" t="s">
        <v>2053</v>
      </c>
      <c r="F570" s="190" t="s">
        <v>2054</v>
      </c>
      <c r="G570" s="173">
        <v>304</v>
      </c>
      <c r="H570" s="173" t="s">
        <v>127</v>
      </c>
      <c r="I570" s="174">
        <v>3.87</v>
      </c>
      <c r="J570" s="174"/>
      <c r="K570" s="174"/>
      <c r="L570" s="174"/>
      <c r="M570" s="191">
        <v>637</v>
      </c>
      <c r="N570" s="176">
        <v>10.484999999999999</v>
      </c>
      <c r="O570" s="176"/>
      <c r="P570" s="177"/>
      <c r="Q570" s="178"/>
      <c r="R570" s="179"/>
      <c r="S570" s="179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80" t="s">
        <v>1898</v>
      </c>
      <c r="AE570" s="173" t="s">
        <v>69</v>
      </c>
      <c r="AF570" s="181" t="s">
        <v>142</v>
      </c>
      <c r="AG570" s="192" t="s">
        <v>1887</v>
      </c>
      <c r="AH570" s="198"/>
      <c r="AI570" s="181">
        <v>44880</v>
      </c>
      <c r="AJ570" s="181"/>
      <c r="AK570" s="181">
        <f ca="1">TODAY()</f>
        <v>44958</v>
      </c>
      <c r="AL570" s="173">
        <f ca="1">IF(AI570&lt;&gt;0,AK570-AI570,0)</f>
        <v>78</v>
      </c>
      <c r="AM570" s="173" t="str">
        <f>IF(ISNUMBER(X570)=TRUE,AK570-X570,IF(X570="","",(AK570)-(MID(RIGHT(X570,10),4,2)&amp;"/"&amp;LEFT((RIGHT(X570,10)),2)&amp;"/"&amp;RIGHT(X570,4))))</f>
        <v/>
      </c>
      <c r="AN570" s="181"/>
      <c r="AO570" s="190" t="s">
        <v>2055</v>
      </c>
      <c r="AP570" s="176">
        <v>10.484999999999999</v>
      </c>
      <c r="AQ570" s="176">
        <v>10.494999999999999</v>
      </c>
      <c r="AR570" s="176">
        <v>10.519999999999998</v>
      </c>
      <c r="AS570" s="176">
        <v>10.524999999999999</v>
      </c>
      <c r="AT570" s="173" t="str">
        <f>IF(ISNUMBER(U570)=TRUE,AK570-U570,IF(U570="","",(AK570)-(MID(RIGHT(U570,10),4,2)&amp;"/"&amp;LEFT((RIGHT(U570,10)),2)&amp;"/"&amp;RIGHT(U570,4))))</f>
        <v/>
      </c>
      <c r="AU570" s="173">
        <v>459</v>
      </c>
      <c r="AW570" s="142" t="s">
        <v>123</v>
      </c>
    </row>
    <row r="571" spans="2:49" s="142" customFormat="1" ht="21" customHeight="1" x14ac:dyDescent="0.25">
      <c r="B571" s="173" t="str">
        <f>IF(C571="HOLD RM","HOLD RM",IF(C571="BAL","WIP",IF(C571="HOLD SLT","HOLD SLT",IF(C571="MILL","RM",IF(C571="RE SLT","WIP",IF(C571="RM","RM",IF(C571="RM BAL","RM",IF(C571="RM SLT","RM",IF(C571="RR","WIP",IF(C571="SKP","WIP",IF(C571="SLT","WIP",IF(C571="CTL","WIP",IF(C571="RM SLT RUST","RM SLT RUST",0)))))))))))))&amp;"-"&amp;G571&amp;"/"&amp;IF(H571="2B","2B",IF(H571="NO.1","1D",IF(H571="FH","FH",0)))&amp;"-"&amp;IF(J571="",(TEXT(I571,"0.00")),TEXT(J571,"0.00"))&amp;"X"&amp;M571</f>
        <v>RM-304/1D-3.87X638</v>
      </c>
      <c r="C571" s="173" t="s">
        <v>48</v>
      </c>
      <c r="D571" s="173" t="s">
        <v>48</v>
      </c>
      <c r="E571" s="190" t="s">
        <v>2056</v>
      </c>
      <c r="F571" s="190" t="s">
        <v>2057</v>
      </c>
      <c r="G571" s="173">
        <v>304</v>
      </c>
      <c r="H571" s="173" t="s">
        <v>127</v>
      </c>
      <c r="I571" s="174">
        <v>3.87</v>
      </c>
      <c r="J571" s="174"/>
      <c r="K571" s="174"/>
      <c r="L571" s="174"/>
      <c r="M571" s="191">
        <v>638</v>
      </c>
      <c r="N571" s="176">
        <v>10.49</v>
      </c>
      <c r="O571" s="176"/>
      <c r="P571" s="177"/>
      <c r="Q571" s="178"/>
      <c r="R571" s="179"/>
      <c r="S571" s="179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80" t="s">
        <v>1898</v>
      </c>
      <c r="AE571" s="173" t="s">
        <v>69</v>
      </c>
      <c r="AF571" s="181" t="s">
        <v>142</v>
      </c>
      <c r="AG571" s="192" t="s">
        <v>1887</v>
      </c>
      <c r="AH571" s="198"/>
      <c r="AI571" s="181">
        <v>44880</v>
      </c>
      <c r="AJ571" s="181"/>
      <c r="AK571" s="181">
        <f ca="1">TODAY()</f>
        <v>44958</v>
      </c>
      <c r="AL571" s="173">
        <f ca="1">IF(AI571&lt;&gt;0,AK571-AI571,0)</f>
        <v>78</v>
      </c>
      <c r="AM571" s="173" t="str">
        <f>IF(ISNUMBER(X571)=TRUE,AK571-X571,IF(X571="","",(AK571)-(MID(RIGHT(X571,10),4,2)&amp;"/"&amp;LEFT((RIGHT(X571,10)),2)&amp;"/"&amp;RIGHT(X571,4))))</f>
        <v/>
      </c>
      <c r="AN571" s="181"/>
      <c r="AO571" s="190" t="s">
        <v>2055</v>
      </c>
      <c r="AP571" s="176">
        <v>10.49</v>
      </c>
      <c r="AQ571" s="176">
        <v>10.5</v>
      </c>
      <c r="AR571" s="176">
        <v>10.524999999999999</v>
      </c>
      <c r="AS571" s="176">
        <v>10.53</v>
      </c>
      <c r="AT571" s="173" t="str">
        <f>IF(ISNUMBER(U571)=TRUE,AK571-U571,IF(U571="","",(AK571)-(MID(RIGHT(U571,10),4,2)&amp;"/"&amp;LEFT((RIGHT(U571,10)),2)&amp;"/"&amp;RIGHT(U571,4))))</f>
        <v/>
      </c>
      <c r="AU571" s="173">
        <v>459</v>
      </c>
      <c r="AW571" s="142" t="s">
        <v>123</v>
      </c>
    </row>
    <row r="572" spans="2:49" s="142" customFormat="1" ht="21" customHeight="1" x14ac:dyDescent="0.25">
      <c r="B572" s="173" t="str">
        <f>IF(C572="HOLD RM","HOLD RM",IF(C572="BAL","WIP",IF(C572="HOLD SLT","HOLD SLT",IF(C572="MILL","RM",IF(C572="RE SLT","WIP",IF(C572="RM","RM",IF(C572="RM BAL","RM",IF(C572="RM SLT","RM",IF(C572="RR","WIP",IF(C572="SKP","WIP",IF(C572="SLT","WIP",IF(C572="CTL","WIP",IF(C572="RM SLT RUST","RM SLT RUST",0)))))))))))))&amp;"-"&amp;G572&amp;"/"&amp;IF(H572="2B","2B",IF(H572="NO.1","1D",IF(H572="FH","FH",0)))&amp;"-"&amp;IF(J572="",(TEXT(I572,"0.00")),TEXT(J572,"0.00"))&amp;"X"&amp;M572</f>
        <v>RM-304L/1D-2.89X643</v>
      </c>
      <c r="C572" s="173" t="s">
        <v>48</v>
      </c>
      <c r="D572" s="173" t="s">
        <v>48</v>
      </c>
      <c r="E572" s="190" t="s">
        <v>2058</v>
      </c>
      <c r="F572" s="190" t="s">
        <v>2059</v>
      </c>
      <c r="G572" s="173" t="s">
        <v>182</v>
      </c>
      <c r="H572" s="173" t="s">
        <v>127</v>
      </c>
      <c r="I572" s="174">
        <v>2.89</v>
      </c>
      <c r="J572" s="174"/>
      <c r="K572" s="174"/>
      <c r="L572" s="174"/>
      <c r="M572" s="191">
        <v>643</v>
      </c>
      <c r="N572" s="176">
        <v>10.61</v>
      </c>
      <c r="O572" s="176"/>
      <c r="P572" s="177"/>
      <c r="Q572" s="178"/>
      <c r="R572" s="179"/>
      <c r="S572" s="179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80" t="s">
        <v>1881</v>
      </c>
      <c r="AE572" s="173" t="s">
        <v>69</v>
      </c>
      <c r="AF572" s="181" t="s">
        <v>142</v>
      </c>
      <c r="AG572" s="192" t="s">
        <v>1653</v>
      </c>
      <c r="AH572" s="198"/>
      <c r="AI572" s="181">
        <v>44880</v>
      </c>
      <c r="AJ572" s="181"/>
      <c r="AK572" s="181">
        <f ca="1">TODAY()</f>
        <v>44958</v>
      </c>
      <c r="AL572" s="173">
        <f ca="1">IF(AI572&lt;&gt;0,AK572-AI572,0)</f>
        <v>78</v>
      </c>
      <c r="AM572" s="173" t="str">
        <f>IF(ISNUMBER(X572)=TRUE,AK572-X572,IF(X572="","",(AK572)-(MID(RIGHT(X572,10),4,2)&amp;"/"&amp;LEFT((RIGHT(X572,10)),2)&amp;"/"&amp;RIGHT(X572,4))))</f>
        <v/>
      </c>
      <c r="AN572" s="181"/>
      <c r="AO572" s="190" t="s">
        <v>2060</v>
      </c>
      <c r="AP572" s="176">
        <v>10.61</v>
      </c>
      <c r="AQ572" s="176">
        <v>10.62</v>
      </c>
      <c r="AR572" s="176">
        <v>10.644999999999998</v>
      </c>
      <c r="AS572" s="176">
        <v>10.649999999999999</v>
      </c>
      <c r="AT572" s="173" t="str">
        <f>IF(ISNUMBER(U572)=TRUE,AK572-U572,IF(U572="","",(AK572)-(MID(RIGHT(U572,10),4,2)&amp;"/"&amp;LEFT((RIGHT(U572,10)),2)&amp;"/"&amp;RIGHT(U572,4))))</f>
        <v/>
      </c>
      <c r="AU572" s="173">
        <v>459</v>
      </c>
      <c r="AW572" s="142" t="s">
        <v>123</v>
      </c>
    </row>
    <row r="573" spans="2:49" s="142" customFormat="1" ht="21" customHeight="1" x14ac:dyDescent="0.25">
      <c r="B573" s="173" t="str">
        <f>IF(C573="HOLD RM","HOLD RM",IF(C573="BAL","WIP",IF(C573="HOLD SLT","HOLD SLT",IF(C573="MILL","RM",IF(C573="RE SLT","WIP",IF(C573="RM","RM",IF(C573="RM BAL","RM",IF(C573="RM SLT","RM",IF(C573="RR","WIP",IF(C573="SKP","WIP",IF(C573="SLT","WIP",IF(C573="CTL","WIP",IF(C573="RM SLT RUST","RM SLT RUST",0)))))))))))))&amp;"-"&amp;G573&amp;"/"&amp;IF(H573="2B","2B",IF(H573="NO.1","1D",IF(H573="FH","FH",0)))&amp;"-"&amp;IF(J573="",(TEXT(I573,"0.00")),TEXT(J573,"0.00"))&amp;"X"&amp;M573</f>
        <v>RM-304L/1D-2.89X644</v>
      </c>
      <c r="C573" s="173" t="s">
        <v>48</v>
      </c>
      <c r="D573" s="173" t="s">
        <v>48</v>
      </c>
      <c r="E573" s="190" t="s">
        <v>2061</v>
      </c>
      <c r="F573" s="190" t="s">
        <v>2062</v>
      </c>
      <c r="G573" s="173" t="s">
        <v>182</v>
      </c>
      <c r="H573" s="173" t="s">
        <v>127</v>
      </c>
      <c r="I573" s="174">
        <v>2.89</v>
      </c>
      <c r="J573" s="174"/>
      <c r="K573" s="174"/>
      <c r="L573" s="174"/>
      <c r="M573" s="191">
        <v>644</v>
      </c>
      <c r="N573" s="176">
        <v>10.6</v>
      </c>
      <c r="O573" s="176"/>
      <c r="P573" s="177"/>
      <c r="Q573" s="178"/>
      <c r="R573" s="179"/>
      <c r="S573" s="179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80" t="s">
        <v>1881</v>
      </c>
      <c r="AE573" s="173" t="s">
        <v>69</v>
      </c>
      <c r="AF573" s="181" t="s">
        <v>142</v>
      </c>
      <c r="AG573" s="192" t="s">
        <v>1653</v>
      </c>
      <c r="AH573" s="198"/>
      <c r="AI573" s="181">
        <v>44880</v>
      </c>
      <c r="AJ573" s="181"/>
      <c r="AK573" s="181">
        <f ca="1">TODAY()</f>
        <v>44958</v>
      </c>
      <c r="AL573" s="173">
        <f ca="1">IF(AI573&lt;&gt;0,AK573-AI573,0)</f>
        <v>78</v>
      </c>
      <c r="AM573" s="173" t="str">
        <f>IF(ISNUMBER(X573)=TRUE,AK573-X573,IF(X573="","",(AK573)-(MID(RIGHT(X573,10),4,2)&amp;"/"&amp;LEFT((RIGHT(X573,10)),2)&amp;"/"&amp;RIGHT(X573,4))))</f>
        <v/>
      </c>
      <c r="AN573" s="181"/>
      <c r="AO573" s="190" t="s">
        <v>2060</v>
      </c>
      <c r="AP573" s="176">
        <v>10.6</v>
      </c>
      <c r="AQ573" s="176">
        <v>10.61</v>
      </c>
      <c r="AR573" s="176">
        <v>10.634999999999998</v>
      </c>
      <c r="AS573" s="176">
        <v>10.639999999999999</v>
      </c>
      <c r="AT573" s="173" t="str">
        <f>IF(ISNUMBER(U573)=TRUE,AK573-U573,IF(U573="","",(AK573)-(MID(RIGHT(U573,10),4,2)&amp;"/"&amp;LEFT((RIGHT(U573,10)),2)&amp;"/"&amp;RIGHT(U573,4))))</f>
        <v/>
      </c>
      <c r="AU573" s="173">
        <v>459</v>
      </c>
      <c r="AW573" s="142" t="s">
        <v>123</v>
      </c>
    </row>
    <row r="574" spans="2:49" s="142" customFormat="1" ht="21" customHeight="1" x14ac:dyDescent="0.25">
      <c r="B574" s="173" t="str">
        <f>IF(C574="HOLD RM","HOLD RM",IF(C574="BAL","WIP",IF(C574="HOLD SLT","HOLD SLT",IF(C574="MILL","RM",IF(C574="RE SLT","WIP",IF(C574="RM","RM",IF(C574="RM BAL","RM",IF(C574="RM SLT","RM",IF(C574="RR","WIP",IF(C574="SKP","WIP",IF(C574="SLT","WIP",IF(C574="CTL","WIP",IF(C574="RM SLT RUST","RM SLT RUST",0)))))))))))))&amp;"-"&amp;G574&amp;"/"&amp;IF(H574="2B","2B",IF(H574="NO.1","1D",IF(H574="FH","FH",0)))&amp;"-"&amp;IF(J574="",(TEXT(I574,"0.00")),TEXT(J574,"0.00"))&amp;"X"&amp;M574</f>
        <v>RM-304L/1D-2.96X643</v>
      </c>
      <c r="C574" s="173" t="s">
        <v>48</v>
      </c>
      <c r="D574" s="173" t="s">
        <v>48</v>
      </c>
      <c r="E574" s="190" t="s">
        <v>2063</v>
      </c>
      <c r="F574" s="190" t="s">
        <v>2064</v>
      </c>
      <c r="G574" s="173" t="s">
        <v>182</v>
      </c>
      <c r="H574" s="173" t="s">
        <v>127</v>
      </c>
      <c r="I574" s="174">
        <v>2.96</v>
      </c>
      <c r="J574" s="174"/>
      <c r="K574" s="174"/>
      <c r="L574" s="174"/>
      <c r="M574" s="191">
        <v>643</v>
      </c>
      <c r="N574" s="176">
        <v>10.17</v>
      </c>
      <c r="O574" s="176"/>
      <c r="P574" s="177"/>
      <c r="Q574" s="178"/>
      <c r="R574" s="179"/>
      <c r="S574" s="179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80" t="s">
        <v>1881</v>
      </c>
      <c r="AE574" s="173" t="s">
        <v>69</v>
      </c>
      <c r="AF574" s="181" t="s">
        <v>142</v>
      </c>
      <c r="AG574" s="192" t="s">
        <v>1653</v>
      </c>
      <c r="AH574" s="198"/>
      <c r="AI574" s="181">
        <v>44880</v>
      </c>
      <c r="AJ574" s="181"/>
      <c r="AK574" s="181">
        <f ca="1">TODAY()</f>
        <v>44958</v>
      </c>
      <c r="AL574" s="173">
        <f ca="1">IF(AI574&lt;&gt;0,AK574-AI574,0)</f>
        <v>78</v>
      </c>
      <c r="AM574" s="173" t="str">
        <f>IF(ISNUMBER(X574)=TRUE,AK574-X574,IF(X574="","",(AK574)-(MID(RIGHT(X574,10),4,2)&amp;"/"&amp;LEFT((RIGHT(X574,10)),2)&amp;"/"&amp;RIGHT(X574,4))))</f>
        <v/>
      </c>
      <c r="AN574" s="181"/>
      <c r="AO574" s="190" t="s">
        <v>2065</v>
      </c>
      <c r="AP574" s="176">
        <v>10.17</v>
      </c>
      <c r="AQ574" s="176">
        <v>10.18</v>
      </c>
      <c r="AR574" s="176">
        <v>10.204999999999998</v>
      </c>
      <c r="AS574" s="176">
        <v>10.209999999999999</v>
      </c>
      <c r="AT574" s="173" t="str">
        <f>IF(ISNUMBER(U574)=TRUE,AK574-U574,IF(U574="","",(AK574)-(MID(RIGHT(U574,10),4,2)&amp;"/"&amp;LEFT((RIGHT(U574,10)),2)&amp;"/"&amp;RIGHT(U574,4))))</f>
        <v/>
      </c>
      <c r="AU574" s="173">
        <v>459</v>
      </c>
      <c r="AW574" s="142" t="s">
        <v>123</v>
      </c>
    </row>
    <row r="575" spans="2:49" s="142" customFormat="1" ht="21" customHeight="1" x14ac:dyDescent="0.25">
      <c r="B575" s="173" t="str">
        <f>IF(C575="HOLD RM","HOLD RM",IF(C575="BAL","WIP",IF(C575="HOLD SLT","HOLD SLT",IF(C575="MILL","RM",IF(C575="RE SLT","WIP",IF(C575="RM","RM",IF(C575="RM BAL","RM",IF(C575="RM SLT","RM",IF(C575="RR","WIP",IF(C575="SKP","WIP",IF(C575="SLT","WIP",IF(C575="CTL","WIP",IF(C575="RM SLT RUST","RM SLT RUST",0)))))))))))))&amp;"-"&amp;G575&amp;"/"&amp;IF(H575="2B","2B",IF(H575="NO.1","1D",IF(H575="FH","FH",0)))&amp;"-"&amp;IF(J575="",(TEXT(I575,"0.00")),TEXT(J575,"0.00"))&amp;"X"&amp;M575</f>
        <v>RM-304L/1D-2.95X643</v>
      </c>
      <c r="C575" s="173" t="s">
        <v>48</v>
      </c>
      <c r="D575" s="173" t="s">
        <v>48</v>
      </c>
      <c r="E575" s="190" t="s">
        <v>2066</v>
      </c>
      <c r="F575" s="190" t="s">
        <v>2067</v>
      </c>
      <c r="G575" s="173" t="s">
        <v>182</v>
      </c>
      <c r="H575" s="173" t="s">
        <v>127</v>
      </c>
      <c r="I575" s="174">
        <v>2.95</v>
      </c>
      <c r="J575" s="174"/>
      <c r="K575" s="174"/>
      <c r="L575" s="174"/>
      <c r="M575" s="191">
        <v>643</v>
      </c>
      <c r="N575" s="176">
        <v>10.220000000000001</v>
      </c>
      <c r="O575" s="176"/>
      <c r="P575" s="177"/>
      <c r="Q575" s="178"/>
      <c r="R575" s="179"/>
      <c r="S575" s="179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80" t="s">
        <v>1881</v>
      </c>
      <c r="AE575" s="173" t="s">
        <v>69</v>
      </c>
      <c r="AF575" s="181" t="s">
        <v>142</v>
      </c>
      <c r="AG575" s="192" t="s">
        <v>1653</v>
      </c>
      <c r="AH575" s="198"/>
      <c r="AI575" s="181">
        <v>44880</v>
      </c>
      <c r="AJ575" s="181"/>
      <c r="AK575" s="181">
        <f ca="1">TODAY()</f>
        <v>44958</v>
      </c>
      <c r="AL575" s="173">
        <f ca="1">IF(AI575&lt;&gt;0,AK575-AI575,0)</f>
        <v>78</v>
      </c>
      <c r="AM575" s="173" t="str">
        <f>IF(ISNUMBER(X575)=TRUE,AK575-X575,IF(X575="","",(AK575)-(MID(RIGHT(X575,10),4,2)&amp;"/"&amp;LEFT((RIGHT(X575,10)),2)&amp;"/"&amp;RIGHT(X575,4))))</f>
        <v/>
      </c>
      <c r="AN575" s="181"/>
      <c r="AO575" s="190" t="s">
        <v>2065</v>
      </c>
      <c r="AP575" s="176">
        <v>10.220000000000001</v>
      </c>
      <c r="AQ575" s="176">
        <v>10.23</v>
      </c>
      <c r="AR575" s="176">
        <v>10.254999999999999</v>
      </c>
      <c r="AS575" s="176">
        <v>10.26</v>
      </c>
      <c r="AT575" s="173" t="str">
        <f>IF(ISNUMBER(U575)=TRUE,AK575-U575,IF(U575="","",(AK575)-(MID(RIGHT(U575,10),4,2)&amp;"/"&amp;LEFT((RIGHT(U575,10)),2)&amp;"/"&amp;RIGHT(U575,4))))</f>
        <v/>
      </c>
      <c r="AU575" s="173">
        <v>459</v>
      </c>
      <c r="AW575" s="142" t="s">
        <v>123</v>
      </c>
    </row>
    <row r="576" spans="2:49" s="142" customFormat="1" ht="21" customHeight="1" x14ac:dyDescent="0.25">
      <c r="B576" s="173" t="str">
        <f>IF(C576="HOLD RM","HOLD RM",IF(C576="BAL","WIP",IF(C576="HOLD SLT","HOLD SLT",IF(C576="MILL","RM",IF(C576="RE SLT","WIP",IF(C576="RM","RM",IF(C576="RM BAL","RM",IF(C576="RM SLT","RM",IF(C576="RR","WIP",IF(C576="SKP","WIP",IF(C576="SLT","WIP",IF(C576="CTL","WIP",IF(C576="RM SLT RUST","RM SLT RUST",0)))))))))))))&amp;"-"&amp;G576&amp;"/"&amp;IF(H576="2B","2B",IF(H576="NO.1","1D",IF(H576="FH","FH",0)))&amp;"-"&amp;IF(J576="",(TEXT(I576,"0.00")),TEXT(J576,"0.00"))&amp;"X"&amp;M576</f>
        <v>RM-304L/1D-2.89X647</v>
      </c>
      <c r="C576" s="173" t="s">
        <v>48</v>
      </c>
      <c r="D576" s="173" t="s">
        <v>48</v>
      </c>
      <c r="E576" s="190" t="s">
        <v>2068</v>
      </c>
      <c r="F576" s="190" t="s">
        <v>2069</v>
      </c>
      <c r="G576" s="173" t="s">
        <v>182</v>
      </c>
      <c r="H576" s="173" t="s">
        <v>127</v>
      </c>
      <c r="I576" s="174">
        <v>2.89</v>
      </c>
      <c r="J576" s="174"/>
      <c r="K576" s="174"/>
      <c r="L576" s="174"/>
      <c r="M576" s="191">
        <v>647</v>
      </c>
      <c r="N576" s="176">
        <v>10.744999999999999</v>
      </c>
      <c r="O576" s="176"/>
      <c r="P576" s="177"/>
      <c r="Q576" s="178"/>
      <c r="R576" s="179"/>
      <c r="S576" s="179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80" t="s">
        <v>1881</v>
      </c>
      <c r="AE576" s="173" t="s">
        <v>69</v>
      </c>
      <c r="AF576" s="181" t="s">
        <v>142</v>
      </c>
      <c r="AG576" s="192" t="s">
        <v>1887</v>
      </c>
      <c r="AH576" s="198"/>
      <c r="AI576" s="181">
        <v>44880</v>
      </c>
      <c r="AJ576" s="181"/>
      <c r="AK576" s="181">
        <f ca="1">TODAY()</f>
        <v>44958</v>
      </c>
      <c r="AL576" s="173">
        <f ca="1">IF(AI576&lt;&gt;0,AK576-AI576,0)</f>
        <v>78</v>
      </c>
      <c r="AM576" s="173" t="str">
        <f>IF(ISNUMBER(X576)=TRUE,AK576-X576,IF(X576="","",(AK576)-(MID(RIGHT(X576,10),4,2)&amp;"/"&amp;LEFT((RIGHT(X576,10)),2)&amp;"/"&amp;RIGHT(X576,4))))</f>
        <v/>
      </c>
      <c r="AN576" s="181"/>
      <c r="AO576" s="190" t="s">
        <v>2070</v>
      </c>
      <c r="AP576" s="176">
        <v>10.744999999999999</v>
      </c>
      <c r="AQ576" s="176">
        <v>10.754999999999999</v>
      </c>
      <c r="AR576" s="176">
        <v>10.779999999999998</v>
      </c>
      <c r="AS576" s="176">
        <v>10.784999999999998</v>
      </c>
      <c r="AT576" s="173" t="str">
        <f>IF(ISNUMBER(U576)=TRUE,AK576-U576,IF(U576="","",(AK576)-(MID(RIGHT(U576,10),4,2)&amp;"/"&amp;LEFT((RIGHT(U576,10)),2)&amp;"/"&amp;RIGHT(U576,4))))</f>
        <v/>
      </c>
      <c r="AU576" s="173">
        <v>459</v>
      </c>
      <c r="AW576" s="142" t="s">
        <v>123</v>
      </c>
    </row>
    <row r="577" spans="2:49" s="142" customFormat="1" ht="21" customHeight="1" x14ac:dyDescent="0.25">
      <c r="B577" s="173" t="str">
        <f>IF(C577="HOLD RM","HOLD RM",IF(C577="BAL","WIP",IF(C577="HOLD SLT","HOLD SLT",IF(C577="MILL","RM",IF(C577="RE SLT","WIP",IF(C577="RM","RM",IF(C577="RM BAL","RM",IF(C577="RM SLT","RM",IF(C577="RR","WIP",IF(C577="SKP","WIP",IF(C577="SLT","WIP",IF(C577="CTL","WIP",IF(C577="RM SLT RUST","RM SLT RUST",0)))))))))))))&amp;"-"&amp;G577&amp;"/"&amp;IF(H577="2B","2B",IF(H577="NO.1","1D",IF(H577="FH","FH",0)))&amp;"-"&amp;IF(J577="",(TEXT(I577,"0.00")),TEXT(J577,"0.00"))&amp;"X"&amp;M577</f>
        <v>RM-304L/1D-2.89X646</v>
      </c>
      <c r="C577" s="173" t="s">
        <v>48</v>
      </c>
      <c r="D577" s="173" t="s">
        <v>48</v>
      </c>
      <c r="E577" s="190" t="s">
        <v>2071</v>
      </c>
      <c r="F577" s="190" t="s">
        <v>2072</v>
      </c>
      <c r="G577" s="173" t="s">
        <v>182</v>
      </c>
      <c r="H577" s="173" t="s">
        <v>127</v>
      </c>
      <c r="I577" s="174">
        <v>2.89</v>
      </c>
      <c r="J577" s="174"/>
      <c r="K577" s="174"/>
      <c r="L577" s="174"/>
      <c r="M577" s="191">
        <v>646</v>
      </c>
      <c r="N577" s="176">
        <v>10.81</v>
      </c>
      <c r="O577" s="176"/>
      <c r="P577" s="177"/>
      <c r="Q577" s="178"/>
      <c r="R577" s="179"/>
      <c r="S577" s="179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80" t="s">
        <v>1881</v>
      </c>
      <c r="AE577" s="173" t="s">
        <v>69</v>
      </c>
      <c r="AF577" s="181" t="s">
        <v>142</v>
      </c>
      <c r="AG577" s="192" t="s">
        <v>1887</v>
      </c>
      <c r="AH577" s="198"/>
      <c r="AI577" s="181">
        <v>44880</v>
      </c>
      <c r="AJ577" s="181"/>
      <c r="AK577" s="181">
        <f ca="1">TODAY()</f>
        <v>44958</v>
      </c>
      <c r="AL577" s="173">
        <f ca="1">IF(AI577&lt;&gt;0,AK577-AI577,0)</f>
        <v>78</v>
      </c>
      <c r="AM577" s="173" t="str">
        <f>IF(ISNUMBER(X577)=TRUE,AK577-X577,IF(X577="","",(AK577)-(MID(RIGHT(X577,10),4,2)&amp;"/"&amp;LEFT((RIGHT(X577,10)),2)&amp;"/"&amp;RIGHT(X577,4))))</f>
        <v/>
      </c>
      <c r="AN577" s="181"/>
      <c r="AO577" s="190" t="s">
        <v>2070</v>
      </c>
      <c r="AP577" s="176">
        <v>10.81</v>
      </c>
      <c r="AQ577" s="176">
        <v>10.82</v>
      </c>
      <c r="AR577" s="176">
        <v>10.844999999999999</v>
      </c>
      <c r="AS577" s="176">
        <v>10.85</v>
      </c>
      <c r="AT577" s="173" t="str">
        <f>IF(ISNUMBER(U577)=TRUE,AK577-U577,IF(U577="","",(AK577)-(MID(RIGHT(U577,10),4,2)&amp;"/"&amp;LEFT((RIGHT(U577,10)),2)&amp;"/"&amp;RIGHT(U577,4))))</f>
        <v/>
      </c>
      <c r="AU577" s="173">
        <v>459</v>
      </c>
      <c r="AW577" s="142" t="s">
        <v>123</v>
      </c>
    </row>
    <row r="578" spans="2:49" s="142" customFormat="1" ht="21" customHeight="1" x14ac:dyDescent="0.25">
      <c r="B578" s="173" t="str">
        <f>IF(C578="HOLD RM","HOLD RM",IF(C578="BAL","WIP",IF(C578="HOLD SLT","HOLD SLT",IF(C578="MILL","RM",IF(C578="RE SLT","WIP",IF(C578="RM","RM",IF(C578="RM BAL","RM",IF(C578="RM SLT","RM",IF(C578="RR","WIP",IF(C578="SKP","WIP",IF(C578="SLT","WIP",IF(C578="CTL","WIP",IF(C578="RM SLT RUST","RM SLT RUST",0)))))))))))))&amp;"-"&amp;G578&amp;"/"&amp;IF(H578="2B","2B",IF(H578="NO.1","1D",IF(H578="FH","FH",0)))&amp;"-"&amp;IF(J578="",(TEXT(I578,"0.00")),TEXT(J578,"0.00"))&amp;"X"&amp;M578</f>
        <v>RM-304L/1D-2.89X645</v>
      </c>
      <c r="C578" s="173" t="s">
        <v>48</v>
      </c>
      <c r="D578" s="173" t="s">
        <v>48</v>
      </c>
      <c r="E578" s="190" t="s">
        <v>2073</v>
      </c>
      <c r="F578" s="190" t="s">
        <v>2074</v>
      </c>
      <c r="G578" s="173" t="s">
        <v>182</v>
      </c>
      <c r="H578" s="173" t="s">
        <v>127</v>
      </c>
      <c r="I578" s="174">
        <v>2.89</v>
      </c>
      <c r="J578" s="174"/>
      <c r="K578" s="174"/>
      <c r="L578" s="174"/>
      <c r="M578" s="191">
        <v>645</v>
      </c>
      <c r="N578" s="176">
        <v>10.484999999999999</v>
      </c>
      <c r="O578" s="176"/>
      <c r="P578" s="177"/>
      <c r="Q578" s="178"/>
      <c r="R578" s="179"/>
      <c r="S578" s="179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80" t="s">
        <v>1881</v>
      </c>
      <c r="AE578" s="173" t="s">
        <v>69</v>
      </c>
      <c r="AF578" s="181" t="s">
        <v>142</v>
      </c>
      <c r="AG578" s="192" t="s">
        <v>1653</v>
      </c>
      <c r="AH578" s="198"/>
      <c r="AI578" s="181">
        <v>44880</v>
      </c>
      <c r="AJ578" s="181"/>
      <c r="AK578" s="181">
        <f ca="1">TODAY()</f>
        <v>44958</v>
      </c>
      <c r="AL578" s="173">
        <f ca="1">IF(AI578&lt;&gt;0,AK578-AI578,0)</f>
        <v>78</v>
      </c>
      <c r="AM578" s="173" t="str">
        <f>IF(ISNUMBER(X578)=TRUE,AK578-X578,IF(X578="","",(AK578)-(MID(RIGHT(X578,10),4,2)&amp;"/"&amp;LEFT((RIGHT(X578,10)),2)&amp;"/"&amp;RIGHT(X578,4))))</f>
        <v/>
      </c>
      <c r="AN578" s="181"/>
      <c r="AO578" s="190" t="s">
        <v>2075</v>
      </c>
      <c r="AP578" s="176">
        <v>10.484999999999999</v>
      </c>
      <c r="AQ578" s="176">
        <v>10.494999999999999</v>
      </c>
      <c r="AR578" s="176">
        <v>10.519999999999998</v>
      </c>
      <c r="AS578" s="176">
        <v>10.524999999999999</v>
      </c>
      <c r="AT578" s="173" t="str">
        <f>IF(ISNUMBER(U578)=TRUE,AK578-U578,IF(U578="","",(AK578)-(MID(RIGHT(U578,10),4,2)&amp;"/"&amp;LEFT((RIGHT(U578,10)),2)&amp;"/"&amp;RIGHT(U578,4))))</f>
        <v/>
      </c>
      <c r="AU578" s="173">
        <v>459</v>
      </c>
      <c r="AW578" s="142" t="s">
        <v>123</v>
      </c>
    </row>
    <row r="579" spans="2:49" s="142" customFormat="1" ht="21" customHeight="1" x14ac:dyDescent="0.25">
      <c r="B579" s="173" t="str">
        <f>IF(C579="HOLD RM","HOLD RM",IF(C579="BAL","WIP",IF(C579="HOLD SLT","HOLD SLT",IF(C579="MILL","RM",IF(C579="RE SLT","WIP",IF(C579="RM","RM",IF(C579="RM BAL","RM",IF(C579="RM SLT","RM",IF(C579="RR","WIP",IF(C579="SKP","WIP",IF(C579="SLT","WIP",IF(C579="CTL","WIP",IF(C579="RM SLT RUST","RM SLT RUST",0)))))))))))))&amp;"-"&amp;G579&amp;"/"&amp;IF(H579="2B","2B",IF(H579="NO.1","1D",IF(H579="FH","FH",0)))&amp;"-"&amp;IF(J579="",(TEXT(I579,"0.00")),TEXT(J579,"0.00"))&amp;"X"&amp;M579</f>
        <v>RM-304L/1D-2.89X643</v>
      </c>
      <c r="C579" s="173" t="s">
        <v>48</v>
      </c>
      <c r="D579" s="173" t="s">
        <v>48</v>
      </c>
      <c r="E579" s="190" t="s">
        <v>2076</v>
      </c>
      <c r="F579" s="190" t="s">
        <v>2077</v>
      </c>
      <c r="G579" s="173" t="s">
        <v>182</v>
      </c>
      <c r="H579" s="173" t="s">
        <v>127</v>
      </c>
      <c r="I579" s="174">
        <v>2.89</v>
      </c>
      <c r="J579" s="174"/>
      <c r="K579" s="174"/>
      <c r="L579" s="174"/>
      <c r="M579" s="191">
        <v>643</v>
      </c>
      <c r="N579" s="176">
        <v>10.484999999999999</v>
      </c>
      <c r="O579" s="176"/>
      <c r="P579" s="177"/>
      <c r="Q579" s="178"/>
      <c r="R579" s="179"/>
      <c r="S579" s="179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80" t="s">
        <v>1881</v>
      </c>
      <c r="AE579" s="173" t="s">
        <v>69</v>
      </c>
      <c r="AF579" s="181" t="s">
        <v>142</v>
      </c>
      <c r="AG579" s="192" t="s">
        <v>1653</v>
      </c>
      <c r="AH579" s="198"/>
      <c r="AI579" s="181">
        <v>44880</v>
      </c>
      <c r="AJ579" s="181"/>
      <c r="AK579" s="181">
        <f ca="1">TODAY()</f>
        <v>44958</v>
      </c>
      <c r="AL579" s="173">
        <f ca="1">IF(AI579&lt;&gt;0,AK579-AI579,0)</f>
        <v>78</v>
      </c>
      <c r="AM579" s="173" t="str">
        <f>IF(ISNUMBER(X579)=TRUE,AK579-X579,IF(X579="","",(AK579)-(MID(RIGHT(X579,10),4,2)&amp;"/"&amp;LEFT((RIGHT(X579,10)),2)&amp;"/"&amp;RIGHT(X579,4))))</f>
        <v/>
      </c>
      <c r="AN579" s="181"/>
      <c r="AO579" s="190" t="s">
        <v>2075</v>
      </c>
      <c r="AP579" s="176">
        <v>10.484999999999999</v>
      </c>
      <c r="AQ579" s="176">
        <v>10.494999999999999</v>
      </c>
      <c r="AR579" s="176">
        <v>10.519999999999998</v>
      </c>
      <c r="AS579" s="176">
        <v>10.524999999999999</v>
      </c>
      <c r="AT579" s="173" t="str">
        <f>IF(ISNUMBER(U579)=TRUE,AK579-U579,IF(U579="","",(AK579)-(MID(RIGHT(U579,10),4,2)&amp;"/"&amp;LEFT((RIGHT(U579,10)),2)&amp;"/"&amp;RIGHT(U579,4))))</f>
        <v/>
      </c>
      <c r="AU579" s="173">
        <v>459</v>
      </c>
      <c r="AW579" s="142" t="s">
        <v>123</v>
      </c>
    </row>
    <row r="580" spans="2:49" s="142" customFormat="1" ht="21" customHeight="1" x14ac:dyDescent="0.25">
      <c r="B580" s="173" t="str">
        <f>IF(C580="HOLD RM","HOLD RM",IF(C580="BAL","WIP",IF(C580="HOLD SLT","HOLD SLT",IF(C580="MILL","RM",IF(C580="RE SLT","WIP",IF(C580="RM","RM",IF(C580="RM BAL","RM",IF(C580="RM SLT","RM",IF(C580="RR","WIP",IF(C580="SKP","WIP",IF(C580="SLT","WIP",IF(C580="CTL","WIP",IF(C580="RM SLT RUST","RM SLT RUST",0)))))))))))))&amp;"-"&amp;G580&amp;"/"&amp;IF(H580="2B","2B",IF(H580="NO.1","1D",IF(H580="FH","FH",0)))&amp;"-"&amp;IF(J580="",(TEXT(I580,"0.00")),TEXT(J580,"0.00"))&amp;"X"&amp;M580</f>
        <v>RM-304/1D-2.49X643</v>
      </c>
      <c r="C580" s="173" t="s">
        <v>48</v>
      </c>
      <c r="D580" s="173" t="s">
        <v>48</v>
      </c>
      <c r="E580" s="190" t="s">
        <v>2078</v>
      </c>
      <c r="F580" s="190" t="s">
        <v>2079</v>
      </c>
      <c r="G580" s="173">
        <v>304</v>
      </c>
      <c r="H580" s="173" t="s">
        <v>127</v>
      </c>
      <c r="I580" s="174">
        <v>2.4900000000000002</v>
      </c>
      <c r="J580" s="174"/>
      <c r="K580" s="174"/>
      <c r="L580" s="174"/>
      <c r="M580" s="191">
        <v>643</v>
      </c>
      <c r="N580" s="176">
        <v>10.595000000000001</v>
      </c>
      <c r="O580" s="176"/>
      <c r="P580" s="177"/>
      <c r="Q580" s="178"/>
      <c r="R580" s="179"/>
      <c r="S580" s="179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80" t="s">
        <v>1881</v>
      </c>
      <c r="AE580" s="173" t="s">
        <v>69</v>
      </c>
      <c r="AF580" s="181" t="s">
        <v>142</v>
      </c>
      <c r="AG580" s="192" t="s">
        <v>1653</v>
      </c>
      <c r="AH580" s="198"/>
      <c r="AI580" s="181">
        <v>44880</v>
      </c>
      <c r="AJ580" s="181"/>
      <c r="AK580" s="181">
        <f ca="1">TODAY()</f>
        <v>44958</v>
      </c>
      <c r="AL580" s="173">
        <f ca="1">IF(AI580&lt;&gt;0,AK580-AI580,0)</f>
        <v>78</v>
      </c>
      <c r="AM580" s="173" t="str">
        <f>IF(ISNUMBER(X580)=TRUE,AK580-X580,IF(X580="","",(AK580)-(MID(RIGHT(X580,10),4,2)&amp;"/"&amp;LEFT((RIGHT(X580,10)),2)&amp;"/"&amp;RIGHT(X580,4))))</f>
        <v/>
      </c>
      <c r="AN580" s="181"/>
      <c r="AO580" s="190" t="s">
        <v>2080</v>
      </c>
      <c r="AP580" s="176">
        <v>10.595000000000001</v>
      </c>
      <c r="AQ580" s="176">
        <v>10.605</v>
      </c>
      <c r="AR580" s="176">
        <v>10.629999999999999</v>
      </c>
      <c r="AS580" s="176">
        <v>10.635</v>
      </c>
      <c r="AT580" s="173" t="str">
        <f>IF(ISNUMBER(U580)=TRUE,AK580-U580,IF(U580="","",(AK580)-(MID(RIGHT(U580,10),4,2)&amp;"/"&amp;LEFT((RIGHT(U580,10)),2)&amp;"/"&amp;RIGHT(U580,4))))</f>
        <v/>
      </c>
      <c r="AU580" s="173">
        <v>459</v>
      </c>
      <c r="AW580" s="142" t="s">
        <v>123</v>
      </c>
    </row>
    <row r="581" spans="2:49" s="142" customFormat="1" ht="21" customHeight="1" x14ac:dyDescent="0.25">
      <c r="B581" s="173" t="str">
        <f>IF(C581="HOLD RM","HOLD RM",IF(C581="BAL","WIP",IF(C581="HOLD SLT","HOLD SLT",IF(C581="MILL","RM",IF(C581="RE SLT","WIP",IF(C581="RM","RM",IF(C581="RM BAL","RM",IF(C581="RM SLT","RM",IF(C581="RR","WIP",IF(C581="SKP","WIP",IF(C581="SLT","WIP",IF(C581="CTL","WIP",IF(C581="RM SLT RUST","RM SLT RUST",0)))))))))))))&amp;"-"&amp;G581&amp;"/"&amp;IF(H581="2B","2B",IF(H581="NO.1","1D",IF(H581="FH","FH",0)))&amp;"-"&amp;IF(J581="",(TEXT(I581,"0.00")),TEXT(J581,"0.00"))&amp;"X"&amp;M581</f>
        <v>RM-304/1D-2.49X643</v>
      </c>
      <c r="C581" s="173" t="s">
        <v>48</v>
      </c>
      <c r="D581" s="173" t="s">
        <v>48</v>
      </c>
      <c r="E581" s="190" t="s">
        <v>2081</v>
      </c>
      <c r="F581" s="190" t="s">
        <v>2082</v>
      </c>
      <c r="G581" s="173">
        <v>304</v>
      </c>
      <c r="H581" s="173" t="s">
        <v>127</v>
      </c>
      <c r="I581" s="174">
        <v>2.4900000000000002</v>
      </c>
      <c r="J581" s="174"/>
      <c r="K581" s="174"/>
      <c r="L581" s="174"/>
      <c r="M581" s="191">
        <v>643</v>
      </c>
      <c r="N581" s="176">
        <v>10.63</v>
      </c>
      <c r="O581" s="176"/>
      <c r="P581" s="177"/>
      <c r="Q581" s="178"/>
      <c r="R581" s="179"/>
      <c r="S581" s="179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80" t="s">
        <v>1881</v>
      </c>
      <c r="AE581" s="173" t="s">
        <v>69</v>
      </c>
      <c r="AF581" s="181" t="s">
        <v>142</v>
      </c>
      <c r="AG581" s="192" t="s">
        <v>1653</v>
      </c>
      <c r="AH581" s="198"/>
      <c r="AI581" s="181">
        <v>44880</v>
      </c>
      <c r="AJ581" s="181"/>
      <c r="AK581" s="181">
        <f ca="1">TODAY()</f>
        <v>44958</v>
      </c>
      <c r="AL581" s="173">
        <f ca="1">IF(AI581&lt;&gt;0,AK581-AI581,0)</f>
        <v>78</v>
      </c>
      <c r="AM581" s="173" t="str">
        <f>IF(ISNUMBER(X581)=TRUE,AK581-X581,IF(X581="","",(AK581)-(MID(RIGHT(X581,10),4,2)&amp;"/"&amp;LEFT((RIGHT(X581,10)),2)&amp;"/"&amp;RIGHT(X581,4))))</f>
        <v/>
      </c>
      <c r="AN581" s="181"/>
      <c r="AO581" s="190" t="s">
        <v>2080</v>
      </c>
      <c r="AP581" s="176">
        <v>10.63</v>
      </c>
      <c r="AQ581" s="176">
        <v>10.64</v>
      </c>
      <c r="AR581" s="176">
        <v>10.664999999999999</v>
      </c>
      <c r="AS581" s="176">
        <v>10.67</v>
      </c>
      <c r="AT581" s="173" t="str">
        <f>IF(ISNUMBER(U581)=TRUE,AK581-U581,IF(U581="","",(AK581)-(MID(RIGHT(U581,10),4,2)&amp;"/"&amp;LEFT((RIGHT(U581,10)),2)&amp;"/"&amp;RIGHT(U581,4))))</f>
        <v/>
      </c>
      <c r="AU581" s="173">
        <v>459</v>
      </c>
      <c r="AW581" s="142" t="s">
        <v>123</v>
      </c>
    </row>
    <row r="582" spans="2:49" s="142" customFormat="1" ht="21" customHeight="1" x14ac:dyDescent="0.25">
      <c r="B582" s="173" t="str">
        <f>IF(C582="HOLD RM","HOLD RM",IF(C582="BAL","WIP",IF(C582="HOLD SLT","HOLD SLT",IF(C582="MILL","RM",IF(C582="RE SLT","WIP",IF(C582="RM","RM",IF(C582="RM BAL","RM",IF(C582="RM SLT","RM",IF(C582="RR","WIP",IF(C582="SKP","WIP",IF(C582="SLT","WIP",IF(C582="CTL","WIP",IF(C582="RM SLT RUST","RM SLT RUST",0)))))))))))))&amp;"-"&amp;G582&amp;"/"&amp;IF(H582="2B","2B",IF(H582="NO.1","1D",IF(H582="FH","FH",0)))&amp;"-"&amp;IF(J582="",(TEXT(I582,"0.00")),TEXT(J582,"0.00"))&amp;"X"&amp;M582</f>
        <v>RM-304L/1D-2.81X643</v>
      </c>
      <c r="C582" s="173" t="s">
        <v>48</v>
      </c>
      <c r="D582" s="173" t="s">
        <v>48</v>
      </c>
      <c r="E582" s="190" t="s">
        <v>2083</v>
      </c>
      <c r="F582" s="190" t="s">
        <v>2084</v>
      </c>
      <c r="G582" s="173" t="s">
        <v>182</v>
      </c>
      <c r="H582" s="173" t="s">
        <v>127</v>
      </c>
      <c r="I582" s="174">
        <v>2.81</v>
      </c>
      <c r="J582" s="174"/>
      <c r="K582" s="174"/>
      <c r="L582" s="174"/>
      <c r="M582" s="191">
        <v>643</v>
      </c>
      <c r="N582" s="176">
        <v>10.66</v>
      </c>
      <c r="O582" s="176"/>
      <c r="P582" s="177"/>
      <c r="Q582" s="178"/>
      <c r="R582" s="179"/>
      <c r="S582" s="179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80" t="s">
        <v>1881</v>
      </c>
      <c r="AE582" s="173" t="s">
        <v>69</v>
      </c>
      <c r="AF582" s="181" t="s">
        <v>142</v>
      </c>
      <c r="AG582" s="192" t="s">
        <v>1653</v>
      </c>
      <c r="AH582" s="198"/>
      <c r="AI582" s="181">
        <v>44880</v>
      </c>
      <c r="AJ582" s="181"/>
      <c r="AK582" s="181">
        <f ca="1">TODAY()</f>
        <v>44958</v>
      </c>
      <c r="AL582" s="173">
        <f ca="1">IF(AI582&lt;&gt;0,AK582-AI582,0)</f>
        <v>78</v>
      </c>
      <c r="AM582" s="173" t="str">
        <f>IF(ISNUMBER(X582)=TRUE,AK582-X582,IF(X582="","",(AK582)-(MID(RIGHT(X582,10),4,2)&amp;"/"&amp;LEFT((RIGHT(X582,10)),2)&amp;"/"&amp;RIGHT(X582,4))))</f>
        <v/>
      </c>
      <c r="AN582" s="181"/>
      <c r="AO582" s="190" t="s">
        <v>2085</v>
      </c>
      <c r="AP582" s="176">
        <v>10.66</v>
      </c>
      <c r="AQ582" s="176">
        <v>10.67</v>
      </c>
      <c r="AR582" s="176">
        <v>10.694999999999999</v>
      </c>
      <c r="AS582" s="176">
        <v>10.7</v>
      </c>
      <c r="AT582" s="173" t="str">
        <f>IF(ISNUMBER(U582)=TRUE,AK582-U582,IF(U582="","",(AK582)-(MID(RIGHT(U582,10),4,2)&amp;"/"&amp;LEFT((RIGHT(U582,10)),2)&amp;"/"&amp;RIGHT(U582,4))))</f>
        <v/>
      </c>
      <c r="AU582" s="173">
        <v>459</v>
      </c>
      <c r="AW582" s="142" t="s">
        <v>123</v>
      </c>
    </row>
    <row r="583" spans="2:49" s="142" customFormat="1" ht="21" customHeight="1" x14ac:dyDescent="0.25">
      <c r="B583" s="173" t="str">
        <f>IF(C583="HOLD RM","HOLD RM",IF(C583="BAL","WIP",IF(C583="HOLD SLT","HOLD SLT",IF(C583="MILL","RM",IF(C583="RE SLT","WIP",IF(C583="RM","RM",IF(C583="RM BAL","RM",IF(C583="RM SLT","RM",IF(C583="RR","WIP",IF(C583="SKP","WIP",IF(C583="SLT","WIP",IF(C583="CTL","WIP",IF(C583="RM SLT RUST","RM SLT RUST",0)))))))))))))&amp;"-"&amp;G583&amp;"/"&amp;IF(H583="2B","2B",IF(H583="NO.1","1D",IF(H583="FH","FH",0)))&amp;"-"&amp;IF(J583="",(TEXT(I583,"0.00")),TEXT(J583,"0.00"))&amp;"X"&amp;M583</f>
        <v>RM-304L/1D-2.89X642</v>
      </c>
      <c r="C583" s="173" t="s">
        <v>48</v>
      </c>
      <c r="D583" s="173" t="s">
        <v>48</v>
      </c>
      <c r="E583" s="190" t="s">
        <v>2086</v>
      </c>
      <c r="F583" s="190" t="s">
        <v>2087</v>
      </c>
      <c r="G583" s="173" t="s">
        <v>182</v>
      </c>
      <c r="H583" s="173" t="s">
        <v>127</v>
      </c>
      <c r="I583" s="174">
        <v>2.89</v>
      </c>
      <c r="J583" s="174"/>
      <c r="K583" s="174"/>
      <c r="L583" s="174"/>
      <c r="M583" s="191">
        <v>642</v>
      </c>
      <c r="N583" s="176">
        <v>10.705</v>
      </c>
      <c r="O583" s="176"/>
      <c r="P583" s="177"/>
      <c r="Q583" s="178"/>
      <c r="R583" s="179"/>
      <c r="S583" s="179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80" t="s">
        <v>1881</v>
      </c>
      <c r="AE583" s="173" t="s">
        <v>69</v>
      </c>
      <c r="AF583" s="181" t="s">
        <v>142</v>
      </c>
      <c r="AG583" s="192" t="s">
        <v>1653</v>
      </c>
      <c r="AH583" s="198"/>
      <c r="AI583" s="181">
        <v>44880</v>
      </c>
      <c r="AJ583" s="181"/>
      <c r="AK583" s="181">
        <f ca="1">TODAY()</f>
        <v>44958</v>
      </c>
      <c r="AL583" s="173">
        <f ca="1">IF(AI583&lt;&gt;0,AK583-AI583,0)</f>
        <v>78</v>
      </c>
      <c r="AM583" s="173" t="str">
        <f>IF(ISNUMBER(X583)=TRUE,AK583-X583,IF(X583="","",(AK583)-(MID(RIGHT(X583,10),4,2)&amp;"/"&amp;LEFT((RIGHT(X583,10)),2)&amp;"/"&amp;RIGHT(X583,4))))</f>
        <v/>
      </c>
      <c r="AN583" s="181"/>
      <c r="AO583" s="190" t="s">
        <v>2088</v>
      </c>
      <c r="AP583" s="176">
        <v>10.705</v>
      </c>
      <c r="AQ583" s="176">
        <v>10.715</v>
      </c>
      <c r="AR583" s="176">
        <v>10.739999999999998</v>
      </c>
      <c r="AS583" s="176">
        <v>10.744999999999999</v>
      </c>
      <c r="AT583" s="173" t="str">
        <f>IF(ISNUMBER(U583)=TRUE,AK583-U583,IF(U583="","",(AK583)-(MID(RIGHT(U583,10),4,2)&amp;"/"&amp;LEFT((RIGHT(U583,10)),2)&amp;"/"&amp;RIGHT(U583,4))))</f>
        <v/>
      </c>
      <c r="AU583" s="173">
        <v>459</v>
      </c>
      <c r="AW583" s="142" t="s">
        <v>123</v>
      </c>
    </row>
    <row r="584" spans="2:49" s="142" customFormat="1" ht="21" customHeight="1" x14ac:dyDescent="0.25">
      <c r="B584" s="173" t="str">
        <f>IF(C584="HOLD RM","HOLD RM",IF(C584="BAL","WIP",IF(C584="HOLD SLT","HOLD SLT",IF(C584="MILL","RM",IF(C584="RE SLT","WIP",IF(C584="RM","RM",IF(C584="RM BAL","RM",IF(C584="RM SLT","RM",IF(C584="RR","WIP",IF(C584="SKP","WIP",IF(C584="SLT","WIP",IF(C584="CTL","WIP",IF(C584="RM SLT RUST","RM SLT RUST",0)))))))))))))&amp;"-"&amp;G584&amp;"/"&amp;IF(H584="2B","2B",IF(H584="NO.1","1D",IF(H584="FH","FH",0)))&amp;"-"&amp;IF(J584="",(TEXT(I584,"0.00")),TEXT(J584,"0.00"))&amp;"X"&amp;M584</f>
        <v>RM-304L/1D-2.90X644</v>
      </c>
      <c r="C584" s="173" t="s">
        <v>48</v>
      </c>
      <c r="D584" s="173" t="s">
        <v>48</v>
      </c>
      <c r="E584" s="190" t="s">
        <v>2089</v>
      </c>
      <c r="F584" s="190" t="s">
        <v>2090</v>
      </c>
      <c r="G584" s="173" t="s">
        <v>182</v>
      </c>
      <c r="H584" s="173" t="s">
        <v>127</v>
      </c>
      <c r="I584" s="174">
        <v>2.9</v>
      </c>
      <c r="J584" s="174"/>
      <c r="K584" s="174"/>
      <c r="L584" s="174"/>
      <c r="M584" s="191">
        <v>644</v>
      </c>
      <c r="N584" s="176">
        <v>10.755000000000001</v>
      </c>
      <c r="O584" s="176"/>
      <c r="P584" s="177"/>
      <c r="Q584" s="178"/>
      <c r="R584" s="179"/>
      <c r="S584" s="179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80" t="s">
        <v>1881</v>
      </c>
      <c r="AE584" s="173" t="s">
        <v>69</v>
      </c>
      <c r="AF584" s="181" t="s">
        <v>142</v>
      </c>
      <c r="AG584" s="192" t="s">
        <v>1653</v>
      </c>
      <c r="AH584" s="198"/>
      <c r="AI584" s="181">
        <v>44880</v>
      </c>
      <c r="AJ584" s="181"/>
      <c r="AK584" s="181">
        <f ca="1">TODAY()</f>
        <v>44958</v>
      </c>
      <c r="AL584" s="173">
        <f ca="1">IF(AI584&lt;&gt;0,AK584-AI584,0)</f>
        <v>78</v>
      </c>
      <c r="AM584" s="173" t="str">
        <f>IF(ISNUMBER(X584)=TRUE,AK584-X584,IF(X584="","",(AK584)-(MID(RIGHT(X584,10),4,2)&amp;"/"&amp;LEFT((RIGHT(X584,10)),2)&amp;"/"&amp;RIGHT(X584,4))))</f>
        <v/>
      </c>
      <c r="AN584" s="181"/>
      <c r="AO584" s="190" t="s">
        <v>2088</v>
      </c>
      <c r="AP584" s="176">
        <v>10.755000000000001</v>
      </c>
      <c r="AQ584" s="176">
        <v>10.765000000000001</v>
      </c>
      <c r="AR584" s="176">
        <v>10.79</v>
      </c>
      <c r="AS584" s="176">
        <v>10.795</v>
      </c>
      <c r="AT584" s="173" t="str">
        <f>IF(ISNUMBER(U584)=TRUE,AK584-U584,IF(U584="","",(AK584)-(MID(RIGHT(U584,10),4,2)&amp;"/"&amp;LEFT((RIGHT(U584,10)),2)&amp;"/"&amp;RIGHT(U584,4))))</f>
        <v/>
      </c>
      <c r="AU584" s="173">
        <v>459</v>
      </c>
      <c r="AW584" s="142" t="s">
        <v>123</v>
      </c>
    </row>
    <row r="585" spans="2:49" s="142" customFormat="1" ht="21" customHeight="1" x14ac:dyDescent="0.25">
      <c r="B585" s="173" t="str">
        <f>IF(C585="HOLD RM","HOLD RM",IF(C585="BAL","WIP",IF(C585="HOLD SLT","HOLD SLT",IF(C585="MILL","RM",IF(C585="RE SLT","WIP",IF(C585="RM","RM",IF(C585="RM BAL","RM",IF(C585="RM SLT","RM",IF(C585="RR","WIP",IF(C585="SKP","WIP",IF(C585="SLT","WIP",IF(C585="CTL","WIP",IF(C585="RM SLT RUST","RM SLT RUST",0)))))))))))))&amp;"-"&amp;G585&amp;"/"&amp;IF(H585="2B","2B",IF(H585="NO.1","1D",IF(H585="FH","FH",0)))&amp;"-"&amp;IF(J585="",(TEXT(I585,"0.00")),TEXT(J585,"0.00"))&amp;"X"&amp;M585</f>
        <v>RM-304/1D-3.89X638</v>
      </c>
      <c r="C585" s="173" t="s">
        <v>48</v>
      </c>
      <c r="D585" s="173" t="s">
        <v>48</v>
      </c>
      <c r="E585" s="190" t="s">
        <v>2091</v>
      </c>
      <c r="F585" s="190" t="s">
        <v>2092</v>
      </c>
      <c r="G585" s="173">
        <v>304</v>
      </c>
      <c r="H585" s="173" t="s">
        <v>127</v>
      </c>
      <c r="I585" s="174">
        <v>3.89</v>
      </c>
      <c r="J585" s="174"/>
      <c r="K585" s="174"/>
      <c r="L585" s="174"/>
      <c r="M585" s="191">
        <v>638</v>
      </c>
      <c r="N585" s="176">
        <v>10.37</v>
      </c>
      <c r="O585" s="176"/>
      <c r="P585" s="177"/>
      <c r="Q585" s="178"/>
      <c r="R585" s="179"/>
      <c r="S585" s="179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80" t="s">
        <v>1881</v>
      </c>
      <c r="AE585" s="173" t="s">
        <v>69</v>
      </c>
      <c r="AF585" s="181" t="s">
        <v>142</v>
      </c>
      <c r="AG585" s="192" t="s">
        <v>1887</v>
      </c>
      <c r="AH585" s="198"/>
      <c r="AI585" s="181">
        <v>44880</v>
      </c>
      <c r="AJ585" s="181"/>
      <c r="AK585" s="181">
        <f ca="1">TODAY()</f>
        <v>44958</v>
      </c>
      <c r="AL585" s="173">
        <f ca="1">IF(AI585&lt;&gt;0,AK585-AI585,0)</f>
        <v>78</v>
      </c>
      <c r="AM585" s="173" t="str">
        <f>IF(ISNUMBER(X585)=TRUE,AK585-X585,IF(X585="","",(AK585)-(MID(RIGHT(X585,10),4,2)&amp;"/"&amp;LEFT((RIGHT(X585,10)),2)&amp;"/"&amp;RIGHT(X585,4))))</f>
        <v/>
      </c>
      <c r="AN585" s="181"/>
      <c r="AO585" s="190" t="s">
        <v>2093</v>
      </c>
      <c r="AP585" s="176">
        <v>10.37</v>
      </c>
      <c r="AQ585" s="176">
        <v>10.379999999999999</v>
      </c>
      <c r="AR585" s="176">
        <v>10.404999999999998</v>
      </c>
      <c r="AS585" s="176">
        <v>10.409999999999998</v>
      </c>
      <c r="AT585" s="173" t="str">
        <f>IF(ISNUMBER(U585)=TRUE,AK585-U585,IF(U585="","",(AK585)-(MID(RIGHT(U585,10),4,2)&amp;"/"&amp;LEFT((RIGHT(U585,10)),2)&amp;"/"&amp;RIGHT(U585,4))))</f>
        <v/>
      </c>
      <c r="AU585" s="173">
        <v>459</v>
      </c>
      <c r="AW585" s="142" t="s">
        <v>123</v>
      </c>
    </row>
    <row r="586" spans="2:49" s="142" customFormat="1" ht="21" customHeight="1" x14ac:dyDescent="0.25">
      <c r="B586" s="173" t="str">
        <f>IF(C586="HOLD RM","HOLD RM",IF(C586="BAL","WIP",IF(C586="HOLD SLT","HOLD SLT",IF(C586="MILL","RM",IF(C586="RE SLT","WIP",IF(C586="RM","RM",IF(C586="RM BAL","RM",IF(C586="RM SLT","RM",IF(C586="RR","WIP",IF(C586="SKP","WIP",IF(C586="SLT","WIP",IF(C586="CTL","WIP",IF(C586="RM SLT RUST","RM SLT RUST",0)))))))))))))&amp;"-"&amp;G586&amp;"/"&amp;IF(H586="2B","2B",IF(H586="NO.1","1D",IF(H586="FH","FH",0)))&amp;"-"&amp;IF(J586="",(TEXT(I586,"0.00")),TEXT(J586,"0.00"))&amp;"X"&amp;M586</f>
        <v>RM-304/1D-3.89X639</v>
      </c>
      <c r="C586" s="173" t="s">
        <v>48</v>
      </c>
      <c r="D586" s="173" t="s">
        <v>48</v>
      </c>
      <c r="E586" s="190" t="s">
        <v>2094</v>
      </c>
      <c r="F586" s="190" t="s">
        <v>2095</v>
      </c>
      <c r="G586" s="173">
        <v>304</v>
      </c>
      <c r="H586" s="173" t="s">
        <v>127</v>
      </c>
      <c r="I586" s="174">
        <v>3.89</v>
      </c>
      <c r="J586" s="174"/>
      <c r="K586" s="174"/>
      <c r="L586" s="174"/>
      <c r="M586" s="191">
        <v>639</v>
      </c>
      <c r="N586" s="176">
        <v>10.42</v>
      </c>
      <c r="O586" s="176"/>
      <c r="P586" s="177"/>
      <c r="Q586" s="178"/>
      <c r="R586" s="179"/>
      <c r="S586" s="179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80" t="s">
        <v>1881</v>
      </c>
      <c r="AE586" s="173" t="s">
        <v>69</v>
      </c>
      <c r="AF586" s="181" t="s">
        <v>142</v>
      </c>
      <c r="AG586" s="192" t="s">
        <v>1887</v>
      </c>
      <c r="AH586" s="198"/>
      <c r="AI586" s="181">
        <v>44880</v>
      </c>
      <c r="AJ586" s="181"/>
      <c r="AK586" s="181">
        <f ca="1">TODAY()</f>
        <v>44958</v>
      </c>
      <c r="AL586" s="173">
        <f ca="1">IF(AI586&lt;&gt;0,AK586-AI586,0)</f>
        <v>78</v>
      </c>
      <c r="AM586" s="173" t="str">
        <f>IF(ISNUMBER(X586)=TRUE,AK586-X586,IF(X586="","",(AK586)-(MID(RIGHT(X586,10),4,2)&amp;"/"&amp;LEFT((RIGHT(X586,10)),2)&amp;"/"&amp;RIGHT(X586,4))))</f>
        <v/>
      </c>
      <c r="AN586" s="181"/>
      <c r="AO586" s="190" t="s">
        <v>2093</v>
      </c>
      <c r="AP586" s="176">
        <v>10.42</v>
      </c>
      <c r="AQ586" s="176">
        <v>10.43</v>
      </c>
      <c r="AR586" s="176">
        <v>10.454999999999998</v>
      </c>
      <c r="AS586" s="176">
        <v>10.459999999999999</v>
      </c>
      <c r="AT586" s="173" t="str">
        <f>IF(ISNUMBER(U586)=TRUE,AK586-U586,IF(U586="","",(AK586)-(MID(RIGHT(U586,10),4,2)&amp;"/"&amp;LEFT((RIGHT(U586,10)),2)&amp;"/"&amp;RIGHT(U586,4))))</f>
        <v/>
      </c>
      <c r="AU586" s="173">
        <v>459</v>
      </c>
      <c r="AW586" s="142" t="s">
        <v>123</v>
      </c>
    </row>
    <row r="587" spans="2:49" s="142" customFormat="1" ht="21" customHeight="1" x14ac:dyDescent="0.25">
      <c r="B587" s="173" t="str">
        <f>IF(C587="HOLD RM","HOLD RM",IF(C587="BAL","WIP",IF(C587="HOLD SLT","HOLD SLT",IF(C587="MILL","RM",IF(C587="RE SLT","WIP",IF(C587="RM","RM",IF(C587="RM BAL","RM",IF(C587="RM SLT","RM",IF(C587="RR","WIP",IF(C587="SKP","WIP",IF(C587="SLT","WIP",IF(C587="CTL","WIP",IF(C587="RM SLT RUST","RM SLT RUST",0)))))))))))))&amp;"-"&amp;G587&amp;"/"&amp;IF(H587="2B","2B",IF(H587="NO.1","1D",IF(H587="FH","FH",0)))&amp;"-"&amp;IF(J587="",(TEXT(I587,"0.00")),TEXT(J587,"0.00"))&amp;"X"&amp;M587</f>
        <v>RM-304L/1D-2.89X643</v>
      </c>
      <c r="C587" s="173" t="s">
        <v>48</v>
      </c>
      <c r="D587" s="173" t="s">
        <v>48</v>
      </c>
      <c r="E587" s="190" t="s">
        <v>2096</v>
      </c>
      <c r="F587" s="190" t="s">
        <v>2097</v>
      </c>
      <c r="G587" s="173" t="s">
        <v>182</v>
      </c>
      <c r="H587" s="173" t="s">
        <v>127</v>
      </c>
      <c r="I587" s="174">
        <v>2.89</v>
      </c>
      <c r="J587" s="174"/>
      <c r="K587" s="174"/>
      <c r="L587" s="174"/>
      <c r="M587" s="191">
        <v>643</v>
      </c>
      <c r="N587" s="176">
        <v>10.335000000000001</v>
      </c>
      <c r="O587" s="176"/>
      <c r="P587" s="177"/>
      <c r="Q587" s="178"/>
      <c r="R587" s="179"/>
      <c r="S587" s="179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80" t="s">
        <v>1881</v>
      </c>
      <c r="AE587" s="173" t="s">
        <v>69</v>
      </c>
      <c r="AF587" s="181" t="s">
        <v>142</v>
      </c>
      <c r="AG587" s="192" t="s">
        <v>1653</v>
      </c>
      <c r="AH587" s="198"/>
      <c r="AI587" s="181">
        <v>44880</v>
      </c>
      <c r="AJ587" s="181"/>
      <c r="AK587" s="181">
        <f ca="1">TODAY()</f>
        <v>44958</v>
      </c>
      <c r="AL587" s="173">
        <f ca="1">IF(AI587&lt;&gt;0,AK587-AI587,0)</f>
        <v>78</v>
      </c>
      <c r="AM587" s="173" t="str">
        <f>IF(ISNUMBER(X587)=TRUE,AK587-X587,IF(X587="","",(AK587)-(MID(RIGHT(X587,10),4,2)&amp;"/"&amp;LEFT((RIGHT(X587,10)),2)&amp;"/"&amp;RIGHT(X587,4))))</f>
        <v/>
      </c>
      <c r="AN587" s="181"/>
      <c r="AO587" s="190" t="s">
        <v>2098</v>
      </c>
      <c r="AP587" s="176">
        <v>10.335000000000001</v>
      </c>
      <c r="AQ587" s="176">
        <v>10.345000000000001</v>
      </c>
      <c r="AR587" s="176">
        <v>10.37</v>
      </c>
      <c r="AS587" s="176">
        <v>10.375</v>
      </c>
      <c r="AT587" s="173" t="str">
        <f>IF(ISNUMBER(U587)=TRUE,AK587-U587,IF(U587="","",(AK587)-(MID(RIGHT(U587,10),4,2)&amp;"/"&amp;LEFT((RIGHT(U587,10)),2)&amp;"/"&amp;RIGHT(U587,4))))</f>
        <v/>
      </c>
      <c r="AU587" s="173">
        <v>459</v>
      </c>
      <c r="AW587" s="142" t="s">
        <v>123</v>
      </c>
    </row>
    <row r="588" spans="2:49" s="142" customFormat="1" ht="21" customHeight="1" x14ac:dyDescent="0.25">
      <c r="B588" s="173" t="str">
        <f>IF(C588="HOLD RM","HOLD RM",IF(C588="BAL","WIP",IF(C588="HOLD SLT","HOLD SLT",IF(C588="MILL","RM",IF(C588="RE SLT","WIP",IF(C588="RM","RM",IF(C588="RM BAL","RM",IF(C588="RM SLT","RM",IF(C588="RR","WIP",IF(C588="SKP","WIP",IF(C588="SLT","WIP",IF(C588="CTL","WIP",IF(C588="RM SLT RUST","RM SLT RUST",0)))))))))))))&amp;"-"&amp;G588&amp;"/"&amp;IF(H588="2B","2B",IF(H588="NO.1","1D",IF(H588="FH","FH",0)))&amp;"-"&amp;IF(J588="",(TEXT(I588,"0.00")),TEXT(J588,"0.00"))&amp;"X"&amp;M588</f>
        <v>RM-304L/1D-2.89X642</v>
      </c>
      <c r="C588" s="173" t="s">
        <v>48</v>
      </c>
      <c r="D588" s="173" t="s">
        <v>48</v>
      </c>
      <c r="E588" s="190" t="s">
        <v>2099</v>
      </c>
      <c r="F588" s="190" t="s">
        <v>2100</v>
      </c>
      <c r="G588" s="173" t="s">
        <v>182</v>
      </c>
      <c r="H588" s="173" t="s">
        <v>127</v>
      </c>
      <c r="I588" s="174">
        <v>2.89</v>
      </c>
      <c r="J588" s="174"/>
      <c r="K588" s="174"/>
      <c r="L588" s="174"/>
      <c r="M588" s="191">
        <v>642</v>
      </c>
      <c r="N588" s="176">
        <v>10.36</v>
      </c>
      <c r="O588" s="176"/>
      <c r="P588" s="177"/>
      <c r="Q588" s="178"/>
      <c r="R588" s="179"/>
      <c r="S588" s="179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80" t="s">
        <v>1881</v>
      </c>
      <c r="AE588" s="173" t="s">
        <v>69</v>
      </c>
      <c r="AF588" s="181" t="s">
        <v>142</v>
      </c>
      <c r="AG588" s="192" t="s">
        <v>1653</v>
      </c>
      <c r="AH588" s="198"/>
      <c r="AI588" s="181">
        <v>44880</v>
      </c>
      <c r="AJ588" s="181"/>
      <c r="AK588" s="181">
        <f ca="1">TODAY()</f>
        <v>44958</v>
      </c>
      <c r="AL588" s="173">
        <f ca="1">IF(AI588&lt;&gt;0,AK588-AI588,0)</f>
        <v>78</v>
      </c>
      <c r="AM588" s="173" t="str">
        <f>IF(ISNUMBER(X588)=TRUE,AK588-X588,IF(X588="","",(AK588)-(MID(RIGHT(X588,10),4,2)&amp;"/"&amp;LEFT((RIGHT(X588,10)),2)&amp;"/"&amp;RIGHT(X588,4))))</f>
        <v/>
      </c>
      <c r="AN588" s="181"/>
      <c r="AO588" s="190" t="s">
        <v>2098</v>
      </c>
      <c r="AP588" s="176">
        <v>10.36</v>
      </c>
      <c r="AQ588" s="176">
        <v>10.37</v>
      </c>
      <c r="AR588" s="176">
        <v>10.394999999999998</v>
      </c>
      <c r="AS588" s="176">
        <v>10.399999999999999</v>
      </c>
      <c r="AT588" s="173" t="str">
        <f>IF(ISNUMBER(U588)=TRUE,AK588-U588,IF(U588="","",(AK588)-(MID(RIGHT(U588,10),4,2)&amp;"/"&amp;LEFT((RIGHT(U588,10)),2)&amp;"/"&amp;RIGHT(U588,4))))</f>
        <v/>
      </c>
      <c r="AU588" s="173">
        <v>459</v>
      </c>
      <c r="AW588" s="142" t="s">
        <v>123</v>
      </c>
    </row>
    <row r="589" spans="2:49" s="142" customFormat="1" ht="21" customHeight="1" x14ac:dyDescent="0.25">
      <c r="B589" s="173" t="str">
        <f>IF(C589="HOLD RM","HOLD RM",IF(C589="BAL","WIP",IF(C589="HOLD SLT","HOLD SLT",IF(C589="MILL","RM",IF(C589="RE SLT","WIP",IF(C589="RM","RM",IF(C589="RM BAL","RM",IF(C589="RM SLT","RM",IF(C589="RR","WIP",IF(C589="SKP","WIP",IF(C589="SLT","WIP",IF(C589="CTL","WIP",IF(C589="RM SLT RUST","RM SLT RUST",0)))))))))))))&amp;"-"&amp;G589&amp;"/"&amp;IF(H589="2B","2B",IF(H589="NO.1","1D",IF(H589="FH","FH",0)))&amp;"-"&amp;IF(J589="",(TEXT(I589,"0.00")),TEXT(J589,"0.00"))&amp;"X"&amp;M589</f>
        <v>RM-304L/1D-2.99X643</v>
      </c>
      <c r="C589" s="173" t="s">
        <v>48</v>
      </c>
      <c r="D589" s="173" t="s">
        <v>48</v>
      </c>
      <c r="E589" s="190" t="s">
        <v>2101</v>
      </c>
      <c r="F589" s="190" t="s">
        <v>2102</v>
      </c>
      <c r="G589" s="173" t="s">
        <v>182</v>
      </c>
      <c r="H589" s="173" t="s">
        <v>127</v>
      </c>
      <c r="I589" s="174">
        <v>2.99</v>
      </c>
      <c r="J589" s="174"/>
      <c r="K589" s="174"/>
      <c r="L589" s="174"/>
      <c r="M589" s="191">
        <v>643</v>
      </c>
      <c r="N589" s="176">
        <v>10.565</v>
      </c>
      <c r="O589" s="176"/>
      <c r="P589" s="177"/>
      <c r="Q589" s="178"/>
      <c r="R589" s="179"/>
      <c r="S589" s="179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80" t="s">
        <v>1898</v>
      </c>
      <c r="AE589" s="173" t="s">
        <v>69</v>
      </c>
      <c r="AF589" s="181" t="s">
        <v>142</v>
      </c>
      <c r="AG589" s="192" t="s">
        <v>1653</v>
      </c>
      <c r="AH589" s="198"/>
      <c r="AI589" s="181">
        <v>44880</v>
      </c>
      <c r="AJ589" s="181"/>
      <c r="AK589" s="181">
        <f ca="1">TODAY()</f>
        <v>44958</v>
      </c>
      <c r="AL589" s="173">
        <f ca="1">IF(AI589&lt;&gt;0,AK589-AI589,0)</f>
        <v>78</v>
      </c>
      <c r="AM589" s="173" t="str">
        <f>IF(ISNUMBER(X589)=TRUE,AK589-X589,IF(X589="","",(AK589)-(MID(RIGHT(X589,10),4,2)&amp;"/"&amp;LEFT((RIGHT(X589,10)),2)&amp;"/"&amp;RIGHT(X589,4))))</f>
        <v/>
      </c>
      <c r="AN589" s="181"/>
      <c r="AO589" s="190" t="s">
        <v>2103</v>
      </c>
      <c r="AP589" s="176">
        <v>10.565</v>
      </c>
      <c r="AQ589" s="176">
        <v>10.574999999999999</v>
      </c>
      <c r="AR589" s="176">
        <v>10.599999999999998</v>
      </c>
      <c r="AS589" s="176">
        <v>10.604999999999999</v>
      </c>
      <c r="AT589" s="173" t="str">
        <f>IF(ISNUMBER(U589)=TRUE,AK589-U589,IF(U589="","",(AK589)-(MID(RIGHT(U589,10),4,2)&amp;"/"&amp;LEFT((RIGHT(U589,10)),2)&amp;"/"&amp;RIGHT(U589,4))))</f>
        <v/>
      </c>
      <c r="AU589" s="173">
        <v>459</v>
      </c>
      <c r="AW589" s="142" t="s">
        <v>123</v>
      </c>
    </row>
    <row r="590" spans="2:49" s="142" customFormat="1" ht="21" customHeight="1" x14ac:dyDescent="0.25">
      <c r="B590" s="173" t="str">
        <f>IF(C590="HOLD RM","HOLD RM",IF(C590="BAL","WIP",IF(C590="HOLD SLT","HOLD SLT",IF(C590="MILL","RM",IF(C590="RE SLT","WIP",IF(C590="RM","RM",IF(C590="RM BAL","RM",IF(C590="RM SLT","RM",IF(C590="RR","WIP",IF(C590="SKP","WIP",IF(C590="SLT","WIP",IF(C590="CTL","WIP",IF(C590="RM SLT RUST","RM SLT RUST",0)))))))))))))&amp;"-"&amp;G590&amp;"/"&amp;IF(H590="2B","2B",IF(H590="NO.1","1D",IF(H590="FH","FH",0)))&amp;"-"&amp;IF(J590="",(TEXT(I590,"0.00")),TEXT(J590,"0.00"))&amp;"X"&amp;M590</f>
        <v>RM-304L/1D-2.99X643</v>
      </c>
      <c r="C590" s="173" t="s">
        <v>48</v>
      </c>
      <c r="D590" s="173" t="s">
        <v>48</v>
      </c>
      <c r="E590" s="190" t="s">
        <v>2104</v>
      </c>
      <c r="F590" s="190" t="s">
        <v>2105</v>
      </c>
      <c r="G590" s="173" t="s">
        <v>182</v>
      </c>
      <c r="H590" s="173" t="s">
        <v>127</v>
      </c>
      <c r="I590" s="174">
        <v>2.99</v>
      </c>
      <c r="J590" s="174"/>
      <c r="K590" s="174"/>
      <c r="L590" s="174"/>
      <c r="M590" s="191">
        <v>643</v>
      </c>
      <c r="N590" s="176">
        <v>10.54</v>
      </c>
      <c r="O590" s="176"/>
      <c r="P590" s="177"/>
      <c r="Q590" s="178"/>
      <c r="R590" s="179"/>
      <c r="S590" s="179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80" t="s">
        <v>1898</v>
      </c>
      <c r="AE590" s="173" t="s">
        <v>69</v>
      </c>
      <c r="AF590" s="181" t="s">
        <v>142</v>
      </c>
      <c r="AG590" s="192" t="s">
        <v>1653</v>
      </c>
      <c r="AH590" s="198"/>
      <c r="AI590" s="181">
        <v>44880</v>
      </c>
      <c r="AJ590" s="181"/>
      <c r="AK590" s="181">
        <f ca="1">TODAY()</f>
        <v>44958</v>
      </c>
      <c r="AL590" s="173">
        <f ca="1">IF(AI590&lt;&gt;0,AK590-AI590,0)</f>
        <v>78</v>
      </c>
      <c r="AM590" s="173" t="str">
        <f>IF(ISNUMBER(X590)=TRUE,AK590-X590,IF(X590="","",(AK590)-(MID(RIGHT(X590,10),4,2)&amp;"/"&amp;LEFT((RIGHT(X590,10)),2)&amp;"/"&amp;RIGHT(X590,4))))</f>
        <v/>
      </c>
      <c r="AN590" s="181"/>
      <c r="AO590" s="190" t="s">
        <v>2103</v>
      </c>
      <c r="AP590" s="176">
        <v>10.54</v>
      </c>
      <c r="AQ590" s="176">
        <v>10.549999999999999</v>
      </c>
      <c r="AR590" s="176">
        <v>10.574999999999998</v>
      </c>
      <c r="AS590" s="176">
        <v>10.579999999999998</v>
      </c>
      <c r="AT590" s="173" t="str">
        <f>IF(ISNUMBER(U590)=TRUE,AK590-U590,IF(U590="","",(AK590)-(MID(RIGHT(U590,10),4,2)&amp;"/"&amp;LEFT((RIGHT(U590,10)),2)&amp;"/"&amp;RIGHT(U590,4))))</f>
        <v/>
      </c>
      <c r="AU590" s="173">
        <v>459</v>
      </c>
      <c r="AW590" s="142" t="s">
        <v>123</v>
      </c>
    </row>
    <row r="591" spans="2:49" s="142" customFormat="1" ht="21" customHeight="1" x14ac:dyDescent="0.25">
      <c r="B591" s="173" t="str">
        <f>IF(C591="HOLD RM","HOLD RM",IF(C591="BAL","WIP",IF(C591="HOLD SLT","HOLD SLT",IF(C591="MILL","RM",IF(C591="RE SLT","WIP",IF(C591="RM","RM",IF(C591="RM BAL","RM",IF(C591="RM SLT","RM",IF(C591="RR","WIP",IF(C591="SKP","WIP",IF(C591="SLT","WIP",IF(C591="CTL","WIP",IF(C591="RM SLT RUST","RM SLT RUST",0)))))))))))))&amp;"-"&amp;G591&amp;"/"&amp;IF(H591="2B","2B",IF(H591="NO.1","1D",IF(H591="FH","FH",0)))&amp;"-"&amp;IF(J591="",(TEXT(I591,"0.00")),TEXT(J591,"0.00"))&amp;"X"&amp;M591</f>
        <v>RM-304L/1D-3.80X642</v>
      </c>
      <c r="C591" s="173" t="s">
        <v>48</v>
      </c>
      <c r="D591" s="173" t="s">
        <v>48</v>
      </c>
      <c r="E591" s="190" t="s">
        <v>2106</v>
      </c>
      <c r="F591" s="190" t="s">
        <v>2107</v>
      </c>
      <c r="G591" s="173" t="s">
        <v>182</v>
      </c>
      <c r="H591" s="173" t="s">
        <v>127</v>
      </c>
      <c r="I591" s="174">
        <v>3.8</v>
      </c>
      <c r="J591" s="174"/>
      <c r="K591" s="174"/>
      <c r="L591" s="174"/>
      <c r="M591" s="191">
        <v>642</v>
      </c>
      <c r="N591" s="176">
        <v>10.48</v>
      </c>
      <c r="O591" s="176"/>
      <c r="P591" s="177"/>
      <c r="Q591" s="178"/>
      <c r="R591" s="179"/>
      <c r="S591" s="179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80" t="s">
        <v>1898</v>
      </c>
      <c r="AE591" s="173" t="s">
        <v>69</v>
      </c>
      <c r="AF591" s="181" t="s">
        <v>142</v>
      </c>
      <c r="AG591" s="192" t="s">
        <v>1653</v>
      </c>
      <c r="AH591" s="198"/>
      <c r="AI591" s="181">
        <v>44880</v>
      </c>
      <c r="AJ591" s="181"/>
      <c r="AK591" s="181">
        <f ca="1">TODAY()</f>
        <v>44958</v>
      </c>
      <c r="AL591" s="173">
        <f ca="1">IF(AI591&lt;&gt;0,AK591-AI591,0)</f>
        <v>78</v>
      </c>
      <c r="AM591" s="173" t="str">
        <f>IF(ISNUMBER(X591)=TRUE,AK591-X591,IF(X591="","",(AK591)-(MID(RIGHT(X591,10),4,2)&amp;"/"&amp;LEFT((RIGHT(X591,10)),2)&amp;"/"&amp;RIGHT(X591,4))))</f>
        <v/>
      </c>
      <c r="AN591" s="181"/>
      <c r="AO591" s="190" t="s">
        <v>2108</v>
      </c>
      <c r="AP591" s="176">
        <v>10.48</v>
      </c>
      <c r="AQ591" s="176">
        <v>10.49</v>
      </c>
      <c r="AR591" s="176">
        <v>10.514999999999999</v>
      </c>
      <c r="AS591" s="176">
        <v>10.52</v>
      </c>
      <c r="AT591" s="173" t="str">
        <f>IF(ISNUMBER(U591)=TRUE,AK591-U591,IF(U591="","",(AK591)-(MID(RIGHT(U591,10),4,2)&amp;"/"&amp;LEFT((RIGHT(U591,10)),2)&amp;"/"&amp;RIGHT(U591,4))))</f>
        <v/>
      </c>
      <c r="AU591" s="173">
        <v>459</v>
      </c>
      <c r="AW591" s="142" t="s">
        <v>123</v>
      </c>
    </row>
    <row r="592" spans="2:49" s="142" customFormat="1" ht="21" customHeight="1" x14ac:dyDescent="0.25">
      <c r="B592" s="173" t="str">
        <f>IF(C592="HOLD RM","HOLD RM",IF(C592="BAL","WIP",IF(C592="HOLD SLT","HOLD SLT",IF(C592="MILL","RM",IF(C592="RE SLT","WIP",IF(C592="RM","RM",IF(C592="RM BAL","RM",IF(C592="RM SLT","RM",IF(C592="RR","WIP",IF(C592="SKP","WIP",IF(C592="SLT","WIP",IF(C592="CTL","WIP",IF(C592="RM SLT RUST","RM SLT RUST",0)))))))))))))&amp;"-"&amp;G592&amp;"/"&amp;IF(H592="2B","2B",IF(H592="NO.1","1D",IF(H592="FH","FH",0)))&amp;"-"&amp;IF(J592="",(TEXT(I592,"0.00")),TEXT(J592,"0.00"))&amp;"X"&amp;M592</f>
        <v>RM-304L/1D-3.80X642</v>
      </c>
      <c r="C592" s="173" t="s">
        <v>48</v>
      </c>
      <c r="D592" s="173" t="s">
        <v>48</v>
      </c>
      <c r="E592" s="190" t="s">
        <v>2109</v>
      </c>
      <c r="F592" s="190" t="s">
        <v>2110</v>
      </c>
      <c r="G592" s="173" t="s">
        <v>182</v>
      </c>
      <c r="H592" s="173" t="s">
        <v>127</v>
      </c>
      <c r="I592" s="174">
        <v>3.8</v>
      </c>
      <c r="J592" s="174"/>
      <c r="K592" s="174"/>
      <c r="L592" s="174"/>
      <c r="M592" s="191">
        <v>642</v>
      </c>
      <c r="N592" s="176">
        <v>10.515000000000001</v>
      </c>
      <c r="O592" s="176"/>
      <c r="P592" s="177"/>
      <c r="Q592" s="178"/>
      <c r="R592" s="179"/>
      <c r="S592" s="179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80" t="s">
        <v>1898</v>
      </c>
      <c r="AE592" s="173" t="s">
        <v>69</v>
      </c>
      <c r="AF592" s="181" t="s">
        <v>142</v>
      </c>
      <c r="AG592" s="192" t="s">
        <v>1653</v>
      </c>
      <c r="AH592" s="198"/>
      <c r="AI592" s="181">
        <v>44880</v>
      </c>
      <c r="AJ592" s="181"/>
      <c r="AK592" s="181">
        <f ca="1">TODAY()</f>
        <v>44958</v>
      </c>
      <c r="AL592" s="173">
        <f ca="1">IF(AI592&lt;&gt;0,AK592-AI592,0)</f>
        <v>78</v>
      </c>
      <c r="AM592" s="173" t="str">
        <f>IF(ISNUMBER(X592)=TRUE,AK592-X592,IF(X592="","",(AK592)-(MID(RIGHT(X592,10),4,2)&amp;"/"&amp;LEFT((RIGHT(X592,10)),2)&amp;"/"&amp;RIGHT(X592,4))))</f>
        <v/>
      </c>
      <c r="AN592" s="181"/>
      <c r="AO592" s="190" t="s">
        <v>2108</v>
      </c>
      <c r="AP592" s="176">
        <v>10.515000000000001</v>
      </c>
      <c r="AQ592" s="176">
        <v>10.525</v>
      </c>
      <c r="AR592" s="176">
        <v>10.549999999999999</v>
      </c>
      <c r="AS592" s="176">
        <v>10.555</v>
      </c>
      <c r="AT592" s="173" t="str">
        <f>IF(ISNUMBER(U592)=TRUE,AK592-U592,IF(U592="","",(AK592)-(MID(RIGHT(U592,10),4,2)&amp;"/"&amp;LEFT((RIGHT(U592,10)),2)&amp;"/"&amp;RIGHT(U592,4))))</f>
        <v/>
      </c>
      <c r="AU592" s="173">
        <v>459</v>
      </c>
      <c r="AW592" s="142" t="s">
        <v>123</v>
      </c>
    </row>
    <row r="593" spans="2:49" s="142" customFormat="1" ht="21" customHeight="1" x14ac:dyDescent="0.25">
      <c r="B593" s="173" t="str">
        <f>IF(C593="HOLD RM","HOLD RM",IF(C593="BAL","WIP",IF(C593="HOLD SLT","HOLD SLT",IF(C593="MILL","RM",IF(C593="RE SLT","WIP",IF(C593="RM","RM",IF(C593="RM BAL","RM",IF(C593="RM SLT","RM",IF(C593="RR","WIP",IF(C593="SKP","WIP",IF(C593="SLT","WIP",IF(C593="CTL","WIP",IF(C593="RM SLT RUST","RM SLT RUST",0)))))))))))))&amp;"-"&amp;G593&amp;"/"&amp;IF(H593="2B","2B",IF(H593="NO.1","1D",IF(H593="FH","FH",0)))&amp;"-"&amp;IF(J593="",(TEXT(I593,"0.00")),TEXT(J593,"0.00"))&amp;"X"&amp;M593</f>
        <v>RM-304/1D-2.49X643</v>
      </c>
      <c r="C593" s="173" t="s">
        <v>48</v>
      </c>
      <c r="D593" s="173" t="s">
        <v>48</v>
      </c>
      <c r="E593" s="190" t="s">
        <v>2111</v>
      </c>
      <c r="F593" s="190" t="s">
        <v>2112</v>
      </c>
      <c r="G593" s="173">
        <v>304</v>
      </c>
      <c r="H593" s="173" t="s">
        <v>127</v>
      </c>
      <c r="I593" s="174">
        <v>2.4900000000000002</v>
      </c>
      <c r="J593" s="174"/>
      <c r="K593" s="174"/>
      <c r="L593" s="174"/>
      <c r="M593" s="191">
        <v>643</v>
      </c>
      <c r="N593" s="176">
        <v>10.595000000000001</v>
      </c>
      <c r="O593" s="176"/>
      <c r="P593" s="177"/>
      <c r="Q593" s="178"/>
      <c r="R593" s="179"/>
      <c r="S593" s="179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80" t="s">
        <v>1881</v>
      </c>
      <c r="AE593" s="173" t="s">
        <v>69</v>
      </c>
      <c r="AF593" s="181" t="s">
        <v>142</v>
      </c>
      <c r="AG593" s="192" t="s">
        <v>1653</v>
      </c>
      <c r="AH593" s="198"/>
      <c r="AI593" s="181">
        <v>44880</v>
      </c>
      <c r="AJ593" s="181"/>
      <c r="AK593" s="181">
        <f ca="1">TODAY()</f>
        <v>44958</v>
      </c>
      <c r="AL593" s="173">
        <f ca="1">IF(AI593&lt;&gt;0,AK593-AI593,0)</f>
        <v>78</v>
      </c>
      <c r="AM593" s="173" t="str">
        <f>IF(ISNUMBER(X593)=TRUE,AK593-X593,IF(X593="","",(AK593)-(MID(RIGHT(X593,10),4,2)&amp;"/"&amp;LEFT((RIGHT(X593,10)),2)&amp;"/"&amp;RIGHT(X593,4))))</f>
        <v/>
      </c>
      <c r="AN593" s="181"/>
      <c r="AO593" s="190" t="s">
        <v>2113</v>
      </c>
      <c r="AP593" s="176">
        <v>10.595000000000001</v>
      </c>
      <c r="AQ593" s="176">
        <v>10.605</v>
      </c>
      <c r="AR593" s="176">
        <v>10.629999999999999</v>
      </c>
      <c r="AS593" s="176">
        <v>10.635</v>
      </c>
      <c r="AT593" s="173" t="str">
        <f>IF(ISNUMBER(U593)=TRUE,AK593-U593,IF(U593="","",(AK593)-(MID(RIGHT(U593,10),4,2)&amp;"/"&amp;LEFT((RIGHT(U593,10)),2)&amp;"/"&amp;RIGHT(U593,4))))</f>
        <v/>
      </c>
      <c r="AU593" s="173">
        <v>459</v>
      </c>
      <c r="AW593" s="142" t="s">
        <v>123</v>
      </c>
    </row>
    <row r="594" spans="2:49" s="142" customFormat="1" ht="21" customHeight="1" x14ac:dyDescent="0.25">
      <c r="B594" s="173" t="str">
        <f>IF(C594="HOLD RM","HOLD RM",IF(C594="BAL","WIP",IF(C594="HOLD SLT","HOLD SLT",IF(C594="MILL","RM",IF(C594="RE SLT","WIP",IF(C594="RM","RM",IF(C594="RM BAL","RM",IF(C594="RM SLT","RM",IF(C594="RR","WIP",IF(C594="SKP","WIP",IF(C594="SLT","WIP",IF(C594="CTL","WIP",IF(C594="RM SLT RUST","RM SLT RUST",0)))))))))))))&amp;"-"&amp;G594&amp;"/"&amp;IF(H594="2B","2B",IF(H594="NO.1","1D",IF(H594="FH","FH",0)))&amp;"-"&amp;IF(J594="",(TEXT(I594,"0.00")),TEXT(J594,"0.00"))&amp;"X"&amp;M594</f>
        <v>RM-304/1D-2.49X643</v>
      </c>
      <c r="C594" s="173" t="s">
        <v>48</v>
      </c>
      <c r="D594" s="173" t="s">
        <v>48</v>
      </c>
      <c r="E594" s="190" t="s">
        <v>2114</v>
      </c>
      <c r="F594" s="190" t="s">
        <v>2115</v>
      </c>
      <c r="G594" s="173">
        <v>304</v>
      </c>
      <c r="H594" s="173" t="s">
        <v>127</v>
      </c>
      <c r="I594" s="174">
        <v>2.4900000000000002</v>
      </c>
      <c r="J594" s="174"/>
      <c r="K594" s="174"/>
      <c r="L594" s="174"/>
      <c r="M594" s="191">
        <v>643</v>
      </c>
      <c r="N594" s="176">
        <v>10.615</v>
      </c>
      <c r="O594" s="176"/>
      <c r="P594" s="177"/>
      <c r="Q594" s="178"/>
      <c r="R594" s="179"/>
      <c r="S594" s="179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80" t="s">
        <v>1881</v>
      </c>
      <c r="AE594" s="173" t="s">
        <v>69</v>
      </c>
      <c r="AF594" s="181" t="s">
        <v>142</v>
      </c>
      <c r="AG594" s="192" t="s">
        <v>1653</v>
      </c>
      <c r="AH594" s="198"/>
      <c r="AI594" s="181">
        <v>44880</v>
      </c>
      <c r="AJ594" s="181"/>
      <c r="AK594" s="181">
        <f ca="1">TODAY()</f>
        <v>44958</v>
      </c>
      <c r="AL594" s="173">
        <f ca="1">IF(AI594&lt;&gt;0,AK594-AI594,0)</f>
        <v>78</v>
      </c>
      <c r="AM594" s="173" t="str">
        <f>IF(ISNUMBER(X594)=TRUE,AK594-X594,IF(X594="","",(AK594)-(MID(RIGHT(X594,10),4,2)&amp;"/"&amp;LEFT((RIGHT(X594,10)),2)&amp;"/"&amp;RIGHT(X594,4))))</f>
        <v/>
      </c>
      <c r="AN594" s="181"/>
      <c r="AO594" s="190" t="s">
        <v>2113</v>
      </c>
      <c r="AP594" s="176">
        <v>10.615</v>
      </c>
      <c r="AQ594" s="176">
        <v>10.625</v>
      </c>
      <c r="AR594" s="176">
        <v>10.649999999999999</v>
      </c>
      <c r="AS594" s="176">
        <v>10.654999999999999</v>
      </c>
      <c r="AT594" s="173" t="str">
        <f>IF(ISNUMBER(U594)=TRUE,AK594-U594,IF(U594="","",(AK594)-(MID(RIGHT(U594,10),4,2)&amp;"/"&amp;LEFT((RIGHT(U594,10)),2)&amp;"/"&amp;RIGHT(U594,4))))</f>
        <v/>
      </c>
      <c r="AU594" s="173">
        <v>459</v>
      </c>
      <c r="AW594" s="142" t="s">
        <v>123</v>
      </c>
    </row>
    <row r="595" spans="2:49" s="142" customFormat="1" ht="21" customHeight="1" x14ac:dyDescent="0.25">
      <c r="B595" s="173" t="str">
        <f>IF(C595="HOLD RM","HOLD RM",IF(C595="BAL","WIP",IF(C595="HOLD SLT","HOLD SLT",IF(C595="MILL","RM",IF(C595="RE SLT","WIP",IF(C595="RM","RM",IF(C595="RM BAL","RM",IF(C595="RM SLT","RM",IF(C595="RR","WIP",IF(C595="SKP","WIP",IF(C595="SLT","WIP",IF(C595="CTL","WIP",IF(C595="RM SLT RUST","RM SLT RUST",0)))))))))))))&amp;"-"&amp;G595&amp;"/"&amp;IF(H595="2B","2B",IF(H595="NO.1","1D",IF(H595="FH","FH",0)))&amp;"-"&amp;IF(J595="",(TEXT(I595,"0.00")),TEXT(J595,"0.00"))&amp;"X"&amp;M595</f>
        <v>RM-304L/1D-3.89X639</v>
      </c>
      <c r="C595" s="173" t="s">
        <v>48</v>
      </c>
      <c r="D595" s="173" t="s">
        <v>48</v>
      </c>
      <c r="E595" s="190" t="s">
        <v>2116</v>
      </c>
      <c r="F595" s="190" t="s">
        <v>2117</v>
      </c>
      <c r="G595" s="173" t="s">
        <v>182</v>
      </c>
      <c r="H595" s="173" t="s">
        <v>127</v>
      </c>
      <c r="I595" s="174">
        <v>3.89</v>
      </c>
      <c r="J595" s="174"/>
      <c r="K595" s="174"/>
      <c r="L595" s="174"/>
      <c r="M595" s="191">
        <v>639</v>
      </c>
      <c r="N595" s="176">
        <v>10.49</v>
      </c>
      <c r="O595" s="176"/>
      <c r="P595" s="177"/>
      <c r="Q595" s="178"/>
      <c r="R595" s="179"/>
      <c r="S595" s="179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80" t="s">
        <v>1881</v>
      </c>
      <c r="AE595" s="173" t="s">
        <v>69</v>
      </c>
      <c r="AF595" s="181" t="s">
        <v>142</v>
      </c>
      <c r="AG595" s="192" t="s">
        <v>1653</v>
      </c>
      <c r="AH595" s="198"/>
      <c r="AI595" s="181">
        <v>44880</v>
      </c>
      <c r="AJ595" s="181"/>
      <c r="AK595" s="181">
        <f ca="1">TODAY()</f>
        <v>44958</v>
      </c>
      <c r="AL595" s="173">
        <f ca="1">IF(AI595&lt;&gt;0,AK595-AI595,0)</f>
        <v>78</v>
      </c>
      <c r="AM595" s="173" t="str">
        <f>IF(ISNUMBER(X595)=TRUE,AK595-X595,IF(X595="","",(AK595)-(MID(RIGHT(X595,10),4,2)&amp;"/"&amp;LEFT((RIGHT(X595,10)),2)&amp;"/"&amp;RIGHT(X595,4))))</f>
        <v/>
      </c>
      <c r="AN595" s="181"/>
      <c r="AO595" s="190" t="s">
        <v>2118</v>
      </c>
      <c r="AP595" s="176">
        <v>10.49</v>
      </c>
      <c r="AQ595" s="176">
        <v>10.5</v>
      </c>
      <c r="AR595" s="176">
        <v>10.524999999999999</v>
      </c>
      <c r="AS595" s="176">
        <v>10.53</v>
      </c>
      <c r="AT595" s="173" t="str">
        <f>IF(ISNUMBER(U595)=TRUE,AK595-U595,IF(U595="","",(AK595)-(MID(RIGHT(U595,10),4,2)&amp;"/"&amp;LEFT((RIGHT(U595,10)),2)&amp;"/"&amp;RIGHT(U595,4))))</f>
        <v/>
      </c>
      <c r="AU595" s="173">
        <v>459</v>
      </c>
      <c r="AW595" s="142" t="s">
        <v>123</v>
      </c>
    </row>
    <row r="596" spans="2:49" s="142" customFormat="1" ht="21" customHeight="1" x14ac:dyDescent="0.25">
      <c r="B596" s="173" t="str">
        <f>IF(C596="HOLD RM","HOLD RM",IF(C596="BAL","WIP",IF(C596="HOLD SLT","HOLD SLT",IF(C596="MILL","RM",IF(C596="RE SLT","WIP",IF(C596="RM","RM",IF(C596="RM BAL","RM",IF(C596="RM SLT","RM",IF(C596="RR","WIP",IF(C596="SKP","WIP",IF(C596="SLT","WIP",IF(C596="CTL","WIP",IF(C596="RM SLT RUST","RM SLT RUST",0)))))))))))))&amp;"-"&amp;G596&amp;"/"&amp;IF(H596="2B","2B",IF(H596="NO.1","1D",IF(H596="FH","FH",0)))&amp;"-"&amp;IF(J596="",(TEXT(I596,"0.00")),TEXT(J596,"0.00"))&amp;"X"&amp;M596</f>
        <v>RM-304L/1D-3.89X639</v>
      </c>
      <c r="C596" s="173" t="s">
        <v>48</v>
      </c>
      <c r="D596" s="173" t="s">
        <v>48</v>
      </c>
      <c r="E596" s="190" t="s">
        <v>2119</v>
      </c>
      <c r="F596" s="190" t="s">
        <v>2120</v>
      </c>
      <c r="G596" s="173" t="s">
        <v>182</v>
      </c>
      <c r="H596" s="173" t="s">
        <v>127</v>
      </c>
      <c r="I596" s="174">
        <v>3.89</v>
      </c>
      <c r="J596" s="174"/>
      <c r="K596" s="174"/>
      <c r="L596" s="174"/>
      <c r="M596" s="191">
        <v>639</v>
      </c>
      <c r="N596" s="176">
        <v>10.475</v>
      </c>
      <c r="O596" s="176"/>
      <c r="P596" s="177"/>
      <c r="Q596" s="178"/>
      <c r="R596" s="179"/>
      <c r="S596" s="179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80" t="s">
        <v>1881</v>
      </c>
      <c r="AE596" s="173" t="s">
        <v>69</v>
      </c>
      <c r="AF596" s="181" t="s">
        <v>142</v>
      </c>
      <c r="AG596" s="192" t="s">
        <v>1653</v>
      </c>
      <c r="AH596" s="198"/>
      <c r="AI596" s="181">
        <v>44880</v>
      </c>
      <c r="AJ596" s="181"/>
      <c r="AK596" s="181">
        <f ca="1">TODAY()</f>
        <v>44958</v>
      </c>
      <c r="AL596" s="173">
        <f ca="1">IF(AI596&lt;&gt;0,AK596-AI596,0)</f>
        <v>78</v>
      </c>
      <c r="AM596" s="173" t="str">
        <f>IF(ISNUMBER(X596)=TRUE,AK596-X596,IF(X596="","",(AK596)-(MID(RIGHT(X596,10),4,2)&amp;"/"&amp;LEFT((RIGHT(X596,10)),2)&amp;"/"&amp;RIGHT(X596,4))))</f>
        <v/>
      </c>
      <c r="AN596" s="181"/>
      <c r="AO596" s="190" t="s">
        <v>2118</v>
      </c>
      <c r="AP596" s="176">
        <v>10.475</v>
      </c>
      <c r="AQ596" s="176">
        <v>10.484999999999999</v>
      </c>
      <c r="AR596" s="176">
        <v>10.509999999999998</v>
      </c>
      <c r="AS596" s="176">
        <v>10.514999999999999</v>
      </c>
      <c r="AT596" s="173" t="str">
        <f>IF(ISNUMBER(U596)=TRUE,AK596-U596,IF(U596="","",(AK596)-(MID(RIGHT(U596,10),4,2)&amp;"/"&amp;LEFT((RIGHT(U596,10)),2)&amp;"/"&amp;RIGHT(U596,4))))</f>
        <v/>
      </c>
      <c r="AU596" s="173">
        <v>459</v>
      </c>
      <c r="AW596" s="142" t="s">
        <v>123</v>
      </c>
    </row>
    <row r="597" spans="2:49" s="142" customFormat="1" ht="21" customHeight="1" x14ac:dyDescent="0.25">
      <c r="B597" s="173" t="str">
        <f>IF(C597="HOLD RM","HOLD RM",IF(C597="BAL","WIP",IF(C597="HOLD SLT","HOLD SLT",IF(C597="MILL","RM",IF(C597="RE SLT","WIP",IF(C597="RM","RM",IF(C597="RM BAL","RM",IF(C597="RM SLT","RM",IF(C597="RR","WIP",IF(C597="SKP","WIP",IF(C597="SLT","WIP",IF(C597="CTL","WIP",IF(C597="RM SLT RUST","RM SLT RUST",0)))))))))))))&amp;"-"&amp;G597&amp;"/"&amp;IF(H597="2B","2B",IF(H597="NO.1","1D",IF(H597="FH","FH",0)))&amp;"-"&amp;IF(J597="",(TEXT(I597,"0.00")),TEXT(J597,"0.00"))&amp;"X"&amp;M597</f>
        <v>RM-304/1D-3.88X638</v>
      </c>
      <c r="C597" s="173" t="s">
        <v>48</v>
      </c>
      <c r="D597" s="173" t="s">
        <v>48</v>
      </c>
      <c r="E597" s="190" t="s">
        <v>2121</v>
      </c>
      <c r="F597" s="190" t="s">
        <v>2122</v>
      </c>
      <c r="G597" s="173">
        <v>304</v>
      </c>
      <c r="H597" s="173" t="s">
        <v>127</v>
      </c>
      <c r="I597" s="174">
        <v>3.88</v>
      </c>
      <c r="J597" s="174"/>
      <c r="K597" s="174"/>
      <c r="L597" s="174"/>
      <c r="M597" s="191">
        <v>638</v>
      </c>
      <c r="N597" s="176">
        <v>10.48</v>
      </c>
      <c r="O597" s="176"/>
      <c r="P597" s="177"/>
      <c r="Q597" s="178"/>
      <c r="R597" s="179"/>
      <c r="S597" s="179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80" t="s">
        <v>1881</v>
      </c>
      <c r="AE597" s="173" t="s">
        <v>69</v>
      </c>
      <c r="AF597" s="181" t="s">
        <v>142</v>
      </c>
      <c r="AG597" s="192" t="s">
        <v>1653</v>
      </c>
      <c r="AH597" s="198"/>
      <c r="AI597" s="181">
        <v>44880</v>
      </c>
      <c r="AJ597" s="181"/>
      <c r="AK597" s="181">
        <f ca="1">TODAY()</f>
        <v>44958</v>
      </c>
      <c r="AL597" s="173">
        <f ca="1">IF(AI597&lt;&gt;0,AK597-AI597,0)</f>
        <v>78</v>
      </c>
      <c r="AM597" s="173" t="str">
        <f>IF(ISNUMBER(X597)=TRUE,AK597-X597,IF(X597="","",(AK597)-(MID(RIGHT(X597,10),4,2)&amp;"/"&amp;LEFT((RIGHT(X597,10)),2)&amp;"/"&amp;RIGHT(X597,4))))</f>
        <v/>
      </c>
      <c r="AN597" s="181"/>
      <c r="AO597" s="190" t="s">
        <v>2123</v>
      </c>
      <c r="AP597" s="176">
        <v>10.48</v>
      </c>
      <c r="AQ597" s="176">
        <v>10.49</v>
      </c>
      <c r="AR597" s="176">
        <v>10.514999999999999</v>
      </c>
      <c r="AS597" s="176">
        <v>10.52</v>
      </c>
      <c r="AT597" s="173" t="str">
        <f>IF(ISNUMBER(U597)=TRUE,AK597-U597,IF(U597="","",(AK597)-(MID(RIGHT(U597,10),4,2)&amp;"/"&amp;LEFT((RIGHT(U597,10)),2)&amp;"/"&amp;RIGHT(U597,4))))</f>
        <v/>
      </c>
      <c r="AU597" s="173">
        <v>459</v>
      </c>
      <c r="AW597" s="142" t="s">
        <v>123</v>
      </c>
    </row>
    <row r="598" spans="2:49" s="142" customFormat="1" ht="21" customHeight="1" x14ac:dyDescent="0.25">
      <c r="B598" s="173" t="str">
        <f>IF(C598="HOLD RM","HOLD RM",IF(C598="BAL","WIP",IF(C598="HOLD SLT","HOLD SLT",IF(C598="MILL","RM",IF(C598="RE SLT","WIP",IF(C598="RM","RM",IF(C598="RM BAL","RM",IF(C598="RM SLT","RM",IF(C598="RR","WIP",IF(C598="SKP","WIP",IF(C598="SLT","WIP",IF(C598="CTL","WIP",IF(C598="RM SLT RUST","RM SLT RUST",0)))))))))))))&amp;"-"&amp;G598&amp;"/"&amp;IF(H598="2B","2B",IF(H598="NO.1","1D",IF(H598="FH","FH",0)))&amp;"-"&amp;IF(J598="",(TEXT(I598,"0.00")),TEXT(J598,"0.00"))&amp;"X"&amp;M598</f>
        <v>RM-304/1D-3.89X637</v>
      </c>
      <c r="C598" s="173" t="s">
        <v>48</v>
      </c>
      <c r="D598" s="173" t="s">
        <v>48</v>
      </c>
      <c r="E598" s="190" t="s">
        <v>2124</v>
      </c>
      <c r="F598" s="190" t="s">
        <v>2125</v>
      </c>
      <c r="G598" s="173">
        <v>304</v>
      </c>
      <c r="H598" s="173" t="s">
        <v>127</v>
      </c>
      <c r="I598" s="174">
        <v>3.89</v>
      </c>
      <c r="J598" s="174"/>
      <c r="K598" s="174"/>
      <c r="L598" s="174"/>
      <c r="M598" s="191">
        <v>637</v>
      </c>
      <c r="N598" s="176">
        <v>10.435</v>
      </c>
      <c r="O598" s="176"/>
      <c r="P598" s="177"/>
      <c r="Q598" s="178"/>
      <c r="R598" s="179"/>
      <c r="S598" s="179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80" t="s">
        <v>1881</v>
      </c>
      <c r="AE598" s="173" t="s">
        <v>69</v>
      </c>
      <c r="AF598" s="181" t="s">
        <v>142</v>
      </c>
      <c r="AG598" s="192" t="s">
        <v>1653</v>
      </c>
      <c r="AH598" s="198"/>
      <c r="AI598" s="181">
        <v>44880</v>
      </c>
      <c r="AJ598" s="181"/>
      <c r="AK598" s="181">
        <f ca="1">TODAY()</f>
        <v>44958</v>
      </c>
      <c r="AL598" s="173">
        <f ca="1">IF(AI598&lt;&gt;0,AK598-AI598,0)</f>
        <v>78</v>
      </c>
      <c r="AM598" s="173" t="str">
        <f>IF(ISNUMBER(X598)=TRUE,AK598-X598,IF(X598="","",(AK598)-(MID(RIGHT(X598,10),4,2)&amp;"/"&amp;LEFT((RIGHT(X598,10)),2)&amp;"/"&amp;RIGHT(X598,4))))</f>
        <v/>
      </c>
      <c r="AN598" s="181"/>
      <c r="AO598" s="190" t="s">
        <v>2123</v>
      </c>
      <c r="AP598" s="176">
        <v>10.435</v>
      </c>
      <c r="AQ598" s="176">
        <v>10.445</v>
      </c>
      <c r="AR598" s="176">
        <v>10.469999999999999</v>
      </c>
      <c r="AS598" s="176">
        <v>10.475</v>
      </c>
      <c r="AT598" s="173" t="str">
        <f>IF(ISNUMBER(U598)=TRUE,AK598-U598,IF(U598="","",(AK598)-(MID(RIGHT(U598,10),4,2)&amp;"/"&amp;LEFT((RIGHT(U598,10)),2)&amp;"/"&amp;RIGHT(U598,4))))</f>
        <v/>
      </c>
      <c r="AU598" s="173">
        <v>459</v>
      </c>
      <c r="AW598" s="142" t="s">
        <v>123</v>
      </c>
    </row>
    <row r="599" spans="2:49" s="142" customFormat="1" ht="21" customHeight="1" x14ac:dyDescent="0.25">
      <c r="B599" s="173" t="str">
        <f>IF(C599="HOLD RM","HOLD RM",IF(C599="BAL","WIP",IF(C599="HOLD SLT","HOLD SLT",IF(C599="MILL","RM",IF(C599="RE SLT","WIP",IF(C599="RM","RM",IF(C599="RM BAL","RM",IF(C599="RM SLT","RM",IF(C599="RR","WIP",IF(C599="SKP","WIP",IF(C599="SLT","WIP",IF(C599="CTL","WIP",IF(C599="RM SLT RUST","RM SLT RUST",0)))))))))))))&amp;"-"&amp;G599&amp;"/"&amp;IF(H599="2B","2B",IF(H599="NO.1","1D",IF(H599="FH","FH",0)))&amp;"-"&amp;IF(J599="",(TEXT(I599,"0.00")),TEXT(J599,"0.00"))&amp;"X"&amp;M599</f>
        <v>RM-304/1D-2.49X643</v>
      </c>
      <c r="C599" s="173" t="s">
        <v>48</v>
      </c>
      <c r="D599" s="173" t="s">
        <v>48</v>
      </c>
      <c r="E599" s="190" t="s">
        <v>2126</v>
      </c>
      <c r="F599" s="190" t="s">
        <v>2127</v>
      </c>
      <c r="G599" s="173">
        <v>304</v>
      </c>
      <c r="H599" s="173" t="s">
        <v>127</v>
      </c>
      <c r="I599" s="174">
        <v>2.4900000000000002</v>
      </c>
      <c r="J599" s="174"/>
      <c r="K599" s="174"/>
      <c r="L599" s="174"/>
      <c r="M599" s="191">
        <v>643</v>
      </c>
      <c r="N599" s="176">
        <v>10.645</v>
      </c>
      <c r="O599" s="176"/>
      <c r="P599" s="177"/>
      <c r="Q599" s="178"/>
      <c r="R599" s="179"/>
      <c r="S599" s="179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80" t="s">
        <v>1881</v>
      </c>
      <c r="AE599" s="173" t="s">
        <v>69</v>
      </c>
      <c r="AF599" s="181" t="s">
        <v>142</v>
      </c>
      <c r="AG599" s="192" t="s">
        <v>1887</v>
      </c>
      <c r="AH599" s="198"/>
      <c r="AI599" s="181">
        <v>44880</v>
      </c>
      <c r="AJ599" s="181"/>
      <c r="AK599" s="181">
        <f ca="1">TODAY()</f>
        <v>44958</v>
      </c>
      <c r="AL599" s="173">
        <f ca="1">IF(AI599&lt;&gt;0,AK599-AI599,0)</f>
        <v>78</v>
      </c>
      <c r="AM599" s="173" t="str">
        <f>IF(ISNUMBER(X599)=TRUE,AK599-X599,IF(X599="","",(AK599)-(MID(RIGHT(X599,10),4,2)&amp;"/"&amp;LEFT((RIGHT(X599,10)),2)&amp;"/"&amp;RIGHT(X599,4))))</f>
        <v/>
      </c>
      <c r="AN599" s="181"/>
      <c r="AO599" s="190" t="s">
        <v>2128</v>
      </c>
      <c r="AP599" s="176">
        <v>10.645</v>
      </c>
      <c r="AQ599" s="176">
        <v>10.654999999999999</v>
      </c>
      <c r="AR599" s="176">
        <v>10.679999999999998</v>
      </c>
      <c r="AS599" s="176">
        <v>10.684999999999999</v>
      </c>
      <c r="AT599" s="173" t="str">
        <f>IF(ISNUMBER(U599)=TRUE,AK599-U599,IF(U599="","",(AK599)-(MID(RIGHT(U599,10),4,2)&amp;"/"&amp;LEFT((RIGHT(U599,10)),2)&amp;"/"&amp;RIGHT(U599,4))))</f>
        <v/>
      </c>
      <c r="AU599" s="173">
        <v>459</v>
      </c>
      <c r="AW599" s="142" t="s">
        <v>123</v>
      </c>
    </row>
    <row r="600" spans="2:49" s="142" customFormat="1" ht="21" customHeight="1" x14ac:dyDescent="0.25">
      <c r="B600" s="173" t="str">
        <f>IF(C600="HOLD RM","HOLD RM",IF(C600="BAL","WIP",IF(C600="HOLD SLT","HOLD SLT",IF(C600="MILL","RM",IF(C600="RE SLT","WIP",IF(C600="RM","RM",IF(C600="RM BAL","RM",IF(C600="RM SLT","RM",IF(C600="RR","WIP",IF(C600="SKP","WIP",IF(C600="SLT","WIP",IF(C600="CTL","WIP",IF(C600="RM SLT RUST","RM SLT RUST",0)))))))))))))&amp;"-"&amp;G600&amp;"/"&amp;IF(H600="2B","2B",IF(H600="NO.1","1D",IF(H600="FH","FH",0)))&amp;"-"&amp;IF(J600="",(TEXT(I600,"0.00")),TEXT(J600,"0.00"))&amp;"X"&amp;M600</f>
        <v>RM-304/1D-2.49X643</v>
      </c>
      <c r="C600" s="173" t="s">
        <v>48</v>
      </c>
      <c r="D600" s="173" t="s">
        <v>48</v>
      </c>
      <c r="E600" s="190" t="s">
        <v>2129</v>
      </c>
      <c r="F600" s="190" t="s">
        <v>2130</v>
      </c>
      <c r="G600" s="173">
        <v>304</v>
      </c>
      <c r="H600" s="173" t="s">
        <v>127</v>
      </c>
      <c r="I600" s="174">
        <v>2.4900000000000002</v>
      </c>
      <c r="J600" s="174"/>
      <c r="K600" s="174"/>
      <c r="L600" s="174"/>
      <c r="M600" s="191">
        <v>643</v>
      </c>
      <c r="N600" s="176">
        <v>10.68</v>
      </c>
      <c r="O600" s="176"/>
      <c r="P600" s="177"/>
      <c r="Q600" s="178"/>
      <c r="R600" s="179"/>
      <c r="S600" s="179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80" t="s">
        <v>1881</v>
      </c>
      <c r="AE600" s="173" t="s">
        <v>69</v>
      </c>
      <c r="AF600" s="181" t="s">
        <v>142</v>
      </c>
      <c r="AG600" s="192" t="s">
        <v>1887</v>
      </c>
      <c r="AH600" s="198"/>
      <c r="AI600" s="181">
        <v>44880</v>
      </c>
      <c r="AJ600" s="181"/>
      <c r="AK600" s="181">
        <f ca="1">TODAY()</f>
        <v>44958</v>
      </c>
      <c r="AL600" s="173">
        <f ca="1">IF(AI600&lt;&gt;0,AK600-AI600,0)</f>
        <v>78</v>
      </c>
      <c r="AM600" s="173" t="str">
        <f>IF(ISNUMBER(X600)=TRUE,AK600-X600,IF(X600="","",(AK600)-(MID(RIGHT(X600,10),4,2)&amp;"/"&amp;LEFT((RIGHT(X600,10)),2)&amp;"/"&amp;RIGHT(X600,4))))</f>
        <v/>
      </c>
      <c r="AN600" s="181"/>
      <c r="AO600" s="190" t="s">
        <v>2128</v>
      </c>
      <c r="AP600" s="176">
        <v>10.68</v>
      </c>
      <c r="AQ600" s="176">
        <v>10.69</v>
      </c>
      <c r="AR600" s="176">
        <v>10.714999999999998</v>
      </c>
      <c r="AS600" s="176">
        <v>10.719999999999999</v>
      </c>
      <c r="AT600" s="173" t="str">
        <f>IF(ISNUMBER(U600)=TRUE,AK600-U600,IF(U600="","",(AK600)-(MID(RIGHT(U600,10),4,2)&amp;"/"&amp;LEFT((RIGHT(U600,10)),2)&amp;"/"&amp;RIGHT(U600,4))))</f>
        <v/>
      </c>
      <c r="AU600" s="173">
        <v>459</v>
      </c>
      <c r="AW600" s="142" t="s">
        <v>123</v>
      </c>
    </row>
    <row r="601" spans="2:49" s="142" customFormat="1" ht="21" customHeight="1" x14ac:dyDescent="0.25">
      <c r="B601" s="173" t="str">
        <f>IF(C601="HOLD RM","HOLD RM",IF(C601="BAL","WIP",IF(C601="HOLD SLT","HOLD SLT",IF(C601="MILL","RM",IF(C601="RE SLT","WIP",IF(C601="RM","RM",IF(C601="RM BAL","RM",IF(C601="RM SLT","RM",IF(C601="RR","WIP",IF(C601="SKP","WIP",IF(C601="SLT","WIP",IF(C601="CTL","WIP",IF(C601="RM SLT RUST","RM SLT RUST",0)))))))))))))&amp;"-"&amp;G601&amp;"/"&amp;IF(H601="2B","2B",IF(H601="NO.1","1D",IF(H601="FH","FH",0)))&amp;"-"&amp;IF(J601="",(TEXT(I601,"0.00")),TEXT(J601,"0.00"))&amp;"X"&amp;M601</f>
        <v>RM-304L/1D-2.89X644</v>
      </c>
      <c r="C601" s="173" t="s">
        <v>48</v>
      </c>
      <c r="D601" s="173" t="s">
        <v>48</v>
      </c>
      <c r="E601" s="190" t="s">
        <v>2131</v>
      </c>
      <c r="F601" s="190" t="s">
        <v>2132</v>
      </c>
      <c r="G601" s="173" t="s">
        <v>182</v>
      </c>
      <c r="H601" s="173" t="s">
        <v>127</v>
      </c>
      <c r="I601" s="174">
        <v>2.89</v>
      </c>
      <c r="J601" s="174"/>
      <c r="K601" s="174"/>
      <c r="L601" s="174"/>
      <c r="M601" s="191">
        <v>644</v>
      </c>
      <c r="N601" s="176">
        <v>10.51</v>
      </c>
      <c r="O601" s="176"/>
      <c r="P601" s="177"/>
      <c r="Q601" s="178"/>
      <c r="R601" s="179"/>
      <c r="S601" s="179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80" t="s">
        <v>1881</v>
      </c>
      <c r="AE601" s="173" t="s">
        <v>69</v>
      </c>
      <c r="AF601" s="181" t="s">
        <v>142</v>
      </c>
      <c r="AG601" s="192" t="s">
        <v>1653</v>
      </c>
      <c r="AH601" s="198"/>
      <c r="AI601" s="181">
        <v>44880</v>
      </c>
      <c r="AJ601" s="181"/>
      <c r="AK601" s="181">
        <f ca="1">TODAY()</f>
        <v>44958</v>
      </c>
      <c r="AL601" s="173">
        <f ca="1">IF(AI601&lt;&gt;0,AK601-AI601,0)</f>
        <v>78</v>
      </c>
      <c r="AM601" s="173" t="str">
        <f>IF(ISNUMBER(X601)=TRUE,AK601-X601,IF(X601="","",(AK601)-(MID(RIGHT(X601,10),4,2)&amp;"/"&amp;LEFT((RIGHT(X601,10)),2)&amp;"/"&amp;RIGHT(X601,4))))</f>
        <v/>
      </c>
      <c r="AN601" s="181"/>
      <c r="AO601" s="190" t="s">
        <v>2133</v>
      </c>
      <c r="AP601" s="176">
        <v>10.51</v>
      </c>
      <c r="AQ601" s="176">
        <v>10.52</v>
      </c>
      <c r="AR601" s="176">
        <v>10.544999999999998</v>
      </c>
      <c r="AS601" s="176">
        <v>10.549999999999999</v>
      </c>
      <c r="AT601" s="173" t="str">
        <f>IF(ISNUMBER(U601)=TRUE,AK601-U601,IF(U601="","",(AK601)-(MID(RIGHT(U601,10),4,2)&amp;"/"&amp;LEFT((RIGHT(U601,10)),2)&amp;"/"&amp;RIGHT(U601,4))))</f>
        <v/>
      </c>
      <c r="AU601" s="173">
        <v>459</v>
      </c>
      <c r="AW601" s="142" t="s">
        <v>123</v>
      </c>
    </row>
    <row r="602" spans="2:49" s="142" customFormat="1" ht="21" customHeight="1" x14ac:dyDescent="0.25">
      <c r="B602" s="173" t="str">
        <f>IF(C602="HOLD RM","HOLD RM",IF(C602="BAL","WIP",IF(C602="HOLD SLT","HOLD SLT",IF(C602="MILL","RM",IF(C602="RE SLT","WIP",IF(C602="RM","RM",IF(C602="RM BAL","RM",IF(C602="RM SLT","RM",IF(C602="RR","WIP",IF(C602="SKP","WIP",IF(C602="SLT","WIP",IF(C602="CTL","WIP",IF(C602="RM SLT RUST","RM SLT RUST",0)))))))))))))&amp;"-"&amp;G602&amp;"/"&amp;IF(H602="2B","2B",IF(H602="NO.1","1D",IF(H602="FH","FH",0)))&amp;"-"&amp;IF(J602="",(TEXT(I602,"0.00")),TEXT(J602,"0.00"))&amp;"X"&amp;M602</f>
        <v>RM-304L/1D-2.89X643</v>
      </c>
      <c r="C602" s="173" t="s">
        <v>48</v>
      </c>
      <c r="D602" s="173" t="s">
        <v>48</v>
      </c>
      <c r="E602" s="190" t="s">
        <v>2134</v>
      </c>
      <c r="F602" s="190" t="s">
        <v>2135</v>
      </c>
      <c r="G602" s="173" t="s">
        <v>182</v>
      </c>
      <c r="H602" s="173" t="s">
        <v>127</v>
      </c>
      <c r="I602" s="174">
        <v>2.89</v>
      </c>
      <c r="J602" s="174"/>
      <c r="K602" s="174"/>
      <c r="L602" s="174"/>
      <c r="M602" s="191">
        <v>643</v>
      </c>
      <c r="N602" s="176">
        <v>10.535</v>
      </c>
      <c r="O602" s="176"/>
      <c r="P602" s="177"/>
      <c r="Q602" s="178"/>
      <c r="R602" s="179"/>
      <c r="S602" s="179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80" t="s">
        <v>1881</v>
      </c>
      <c r="AE602" s="173" t="s">
        <v>69</v>
      </c>
      <c r="AF602" s="181" t="s">
        <v>142</v>
      </c>
      <c r="AG602" s="192" t="s">
        <v>1653</v>
      </c>
      <c r="AH602" s="198"/>
      <c r="AI602" s="181">
        <v>44880</v>
      </c>
      <c r="AJ602" s="181"/>
      <c r="AK602" s="181">
        <f ca="1">TODAY()</f>
        <v>44958</v>
      </c>
      <c r="AL602" s="173">
        <f ca="1">IF(AI602&lt;&gt;0,AK602-AI602,0)</f>
        <v>78</v>
      </c>
      <c r="AM602" s="173" t="str">
        <f>IF(ISNUMBER(X602)=TRUE,AK602-X602,IF(X602="","",(AK602)-(MID(RIGHT(X602,10),4,2)&amp;"/"&amp;LEFT((RIGHT(X602,10)),2)&amp;"/"&amp;RIGHT(X602,4))))</f>
        <v/>
      </c>
      <c r="AN602" s="181"/>
      <c r="AO602" s="190" t="s">
        <v>2133</v>
      </c>
      <c r="AP602" s="176">
        <v>10.535</v>
      </c>
      <c r="AQ602" s="176">
        <v>10.545</v>
      </c>
      <c r="AR602" s="176">
        <v>10.569999999999999</v>
      </c>
      <c r="AS602" s="176">
        <v>10.574999999999999</v>
      </c>
      <c r="AT602" s="173" t="str">
        <f>IF(ISNUMBER(U602)=TRUE,AK602-U602,IF(U602="","",(AK602)-(MID(RIGHT(U602,10),4,2)&amp;"/"&amp;LEFT((RIGHT(U602,10)),2)&amp;"/"&amp;RIGHT(U602,4))))</f>
        <v/>
      </c>
      <c r="AU602" s="173">
        <v>459</v>
      </c>
      <c r="AW602" s="142" t="s">
        <v>123</v>
      </c>
    </row>
    <row r="603" spans="2:49" s="142" customFormat="1" ht="21" customHeight="1" x14ac:dyDescent="0.25">
      <c r="B603" s="173" t="str">
        <f>IF(C603="HOLD RM","HOLD RM",IF(C603="BAL","WIP",IF(C603="HOLD SLT","HOLD SLT",IF(C603="MILL","RM",IF(C603="RE SLT","WIP",IF(C603="RM","RM",IF(C603="RM BAL","RM",IF(C603="RM SLT","RM",IF(C603="RR","WIP",IF(C603="SKP","WIP",IF(C603="SLT","WIP",IF(C603="CTL","WIP",IF(C603="RM SLT RUST","RM SLT RUST",0)))))))))))))&amp;"-"&amp;G603&amp;"/"&amp;IF(H603="2B","2B",IF(H603="NO.1","1D",IF(H603="FH","FH",0)))&amp;"-"&amp;IF(J603="",(TEXT(I603,"0.00")),TEXT(J603,"0.00"))&amp;"X"&amp;M603</f>
        <v>RM-304L/1D-2.99X642</v>
      </c>
      <c r="C603" s="173" t="s">
        <v>48</v>
      </c>
      <c r="D603" s="173" t="s">
        <v>48</v>
      </c>
      <c r="E603" s="190" t="s">
        <v>2136</v>
      </c>
      <c r="F603" s="190" t="s">
        <v>2137</v>
      </c>
      <c r="G603" s="173" t="s">
        <v>182</v>
      </c>
      <c r="H603" s="173" t="s">
        <v>127</v>
      </c>
      <c r="I603" s="174">
        <v>2.99</v>
      </c>
      <c r="J603" s="174"/>
      <c r="K603" s="174"/>
      <c r="L603" s="174"/>
      <c r="M603" s="191">
        <v>642</v>
      </c>
      <c r="N603" s="176">
        <v>10.664999999999999</v>
      </c>
      <c r="O603" s="176"/>
      <c r="P603" s="177"/>
      <c r="Q603" s="178"/>
      <c r="R603" s="179"/>
      <c r="S603" s="179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80" t="s">
        <v>1898</v>
      </c>
      <c r="AE603" s="173" t="s">
        <v>69</v>
      </c>
      <c r="AF603" s="181" t="s">
        <v>142</v>
      </c>
      <c r="AG603" s="192" t="s">
        <v>1887</v>
      </c>
      <c r="AH603" s="198"/>
      <c r="AI603" s="181">
        <v>44880</v>
      </c>
      <c r="AJ603" s="181"/>
      <c r="AK603" s="181">
        <f ca="1">TODAY()</f>
        <v>44958</v>
      </c>
      <c r="AL603" s="173">
        <f ca="1">IF(AI603&lt;&gt;0,AK603-AI603,0)</f>
        <v>78</v>
      </c>
      <c r="AM603" s="173" t="str">
        <f>IF(ISNUMBER(X603)=TRUE,AK603-X603,IF(X603="","",(AK603)-(MID(RIGHT(X603,10),4,2)&amp;"/"&amp;LEFT((RIGHT(X603,10)),2)&amp;"/"&amp;RIGHT(X603,4))))</f>
        <v/>
      </c>
      <c r="AN603" s="181"/>
      <c r="AO603" s="190" t="s">
        <v>2138</v>
      </c>
      <c r="AP603" s="176">
        <v>10.664999999999999</v>
      </c>
      <c r="AQ603" s="176">
        <v>10.674999999999999</v>
      </c>
      <c r="AR603" s="176">
        <v>10.699999999999998</v>
      </c>
      <c r="AS603" s="176">
        <v>10.704999999999998</v>
      </c>
      <c r="AT603" s="173" t="str">
        <f>IF(ISNUMBER(U603)=TRUE,AK603-U603,IF(U603="","",(AK603)-(MID(RIGHT(U603,10),4,2)&amp;"/"&amp;LEFT((RIGHT(U603,10)),2)&amp;"/"&amp;RIGHT(U603,4))))</f>
        <v/>
      </c>
      <c r="AU603" s="173">
        <v>459</v>
      </c>
      <c r="AW603" s="142" t="s">
        <v>123</v>
      </c>
    </row>
    <row r="604" spans="2:49" s="142" customFormat="1" ht="21" customHeight="1" x14ac:dyDescent="0.25">
      <c r="B604" s="173" t="str">
        <f>IF(C604="HOLD RM","HOLD RM",IF(C604="BAL","WIP",IF(C604="HOLD SLT","HOLD SLT",IF(C604="MILL","RM",IF(C604="RE SLT","WIP",IF(C604="RM","RM",IF(C604="RM BAL","RM",IF(C604="RM SLT","RM",IF(C604="RR","WIP",IF(C604="SKP","WIP",IF(C604="SLT","WIP",IF(C604="CTL","WIP",IF(C604="RM SLT RUST","RM SLT RUST",0)))))))))))))&amp;"-"&amp;G604&amp;"/"&amp;IF(H604="2B","2B",IF(H604="NO.1","1D",IF(H604="FH","FH",0)))&amp;"-"&amp;IF(J604="",(TEXT(I604,"0.00")),TEXT(J604,"0.00"))&amp;"X"&amp;M604</f>
        <v>RM-304L/1D-2.99X643</v>
      </c>
      <c r="C604" s="173" t="s">
        <v>48</v>
      </c>
      <c r="D604" s="173" t="s">
        <v>48</v>
      </c>
      <c r="E604" s="190" t="s">
        <v>2139</v>
      </c>
      <c r="F604" s="190" t="s">
        <v>2140</v>
      </c>
      <c r="G604" s="173" t="s">
        <v>182</v>
      </c>
      <c r="H604" s="173" t="s">
        <v>127</v>
      </c>
      <c r="I604" s="174">
        <v>2.99</v>
      </c>
      <c r="J604" s="174"/>
      <c r="K604" s="174"/>
      <c r="L604" s="174"/>
      <c r="M604" s="191">
        <v>643</v>
      </c>
      <c r="N604" s="176">
        <v>10.625</v>
      </c>
      <c r="O604" s="176"/>
      <c r="P604" s="177"/>
      <c r="Q604" s="178"/>
      <c r="R604" s="179"/>
      <c r="S604" s="179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80" t="s">
        <v>1898</v>
      </c>
      <c r="AE604" s="173" t="s">
        <v>69</v>
      </c>
      <c r="AF604" s="181" t="s">
        <v>142</v>
      </c>
      <c r="AG604" s="192" t="s">
        <v>1887</v>
      </c>
      <c r="AH604" s="198"/>
      <c r="AI604" s="181">
        <v>44880</v>
      </c>
      <c r="AJ604" s="181"/>
      <c r="AK604" s="181">
        <f ca="1">TODAY()</f>
        <v>44958</v>
      </c>
      <c r="AL604" s="173">
        <f ca="1">IF(AI604&lt;&gt;0,AK604-AI604,0)</f>
        <v>78</v>
      </c>
      <c r="AM604" s="173" t="str">
        <f>IF(ISNUMBER(X604)=TRUE,AK604-X604,IF(X604="","",(AK604)-(MID(RIGHT(X604,10),4,2)&amp;"/"&amp;LEFT((RIGHT(X604,10)),2)&amp;"/"&amp;RIGHT(X604,4))))</f>
        <v/>
      </c>
      <c r="AN604" s="181"/>
      <c r="AO604" s="190" t="s">
        <v>2138</v>
      </c>
      <c r="AP604" s="176">
        <v>10.625</v>
      </c>
      <c r="AQ604" s="176">
        <v>10.635</v>
      </c>
      <c r="AR604" s="176">
        <v>10.659999999999998</v>
      </c>
      <c r="AS604" s="176">
        <v>10.664999999999999</v>
      </c>
      <c r="AT604" s="173" t="str">
        <f>IF(ISNUMBER(U604)=TRUE,AK604-U604,IF(U604="","",(AK604)-(MID(RIGHT(U604,10),4,2)&amp;"/"&amp;LEFT((RIGHT(U604,10)),2)&amp;"/"&amp;RIGHT(U604,4))))</f>
        <v/>
      </c>
      <c r="AU604" s="173">
        <v>459</v>
      </c>
      <c r="AW604" s="142" t="s">
        <v>123</v>
      </c>
    </row>
    <row r="605" spans="2:49" s="142" customFormat="1" ht="21" customHeight="1" x14ac:dyDescent="0.25">
      <c r="B605" s="173" t="str">
        <f>IF(C605="HOLD RM","HOLD RM",IF(C605="BAL","WIP",IF(C605="HOLD SLT","HOLD SLT",IF(C605="MILL","RM",IF(C605="RE SLT","WIP",IF(C605="RM","RM",IF(C605="RM BAL","RM",IF(C605="RM SLT","RM",IF(C605="RR","WIP",IF(C605="SKP","WIP",IF(C605="SLT","WIP",IF(C605="CTL","WIP",IF(C605="RM SLT RUST","RM SLT RUST",0)))))))))))))&amp;"-"&amp;G605&amp;"/"&amp;IF(H605="2B","2B",IF(H605="NO.1","1D",IF(H605="FH","FH",0)))&amp;"-"&amp;IF(J605="",(TEXT(I605,"0.00")),TEXT(J605,"0.00"))&amp;"X"&amp;M605</f>
        <v>RM-304/1D-2.49X643</v>
      </c>
      <c r="C605" s="173" t="s">
        <v>48</v>
      </c>
      <c r="D605" s="173" t="s">
        <v>48</v>
      </c>
      <c r="E605" s="190" t="s">
        <v>2141</v>
      </c>
      <c r="F605" s="190" t="s">
        <v>2142</v>
      </c>
      <c r="G605" s="173">
        <v>304</v>
      </c>
      <c r="H605" s="173" t="s">
        <v>127</v>
      </c>
      <c r="I605" s="174">
        <v>2.4900000000000002</v>
      </c>
      <c r="J605" s="174"/>
      <c r="K605" s="174"/>
      <c r="L605" s="174"/>
      <c r="M605" s="191">
        <v>643</v>
      </c>
      <c r="N605" s="176">
        <v>10.45</v>
      </c>
      <c r="O605" s="176"/>
      <c r="P605" s="177"/>
      <c r="Q605" s="178"/>
      <c r="R605" s="179"/>
      <c r="S605" s="179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80" t="s">
        <v>1881</v>
      </c>
      <c r="AE605" s="173" t="s">
        <v>69</v>
      </c>
      <c r="AF605" s="181" t="s">
        <v>142</v>
      </c>
      <c r="AG605" s="192" t="s">
        <v>1887</v>
      </c>
      <c r="AH605" s="198"/>
      <c r="AI605" s="181">
        <v>44880</v>
      </c>
      <c r="AJ605" s="181"/>
      <c r="AK605" s="181">
        <f ca="1">TODAY()</f>
        <v>44958</v>
      </c>
      <c r="AL605" s="173">
        <f ca="1">IF(AI605&lt;&gt;0,AK605-AI605,0)</f>
        <v>78</v>
      </c>
      <c r="AM605" s="173" t="str">
        <f>IF(ISNUMBER(X605)=TRUE,AK605-X605,IF(X605="","",(AK605)-(MID(RIGHT(X605,10),4,2)&amp;"/"&amp;LEFT((RIGHT(X605,10)),2)&amp;"/"&amp;RIGHT(X605,4))))</f>
        <v/>
      </c>
      <c r="AN605" s="181"/>
      <c r="AO605" s="190" t="s">
        <v>2143</v>
      </c>
      <c r="AP605" s="176">
        <v>10.45</v>
      </c>
      <c r="AQ605" s="176">
        <v>10.459999999999999</v>
      </c>
      <c r="AR605" s="176">
        <v>10.484999999999998</v>
      </c>
      <c r="AS605" s="176">
        <v>10.489999999999998</v>
      </c>
      <c r="AT605" s="173" t="str">
        <f>IF(ISNUMBER(U605)=TRUE,AK605-U605,IF(U605="","",(AK605)-(MID(RIGHT(U605,10),4,2)&amp;"/"&amp;LEFT((RIGHT(U605,10)),2)&amp;"/"&amp;RIGHT(U605,4))))</f>
        <v/>
      </c>
      <c r="AU605" s="173">
        <v>459</v>
      </c>
      <c r="AW605" s="142" t="s">
        <v>123</v>
      </c>
    </row>
    <row r="606" spans="2:49" s="142" customFormat="1" ht="21" customHeight="1" x14ac:dyDescent="0.25">
      <c r="B606" s="173" t="str">
        <f>IF(C606="HOLD RM","HOLD RM",IF(C606="BAL","WIP",IF(C606="HOLD SLT","HOLD SLT",IF(C606="MILL","RM",IF(C606="RE SLT","WIP",IF(C606="RM","RM",IF(C606="RM BAL","RM",IF(C606="RM SLT","RM",IF(C606="RR","WIP",IF(C606="SKP","WIP",IF(C606="SLT","WIP",IF(C606="CTL","WIP",IF(C606="RM SLT RUST","RM SLT RUST",0)))))))))))))&amp;"-"&amp;G606&amp;"/"&amp;IF(H606="2B","2B",IF(H606="NO.1","1D",IF(H606="FH","FH",0)))&amp;"-"&amp;IF(J606="",(TEXT(I606,"0.00")),TEXT(J606,"0.00"))&amp;"X"&amp;M606</f>
        <v>RM-304/1D-2.49X642</v>
      </c>
      <c r="C606" s="173" t="s">
        <v>48</v>
      </c>
      <c r="D606" s="173" t="s">
        <v>48</v>
      </c>
      <c r="E606" s="190" t="s">
        <v>2144</v>
      </c>
      <c r="F606" s="190" t="s">
        <v>2145</v>
      </c>
      <c r="G606" s="173">
        <v>304</v>
      </c>
      <c r="H606" s="173" t="s">
        <v>127</v>
      </c>
      <c r="I606" s="174">
        <v>2.4900000000000002</v>
      </c>
      <c r="J606" s="174"/>
      <c r="K606" s="174"/>
      <c r="L606" s="174"/>
      <c r="M606" s="191">
        <v>642</v>
      </c>
      <c r="N606" s="176">
        <v>10.455</v>
      </c>
      <c r="O606" s="176"/>
      <c r="P606" s="177"/>
      <c r="Q606" s="178"/>
      <c r="R606" s="179"/>
      <c r="S606" s="179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80" t="s">
        <v>1881</v>
      </c>
      <c r="AE606" s="173" t="s">
        <v>69</v>
      </c>
      <c r="AF606" s="181" t="s">
        <v>142</v>
      </c>
      <c r="AG606" s="192" t="s">
        <v>1887</v>
      </c>
      <c r="AH606" s="198"/>
      <c r="AI606" s="181">
        <v>44880</v>
      </c>
      <c r="AJ606" s="181"/>
      <c r="AK606" s="181">
        <f ca="1">TODAY()</f>
        <v>44958</v>
      </c>
      <c r="AL606" s="173">
        <f ca="1">IF(AI606&lt;&gt;0,AK606-AI606,0)</f>
        <v>78</v>
      </c>
      <c r="AM606" s="173" t="str">
        <f>IF(ISNUMBER(X606)=TRUE,AK606-X606,IF(X606="","",(AK606)-(MID(RIGHT(X606,10),4,2)&amp;"/"&amp;LEFT((RIGHT(X606,10)),2)&amp;"/"&amp;RIGHT(X606,4))))</f>
        <v/>
      </c>
      <c r="AN606" s="181"/>
      <c r="AO606" s="190" t="s">
        <v>2143</v>
      </c>
      <c r="AP606" s="176">
        <v>10.455</v>
      </c>
      <c r="AQ606" s="176">
        <v>10.465</v>
      </c>
      <c r="AR606" s="176">
        <v>10.489999999999998</v>
      </c>
      <c r="AS606" s="176">
        <v>10.494999999999999</v>
      </c>
      <c r="AT606" s="173" t="str">
        <f>IF(ISNUMBER(U606)=TRUE,AK606-U606,IF(U606="","",(AK606)-(MID(RIGHT(U606,10),4,2)&amp;"/"&amp;LEFT((RIGHT(U606,10)),2)&amp;"/"&amp;RIGHT(U606,4))))</f>
        <v/>
      </c>
      <c r="AU606" s="173">
        <v>459</v>
      </c>
      <c r="AW606" s="142" t="s">
        <v>123</v>
      </c>
    </row>
    <row r="607" spans="2:49" s="142" customFormat="1" ht="21" customHeight="1" x14ac:dyDescent="0.25">
      <c r="B607" s="173" t="str">
        <f>IF(C607="HOLD RM","HOLD RM",IF(C607="BAL","WIP",IF(C607="HOLD SLT","HOLD SLT",IF(C607="MILL","RM",IF(C607="RE SLT","WIP",IF(C607="RM","RM",IF(C607="RM BAL","RM",IF(C607="RM SLT","RM",IF(C607="RR","WIP",IF(C607="SKP","WIP",IF(C607="SLT","WIP",IF(C607="CTL","WIP",IF(C607="RM SLT RUST","RM SLT RUST",0)))))))))))))&amp;"-"&amp;G607&amp;"/"&amp;IF(H607="2B","2B",IF(H607="NO.1","1D",IF(H607="FH","FH",0)))&amp;"-"&amp;IF(J607="",(TEXT(I607,"0.00")),TEXT(J607,"0.00"))&amp;"X"&amp;M607</f>
        <v>RM-304/1D-2.90X647</v>
      </c>
      <c r="C607" s="173" t="s">
        <v>48</v>
      </c>
      <c r="D607" s="173" t="s">
        <v>48</v>
      </c>
      <c r="E607" s="190" t="s">
        <v>2146</v>
      </c>
      <c r="F607" s="190" t="s">
        <v>2147</v>
      </c>
      <c r="G607" s="173">
        <v>304</v>
      </c>
      <c r="H607" s="173" t="s">
        <v>127</v>
      </c>
      <c r="I607" s="174">
        <v>2.9</v>
      </c>
      <c r="J607" s="174"/>
      <c r="K607" s="174"/>
      <c r="L607" s="174"/>
      <c r="M607" s="191">
        <v>647</v>
      </c>
      <c r="N607" s="176">
        <v>10.285</v>
      </c>
      <c r="O607" s="176"/>
      <c r="P607" s="177"/>
      <c r="Q607" s="178"/>
      <c r="R607" s="179"/>
      <c r="S607" s="179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80" t="s">
        <v>1881</v>
      </c>
      <c r="AE607" s="173" t="s">
        <v>69</v>
      </c>
      <c r="AF607" s="181" t="s">
        <v>142</v>
      </c>
      <c r="AG607" s="192" t="s">
        <v>1887</v>
      </c>
      <c r="AH607" s="198"/>
      <c r="AI607" s="181">
        <v>44880</v>
      </c>
      <c r="AJ607" s="181"/>
      <c r="AK607" s="181">
        <f ca="1">TODAY()</f>
        <v>44958</v>
      </c>
      <c r="AL607" s="173">
        <f ca="1">IF(AI607&lt;&gt;0,AK607-AI607,0)</f>
        <v>78</v>
      </c>
      <c r="AM607" s="173" t="str">
        <f>IF(ISNUMBER(X607)=TRUE,AK607-X607,IF(X607="","",(AK607)-(MID(RIGHT(X607,10),4,2)&amp;"/"&amp;LEFT((RIGHT(X607,10)),2)&amp;"/"&amp;RIGHT(X607,4))))</f>
        <v/>
      </c>
      <c r="AN607" s="181"/>
      <c r="AO607" s="190" t="s">
        <v>2148</v>
      </c>
      <c r="AP607" s="176">
        <v>10.285</v>
      </c>
      <c r="AQ607" s="176">
        <v>10.295</v>
      </c>
      <c r="AR607" s="176">
        <v>10.319999999999999</v>
      </c>
      <c r="AS607" s="176">
        <v>10.324999999999999</v>
      </c>
      <c r="AT607" s="173" t="str">
        <f>IF(ISNUMBER(U607)=TRUE,AK607-U607,IF(U607="","",(AK607)-(MID(RIGHT(U607,10),4,2)&amp;"/"&amp;LEFT((RIGHT(U607,10)),2)&amp;"/"&amp;RIGHT(U607,4))))</f>
        <v/>
      </c>
      <c r="AU607" s="173">
        <v>459</v>
      </c>
      <c r="AW607" s="142" t="s">
        <v>123</v>
      </c>
    </row>
    <row r="608" spans="2:49" s="142" customFormat="1" ht="21" customHeight="1" x14ac:dyDescent="0.25">
      <c r="B608" s="173" t="str">
        <f>IF(C608="HOLD RM","HOLD RM",IF(C608="BAL","WIP",IF(C608="HOLD SLT","HOLD SLT",IF(C608="MILL","RM",IF(C608="RE SLT","WIP",IF(C608="RM","RM",IF(C608="RM BAL","RM",IF(C608="RM SLT","RM",IF(C608="RR","WIP",IF(C608="SKP","WIP",IF(C608="SLT","WIP",IF(C608="CTL","WIP",IF(C608="RM SLT RUST","RM SLT RUST",0)))))))))))))&amp;"-"&amp;G608&amp;"/"&amp;IF(H608="2B","2B",IF(H608="NO.1","1D",IF(H608="FH","FH",0)))&amp;"-"&amp;IF(J608="",(TEXT(I608,"0.00")),TEXT(J608,"0.00"))&amp;"X"&amp;M608</f>
        <v>RM-304/1D-2.89X648</v>
      </c>
      <c r="C608" s="173" t="s">
        <v>48</v>
      </c>
      <c r="D608" s="173" t="s">
        <v>48</v>
      </c>
      <c r="E608" s="190" t="s">
        <v>2149</v>
      </c>
      <c r="F608" s="190" t="s">
        <v>2150</v>
      </c>
      <c r="G608" s="173">
        <v>304</v>
      </c>
      <c r="H608" s="173" t="s">
        <v>127</v>
      </c>
      <c r="I608" s="174">
        <v>2.89</v>
      </c>
      <c r="J608" s="174"/>
      <c r="K608" s="174"/>
      <c r="L608" s="174"/>
      <c r="M608" s="191">
        <v>648</v>
      </c>
      <c r="N608" s="176">
        <v>10.305</v>
      </c>
      <c r="O608" s="176"/>
      <c r="P608" s="177"/>
      <c r="Q608" s="178"/>
      <c r="R608" s="179"/>
      <c r="S608" s="179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80" t="s">
        <v>1881</v>
      </c>
      <c r="AE608" s="173" t="s">
        <v>69</v>
      </c>
      <c r="AF608" s="181" t="s">
        <v>142</v>
      </c>
      <c r="AG608" s="192" t="s">
        <v>1887</v>
      </c>
      <c r="AH608" s="198"/>
      <c r="AI608" s="181">
        <v>44880</v>
      </c>
      <c r="AJ608" s="181"/>
      <c r="AK608" s="181">
        <f ca="1">TODAY()</f>
        <v>44958</v>
      </c>
      <c r="AL608" s="173">
        <f ca="1">IF(AI608&lt;&gt;0,AK608-AI608,0)</f>
        <v>78</v>
      </c>
      <c r="AM608" s="173" t="str">
        <f>IF(ISNUMBER(X608)=TRUE,AK608-X608,IF(X608="","",(AK608)-(MID(RIGHT(X608,10),4,2)&amp;"/"&amp;LEFT((RIGHT(X608,10)),2)&amp;"/"&amp;RIGHT(X608,4))))</f>
        <v/>
      </c>
      <c r="AN608" s="181"/>
      <c r="AO608" s="190" t="s">
        <v>2148</v>
      </c>
      <c r="AP608" s="176">
        <v>10.305</v>
      </c>
      <c r="AQ608" s="176">
        <v>10.315</v>
      </c>
      <c r="AR608" s="176">
        <v>10.339999999999998</v>
      </c>
      <c r="AS608" s="176">
        <v>10.344999999999999</v>
      </c>
      <c r="AT608" s="173" t="str">
        <f>IF(ISNUMBER(U608)=TRUE,AK608-U608,IF(U608="","",(AK608)-(MID(RIGHT(U608,10),4,2)&amp;"/"&amp;LEFT((RIGHT(U608,10)),2)&amp;"/"&amp;RIGHT(U608,4))))</f>
        <v/>
      </c>
      <c r="AU608" s="173">
        <v>459</v>
      </c>
      <c r="AW608" s="142" t="s">
        <v>123</v>
      </c>
    </row>
    <row r="609" spans="2:49" s="142" customFormat="1" ht="21" customHeight="1" x14ac:dyDescent="0.25">
      <c r="B609" s="173" t="str">
        <f>IF(C609="HOLD RM","HOLD RM",IF(C609="BAL","WIP",IF(C609="HOLD SLT","HOLD SLT",IF(C609="MILL","RM",IF(C609="RE SLT","WIP",IF(C609="RM","RM",IF(C609="RM BAL","RM",IF(C609="RM SLT","RM",IF(C609="RR","WIP",IF(C609="SKP","WIP",IF(C609="SLT","WIP",IF(C609="CTL","WIP",IF(C609="RM SLT RUST","RM SLT RUST",0)))))))))))))&amp;"-"&amp;G609&amp;"/"&amp;IF(H609="2B","2B",IF(H609="NO.1","1D",IF(H609="FH","FH",0)))&amp;"-"&amp;IF(J609="",(TEXT(I609,"0.00")),TEXT(J609,"0.00"))&amp;"X"&amp;M609</f>
        <v>RM-304/1D-3.90X639</v>
      </c>
      <c r="C609" s="173" t="s">
        <v>48</v>
      </c>
      <c r="D609" s="173" t="s">
        <v>48</v>
      </c>
      <c r="E609" s="190" t="s">
        <v>2151</v>
      </c>
      <c r="F609" s="190" t="s">
        <v>2152</v>
      </c>
      <c r="G609" s="173">
        <v>304</v>
      </c>
      <c r="H609" s="173" t="s">
        <v>127</v>
      </c>
      <c r="I609" s="174">
        <v>3.9</v>
      </c>
      <c r="J609" s="174"/>
      <c r="K609" s="174"/>
      <c r="L609" s="174"/>
      <c r="M609" s="191">
        <v>639</v>
      </c>
      <c r="N609" s="176">
        <v>10.375</v>
      </c>
      <c r="O609" s="176"/>
      <c r="P609" s="177"/>
      <c r="Q609" s="178"/>
      <c r="R609" s="179"/>
      <c r="S609" s="179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80" t="s">
        <v>1881</v>
      </c>
      <c r="AE609" s="173" t="s">
        <v>69</v>
      </c>
      <c r="AF609" s="181" t="s">
        <v>142</v>
      </c>
      <c r="AG609" s="192" t="s">
        <v>1653</v>
      </c>
      <c r="AH609" s="198"/>
      <c r="AI609" s="181">
        <v>44880</v>
      </c>
      <c r="AJ609" s="181"/>
      <c r="AK609" s="181">
        <f ca="1">TODAY()</f>
        <v>44958</v>
      </c>
      <c r="AL609" s="173">
        <f ca="1">IF(AI609&lt;&gt;0,AK609-AI609,0)</f>
        <v>78</v>
      </c>
      <c r="AM609" s="173" t="str">
        <f>IF(ISNUMBER(X609)=TRUE,AK609-X609,IF(X609="","",(AK609)-(MID(RIGHT(X609,10),4,2)&amp;"/"&amp;LEFT((RIGHT(X609,10)),2)&amp;"/"&amp;RIGHT(X609,4))))</f>
        <v/>
      </c>
      <c r="AN609" s="181"/>
      <c r="AO609" s="190" t="s">
        <v>2153</v>
      </c>
      <c r="AP609" s="176">
        <v>10.375</v>
      </c>
      <c r="AQ609" s="176">
        <v>10.385</v>
      </c>
      <c r="AR609" s="176">
        <v>10.409999999999998</v>
      </c>
      <c r="AS609" s="176">
        <v>10.414999999999999</v>
      </c>
      <c r="AT609" s="173" t="str">
        <f>IF(ISNUMBER(U609)=TRUE,AK609-U609,IF(U609="","",(AK609)-(MID(RIGHT(U609,10),4,2)&amp;"/"&amp;LEFT((RIGHT(U609,10)),2)&amp;"/"&amp;RIGHT(U609,4))))</f>
        <v/>
      </c>
      <c r="AU609" s="173">
        <v>459</v>
      </c>
      <c r="AW609" s="142" t="s">
        <v>123</v>
      </c>
    </row>
    <row r="610" spans="2:49" s="142" customFormat="1" ht="21" customHeight="1" x14ac:dyDescent="0.25">
      <c r="B610" s="173" t="str">
        <f>IF(C610="HOLD RM","HOLD RM",IF(C610="BAL","WIP",IF(C610="HOLD SLT","HOLD SLT",IF(C610="MILL","RM",IF(C610="RE SLT","WIP",IF(C610="RM","RM",IF(C610="RM BAL","RM",IF(C610="RM SLT","RM",IF(C610="RR","WIP",IF(C610="SKP","WIP",IF(C610="SLT","WIP",IF(C610="CTL","WIP",IF(C610="RM SLT RUST","RM SLT RUST",0)))))))))))))&amp;"-"&amp;G610&amp;"/"&amp;IF(H610="2B","2B",IF(H610="NO.1","1D",IF(H610="FH","FH",0)))&amp;"-"&amp;IF(J610="",(TEXT(I610,"0.00")),TEXT(J610,"0.00"))&amp;"X"&amp;M610</f>
        <v>RM-304/1D-3.90X638</v>
      </c>
      <c r="C610" s="173" t="s">
        <v>48</v>
      </c>
      <c r="D610" s="173" t="s">
        <v>48</v>
      </c>
      <c r="E610" s="190" t="s">
        <v>2154</v>
      </c>
      <c r="F610" s="190" t="s">
        <v>2155</v>
      </c>
      <c r="G610" s="173">
        <v>304</v>
      </c>
      <c r="H610" s="173" t="s">
        <v>127</v>
      </c>
      <c r="I610" s="174">
        <v>3.9</v>
      </c>
      <c r="J610" s="174"/>
      <c r="K610" s="174"/>
      <c r="L610" s="174"/>
      <c r="M610" s="191">
        <v>638</v>
      </c>
      <c r="N610" s="176">
        <v>10.31</v>
      </c>
      <c r="O610" s="176"/>
      <c r="P610" s="177"/>
      <c r="Q610" s="178"/>
      <c r="R610" s="179"/>
      <c r="S610" s="179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80" t="s">
        <v>1881</v>
      </c>
      <c r="AE610" s="173" t="s">
        <v>69</v>
      </c>
      <c r="AF610" s="181" t="s">
        <v>142</v>
      </c>
      <c r="AG610" s="192" t="s">
        <v>1653</v>
      </c>
      <c r="AH610" s="198"/>
      <c r="AI610" s="181">
        <v>44880</v>
      </c>
      <c r="AJ610" s="181"/>
      <c r="AK610" s="181">
        <f ca="1">TODAY()</f>
        <v>44958</v>
      </c>
      <c r="AL610" s="173">
        <f ca="1">IF(AI610&lt;&gt;0,AK610-AI610,0)</f>
        <v>78</v>
      </c>
      <c r="AM610" s="173" t="str">
        <f>IF(ISNUMBER(X610)=TRUE,AK610-X610,IF(X610="","",(AK610)-(MID(RIGHT(X610,10),4,2)&amp;"/"&amp;LEFT((RIGHT(X610,10)),2)&amp;"/"&amp;RIGHT(X610,4))))</f>
        <v/>
      </c>
      <c r="AN610" s="181"/>
      <c r="AO610" s="190" t="s">
        <v>2153</v>
      </c>
      <c r="AP610" s="176">
        <v>10.31</v>
      </c>
      <c r="AQ610" s="176">
        <v>10.32</v>
      </c>
      <c r="AR610" s="176">
        <v>10.344999999999999</v>
      </c>
      <c r="AS610" s="176">
        <v>10.35</v>
      </c>
      <c r="AT610" s="173" t="str">
        <f>IF(ISNUMBER(U610)=TRUE,AK610-U610,IF(U610="","",(AK610)-(MID(RIGHT(U610,10),4,2)&amp;"/"&amp;LEFT((RIGHT(U610,10)),2)&amp;"/"&amp;RIGHT(U610,4))))</f>
        <v/>
      </c>
      <c r="AU610" s="173">
        <v>459</v>
      </c>
      <c r="AW610" s="142" t="s">
        <v>123</v>
      </c>
    </row>
    <row r="611" spans="2:49" s="142" customFormat="1" ht="21" customHeight="1" x14ac:dyDescent="0.25">
      <c r="B611" s="173" t="str">
        <f>IF(C611="HOLD RM","HOLD RM",IF(C611="BAL","WIP",IF(C611="HOLD SLT","HOLD SLT",IF(C611="MILL","RM",IF(C611="RE SLT","WIP",IF(C611="RM","RM",IF(C611="RM BAL","RM",IF(C611="RM SLT","RM",IF(C611="RR","WIP",IF(C611="SKP","WIP",IF(C611="SLT","WIP",IF(C611="CTL","WIP",IF(C611="RM SLT RUST","RM SLT RUST",0)))))))))))))&amp;"-"&amp;G611&amp;"/"&amp;IF(H611="2B","2B",IF(H611="NO.1","1D",IF(H611="FH","FH",0)))&amp;"-"&amp;IF(J611="",(TEXT(I611,"0.00")),TEXT(J611,"0.00"))&amp;"X"&amp;M611</f>
        <v>RM-304/1D-3.88X638</v>
      </c>
      <c r="C611" s="173" t="s">
        <v>48</v>
      </c>
      <c r="D611" s="173" t="s">
        <v>48</v>
      </c>
      <c r="E611" s="190" t="s">
        <v>2156</v>
      </c>
      <c r="F611" s="190" t="s">
        <v>2157</v>
      </c>
      <c r="G611" s="173">
        <v>304</v>
      </c>
      <c r="H611" s="173" t="s">
        <v>127</v>
      </c>
      <c r="I611" s="174">
        <v>3.88</v>
      </c>
      <c r="J611" s="174"/>
      <c r="K611" s="174"/>
      <c r="L611" s="174"/>
      <c r="M611" s="191">
        <v>638</v>
      </c>
      <c r="N611" s="176">
        <v>10.315</v>
      </c>
      <c r="O611" s="176"/>
      <c r="P611" s="177"/>
      <c r="Q611" s="178"/>
      <c r="R611" s="179"/>
      <c r="S611" s="179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80" t="s">
        <v>1881</v>
      </c>
      <c r="AE611" s="173" t="s">
        <v>69</v>
      </c>
      <c r="AF611" s="181" t="s">
        <v>142</v>
      </c>
      <c r="AG611" s="192" t="s">
        <v>1653</v>
      </c>
      <c r="AH611" s="198"/>
      <c r="AI611" s="181">
        <v>44880</v>
      </c>
      <c r="AJ611" s="181"/>
      <c r="AK611" s="181">
        <f ca="1">TODAY()</f>
        <v>44958</v>
      </c>
      <c r="AL611" s="173">
        <f ca="1">IF(AI611&lt;&gt;0,AK611-AI611,0)</f>
        <v>78</v>
      </c>
      <c r="AM611" s="173" t="str">
        <f>IF(ISNUMBER(X611)=TRUE,AK611-X611,IF(X611="","",(AK611)-(MID(RIGHT(X611,10),4,2)&amp;"/"&amp;LEFT((RIGHT(X611,10)),2)&amp;"/"&amp;RIGHT(X611,4))))</f>
        <v/>
      </c>
      <c r="AN611" s="181"/>
      <c r="AO611" s="190" t="s">
        <v>2158</v>
      </c>
      <c r="AP611" s="176">
        <v>10.315</v>
      </c>
      <c r="AQ611" s="176">
        <v>10.324999999999999</v>
      </c>
      <c r="AR611" s="176">
        <v>10.349999999999998</v>
      </c>
      <c r="AS611" s="176">
        <v>10.354999999999999</v>
      </c>
      <c r="AT611" s="173" t="str">
        <f>IF(ISNUMBER(U611)=TRUE,AK611-U611,IF(U611="","",(AK611)-(MID(RIGHT(U611,10),4,2)&amp;"/"&amp;LEFT((RIGHT(U611,10)),2)&amp;"/"&amp;RIGHT(U611,4))))</f>
        <v/>
      </c>
      <c r="AU611" s="173">
        <v>459</v>
      </c>
      <c r="AW611" s="142" t="s">
        <v>123</v>
      </c>
    </row>
    <row r="612" spans="2:49" s="142" customFormat="1" ht="21" customHeight="1" x14ac:dyDescent="0.25">
      <c r="B612" s="173" t="str">
        <f>IF(C612="HOLD RM","HOLD RM",IF(C612="BAL","WIP",IF(C612="HOLD SLT","HOLD SLT",IF(C612="MILL","RM",IF(C612="RE SLT","WIP",IF(C612="RM","RM",IF(C612="RM BAL","RM",IF(C612="RM SLT","RM",IF(C612="RR","WIP",IF(C612="SKP","WIP",IF(C612="SLT","WIP",IF(C612="CTL","WIP",IF(C612="RM SLT RUST","RM SLT RUST",0)))))))))))))&amp;"-"&amp;G612&amp;"/"&amp;IF(H612="2B","2B",IF(H612="NO.1","1D",IF(H612="FH","FH",0)))&amp;"-"&amp;IF(J612="",(TEXT(I612,"0.00")),TEXT(J612,"0.00"))&amp;"X"&amp;M612</f>
        <v>RM-304/1D-3.89X639</v>
      </c>
      <c r="C612" s="173" t="s">
        <v>48</v>
      </c>
      <c r="D612" s="173" t="s">
        <v>48</v>
      </c>
      <c r="E612" s="190" t="s">
        <v>2159</v>
      </c>
      <c r="F612" s="190" t="s">
        <v>2160</v>
      </c>
      <c r="G612" s="173">
        <v>304</v>
      </c>
      <c r="H612" s="173" t="s">
        <v>127</v>
      </c>
      <c r="I612" s="174">
        <v>3.89</v>
      </c>
      <c r="J612" s="174"/>
      <c r="K612" s="174"/>
      <c r="L612" s="174"/>
      <c r="M612" s="191">
        <v>639</v>
      </c>
      <c r="N612" s="176">
        <v>10.35</v>
      </c>
      <c r="O612" s="176"/>
      <c r="P612" s="177"/>
      <c r="Q612" s="178"/>
      <c r="R612" s="179"/>
      <c r="S612" s="179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80" t="s">
        <v>1881</v>
      </c>
      <c r="AE612" s="173" t="s">
        <v>69</v>
      </c>
      <c r="AF612" s="181" t="s">
        <v>142</v>
      </c>
      <c r="AG612" s="192" t="s">
        <v>1653</v>
      </c>
      <c r="AH612" s="198"/>
      <c r="AI612" s="181">
        <v>44880</v>
      </c>
      <c r="AJ612" s="181"/>
      <c r="AK612" s="181">
        <f ca="1">TODAY()</f>
        <v>44958</v>
      </c>
      <c r="AL612" s="173">
        <f ca="1">IF(AI612&lt;&gt;0,AK612-AI612,0)</f>
        <v>78</v>
      </c>
      <c r="AM612" s="173" t="str">
        <f>IF(ISNUMBER(X612)=TRUE,AK612-X612,IF(X612="","",(AK612)-(MID(RIGHT(X612,10),4,2)&amp;"/"&amp;LEFT((RIGHT(X612,10)),2)&amp;"/"&amp;RIGHT(X612,4))))</f>
        <v/>
      </c>
      <c r="AN612" s="181"/>
      <c r="AO612" s="190" t="s">
        <v>2158</v>
      </c>
      <c r="AP612" s="176">
        <v>10.35</v>
      </c>
      <c r="AQ612" s="176">
        <v>10.36</v>
      </c>
      <c r="AR612" s="176">
        <v>10.384999999999998</v>
      </c>
      <c r="AS612" s="176">
        <v>10.389999999999999</v>
      </c>
      <c r="AT612" s="173" t="str">
        <f>IF(ISNUMBER(U612)=TRUE,AK612-U612,IF(U612="","",(AK612)-(MID(RIGHT(U612,10),4,2)&amp;"/"&amp;LEFT((RIGHT(U612,10)),2)&amp;"/"&amp;RIGHT(U612,4))))</f>
        <v/>
      </c>
      <c r="AU612" s="173">
        <v>459</v>
      </c>
      <c r="AW612" s="142" t="s">
        <v>123</v>
      </c>
    </row>
    <row r="613" spans="2:49" s="142" customFormat="1" ht="21" customHeight="1" x14ac:dyDescent="0.25">
      <c r="B613" s="173" t="str">
        <f>IF(C613="HOLD RM","HOLD RM",IF(C613="BAL","WIP",IF(C613="HOLD SLT","HOLD SLT",IF(C613="MILL","RM",IF(C613="RE SLT","WIP",IF(C613="RM","RM",IF(C613="RM BAL","RM",IF(C613="RM SLT","RM",IF(C613="RR","WIP",IF(C613="SKP","WIP",IF(C613="SLT","WIP",IF(C613="CTL","WIP",IF(C613="RM SLT RUST","RM SLT RUST",0)))))))))))))&amp;"-"&amp;G613&amp;"/"&amp;IF(H613="2B","2B",IF(H613="NO.1","1D",IF(H613="FH","FH",0)))&amp;"-"&amp;IF(J613="",(TEXT(I613,"0.00")),TEXT(J613,"0.00"))&amp;"X"&amp;M613</f>
        <v>RM-304L/1D-3.80X643</v>
      </c>
      <c r="C613" s="173" t="s">
        <v>48</v>
      </c>
      <c r="D613" s="173" t="s">
        <v>48</v>
      </c>
      <c r="E613" s="190" t="s">
        <v>2161</v>
      </c>
      <c r="F613" s="190" t="s">
        <v>2162</v>
      </c>
      <c r="G613" s="173" t="s">
        <v>182</v>
      </c>
      <c r="H613" s="173" t="s">
        <v>127</v>
      </c>
      <c r="I613" s="174">
        <v>3.8</v>
      </c>
      <c r="J613" s="174"/>
      <c r="K613" s="174"/>
      <c r="L613" s="174"/>
      <c r="M613" s="191">
        <v>643</v>
      </c>
      <c r="N613" s="176">
        <v>10.625</v>
      </c>
      <c r="O613" s="176"/>
      <c r="P613" s="177"/>
      <c r="Q613" s="178"/>
      <c r="R613" s="179"/>
      <c r="S613" s="179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80" t="s">
        <v>1881</v>
      </c>
      <c r="AE613" s="173" t="s">
        <v>69</v>
      </c>
      <c r="AF613" s="181" t="s">
        <v>142</v>
      </c>
      <c r="AG613" s="192" t="s">
        <v>1653</v>
      </c>
      <c r="AH613" s="198"/>
      <c r="AI613" s="181">
        <v>44880</v>
      </c>
      <c r="AJ613" s="181"/>
      <c r="AK613" s="181">
        <f ca="1">TODAY()</f>
        <v>44958</v>
      </c>
      <c r="AL613" s="173">
        <f ca="1">IF(AI613&lt;&gt;0,AK613-AI613,0)</f>
        <v>78</v>
      </c>
      <c r="AM613" s="173" t="str">
        <f>IF(ISNUMBER(X613)=TRUE,AK613-X613,IF(X613="","",(AK613)-(MID(RIGHT(X613,10),4,2)&amp;"/"&amp;LEFT((RIGHT(X613,10)),2)&amp;"/"&amp;RIGHT(X613,4))))</f>
        <v/>
      </c>
      <c r="AN613" s="181"/>
      <c r="AO613" s="190" t="s">
        <v>2163</v>
      </c>
      <c r="AP613" s="176">
        <v>10.625</v>
      </c>
      <c r="AQ613" s="176">
        <v>10.635</v>
      </c>
      <c r="AR613" s="176">
        <v>10.659999999999998</v>
      </c>
      <c r="AS613" s="176">
        <v>10.664999999999999</v>
      </c>
      <c r="AT613" s="173" t="str">
        <f>IF(ISNUMBER(U613)=TRUE,AK613-U613,IF(U613="","",(AK613)-(MID(RIGHT(U613,10),4,2)&amp;"/"&amp;LEFT((RIGHT(U613,10)),2)&amp;"/"&amp;RIGHT(U613,4))))</f>
        <v/>
      </c>
      <c r="AU613" s="173">
        <v>459</v>
      </c>
      <c r="AW613" s="142" t="s">
        <v>123</v>
      </c>
    </row>
    <row r="614" spans="2:49" s="142" customFormat="1" ht="21" customHeight="1" x14ac:dyDescent="0.25">
      <c r="B614" s="173" t="str">
        <f>IF(C614="HOLD RM","HOLD RM",IF(C614="BAL","WIP",IF(C614="HOLD SLT","HOLD SLT",IF(C614="MILL","RM",IF(C614="RE SLT","WIP",IF(C614="RM","RM",IF(C614="RM BAL","RM",IF(C614="RM SLT","RM",IF(C614="RR","WIP",IF(C614="SKP","WIP",IF(C614="SLT","WIP",IF(C614="CTL","WIP",IF(C614="RM SLT RUST","RM SLT RUST",0)))))))))))))&amp;"-"&amp;G614&amp;"/"&amp;IF(H614="2B","2B",IF(H614="NO.1","1D",IF(H614="FH","FH",0)))&amp;"-"&amp;IF(J614="",(TEXT(I614,"0.00")),TEXT(J614,"0.00"))&amp;"X"&amp;M614</f>
        <v>RM-304L/1D-3.81X643</v>
      </c>
      <c r="C614" s="173" t="s">
        <v>48</v>
      </c>
      <c r="D614" s="173" t="s">
        <v>48</v>
      </c>
      <c r="E614" s="190" t="s">
        <v>2164</v>
      </c>
      <c r="F614" s="190" t="s">
        <v>2165</v>
      </c>
      <c r="G614" s="173" t="s">
        <v>182</v>
      </c>
      <c r="H614" s="173" t="s">
        <v>127</v>
      </c>
      <c r="I614" s="174">
        <v>3.81</v>
      </c>
      <c r="J614" s="174"/>
      <c r="K614" s="174"/>
      <c r="L614" s="174"/>
      <c r="M614" s="191">
        <v>643</v>
      </c>
      <c r="N614" s="176">
        <v>10.664999999999999</v>
      </c>
      <c r="O614" s="176"/>
      <c r="P614" s="177"/>
      <c r="Q614" s="178"/>
      <c r="R614" s="179"/>
      <c r="S614" s="179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80" t="s">
        <v>1881</v>
      </c>
      <c r="AE614" s="173" t="s">
        <v>69</v>
      </c>
      <c r="AF614" s="181" t="s">
        <v>142</v>
      </c>
      <c r="AG614" s="192" t="s">
        <v>1653</v>
      </c>
      <c r="AH614" s="198"/>
      <c r="AI614" s="181">
        <v>44880</v>
      </c>
      <c r="AJ614" s="181"/>
      <c r="AK614" s="181">
        <f ca="1">TODAY()</f>
        <v>44958</v>
      </c>
      <c r="AL614" s="173">
        <f ca="1">IF(AI614&lt;&gt;0,AK614-AI614,0)</f>
        <v>78</v>
      </c>
      <c r="AM614" s="173" t="str">
        <f>IF(ISNUMBER(X614)=TRUE,AK614-X614,IF(X614="","",(AK614)-(MID(RIGHT(X614,10),4,2)&amp;"/"&amp;LEFT((RIGHT(X614,10)),2)&amp;"/"&amp;RIGHT(X614,4))))</f>
        <v/>
      </c>
      <c r="AN614" s="181"/>
      <c r="AO614" s="190" t="s">
        <v>2163</v>
      </c>
      <c r="AP614" s="176">
        <v>10.664999999999999</v>
      </c>
      <c r="AQ614" s="176">
        <v>10.674999999999999</v>
      </c>
      <c r="AR614" s="176">
        <v>10.699999999999998</v>
      </c>
      <c r="AS614" s="176">
        <v>10.704999999999998</v>
      </c>
      <c r="AT614" s="173" t="str">
        <f>IF(ISNUMBER(U614)=TRUE,AK614-U614,IF(U614="","",(AK614)-(MID(RIGHT(U614,10),4,2)&amp;"/"&amp;LEFT((RIGHT(U614,10)),2)&amp;"/"&amp;RIGHT(U614,4))))</f>
        <v/>
      </c>
      <c r="AU614" s="173">
        <v>459</v>
      </c>
      <c r="AW614" s="142" t="s">
        <v>123</v>
      </c>
    </row>
    <row r="615" spans="2:49" s="142" customFormat="1" ht="21" customHeight="1" x14ac:dyDescent="0.25">
      <c r="B615" s="173" t="str">
        <f>IF(C615="HOLD RM","HOLD RM",IF(C615="BAL","WIP",IF(C615="HOLD SLT","HOLD SLT",IF(C615="MILL","RM",IF(C615="RE SLT","WIP",IF(C615="RM","RM",IF(C615="RM BAL","RM",IF(C615="RM SLT","RM",IF(C615="RR","WIP",IF(C615="SKP","WIP",IF(C615="SLT","WIP",IF(C615="CTL","WIP",IF(C615="RM SLT RUST","RM SLT RUST",0)))))))))))))&amp;"-"&amp;G615&amp;"/"&amp;IF(H615="2B","2B",IF(H615="NO.1","1D",IF(H615="FH","FH",0)))&amp;"-"&amp;IF(J615="",(TEXT(I615,"0.00")),TEXT(J615,"0.00"))&amp;"X"&amp;M615</f>
        <v>RM-304/1D-3.88X639</v>
      </c>
      <c r="C615" s="173" t="s">
        <v>48</v>
      </c>
      <c r="D615" s="173" t="s">
        <v>48</v>
      </c>
      <c r="E615" s="190" t="s">
        <v>2166</v>
      </c>
      <c r="F615" s="190" t="s">
        <v>2167</v>
      </c>
      <c r="G615" s="173">
        <v>304</v>
      </c>
      <c r="H615" s="173" t="s">
        <v>127</v>
      </c>
      <c r="I615" s="174">
        <v>3.88</v>
      </c>
      <c r="J615" s="174"/>
      <c r="K615" s="174"/>
      <c r="L615" s="174"/>
      <c r="M615" s="191">
        <v>639</v>
      </c>
      <c r="N615" s="176">
        <v>10.505000000000001</v>
      </c>
      <c r="O615" s="176"/>
      <c r="P615" s="177"/>
      <c r="Q615" s="178"/>
      <c r="R615" s="179"/>
      <c r="S615" s="179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80" t="s">
        <v>1881</v>
      </c>
      <c r="AE615" s="173" t="s">
        <v>69</v>
      </c>
      <c r="AF615" s="181" t="s">
        <v>142</v>
      </c>
      <c r="AG615" s="192" t="s">
        <v>1653</v>
      </c>
      <c r="AH615" s="198"/>
      <c r="AI615" s="181">
        <v>44880</v>
      </c>
      <c r="AJ615" s="181"/>
      <c r="AK615" s="181">
        <f ca="1">TODAY()</f>
        <v>44958</v>
      </c>
      <c r="AL615" s="173">
        <f ca="1">IF(AI615&lt;&gt;0,AK615-AI615,0)</f>
        <v>78</v>
      </c>
      <c r="AM615" s="173" t="str">
        <f>IF(ISNUMBER(X615)=TRUE,AK615-X615,IF(X615="","",(AK615)-(MID(RIGHT(X615,10),4,2)&amp;"/"&amp;LEFT((RIGHT(X615,10)),2)&amp;"/"&amp;RIGHT(X615,4))))</f>
        <v/>
      </c>
      <c r="AN615" s="181"/>
      <c r="AO615" s="190" t="s">
        <v>2168</v>
      </c>
      <c r="AP615" s="176">
        <v>10.505000000000001</v>
      </c>
      <c r="AQ615" s="176">
        <v>10.515000000000001</v>
      </c>
      <c r="AR615" s="176">
        <v>10.54</v>
      </c>
      <c r="AS615" s="176">
        <v>10.545</v>
      </c>
      <c r="AT615" s="173" t="str">
        <f>IF(ISNUMBER(U615)=TRUE,AK615-U615,IF(U615="","",(AK615)-(MID(RIGHT(U615,10),4,2)&amp;"/"&amp;LEFT((RIGHT(U615,10)),2)&amp;"/"&amp;RIGHT(U615,4))))</f>
        <v/>
      </c>
      <c r="AU615" s="173">
        <v>459</v>
      </c>
      <c r="AW615" s="142" t="s">
        <v>123</v>
      </c>
    </row>
    <row r="616" spans="2:49" s="142" customFormat="1" ht="21" customHeight="1" x14ac:dyDescent="0.25">
      <c r="B616" s="173" t="str">
        <f>IF(C616="HOLD RM","HOLD RM",IF(C616="BAL","WIP",IF(C616="HOLD SLT","HOLD SLT",IF(C616="MILL","RM",IF(C616="RE SLT","WIP",IF(C616="RM","RM",IF(C616="RM BAL","RM",IF(C616="RM SLT","RM",IF(C616="RR","WIP",IF(C616="SKP","WIP",IF(C616="SLT","WIP",IF(C616="CTL","WIP",IF(C616="RM SLT RUST","RM SLT RUST",0)))))))))))))&amp;"-"&amp;G616&amp;"/"&amp;IF(H616="2B","2B",IF(H616="NO.1","1D",IF(H616="FH","FH",0)))&amp;"-"&amp;IF(J616="",(TEXT(I616,"0.00")),TEXT(J616,"0.00"))&amp;"X"&amp;M616</f>
        <v>RM-304/1D-3.88X636</v>
      </c>
      <c r="C616" s="173" t="s">
        <v>48</v>
      </c>
      <c r="D616" s="173" t="s">
        <v>48</v>
      </c>
      <c r="E616" s="190" t="s">
        <v>2169</v>
      </c>
      <c r="F616" s="190" t="s">
        <v>2170</v>
      </c>
      <c r="G616" s="173">
        <v>304</v>
      </c>
      <c r="H616" s="173" t="s">
        <v>127</v>
      </c>
      <c r="I616" s="174">
        <v>3.88</v>
      </c>
      <c r="J616" s="174"/>
      <c r="K616" s="174"/>
      <c r="L616" s="174"/>
      <c r="M616" s="191">
        <v>636</v>
      </c>
      <c r="N616" s="176">
        <v>10.395</v>
      </c>
      <c r="O616" s="176"/>
      <c r="P616" s="177"/>
      <c r="Q616" s="178"/>
      <c r="R616" s="179"/>
      <c r="S616" s="179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80" t="s">
        <v>1881</v>
      </c>
      <c r="AE616" s="173" t="s">
        <v>69</v>
      </c>
      <c r="AF616" s="181" t="s">
        <v>142</v>
      </c>
      <c r="AG616" s="192" t="s">
        <v>1653</v>
      </c>
      <c r="AH616" s="198"/>
      <c r="AI616" s="181">
        <v>44880</v>
      </c>
      <c r="AJ616" s="181"/>
      <c r="AK616" s="181">
        <f ca="1">TODAY()</f>
        <v>44958</v>
      </c>
      <c r="AL616" s="173">
        <f ca="1">IF(AI616&lt;&gt;0,AK616-AI616,0)</f>
        <v>78</v>
      </c>
      <c r="AM616" s="173" t="str">
        <f>IF(ISNUMBER(X616)=TRUE,AK616-X616,IF(X616="","",(AK616)-(MID(RIGHT(X616,10),4,2)&amp;"/"&amp;LEFT((RIGHT(X616,10)),2)&amp;"/"&amp;RIGHT(X616,4))))</f>
        <v/>
      </c>
      <c r="AN616" s="181"/>
      <c r="AO616" s="190" t="s">
        <v>2168</v>
      </c>
      <c r="AP616" s="176">
        <v>10.395</v>
      </c>
      <c r="AQ616" s="176">
        <v>10.404999999999999</v>
      </c>
      <c r="AR616" s="176">
        <v>10.429999999999998</v>
      </c>
      <c r="AS616" s="176">
        <v>10.434999999999999</v>
      </c>
      <c r="AT616" s="173" t="str">
        <f>IF(ISNUMBER(U616)=TRUE,AK616-U616,IF(U616="","",(AK616)-(MID(RIGHT(U616,10),4,2)&amp;"/"&amp;LEFT((RIGHT(U616,10)),2)&amp;"/"&amp;RIGHT(U616,4))))</f>
        <v/>
      </c>
      <c r="AU616" s="173">
        <v>459</v>
      </c>
      <c r="AW616" s="142" t="s">
        <v>123</v>
      </c>
    </row>
    <row r="617" spans="2:49" s="142" customFormat="1" ht="21" customHeight="1" x14ac:dyDescent="0.25">
      <c r="B617" s="173" t="str">
        <f>IF(C617="HOLD RM","HOLD RM",IF(C617="BAL","WIP",IF(C617="HOLD SLT","HOLD SLT",IF(C617="MILL","RM",IF(C617="RE SLT","WIP",IF(C617="RM","RM",IF(C617="RM BAL","RM",IF(C617="RM SLT","RM",IF(C617="RR","WIP",IF(C617="SKP","WIP",IF(C617="SLT","WIP",IF(C617="CTL","WIP",IF(C617="RM SLT RUST","RM SLT RUST",0)))))))))))))&amp;"-"&amp;G617&amp;"/"&amp;IF(H617="2B","2B",IF(H617="NO.1","1D",IF(H617="FH","FH",0)))&amp;"-"&amp;IF(J617="",(TEXT(I617,"0.00")),TEXT(J617,"0.00"))&amp;"X"&amp;M617</f>
        <v>RM-304/1D-3.91X639</v>
      </c>
      <c r="C617" s="173" t="s">
        <v>48</v>
      </c>
      <c r="D617" s="173" t="s">
        <v>48</v>
      </c>
      <c r="E617" s="190" t="s">
        <v>2171</v>
      </c>
      <c r="F617" s="190" t="s">
        <v>2172</v>
      </c>
      <c r="G617" s="173">
        <v>304</v>
      </c>
      <c r="H617" s="173" t="s">
        <v>127</v>
      </c>
      <c r="I617" s="174">
        <v>3.91</v>
      </c>
      <c r="J617" s="174"/>
      <c r="K617" s="174"/>
      <c r="L617" s="174"/>
      <c r="M617" s="191">
        <v>639</v>
      </c>
      <c r="N617" s="176">
        <v>10.375</v>
      </c>
      <c r="O617" s="176"/>
      <c r="P617" s="177"/>
      <c r="Q617" s="178"/>
      <c r="R617" s="179"/>
      <c r="S617" s="179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80" t="s">
        <v>1881</v>
      </c>
      <c r="AE617" s="173" t="s">
        <v>69</v>
      </c>
      <c r="AF617" s="181" t="s">
        <v>142</v>
      </c>
      <c r="AG617" s="192" t="s">
        <v>1653</v>
      </c>
      <c r="AH617" s="198"/>
      <c r="AI617" s="181">
        <v>44880</v>
      </c>
      <c r="AJ617" s="181"/>
      <c r="AK617" s="181">
        <f ca="1">TODAY()</f>
        <v>44958</v>
      </c>
      <c r="AL617" s="173">
        <f ca="1">IF(AI617&lt;&gt;0,AK617-AI617,0)</f>
        <v>78</v>
      </c>
      <c r="AM617" s="173" t="str">
        <f>IF(ISNUMBER(X617)=TRUE,AK617-X617,IF(X617="","",(AK617)-(MID(RIGHT(X617,10),4,2)&amp;"/"&amp;LEFT((RIGHT(X617,10)),2)&amp;"/"&amp;RIGHT(X617,4))))</f>
        <v/>
      </c>
      <c r="AN617" s="181"/>
      <c r="AO617" s="190" t="s">
        <v>2173</v>
      </c>
      <c r="AP617" s="176">
        <v>10.375</v>
      </c>
      <c r="AQ617" s="176">
        <v>10.385</v>
      </c>
      <c r="AR617" s="176">
        <v>10.409999999999998</v>
      </c>
      <c r="AS617" s="176">
        <v>10.414999999999999</v>
      </c>
      <c r="AT617" s="173" t="str">
        <f>IF(ISNUMBER(U617)=TRUE,AK617-U617,IF(U617="","",(AK617)-(MID(RIGHT(U617,10),4,2)&amp;"/"&amp;LEFT((RIGHT(U617,10)),2)&amp;"/"&amp;RIGHT(U617,4))))</f>
        <v/>
      </c>
      <c r="AU617" s="173">
        <v>459</v>
      </c>
      <c r="AW617" s="142" t="s">
        <v>123</v>
      </c>
    </row>
    <row r="618" spans="2:49" s="142" customFormat="1" ht="21" customHeight="1" x14ac:dyDescent="0.25">
      <c r="B618" s="173" t="str">
        <f>IF(C618="HOLD RM","HOLD RM",IF(C618="BAL","WIP",IF(C618="HOLD SLT","HOLD SLT",IF(C618="MILL","RM",IF(C618="RE SLT","WIP",IF(C618="RM","RM",IF(C618="RM BAL","RM",IF(C618="RM SLT","RM",IF(C618="RR","WIP",IF(C618="SKP","WIP",IF(C618="SLT","WIP",IF(C618="CTL","WIP",IF(C618="RM SLT RUST","RM SLT RUST",0)))))))))))))&amp;"-"&amp;G618&amp;"/"&amp;IF(H618="2B","2B",IF(H618="NO.1","1D",IF(H618="FH","FH",0)))&amp;"-"&amp;IF(J618="",(TEXT(I618,"0.00")),TEXT(J618,"0.00"))&amp;"X"&amp;M618</f>
        <v>RM-304/1D-3.90X639</v>
      </c>
      <c r="C618" s="173" t="s">
        <v>48</v>
      </c>
      <c r="D618" s="173" t="s">
        <v>48</v>
      </c>
      <c r="E618" s="190" t="s">
        <v>2174</v>
      </c>
      <c r="F618" s="190" t="s">
        <v>2175</v>
      </c>
      <c r="G618" s="173">
        <v>304</v>
      </c>
      <c r="H618" s="173" t="s">
        <v>127</v>
      </c>
      <c r="I618" s="174">
        <v>3.9</v>
      </c>
      <c r="J618" s="174"/>
      <c r="K618" s="174"/>
      <c r="L618" s="174"/>
      <c r="M618" s="191">
        <v>639</v>
      </c>
      <c r="N618" s="176">
        <v>10.26</v>
      </c>
      <c r="O618" s="176"/>
      <c r="P618" s="177"/>
      <c r="Q618" s="178"/>
      <c r="R618" s="179"/>
      <c r="S618" s="179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80" t="s">
        <v>1881</v>
      </c>
      <c r="AE618" s="173" t="s">
        <v>69</v>
      </c>
      <c r="AF618" s="181" t="s">
        <v>142</v>
      </c>
      <c r="AG618" s="192" t="s">
        <v>1653</v>
      </c>
      <c r="AH618" s="198"/>
      <c r="AI618" s="181">
        <v>44880</v>
      </c>
      <c r="AJ618" s="181"/>
      <c r="AK618" s="181">
        <f ca="1">TODAY()</f>
        <v>44958</v>
      </c>
      <c r="AL618" s="173">
        <f ca="1">IF(AI618&lt;&gt;0,AK618-AI618,0)</f>
        <v>78</v>
      </c>
      <c r="AM618" s="173" t="str">
        <f>IF(ISNUMBER(X618)=TRUE,AK618-X618,IF(X618="","",(AK618)-(MID(RIGHT(X618,10),4,2)&amp;"/"&amp;LEFT((RIGHT(X618,10)),2)&amp;"/"&amp;RIGHT(X618,4))))</f>
        <v/>
      </c>
      <c r="AN618" s="181"/>
      <c r="AO618" s="190" t="s">
        <v>2173</v>
      </c>
      <c r="AP618" s="176">
        <v>10.26</v>
      </c>
      <c r="AQ618" s="176">
        <v>10.27</v>
      </c>
      <c r="AR618" s="176">
        <v>10.294999999999998</v>
      </c>
      <c r="AS618" s="176">
        <v>10.299999999999999</v>
      </c>
      <c r="AT618" s="173" t="str">
        <f>IF(ISNUMBER(U618)=TRUE,AK618-U618,IF(U618="","",(AK618)-(MID(RIGHT(U618,10),4,2)&amp;"/"&amp;LEFT((RIGHT(U618,10)),2)&amp;"/"&amp;RIGHT(U618,4))))</f>
        <v/>
      </c>
      <c r="AU618" s="173">
        <v>459</v>
      </c>
      <c r="AW618" s="142" t="s">
        <v>123</v>
      </c>
    </row>
    <row r="619" spans="2:49" s="142" customFormat="1" ht="21" customHeight="1" x14ac:dyDescent="0.25">
      <c r="B619" s="173" t="str">
        <f>IF(C619="HOLD RM","HOLD RM",IF(C619="BAL","WIP",IF(C619="HOLD SLT","HOLD SLT",IF(C619="MILL","RM",IF(C619="RE SLT","WIP",IF(C619="RM","RM",IF(C619="RM BAL","RM",IF(C619="RM SLT","RM",IF(C619="RR","WIP",IF(C619="SKP","WIP",IF(C619="SLT","WIP",IF(C619="CTL","WIP",IF(C619="RM SLT RUST","RM SLT RUST",0)))))))))))))&amp;"-"&amp;G619&amp;"/"&amp;IF(H619="2B","2B",IF(H619="NO.1","1D",IF(H619="FH","FH",0)))&amp;"-"&amp;IF(J619="",(TEXT(I619,"0.00")),TEXT(J619,"0.00"))&amp;"X"&amp;M619</f>
        <v>RM-304L/1D-3.91X636</v>
      </c>
      <c r="C619" s="173" t="s">
        <v>48</v>
      </c>
      <c r="D619" s="173" t="s">
        <v>48</v>
      </c>
      <c r="E619" s="190" t="s">
        <v>2176</v>
      </c>
      <c r="F619" s="190" t="s">
        <v>2177</v>
      </c>
      <c r="G619" s="173" t="s">
        <v>182</v>
      </c>
      <c r="H619" s="173" t="s">
        <v>127</v>
      </c>
      <c r="I619" s="174">
        <v>3.91</v>
      </c>
      <c r="J619" s="174"/>
      <c r="K619" s="174"/>
      <c r="L619" s="174"/>
      <c r="M619" s="191">
        <v>636</v>
      </c>
      <c r="N619" s="176">
        <v>10.425000000000001</v>
      </c>
      <c r="O619" s="176"/>
      <c r="P619" s="177"/>
      <c r="Q619" s="178"/>
      <c r="R619" s="179"/>
      <c r="S619" s="179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80" t="s">
        <v>1881</v>
      </c>
      <c r="AE619" s="173" t="s">
        <v>69</v>
      </c>
      <c r="AF619" s="181" t="s">
        <v>142</v>
      </c>
      <c r="AG619" s="192" t="s">
        <v>1653</v>
      </c>
      <c r="AH619" s="198"/>
      <c r="AI619" s="181">
        <v>44880</v>
      </c>
      <c r="AJ619" s="181"/>
      <c r="AK619" s="181">
        <f ca="1">TODAY()</f>
        <v>44958</v>
      </c>
      <c r="AL619" s="173">
        <f ca="1">IF(AI619&lt;&gt;0,AK619-AI619,0)</f>
        <v>78</v>
      </c>
      <c r="AM619" s="173" t="str">
        <f>IF(ISNUMBER(X619)=TRUE,AK619-X619,IF(X619="","",(AK619)-(MID(RIGHT(X619,10),4,2)&amp;"/"&amp;LEFT((RIGHT(X619,10)),2)&amp;"/"&amp;RIGHT(X619,4))))</f>
        <v/>
      </c>
      <c r="AN619" s="181"/>
      <c r="AO619" s="190" t="s">
        <v>2178</v>
      </c>
      <c r="AP619" s="176">
        <v>10.425000000000001</v>
      </c>
      <c r="AQ619" s="176">
        <v>10.435</v>
      </c>
      <c r="AR619" s="176">
        <v>10.459999999999999</v>
      </c>
      <c r="AS619" s="176">
        <v>10.465</v>
      </c>
      <c r="AT619" s="173" t="str">
        <f>IF(ISNUMBER(U619)=TRUE,AK619-U619,IF(U619="","",(AK619)-(MID(RIGHT(U619,10),4,2)&amp;"/"&amp;LEFT((RIGHT(U619,10)),2)&amp;"/"&amp;RIGHT(U619,4))))</f>
        <v/>
      </c>
      <c r="AU619" s="173">
        <v>459</v>
      </c>
      <c r="AW619" s="142" t="s">
        <v>123</v>
      </c>
    </row>
    <row r="620" spans="2:49" s="142" customFormat="1" ht="21" customHeight="1" x14ac:dyDescent="0.25">
      <c r="B620" s="173" t="str">
        <f>IF(C620="HOLD RM","HOLD RM",IF(C620="BAL","WIP",IF(C620="HOLD SLT","HOLD SLT",IF(C620="MILL","RM",IF(C620="RE SLT","WIP",IF(C620="RM","RM",IF(C620="RM BAL","RM",IF(C620="RM SLT","RM",IF(C620="RR","WIP",IF(C620="SKP","WIP",IF(C620="SLT","WIP",IF(C620="CTL","WIP",IF(C620="RM SLT RUST","RM SLT RUST",0)))))))))))))&amp;"-"&amp;G620&amp;"/"&amp;IF(H620="2B","2B",IF(H620="NO.1","1D",IF(H620="FH","FH",0)))&amp;"-"&amp;IF(J620="",(TEXT(I620,"0.00")),TEXT(J620,"0.00"))&amp;"X"&amp;M620</f>
        <v>RM-304L/1D-3.92X643</v>
      </c>
      <c r="C620" s="173" t="s">
        <v>48</v>
      </c>
      <c r="D620" s="173" t="s">
        <v>48</v>
      </c>
      <c r="E620" s="190" t="s">
        <v>2179</v>
      </c>
      <c r="F620" s="190" t="s">
        <v>2180</v>
      </c>
      <c r="G620" s="173" t="s">
        <v>182</v>
      </c>
      <c r="H620" s="173" t="s">
        <v>127</v>
      </c>
      <c r="I620" s="174">
        <v>3.92</v>
      </c>
      <c r="J620" s="174"/>
      <c r="K620" s="174"/>
      <c r="L620" s="174"/>
      <c r="M620" s="191">
        <v>643</v>
      </c>
      <c r="N620" s="176">
        <v>10.4</v>
      </c>
      <c r="O620" s="176"/>
      <c r="P620" s="177"/>
      <c r="Q620" s="178"/>
      <c r="R620" s="179"/>
      <c r="S620" s="179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80" t="s">
        <v>1881</v>
      </c>
      <c r="AE620" s="173" t="s">
        <v>69</v>
      </c>
      <c r="AF620" s="181" t="s">
        <v>142</v>
      </c>
      <c r="AG620" s="192" t="s">
        <v>1653</v>
      </c>
      <c r="AH620" s="198"/>
      <c r="AI620" s="181">
        <v>44880</v>
      </c>
      <c r="AJ620" s="181"/>
      <c r="AK620" s="181">
        <f ca="1">TODAY()</f>
        <v>44958</v>
      </c>
      <c r="AL620" s="173">
        <f ca="1">IF(AI620&lt;&gt;0,AK620-AI620,0)</f>
        <v>78</v>
      </c>
      <c r="AM620" s="173" t="str">
        <f>IF(ISNUMBER(X620)=TRUE,AK620-X620,IF(X620="","",(AK620)-(MID(RIGHT(X620,10),4,2)&amp;"/"&amp;LEFT((RIGHT(X620,10)),2)&amp;"/"&amp;RIGHT(X620,4))))</f>
        <v/>
      </c>
      <c r="AN620" s="181"/>
      <c r="AO620" s="190" t="s">
        <v>2178</v>
      </c>
      <c r="AP620" s="176">
        <v>10.4</v>
      </c>
      <c r="AQ620" s="176">
        <v>10.41</v>
      </c>
      <c r="AR620" s="176">
        <v>10.434999999999999</v>
      </c>
      <c r="AS620" s="176">
        <v>10.44</v>
      </c>
      <c r="AT620" s="173" t="str">
        <f>IF(ISNUMBER(U620)=TRUE,AK620-U620,IF(U620="","",(AK620)-(MID(RIGHT(U620,10),4,2)&amp;"/"&amp;LEFT((RIGHT(U620,10)),2)&amp;"/"&amp;RIGHT(U620,4))))</f>
        <v/>
      </c>
      <c r="AU620" s="173">
        <v>459</v>
      </c>
      <c r="AW620" s="142" t="s">
        <v>123</v>
      </c>
    </row>
    <row r="621" spans="2:49" s="142" customFormat="1" ht="21" customHeight="1" x14ac:dyDescent="0.25">
      <c r="B621" s="173" t="str">
        <f>IF(C621="HOLD RM","HOLD RM",IF(C621="BAL","WIP",IF(C621="HOLD SLT","HOLD SLT",IF(C621="MILL","RM",IF(C621="RE SLT","WIP",IF(C621="RM","RM",IF(C621="RM BAL","RM",IF(C621="RM SLT","RM",IF(C621="RR","WIP",IF(C621="SKP","WIP",IF(C621="SLT","WIP",IF(C621="CTL","WIP",IF(C621="RM SLT RUST","RM SLT RUST",0)))))))))))))&amp;"-"&amp;G621&amp;"/"&amp;IF(H621="2B","2B",IF(H621="NO.1","1D",IF(H621="FH","FH",0)))&amp;"-"&amp;IF(J621="",(TEXT(I621,"0.00")),TEXT(J621,"0.00"))&amp;"X"&amp;M621</f>
        <v>RM-304L/1D-3.95X644</v>
      </c>
      <c r="C621" s="173" t="s">
        <v>48</v>
      </c>
      <c r="D621" s="173" t="s">
        <v>48</v>
      </c>
      <c r="E621" s="190" t="s">
        <v>2181</v>
      </c>
      <c r="F621" s="190" t="s">
        <v>2182</v>
      </c>
      <c r="G621" s="173" t="s">
        <v>182</v>
      </c>
      <c r="H621" s="173" t="s">
        <v>127</v>
      </c>
      <c r="I621" s="174">
        <v>3.95</v>
      </c>
      <c r="J621" s="174"/>
      <c r="K621" s="174"/>
      <c r="L621" s="174"/>
      <c r="M621" s="191">
        <v>644</v>
      </c>
      <c r="N621" s="176">
        <v>10.64</v>
      </c>
      <c r="O621" s="176"/>
      <c r="P621" s="177"/>
      <c r="Q621" s="178"/>
      <c r="R621" s="179"/>
      <c r="S621" s="179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80" t="s">
        <v>1898</v>
      </c>
      <c r="AE621" s="173" t="s">
        <v>69</v>
      </c>
      <c r="AF621" s="181" t="s">
        <v>142</v>
      </c>
      <c r="AG621" s="192" t="s">
        <v>1653</v>
      </c>
      <c r="AH621" s="198"/>
      <c r="AI621" s="181">
        <v>44880</v>
      </c>
      <c r="AJ621" s="181"/>
      <c r="AK621" s="181">
        <f ca="1">TODAY()</f>
        <v>44958</v>
      </c>
      <c r="AL621" s="173">
        <f ca="1">IF(AI621&lt;&gt;0,AK621-AI621,0)</f>
        <v>78</v>
      </c>
      <c r="AM621" s="173" t="str">
        <f>IF(ISNUMBER(X621)=TRUE,AK621-X621,IF(X621="","",(AK621)-(MID(RIGHT(X621,10),4,2)&amp;"/"&amp;LEFT((RIGHT(X621,10)),2)&amp;"/"&amp;RIGHT(X621,4))))</f>
        <v/>
      </c>
      <c r="AN621" s="181"/>
      <c r="AO621" s="190" t="s">
        <v>2183</v>
      </c>
      <c r="AP621" s="176">
        <v>10.64</v>
      </c>
      <c r="AQ621" s="176">
        <v>10.65</v>
      </c>
      <c r="AR621" s="176">
        <v>10.674999999999999</v>
      </c>
      <c r="AS621" s="176">
        <v>10.68</v>
      </c>
      <c r="AT621" s="173" t="str">
        <f>IF(ISNUMBER(U621)=TRUE,AK621-U621,IF(U621="","",(AK621)-(MID(RIGHT(U621,10),4,2)&amp;"/"&amp;LEFT((RIGHT(U621,10)),2)&amp;"/"&amp;RIGHT(U621,4))))</f>
        <v/>
      </c>
      <c r="AU621" s="173">
        <v>459</v>
      </c>
      <c r="AW621" s="142" t="s">
        <v>123</v>
      </c>
    </row>
    <row r="622" spans="2:49" s="142" customFormat="1" ht="21" customHeight="1" x14ac:dyDescent="0.25">
      <c r="B622" s="173" t="str">
        <f>IF(C622="HOLD RM","HOLD RM",IF(C622="BAL","WIP",IF(C622="HOLD SLT","HOLD SLT",IF(C622="MILL","RM",IF(C622="RE SLT","WIP",IF(C622="RM","RM",IF(C622="RM BAL","RM",IF(C622="RM SLT","RM",IF(C622="RR","WIP",IF(C622="SKP","WIP",IF(C622="SLT","WIP",IF(C622="CTL","WIP",IF(C622="RM SLT RUST","RM SLT RUST",0)))))))))))))&amp;"-"&amp;G622&amp;"/"&amp;IF(H622="2B","2B",IF(H622="NO.1","1D",IF(H622="FH","FH",0)))&amp;"-"&amp;IF(J622="",(TEXT(I622,"0.00")),TEXT(J622,"0.00"))&amp;"X"&amp;M622</f>
        <v>RM-304L/1D-3.94X642</v>
      </c>
      <c r="C622" s="173" t="s">
        <v>48</v>
      </c>
      <c r="D622" s="173" t="s">
        <v>48</v>
      </c>
      <c r="E622" s="190" t="s">
        <v>2184</v>
      </c>
      <c r="F622" s="190" t="s">
        <v>2185</v>
      </c>
      <c r="G622" s="173" t="s">
        <v>182</v>
      </c>
      <c r="H622" s="173" t="s">
        <v>127</v>
      </c>
      <c r="I622" s="174">
        <v>3.94</v>
      </c>
      <c r="J622" s="174"/>
      <c r="K622" s="174"/>
      <c r="L622" s="174"/>
      <c r="M622" s="191">
        <v>642</v>
      </c>
      <c r="N622" s="176">
        <v>10.61</v>
      </c>
      <c r="O622" s="176"/>
      <c r="P622" s="177"/>
      <c r="Q622" s="178"/>
      <c r="R622" s="179"/>
      <c r="S622" s="179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80" t="s">
        <v>1898</v>
      </c>
      <c r="AE622" s="173" t="s">
        <v>69</v>
      </c>
      <c r="AF622" s="181" t="s">
        <v>142</v>
      </c>
      <c r="AG622" s="192" t="s">
        <v>1653</v>
      </c>
      <c r="AH622" s="198"/>
      <c r="AI622" s="181">
        <v>44880</v>
      </c>
      <c r="AJ622" s="181"/>
      <c r="AK622" s="181">
        <f ca="1">TODAY()</f>
        <v>44958</v>
      </c>
      <c r="AL622" s="173">
        <f ca="1">IF(AI622&lt;&gt;0,AK622-AI622,0)</f>
        <v>78</v>
      </c>
      <c r="AM622" s="173" t="str">
        <f>IF(ISNUMBER(X622)=TRUE,AK622-X622,IF(X622="","",(AK622)-(MID(RIGHT(X622,10),4,2)&amp;"/"&amp;LEFT((RIGHT(X622,10)),2)&amp;"/"&amp;RIGHT(X622,4))))</f>
        <v/>
      </c>
      <c r="AN622" s="181"/>
      <c r="AO622" s="190" t="s">
        <v>2183</v>
      </c>
      <c r="AP622" s="176">
        <v>10.61</v>
      </c>
      <c r="AQ622" s="176">
        <v>10.62</v>
      </c>
      <c r="AR622" s="176">
        <v>10.644999999999998</v>
      </c>
      <c r="AS622" s="176">
        <v>10.649999999999999</v>
      </c>
      <c r="AT622" s="173" t="str">
        <f>IF(ISNUMBER(U622)=TRUE,AK622-U622,IF(U622="","",(AK622)-(MID(RIGHT(U622,10),4,2)&amp;"/"&amp;LEFT((RIGHT(U622,10)),2)&amp;"/"&amp;RIGHT(U622,4))))</f>
        <v/>
      </c>
      <c r="AU622" s="173">
        <v>459</v>
      </c>
      <c r="AW622" s="142" t="s">
        <v>123</v>
      </c>
    </row>
    <row r="623" spans="2:49" s="142" customFormat="1" ht="21" customHeight="1" x14ac:dyDescent="0.25">
      <c r="B623" s="173" t="str">
        <f>IF(C623="HOLD RM","HOLD RM",IF(C623="BAL","WIP",IF(C623="HOLD SLT","HOLD SLT",IF(C623="MILL","RM",IF(C623="RE SLT","WIP",IF(C623="RM","RM",IF(C623="RM BAL","RM",IF(C623="RM SLT","RM",IF(C623="RR","WIP",IF(C623="SKP","WIP",IF(C623="SLT","WIP",IF(C623="CTL","WIP",IF(C623="RM SLT RUST","RM SLT RUST",0)))))))))))))&amp;"-"&amp;G623&amp;"/"&amp;IF(H623="2B","2B",IF(H623="NO.1","1D",IF(H623="FH","FH",0)))&amp;"-"&amp;IF(J623="",(TEXT(I623,"0.00")),TEXT(J623,"0.00"))&amp;"X"&amp;M623</f>
        <v>RM-304/1D-3.89X639</v>
      </c>
      <c r="C623" s="173" t="s">
        <v>48</v>
      </c>
      <c r="D623" s="173" t="s">
        <v>48</v>
      </c>
      <c r="E623" s="190" t="s">
        <v>2186</v>
      </c>
      <c r="F623" s="190" t="s">
        <v>2187</v>
      </c>
      <c r="G623" s="173">
        <v>304</v>
      </c>
      <c r="H623" s="173" t="s">
        <v>127</v>
      </c>
      <c r="I623" s="174">
        <v>3.89</v>
      </c>
      <c r="J623" s="174"/>
      <c r="K623" s="174"/>
      <c r="L623" s="174"/>
      <c r="M623" s="191">
        <v>639</v>
      </c>
      <c r="N623" s="176">
        <v>10.345000000000001</v>
      </c>
      <c r="O623" s="176"/>
      <c r="P623" s="177"/>
      <c r="Q623" s="178"/>
      <c r="R623" s="179"/>
      <c r="S623" s="179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80" t="s">
        <v>1881</v>
      </c>
      <c r="AE623" s="173" t="s">
        <v>69</v>
      </c>
      <c r="AF623" s="181" t="s">
        <v>142</v>
      </c>
      <c r="AG623" s="192" t="s">
        <v>1653</v>
      </c>
      <c r="AH623" s="198"/>
      <c r="AI623" s="181">
        <v>44880</v>
      </c>
      <c r="AJ623" s="181"/>
      <c r="AK623" s="181">
        <f ca="1">TODAY()</f>
        <v>44958</v>
      </c>
      <c r="AL623" s="173">
        <f ca="1">IF(AI623&lt;&gt;0,AK623-AI623,0)</f>
        <v>78</v>
      </c>
      <c r="AM623" s="173" t="str">
        <f>IF(ISNUMBER(X623)=TRUE,AK623-X623,IF(X623="","",(AK623)-(MID(RIGHT(X623,10),4,2)&amp;"/"&amp;LEFT((RIGHT(X623,10)),2)&amp;"/"&amp;RIGHT(X623,4))))</f>
        <v/>
      </c>
      <c r="AN623" s="181"/>
      <c r="AO623" s="190" t="s">
        <v>2188</v>
      </c>
      <c r="AP623" s="176">
        <v>10.345000000000001</v>
      </c>
      <c r="AQ623" s="176">
        <v>10.355</v>
      </c>
      <c r="AR623" s="176">
        <v>10.379999999999999</v>
      </c>
      <c r="AS623" s="176">
        <v>10.385</v>
      </c>
      <c r="AT623" s="173" t="str">
        <f>IF(ISNUMBER(U623)=TRUE,AK623-U623,IF(U623="","",(AK623)-(MID(RIGHT(U623,10),4,2)&amp;"/"&amp;LEFT((RIGHT(U623,10)),2)&amp;"/"&amp;RIGHT(U623,4))))</f>
        <v/>
      </c>
      <c r="AU623" s="173">
        <v>459</v>
      </c>
      <c r="AW623" s="142" t="s">
        <v>123</v>
      </c>
    </row>
    <row r="624" spans="2:49" s="142" customFormat="1" ht="21" customHeight="1" x14ac:dyDescent="0.25">
      <c r="B624" s="173" t="str">
        <f>IF(C624="HOLD RM","HOLD RM",IF(C624="BAL","WIP",IF(C624="HOLD SLT","HOLD SLT",IF(C624="MILL","RM",IF(C624="RE SLT","WIP",IF(C624="RM","RM",IF(C624="RM BAL","RM",IF(C624="RM SLT","RM",IF(C624="RR","WIP",IF(C624="SKP","WIP",IF(C624="SLT","WIP",IF(C624="CTL","WIP",IF(C624="RM SLT RUST","RM SLT RUST",0)))))))))))))&amp;"-"&amp;G624&amp;"/"&amp;IF(H624="2B","2B",IF(H624="NO.1","1D",IF(H624="FH","FH",0)))&amp;"-"&amp;IF(J624="",(TEXT(I624,"0.00")),TEXT(J624,"0.00"))&amp;"X"&amp;M624</f>
        <v>RM-304/1D-3.89X637</v>
      </c>
      <c r="C624" s="173" t="s">
        <v>48</v>
      </c>
      <c r="D624" s="173" t="s">
        <v>48</v>
      </c>
      <c r="E624" s="190" t="s">
        <v>2189</v>
      </c>
      <c r="F624" s="190" t="s">
        <v>2190</v>
      </c>
      <c r="G624" s="173">
        <v>304</v>
      </c>
      <c r="H624" s="173" t="s">
        <v>127</v>
      </c>
      <c r="I624" s="174">
        <v>3.89</v>
      </c>
      <c r="J624" s="174"/>
      <c r="K624" s="174"/>
      <c r="L624" s="174"/>
      <c r="M624" s="191">
        <v>637</v>
      </c>
      <c r="N624" s="176">
        <v>10.285</v>
      </c>
      <c r="O624" s="176"/>
      <c r="P624" s="177"/>
      <c r="Q624" s="178"/>
      <c r="R624" s="179"/>
      <c r="S624" s="179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80" t="s">
        <v>1881</v>
      </c>
      <c r="AE624" s="173" t="s">
        <v>69</v>
      </c>
      <c r="AF624" s="181" t="s">
        <v>142</v>
      </c>
      <c r="AG624" s="192" t="s">
        <v>1653</v>
      </c>
      <c r="AH624" s="198"/>
      <c r="AI624" s="181">
        <v>44880</v>
      </c>
      <c r="AJ624" s="181"/>
      <c r="AK624" s="181">
        <f ca="1">TODAY()</f>
        <v>44958</v>
      </c>
      <c r="AL624" s="173">
        <f ca="1">IF(AI624&lt;&gt;0,AK624-AI624,0)</f>
        <v>78</v>
      </c>
      <c r="AM624" s="173" t="str">
        <f>IF(ISNUMBER(X624)=TRUE,AK624-X624,IF(X624="","",(AK624)-(MID(RIGHT(X624,10),4,2)&amp;"/"&amp;LEFT((RIGHT(X624,10)),2)&amp;"/"&amp;RIGHT(X624,4))))</f>
        <v/>
      </c>
      <c r="AN624" s="181"/>
      <c r="AO624" s="190" t="s">
        <v>2188</v>
      </c>
      <c r="AP624" s="176">
        <v>10.285</v>
      </c>
      <c r="AQ624" s="176">
        <v>10.295</v>
      </c>
      <c r="AR624" s="176">
        <v>10.319999999999999</v>
      </c>
      <c r="AS624" s="176">
        <v>10.324999999999999</v>
      </c>
      <c r="AT624" s="173" t="str">
        <f>IF(ISNUMBER(U624)=TRUE,AK624-U624,IF(U624="","",(AK624)-(MID(RIGHT(U624,10),4,2)&amp;"/"&amp;LEFT((RIGHT(U624,10)),2)&amp;"/"&amp;RIGHT(U624,4))))</f>
        <v/>
      </c>
      <c r="AU624" s="173">
        <v>459</v>
      </c>
      <c r="AW624" s="142" t="s">
        <v>123</v>
      </c>
    </row>
    <row r="625" spans="2:49" s="142" customFormat="1" ht="21" customHeight="1" x14ac:dyDescent="0.25">
      <c r="B625" s="173" t="str">
        <f>IF(C625="HOLD RM","HOLD RM",IF(C625="BAL","WIP",IF(C625="HOLD SLT","HOLD SLT",IF(C625="MILL","RM",IF(C625="RE SLT","WIP",IF(C625="RM","RM",IF(C625="RM BAL","RM",IF(C625="RM SLT","RM",IF(C625="RR","WIP",IF(C625="SKP","WIP",IF(C625="SLT","WIP",IF(C625="CTL","WIP",IF(C625="RM SLT RUST","RM SLT RUST",0)))))))))))))&amp;"-"&amp;G625&amp;"/"&amp;IF(H625="2B","2B",IF(H625="NO.1","1D",IF(H625="FH","FH",0)))&amp;"-"&amp;IF(J625="",(TEXT(I625,"0.00")),TEXT(J625,"0.00"))&amp;"X"&amp;M625</f>
        <v>RM-304/1D-3.90X637</v>
      </c>
      <c r="C625" s="173" t="s">
        <v>48</v>
      </c>
      <c r="D625" s="173" t="s">
        <v>48</v>
      </c>
      <c r="E625" s="190" t="s">
        <v>2191</v>
      </c>
      <c r="F625" s="190" t="s">
        <v>2192</v>
      </c>
      <c r="G625" s="173">
        <v>304</v>
      </c>
      <c r="H625" s="173" t="s">
        <v>127</v>
      </c>
      <c r="I625" s="174">
        <v>3.9</v>
      </c>
      <c r="J625" s="174"/>
      <c r="K625" s="174"/>
      <c r="L625" s="174"/>
      <c r="M625" s="191">
        <v>637</v>
      </c>
      <c r="N625" s="176">
        <v>10.48</v>
      </c>
      <c r="O625" s="176"/>
      <c r="P625" s="177"/>
      <c r="Q625" s="178"/>
      <c r="R625" s="179"/>
      <c r="S625" s="179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80" t="s">
        <v>1881</v>
      </c>
      <c r="AE625" s="173" t="s">
        <v>69</v>
      </c>
      <c r="AF625" s="181" t="s">
        <v>142</v>
      </c>
      <c r="AG625" s="192" t="s">
        <v>1653</v>
      </c>
      <c r="AH625" s="198"/>
      <c r="AI625" s="181">
        <v>44880</v>
      </c>
      <c r="AJ625" s="181"/>
      <c r="AK625" s="181">
        <f ca="1">TODAY()</f>
        <v>44958</v>
      </c>
      <c r="AL625" s="173">
        <f ca="1">IF(AI625&lt;&gt;0,AK625-AI625,0)</f>
        <v>78</v>
      </c>
      <c r="AM625" s="173" t="str">
        <f>IF(ISNUMBER(X625)=TRUE,AK625-X625,IF(X625="","",(AK625)-(MID(RIGHT(X625,10),4,2)&amp;"/"&amp;LEFT((RIGHT(X625,10)),2)&amp;"/"&amp;RIGHT(X625,4))))</f>
        <v/>
      </c>
      <c r="AN625" s="181"/>
      <c r="AO625" s="190" t="s">
        <v>2193</v>
      </c>
      <c r="AP625" s="176">
        <v>10.48</v>
      </c>
      <c r="AQ625" s="176">
        <v>10.49</v>
      </c>
      <c r="AR625" s="176">
        <v>10.514999999999999</v>
      </c>
      <c r="AS625" s="176">
        <v>10.52</v>
      </c>
      <c r="AT625" s="173" t="str">
        <f>IF(ISNUMBER(U625)=TRUE,AK625-U625,IF(U625="","",(AK625)-(MID(RIGHT(U625,10),4,2)&amp;"/"&amp;LEFT((RIGHT(U625,10)),2)&amp;"/"&amp;RIGHT(U625,4))))</f>
        <v/>
      </c>
      <c r="AU625" s="173">
        <v>459</v>
      </c>
      <c r="AW625" s="142" t="s">
        <v>123</v>
      </c>
    </row>
    <row r="626" spans="2:49" s="142" customFormat="1" ht="21" customHeight="1" x14ac:dyDescent="0.25">
      <c r="B626" s="173" t="str">
        <f>IF(C626="HOLD RM","HOLD RM",IF(C626="BAL","WIP",IF(C626="HOLD SLT","HOLD SLT",IF(C626="MILL","RM",IF(C626="RE SLT","WIP",IF(C626="RM","RM",IF(C626="RM BAL","RM",IF(C626="RM SLT","RM",IF(C626="RR","WIP",IF(C626="SKP","WIP",IF(C626="SLT","WIP",IF(C626="CTL","WIP",IF(C626="RM SLT RUST","RM SLT RUST",0)))))))))))))&amp;"-"&amp;G626&amp;"/"&amp;IF(H626="2B","2B",IF(H626="NO.1","1D",IF(H626="FH","FH",0)))&amp;"-"&amp;IF(J626="",(TEXT(I626,"0.00")),TEXT(J626,"0.00"))&amp;"X"&amp;M626</f>
        <v>RM-304/1D-3.89X638</v>
      </c>
      <c r="C626" s="173" t="s">
        <v>48</v>
      </c>
      <c r="D626" s="173" t="s">
        <v>48</v>
      </c>
      <c r="E626" s="190" t="s">
        <v>2194</v>
      </c>
      <c r="F626" s="190" t="s">
        <v>2195</v>
      </c>
      <c r="G626" s="173">
        <v>304</v>
      </c>
      <c r="H626" s="173" t="s">
        <v>127</v>
      </c>
      <c r="I626" s="174">
        <v>3.89</v>
      </c>
      <c r="J626" s="174"/>
      <c r="K626" s="174"/>
      <c r="L626" s="174"/>
      <c r="M626" s="191">
        <v>638</v>
      </c>
      <c r="N626" s="176">
        <v>10.45</v>
      </c>
      <c r="O626" s="176"/>
      <c r="P626" s="177"/>
      <c r="Q626" s="178"/>
      <c r="R626" s="179"/>
      <c r="S626" s="179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80" t="s">
        <v>1881</v>
      </c>
      <c r="AE626" s="173" t="s">
        <v>69</v>
      </c>
      <c r="AF626" s="181" t="s">
        <v>142</v>
      </c>
      <c r="AG626" s="192" t="s">
        <v>1653</v>
      </c>
      <c r="AH626" s="198"/>
      <c r="AI626" s="181">
        <v>44880</v>
      </c>
      <c r="AJ626" s="181"/>
      <c r="AK626" s="181">
        <f ca="1">TODAY()</f>
        <v>44958</v>
      </c>
      <c r="AL626" s="173">
        <f ca="1">IF(AI626&lt;&gt;0,AK626-AI626,0)</f>
        <v>78</v>
      </c>
      <c r="AM626" s="173" t="str">
        <f>IF(ISNUMBER(X626)=TRUE,AK626-X626,IF(X626="","",(AK626)-(MID(RIGHT(X626,10),4,2)&amp;"/"&amp;LEFT((RIGHT(X626,10)),2)&amp;"/"&amp;RIGHT(X626,4))))</f>
        <v/>
      </c>
      <c r="AN626" s="181"/>
      <c r="AO626" s="190" t="s">
        <v>2193</v>
      </c>
      <c r="AP626" s="176">
        <v>10.45</v>
      </c>
      <c r="AQ626" s="176">
        <v>10.459999999999999</v>
      </c>
      <c r="AR626" s="176">
        <v>10.484999999999998</v>
      </c>
      <c r="AS626" s="176">
        <v>10.489999999999998</v>
      </c>
      <c r="AT626" s="173" t="str">
        <f>IF(ISNUMBER(U626)=TRUE,AK626-U626,IF(U626="","",(AK626)-(MID(RIGHT(U626,10),4,2)&amp;"/"&amp;LEFT((RIGHT(U626,10)),2)&amp;"/"&amp;RIGHT(U626,4))))</f>
        <v/>
      </c>
      <c r="AU626" s="173">
        <v>459</v>
      </c>
      <c r="AW626" s="142" t="s">
        <v>123</v>
      </c>
    </row>
    <row r="627" spans="2:49" s="142" customFormat="1" ht="21" customHeight="1" x14ac:dyDescent="0.25">
      <c r="B627" s="173" t="str">
        <f>IF(C627="HOLD RM","HOLD RM",IF(C627="BAL","WIP",IF(C627="HOLD SLT","HOLD SLT",IF(C627="MILL","RM",IF(C627="RE SLT","WIP",IF(C627="RM","RM",IF(C627="RM BAL","RM",IF(C627="RM SLT","RM",IF(C627="RR","WIP",IF(C627="SKP","WIP",IF(C627="SLT","WIP",IF(C627="CTL","WIP",IF(C627="RM SLT RUST","RM SLT RUST",0)))))))))))))&amp;"-"&amp;G627&amp;"/"&amp;IF(H627="2B","2B",IF(H627="NO.1","1D",IF(H627="FH","FH",0)))&amp;"-"&amp;IF(J627="",(TEXT(I627,"0.00")),TEXT(J627,"0.00"))&amp;"X"&amp;M627</f>
        <v>RM-304/1D-3.90X640</v>
      </c>
      <c r="C627" s="173" t="s">
        <v>48</v>
      </c>
      <c r="D627" s="173" t="s">
        <v>48</v>
      </c>
      <c r="E627" s="190" t="s">
        <v>2196</v>
      </c>
      <c r="F627" s="190" t="s">
        <v>2197</v>
      </c>
      <c r="G627" s="173">
        <v>304</v>
      </c>
      <c r="H627" s="173" t="s">
        <v>127</v>
      </c>
      <c r="I627" s="174">
        <v>3.9</v>
      </c>
      <c r="J627" s="174"/>
      <c r="K627" s="174"/>
      <c r="L627" s="174"/>
      <c r="M627" s="191">
        <v>640</v>
      </c>
      <c r="N627" s="176">
        <v>10.494999999999999</v>
      </c>
      <c r="O627" s="176"/>
      <c r="P627" s="177"/>
      <c r="Q627" s="178"/>
      <c r="R627" s="179"/>
      <c r="S627" s="179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80" t="s">
        <v>1881</v>
      </c>
      <c r="AE627" s="173" t="s">
        <v>69</v>
      </c>
      <c r="AF627" s="181" t="s">
        <v>142</v>
      </c>
      <c r="AG627" s="192" t="s">
        <v>1653</v>
      </c>
      <c r="AH627" s="198"/>
      <c r="AI627" s="181">
        <v>44880</v>
      </c>
      <c r="AJ627" s="181"/>
      <c r="AK627" s="181">
        <f ca="1">TODAY()</f>
        <v>44958</v>
      </c>
      <c r="AL627" s="173">
        <f ca="1">IF(AI627&lt;&gt;0,AK627-AI627,0)</f>
        <v>78</v>
      </c>
      <c r="AM627" s="173" t="str">
        <f>IF(ISNUMBER(X627)=TRUE,AK627-X627,IF(X627="","",(AK627)-(MID(RIGHT(X627,10),4,2)&amp;"/"&amp;LEFT((RIGHT(X627,10)),2)&amp;"/"&amp;RIGHT(X627,4))))</f>
        <v/>
      </c>
      <c r="AN627" s="181"/>
      <c r="AO627" s="190" t="s">
        <v>2198</v>
      </c>
      <c r="AP627" s="176">
        <v>10.494999999999999</v>
      </c>
      <c r="AQ627" s="176">
        <v>10.504999999999999</v>
      </c>
      <c r="AR627" s="176">
        <v>10.529999999999998</v>
      </c>
      <c r="AS627" s="176">
        <v>10.534999999999998</v>
      </c>
      <c r="AT627" s="173" t="str">
        <f>IF(ISNUMBER(U627)=TRUE,AK627-U627,IF(U627="","",(AK627)-(MID(RIGHT(U627,10),4,2)&amp;"/"&amp;LEFT((RIGHT(U627,10)),2)&amp;"/"&amp;RIGHT(U627,4))))</f>
        <v/>
      </c>
      <c r="AU627" s="173">
        <v>459</v>
      </c>
      <c r="AW627" s="142" t="s">
        <v>123</v>
      </c>
    </row>
    <row r="628" spans="2:49" s="142" customFormat="1" ht="21" customHeight="1" x14ac:dyDescent="0.25">
      <c r="B628" s="173" t="str">
        <f>IF(C628="HOLD RM","HOLD RM",IF(C628="BAL","WIP",IF(C628="HOLD SLT","HOLD SLT",IF(C628="MILL","RM",IF(C628="RE SLT","WIP",IF(C628="RM","RM",IF(C628="RM BAL","RM",IF(C628="RM SLT","RM",IF(C628="RR","WIP",IF(C628="SKP","WIP",IF(C628="SLT","WIP",IF(C628="CTL","WIP",IF(C628="RM SLT RUST","RM SLT RUST",0)))))))))))))&amp;"-"&amp;G628&amp;"/"&amp;IF(H628="2B","2B",IF(H628="NO.1","1D",IF(H628="FH","FH",0)))&amp;"-"&amp;IF(J628="",(TEXT(I628,"0.00")),TEXT(J628,"0.00"))&amp;"X"&amp;M628</f>
        <v>RM-304/1D-3.89X636</v>
      </c>
      <c r="C628" s="173" t="s">
        <v>48</v>
      </c>
      <c r="D628" s="173" t="s">
        <v>48</v>
      </c>
      <c r="E628" s="190" t="s">
        <v>2199</v>
      </c>
      <c r="F628" s="190" t="s">
        <v>2200</v>
      </c>
      <c r="G628" s="173">
        <v>304</v>
      </c>
      <c r="H628" s="173" t="s">
        <v>127</v>
      </c>
      <c r="I628" s="174">
        <v>3.89</v>
      </c>
      <c r="J628" s="174"/>
      <c r="K628" s="174"/>
      <c r="L628" s="174"/>
      <c r="M628" s="191">
        <v>636</v>
      </c>
      <c r="N628" s="176">
        <v>10.425000000000001</v>
      </c>
      <c r="O628" s="176"/>
      <c r="P628" s="177"/>
      <c r="Q628" s="178"/>
      <c r="R628" s="179"/>
      <c r="S628" s="179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80" t="s">
        <v>1881</v>
      </c>
      <c r="AE628" s="173" t="s">
        <v>69</v>
      </c>
      <c r="AF628" s="181" t="s">
        <v>142</v>
      </c>
      <c r="AG628" s="192" t="s">
        <v>1653</v>
      </c>
      <c r="AH628" s="198"/>
      <c r="AI628" s="181">
        <v>44880</v>
      </c>
      <c r="AJ628" s="181"/>
      <c r="AK628" s="181">
        <f ca="1">TODAY()</f>
        <v>44958</v>
      </c>
      <c r="AL628" s="173">
        <f ca="1">IF(AI628&lt;&gt;0,AK628-AI628,0)</f>
        <v>78</v>
      </c>
      <c r="AM628" s="173" t="str">
        <f>IF(ISNUMBER(X628)=TRUE,AK628-X628,IF(X628="","",(AK628)-(MID(RIGHT(X628,10),4,2)&amp;"/"&amp;LEFT((RIGHT(X628,10)),2)&amp;"/"&amp;RIGHT(X628,4))))</f>
        <v/>
      </c>
      <c r="AN628" s="181"/>
      <c r="AO628" s="190" t="s">
        <v>2198</v>
      </c>
      <c r="AP628" s="176">
        <v>10.425000000000001</v>
      </c>
      <c r="AQ628" s="176">
        <v>10.435</v>
      </c>
      <c r="AR628" s="176">
        <v>10.459999999999999</v>
      </c>
      <c r="AS628" s="176">
        <v>10.465</v>
      </c>
      <c r="AT628" s="173" t="str">
        <f>IF(ISNUMBER(U628)=TRUE,AK628-U628,IF(U628="","",(AK628)-(MID(RIGHT(U628,10),4,2)&amp;"/"&amp;LEFT((RIGHT(U628,10)),2)&amp;"/"&amp;RIGHT(U628,4))))</f>
        <v/>
      </c>
      <c r="AU628" s="173">
        <v>459</v>
      </c>
      <c r="AW628" s="142" t="s">
        <v>123</v>
      </c>
    </row>
    <row r="629" spans="2:49" s="142" customFormat="1" ht="21" customHeight="1" x14ac:dyDescent="0.25">
      <c r="B629" s="173" t="str">
        <f>IF(C629="HOLD RM","HOLD RM",IF(C629="BAL","WIP",IF(C629="HOLD SLT","HOLD SLT",IF(C629="MILL","RM",IF(C629="RE SLT","WIP",IF(C629="RM","RM",IF(C629="RM BAL","RM",IF(C629="RM SLT","RM",IF(C629="RR","WIP",IF(C629="SKP","WIP",IF(C629="SLT","WIP",IF(C629="CTL","WIP",IF(C629="RM SLT RUST","RM SLT RUST",0)))))))))))))&amp;"-"&amp;G629&amp;"/"&amp;IF(H629="2B","2B",IF(H629="NO.1","1D",IF(H629="FH","FH",0)))&amp;"-"&amp;IF(J629="",(TEXT(I629,"0.00")),TEXT(J629,"0.00"))&amp;"X"&amp;M629</f>
        <v>RM-304/1D-2.52X642</v>
      </c>
      <c r="C629" s="173" t="s">
        <v>48</v>
      </c>
      <c r="D629" s="173" t="s">
        <v>48</v>
      </c>
      <c r="E629" s="190" t="s">
        <v>2201</v>
      </c>
      <c r="F629" s="190" t="s">
        <v>2202</v>
      </c>
      <c r="G629" s="173">
        <v>304</v>
      </c>
      <c r="H629" s="173" t="s">
        <v>127</v>
      </c>
      <c r="I629" s="174">
        <v>2.52</v>
      </c>
      <c r="J629" s="174"/>
      <c r="K629" s="174"/>
      <c r="L629" s="174"/>
      <c r="M629" s="191">
        <v>642</v>
      </c>
      <c r="N629" s="176">
        <v>10.654999999999999</v>
      </c>
      <c r="O629" s="176"/>
      <c r="P629" s="177"/>
      <c r="Q629" s="178"/>
      <c r="R629" s="179"/>
      <c r="S629" s="179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80" t="s">
        <v>1881</v>
      </c>
      <c r="AE629" s="173" t="s">
        <v>69</v>
      </c>
      <c r="AF629" s="181" t="s">
        <v>142</v>
      </c>
      <c r="AG629" s="192" t="s">
        <v>1887</v>
      </c>
      <c r="AH629" s="198"/>
      <c r="AI629" s="181">
        <v>44880</v>
      </c>
      <c r="AJ629" s="181"/>
      <c r="AK629" s="181">
        <f ca="1">TODAY()</f>
        <v>44958</v>
      </c>
      <c r="AL629" s="173">
        <f ca="1">IF(AI629&lt;&gt;0,AK629-AI629,0)</f>
        <v>78</v>
      </c>
      <c r="AM629" s="173" t="str">
        <f>IF(ISNUMBER(X629)=TRUE,AK629-X629,IF(X629="","",(AK629)-(MID(RIGHT(X629,10),4,2)&amp;"/"&amp;LEFT((RIGHT(X629,10)),2)&amp;"/"&amp;RIGHT(X629,4))))</f>
        <v/>
      </c>
      <c r="AN629" s="181"/>
      <c r="AO629" s="190" t="s">
        <v>2203</v>
      </c>
      <c r="AP629" s="176">
        <v>10.654999999999999</v>
      </c>
      <c r="AQ629" s="176">
        <v>10.664999999999999</v>
      </c>
      <c r="AR629" s="176">
        <v>10.689999999999998</v>
      </c>
      <c r="AS629" s="176">
        <v>10.694999999999999</v>
      </c>
      <c r="AT629" s="173" t="str">
        <f>IF(ISNUMBER(U629)=TRUE,AK629-U629,IF(U629="","",(AK629)-(MID(RIGHT(U629,10),4,2)&amp;"/"&amp;LEFT((RIGHT(U629,10)),2)&amp;"/"&amp;RIGHT(U629,4))))</f>
        <v/>
      </c>
      <c r="AU629" s="173">
        <v>459</v>
      </c>
      <c r="AW629" s="142" t="s">
        <v>123</v>
      </c>
    </row>
    <row r="630" spans="2:49" s="142" customFormat="1" ht="21" customHeight="1" x14ac:dyDescent="0.25">
      <c r="B630" s="173" t="str">
        <f>IF(C630="HOLD RM","HOLD RM",IF(C630="BAL","WIP",IF(C630="HOLD SLT","HOLD SLT",IF(C630="MILL","RM",IF(C630="RE SLT","WIP",IF(C630="RM","RM",IF(C630="RM BAL","RM",IF(C630="RM SLT","RM",IF(C630="RR","WIP",IF(C630="SKP","WIP",IF(C630="SLT","WIP",IF(C630="CTL","WIP",IF(C630="RM SLT RUST","RM SLT RUST",0)))))))))))))&amp;"-"&amp;G630&amp;"/"&amp;IF(H630="2B","2B",IF(H630="NO.1","1D",IF(H630="FH","FH",0)))&amp;"-"&amp;IF(J630="",(TEXT(I630,"0.00")),TEXT(J630,"0.00"))&amp;"X"&amp;M630</f>
        <v>RM-304/1D-2.52X643</v>
      </c>
      <c r="C630" s="173" t="s">
        <v>48</v>
      </c>
      <c r="D630" s="173" t="s">
        <v>48</v>
      </c>
      <c r="E630" s="190" t="s">
        <v>2204</v>
      </c>
      <c r="F630" s="190" t="s">
        <v>2205</v>
      </c>
      <c r="G630" s="173">
        <v>304</v>
      </c>
      <c r="H630" s="173" t="s">
        <v>127</v>
      </c>
      <c r="I630" s="174">
        <v>2.52</v>
      </c>
      <c r="J630" s="174"/>
      <c r="K630" s="174"/>
      <c r="L630" s="174"/>
      <c r="M630" s="191">
        <v>643</v>
      </c>
      <c r="N630" s="176">
        <v>10.685</v>
      </c>
      <c r="O630" s="176"/>
      <c r="P630" s="177"/>
      <c r="Q630" s="178"/>
      <c r="R630" s="179"/>
      <c r="S630" s="179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80" t="s">
        <v>1881</v>
      </c>
      <c r="AE630" s="173" t="s">
        <v>69</v>
      </c>
      <c r="AF630" s="181" t="s">
        <v>142</v>
      </c>
      <c r="AG630" s="192" t="s">
        <v>1887</v>
      </c>
      <c r="AH630" s="198"/>
      <c r="AI630" s="181">
        <v>44880</v>
      </c>
      <c r="AJ630" s="181"/>
      <c r="AK630" s="181">
        <f ca="1">TODAY()</f>
        <v>44958</v>
      </c>
      <c r="AL630" s="173">
        <f ca="1">IF(AI630&lt;&gt;0,AK630-AI630,0)</f>
        <v>78</v>
      </c>
      <c r="AM630" s="173" t="str">
        <f>IF(ISNUMBER(X630)=TRUE,AK630-X630,IF(X630="","",(AK630)-(MID(RIGHT(X630,10),4,2)&amp;"/"&amp;LEFT((RIGHT(X630,10)),2)&amp;"/"&amp;RIGHT(X630,4))))</f>
        <v/>
      </c>
      <c r="AN630" s="181"/>
      <c r="AO630" s="190" t="s">
        <v>2203</v>
      </c>
      <c r="AP630" s="176">
        <v>10.685</v>
      </c>
      <c r="AQ630" s="176">
        <v>10.695</v>
      </c>
      <c r="AR630" s="176">
        <v>10.719999999999999</v>
      </c>
      <c r="AS630" s="176">
        <v>10.725</v>
      </c>
      <c r="AT630" s="173" t="str">
        <f>IF(ISNUMBER(U630)=TRUE,AK630-U630,IF(U630="","",(AK630)-(MID(RIGHT(U630,10),4,2)&amp;"/"&amp;LEFT((RIGHT(U630,10)),2)&amp;"/"&amp;RIGHT(U630,4))))</f>
        <v/>
      </c>
      <c r="AU630" s="173">
        <v>459</v>
      </c>
      <c r="AW630" s="142" t="s">
        <v>123</v>
      </c>
    </row>
    <row r="631" spans="2:49" s="142" customFormat="1" ht="21" customHeight="1" x14ac:dyDescent="0.25">
      <c r="B631" s="173" t="str">
        <f>IF(C631="HOLD RM","HOLD RM",IF(C631="BAL","WIP",IF(C631="HOLD SLT","HOLD SLT",IF(C631="MILL","RM",IF(C631="RE SLT","WIP",IF(C631="RM","RM",IF(C631="RM BAL","RM",IF(C631="RM SLT","RM",IF(C631="RR","WIP",IF(C631="SKP","WIP",IF(C631="SLT","WIP",IF(C631="CTL","WIP",IF(C631="RM SLT RUST","RM SLT RUST",0)))))))))))))&amp;"-"&amp;G631&amp;"/"&amp;IF(H631="2B","2B",IF(H631="NO.1","1D",IF(H631="FH","FH",0)))&amp;"-"&amp;IF(J631="",(TEXT(I631,"0.00")),TEXT(J631,"0.00"))&amp;"X"&amp;M631</f>
        <v>RM-304L/1D-2.92X642</v>
      </c>
      <c r="C631" s="173" t="s">
        <v>48</v>
      </c>
      <c r="D631" s="173" t="s">
        <v>48</v>
      </c>
      <c r="E631" s="190" t="s">
        <v>2206</v>
      </c>
      <c r="F631" s="190" t="s">
        <v>2207</v>
      </c>
      <c r="G631" s="173" t="s">
        <v>182</v>
      </c>
      <c r="H631" s="173" t="s">
        <v>127</v>
      </c>
      <c r="I631" s="174">
        <v>2.92</v>
      </c>
      <c r="J631" s="174"/>
      <c r="K631" s="174"/>
      <c r="L631" s="174"/>
      <c r="M631" s="191">
        <v>642</v>
      </c>
      <c r="N631" s="176">
        <v>10.74</v>
      </c>
      <c r="O631" s="176"/>
      <c r="P631" s="177"/>
      <c r="Q631" s="178"/>
      <c r="R631" s="179"/>
      <c r="S631" s="179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80" t="s">
        <v>1881</v>
      </c>
      <c r="AE631" s="173" t="s">
        <v>69</v>
      </c>
      <c r="AF631" s="181" t="s">
        <v>142</v>
      </c>
      <c r="AG631" s="192" t="s">
        <v>1887</v>
      </c>
      <c r="AH631" s="198"/>
      <c r="AI631" s="181">
        <v>44880</v>
      </c>
      <c r="AJ631" s="181"/>
      <c r="AK631" s="181">
        <f ca="1">TODAY()</f>
        <v>44958</v>
      </c>
      <c r="AL631" s="173">
        <f ca="1">IF(AI631&lt;&gt;0,AK631-AI631,0)</f>
        <v>78</v>
      </c>
      <c r="AM631" s="173" t="str">
        <f>IF(ISNUMBER(X631)=TRUE,AK631-X631,IF(X631="","",(AK631)-(MID(RIGHT(X631,10),4,2)&amp;"/"&amp;LEFT((RIGHT(X631,10)),2)&amp;"/"&amp;RIGHT(X631,4))))</f>
        <v/>
      </c>
      <c r="AN631" s="181"/>
      <c r="AO631" s="190" t="s">
        <v>2208</v>
      </c>
      <c r="AP631" s="176">
        <v>10.74</v>
      </c>
      <c r="AQ631" s="176">
        <v>10.75</v>
      </c>
      <c r="AR631" s="176">
        <v>10.774999999999999</v>
      </c>
      <c r="AS631" s="176">
        <v>10.78</v>
      </c>
      <c r="AT631" s="173" t="str">
        <f>IF(ISNUMBER(U631)=TRUE,AK631-U631,IF(U631="","",(AK631)-(MID(RIGHT(U631,10),4,2)&amp;"/"&amp;LEFT((RIGHT(U631,10)),2)&amp;"/"&amp;RIGHT(U631,4))))</f>
        <v/>
      </c>
      <c r="AU631" s="173">
        <v>459</v>
      </c>
      <c r="AW631" s="142" t="s">
        <v>123</v>
      </c>
    </row>
    <row r="632" spans="2:49" s="142" customFormat="1" ht="21" customHeight="1" x14ac:dyDescent="0.25">
      <c r="B632" s="173" t="str">
        <f>IF(C632="HOLD RM","HOLD RM",IF(C632="BAL","WIP",IF(C632="HOLD SLT","HOLD SLT",IF(C632="MILL","RM",IF(C632="RE SLT","WIP",IF(C632="RM","RM",IF(C632="RM BAL","RM",IF(C632="RM SLT","RM",IF(C632="RR","WIP",IF(C632="SKP","WIP",IF(C632="SLT","WIP",IF(C632="CTL","WIP",IF(C632="RM SLT RUST","RM SLT RUST",0)))))))))))))&amp;"-"&amp;G632&amp;"/"&amp;IF(H632="2B","2B",IF(H632="NO.1","1D",IF(H632="FH","FH",0)))&amp;"-"&amp;IF(J632="",(TEXT(I632,"0.00")),TEXT(J632,"0.00"))&amp;"X"&amp;M632</f>
        <v>RM-304L/1D-2.92X642</v>
      </c>
      <c r="C632" s="173" t="s">
        <v>48</v>
      </c>
      <c r="D632" s="173" t="s">
        <v>48</v>
      </c>
      <c r="E632" s="190" t="s">
        <v>2209</v>
      </c>
      <c r="F632" s="190" t="s">
        <v>2210</v>
      </c>
      <c r="G632" s="173" t="s">
        <v>182</v>
      </c>
      <c r="H632" s="173" t="s">
        <v>127</v>
      </c>
      <c r="I632" s="174">
        <v>2.92</v>
      </c>
      <c r="J632" s="174"/>
      <c r="K632" s="174"/>
      <c r="L632" s="174"/>
      <c r="M632" s="191">
        <v>642</v>
      </c>
      <c r="N632" s="176">
        <v>10.685</v>
      </c>
      <c r="O632" s="176"/>
      <c r="P632" s="177"/>
      <c r="Q632" s="178"/>
      <c r="R632" s="179"/>
      <c r="S632" s="179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80" t="s">
        <v>1881</v>
      </c>
      <c r="AE632" s="173" t="s">
        <v>69</v>
      </c>
      <c r="AF632" s="181" t="s">
        <v>142</v>
      </c>
      <c r="AG632" s="192" t="s">
        <v>1887</v>
      </c>
      <c r="AH632" s="198"/>
      <c r="AI632" s="181">
        <v>44880</v>
      </c>
      <c r="AJ632" s="181"/>
      <c r="AK632" s="181">
        <f ca="1">TODAY()</f>
        <v>44958</v>
      </c>
      <c r="AL632" s="173">
        <f ca="1">IF(AI632&lt;&gt;0,AK632-AI632,0)</f>
        <v>78</v>
      </c>
      <c r="AM632" s="173" t="str">
        <f>IF(ISNUMBER(X632)=TRUE,AK632-X632,IF(X632="","",(AK632)-(MID(RIGHT(X632,10),4,2)&amp;"/"&amp;LEFT((RIGHT(X632,10)),2)&amp;"/"&amp;RIGHT(X632,4))))</f>
        <v/>
      </c>
      <c r="AN632" s="181"/>
      <c r="AO632" s="190" t="s">
        <v>2208</v>
      </c>
      <c r="AP632" s="176">
        <v>10.685</v>
      </c>
      <c r="AQ632" s="176">
        <v>10.695</v>
      </c>
      <c r="AR632" s="176">
        <v>10.719999999999999</v>
      </c>
      <c r="AS632" s="176">
        <v>10.725</v>
      </c>
      <c r="AT632" s="173" t="str">
        <f>IF(ISNUMBER(U632)=TRUE,AK632-U632,IF(U632="","",(AK632)-(MID(RIGHT(U632,10),4,2)&amp;"/"&amp;LEFT((RIGHT(U632,10)),2)&amp;"/"&amp;RIGHT(U632,4))))</f>
        <v/>
      </c>
      <c r="AU632" s="173">
        <v>459</v>
      </c>
      <c r="AW632" s="142" t="s">
        <v>123</v>
      </c>
    </row>
    <row r="633" spans="2:49" s="142" customFormat="1" ht="21" customHeight="1" x14ac:dyDescent="0.25">
      <c r="B633" s="173" t="str">
        <f>IF(C633="HOLD RM","HOLD RM",IF(C633="BAL","WIP",IF(C633="HOLD SLT","HOLD SLT",IF(C633="MILL","RM",IF(C633="RE SLT","WIP",IF(C633="RM","RM",IF(C633="RM BAL","RM",IF(C633="RM SLT","RM",IF(C633="RR","WIP",IF(C633="SKP","WIP",IF(C633="SLT","WIP",IF(C633="CTL","WIP",IF(C633="RM SLT RUST","RM SLT RUST",0)))))))))))))&amp;"-"&amp;G633&amp;"/"&amp;IF(H633="2B","2B",IF(H633="NO.1","1D",IF(H633="FH","FH",0)))&amp;"-"&amp;IF(J633="",(TEXT(I633,"0.00")),TEXT(J633,"0.00"))&amp;"X"&amp;M633</f>
        <v>RM-304L/1D-3.90X642</v>
      </c>
      <c r="C633" s="173" t="s">
        <v>48</v>
      </c>
      <c r="D633" s="173" t="s">
        <v>48</v>
      </c>
      <c r="E633" s="190" t="s">
        <v>2211</v>
      </c>
      <c r="F633" s="190" t="s">
        <v>2212</v>
      </c>
      <c r="G633" s="173" t="s">
        <v>182</v>
      </c>
      <c r="H633" s="173" t="s">
        <v>127</v>
      </c>
      <c r="I633" s="174">
        <v>3.9</v>
      </c>
      <c r="J633" s="174"/>
      <c r="K633" s="174"/>
      <c r="L633" s="174"/>
      <c r="M633" s="191">
        <v>642</v>
      </c>
      <c r="N633" s="176">
        <v>10.61</v>
      </c>
      <c r="O633" s="176"/>
      <c r="P633" s="177"/>
      <c r="Q633" s="178"/>
      <c r="R633" s="179"/>
      <c r="S633" s="179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80" t="s">
        <v>1881</v>
      </c>
      <c r="AE633" s="173" t="s">
        <v>69</v>
      </c>
      <c r="AF633" s="181" t="s">
        <v>142</v>
      </c>
      <c r="AG633" s="192" t="s">
        <v>1653</v>
      </c>
      <c r="AH633" s="198"/>
      <c r="AI633" s="181">
        <v>44880</v>
      </c>
      <c r="AJ633" s="181"/>
      <c r="AK633" s="181">
        <f ca="1">TODAY()</f>
        <v>44958</v>
      </c>
      <c r="AL633" s="173">
        <f ca="1">IF(AI633&lt;&gt;0,AK633-AI633,0)</f>
        <v>78</v>
      </c>
      <c r="AM633" s="173" t="str">
        <f>IF(ISNUMBER(X633)=TRUE,AK633-X633,IF(X633="","",(AK633)-(MID(RIGHT(X633,10),4,2)&amp;"/"&amp;LEFT((RIGHT(X633,10)),2)&amp;"/"&amp;RIGHT(X633,4))))</f>
        <v/>
      </c>
      <c r="AN633" s="181"/>
      <c r="AO633" s="190" t="s">
        <v>2213</v>
      </c>
      <c r="AP633" s="176">
        <v>10.61</v>
      </c>
      <c r="AQ633" s="176">
        <v>10.62</v>
      </c>
      <c r="AR633" s="176">
        <v>10.644999999999998</v>
      </c>
      <c r="AS633" s="176">
        <v>10.649999999999999</v>
      </c>
      <c r="AT633" s="173" t="str">
        <f>IF(ISNUMBER(U633)=TRUE,AK633-U633,IF(U633="","",(AK633)-(MID(RIGHT(U633,10),4,2)&amp;"/"&amp;LEFT((RIGHT(U633,10)),2)&amp;"/"&amp;RIGHT(U633,4))))</f>
        <v/>
      </c>
      <c r="AU633" s="173">
        <v>459</v>
      </c>
      <c r="AW633" s="142" t="s">
        <v>123</v>
      </c>
    </row>
    <row r="634" spans="2:49" s="142" customFormat="1" ht="21" customHeight="1" x14ac:dyDescent="0.25">
      <c r="B634" s="173" t="str">
        <f>IF(C634="HOLD RM","HOLD RM",IF(C634="BAL","WIP",IF(C634="HOLD SLT","HOLD SLT",IF(C634="MILL","RM",IF(C634="RE SLT","WIP",IF(C634="RM","RM",IF(C634="RM BAL","RM",IF(C634="RM SLT","RM",IF(C634="RR","WIP",IF(C634="SKP","WIP",IF(C634="SLT","WIP",IF(C634="CTL","WIP",IF(C634="RM SLT RUST","RM SLT RUST",0)))))))))))))&amp;"-"&amp;G634&amp;"/"&amp;IF(H634="2B","2B",IF(H634="NO.1","1D",IF(H634="FH","FH",0)))&amp;"-"&amp;IF(J634="",(TEXT(I634,"0.00")),TEXT(J634,"0.00"))&amp;"X"&amp;M634</f>
        <v>RM-304L/1D-3.90X638</v>
      </c>
      <c r="C634" s="173" t="s">
        <v>48</v>
      </c>
      <c r="D634" s="173" t="s">
        <v>48</v>
      </c>
      <c r="E634" s="190" t="s">
        <v>2214</v>
      </c>
      <c r="F634" s="190" t="s">
        <v>2215</v>
      </c>
      <c r="G634" s="173" t="s">
        <v>182</v>
      </c>
      <c r="H634" s="173" t="s">
        <v>127</v>
      </c>
      <c r="I634" s="174">
        <v>3.9</v>
      </c>
      <c r="J634" s="174"/>
      <c r="K634" s="174"/>
      <c r="L634" s="174"/>
      <c r="M634" s="191">
        <v>638</v>
      </c>
      <c r="N634" s="176">
        <v>10.48</v>
      </c>
      <c r="O634" s="176"/>
      <c r="P634" s="177"/>
      <c r="Q634" s="178"/>
      <c r="R634" s="179"/>
      <c r="S634" s="179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80" t="s">
        <v>1881</v>
      </c>
      <c r="AE634" s="173" t="s">
        <v>69</v>
      </c>
      <c r="AF634" s="181" t="s">
        <v>142</v>
      </c>
      <c r="AG634" s="192" t="s">
        <v>1653</v>
      </c>
      <c r="AH634" s="198"/>
      <c r="AI634" s="181">
        <v>44880</v>
      </c>
      <c r="AJ634" s="181"/>
      <c r="AK634" s="181">
        <f ca="1">TODAY()</f>
        <v>44958</v>
      </c>
      <c r="AL634" s="173">
        <f ca="1">IF(AI634&lt;&gt;0,AK634-AI634,0)</f>
        <v>78</v>
      </c>
      <c r="AM634" s="173" t="str">
        <f>IF(ISNUMBER(X634)=TRUE,AK634-X634,IF(X634="","",(AK634)-(MID(RIGHT(X634,10),4,2)&amp;"/"&amp;LEFT((RIGHT(X634,10)),2)&amp;"/"&amp;RIGHT(X634,4))))</f>
        <v/>
      </c>
      <c r="AN634" s="181"/>
      <c r="AO634" s="190" t="s">
        <v>2213</v>
      </c>
      <c r="AP634" s="176">
        <v>10.48</v>
      </c>
      <c r="AQ634" s="176">
        <v>10.49</v>
      </c>
      <c r="AR634" s="176">
        <v>10.514999999999999</v>
      </c>
      <c r="AS634" s="176">
        <v>10.52</v>
      </c>
      <c r="AT634" s="173" t="str">
        <f>IF(ISNUMBER(U634)=TRUE,AK634-U634,IF(U634="","",(AK634)-(MID(RIGHT(U634,10),4,2)&amp;"/"&amp;LEFT((RIGHT(U634,10)),2)&amp;"/"&amp;RIGHT(U634,4))))</f>
        <v/>
      </c>
      <c r="AU634" s="173">
        <v>459</v>
      </c>
      <c r="AW634" s="142" t="s">
        <v>123</v>
      </c>
    </row>
    <row r="635" spans="2:49" s="142" customFormat="1" ht="21" customHeight="1" x14ac:dyDescent="0.25">
      <c r="B635" s="173" t="str">
        <f>IF(C635="HOLD RM","HOLD RM",IF(C635="BAL","WIP",IF(C635="HOLD SLT","HOLD SLT",IF(C635="MILL","RM",IF(C635="RE SLT","WIP",IF(C635="RM","RM",IF(C635="RM BAL","RM",IF(C635="RM SLT","RM",IF(C635="RR","WIP",IF(C635="SKP","WIP",IF(C635="SLT","WIP",IF(C635="CTL","WIP",IF(C635="RM SLT RUST","RM SLT RUST",0)))))))))))))&amp;"-"&amp;G635&amp;"/"&amp;IF(H635="2B","2B",IF(H635="NO.1","1D",IF(H635="FH","FH",0)))&amp;"-"&amp;IF(J635="",(TEXT(I635,"0.00")),TEXT(J635,"0.00"))&amp;"X"&amp;M635</f>
        <v>RM-304L/1D-2.89X644</v>
      </c>
      <c r="C635" s="173" t="s">
        <v>48</v>
      </c>
      <c r="D635" s="173" t="s">
        <v>48</v>
      </c>
      <c r="E635" s="190" t="s">
        <v>2216</v>
      </c>
      <c r="F635" s="190" t="s">
        <v>2217</v>
      </c>
      <c r="G635" s="173" t="s">
        <v>182</v>
      </c>
      <c r="H635" s="173" t="s">
        <v>127</v>
      </c>
      <c r="I635" s="174">
        <v>2.89</v>
      </c>
      <c r="J635" s="174"/>
      <c r="K635" s="174"/>
      <c r="L635" s="174"/>
      <c r="M635" s="191">
        <v>644</v>
      </c>
      <c r="N635" s="176">
        <v>10.585000000000001</v>
      </c>
      <c r="O635" s="176"/>
      <c r="P635" s="177"/>
      <c r="Q635" s="178"/>
      <c r="R635" s="179"/>
      <c r="S635" s="179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80" t="s">
        <v>1881</v>
      </c>
      <c r="AE635" s="173" t="s">
        <v>69</v>
      </c>
      <c r="AF635" s="181" t="s">
        <v>142</v>
      </c>
      <c r="AG635" s="192" t="s">
        <v>1887</v>
      </c>
      <c r="AH635" s="198"/>
      <c r="AI635" s="181">
        <v>44880</v>
      </c>
      <c r="AJ635" s="181"/>
      <c r="AK635" s="181">
        <f ca="1">TODAY()</f>
        <v>44958</v>
      </c>
      <c r="AL635" s="173">
        <f ca="1">IF(AI635&lt;&gt;0,AK635-AI635,0)</f>
        <v>78</v>
      </c>
      <c r="AM635" s="173" t="str">
        <f>IF(ISNUMBER(X635)=TRUE,AK635-X635,IF(X635="","",(AK635)-(MID(RIGHT(X635,10),4,2)&amp;"/"&amp;LEFT((RIGHT(X635,10)),2)&amp;"/"&amp;RIGHT(X635,4))))</f>
        <v/>
      </c>
      <c r="AN635" s="181"/>
      <c r="AO635" s="190" t="s">
        <v>2218</v>
      </c>
      <c r="AP635" s="176">
        <v>10.585000000000001</v>
      </c>
      <c r="AQ635" s="176">
        <v>10.595000000000001</v>
      </c>
      <c r="AR635" s="176">
        <v>10.62</v>
      </c>
      <c r="AS635" s="176">
        <v>10.625</v>
      </c>
      <c r="AT635" s="173" t="str">
        <f>IF(ISNUMBER(U635)=TRUE,AK635-U635,IF(U635="","",(AK635)-(MID(RIGHT(U635,10),4,2)&amp;"/"&amp;LEFT((RIGHT(U635,10)),2)&amp;"/"&amp;RIGHT(U635,4))))</f>
        <v/>
      </c>
      <c r="AU635" s="173">
        <v>459</v>
      </c>
      <c r="AW635" s="142" t="s">
        <v>123</v>
      </c>
    </row>
    <row r="636" spans="2:49" s="142" customFormat="1" ht="21" customHeight="1" x14ac:dyDescent="0.25">
      <c r="B636" s="173" t="str">
        <f>IF(C636="HOLD RM","HOLD RM",IF(C636="BAL","WIP",IF(C636="HOLD SLT","HOLD SLT",IF(C636="MILL","RM",IF(C636="RE SLT","WIP",IF(C636="RM","RM",IF(C636="RM BAL","RM",IF(C636="RM SLT","RM",IF(C636="RR","WIP",IF(C636="SKP","WIP",IF(C636="SLT","WIP",IF(C636="CTL","WIP",IF(C636="RM SLT RUST","RM SLT RUST",0)))))))))))))&amp;"-"&amp;G636&amp;"/"&amp;IF(H636="2B","2B",IF(H636="NO.1","1D",IF(H636="FH","FH",0)))&amp;"-"&amp;IF(J636="",(TEXT(I636,"0.00")),TEXT(J636,"0.00"))&amp;"X"&amp;M636</f>
        <v>RM-304L/1D-2.89X643</v>
      </c>
      <c r="C636" s="173" t="s">
        <v>48</v>
      </c>
      <c r="D636" s="173" t="s">
        <v>48</v>
      </c>
      <c r="E636" s="190" t="s">
        <v>2219</v>
      </c>
      <c r="F636" s="190" t="s">
        <v>2220</v>
      </c>
      <c r="G636" s="173" t="s">
        <v>182</v>
      </c>
      <c r="H636" s="173" t="s">
        <v>127</v>
      </c>
      <c r="I636" s="174">
        <v>2.89</v>
      </c>
      <c r="J636" s="174"/>
      <c r="K636" s="174"/>
      <c r="L636" s="174"/>
      <c r="M636" s="191">
        <v>643</v>
      </c>
      <c r="N636" s="176">
        <v>10.57</v>
      </c>
      <c r="O636" s="176"/>
      <c r="P636" s="177"/>
      <c r="Q636" s="178"/>
      <c r="R636" s="179"/>
      <c r="S636" s="179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80" t="s">
        <v>1881</v>
      </c>
      <c r="AE636" s="173" t="s">
        <v>69</v>
      </c>
      <c r="AF636" s="181" t="s">
        <v>142</v>
      </c>
      <c r="AG636" s="192" t="s">
        <v>1887</v>
      </c>
      <c r="AH636" s="198"/>
      <c r="AI636" s="181">
        <v>44880</v>
      </c>
      <c r="AJ636" s="181"/>
      <c r="AK636" s="181">
        <f ca="1">TODAY()</f>
        <v>44958</v>
      </c>
      <c r="AL636" s="173">
        <f ca="1">IF(AI636&lt;&gt;0,AK636-AI636,0)</f>
        <v>78</v>
      </c>
      <c r="AM636" s="173" t="str">
        <f>IF(ISNUMBER(X636)=TRUE,AK636-X636,IF(X636="","",(AK636)-(MID(RIGHT(X636,10),4,2)&amp;"/"&amp;LEFT((RIGHT(X636,10)),2)&amp;"/"&amp;RIGHT(X636,4))))</f>
        <v/>
      </c>
      <c r="AN636" s="181"/>
      <c r="AO636" s="190" t="s">
        <v>2218</v>
      </c>
      <c r="AP636" s="176">
        <v>10.57</v>
      </c>
      <c r="AQ636" s="176">
        <v>10.58</v>
      </c>
      <c r="AR636" s="176">
        <v>10.604999999999999</v>
      </c>
      <c r="AS636" s="176">
        <v>10.61</v>
      </c>
      <c r="AT636" s="173" t="str">
        <f>IF(ISNUMBER(U636)=TRUE,AK636-U636,IF(U636="","",(AK636)-(MID(RIGHT(U636,10),4,2)&amp;"/"&amp;LEFT((RIGHT(U636,10)),2)&amp;"/"&amp;RIGHT(U636,4))))</f>
        <v/>
      </c>
      <c r="AU636" s="173">
        <v>459</v>
      </c>
      <c r="AW636" s="142" t="s">
        <v>123</v>
      </c>
    </row>
    <row r="637" spans="2:49" s="142" customFormat="1" ht="21" customHeight="1" x14ac:dyDescent="0.25">
      <c r="B637" s="173" t="str">
        <f>IF(C637="HOLD RM","HOLD RM",IF(C637="BAL","WIP",IF(C637="HOLD SLT","HOLD SLT",IF(C637="MILL","RM",IF(C637="RE SLT","WIP",IF(C637="RM","RM",IF(C637="RM BAL","RM",IF(C637="RM SLT","RM",IF(C637="RR","WIP",IF(C637="SKP","WIP",IF(C637="SLT","WIP",IF(C637="CTL","WIP",IF(C637="RM SLT RUST","RM SLT RUST",0)))))))))))))&amp;"-"&amp;G637&amp;"/"&amp;IF(H637="2B","2B",IF(H637="NO.1","1D",IF(H637="FH","FH",0)))&amp;"-"&amp;IF(J637="",(TEXT(I637,"0.00")),TEXT(J637,"0.00"))&amp;"X"&amp;M637</f>
        <v>RM-304L/1D-3.92X637</v>
      </c>
      <c r="C637" s="173" t="s">
        <v>48</v>
      </c>
      <c r="D637" s="173" t="s">
        <v>48</v>
      </c>
      <c r="E637" s="190" t="s">
        <v>2221</v>
      </c>
      <c r="F637" s="190" t="s">
        <v>2222</v>
      </c>
      <c r="G637" s="173" t="s">
        <v>182</v>
      </c>
      <c r="H637" s="173" t="s">
        <v>127</v>
      </c>
      <c r="I637" s="174">
        <v>3.92</v>
      </c>
      <c r="J637" s="174"/>
      <c r="K637" s="174"/>
      <c r="L637" s="174"/>
      <c r="M637" s="191">
        <v>637</v>
      </c>
      <c r="N637" s="176">
        <v>10.4</v>
      </c>
      <c r="O637" s="176"/>
      <c r="P637" s="177"/>
      <c r="Q637" s="178"/>
      <c r="R637" s="179"/>
      <c r="S637" s="179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80" t="s">
        <v>1881</v>
      </c>
      <c r="AE637" s="173" t="s">
        <v>69</v>
      </c>
      <c r="AF637" s="181" t="s">
        <v>142</v>
      </c>
      <c r="AG637" s="192" t="s">
        <v>1653</v>
      </c>
      <c r="AH637" s="198"/>
      <c r="AI637" s="181">
        <v>44880</v>
      </c>
      <c r="AJ637" s="181"/>
      <c r="AK637" s="181">
        <f ca="1">TODAY()</f>
        <v>44958</v>
      </c>
      <c r="AL637" s="173">
        <f ca="1">IF(AI637&lt;&gt;0,AK637-AI637,0)</f>
        <v>78</v>
      </c>
      <c r="AM637" s="173" t="str">
        <f>IF(ISNUMBER(X637)=TRUE,AK637-X637,IF(X637="","",(AK637)-(MID(RIGHT(X637,10),4,2)&amp;"/"&amp;LEFT((RIGHT(X637,10)),2)&amp;"/"&amp;RIGHT(X637,4))))</f>
        <v/>
      </c>
      <c r="AN637" s="181"/>
      <c r="AO637" s="190" t="s">
        <v>2223</v>
      </c>
      <c r="AP637" s="176">
        <v>10.4</v>
      </c>
      <c r="AQ637" s="176">
        <v>10.41</v>
      </c>
      <c r="AR637" s="176">
        <v>10.434999999999999</v>
      </c>
      <c r="AS637" s="176">
        <v>10.44</v>
      </c>
      <c r="AT637" s="173" t="str">
        <f>IF(ISNUMBER(U637)=TRUE,AK637-U637,IF(U637="","",(AK637)-(MID(RIGHT(U637,10),4,2)&amp;"/"&amp;LEFT((RIGHT(U637,10)),2)&amp;"/"&amp;RIGHT(U637,4))))</f>
        <v/>
      </c>
      <c r="AU637" s="173">
        <v>459</v>
      </c>
      <c r="AW637" s="142" t="s">
        <v>123</v>
      </c>
    </row>
    <row r="638" spans="2:49" s="142" customFormat="1" ht="21" customHeight="1" x14ac:dyDescent="0.25">
      <c r="B638" s="173" t="str">
        <f>IF(C638="HOLD RM","HOLD RM",IF(C638="BAL","WIP",IF(C638="HOLD SLT","HOLD SLT",IF(C638="MILL","RM",IF(C638="RE SLT","WIP",IF(C638="RM","RM",IF(C638="RM BAL","RM",IF(C638="RM SLT","RM",IF(C638="RR","WIP",IF(C638="SKP","WIP",IF(C638="SLT","WIP",IF(C638="CTL","WIP",IF(C638="RM SLT RUST","RM SLT RUST",0)))))))))))))&amp;"-"&amp;G638&amp;"/"&amp;IF(H638="2B","2B",IF(H638="NO.1","1D",IF(H638="FH","FH",0)))&amp;"-"&amp;IF(J638="",(TEXT(I638,"0.00")),TEXT(J638,"0.00"))&amp;"X"&amp;M638</f>
        <v>RM-304L/1D-3.92X642</v>
      </c>
      <c r="C638" s="173" t="s">
        <v>48</v>
      </c>
      <c r="D638" s="173" t="s">
        <v>48</v>
      </c>
      <c r="E638" s="190" t="s">
        <v>2224</v>
      </c>
      <c r="F638" s="190" t="s">
        <v>2225</v>
      </c>
      <c r="G638" s="173" t="s">
        <v>182</v>
      </c>
      <c r="H638" s="173" t="s">
        <v>127</v>
      </c>
      <c r="I638" s="174">
        <v>3.92</v>
      </c>
      <c r="J638" s="174"/>
      <c r="K638" s="174"/>
      <c r="L638" s="174"/>
      <c r="M638" s="191">
        <v>642</v>
      </c>
      <c r="N638" s="176">
        <v>10.465</v>
      </c>
      <c r="O638" s="176"/>
      <c r="P638" s="177"/>
      <c r="Q638" s="178"/>
      <c r="R638" s="179"/>
      <c r="S638" s="179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80" t="s">
        <v>1881</v>
      </c>
      <c r="AE638" s="173" t="s">
        <v>69</v>
      </c>
      <c r="AF638" s="181" t="s">
        <v>142</v>
      </c>
      <c r="AG638" s="192" t="s">
        <v>1653</v>
      </c>
      <c r="AH638" s="198"/>
      <c r="AI638" s="181">
        <v>44880</v>
      </c>
      <c r="AJ638" s="181"/>
      <c r="AK638" s="181">
        <f ca="1">TODAY()</f>
        <v>44958</v>
      </c>
      <c r="AL638" s="173">
        <f ca="1">IF(AI638&lt;&gt;0,AK638-AI638,0)</f>
        <v>78</v>
      </c>
      <c r="AM638" s="173" t="str">
        <f>IF(ISNUMBER(X638)=TRUE,AK638-X638,IF(X638="","",(AK638)-(MID(RIGHT(X638,10),4,2)&amp;"/"&amp;LEFT((RIGHT(X638,10)),2)&amp;"/"&amp;RIGHT(X638,4))))</f>
        <v/>
      </c>
      <c r="AN638" s="181"/>
      <c r="AO638" s="190" t="s">
        <v>2223</v>
      </c>
      <c r="AP638" s="176">
        <v>10.465</v>
      </c>
      <c r="AQ638" s="176">
        <v>10.475</v>
      </c>
      <c r="AR638" s="176">
        <v>10.499999999999998</v>
      </c>
      <c r="AS638" s="176">
        <v>10.504999999999999</v>
      </c>
      <c r="AT638" s="173" t="str">
        <f>IF(ISNUMBER(U638)=TRUE,AK638-U638,IF(U638="","",(AK638)-(MID(RIGHT(U638,10),4,2)&amp;"/"&amp;LEFT((RIGHT(U638,10)),2)&amp;"/"&amp;RIGHT(U638,4))))</f>
        <v/>
      </c>
      <c r="AU638" s="173">
        <v>459</v>
      </c>
      <c r="AW638" s="142" t="s">
        <v>123</v>
      </c>
    </row>
    <row r="639" spans="2:49" s="142" customFormat="1" ht="21" customHeight="1" x14ac:dyDescent="0.25">
      <c r="B639" s="173" t="str">
        <f>IF(C639="HOLD RM","HOLD RM",IF(C639="BAL","WIP",IF(C639="HOLD SLT","HOLD SLT",IF(C639="MILL","RM",IF(C639="RE SLT","WIP",IF(C639="RM","RM",IF(C639="RM BAL","RM",IF(C639="RM SLT","RM",IF(C639="RR","WIP",IF(C639="SKP","WIP",IF(C639="SLT","WIP",IF(C639="CTL","WIP",IF(C639="RM SLT RUST","RM SLT RUST",0)))))))))))))&amp;"-"&amp;G639&amp;"/"&amp;IF(H639="2B","2B",IF(H639="NO.1","1D",IF(H639="FH","FH",0)))&amp;"-"&amp;IF(J639="",(TEXT(I639,"0.00")),TEXT(J639,"0.00"))&amp;"X"&amp;M639</f>
        <v>RM-304L/1D-3.92X640</v>
      </c>
      <c r="C639" s="173" t="s">
        <v>48</v>
      </c>
      <c r="D639" s="173" t="s">
        <v>48</v>
      </c>
      <c r="E639" s="190" t="s">
        <v>2226</v>
      </c>
      <c r="F639" s="190" t="s">
        <v>2227</v>
      </c>
      <c r="G639" s="173" t="s">
        <v>182</v>
      </c>
      <c r="H639" s="173" t="s">
        <v>127</v>
      </c>
      <c r="I639" s="174">
        <v>3.92</v>
      </c>
      <c r="J639" s="174"/>
      <c r="K639" s="174"/>
      <c r="L639" s="174"/>
      <c r="M639" s="191">
        <v>640</v>
      </c>
      <c r="N639" s="176">
        <v>10.5</v>
      </c>
      <c r="O639" s="176"/>
      <c r="P639" s="177"/>
      <c r="Q639" s="178"/>
      <c r="R639" s="179"/>
      <c r="S639" s="179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80" t="s">
        <v>1881</v>
      </c>
      <c r="AE639" s="173" t="s">
        <v>69</v>
      </c>
      <c r="AF639" s="181" t="s">
        <v>142</v>
      </c>
      <c r="AG639" s="192" t="s">
        <v>1653</v>
      </c>
      <c r="AH639" s="198"/>
      <c r="AI639" s="181">
        <v>44880</v>
      </c>
      <c r="AJ639" s="181"/>
      <c r="AK639" s="181">
        <f ca="1">TODAY()</f>
        <v>44958</v>
      </c>
      <c r="AL639" s="173">
        <f ca="1">IF(AI639&lt;&gt;0,AK639-AI639,0)</f>
        <v>78</v>
      </c>
      <c r="AM639" s="173" t="str">
        <f>IF(ISNUMBER(X639)=TRUE,AK639-X639,IF(X639="","",(AK639)-(MID(RIGHT(X639,10),4,2)&amp;"/"&amp;LEFT((RIGHT(X639,10)),2)&amp;"/"&amp;RIGHT(X639,4))))</f>
        <v/>
      </c>
      <c r="AN639" s="181"/>
      <c r="AO639" s="190" t="s">
        <v>2228</v>
      </c>
      <c r="AP639" s="176">
        <v>10.5</v>
      </c>
      <c r="AQ639" s="176">
        <v>10.51</v>
      </c>
      <c r="AR639" s="176">
        <v>10.534999999999998</v>
      </c>
      <c r="AS639" s="176">
        <v>10.54</v>
      </c>
      <c r="AT639" s="173" t="str">
        <f>IF(ISNUMBER(U639)=TRUE,AK639-U639,IF(U639="","",(AK639)-(MID(RIGHT(U639,10),4,2)&amp;"/"&amp;LEFT((RIGHT(U639,10)),2)&amp;"/"&amp;RIGHT(U639,4))))</f>
        <v/>
      </c>
      <c r="AU639" s="173">
        <v>459</v>
      </c>
      <c r="AW639" s="142" t="s">
        <v>123</v>
      </c>
    </row>
    <row r="640" spans="2:49" s="142" customFormat="1" ht="21" customHeight="1" x14ac:dyDescent="0.25">
      <c r="B640" s="173" t="str">
        <f>IF(C640="HOLD RM","HOLD RM",IF(C640="BAL","WIP",IF(C640="HOLD SLT","HOLD SLT",IF(C640="MILL","RM",IF(C640="RE SLT","WIP",IF(C640="RM","RM",IF(C640="RM BAL","RM",IF(C640="RM SLT","RM",IF(C640="RR","WIP",IF(C640="SKP","WIP",IF(C640="SLT","WIP",IF(C640="CTL","WIP",IF(C640="RM SLT RUST","RM SLT RUST",0)))))))))))))&amp;"-"&amp;G640&amp;"/"&amp;IF(H640="2B","2B",IF(H640="NO.1","1D",IF(H640="FH","FH",0)))&amp;"-"&amp;IF(J640="",(TEXT(I640,"0.00")),TEXT(J640,"0.00"))&amp;"X"&amp;M640</f>
        <v>RM-304L/1D-3.92X642</v>
      </c>
      <c r="C640" s="173" t="s">
        <v>48</v>
      </c>
      <c r="D640" s="173" t="s">
        <v>48</v>
      </c>
      <c r="E640" s="190" t="s">
        <v>2229</v>
      </c>
      <c r="F640" s="190" t="s">
        <v>2230</v>
      </c>
      <c r="G640" s="173" t="s">
        <v>182</v>
      </c>
      <c r="H640" s="173" t="s">
        <v>127</v>
      </c>
      <c r="I640" s="174">
        <v>3.92</v>
      </c>
      <c r="J640" s="174"/>
      <c r="K640" s="174"/>
      <c r="L640" s="174"/>
      <c r="M640" s="191">
        <v>642</v>
      </c>
      <c r="N640" s="176">
        <v>10.53</v>
      </c>
      <c r="O640" s="176"/>
      <c r="P640" s="177"/>
      <c r="Q640" s="178"/>
      <c r="R640" s="179"/>
      <c r="S640" s="179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80" t="s">
        <v>1881</v>
      </c>
      <c r="AE640" s="173" t="s">
        <v>69</v>
      </c>
      <c r="AF640" s="181" t="s">
        <v>142</v>
      </c>
      <c r="AG640" s="192" t="s">
        <v>1653</v>
      </c>
      <c r="AH640" s="198"/>
      <c r="AI640" s="181">
        <v>44880</v>
      </c>
      <c r="AJ640" s="181"/>
      <c r="AK640" s="181">
        <f ca="1">TODAY()</f>
        <v>44958</v>
      </c>
      <c r="AL640" s="173">
        <f ca="1">IF(AI640&lt;&gt;0,AK640-AI640,0)</f>
        <v>78</v>
      </c>
      <c r="AM640" s="173" t="str">
        <f>IF(ISNUMBER(X640)=TRUE,AK640-X640,IF(X640="","",(AK640)-(MID(RIGHT(X640,10),4,2)&amp;"/"&amp;LEFT((RIGHT(X640,10)),2)&amp;"/"&amp;RIGHT(X640,4))))</f>
        <v/>
      </c>
      <c r="AN640" s="181"/>
      <c r="AO640" s="190" t="s">
        <v>2228</v>
      </c>
      <c r="AP640" s="176">
        <v>10.53</v>
      </c>
      <c r="AQ640" s="176">
        <v>10.54</v>
      </c>
      <c r="AR640" s="176">
        <v>10.564999999999998</v>
      </c>
      <c r="AS640" s="176">
        <v>10.569999999999999</v>
      </c>
      <c r="AT640" s="173" t="str">
        <f>IF(ISNUMBER(U640)=TRUE,AK640-U640,IF(U640="","",(AK640)-(MID(RIGHT(U640,10),4,2)&amp;"/"&amp;LEFT((RIGHT(U640,10)),2)&amp;"/"&amp;RIGHT(U640,4))))</f>
        <v/>
      </c>
      <c r="AU640" s="173">
        <v>459</v>
      </c>
      <c r="AW640" s="142" t="s">
        <v>123</v>
      </c>
    </row>
    <row r="641" spans="2:49" s="142" customFormat="1" ht="21" customHeight="1" x14ac:dyDescent="0.25">
      <c r="B641" s="173" t="str">
        <f>IF(C641="HOLD RM","HOLD RM",IF(C641="BAL","WIP",IF(C641="HOLD SLT","HOLD SLT",IF(C641="MILL","RM",IF(C641="RE SLT","WIP",IF(C641="RM","RM",IF(C641="RM BAL","RM",IF(C641="RM SLT","RM",IF(C641="RR","WIP",IF(C641="SKP","WIP",IF(C641="SLT","WIP",IF(C641="CTL","WIP",IF(C641="RM SLT RUST","RM SLT RUST",0)))))))))))))&amp;"-"&amp;G641&amp;"/"&amp;IF(H641="2B","2B",IF(H641="NO.1","1D",IF(H641="FH","FH",0)))&amp;"-"&amp;IF(J641="",(TEXT(I641,"0.00")),TEXT(J641,"0.00"))&amp;"X"&amp;M641</f>
        <v>RM-304/1D-3.81X643</v>
      </c>
      <c r="C641" s="173" t="s">
        <v>48</v>
      </c>
      <c r="D641" s="173" t="s">
        <v>48</v>
      </c>
      <c r="E641" s="190" t="s">
        <v>2231</v>
      </c>
      <c r="F641" s="190" t="s">
        <v>2232</v>
      </c>
      <c r="G641" s="173">
        <v>304</v>
      </c>
      <c r="H641" s="173" t="s">
        <v>127</v>
      </c>
      <c r="I641" s="174">
        <v>3.81</v>
      </c>
      <c r="J641" s="174"/>
      <c r="K641" s="174"/>
      <c r="L641" s="174"/>
      <c r="M641" s="191">
        <v>643</v>
      </c>
      <c r="N641" s="176">
        <v>10.59</v>
      </c>
      <c r="O641" s="176"/>
      <c r="P641" s="177"/>
      <c r="Q641" s="178"/>
      <c r="R641" s="179"/>
      <c r="S641" s="179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80" t="s">
        <v>1881</v>
      </c>
      <c r="AE641" s="173" t="s">
        <v>69</v>
      </c>
      <c r="AF641" s="181" t="s">
        <v>142</v>
      </c>
      <c r="AG641" s="192" t="s">
        <v>1887</v>
      </c>
      <c r="AH641" s="198"/>
      <c r="AI641" s="181">
        <v>44880</v>
      </c>
      <c r="AJ641" s="181"/>
      <c r="AK641" s="181">
        <f ca="1">TODAY()</f>
        <v>44958</v>
      </c>
      <c r="AL641" s="173">
        <f ca="1">IF(AI641&lt;&gt;0,AK641-AI641,0)</f>
        <v>78</v>
      </c>
      <c r="AM641" s="173" t="str">
        <f>IF(ISNUMBER(X641)=TRUE,AK641-X641,IF(X641="","",(AK641)-(MID(RIGHT(X641,10),4,2)&amp;"/"&amp;LEFT((RIGHT(X641,10)),2)&amp;"/"&amp;RIGHT(X641,4))))</f>
        <v/>
      </c>
      <c r="AN641" s="181"/>
      <c r="AO641" s="190" t="s">
        <v>2233</v>
      </c>
      <c r="AP641" s="176">
        <v>10.59</v>
      </c>
      <c r="AQ641" s="176">
        <v>10.6</v>
      </c>
      <c r="AR641" s="176">
        <v>10.624999999999998</v>
      </c>
      <c r="AS641" s="176">
        <v>10.629999999999999</v>
      </c>
      <c r="AT641" s="173" t="str">
        <f>IF(ISNUMBER(U641)=TRUE,AK641-U641,IF(U641="","",(AK641)-(MID(RIGHT(U641,10),4,2)&amp;"/"&amp;LEFT((RIGHT(U641,10)),2)&amp;"/"&amp;RIGHT(U641,4))))</f>
        <v/>
      </c>
      <c r="AU641" s="173">
        <v>459</v>
      </c>
      <c r="AW641" s="142" t="s">
        <v>123</v>
      </c>
    </row>
    <row r="642" spans="2:49" s="142" customFormat="1" ht="21" customHeight="1" x14ac:dyDescent="0.25">
      <c r="B642" s="173" t="str">
        <f>IF(C642="HOLD RM","HOLD RM",IF(C642="BAL","WIP",IF(C642="HOLD SLT","HOLD SLT",IF(C642="MILL","RM",IF(C642="RE SLT","WIP",IF(C642="RM","RM",IF(C642="RM BAL","RM",IF(C642="RM SLT","RM",IF(C642="RR","WIP",IF(C642="SKP","WIP",IF(C642="SLT","WIP",IF(C642="CTL","WIP",IF(C642="RM SLT RUST","RM SLT RUST",0)))))))))))))&amp;"-"&amp;G642&amp;"/"&amp;IF(H642="2B","2B",IF(H642="NO.1","1D",IF(H642="FH","FH",0)))&amp;"-"&amp;IF(J642="",(TEXT(I642,"0.00")),TEXT(J642,"0.00"))&amp;"X"&amp;M642</f>
        <v>RM-304/1D-3.81X644</v>
      </c>
      <c r="C642" s="173" t="s">
        <v>48</v>
      </c>
      <c r="D642" s="173" t="s">
        <v>48</v>
      </c>
      <c r="E642" s="190" t="s">
        <v>2234</v>
      </c>
      <c r="F642" s="190" t="s">
        <v>2235</v>
      </c>
      <c r="G642" s="173">
        <v>304</v>
      </c>
      <c r="H642" s="173" t="s">
        <v>127</v>
      </c>
      <c r="I642" s="174">
        <v>3.81</v>
      </c>
      <c r="J642" s="174"/>
      <c r="K642" s="174"/>
      <c r="L642" s="174"/>
      <c r="M642" s="191">
        <v>644</v>
      </c>
      <c r="N642" s="176">
        <v>10.545</v>
      </c>
      <c r="O642" s="176"/>
      <c r="P642" s="177"/>
      <c r="Q642" s="178"/>
      <c r="R642" s="179"/>
      <c r="S642" s="179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80" t="s">
        <v>1881</v>
      </c>
      <c r="AE642" s="173" t="s">
        <v>69</v>
      </c>
      <c r="AF642" s="181" t="s">
        <v>142</v>
      </c>
      <c r="AG642" s="192" t="s">
        <v>1887</v>
      </c>
      <c r="AH642" s="198"/>
      <c r="AI642" s="181">
        <v>44880</v>
      </c>
      <c r="AJ642" s="181"/>
      <c r="AK642" s="181">
        <f ca="1">TODAY()</f>
        <v>44958</v>
      </c>
      <c r="AL642" s="173">
        <f ca="1">IF(AI642&lt;&gt;0,AK642-AI642,0)</f>
        <v>78</v>
      </c>
      <c r="AM642" s="173" t="str">
        <f>IF(ISNUMBER(X642)=TRUE,AK642-X642,IF(X642="","",(AK642)-(MID(RIGHT(X642,10),4,2)&amp;"/"&amp;LEFT((RIGHT(X642,10)),2)&amp;"/"&amp;RIGHT(X642,4))))</f>
        <v/>
      </c>
      <c r="AN642" s="181"/>
      <c r="AO642" s="190" t="s">
        <v>2233</v>
      </c>
      <c r="AP642" s="176">
        <v>10.545</v>
      </c>
      <c r="AQ642" s="176">
        <v>10.555</v>
      </c>
      <c r="AR642" s="176">
        <v>10.579999999999998</v>
      </c>
      <c r="AS642" s="176">
        <v>10.584999999999999</v>
      </c>
      <c r="AT642" s="173" t="str">
        <f>IF(ISNUMBER(U642)=TRUE,AK642-U642,IF(U642="","",(AK642)-(MID(RIGHT(U642,10),4,2)&amp;"/"&amp;LEFT((RIGHT(U642,10)),2)&amp;"/"&amp;RIGHT(U642,4))))</f>
        <v/>
      </c>
      <c r="AU642" s="173">
        <v>459</v>
      </c>
      <c r="AW642" s="142" t="s">
        <v>123</v>
      </c>
    </row>
    <row r="643" spans="2:49" s="142" customFormat="1" ht="21" customHeight="1" x14ac:dyDescent="0.25">
      <c r="B643" s="173" t="str">
        <f>IF(C643="HOLD RM","HOLD RM",IF(C643="BAL","WIP",IF(C643="HOLD SLT","HOLD SLT",IF(C643="MILL","RM",IF(C643="RE SLT","WIP",IF(C643="RM","RM",IF(C643="RM BAL","RM",IF(C643="RM SLT","RM",IF(C643="RR","WIP",IF(C643="SKP","WIP",IF(C643="SLT","WIP",IF(C643="CTL","WIP",IF(C643="RM SLT RUST","RM SLT RUST",0)))))))))))))&amp;"-"&amp;G643&amp;"/"&amp;IF(H643="2B","2B",IF(H643="NO.1","1D",IF(H643="FH","FH",0)))&amp;"-"&amp;IF(J643="",(TEXT(I643,"0.00")),TEXT(J643,"0.00"))&amp;"X"&amp;M643</f>
        <v>RM-304L/1D-3.96X643</v>
      </c>
      <c r="C643" s="173" t="s">
        <v>48</v>
      </c>
      <c r="D643" s="173" t="s">
        <v>48</v>
      </c>
      <c r="E643" s="190" t="s">
        <v>2236</v>
      </c>
      <c r="F643" s="190" t="s">
        <v>2237</v>
      </c>
      <c r="G643" s="173" t="s">
        <v>182</v>
      </c>
      <c r="H643" s="173" t="s">
        <v>127</v>
      </c>
      <c r="I643" s="174">
        <v>3.96</v>
      </c>
      <c r="J643" s="174"/>
      <c r="K643" s="174"/>
      <c r="L643" s="174"/>
      <c r="M643" s="191">
        <v>643</v>
      </c>
      <c r="N643" s="176">
        <v>10.61</v>
      </c>
      <c r="O643" s="176"/>
      <c r="P643" s="177"/>
      <c r="Q643" s="178"/>
      <c r="R643" s="179"/>
      <c r="S643" s="179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80" t="s">
        <v>1898</v>
      </c>
      <c r="AE643" s="173" t="s">
        <v>69</v>
      </c>
      <c r="AF643" s="181" t="s">
        <v>142</v>
      </c>
      <c r="AG643" s="192" t="s">
        <v>1887</v>
      </c>
      <c r="AH643" s="198"/>
      <c r="AI643" s="181">
        <v>44880</v>
      </c>
      <c r="AJ643" s="181"/>
      <c r="AK643" s="181">
        <f ca="1">TODAY()</f>
        <v>44958</v>
      </c>
      <c r="AL643" s="173">
        <f ca="1">IF(AI643&lt;&gt;0,AK643-AI643,0)</f>
        <v>78</v>
      </c>
      <c r="AM643" s="173" t="str">
        <f>IF(ISNUMBER(X643)=TRUE,AK643-X643,IF(X643="","",(AK643)-(MID(RIGHT(X643,10),4,2)&amp;"/"&amp;LEFT((RIGHT(X643,10)),2)&amp;"/"&amp;RIGHT(X643,4))))</f>
        <v/>
      </c>
      <c r="AN643" s="181"/>
      <c r="AO643" s="190" t="s">
        <v>2238</v>
      </c>
      <c r="AP643" s="176">
        <v>10.61</v>
      </c>
      <c r="AQ643" s="176">
        <v>10.62</v>
      </c>
      <c r="AR643" s="176">
        <v>10.644999999999998</v>
      </c>
      <c r="AS643" s="176">
        <v>10.649999999999999</v>
      </c>
      <c r="AT643" s="173" t="str">
        <f>IF(ISNUMBER(U643)=TRUE,AK643-U643,IF(U643="","",(AK643)-(MID(RIGHT(U643,10),4,2)&amp;"/"&amp;LEFT((RIGHT(U643,10)),2)&amp;"/"&amp;RIGHT(U643,4))))</f>
        <v/>
      </c>
      <c r="AU643" s="173">
        <v>459</v>
      </c>
      <c r="AW643" s="142" t="s">
        <v>123</v>
      </c>
    </row>
    <row r="644" spans="2:49" s="142" customFormat="1" ht="21" customHeight="1" x14ac:dyDescent="0.25">
      <c r="B644" s="173" t="str">
        <f>IF(C644="HOLD RM","HOLD RM",IF(C644="BAL","WIP",IF(C644="HOLD SLT","HOLD SLT",IF(C644="MILL","RM",IF(C644="RE SLT","WIP",IF(C644="RM","RM",IF(C644="RM BAL","RM",IF(C644="RM SLT","RM",IF(C644="RR","WIP",IF(C644="SKP","WIP",IF(C644="SLT","WIP",IF(C644="CTL","WIP",IF(C644="RM SLT RUST","RM SLT RUST",0)))))))))))))&amp;"-"&amp;G644&amp;"/"&amp;IF(H644="2B","2B",IF(H644="NO.1","1D",IF(H644="FH","FH",0)))&amp;"-"&amp;IF(J644="",(TEXT(I644,"0.00")),TEXT(J644,"0.00"))&amp;"X"&amp;M644</f>
        <v>RM-304L/1D-3.96X642</v>
      </c>
      <c r="C644" s="173" t="s">
        <v>48</v>
      </c>
      <c r="D644" s="173" t="s">
        <v>48</v>
      </c>
      <c r="E644" s="190" t="s">
        <v>2239</v>
      </c>
      <c r="F644" s="190" t="s">
        <v>2240</v>
      </c>
      <c r="G644" s="173" t="s">
        <v>182</v>
      </c>
      <c r="H644" s="173" t="s">
        <v>127</v>
      </c>
      <c r="I644" s="174">
        <v>3.96</v>
      </c>
      <c r="J644" s="174"/>
      <c r="K644" s="174"/>
      <c r="L644" s="174"/>
      <c r="M644" s="191">
        <v>642</v>
      </c>
      <c r="N644" s="176">
        <v>10.565</v>
      </c>
      <c r="O644" s="176"/>
      <c r="P644" s="177"/>
      <c r="Q644" s="178"/>
      <c r="R644" s="179"/>
      <c r="S644" s="179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80" t="s">
        <v>1898</v>
      </c>
      <c r="AE644" s="173" t="s">
        <v>69</v>
      </c>
      <c r="AF644" s="181" t="s">
        <v>142</v>
      </c>
      <c r="AG644" s="192" t="s">
        <v>1887</v>
      </c>
      <c r="AH644" s="198"/>
      <c r="AI644" s="181">
        <v>44880</v>
      </c>
      <c r="AJ644" s="181"/>
      <c r="AK644" s="181">
        <f ca="1">TODAY()</f>
        <v>44958</v>
      </c>
      <c r="AL644" s="173">
        <f ca="1">IF(AI644&lt;&gt;0,AK644-AI644,0)</f>
        <v>78</v>
      </c>
      <c r="AM644" s="173" t="str">
        <f>IF(ISNUMBER(X644)=TRUE,AK644-X644,IF(X644="","",(AK644)-(MID(RIGHT(X644,10),4,2)&amp;"/"&amp;LEFT((RIGHT(X644,10)),2)&amp;"/"&amp;RIGHT(X644,4))))</f>
        <v/>
      </c>
      <c r="AN644" s="181"/>
      <c r="AO644" s="190" t="s">
        <v>2238</v>
      </c>
      <c r="AP644" s="176">
        <v>10.565</v>
      </c>
      <c r="AQ644" s="176">
        <v>10.574999999999999</v>
      </c>
      <c r="AR644" s="176">
        <v>10.599999999999998</v>
      </c>
      <c r="AS644" s="176">
        <v>10.604999999999999</v>
      </c>
      <c r="AT644" s="173" t="str">
        <f>IF(ISNUMBER(U644)=TRUE,AK644-U644,IF(U644="","",(AK644)-(MID(RIGHT(U644,10),4,2)&amp;"/"&amp;LEFT((RIGHT(U644,10)),2)&amp;"/"&amp;RIGHT(U644,4))))</f>
        <v/>
      </c>
      <c r="AU644" s="173">
        <v>459</v>
      </c>
      <c r="AW644" s="142" t="s">
        <v>123</v>
      </c>
    </row>
    <row r="645" spans="2:49" s="142" customFormat="1" ht="21" customHeight="1" x14ac:dyDescent="0.25">
      <c r="B645" s="173" t="str">
        <f>IF(C645="HOLD RM","HOLD RM",IF(C645="BAL","WIP",IF(C645="HOLD SLT","HOLD SLT",IF(C645="MILL","RM",IF(C645="RE SLT","WIP",IF(C645="RM","RM",IF(C645="RM BAL","RM",IF(C645="RM SLT","RM",IF(C645="RR","WIP",IF(C645="SKP","WIP",IF(C645="SLT","WIP",IF(C645="CTL","WIP",IF(C645="RM SLT RUST","RM SLT RUST",0)))))))))))))&amp;"-"&amp;G645&amp;"/"&amp;IF(H645="2B","2B",IF(H645="NO.1","1D",IF(H645="FH","FH",0)))&amp;"-"&amp;IF(J645="",(TEXT(I645,"0.00")),TEXT(J645,"0.00"))&amp;"X"&amp;M645</f>
        <v>RM-304/1D-2.98X642</v>
      </c>
      <c r="C645" s="173" t="s">
        <v>48</v>
      </c>
      <c r="D645" s="173" t="s">
        <v>48</v>
      </c>
      <c r="E645" s="190" t="s">
        <v>2241</v>
      </c>
      <c r="F645" s="190" t="s">
        <v>2242</v>
      </c>
      <c r="G645" s="173">
        <v>304</v>
      </c>
      <c r="H645" s="173" t="s">
        <v>127</v>
      </c>
      <c r="I645" s="174">
        <v>2.98</v>
      </c>
      <c r="J645" s="174"/>
      <c r="K645" s="174"/>
      <c r="L645" s="174"/>
      <c r="M645" s="191">
        <v>642</v>
      </c>
      <c r="N645" s="176">
        <v>10.62</v>
      </c>
      <c r="O645" s="176"/>
      <c r="P645" s="177"/>
      <c r="Q645" s="178"/>
      <c r="R645" s="179"/>
      <c r="S645" s="179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80" t="s">
        <v>1898</v>
      </c>
      <c r="AE645" s="173" t="s">
        <v>69</v>
      </c>
      <c r="AF645" s="181" t="s">
        <v>142</v>
      </c>
      <c r="AG645" s="192" t="s">
        <v>1887</v>
      </c>
      <c r="AH645" s="198"/>
      <c r="AI645" s="181">
        <v>44880</v>
      </c>
      <c r="AJ645" s="181"/>
      <c r="AK645" s="181">
        <f ca="1">TODAY()</f>
        <v>44958</v>
      </c>
      <c r="AL645" s="173">
        <f ca="1">IF(AI645&lt;&gt;0,AK645-AI645,0)</f>
        <v>78</v>
      </c>
      <c r="AM645" s="173" t="str">
        <f>IF(ISNUMBER(X645)=TRUE,AK645-X645,IF(X645="","",(AK645)-(MID(RIGHT(X645,10),4,2)&amp;"/"&amp;LEFT((RIGHT(X645,10)),2)&amp;"/"&amp;RIGHT(X645,4))))</f>
        <v/>
      </c>
      <c r="AN645" s="181"/>
      <c r="AO645" s="190" t="s">
        <v>2243</v>
      </c>
      <c r="AP645" s="176">
        <v>10.62</v>
      </c>
      <c r="AQ645" s="176">
        <v>10.629999999999999</v>
      </c>
      <c r="AR645" s="176">
        <v>10.654999999999998</v>
      </c>
      <c r="AS645" s="176">
        <v>10.659999999999998</v>
      </c>
      <c r="AT645" s="173" t="str">
        <f>IF(ISNUMBER(U645)=TRUE,AK645-U645,IF(U645="","",(AK645)-(MID(RIGHT(U645,10),4,2)&amp;"/"&amp;LEFT((RIGHT(U645,10)),2)&amp;"/"&amp;RIGHT(U645,4))))</f>
        <v/>
      </c>
      <c r="AU645" s="173">
        <v>459</v>
      </c>
      <c r="AW645" s="142" t="s">
        <v>123</v>
      </c>
    </row>
    <row r="646" spans="2:49" s="142" customFormat="1" ht="21" customHeight="1" x14ac:dyDescent="0.25">
      <c r="B646" s="173" t="str">
        <f>IF(C646="HOLD RM","HOLD RM",IF(C646="BAL","WIP",IF(C646="HOLD SLT","HOLD SLT",IF(C646="MILL","RM",IF(C646="RE SLT","WIP",IF(C646="RM","RM",IF(C646="RM BAL","RM",IF(C646="RM SLT","RM",IF(C646="RR","WIP",IF(C646="SKP","WIP",IF(C646="SLT","WIP",IF(C646="CTL","WIP",IF(C646="RM SLT RUST","RM SLT RUST",0)))))))))))))&amp;"-"&amp;G646&amp;"/"&amp;IF(H646="2B","2B",IF(H646="NO.1","1D",IF(H646="FH","FH",0)))&amp;"-"&amp;IF(J646="",(TEXT(I646,"0.00")),TEXT(J646,"0.00"))&amp;"X"&amp;M646</f>
        <v>RM-304/1D-2.97X642</v>
      </c>
      <c r="C646" s="173" t="s">
        <v>48</v>
      </c>
      <c r="D646" s="173" t="s">
        <v>48</v>
      </c>
      <c r="E646" s="190" t="s">
        <v>2244</v>
      </c>
      <c r="F646" s="190" t="s">
        <v>2245</v>
      </c>
      <c r="G646" s="173">
        <v>304</v>
      </c>
      <c r="H646" s="173" t="s">
        <v>127</v>
      </c>
      <c r="I646" s="174">
        <v>2.97</v>
      </c>
      <c r="J646" s="174"/>
      <c r="K646" s="174"/>
      <c r="L646" s="174"/>
      <c r="M646" s="191">
        <v>642</v>
      </c>
      <c r="N646" s="176">
        <v>10.61</v>
      </c>
      <c r="O646" s="176"/>
      <c r="P646" s="177"/>
      <c r="Q646" s="178"/>
      <c r="R646" s="179"/>
      <c r="S646" s="179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80" t="s">
        <v>1881</v>
      </c>
      <c r="AE646" s="173" t="s">
        <v>69</v>
      </c>
      <c r="AF646" s="181" t="s">
        <v>142</v>
      </c>
      <c r="AG646" s="192" t="s">
        <v>1887</v>
      </c>
      <c r="AH646" s="198"/>
      <c r="AI646" s="181">
        <v>44880</v>
      </c>
      <c r="AJ646" s="181"/>
      <c r="AK646" s="181">
        <f ca="1">TODAY()</f>
        <v>44958</v>
      </c>
      <c r="AL646" s="173">
        <f ca="1">IF(AI646&lt;&gt;0,AK646-AI646,0)</f>
        <v>78</v>
      </c>
      <c r="AM646" s="173" t="str">
        <f>IF(ISNUMBER(X646)=TRUE,AK646-X646,IF(X646="","",(AK646)-(MID(RIGHT(X646,10),4,2)&amp;"/"&amp;LEFT((RIGHT(X646,10)),2)&amp;"/"&amp;RIGHT(X646,4))))</f>
        <v/>
      </c>
      <c r="AN646" s="181"/>
      <c r="AO646" s="190" t="s">
        <v>2243</v>
      </c>
      <c r="AP646" s="176">
        <v>10.61</v>
      </c>
      <c r="AQ646" s="176">
        <v>10.62</v>
      </c>
      <c r="AR646" s="176">
        <v>10.644999999999998</v>
      </c>
      <c r="AS646" s="176">
        <v>10.649999999999999</v>
      </c>
      <c r="AT646" s="173" t="str">
        <f>IF(ISNUMBER(U646)=TRUE,AK646-U646,IF(U646="","",(AK646)-(MID(RIGHT(U646,10),4,2)&amp;"/"&amp;LEFT((RIGHT(U646,10)),2)&amp;"/"&amp;RIGHT(U646,4))))</f>
        <v/>
      </c>
      <c r="AU646" s="173">
        <v>459</v>
      </c>
      <c r="AW646" s="142" t="s">
        <v>123</v>
      </c>
    </row>
    <row r="647" spans="2:49" s="142" customFormat="1" ht="21" customHeight="1" x14ac:dyDescent="0.25">
      <c r="B647" s="173" t="str">
        <f>IF(C647="HOLD RM","HOLD RM",IF(C647="BAL","WIP",IF(C647="HOLD SLT","HOLD SLT",IF(C647="MILL","RM",IF(C647="RE SLT","WIP",IF(C647="RM","RM",IF(C647="RM BAL","RM",IF(C647="RM SLT","RM",IF(C647="RR","WIP",IF(C647="SKP","WIP",IF(C647="SLT","WIP",IF(C647="CTL","WIP",IF(C647="RM SLT RUST","RM SLT RUST",0)))))))))))))&amp;"-"&amp;G647&amp;"/"&amp;IF(H647="2B","2B",IF(H647="NO.1","1D",IF(H647="FH","FH",0)))&amp;"-"&amp;IF(J647="",(TEXT(I647,"0.00")),TEXT(J647,"0.00"))&amp;"X"&amp;M647</f>
        <v>RM-304L/1D-2.89X643</v>
      </c>
      <c r="C647" s="173" t="s">
        <v>48</v>
      </c>
      <c r="D647" s="173" t="s">
        <v>48</v>
      </c>
      <c r="E647" s="190" t="s">
        <v>2246</v>
      </c>
      <c r="F647" s="190" t="s">
        <v>2247</v>
      </c>
      <c r="G647" s="173" t="s">
        <v>182</v>
      </c>
      <c r="H647" s="173" t="s">
        <v>127</v>
      </c>
      <c r="I647" s="174">
        <v>2.89</v>
      </c>
      <c r="J647" s="174"/>
      <c r="K647" s="174"/>
      <c r="L647" s="174"/>
      <c r="M647" s="191">
        <v>643</v>
      </c>
      <c r="N647" s="176">
        <v>10.77</v>
      </c>
      <c r="O647" s="176"/>
      <c r="P647" s="177"/>
      <c r="Q647" s="178"/>
      <c r="R647" s="179"/>
      <c r="S647" s="179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80" t="s">
        <v>1881</v>
      </c>
      <c r="AE647" s="173" t="s">
        <v>69</v>
      </c>
      <c r="AF647" s="181" t="s">
        <v>142</v>
      </c>
      <c r="AG647" s="192" t="s">
        <v>1653</v>
      </c>
      <c r="AH647" s="198"/>
      <c r="AI647" s="181">
        <v>44880</v>
      </c>
      <c r="AJ647" s="181"/>
      <c r="AK647" s="181">
        <f ca="1">TODAY()</f>
        <v>44958</v>
      </c>
      <c r="AL647" s="173">
        <f ca="1">IF(AI647&lt;&gt;0,AK647-AI647,0)</f>
        <v>78</v>
      </c>
      <c r="AM647" s="173" t="str">
        <f>IF(ISNUMBER(X647)=TRUE,AK647-X647,IF(X647="","",(AK647)-(MID(RIGHT(X647,10),4,2)&amp;"/"&amp;LEFT((RIGHT(X647,10)),2)&amp;"/"&amp;RIGHT(X647,4))))</f>
        <v/>
      </c>
      <c r="AN647" s="181"/>
      <c r="AO647" s="190" t="s">
        <v>2248</v>
      </c>
      <c r="AP647" s="176">
        <v>10.77</v>
      </c>
      <c r="AQ647" s="176">
        <v>10.78</v>
      </c>
      <c r="AR647" s="176">
        <v>10.804999999999998</v>
      </c>
      <c r="AS647" s="176">
        <v>10.809999999999999</v>
      </c>
      <c r="AT647" s="173" t="str">
        <f>IF(ISNUMBER(U647)=TRUE,AK647-U647,IF(U647="","",(AK647)-(MID(RIGHT(U647,10),4,2)&amp;"/"&amp;LEFT((RIGHT(U647,10)),2)&amp;"/"&amp;RIGHT(U647,4))))</f>
        <v/>
      </c>
      <c r="AU647" s="173">
        <v>459</v>
      </c>
      <c r="AW647" s="142" t="s">
        <v>123</v>
      </c>
    </row>
    <row r="648" spans="2:49" s="142" customFormat="1" ht="21" customHeight="1" x14ac:dyDescent="0.25">
      <c r="B648" s="173" t="str">
        <f>IF(C648="HOLD RM","HOLD RM",IF(C648="BAL","WIP",IF(C648="HOLD SLT","HOLD SLT",IF(C648="MILL","RM",IF(C648="RE SLT","WIP",IF(C648="RM","RM",IF(C648="RM BAL","RM",IF(C648="RM SLT","RM",IF(C648="RR","WIP",IF(C648="SKP","WIP",IF(C648="SLT","WIP",IF(C648="CTL","WIP",IF(C648="RM SLT RUST","RM SLT RUST",0)))))))))))))&amp;"-"&amp;G648&amp;"/"&amp;IF(H648="2B","2B",IF(H648="NO.1","1D",IF(H648="FH","FH",0)))&amp;"-"&amp;IF(J648="",(TEXT(I648,"0.00")),TEXT(J648,"0.00"))&amp;"X"&amp;M648</f>
        <v>RM-304L/1D-2.89X647</v>
      </c>
      <c r="C648" s="173" t="s">
        <v>48</v>
      </c>
      <c r="D648" s="173" t="s">
        <v>48</v>
      </c>
      <c r="E648" s="190" t="s">
        <v>2249</v>
      </c>
      <c r="F648" s="190" t="s">
        <v>2250</v>
      </c>
      <c r="G648" s="173" t="s">
        <v>182</v>
      </c>
      <c r="H648" s="173" t="s">
        <v>127</v>
      </c>
      <c r="I648" s="174">
        <v>2.89</v>
      </c>
      <c r="J648" s="174"/>
      <c r="K648" s="174"/>
      <c r="L648" s="174"/>
      <c r="M648" s="191">
        <v>647</v>
      </c>
      <c r="N648" s="176">
        <v>10.785</v>
      </c>
      <c r="O648" s="176"/>
      <c r="P648" s="177"/>
      <c r="Q648" s="178"/>
      <c r="R648" s="179"/>
      <c r="S648" s="179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80" t="s">
        <v>1881</v>
      </c>
      <c r="AE648" s="173" t="s">
        <v>69</v>
      </c>
      <c r="AF648" s="181" t="s">
        <v>142</v>
      </c>
      <c r="AG648" s="192" t="s">
        <v>1653</v>
      </c>
      <c r="AH648" s="198"/>
      <c r="AI648" s="181">
        <v>44880</v>
      </c>
      <c r="AJ648" s="181"/>
      <c r="AK648" s="181">
        <f ca="1">TODAY()</f>
        <v>44958</v>
      </c>
      <c r="AL648" s="173">
        <f ca="1">IF(AI648&lt;&gt;0,AK648-AI648,0)</f>
        <v>78</v>
      </c>
      <c r="AM648" s="173" t="str">
        <f>IF(ISNUMBER(X648)=TRUE,AK648-X648,IF(X648="","",(AK648)-(MID(RIGHT(X648,10),4,2)&amp;"/"&amp;LEFT((RIGHT(X648,10)),2)&amp;"/"&amp;RIGHT(X648,4))))</f>
        <v/>
      </c>
      <c r="AN648" s="181"/>
      <c r="AO648" s="190" t="s">
        <v>2248</v>
      </c>
      <c r="AP648" s="176">
        <v>10.785</v>
      </c>
      <c r="AQ648" s="176">
        <v>10.795</v>
      </c>
      <c r="AR648" s="176">
        <v>10.819999999999999</v>
      </c>
      <c r="AS648" s="176">
        <v>10.824999999999999</v>
      </c>
      <c r="AT648" s="173" t="str">
        <f>IF(ISNUMBER(U648)=TRUE,AK648-U648,IF(U648="","",(AK648)-(MID(RIGHT(U648,10),4,2)&amp;"/"&amp;LEFT((RIGHT(U648,10)),2)&amp;"/"&amp;RIGHT(U648,4))))</f>
        <v/>
      </c>
      <c r="AU648" s="173">
        <v>459</v>
      </c>
      <c r="AW648" s="142" t="s">
        <v>123</v>
      </c>
    </row>
    <row r="649" spans="2:49" s="142" customFormat="1" ht="21" customHeight="1" x14ac:dyDescent="0.25">
      <c r="B649" s="173" t="str">
        <f>IF(C649="HOLD RM","HOLD RM",IF(C649="BAL","WIP",IF(C649="HOLD SLT","HOLD SLT",IF(C649="MILL","RM",IF(C649="RE SLT","WIP",IF(C649="RM","RM",IF(C649="RM BAL","RM",IF(C649="RM SLT","RM",IF(C649="RR","WIP",IF(C649="SKP","WIP",IF(C649="SLT","WIP",IF(C649="CTL","WIP",IF(C649="RM SLT RUST","RM SLT RUST",0)))))))))))))&amp;"-"&amp;G649&amp;"/"&amp;IF(H649="2B","2B",IF(H649="NO.1","1D",IF(H649="FH","FH",0)))&amp;"-"&amp;IF(J649="",(TEXT(I649,"0.00")),TEXT(J649,"0.00"))&amp;"X"&amp;M649</f>
        <v>RM-304/1D-2.51X645</v>
      </c>
      <c r="C649" s="173" t="s">
        <v>48</v>
      </c>
      <c r="D649" s="173" t="s">
        <v>48</v>
      </c>
      <c r="E649" s="190" t="s">
        <v>2251</v>
      </c>
      <c r="F649" s="190" t="s">
        <v>2252</v>
      </c>
      <c r="G649" s="173">
        <v>304</v>
      </c>
      <c r="H649" s="173" t="s">
        <v>127</v>
      </c>
      <c r="I649" s="174">
        <v>2.5099999999999998</v>
      </c>
      <c r="J649" s="174"/>
      <c r="K649" s="174"/>
      <c r="L649" s="174"/>
      <c r="M649" s="191">
        <v>645</v>
      </c>
      <c r="N649" s="176">
        <v>10.63</v>
      </c>
      <c r="O649" s="176"/>
      <c r="P649" s="177"/>
      <c r="Q649" s="178"/>
      <c r="R649" s="179"/>
      <c r="S649" s="179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80" t="s">
        <v>1881</v>
      </c>
      <c r="AE649" s="173" t="s">
        <v>69</v>
      </c>
      <c r="AF649" s="181" t="s">
        <v>142</v>
      </c>
      <c r="AG649" s="192" t="s">
        <v>1887</v>
      </c>
      <c r="AH649" s="198"/>
      <c r="AI649" s="181">
        <v>44880</v>
      </c>
      <c r="AJ649" s="181"/>
      <c r="AK649" s="181">
        <f ca="1">TODAY()</f>
        <v>44958</v>
      </c>
      <c r="AL649" s="173">
        <f ca="1">IF(AI649&lt;&gt;0,AK649-AI649,0)</f>
        <v>78</v>
      </c>
      <c r="AM649" s="173" t="str">
        <f>IF(ISNUMBER(X649)=TRUE,AK649-X649,IF(X649="","",(AK649)-(MID(RIGHT(X649,10),4,2)&amp;"/"&amp;LEFT((RIGHT(X649,10)),2)&amp;"/"&amp;RIGHT(X649,4))))</f>
        <v/>
      </c>
      <c r="AN649" s="181"/>
      <c r="AO649" s="190" t="s">
        <v>2253</v>
      </c>
      <c r="AP649" s="176">
        <v>10.63</v>
      </c>
      <c r="AQ649" s="176">
        <v>10.64</v>
      </c>
      <c r="AR649" s="176">
        <v>10.664999999999999</v>
      </c>
      <c r="AS649" s="176">
        <v>10.67</v>
      </c>
      <c r="AT649" s="173" t="str">
        <f>IF(ISNUMBER(U649)=TRUE,AK649-U649,IF(U649="","",(AK649)-(MID(RIGHT(U649,10),4,2)&amp;"/"&amp;LEFT((RIGHT(U649,10)),2)&amp;"/"&amp;RIGHT(U649,4))))</f>
        <v/>
      </c>
      <c r="AU649" s="173">
        <v>459</v>
      </c>
      <c r="AW649" s="142" t="s">
        <v>123</v>
      </c>
    </row>
    <row r="650" spans="2:49" s="142" customFormat="1" ht="21" customHeight="1" x14ac:dyDescent="0.25">
      <c r="B650" s="173" t="str">
        <f>IF(C650="HOLD RM","HOLD RM",IF(C650="BAL","WIP",IF(C650="HOLD SLT","HOLD SLT",IF(C650="MILL","RM",IF(C650="RE SLT","WIP",IF(C650="RM","RM",IF(C650="RM BAL","RM",IF(C650="RM SLT","RM",IF(C650="RR","WIP",IF(C650="SKP","WIP",IF(C650="SLT","WIP",IF(C650="CTL","WIP",IF(C650="RM SLT RUST","RM SLT RUST",0)))))))))))))&amp;"-"&amp;G650&amp;"/"&amp;IF(H650="2B","2B",IF(H650="NO.1","1D",IF(H650="FH","FH",0)))&amp;"-"&amp;IF(J650="",(TEXT(I650,"0.00")),TEXT(J650,"0.00"))&amp;"X"&amp;M650</f>
        <v>RM-304/1D-2.51X641</v>
      </c>
      <c r="C650" s="173" t="s">
        <v>48</v>
      </c>
      <c r="D650" s="173" t="s">
        <v>48</v>
      </c>
      <c r="E650" s="190" t="s">
        <v>2254</v>
      </c>
      <c r="F650" s="190" t="s">
        <v>2255</v>
      </c>
      <c r="G650" s="173">
        <v>304</v>
      </c>
      <c r="H650" s="173" t="s">
        <v>127</v>
      </c>
      <c r="I650" s="174">
        <v>2.5099999999999998</v>
      </c>
      <c r="J650" s="174"/>
      <c r="K650" s="174"/>
      <c r="L650" s="174"/>
      <c r="M650" s="191">
        <v>641</v>
      </c>
      <c r="N650" s="176">
        <v>10.61</v>
      </c>
      <c r="O650" s="176"/>
      <c r="P650" s="177"/>
      <c r="Q650" s="178"/>
      <c r="R650" s="179"/>
      <c r="S650" s="179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80" t="s">
        <v>1881</v>
      </c>
      <c r="AE650" s="173" t="s">
        <v>69</v>
      </c>
      <c r="AF650" s="181" t="s">
        <v>142</v>
      </c>
      <c r="AG650" s="192" t="s">
        <v>1887</v>
      </c>
      <c r="AH650" s="198"/>
      <c r="AI650" s="181">
        <v>44880</v>
      </c>
      <c r="AJ650" s="181"/>
      <c r="AK650" s="181">
        <f ca="1">TODAY()</f>
        <v>44958</v>
      </c>
      <c r="AL650" s="173">
        <f ca="1">IF(AI650&lt;&gt;0,AK650-AI650,0)</f>
        <v>78</v>
      </c>
      <c r="AM650" s="173" t="str">
        <f>IF(ISNUMBER(X650)=TRUE,AK650-X650,IF(X650="","",(AK650)-(MID(RIGHT(X650,10),4,2)&amp;"/"&amp;LEFT((RIGHT(X650,10)),2)&amp;"/"&amp;RIGHT(X650,4))))</f>
        <v/>
      </c>
      <c r="AN650" s="181"/>
      <c r="AO650" s="190" t="s">
        <v>2253</v>
      </c>
      <c r="AP650" s="176">
        <v>10.61</v>
      </c>
      <c r="AQ650" s="176">
        <v>10.62</v>
      </c>
      <c r="AR650" s="176">
        <v>10.644999999999998</v>
      </c>
      <c r="AS650" s="176">
        <v>10.649999999999999</v>
      </c>
      <c r="AT650" s="173" t="str">
        <f>IF(ISNUMBER(U650)=TRUE,AK650-U650,IF(U650="","",(AK650)-(MID(RIGHT(U650,10),4,2)&amp;"/"&amp;LEFT((RIGHT(U650,10)),2)&amp;"/"&amp;RIGHT(U650,4))))</f>
        <v/>
      </c>
      <c r="AU650" s="173">
        <v>459</v>
      </c>
      <c r="AW650" s="142" t="s">
        <v>123</v>
      </c>
    </row>
    <row r="651" spans="2:49" s="142" customFormat="1" ht="21" customHeight="1" x14ac:dyDescent="0.25">
      <c r="B651" s="173" t="str">
        <f>IF(C651="HOLD RM","HOLD RM",IF(C651="BAL","WIP",IF(C651="HOLD SLT","HOLD SLT",IF(C651="MILL","RM",IF(C651="RE SLT","WIP",IF(C651="RM","RM",IF(C651="RM BAL","RM",IF(C651="RM SLT","RM",IF(C651="RR","WIP",IF(C651="SKP","WIP",IF(C651="SLT","WIP",IF(C651="CTL","WIP",IF(C651="RM SLT RUST","RM SLT RUST",0)))))))))))))&amp;"-"&amp;G651&amp;"/"&amp;IF(H651="2B","2B",IF(H651="NO.1","1D",IF(H651="FH","FH",0)))&amp;"-"&amp;IF(J651="",(TEXT(I651,"0.00")),TEXT(J651,"0.00"))&amp;"X"&amp;M651</f>
        <v>RM-304L/1D-3.88X643</v>
      </c>
      <c r="C651" s="173" t="s">
        <v>48</v>
      </c>
      <c r="D651" s="173" t="s">
        <v>48</v>
      </c>
      <c r="E651" s="190" t="s">
        <v>2256</v>
      </c>
      <c r="F651" s="190" t="s">
        <v>2257</v>
      </c>
      <c r="G651" s="173" t="s">
        <v>182</v>
      </c>
      <c r="H651" s="173" t="s">
        <v>127</v>
      </c>
      <c r="I651" s="174">
        <v>3.88</v>
      </c>
      <c r="J651" s="174"/>
      <c r="K651" s="174"/>
      <c r="L651" s="174"/>
      <c r="M651" s="191">
        <v>643</v>
      </c>
      <c r="N651" s="176">
        <v>10.535</v>
      </c>
      <c r="O651" s="176"/>
      <c r="P651" s="177"/>
      <c r="Q651" s="178"/>
      <c r="R651" s="179"/>
      <c r="S651" s="179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80" t="s">
        <v>1881</v>
      </c>
      <c r="AE651" s="173" t="s">
        <v>69</v>
      </c>
      <c r="AF651" s="181" t="s">
        <v>142</v>
      </c>
      <c r="AG651" s="192" t="s">
        <v>1887</v>
      </c>
      <c r="AH651" s="198"/>
      <c r="AI651" s="181">
        <v>44880</v>
      </c>
      <c r="AJ651" s="181"/>
      <c r="AK651" s="181">
        <f ca="1">TODAY()</f>
        <v>44958</v>
      </c>
      <c r="AL651" s="173">
        <f ca="1">IF(AI651&lt;&gt;0,AK651-AI651,0)</f>
        <v>78</v>
      </c>
      <c r="AM651" s="173" t="str">
        <f>IF(ISNUMBER(X651)=TRUE,AK651-X651,IF(X651="","",(AK651)-(MID(RIGHT(X651,10),4,2)&amp;"/"&amp;LEFT((RIGHT(X651,10)),2)&amp;"/"&amp;RIGHT(X651,4))))</f>
        <v/>
      </c>
      <c r="AN651" s="181"/>
      <c r="AO651" s="190" t="s">
        <v>2258</v>
      </c>
      <c r="AP651" s="176">
        <v>10.535</v>
      </c>
      <c r="AQ651" s="176">
        <v>10.545</v>
      </c>
      <c r="AR651" s="176">
        <v>10.569999999999999</v>
      </c>
      <c r="AS651" s="176">
        <v>10.574999999999999</v>
      </c>
      <c r="AT651" s="173" t="str">
        <f>IF(ISNUMBER(U651)=TRUE,AK651-U651,IF(U651="","",(AK651)-(MID(RIGHT(U651,10),4,2)&amp;"/"&amp;LEFT((RIGHT(U651,10)),2)&amp;"/"&amp;RIGHT(U651,4))))</f>
        <v/>
      </c>
      <c r="AU651" s="173">
        <v>459</v>
      </c>
      <c r="AW651" s="142" t="s">
        <v>123</v>
      </c>
    </row>
    <row r="652" spans="2:49" s="142" customFormat="1" ht="21" customHeight="1" x14ac:dyDescent="0.25">
      <c r="B652" s="173" t="str">
        <f>IF(C652="HOLD RM","HOLD RM",IF(C652="BAL","WIP",IF(C652="HOLD SLT","HOLD SLT",IF(C652="MILL","RM",IF(C652="RE SLT","WIP",IF(C652="RM","RM",IF(C652="RM BAL","RM",IF(C652="RM SLT","RM",IF(C652="RR","WIP",IF(C652="SKP","WIP",IF(C652="SLT","WIP",IF(C652="CTL","WIP",IF(C652="RM SLT RUST","RM SLT RUST",0)))))))))))))&amp;"-"&amp;G652&amp;"/"&amp;IF(H652="2B","2B",IF(H652="NO.1","1D",IF(H652="FH","FH",0)))&amp;"-"&amp;IF(J652="",(TEXT(I652,"0.00")),TEXT(J652,"0.00"))&amp;"X"&amp;M652</f>
        <v>RM-304L/1D-3.87X642</v>
      </c>
      <c r="C652" s="173" t="s">
        <v>48</v>
      </c>
      <c r="D652" s="173" t="s">
        <v>48</v>
      </c>
      <c r="E652" s="190" t="s">
        <v>2259</v>
      </c>
      <c r="F652" s="190" t="s">
        <v>2260</v>
      </c>
      <c r="G652" s="173" t="s">
        <v>182</v>
      </c>
      <c r="H652" s="173" t="s">
        <v>127</v>
      </c>
      <c r="I652" s="174">
        <v>3.87</v>
      </c>
      <c r="J652" s="174"/>
      <c r="K652" s="174"/>
      <c r="L652" s="174"/>
      <c r="M652" s="191">
        <v>642</v>
      </c>
      <c r="N652" s="176">
        <v>10.49</v>
      </c>
      <c r="O652" s="176"/>
      <c r="P652" s="177"/>
      <c r="Q652" s="178"/>
      <c r="R652" s="179"/>
      <c r="S652" s="179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80" t="s">
        <v>1881</v>
      </c>
      <c r="AE652" s="173" t="s">
        <v>69</v>
      </c>
      <c r="AF652" s="181" t="s">
        <v>142</v>
      </c>
      <c r="AG652" s="192" t="s">
        <v>1887</v>
      </c>
      <c r="AH652" s="198"/>
      <c r="AI652" s="181">
        <v>44880</v>
      </c>
      <c r="AJ652" s="181"/>
      <c r="AK652" s="181">
        <f ca="1">TODAY()</f>
        <v>44958</v>
      </c>
      <c r="AL652" s="173">
        <f ca="1">IF(AI652&lt;&gt;0,AK652-AI652,0)</f>
        <v>78</v>
      </c>
      <c r="AM652" s="173" t="str">
        <f>IF(ISNUMBER(X652)=TRUE,AK652-X652,IF(X652="","",(AK652)-(MID(RIGHT(X652,10),4,2)&amp;"/"&amp;LEFT((RIGHT(X652,10)),2)&amp;"/"&amp;RIGHT(X652,4))))</f>
        <v/>
      </c>
      <c r="AN652" s="181"/>
      <c r="AO652" s="190" t="s">
        <v>2258</v>
      </c>
      <c r="AP652" s="176">
        <v>10.49</v>
      </c>
      <c r="AQ652" s="176">
        <v>10.5</v>
      </c>
      <c r="AR652" s="176">
        <v>10.524999999999999</v>
      </c>
      <c r="AS652" s="176">
        <v>10.53</v>
      </c>
      <c r="AT652" s="173" t="str">
        <f>IF(ISNUMBER(U652)=TRUE,AK652-U652,IF(U652="","",(AK652)-(MID(RIGHT(U652,10),4,2)&amp;"/"&amp;LEFT((RIGHT(U652,10)),2)&amp;"/"&amp;RIGHT(U652,4))))</f>
        <v/>
      </c>
      <c r="AU652" s="173">
        <v>459</v>
      </c>
      <c r="AW652" s="142" t="s">
        <v>123</v>
      </c>
    </row>
    <row r="653" spans="2:49" s="142" customFormat="1" ht="21" customHeight="1" x14ac:dyDescent="0.25">
      <c r="B653" s="173" t="str">
        <f>IF(C653="HOLD RM","HOLD RM",IF(C653="BAL","WIP",IF(C653="HOLD SLT","HOLD SLT",IF(C653="MILL","RM",IF(C653="RE SLT","WIP",IF(C653="RM","RM",IF(C653="RM BAL","RM",IF(C653="RM SLT","RM",IF(C653="RR","WIP",IF(C653="SKP","WIP",IF(C653="SLT","WIP",IF(C653="CTL","WIP",IF(C653="RM SLT RUST","RM SLT RUST",0)))))))))))))&amp;"-"&amp;G653&amp;"/"&amp;IF(H653="2B","2B",IF(H653="NO.1","1D",IF(H653="FH","FH",0)))&amp;"-"&amp;IF(J653="",(TEXT(I653,"0.00")),TEXT(J653,"0.00"))&amp;"X"&amp;M653</f>
        <v>RM-304L/1D-3.89X647</v>
      </c>
      <c r="C653" s="173" t="s">
        <v>48</v>
      </c>
      <c r="D653" s="173" t="s">
        <v>48</v>
      </c>
      <c r="E653" s="190" t="s">
        <v>2261</v>
      </c>
      <c r="F653" s="190" t="s">
        <v>2262</v>
      </c>
      <c r="G653" s="173" t="s">
        <v>182</v>
      </c>
      <c r="H653" s="173" t="s">
        <v>127</v>
      </c>
      <c r="I653" s="174">
        <v>3.89</v>
      </c>
      <c r="J653" s="174"/>
      <c r="K653" s="174"/>
      <c r="L653" s="174"/>
      <c r="M653" s="191">
        <v>647</v>
      </c>
      <c r="N653" s="176">
        <v>10.654999999999999</v>
      </c>
      <c r="O653" s="176"/>
      <c r="P653" s="177"/>
      <c r="Q653" s="178"/>
      <c r="R653" s="179"/>
      <c r="S653" s="179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80" t="s">
        <v>1881</v>
      </c>
      <c r="AE653" s="173" t="s">
        <v>69</v>
      </c>
      <c r="AF653" s="181" t="s">
        <v>142</v>
      </c>
      <c r="AG653" s="192" t="s">
        <v>1887</v>
      </c>
      <c r="AH653" s="198"/>
      <c r="AI653" s="181">
        <v>44880</v>
      </c>
      <c r="AJ653" s="181"/>
      <c r="AK653" s="181">
        <f ca="1">TODAY()</f>
        <v>44958</v>
      </c>
      <c r="AL653" s="173">
        <f ca="1">IF(AI653&lt;&gt;0,AK653-AI653,0)</f>
        <v>78</v>
      </c>
      <c r="AM653" s="173" t="str">
        <f>IF(ISNUMBER(X653)=TRUE,AK653-X653,IF(X653="","",(AK653)-(MID(RIGHT(X653,10),4,2)&amp;"/"&amp;LEFT((RIGHT(X653,10)),2)&amp;"/"&amp;RIGHT(X653,4))))</f>
        <v/>
      </c>
      <c r="AN653" s="181"/>
      <c r="AO653" s="190" t="s">
        <v>2263</v>
      </c>
      <c r="AP653" s="176">
        <v>10.654999999999999</v>
      </c>
      <c r="AQ653" s="176">
        <v>10.664999999999999</v>
      </c>
      <c r="AR653" s="176">
        <v>10.689999999999998</v>
      </c>
      <c r="AS653" s="176">
        <v>10.694999999999999</v>
      </c>
      <c r="AT653" s="173" t="str">
        <f>IF(ISNUMBER(U653)=TRUE,AK653-U653,IF(U653="","",(AK653)-(MID(RIGHT(U653,10),4,2)&amp;"/"&amp;LEFT((RIGHT(U653,10)),2)&amp;"/"&amp;RIGHT(U653,4))))</f>
        <v/>
      </c>
      <c r="AU653" s="173">
        <v>459</v>
      </c>
      <c r="AW653" s="142" t="s">
        <v>123</v>
      </c>
    </row>
    <row r="654" spans="2:49" s="142" customFormat="1" ht="21" customHeight="1" x14ac:dyDescent="0.25">
      <c r="B654" s="173" t="str">
        <f>IF(C654="HOLD RM","HOLD RM",IF(C654="BAL","WIP",IF(C654="HOLD SLT","HOLD SLT",IF(C654="MILL","RM",IF(C654="RE SLT","WIP",IF(C654="RM","RM",IF(C654="RM BAL","RM",IF(C654="RM SLT","RM",IF(C654="RR","WIP",IF(C654="SKP","WIP",IF(C654="SLT","WIP",IF(C654="CTL","WIP",IF(C654="RM SLT RUST","RM SLT RUST",0)))))))))))))&amp;"-"&amp;G654&amp;"/"&amp;IF(H654="2B","2B",IF(H654="NO.1","1D",IF(H654="FH","FH",0)))&amp;"-"&amp;IF(J654="",(TEXT(I654,"0.00")),TEXT(J654,"0.00"))&amp;"X"&amp;M654</f>
        <v>RM-304L/1D-3.90X644</v>
      </c>
      <c r="C654" s="173" t="s">
        <v>48</v>
      </c>
      <c r="D654" s="173" t="s">
        <v>48</v>
      </c>
      <c r="E654" s="190" t="s">
        <v>2264</v>
      </c>
      <c r="F654" s="190" t="s">
        <v>2265</v>
      </c>
      <c r="G654" s="173" t="s">
        <v>182</v>
      </c>
      <c r="H654" s="173" t="s">
        <v>127</v>
      </c>
      <c r="I654" s="174">
        <v>3.9</v>
      </c>
      <c r="J654" s="174"/>
      <c r="K654" s="174"/>
      <c r="L654" s="174"/>
      <c r="M654" s="191">
        <v>644</v>
      </c>
      <c r="N654" s="176">
        <v>10.64</v>
      </c>
      <c r="O654" s="176"/>
      <c r="P654" s="177"/>
      <c r="Q654" s="178"/>
      <c r="R654" s="179"/>
      <c r="S654" s="179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80" t="s">
        <v>1881</v>
      </c>
      <c r="AE654" s="173" t="s">
        <v>69</v>
      </c>
      <c r="AF654" s="181" t="s">
        <v>142</v>
      </c>
      <c r="AG654" s="192" t="s">
        <v>1887</v>
      </c>
      <c r="AH654" s="198"/>
      <c r="AI654" s="181">
        <v>44880</v>
      </c>
      <c r="AJ654" s="181"/>
      <c r="AK654" s="181">
        <f ca="1">TODAY()</f>
        <v>44958</v>
      </c>
      <c r="AL654" s="173">
        <f ca="1">IF(AI654&lt;&gt;0,AK654-AI654,0)</f>
        <v>78</v>
      </c>
      <c r="AM654" s="173" t="str">
        <f>IF(ISNUMBER(X654)=TRUE,AK654-X654,IF(X654="","",(AK654)-(MID(RIGHT(X654,10),4,2)&amp;"/"&amp;LEFT((RIGHT(X654,10)),2)&amp;"/"&amp;RIGHT(X654,4))))</f>
        <v/>
      </c>
      <c r="AN654" s="181"/>
      <c r="AO654" s="190" t="s">
        <v>2263</v>
      </c>
      <c r="AP654" s="176">
        <v>10.64</v>
      </c>
      <c r="AQ654" s="176">
        <v>10.65</v>
      </c>
      <c r="AR654" s="176">
        <v>10.674999999999999</v>
      </c>
      <c r="AS654" s="176">
        <v>10.68</v>
      </c>
      <c r="AT654" s="173" t="str">
        <f>IF(ISNUMBER(U654)=TRUE,AK654-U654,IF(U654="","",(AK654)-(MID(RIGHT(U654,10),4,2)&amp;"/"&amp;LEFT((RIGHT(U654,10)),2)&amp;"/"&amp;RIGHT(U654,4))))</f>
        <v/>
      </c>
      <c r="AU654" s="173">
        <v>459</v>
      </c>
      <c r="AW654" s="142" t="s">
        <v>123</v>
      </c>
    </row>
    <row r="655" spans="2:49" s="142" customFormat="1" ht="21" customHeight="1" x14ac:dyDescent="0.25">
      <c r="B655" s="173" t="str">
        <f>IF(C655="HOLD RM","HOLD RM",IF(C655="BAL","WIP",IF(C655="HOLD SLT","HOLD SLT",IF(C655="MILL","RM",IF(C655="RE SLT","WIP",IF(C655="RM","RM",IF(C655="RM BAL","RM",IF(C655="RM SLT","RM",IF(C655="RR","WIP",IF(C655="SKP","WIP",IF(C655="SLT","WIP",IF(C655="CTL","WIP",IF(C655="RM SLT RUST","RM SLT RUST",0)))))))))))))&amp;"-"&amp;G655&amp;"/"&amp;IF(H655="2B","2B",IF(H655="NO.1","1D",IF(H655="FH","FH",0)))&amp;"-"&amp;IF(J655="",(TEXT(I655,"0.00")),TEXT(J655,"0.00"))&amp;"X"&amp;M655</f>
        <v>RM-304/1D-2.51X642</v>
      </c>
      <c r="C655" s="173" t="s">
        <v>48</v>
      </c>
      <c r="D655" s="173" t="s">
        <v>48</v>
      </c>
      <c r="E655" s="190" t="s">
        <v>2266</v>
      </c>
      <c r="F655" s="190" t="s">
        <v>2267</v>
      </c>
      <c r="G655" s="173">
        <v>304</v>
      </c>
      <c r="H655" s="173" t="s">
        <v>127</v>
      </c>
      <c r="I655" s="174">
        <v>2.5099999999999998</v>
      </c>
      <c r="J655" s="174"/>
      <c r="K655" s="174"/>
      <c r="L655" s="174"/>
      <c r="M655" s="191">
        <v>642</v>
      </c>
      <c r="N655" s="176">
        <v>10.66</v>
      </c>
      <c r="O655" s="176"/>
      <c r="P655" s="177"/>
      <c r="Q655" s="178"/>
      <c r="R655" s="179"/>
      <c r="S655" s="179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80" t="s">
        <v>1881</v>
      </c>
      <c r="AE655" s="173" t="s">
        <v>69</v>
      </c>
      <c r="AF655" s="181" t="s">
        <v>142</v>
      </c>
      <c r="AG655" s="192" t="s">
        <v>1887</v>
      </c>
      <c r="AH655" s="198"/>
      <c r="AI655" s="181">
        <v>44880</v>
      </c>
      <c r="AJ655" s="181"/>
      <c r="AK655" s="181">
        <f ca="1">TODAY()</f>
        <v>44958</v>
      </c>
      <c r="AL655" s="173">
        <f ca="1">IF(AI655&lt;&gt;0,AK655-AI655,0)</f>
        <v>78</v>
      </c>
      <c r="AM655" s="173" t="str">
        <f>IF(ISNUMBER(X655)=TRUE,AK655-X655,IF(X655="","",(AK655)-(MID(RIGHT(X655,10),4,2)&amp;"/"&amp;LEFT((RIGHT(X655,10)),2)&amp;"/"&amp;RIGHT(X655,4))))</f>
        <v/>
      </c>
      <c r="AN655" s="181"/>
      <c r="AO655" s="190" t="s">
        <v>2268</v>
      </c>
      <c r="AP655" s="176">
        <v>10.66</v>
      </c>
      <c r="AQ655" s="176">
        <v>10.67</v>
      </c>
      <c r="AR655" s="176">
        <v>10.694999999999999</v>
      </c>
      <c r="AS655" s="176">
        <v>10.7</v>
      </c>
      <c r="AT655" s="173" t="str">
        <f>IF(ISNUMBER(U655)=TRUE,AK655-U655,IF(U655="","",(AK655)-(MID(RIGHT(U655,10),4,2)&amp;"/"&amp;LEFT((RIGHT(U655,10)),2)&amp;"/"&amp;RIGHT(U655,4))))</f>
        <v/>
      </c>
      <c r="AU655" s="173">
        <v>459</v>
      </c>
      <c r="AW655" s="142" t="s">
        <v>123</v>
      </c>
    </row>
    <row r="656" spans="2:49" s="142" customFormat="1" ht="21" customHeight="1" x14ac:dyDescent="0.25">
      <c r="B656" s="173" t="str">
        <f>IF(C656="HOLD RM","HOLD RM",IF(C656="BAL","WIP",IF(C656="HOLD SLT","HOLD SLT",IF(C656="MILL","RM",IF(C656="RE SLT","WIP",IF(C656="RM","RM",IF(C656="RM BAL","RM",IF(C656="RM SLT","RM",IF(C656="RR","WIP",IF(C656="SKP","WIP",IF(C656="SLT","WIP",IF(C656="CTL","WIP",IF(C656="RM SLT RUST","RM SLT RUST",0)))))))))))))&amp;"-"&amp;G656&amp;"/"&amp;IF(H656="2B","2B",IF(H656="NO.1","1D",IF(H656="FH","FH",0)))&amp;"-"&amp;IF(J656="",(TEXT(I656,"0.00")),TEXT(J656,"0.00"))&amp;"X"&amp;M656</f>
        <v>RM-304/1D-2.51X643</v>
      </c>
      <c r="C656" s="173" t="s">
        <v>48</v>
      </c>
      <c r="D656" s="173" t="s">
        <v>48</v>
      </c>
      <c r="E656" s="190" t="s">
        <v>2269</v>
      </c>
      <c r="F656" s="190" t="s">
        <v>2270</v>
      </c>
      <c r="G656" s="173">
        <v>304</v>
      </c>
      <c r="H656" s="173" t="s">
        <v>127</v>
      </c>
      <c r="I656" s="174">
        <v>2.5099999999999998</v>
      </c>
      <c r="J656" s="174"/>
      <c r="K656" s="174"/>
      <c r="L656" s="174"/>
      <c r="M656" s="191">
        <v>643</v>
      </c>
      <c r="N656" s="176">
        <v>10.645</v>
      </c>
      <c r="O656" s="176"/>
      <c r="P656" s="177"/>
      <c r="Q656" s="178"/>
      <c r="R656" s="179"/>
      <c r="S656" s="179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80" t="s">
        <v>1881</v>
      </c>
      <c r="AE656" s="173" t="s">
        <v>69</v>
      </c>
      <c r="AF656" s="181" t="s">
        <v>142</v>
      </c>
      <c r="AG656" s="192" t="s">
        <v>1887</v>
      </c>
      <c r="AH656" s="198"/>
      <c r="AI656" s="181">
        <v>44880</v>
      </c>
      <c r="AJ656" s="181"/>
      <c r="AK656" s="181">
        <f ca="1">TODAY()</f>
        <v>44958</v>
      </c>
      <c r="AL656" s="173">
        <f ca="1">IF(AI656&lt;&gt;0,AK656-AI656,0)</f>
        <v>78</v>
      </c>
      <c r="AM656" s="173" t="str">
        <f>IF(ISNUMBER(X656)=TRUE,AK656-X656,IF(X656="","",(AK656)-(MID(RIGHT(X656,10),4,2)&amp;"/"&amp;LEFT((RIGHT(X656,10)),2)&amp;"/"&amp;RIGHT(X656,4))))</f>
        <v/>
      </c>
      <c r="AN656" s="181"/>
      <c r="AO656" s="190" t="s">
        <v>2268</v>
      </c>
      <c r="AP656" s="176">
        <v>10.645</v>
      </c>
      <c r="AQ656" s="176">
        <v>10.654999999999999</v>
      </c>
      <c r="AR656" s="176">
        <v>10.679999999999998</v>
      </c>
      <c r="AS656" s="176">
        <v>10.684999999999999</v>
      </c>
      <c r="AT656" s="173" t="str">
        <f>IF(ISNUMBER(U656)=TRUE,AK656-U656,IF(U656="","",(AK656)-(MID(RIGHT(U656,10),4,2)&amp;"/"&amp;LEFT((RIGHT(U656,10)),2)&amp;"/"&amp;RIGHT(U656,4))))</f>
        <v/>
      </c>
      <c r="AU656" s="173">
        <v>459</v>
      </c>
      <c r="AW656" s="142" t="s">
        <v>123</v>
      </c>
    </row>
    <row r="657" spans="2:49" s="142" customFormat="1" ht="21" customHeight="1" x14ac:dyDescent="0.25">
      <c r="B657" s="173" t="str">
        <f>IF(C657="HOLD RM","HOLD RM",IF(C657="BAL","WIP",IF(C657="HOLD SLT","HOLD SLT",IF(C657="MILL","RM",IF(C657="RE SLT","WIP",IF(C657="RM","RM",IF(C657="RM BAL","RM",IF(C657="RM SLT","RM",IF(C657="RR","WIP",IF(C657="SKP","WIP",IF(C657="SLT","WIP",IF(C657="CTL","WIP",IF(C657="RM SLT RUST","RM SLT RUST",0)))))))))))))&amp;"-"&amp;G657&amp;"/"&amp;IF(H657="2B","2B",IF(H657="NO.1","1D",IF(H657="FH","FH",0)))&amp;"-"&amp;IF(J657="",(TEXT(I657,"0.00")),TEXT(J657,"0.00"))&amp;"X"&amp;M657</f>
        <v>RM-304L/1D-2.91X642</v>
      </c>
      <c r="C657" s="173" t="s">
        <v>48</v>
      </c>
      <c r="D657" s="173" t="s">
        <v>48</v>
      </c>
      <c r="E657" s="190" t="s">
        <v>2271</v>
      </c>
      <c r="F657" s="190" t="s">
        <v>2272</v>
      </c>
      <c r="G657" s="173" t="s">
        <v>182</v>
      </c>
      <c r="H657" s="173" t="s">
        <v>127</v>
      </c>
      <c r="I657" s="174">
        <v>2.91</v>
      </c>
      <c r="J657" s="174"/>
      <c r="K657" s="174"/>
      <c r="L657" s="174"/>
      <c r="M657" s="191">
        <v>642</v>
      </c>
      <c r="N657" s="176">
        <v>8.9499999999999993</v>
      </c>
      <c r="O657" s="176"/>
      <c r="P657" s="177"/>
      <c r="Q657" s="178"/>
      <c r="R657" s="179"/>
      <c r="S657" s="179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80" t="s">
        <v>1881</v>
      </c>
      <c r="AE657" s="173" t="s">
        <v>69</v>
      </c>
      <c r="AF657" s="181" t="s">
        <v>142</v>
      </c>
      <c r="AG657" s="192" t="s">
        <v>1887</v>
      </c>
      <c r="AH657" s="198"/>
      <c r="AI657" s="181">
        <v>44880</v>
      </c>
      <c r="AJ657" s="181"/>
      <c r="AK657" s="181">
        <f ca="1">TODAY()</f>
        <v>44958</v>
      </c>
      <c r="AL657" s="173">
        <f ca="1">IF(AI657&lt;&gt;0,AK657-AI657,0)</f>
        <v>78</v>
      </c>
      <c r="AM657" s="173" t="str">
        <f>IF(ISNUMBER(X657)=TRUE,AK657-X657,IF(X657="","",(AK657)-(MID(RIGHT(X657,10),4,2)&amp;"/"&amp;LEFT((RIGHT(X657,10)),2)&amp;"/"&amp;RIGHT(X657,4))))</f>
        <v/>
      </c>
      <c r="AN657" s="181"/>
      <c r="AO657" s="190" t="s">
        <v>2273</v>
      </c>
      <c r="AP657" s="176">
        <v>8.9499999999999993</v>
      </c>
      <c r="AQ657" s="176">
        <v>8.9599999999999991</v>
      </c>
      <c r="AR657" s="176">
        <v>8.9849999999999977</v>
      </c>
      <c r="AS657" s="176">
        <v>8.9899999999999984</v>
      </c>
      <c r="AT657" s="173" t="str">
        <f>IF(ISNUMBER(U657)=TRUE,AK657-U657,IF(U657="","",(AK657)-(MID(RIGHT(U657,10),4,2)&amp;"/"&amp;LEFT((RIGHT(U657,10)),2)&amp;"/"&amp;RIGHT(U657,4))))</f>
        <v/>
      </c>
      <c r="AU657" s="173">
        <v>459</v>
      </c>
      <c r="AW657" s="142" t="s">
        <v>123</v>
      </c>
    </row>
    <row r="658" spans="2:49" s="142" customFormat="1" ht="21" customHeight="1" x14ac:dyDescent="0.25">
      <c r="B658" s="173" t="str">
        <f>IF(C658="HOLD RM","HOLD RM",IF(C658="BAL","WIP",IF(C658="HOLD SLT","HOLD SLT",IF(C658="MILL","RM",IF(C658="RE SLT","WIP",IF(C658="RM","RM",IF(C658="RM BAL","RM",IF(C658="RM SLT","RM",IF(C658="RR","WIP",IF(C658="SKP","WIP",IF(C658="SLT","WIP",IF(C658="CTL","WIP",IF(C658="RM SLT RUST","RM SLT RUST",0)))))))))))))&amp;"-"&amp;G658&amp;"/"&amp;IF(H658="2B","2B",IF(H658="NO.1","1D",IF(H658="FH","FH",0)))&amp;"-"&amp;IF(J658="",(TEXT(I658,"0.00")),TEXT(J658,"0.00"))&amp;"X"&amp;M658</f>
        <v>RM-304L/1D-3.89X644</v>
      </c>
      <c r="C658" s="173" t="s">
        <v>48</v>
      </c>
      <c r="D658" s="173" t="s">
        <v>48</v>
      </c>
      <c r="E658" s="190" t="s">
        <v>2274</v>
      </c>
      <c r="F658" s="190" t="s">
        <v>2275</v>
      </c>
      <c r="G658" s="173" t="s">
        <v>182</v>
      </c>
      <c r="H658" s="173" t="s">
        <v>127</v>
      </c>
      <c r="I658" s="174">
        <v>3.89</v>
      </c>
      <c r="J658" s="174"/>
      <c r="K658" s="174"/>
      <c r="L658" s="174"/>
      <c r="M658" s="191">
        <v>644</v>
      </c>
      <c r="N658" s="176">
        <v>10.445</v>
      </c>
      <c r="O658" s="176"/>
      <c r="P658" s="177"/>
      <c r="Q658" s="178"/>
      <c r="R658" s="179"/>
      <c r="S658" s="179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80" t="s">
        <v>1881</v>
      </c>
      <c r="AE658" s="173" t="s">
        <v>69</v>
      </c>
      <c r="AF658" s="181" t="s">
        <v>142</v>
      </c>
      <c r="AG658" s="192" t="s">
        <v>1887</v>
      </c>
      <c r="AH658" s="198"/>
      <c r="AI658" s="181">
        <v>44880</v>
      </c>
      <c r="AJ658" s="181"/>
      <c r="AK658" s="181">
        <f ca="1">TODAY()</f>
        <v>44958</v>
      </c>
      <c r="AL658" s="173">
        <f ca="1">IF(AI658&lt;&gt;0,AK658-AI658,0)</f>
        <v>78</v>
      </c>
      <c r="AM658" s="173" t="str">
        <f>IF(ISNUMBER(X658)=TRUE,AK658-X658,IF(X658="","",(AK658)-(MID(RIGHT(X658,10),4,2)&amp;"/"&amp;LEFT((RIGHT(X658,10)),2)&amp;"/"&amp;RIGHT(X658,4))))</f>
        <v/>
      </c>
      <c r="AN658" s="181"/>
      <c r="AO658" s="190" t="s">
        <v>2276</v>
      </c>
      <c r="AP658" s="176">
        <v>10.445</v>
      </c>
      <c r="AQ658" s="176">
        <v>10.455</v>
      </c>
      <c r="AR658" s="176">
        <v>10.479999999999999</v>
      </c>
      <c r="AS658" s="176">
        <v>10.484999999999999</v>
      </c>
      <c r="AT658" s="173" t="str">
        <f>IF(ISNUMBER(U658)=TRUE,AK658-U658,IF(U658="","",(AK658)-(MID(RIGHT(U658,10),4,2)&amp;"/"&amp;LEFT((RIGHT(U658,10)),2)&amp;"/"&amp;RIGHT(U658,4))))</f>
        <v/>
      </c>
      <c r="AU658" s="173">
        <v>459</v>
      </c>
      <c r="AW658" s="142" t="s">
        <v>123</v>
      </c>
    </row>
    <row r="659" spans="2:49" s="142" customFormat="1" ht="21" customHeight="1" x14ac:dyDescent="0.25">
      <c r="B659" s="173" t="str">
        <f>IF(C659="HOLD RM","HOLD RM",IF(C659="BAL","WIP",IF(C659="HOLD SLT","HOLD SLT",IF(C659="MILL","RM",IF(C659="RE SLT","WIP",IF(C659="RM","RM",IF(C659="RM BAL","RM",IF(C659="RM SLT","RM",IF(C659="RR","WIP",IF(C659="SKP","WIP",IF(C659="SLT","WIP",IF(C659="CTL","WIP",IF(C659="RM SLT RUST","RM SLT RUST",0)))))))))))))&amp;"-"&amp;G659&amp;"/"&amp;IF(H659="2B","2B",IF(H659="NO.1","1D",IF(H659="FH","FH",0)))&amp;"-"&amp;IF(J659="",(TEXT(I659,"0.00")),TEXT(J659,"0.00"))&amp;"X"&amp;M659</f>
        <v>RM-304L/1D-3.89X643</v>
      </c>
      <c r="C659" s="173" t="s">
        <v>48</v>
      </c>
      <c r="D659" s="173" t="s">
        <v>48</v>
      </c>
      <c r="E659" s="190" t="s">
        <v>2277</v>
      </c>
      <c r="F659" s="190" t="s">
        <v>2278</v>
      </c>
      <c r="G659" s="173" t="s">
        <v>182</v>
      </c>
      <c r="H659" s="173" t="s">
        <v>127</v>
      </c>
      <c r="I659" s="174">
        <v>3.89</v>
      </c>
      <c r="J659" s="174"/>
      <c r="K659" s="174"/>
      <c r="L659" s="174"/>
      <c r="M659" s="191">
        <v>643</v>
      </c>
      <c r="N659" s="176">
        <v>10.445</v>
      </c>
      <c r="O659" s="176"/>
      <c r="P659" s="177"/>
      <c r="Q659" s="178"/>
      <c r="R659" s="179"/>
      <c r="S659" s="179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80" t="s">
        <v>1881</v>
      </c>
      <c r="AE659" s="173" t="s">
        <v>69</v>
      </c>
      <c r="AF659" s="181" t="s">
        <v>142</v>
      </c>
      <c r="AG659" s="192" t="s">
        <v>1887</v>
      </c>
      <c r="AH659" s="198"/>
      <c r="AI659" s="181">
        <v>44880</v>
      </c>
      <c r="AJ659" s="181"/>
      <c r="AK659" s="181">
        <f ca="1">TODAY()</f>
        <v>44958</v>
      </c>
      <c r="AL659" s="173">
        <f ca="1">IF(AI659&lt;&gt;0,AK659-AI659,0)</f>
        <v>78</v>
      </c>
      <c r="AM659" s="173" t="str">
        <f>IF(ISNUMBER(X659)=TRUE,AK659-X659,IF(X659="","",(AK659)-(MID(RIGHT(X659,10),4,2)&amp;"/"&amp;LEFT((RIGHT(X659,10)),2)&amp;"/"&amp;RIGHT(X659,4))))</f>
        <v/>
      </c>
      <c r="AN659" s="181"/>
      <c r="AO659" s="190" t="s">
        <v>2276</v>
      </c>
      <c r="AP659" s="176">
        <v>10.445</v>
      </c>
      <c r="AQ659" s="176">
        <v>10.455</v>
      </c>
      <c r="AR659" s="176">
        <v>10.479999999999999</v>
      </c>
      <c r="AS659" s="176">
        <v>10.484999999999999</v>
      </c>
      <c r="AT659" s="173" t="str">
        <f>IF(ISNUMBER(U659)=TRUE,AK659-U659,IF(U659="","",(AK659)-(MID(RIGHT(U659,10),4,2)&amp;"/"&amp;LEFT((RIGHT(U659,10)),2)&amp;"/"&amp;RIGHT(U659,4))))</f>
        <v/>
      </c>
      <c r="AU659" s="173">
        <v>459</v>
      </c>
      <c r="AW659" s="142" t="s">
        <v>123</v>
      </c>
    </row>
    <row r="660" spans="2:49" s="142" customFormat="1" ht="21" customHeight="1" x14ac:dyDescent="0.25">
      <c r="B660" s="173" t="str">
        <f>IF(C660="HOLD RM","HOLD RM",IF(C660="BAL","WIP",IF(C660="HOLD SLT","HOLD SLT",IF(C660="MILL","RM",IF(C660="RE SLT","WIP",IF(C660="RM","RM",IF(C660="RM BAL","RM",IF(C660="RM SLT","RM",IF(C660="RR","WIP",IF(C660="SKP","WIP",IF(C660="SLT","WIP",IF(C660="CTL","WIP",IF(C660="RM SLT RUST","RM SLT RUST",0)))))))))))))&amp;"-"&amp;G660&amp;"/"&amp;IF(H660="2B","2B",IF(H660="NO.1","1D",IF(H660="FH","FH",0)))&amp;"-"&amp;IF(J660="",(TEXT(I660,"0.00")),TEXT(J660,"0.00"))&amp;"X"&amp;M660</f>
        <v>WIP-304/2B-2.00X767</v>
      </c>
      <c r="C660" s="173" t="s">
        <v>775</v>
      </c>
      <c r="D660" s="173" t="s">
        <v>776</v>
      </c>
      <c r="E660" s="190" t="s">
        <v>2279</v>
      </c>
      <c r="F660" s="190" t="s">
        <v>2280</v>
      </c>
      <c r="G660" s="173">
        <v>304</v>
      </c>
      <c r="H660" s="173" t="s">
        <v>114</v>
      </c>
      <c r="I660" s="174">
        <v>3.94</v>
      </c>
      <c r="J660" s="174">
        <v>2</v>
      </c>
      <c r="K660" s="174">
        <v>1.94</v>
      </c>
      <c r="L660" s="174">
        <v>1.98</v>
      </c>
      <c r="M660" s="191">
        <v>767</v>
      </c>
      <c r="N660" s="176">
        <v>4.0199999999999996</v>
      </c>
      <c r="O660" s="176" t="s">
        <v>114</v>
      </c>
      <c r="P660" s="177"/>
      <c r="Q660" s="178" t="s">
        <v>314</v>
      </c>
      <c r="R660" s="178" t="s">
        <v>2281</v>
      </c>
      <c r="S660" s="179"/>
      <c r="T660" s="177">
        <v>44929</v>
      </c>
      <c r="U660" s="177"/>
      <c r="V660" s="177">
        <v>44929</v>
      </c>
      <c r="W660" s="177"/>
      <c r="X660" s="177">
        <v>44935</v>
      </c>
      <c r="Y660" s="177"/>
      <c r="Z660" s="177" t="s">
        <v>2282</v>
      </c>
      <c r="AA660" s="177"/>
      <c r="AB660" s="177"/>
      <c r="AC660" s="177"/>
      <c r="AD660" s="180" t="s">
        <v>1345</v>
      </c>
      <c r="AE660" s="173" t="s">
        <v>69</v>
      </c>
      <c r="AF660" s="181" t="s">
        <v>142</v>
      </c>
      <c r="AG660" s="192" t="s">
        <v>2283</v>
      </c>
      <c r="AH660" s="198"/>
      <c r="AI660" s="181">
        <v>44880</v>
      </c>
      <c r="AJ660" s="181"/>
      <c r="AK660" s="181">
        <f ca="1">TODAY()</f>
        <v>44958</v>
      </c>
      <c r="AL660" s="173">
        <f ca="1">IF(AI660&lt;&gt;0,AK660-AI660,0)</f>
        <v>78</v>
      </c>
      <c r="AM660" s="173">
        <f ca="1">IF(ISNUMBER(X660)=TRUE,AK660-X660,IF(X660="","",(AK660)-(MID(RIGHT(X660,10),4,2)&amp;"/"&amp;LEFT((RIGHT(X660,10)),2)&amp;"/"&amp;RIGHT(X660,4))))</f>
        <v>23</v>
      </c>
      <c r="AN660" s="181"/>
      <c r="AO660" s="190" t="s">
        <v>2284</v>
      </c>
      <c r="AP660" s="176">
        <v>12.03</v>
      </c>
      <c r="AQ660" s="176">
        <v>12.04</v>
      </c>
      <c r="AR660" s="176">
        <v>12.064999999999998</v>
      </c>
      <c r="AS660" s="176">
        <v>12.069999999999999</v>
      </c>
      <c r="AT660" s="173" t="str">
        <f>IF(ISNUMBER(U660)=TRUE,AK660-U660,IF(U660="","",(AK660)-(MID(RIGHT(U660,10),4,2)&amp;"/"&amp;LEFT((RIGHT(U660,10)),2)&amp;"/"&amp;RIGHT(U660,4))))</f>
        <v/>
      </c>
      <c r="AU660" s="173">
        <v>459</v>
      </c>
      <c r="AW660" s="142" t="s">
        <v>123</v>
      </c>
    </row>
    <row r="661" spans="2:49" s="142" customFormat="1" ht="21" customHeight="1" x14ac:dyDescent="0.25">
      <c r="B661" s="173" t="str">
        <f>IF(C661="HOLD RM","HOLD RM",IF(C661="BAL","WIP",IF(C661="HOLD SLT","HOLD SLT",IF(C661="MILL","RM",IF(C661="RE SLT","WIP",IF(C661="RM","RM",IF(C661="RM BAL","RM",IF(C661="RM SLT","RM",IF(C661="RR","WIP",IF(C661="SKP","WIP",IF(C661="SLT","WIP",IF(C661="CTL","WIP",IF(C661="RM SLT RUST","RM SLT RUST",0)))))))))))))&amp;"-"&amp;G661&amp;"/"&amp;IF(H661="2B","2B",IF(H661="NO.1","1D",IF(H661="FH","FH",0)))&amp;"-"&amp;IF(J661="",(TEXT(I661,"0.00")),TEXT(J661,"0.00"))&amp;"X"&amp;M661</f>
        <v>RM-304L/1D-3.90X640</v>
      </c>
      <c r="C661" s="173" t="s">
        <v>48</v>
      </c>
      <c r="D661" s="173" t="s">
        <v>48</v>
      </c>
      <c r="E661" s="190" t="s">
        <v>2285</v>
      </c>
      <c r="F661" s="190" t="s">
        <v>2286</v>
      </c>
      <c r="G661" s="173" t="s">
        <v>182</v>
      </c>
      <c r="H661" s="173" t="s">
        <v>127</v>
      </c>
      <c r="I661" s="174">
        <v>3.9</v>
      </c>
      <c r="J661" s="174"/>
      <c r="K661" s="174"/>
      <c r="L661" s="174"/>
      <c r="M661" s="191">
        <v>640</v>
      </c>
      <c r="N661" s="176">
        <v>10.615</v>
      </c>
      <c r="O661" s="176"/>
      <c r="P661" s="177"/>
      <c r="Q661" s="178"/>
      <c r="R661" s="179"/>
      <c r="S661" s="179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80" t="s">
        <v>1881</v>
      </c>
      <c r="AE661" s="173" t="s">
        <v>69</v>
      </c>
      <c r="AF661" s="181" t="s">
        <v>142</v>
      </c>
      <c r="AG661" s="192" t="s">
        <v>1887</v>
      </c>
      <c r="AH661" s="198"/>
      <c r="AI661" s="181">
        <v>44880</v>
      </c>
      <c r="AJ661" s="181"/>
      <c r="AK661" s="181">
        <f ca="1">TODAY()</f>
        <v>44958</v>
      </c>
      <c r="AL661" s="173">
        <f ca="1">IF(AI661&lt;&gt;0,AK661-AI661,0)</f>
        <v>78</v>
      </c>
      <c r="AM661" s="173" t="str">
        <f>IF(ISNUMBER(X661)=TRUE,AK661-X661,IF(X661="","",(AK661)-(MID(RIGHT(X661,10),4,2)&amp;"/"&amp;LEFT((RIGHT(X661,10)),2)&amp;"/"&amp;RIGHT(X661,4))))</f>
        <v/>
      </c>
      <c r="AN661" s="181"/>
      <c r="AO661" s="190" t="s">
        <v>2287</v>
      </c>
      <c r="AP661" s="176">
        <v>10.615</v>
      </c>
      <c r="AQ661" s="176">
        <v>10.625</v>
      </c>
      <c r="AR661" s="176">
        <v>10.649999999999999</v>
      </c>
      <c r="AS661" s="176">
        <v>10.654999999999999</v>
      </c>
      <c r="AT661" s="173" t="str">
        <f>IF(ISNUMBER(U661)=TRUE,AK661-U661,IF(U661="","",(AK661)-(MID(RIGHT(U661,10),4,2)&amp;"/"&amp;LEFT((RIGHT(U661,10)),2)&amp;"/"&amp;RIGHT(U661,4))))</f>
        <v/>
      </c>
      <c r="AU661" s="173">
        <v>459</v>
      </c>
      <c r="AW661" s="142" t="s">
        <v>123</v>
      </c>
    </row>
    <row r="662" spans="2:49" s="142" customFormat="1" ht="21" customHeight="1" x14ac:dyDescent="0.25">
      <c r="B662" s="173" t="str">
        <f>IF(C662="HOLD RM","HOLD RM",IF(C662="BAL","WIP",IF(C662="HOLD SLT","HOLD SLT",IF(C662="MILL","RM",IF(C662="RE SLT","WIP",IF(C662="RM","RM",IF(C662="RM BAL","RM",IF(C662="RM SLT","RM",IF(C662="RR","WIP",IF(C662="SKP","WIP",IF(C662="SLT","WIP",IF(C662="CTL","WIP",IF(C662="RM SLT RUST","RM SLT RUST",0)))))))))))))&amp;"-"&amp;G662&amp;"/"&amp;IF(H662="2B","2B",IF(H662="NO.1","1D",IF(H662="FH","FH",0)))&amp;"-"&amp;IF(J662="",(TEXT(I662,"0.00")),TEXT(J662,"0.00"))&amp;"X"&amp;M662</f>
        <v>RM-304L/1D-3.89X640</v>
      </c>
      <c r="C662" s="173" t="s">
        <v>48</v>
      </c>
      <c r="D662" s="173" t="s">
        <v>48</v>
      </c>
      <c r="E662" s="190" t="s">
        <v>2288</v>
      </c>
      <c r="F662" s="190" t="s">
        <v>2289</v>
      </c>
      <c r="G662" s="173" t="s">
        <v>182</v>
      </c>
      <c r="H662" s="173" t="s">
        <v>127</v>
      </c>
      <c r="I662" s="174">
        <v>3.89</v>
      </c>
      <c r="J662" s="174"/>
      <c r="K662" s="174"/>
      <c r="L662" s="174"/>
      <c r="M662" s="191">
        <v>640</v>
      </c>
      <c r="N662" s="176">
        <v>10.654999999999999</v>
      </c>
      <c r="O662" s="176"/>
      <c r="P662" s="177"/>
      <c r="Q662" s="178"/>
      <c r="R662" s="179"/>
      <c r="S662" s="179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80" t="s">
        <v>1881</v>
      </c>
      <c r="AE662" s="173" t="s">
        <v>69</v>
      </c>
      <c r="AF662" s="181" t="s">
        <v>142</v>
      </c>
      <c r="AG662" s="192" t="s">
        <v>1887</v>
      </c>
      <c r="AH662" s="198"/>
      <c r="AI662" s="181">
        <v>44880</v>
      </c>
      <c r="AJ662" s="181"/>
      <c r="AK662" s="181">
        <f ca="1">TODAY()</f>
        <v>44958</v>
      </c>
      <c r="AL662" s="173">
        <f ca="1">IF(AI662&lt;&gt;0,AK662-AI662,0)</f>
        <v>78</v>
      </c>
      <c r="AM662" s="173" t="str">
        <f>IF(ISNUMBER(X662)=TRUE,AK662-X662,IF(X662="","",(AK662)-(MID(RIGHT(X662,10),4,2)&amp;"/"&amp;LEFT((RIGHT(X662,10)),2)&amp;"/"&amp;RIGHT(X662,4))))</f>
        <v/>
      </c>
      <c r="AN662" s="181"/>
      <c r="AO662" s="190" t="s">
        <v>2287</v>
      </c>
      <c r="AP662" s="176">
        <v>10.654999999999999</v>
      </c>
      <c r="AQ662" s="176">
        <v>10.664999999999999</v>
      </c>
      <c r="AR662" s="176">
        <v>10.689999999999998</v>
      </c>
      <c r="AS662" s="176">
        <v>10.694999999999999</v>
      </c>
      <c r="AT662" s="173" t="str">
        <f>IF(ISNUMBER(U662)=TRUE,AK662-U662,IF(U662="","",(AK662)-(MID(RIGHT(U662,10),4,2)&amp;"/"&amp;LEFT((RIGHT(U662,10)),2)&amp;"/"&amp;RIGHT(U662,4))))</f>
        <v/>
      </c>
      <c r="AU662" s="173">
        <v>459</v>
      </c>
      <c r="AW662" s="142" t="s">
        <v>123</v>
      </c>
    </row>
    <row r="663" spans="2:49" s="142" customFormat="1" ht="21" customHeight="1" x14ac:dyDescent="0.25">
      <c r="B663" s="173" t="str">
        <f>IF(C663="HOLD RM","HOLD RM",IF(C663="BAL","WIP",IF(C663="HOLD SLT","HOLD SLT",IF(C663="MILL","RM",IF(C663="RE SLT","WIP",IF(C663="RM","RM",IF(C663="RM BAL","RM",IF(C663="RM SLT","RM",IF(C663="RR","WIP",IF(C663="SKP","WIP",IF(C663="SLT","WIP",IF(C663="CTL","WIP",IF(C663="RM SLT RUST","RM SLT RUST",0)))))))))))))&amp;"-"&amp;G663&amp;"/"&amp;IF(H663="2B","2B",IF(H663="NO.1","1D",IF(H663="FH","FH",0)))&amp;"-"&amp;IF(J663="",(TEXT(I663,"0.00")),TEXT(J663,"0.00"))&amp;"X"&amp;M663</f>
        <v>RM-304/1D-3.38X640</v>
      </c>
      <c r="C663" s="173" t="s">
        <v>48</v>
      </c>
      <c r="D663" s="173" t="s">
        <v>48</v>
      </c>
      <c r="E663" s="190" t="s">
        <v>2290</v>
      </c>
      <c r="F663" s="190" t="s">
        <v>2291</v>
      </c>
      <c r="G663" s="173">
        <v>304</v>
      </c>
      <c r="H663" s="173" t="s">
        <v>127</v>
      </c>
      <c r="I663" s="174">
        <v>3.38</v>
      </c>
      <c r="J663" s="174"/>
      <c r="K663" s="174"/>
      <c r="L663" s="174"/>
      <c r="M663" s="191">
        <v>640</v>
      </c>
      <c r="N663" s="176">
        <v>10.654999999999999</v>
      </c>
      <c r="O663" s="176"/>
      <c r="P663" s="177"/>
      <c r="Q663" s="178"/>
      <c r="R663" s="179"/>
      <c r="S663" s="179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80" t="s">
        <v>1898</v>
      </c>
      <c r="AE663" s="173" t="s">
        <v>69</v>
      </c>
      <c r="AF663" s="181" t="s">
        <v>142</v>
      </c>
      <c r="AG663" s="192" t="s">
        <v>1887</v>
      </c>
      <c r="AH663" s="198"/>
      <c r="AI663" s="181">
        <v>44880</v>
      </c>
      <c r="AJ663" s="181"/>
      <c r="AK663" s="181">
        <f ca="1">TODAY()</f>
        <v>44958</v>
      </c>
      <c r="AL663" s="173">
        <f ca="1">IF(AI663&lt;&gt;0,AK663-AI663,0)</f>
        <v>78</v>
      </c>
      <c r="AM663" s="173" t="str">
        <f>IF(ISNUMBER(X663)=TRUE,AK663-X663,IF(X663="","",(AK663)-(MID(RIGHT(X663,10),4,2)&amp;"/"&amp;LEFT((RIGHT(X663,10)),2)&amp;"/"&amp;RIGHT(X663,4))))</f>
        <v/>
      </c>
      <c r="AN663" s="181"/>
      <c r="AO663" s="190" t="s">
        <v>2292</v>
      </c>
      <c r="AP663" s="176">
        <v>10.654999999999999</v>
      </c>
      <c r="AQ663" s="176">
        <v>10.664999999999999</v>
      </c>
      <c r="AR663" s="176">
        <v>10.689999999999998</v>
      </c>
      <c r="AS663" s="176">
        <v>10.694999999999999</v>
      </c>
      <c r="AT663" s="173" t="str">
        <f>IF(ISNUMBER(U663)=TRUE,AK663-U663,IF(U663="","",(AK663)-(MID(RIGHT(U663,10),4,2)&amp;"/"&amp;LEFT((RIGHT(U663,10)),2)&amp;"/"&amp;RIGHT(U663,4))))</f>
        <v/>
      </c>
      <c r="AU663" s="173">
        <v>459</v>
      </c>
      <c r="AW663" s="142" t="s">
        <v>123</v>
      </c>
    </row>
    <row r="664" spans="2:49" s="142" customFormat="1" ht="21" customHeight="1" x14ac:dyDescent="0.25">
      <c r="B664" s="173" t="str">
        <f>IF(C664="HOLD RM","HOLD RM",IF(C664="BAL","WIP",IF(C664="HOLD SLT","HOLD SLT",IF(C664="MILL","RM",IF(C664="RE SLT","WIP",IF(C664="RM","RM",IF(C664="RM BAL","RM",IF(C664="RM SLT","RM",IF(C664="RR","WIP",IF(C664="SKP","WIP",IF(C664="SLT","WIP",IF(C664="CTL","WIP",IF(C664="RM SLT RUST","RM SLT RUST",0)))))))))))))&amp;"-"&amp;G664&amp;"/"&amp;IF(H664="2B","2B",IF(H664="NO.1","1D",IF(H664="FH","FH",0)))&amp;"-"&amp;IF(J664="",(TEXT(I664,"0.00")),TEXT(J664,"0.00"))&amp;"X"&amp;M664</f>
        <v>RM-304/1D-3.38X640</v>
      </c>
      <c r="C664" s="173" t="s">
        <v>48</v>
      </c>
      <c r="D664" s="173" t="s">
        <v>48</v>
      </c>
      <c r="E664" s="190" t="s">
        <v>2293</v>
      </c>
      <c r="F664" s="190" t="s">
        <v>2294</v>
      </c>
      <c r="G664" s="173">
        <v>304</v>
      </c>
      <c r="H664" s="173" t="s">
        <v>127</v>
      </c>
      <c r="I664" s="174">
        <v>3.38</v>
      </c>
      <c r="J664" s="174"/>
      <c r="K664" s="174"/>
      <c r="L664" s="174"/>
      <c r="M664" s="191">
        <v>640</v>
      </c>
      <c r="N664" s="176">
        <v>10.705</v>
      </c>
      <c r="O664" s="176"/>
      <c r="P664" s="177"/>
      <c r="Q664" s="178"/>
      <c r="R664" s="179"/>
      <c r="S664" s="179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80" t="s">
        <v>1898</v>
      </c>
      <c r="AE664" s="173" t="s">
        <v>69</v>
      </c>
      <c r="AF664" s="181" t="s">
        <v>142</v>
      </c>
      <c r="AG664" s="192" t="s">
        <v>1887</v>
      </c>
      <c r="AH664" s="198"/>
      <c r="AI664" s="181">
        <v>44880</v>
      </c>
      <c r="AJ664" s="181"/>
      <c r="AK664" s="181">
        <f ca="1">TODAY()</f>
        <v>44958</v>
      </c>
      <c r="AL664" s="173">
        <f ca="1">IF(AI664&lt;&gt;0,AK664-AI664,0)</f>
        <v>78</v>
      </c>
      <c r="AM664" s="173" t="str">
        <f>IF(ISNUMBER(X664)=TRUE,AK664-X664,IF(X664="","",(AK664)-(MID(RIGHT(X664,10),4,2)&amp;"/"&amp;LEFT((RIGHT(X664,10)),2)&amp;"/"&amp;RIGHT(X664,4))))</f>
        <v/>
      </c>
      <c r="AN664" s="181"/>
      <c r="AO664" s="190" t="s">
        <v>2292</v>
      </c>
      <c r="AP664" s="176">
        <v>10.705</v>
      </c>
      <c r="AQ664" s="176">
        <v>10.715</v>
      </c>
      <c r="AR664" s="176">
        <v>10.739999999999998</v>
      </c>
      <c r="AS664" s="176">
        <v>10.744999999999999</v>
      </c>
      <c r="AT664" s="173" t="str">
        <f>IF(ISNUMBER(U664)=TRUE,AK664-U664,IF(U664="","",(AK664)-(MID(RIGHT(U664,10),4,2)&amp;"/"&amp;LEFT((RIGHT(U664,10)),2)&amp;"/"&amp;RIGHT(U664,4))))</f>
        <v/>
      </c>
      <c r="AU664" s="173">
        <v>459</v>
      </c>
      <c r="AW664" s="142" t="s">
        <v>123</v>
      </c>
    </row>
    <row r="665" spans="2:49" s="142" customFormat="1" ht="21" customHeight="1" x14ac:dyDescent="0.25">
      <c r="B665" s="173" t="str">
        <f>IF(C665="HOLD RM","HOLD RM",IF(C665="BAL","WIP",IF(C665="HOLD SLT","HOLD SLT",IF(C665="MILL","RM",IF(C665="RE SLT","WIP",IF(C665="RM","RM",IF(C665="RM BAL","RM",IF(C665="RM SLT","RM",IF(C665="RR","WIP",IF(C665="SKP","WIP",IF(C665="SLT","WIP",IF(C665="CTL","WIP",IF(C665="RM SLT RUST","RM SLT RUST",0)))))))))))))&amp;"-"&amp;G665&amp;"/"&amp;IF(H665="2B","2B",IF(H665="NO.1","1D",IF(H665="FH","FH",0)))&amp;"-"&amp;IF(J665="",(TEXT(I665,"0.00")),TEXT(J665,"0.00"))&amp;"X"&amp;M665</f>
        <v>RM-304L/1D-3.89X640</v>
      </c>
      <c r="C665" s="173" t="s">
        <v>48</v>
      </c>
      <c r="D665" s="173" t="s">
        <v>48</v>
      </c>
      <c r="E665" s="190" t="s">
        <v>2295</v>
      </c>
      <c r="F665" s="190" t="s">
        <v>2296</v>
      </c>
      <c r="G665" s="173" t="s">
        <v>182</v>
      </c>
      <c r="H665" s="173" t="s">
        <v>127</v>
      </c>
      <c r="I665" s="174">
        <v>3.89</v>
      </c>
      <c r="J665" s="174"/>
      <c r="K665" s="174"/>
      <c r="L665" s="174"/>
      <c r="M665" s="191">
        <v>640</v>
      </c>
      <c r="N665" s="176">
        <v>10.67</v>
      </c>
      <c r="O665" s="176"/>
      <c r="P665" s="177"/>
      <c r="Q665" s="178"/>
      <c r="R665" s="179"/>
      <c r="S665" s="179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80" t="s">
        <v>1881</v>
      </c>
      <c r="AE665" s="173" t="s">
        <v>69</v>
      </c>
      <c r="AF665" s="181" t="s">
        <v>142</v>
      </c>
      <c r="AG665" s="192" t="s">
        <v>1887</v>
      </c>
      <c r="AH665" s="198"/>
      <c r="AI665" s="181">
        <v>44880</v>
      </c>
      <c r="AJ665" s="181"/>
      <c r="AK665" s="181">
        <f ca="1">TODAY()</f>
        <v>44958</v>
      </c>
      <c r="AL665" s="173">
        <f ca="1">IF(AI665&lt;&gt;0,AK665-AI665,0)</f>
        <v>78</v>
      </c>
      <c r="AM665" s="173" t="str">
        <f>IF(ISNUMBER(X665)=TRUE,AK665-X665,IF(X665="","",(AK665)-(MID(RIGHT(X665,10),4,2)&amp;"/"&amp;LEFT((RIGHT(X665,10)),2)&amp;"/"&amp;RIGHT(X665,4))))</f>
        <v/>
      </c>
      <c r="AN665" s="181"/>
      <c r="AO665" s="190" t="s">
        <v>2297</v>
      </c>
      <c r="AP665" s="176">
        <v>10.67</v>
      </c>
      <c r="AQ665" s="176">
        <v>10.68</v>
      </c>
      <c r="AR665" s="176">
        <v>10.704999999999998</v>
      </c>
      <c r="AS665" s="176">
        <v>10.709999999999999</v>
      </c>
      <c r="AT665" s="173" t="str">
        <f>IF(ISNUMBER(U665)=TRUE,AK665-U665,IF(U665="","",(AK665)-(MID(RIGHT(U665,10),4,2)&amp;"/"&amp;LEFT((RIGHT(U665,10)),2)&amp;"/"&amp;RIGHT(U665,4))))</f>
        <v/>
      </c>
      <c r="AU665" s="173">
        <v>459</v>
      </c>
      <c r="AW665" s="142" t="s">
        <v>123</v>
      </c>
    </row>
    <row r="666" spans="2:49" s="142" customFormat="1" ht="21" customHeight="1" x14ac:dyDescent="0.25">
      <c r="B666" s="173" t="str">
        <f>IF(C666="HOLD RM","HOLD RM",IF(C666="BAL","WIP",IF(C666="HOLD SLT","HOLD SLT",IF(C666="MILL","RM",IF(C666="RE SLT","WIP",IF(C666="RM","RM",IF(C666="RM BAL","RM",IF(C666="RM SLT","RM",IF(C666="RR","WIP",IF(C666="SKP","WIP",IF(C666="SLT","WIP",IF(C666="CTL","WIP",IF(C666="RM SLT RUST","RM SLT RUST",0)))))))))))))&amp;"-"&amp;G666&amp;"/"&amp;IF(H666="2B","2B",IF(H666="NO.1","1D",IF(H666="FH","FH",0)))&amp;"-"&amp;IF(J666="",(TEXT(I666,"0.00")),TEXT(J666,"0.00"))&amp;"X"&amp;M666</f>
        <v>RM-304L/1D-3.89X640</v>
      </c>
      <c r="C666" s="173" t="s">
        <v>48</v>
      </c>
      <c r="D666" s="173" t="s">
        <v>48</v>
      </c>
      <c r="E666" s="190" t="s">
        <v>2298</v>
      </c>
      <c r="F666" s="190" t="s">
        <v>2299</v>
      </c>
      <c r="G666" s="173" t="s">
        <v>182</v>
      </c>
      <c r="H666" s="173" t="s">
        <v>127</v>
      </c>
      <c r="I666" s="174">
        <v>3.89</v>
      </c>
      <c r="J666" s="174"/>
      <c r="K666" s="174"/>
      <c r="L666" s="174"/>
      <c r="M666" s="191">
        <v>640</v>
      </c>
      <c r="N666" s="176">
        <v>10.705</v>
      </c>
      <c r="O666" s="176"/>
      <c r="P666" s="177"/>
      <c r="Q666" s="178"/>
      <c r="R666" s="179"/>
      <c r="S666" s="179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80" t="s">
        <v>1881</v>
      </c>
      <c r="AE666" s="173" t="s">
        <v>69</v>
      </c>
      <c r="AF666" s="181" t="s">
        <v>142</v>
      </c>
      <c r="AG666" s="192" t="s">
        <v>1887</v>
      </c>
      <c r="AH666" s="198"/>
      <c r="AI666" s="181">
        <v>44880</v>
      </c>
      <c r="AJ666" s="181"/>
      <c r="AK666" s="181">
        <f ca="1">TODAY()</f>
        <v>44958</v>
      </c>
      <c r="AL666" s="173">
        <f ca="1">IF(AI666&lt;&gt;0,AK666-AI666,0)</f>
        <v>78</v>
      </c>
      <c r="AM666" s="173" t="str">
        <f>IF(ISNUMBER(X666)=TRUE,AK666-X666,IF(X666="","",(AK666)-(MID(RIGHT(X666,10),4,2)&amp;"/"&amp;LEFT((RIGHT(X666,10)),2)&amp;"/"&amp;RIGHT(X666,4))))</f>
        <v/>
      </c>
      <c r="AN666" s="181"/>
      <c r="AO666" s="190" t="s">
        <v>2297</v>
      </c>
      <c r="AP666" s="176">
        <v>10.705</v>
      </c>
      <c r="AQ666" s="176">
        <v>10.715</v>
      </c>
      <c r="AR666" s="176">
        <v>10.739999999999998</v>
      </c>
      <c r="AS666" s="176">
        <v>10.744999999999999</v>
      </c>
      <c r="AT666" s="173" t="str">
        <f>IF(ISNUMBER(U666)=TRUE,AK666-U666,IF(U666="","",(AK666)-(MID(RIGHT(U666,10),4,2)&amp;"/"&amp;LEFT((RIGHT(U666,10)),2)&amp;"/"&amp;RIGHT(U666,4))))</f>
        <v/>
      </c>
      <c r="AU666" s="173">
        <v>459</v>
      </c>
      <c r="AW666" s="142" t="s">
        <v>123</v>
      </c>
    </row>
    <row r="667" spans="2:49" s="142" customFormat="1" ht="21" customHeight="1" x14ac:dyDescent="0.25">
      <c r="B667" s="173" t="str">
        <f>IF(C667="HOLD RM","HOLD RM",IF(C667="BAL","WIP",IF(C667="HOLD SLT","HOLD SLT",IF(C667="MILL","RM",IF(C667="RE SLT","WIP",IF(C667="RM","RM",IF(C667="RM BAL","RM",IF(C667="RM SLT","RM",IF(C667="RR","WIP",IF(C667="SKP","WIP",IF(C667="SLT","WIP",IF(C667="CTL","WIP",IF(C667="RM SLT RUST","RM SLT RUST",0)))))))))))))&amp;"-"&amp;G667&amp;"/"&amp;IF(H667="2B","2B",IF(H667="NO.1","1D",IF(H667="FH","FH",0)))&amp;"-"&amp;IF(J667="",(TEXT(I667,"0.00")),TEXT(J667,"0.00"))&amp;"X"&amp;M667</f>
        <v>RM-304L/1D-2.98X640</v>
      </c>
      <c r="C667" s="173" t="s">
        <v>48</v>
      </c>
      <c r="D667" s="173" t="s">
        <v>48</v>
      </c>
      <c r="E667" s="190" t="s">
        <v>2300</v>
      </c>
      <c r="F667" s="190" t="s">
        <v>2301</v>
      </c>
      <c r="G667" s="173" t="s">
        <v>182</v>
      </c>
      <c r="H667" s="173" t="s">
        <v>127</v>
      </c>
      <c r="I667" s="174">
        <v>2.98</v>
      </c>
      <c r="J667" s="174"/>
      <c r="K667" s="174"/>
      <c r="L667" s="174"/>
      <c r="M667" s="191">
        <v>640</v>
      </c>
      <c r="N667" s="176">
        <v>10.34</v>
      </c>
      <c r="O667" s="176"/>
      <c r="P667" s="177"/>
      <c r="Q667" s="178"/>
      <c r="R667" s="179"/>
      <c r="S667" s="179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80" t="s">
        <v>1898</v>
      </c>
      <c r="AE667" s="173" t="s">
        <v>69</v>
      </c>
      <c r="AF667" s="181" t="s">
        <v>142</v>
      </c>
      <c r="AG667" s="192" t="s">
        <v>1887</v>
      </c>
      <c r="AH667" s="198"/>
      <c r="AI667" s="181">
        <v>44880</v>
      </c>
      <c r="AJ667" s="181"/>
      <c r="AK667" s="181">
        <f ca="1">TODAY()</f>
        <v>44958</v>
      </c>
      <c r="AL667" s="173">
        <f ca="1">IF(AI667&lt;&gt;0,AK667-AI667,0)</f>
        <v>78</v>
      </c>
      <c r="AM667" s="173" t="str">
        <f>IF(ISNUMBER(X667)=TRUE,AK667-X667,IF(X667="","",(AK667)-(MID(RIGHT(X667,10),4,2)&amp;"/"&amp;LEFT((RIGHT(X667,10)),2)&amp;"/"&amp;RIGHT(X667,4))))</f>
        <v/>
      </c>
      <c r="AN667" s="181"/>
      <c r="AO667" s="190" t="s">
        <v>2302</v>
      </c>
      <c r="AP667" s="176">
        <v>10.34</v>
      </c>
      <c r="AQ667" s="176">
        <v>10.35</v>
      </c>
      <c r="AR667" s="176">
        <v>10.374999999999998</v>
      </c>
      <c r="AS667" s="176">
        <v>10.379999999999999</v>
      </c>
      <c r="AT667" s="173" t="str">
        <f>IF(ISNUMBER(U667)=TRUE,AK667-U667,IF(U667="","",(AK667)-(MID(RIGHT(U667,10),4,2)&amp;"/"&amp;LEFT((RIGHT(U667,10)),2)&amp;"/"&amp;RIGHT(U667,4))))</f>
        <v/>
      </c>
      <c r="AU667" s="173">
        <v>459</v>
      </c>
      <c r="AW667" s="142" t="s">
        <v>123</v>
      </c>
    </row>
    <row r="668" spans="2:49" s="142" customFormat="1" ht="21" customHeight="1" x14ac:dyDescent="0.25">
      <c r="B668" s="173" t="str">
        <f>IF(C668="HOLD RM","HOLD RM",IF(C668="BAL","WIP",IF(C668="HOLD SLT","HOLD SLT",IF(C668="MILL","RM",IF(C668="RE SLT","WIP",IF(C668="RM","RM",IF(C668="RM BAL","RM",IF(C668="RM SLT","RM",IF(C668="RR","WIP",IF(C668="SKP","WIP",IF(C668="SLT","WIP",IF(C668="CTL","WIP",IF(C668="RM SLT RUST","RM SLT RUST",0)))))))))))))&amp;"-"&amp;G668&amp;"/"&amp;IF(H668="2B","2B",IF(H668="NO.1","1D",IF(H668="FH","FH",0)))&amp;"-"&amp;IF(J668="",(TEXT(I668,"0.00")),TEXT(J668,"0.00"))&amp;"X"&amp;M668</f>
        <v>RM-304/1D-2.51X643</v>
      </c>
      <c r="C668" s="173" t="s">
        <v>48</v>
      </c>
      <c r="D668" s="173" t="s">
        <v>48</v>
      </c>
      <c r="E668" s="190" t="s">
        <v>2303</v>
      </c>
      <c r="F668" s="190" t="s">
        <v>2304</v>
      </c>
      <c r="G668" s="173">
        <v>304</v>
      </c>
      <c r="H668" s="173" t="s">
        <v>127</v>
      </c>
      <c r="I668" s="174">
        <v>2.5099999999999998</v>
      </c>
      <c r="J668" s="174"/>
      <c r="K668" s="174"/>
      <c r="L668" s="174"/>
      <c r="M668" s="191">
        <v>643</v>
      </c>
      <c r="N668" s="176">
        <v>10.32</v>
      </c>
      <c r="O668" s="176"/>
      <c r="P668" s="177"/>
      <c r="Q668" s="178"/>
      <c r="R668" s="179"/>
      <c r="S668" s="179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80" t="s">
        <v>1881</v>
      </c>
      <c r="AE668" s="173" t="s">
        <v>69</v>
      </c>
      <c r="AF668" s="181" t="s">
        <v>142</v>
      </c>
      <c r="AG668" s="192" t="s">
        <v>1887</v>
      </c>
      <c r="AH668" s="198"/>
      <c r="AI668" s="181">
        <v>44880</v>
      </c>
      <c r="AJ668" s="181"/>
      <c r="AK668" s="181">
        <f ca="1">TODAY()</f>
        <v>44958</v>
      </c>
      <c r="AL668" s="173">
        <f ca="1">IF(AI668&lt;&gt;0,AK668-AI668,0)</f>
        <v>78</v>
      </c>
      <c r="AM668" s="173" t="str">
        <f>IF(ISNUMBER(X668)=TRUE,AK668-X668,IF(X668="","",(AK668)-(MID(RIGHT(X668,10),4,2)&amp;"/"&amp;LEFT((RIGHT(X668,10)),2)&amp;"/"&amp;RIGHT(X668,4))))</f>
        <v/>
      </c>
      <c r="AN668" s="181"/>
      <c r="AO668" s="190" t="s">
        <v>2305</v>
      </c>
      <c r="AP668" s="176">
        <v>10.32</v>
      </c>
      <c r="AQ668" s="176">
        <v>10.33</v>
      </c>
      <c r="AR668" s="176">
        <v>10.354999999999999</v>
      </c>
      <c r="AS668" s="176">
        <v>10.36</v>
      </c>
      <c r="AT668" s="173" t="str">
        <f>IF(ISNUMBER(U668)=TRUE,AK668-U668,IF(U668="","",(AK668)-(MID(RIGHT(U668,10),4,2)&amp;"/"&amp;LEFT((RIGHT(U668,10)),2)&amp;"/"&amp;RIGHT(U668,4))))</f>
        <v/>
      </c>
      <c r="AU668" s="173">
        <v>459</v>
      </c>
      <c r="AW668" s="142" t="s">
        <v>123</v>
      </c>
    </row>
    <row r="669" spans="2:49" s="142" customFormat="1" ht="21" customHeight="1" x14ac:dyDescent="0.25">
      <c r="B669" s="173" t="str">
        <f>IF(C669="HOLD RM","HOLD RM",IF(C669="BAL","WIP",IF(C669="HOLD SLT","HOLD SLT",IF(C669="MILL","RM",IF(C669="RE SLT","WIP",IF(C669="RM","RM",IF(C669="RM BAL","RM",IF(C669="RM SLT","RM",IF(C669="RR","WIP",IF(C669="SKP","WIP",IF(C669="SLT","WIP",IF(C669="CTL","WIP",IF(C669="RM SLT RUST","RM SLT RUST",0)))))))))))))&amp;"-"&amp;G669&amp;"/"&amp;IF(H669="2B","2B",IF(H669="NO.1","1D",IF(H669="FH","FH",0)))&amp;"-"&amp;IF(J669="",(TEXT(I669,"0.00")),TEXT(J669,"0.00"))&amp;"X"&amp;M669</f>
        <v>RM-304/1D-2.51X644</v>
      </c>
      <c r="C669" s="173" t="s">
        <v>48</v>
      </c>
      <c r="D669" s="173" t="s">
        <v>48</v>
      </c>
      <c r="E669" s="190" t="s">
        <v>2306</v>
      </c>
      <c r="F669" s="190" t="s">
        <v>2307</v>
      </c>
      <c r="G669" s="173">
        <v>304</v>
      </c>
      <c r="H669" s="173" t="s">
        <v>127</v>
      </c>
      <c r="I669" s="174">
        <v>2.5099999999999998</v>
      </c>
      <c r="J669" s="174"/>
      <c r="K669" s="174"/>
      <c r="L669" s="174"/>
      <c r="M669" s="191">
        <v>644</v>
      </c>
      <c r="N669" s="176">
        <v>10.324999999999999</v>
      </c>
      <c r="O669" s="176"/>
      <c r="P669" s="177"/>
      <c r="Q669" s="178"/>
      <c r="R669" s="179"/>
      <c r="S669" s="179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80" t="s">
        <v>1881</v>
      </c>
      <c r="AE669" s="173" t="s">
        <v>69</v>
      </c>
      <c r="AF669" s="181" t="s">
        <v>142</v>
      </c>
      <c r="AG669" s="192" t="s">
        <v>1887</v>
      </c>
      <c r="AH669" s="198"/>
      <c r="AI669" s="181">
        <v>44880</v>
      </c>
      <c r="AJ669" s="181"/>
      <c r="AK669" s="181">
        <f ca="1">TODAY()</f>
        <v>44958</v>
      </c>
      <c r="AL669" s="173">
        <f ca="1">IF(AI669&lt;&gt;0,AK669-AI669,0)</f>
        <v>78</v>
      </c>
      <c r="AM669" s="173" t="str">
        <f>IF(ISNUMBER(X669)=TRUE,AK669-X669,IF(X669="","",(AK669)-(MID(RIGHT(X669,10),4,2)&amp;"/"&amp;LEFT((RIGHT(X669,10)),2)&amp;"/"&amp;RIGHT(X669,4))))</f>
        <v/>
      </c>
      <c r="AN669" s="181"/>
      <c r="AO669" s="190" t="s">
        <v>2305</v>
      </c>
      <c r="AP669" s="176">
        <v>10.324999999999999</v>
      </c>
      <c r="AQ669" s="176">
        <v>10.334999999999999</v>
      </c>
      <c r="AR669" s="176">
        <v>10.359999999999998</v>
      </c>
      <c r="AS669" s="176">
        <v>10.364999999999998</v>
      </c>
      <c r="AT669" s="173" t="str">
        <f>IF(ISNUMBER(U669)=TRUE,AK669-U669,IF(U669="","",(AK669)-(MID(RIGHT(U669,10),4,2)&amp;"/"&amp;LEFT((RIGHT(U669,10)),2)&amp;"/"&amp;RIGHT(U669,4))))</f>
        <v/>
      </c>
      <c r="AU669" s="173">
        <v>459</v>
      </c>
      <c r="AW669" s="142" t="s">
        <v>123</v>
      </c>
    </row>
    <row r="670" spans="2:49" s="142" customFormat="1" ht="21" customHeight="1" x14ac:dyDescent="0.25">
      <c r="B670" s="173" t="str">
        <f>IF(C670="HOLD RM","HOLD RM",IF(C670="BAL","WIP",IF(C670="HOLD SLT","HOLD SLT",IF(C670="MILL","RM",IF(C670="RE SLT","WIP",IF(C670="RM","RM",IF(C670="RM BAL","RM",IF(C670="RM SLT","RM",IF(C670="RR","WIP",IF(C670="SKP","WIP",IF(C670="SLT","WIP",IF(C670="CTL","WIP",IF(C670="RM SLT RUST","RM SLT RUST",0)))))))))))))&amp;"-"&amp;G670&amp;"/"&amp;IF(H670="2B","2B",IF(H670="NO.1","1D",IF(H670="FH","FH",0)))&amp;"-"&amp;IF(J670="",(TEXT(I670,"0.00")),TEXT(J670,"0.00"))&amp;"X"&amp;M670</f>
        <v>RM-304L/1D-3.45X644</v>
      </c>
      <c r="C670" s="173" t="s">
        <v>48</v>
      </c>
      <c r="D670" s="173" t="s">
        <v>48</v>
      </c>
      <c r="E670" s="190" t="s">
        <v>2308</v>
      </c>
      <c r="F670" s="190" t="s">
        <v>2309</v>
      </c>
      <c r="G670" s="173" t="s">
        <v>182</v>
      </c>
      <c r="H670" s="173" t="s">
        <v>127</v>
      </c>
      <c r="I670" s="174">
        <v>3.45</v>
      </c>
      <c r="J670" s="174"/>
      <c r="K670" s="174"/>
      <c r="L670" s="174"/>
      <c r="M670" s="191">
        <v>644</v>
      </c>
      <c r="N670" s="176">
        <v>8.7850000000000001</v>
      </c>
      <c r="O670" s="176"/>
      <c r="P670" s="177"/>
      <c r="Q670" s="178"/>
      <c r="R670" s="179"/>
      <c r="S670" s="179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80" t="s">
        <v>1898</v>
      </c>
      <c r="AE670" s="173" t="s">
        <v>69</v>
      </c>
      <c r="AF670" s="181" t="s">
        <v>142</v>
      </c>
      <c r="AG670" s="192" t="s">
        <v>1653</v>
      </c>
      <c r="AH670" s="198"/>
      <c r="AI670" s="181">
        <v>44880</v>
      </c>
      <c r="AJ670" s="181"/>
      <c r="AK670" s="181">
        <f ca="1">TODAY()</f>
        <v>44958</v>
      </c>
      <c r="AL670" s="173">
        <f ca="1">IF(AI670&lt;&gt;0,AK670-AI670,0)</f>
        <v>78</v>
      </c>
      <c r="AM670" s="173" t="str">
        <f>IF(ISNUMBER(X670)=TRUE,AK670-X670,IF(X670="","",(AK670)-(MID(RIGHT(X670,10),4,2)&amp;"/"&amp;LEFT((RIGHT(X670,10)),2)&amp;"/"&amp;RIGHT(X670,4))))</f>
        <v/>
      </c>
      <c r="AN670" s="181"/>
      <c r="AO670" s="190" t="s">
        <v>2310</v>
      </c>
      <c r="AP670" s="176">
        <v>8.7850000000000001</v>
      </c>
      <c r="AQ670" s="176">
        <v>8.7949999999999999</v>
      </c>
      <c r="AR670" s="176">
        <v>8.8199999999999985</v>
      </c>
      <c r="AS670" s="176">
        <v>8.8249999999999993</v>
      </c>
      <c r="AT670" s="173" t="str">
        <f>IF(ISNUMBER(U670)=TRUE,AK670-U670,IF(U670="","",(AK670)-(MID(RIGHT(U670,10),4,2)&amp;"/"&amp;LEFT((RIGHT(U670,10)),2)&amp;"/"&amp;RIGHT(U670,4))))</f>
        <v/>
      </c>
      <c r="AU670" s="173">
        <v>459</v>
      </c>
      <c r="AW670" s="142" t="s">
        <v>123</v>
      </c>
    </row>
    <row r="671" spans="2:49" s="142" customFormat="1" ht="21" customHeight="1" x14ac:dyDescent="0.25">
      <c r="B671" s="173" t="str">
        <f>IF(C671="HOLD RM","HOLD RM",IF(C671="BAL","WIP",IF(C671="HOLD SLT","HOLD SLT",IF(C671="MILL","RM",IF(C671="RE SLT","WIP",IF(C671="RM","RM",IF(C671="RM BAL","RM",IF(C671="RM SLT","RM",IF(C671="RR","WIP",IF(C671="SKP","WIP",IF(C671="SLT","WIP",IF(C671="CTL","WIP",IF(C671="RM SLT RUST","RM SLT RUST",0)))))))))))))&amp;"-"&amp;G671&amp;"/"&amp;IF(H671="2B","2B",IF(H671="NO.1","1D",IF(H671="FH","FH",0)))&amp;"-"&amp;IF(J671="",(TEXT(I671,"0.00")),TEXT(J671,"0.00"))&amp;"X"&amp;M671</f>
        <v>RM-304L/1D-3.45X642</v>
      </c>
      <c r="C671" s="173" t="s">
        <v>48</v>
      </c>
      <c r="D671" s="173" t="s">
        <v>48</v>
      </c>
      <c r="E671" s="190" t="s">
        <v>2311</v>
      </c>
      <c r="F671" s="190" t="s">
        <v>2312</v>
      </c>
      <c r="G671" s="173" t="s">
        <v>182</v>
      </c>
      <c r="H671" s="173" t="s">
        <v>127</v>
      </c>
      <c r="I671" s="174">
        <v>3.45</v>
      </c>
      <c r="J671" s="174"/>
      <c r="K671" s="174"/>
      <c r="L671" s="174"/>
      <c r="M671" s="191">
        <v>642</v>
      </c>
      <c r="N671" s="176">
        <v>8.7799999999999994</v>
      </c>
      <c r="O671" s="176"/>
      <c r="P671" s="177"/>
      <c r="Q671" s="178"/>
      <c r="R671" s="179"/>
      <c r="S671" s="179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80" t="s">
        <v>1898</v>
      </c>
      <c r="AE671" s="173" t="s">
        <v>69</v>
      </c>
      <c r="AF671" s="181" t="s">
        <v>142</v>
      </c>
      <c r="AG671" s="192" t="s">
        <v>1653</v>
      </c>
      <c r="AH671" s="198"/>
      <c r="AI671" s="181">
        <v>44880</v>
      </c>
      <c r="AJ671" s="181"/>
      <c r="AK671" s="181">
        <f ca="1">TODAY()</f>
        <v>44958</v>
      </c>
      <c r="AL671" s="173">
        <f ca="1">IF(AI671&lt;&gt;0,AK671-AI671,0)</f>
        <v>78</v>
      </c>
      <c r="AM671" s="173" t="str">
        <f>IF(ISNUMBER(X671)=TRUE,AK671-X671,IF(X671="","",(AK671)-(MID(RIGHT(X671,10),4,2)&amp;"/"&amp;LEFT((RIGHT(X671,10)),2)&amp;"/"&amp;RIGHT(X671,4))))</f>
        <v/>
      </c>
      <c r="AN671" s="181"/>
      <c r="AO671" s="190" t="s">
        <v>2310</v>
      </c>
      <c r="AP671" s="176">
        <v>8.7799999999999994</v>
      </c>
      <c r="AQ671" s="176">
        <v>8.7899999999999991</v>
      </c>
      <c r="AR671" s="176">
        <v>8.8149999999999977</v>
      </c>
      <c r="AS671" s="176">
        <v>8.8199999999999985</v>
      </c>
      <c r="AT671" s="173" t="str">
        <f>IF(ISNUMBER(U671)=TRUE,AK671-U671,IF(U671="","",(AK671)-(MID(RIGHT(U671,10),4,2)&amp;"/"&amp;LEFT((RIGHT(U671,10)),2)&amp;"/"&amp;RIGHT(U671,4))))</f>
        <v/>
      </c>
      <c r="AU671" s="173">
        <v>459</v>
      </c>
      <c r="AW671" s="142" t="s">
        <v>123</v>
      </c>
    </row>
    <row r="672" spans="2:49" s="142" customFormat="1" ht="21" customHeight="1" x14ac:dyDescent="0.25">
      <c r="B672" s="173" t="str">
        <f>IF(C672="HOLD RM","HOLD RM",IF(C672="BAL","WIP",IF(C672="HOLD SLT","HOLD SLT",IF(C672="MILL","RM",IF(C672="RE SLT","WIP",IF(C672="RM","RM",IF(C672="RM BAL","RM",IF(C672="RM SLT","RM",IF(C672="RR","WIP",IF(C672="SKP","WIP",IF(C672="SLT","WIP",IF(C672="CTL","WIP",IF(C672="RM SLT RUST","RM SLT RUST",0)))))))))))))&amp;"-"&amp;G672&amp;"/"&amp;IF(H672="2B","2B",IF(H672="NO.1","1D",IF(H672="FH","FH",0)))&amp;"-"&amp;IF(J672="",(TEXT(I672,"0.00")),TEXT(J672,"0.00"))&amp;"X"&amp;M672</f>
        <v>RM-304L/1D-3.80X644</v>
      </c>
      <c r="C672" s="173" t="s">
        <v>48</v>
      </c>
      <c r="D672" s="173" t="s">
        <v>48</v>
      </c>
      <c r="E672" s="190" t="s">
        <v>2313</v>
      </c>
      <c r="F672" s="190" t="s">
        <v>2314</v>
      </c>
      <c r="G672" s="173" t="s">
        <v>182</v>
      </c>
      <c r="H672" s="173" t="s">
        <v>127</v>
      </c>
      <c r="I672" s="174">
        <v>3.8</v>
      </c>
      <c r="J672" s="174"/>
      <c r="K672" s="174"/>
      <c r="L672" s="174"/>
      <c r="M672" s="191">
        <v>644</v>
      </c>
      <c r="N672" s="176">
        <v>10.565</v>
      </c>
      <c r="O672" s="176"/>
      <c r="P672" s="177"/>
      <c r="Q672" s="178"/>
      <c r="R672" s="179"/>
      <c r="S672" s="179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80" t="s">
        <v>1881</v>
      </c>
      <c r="AE672" s="173" t="s">
        <v>69</v>
      </c>
      <c r="AF672" s="181" t="s">
        <v>142</v>
      </c>
      <c r="AG672" s="192" t="s">
        <v>1887</v>
      </c>
      <c r="AH672" s="198"/>
      <c r="AI672" s="181">
        <v>44880</v>
      </c>
      <c r="AJ672" s="181"/>
      <c r="AK672" s="181">
        <f ca="1">TODAY()</f>
        <v>44958</v>
      </c>
      <c r="AL672" s="173">
        <f ca="1">IF(AI672&lt;&gt;0,AK672-AI672,0)</f>
        <v>78</v>
      </c>
      <c r="AM672" s="173" t="str">
        <f>IF(ISNUMBER(X672)=TRUE,AK672-X672,IF(X672="","",(AK672)-(MID(RIGHT(X672,10),4,2)&amp;"/"&amp;LEFT((RIGHT(X672,10)),2)&amp;"/"&amp;RIGHT(X672,4))))</f>
        <v/>
      </c>
      <c r="AN672" s="181"/>
      <c r="AO672" s="190" t="s">
        <v>2315</v>
      </c>
      <c r="AP672" s="176">
        <v>10.565</v>
      </c>
      <c r="AQ672" s="176">
        <v>10.574999999999999</v>
      </c>
      <c r="AR672" s="176">
        <v>10.599999999999998</v>
      </c>
      <c r="AS672" s="176">
        <v>10.604999999999999</v>
      </c>
      <c r="AT672" s="173" t="str">
        <f>IF(ISNUMBER(U672)=TRUE,AK672-U672,IF(U672="","",(AK672)-(MID(RIGHT(U672,10),4,2)&amp;"/"&amp;LEFT((RIGHT(U672,10)),2)&amp;"/"&amp;RIGHT(U672,4))))</f>
        <v/>
      </c>
      <c r="AU672" s="173">
        <v>459</v>
      </c>
      <c r="AW672" s="142" t="s">
        <v>123</v>
      </c>
    </row>
    <row r="673" spans="2:49" s="142" customFormat="1" ht="21" customHeight="1" x14ac:dyDescent="0.25">
      <c r="B673" s="173" t="str">
        <f>IF(C673="HOLD RM","HOLD RM",IF(C673="BAL","WIP",IF(C673="HOLD SLT","HOLD SLT",IF(C673="MILL","RM",IF(C673="RE SLT","WIP",IF(C673="RM","RM",IF(C673="RM BAL","RM",IF(C673="RM SLT","RM",IF(C673="RR","WIP",IF(C673="SKP","WIP",IF(C673="SLT","WIP",IF(C673="CTL","WIP",IF(C673="RM SLT RUST","RM SLT RUST",0)))))))))))))&amp;"-"&amp;G673&amp;"/"&amp;IF(H673="2B","2B",IF(H673="NO.1","1D",IF(H673="FH","FH",0)))&amp;"-"&amp;IF(J673="",(TEXT(I673,"0.00")),TEXT(J673,"0.00"))&amp;"X"&amp;M673</f>
        <v>RM-304L/1D-3.80X644</v>
      </c>
      <c r="C673" s="173" t="s">
        <v>48</v>
      </c>
      <c r="D673" s="173" t="s">
        <v>48</v>
      </c>
      <c r="E673" s="190" t="s">
        <v>2316</v>
      </c>
      <c r="F673" s="190" t="s">
        <v>2317</v>
      </c>
      <c r="G673" s="173" t="s">
        <v>182</v>
      </c>
      <c r="H673" s="173" t="s">
        <v>127</v>
      </c>
      <c r="I673" s="174">
        <v>3.8</v>
      </c>
      <c r="J673" s="174"/>
      <c r="K673" s="174"/>
      <c r="L673" s="174"/>
      <c r="M673" s="191">
        <v>644</v>
      </c>
      <c r="N673" s="176">
        <v>10.58</v>
      </c>
      <c r="O673" s="176"/>
      <c r="P673" s="177"/>
      <c r="Q673" s="178"/>
      <c r="R673" s="179"/>
      <c r="S673" s="179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80" t="s">
        <v>1881</v>
      </c>
      <c r="AE673" s="173" t="s">
        <v>69</v>
      </c>
      <c r="AF673" s="181" t="s">
        <v>142</v>
      </c>
      <c r="AG673" s="192" t="s">
        <v>1887</v>
      </c>
      <c r="AH673" s="198"/>
      <c r="AI673" s="181">
        <v>44880</v>
      </c>
      <c r="AJ673" s="181"/>
      <c r="AK673" s="181">
        <f ca="1">TODAY()</f>
        <v>44958</v>
      </c>
      <c r="AL673" s="173">
        <f ca="1">IF(AI673&lt;&gt;0,AK673-AI673,0)</f>
        <v>78</v>
      </c>
      <c r="AM673" s="173" t="str">
        <f>IF(ISNUMBER(X673)=TRUE,AK673-X673,IF(X673="","",(AK673)-(MID(RIGHT(X673,10),4,2)&amp;"/"&amp;LEFT((RIGHT(X673,10)),2)&amp;"/"&amp;RIGHT(X673,4))))</f>
        <v/>
      </c>
      <c r="AN673" s="181"/>
      <c r="AO673" s="190" t="s">
        <v>2315</v>
      </c>
      <c r="AP673" s="176">
        <v>10.58</v>
      </c>
      <c r="AQ673" s="176">
        <v>10.59</v>
      </c>
      <c r="AR673" s="176">
        <v>10.614999999999998</v>
      </c>
      <c r="AS673" s="176">
        <v>10.62</v>
      </c>
      <c r="AT673" s="173" t="str">
        <f>IF(ISNUMBER(U673)=TRUE,AK673-U673,IF(U673="","",(AK673)-(MID(RIGHT(U673,10),4,2)&amp;"/"&amp;LEFT((RIGHT(U673,10)),2)&amp;"/"&amp;RIGHT(U673,4))))</f>
        <v/>
      </c>
      <c r="AU673" s="173">
        <v>459</v>
      </c>
      <c r="AW673" s="142" t="s">
        <v>123</v>
      </c>
    </row>
    <row r="674" spans="2:49" s="142" customFormat="1" ht="21" customHeight="1" x14ac:dyDescent="0.25">
      <c r="B674" s="173" t="str">
        <f>IF(C674="HOLD RM","HOLD RM",IF(C674="BAL","WIP",IF(C674="HOLD SLT","HOLD SLT",IF(C674="MILL","RM",IF(C674="RE SLT","WIP",IF(C674="RM","RM",IF(C674="RM BAL","RM",IF(C674="RM SLT","RM",IF(C674="RR","WIP",IF(C674="SKP","WIP",IF(C674="SLT","WIP",IF(C674="CTL","WIP",IF(C674="RM SLT RUST","RM SLT RUST",0)))))))))))))&amp;"-"&amp;G674&amp;"/"&amp;IF(H674="2B","2B",IF(H674="NO.1","1D",IF(H674="FH","FH",0)))&amp;"-"&amp;IF(J674="",(TEXT(I674,"0.00")),TEXT(J674,"0.00"))&amp;"X"&amp;M674</f>
        <v>RM-304L/1D-2.98X642</v>
      </c>
      <c r="C674" s="173" t="s">
        <v>48</v>
      </c>
      <c r="D674" s="173" t="s">
        <v>48</v>
      </c>
      <c r="E674" s="190" t="s">
        <v>2318</v>
      </c>
      <c r="F674" s="190" t="s">
        <v>2319</v>
      </c>
      <c r="G674" s="173" t="s">
        <v>182</v>
      </c>
      <c r="H674" s="173" t="s">
        <v>127</v>
      </c>
      <c r="I674" s="174">
        <v>2.98</v>
      </c>
      <c r="J674" s="174"/>
      <c r="K674" s="174"/>
      <c r="L674" s="174"/>
      <c r="M674" s="191">
        <v>642</v>
      </c>
      <c r="N674" s="176">
        <v>10.66</v>
      </c>
      <c r="O674" s="176"/>
      <c r="P674" s="177"/>
      <c r="Q674" s="178"/>
      <c r="R674" s="179"/>
      <c r="S674" s="179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80" t="s">
        <v>1898</v>
      </c>
      <c r="AE674" s="173" t="s">
        <v>69</v>
      </c>
      <c r="AF674" s="181" t="s">
        <v>142</v>
      </c>
      <c r="AG674" s="192" t="s">
        <v>1887</v>
      </c>
      <c r="AH674" s="198"/>
      <c r="AI674" s="181">
        <v>44880</v>
      </c>
      <c r="AJ674" s="181"/>
      <c r="AK674" s="181">
        <f ca="1">TODAY()</f>
        <v>44958</v>
      </c>
      <c r="AL674" s="173">
        <f ca="1">IF(AI674&lt;&gt;0,AK674-AI674,0)</f>
        <v>78</v>
      </c>
      <c r="AM674" s="173" t="str">
        <f>IF(ISNUMBER(X674)=TRUE,AK674-X674,IF(X674="","",(AK674)-(MID(RIGHT(X674,10),4,2)&amp;"/"&amp;LEFT((RIGHT(X674,10)),2)&amp;"/"&amp;RIGHT(X674,4))))</f>
        <v/>
      </c>
      <c r="AN674" s="181"/>
      <c r="AO674" s="190" t="s">
        <v>2320</v>
      </c>
      <c r="AP674" s="176">
        <v>10.66</v>
      </c>
      <c r="AQ674" s="176">
        <v>10.67</v>
      </c>
      <c r="AR674" s="176">
        <v>10.694999999999999</v>
      </c>
      <c r="AS674" s="176">
        <v>10.7</v>
      </c>
      <c r="AT674" s="173" t="str">
        <f>IF(ISNUMBER(U674)=TRUE,AK674-U674,IF(U674="","",(AK674)-(MID(RIGHT(U674,10),4,2)&amp;"/"&amp;LEFT((RIGHT(U674,10)),2)&amp;"/"&amp;RIGHT(U674,4))))</f>
        <v/>
      </c>
      <c r="AU674" s="173">
        <v>459</v>
      </c>
      <c r="AW674" s="142" t="s">
        <v>123</v>
      </c>
    </row>
    <row r="675" spans="2:49" s="142" customFormat="1" ht="21" customHeight="1" x14ac:dyDescent="0.25">
      <c r="B675" s="173" t="str">
        <f>IF(C675="HOLD RM","HOLD RM",IF(C675="BAL","WIP",IF(C675="HOLD SLT","HOLD SLT",IF(C675="MILL","RM",IF(C675="RE SLT","WIP",IF(C675="RM","RM",IF(C675="RM BAL","RM",IF(C675="RM SLT","RM",IF(C675="RR","WIP",IF(C675="SKP","WIP",IF(C675="SLT","WIP",IF(C675="CTL","WIP",IF(C675="RM SLT RUST","RM SLT RUST",0)))))))))))))&amp;"-"&amp;G675&amp;"/"&amp;IF(H675="2B","2B",IF(H675="NO.1","1D",IF(H675="FH","FH",0)))&amp;"-"&amp;IF(J675="",(TEXT(I675,"0.00")),TEXT(J675,"0.00"))&amp;"X"&amp;M675</f>
        <v>RM-304L/1D-2.98X643</v>
      </c>
      <c r="C675" s="173" t="s">
        <v>48</v>
      </c>
      <c r="D675" s="173" t="s">
        <v>48</v>
      </c>
      <c r="E675" s="190" t="s">
        <v>2321</v>
      </c>
      <c r="F675" s="190" t="s">
        <v>2322</v>
      </c>
      <c r="G675" s="173" t="s">
        <v>182</v>
      </c>
      <c r="H675" s="173" t="s">
        <v>127</v>
      </c>
      <c r="I675" s="174">
        <v>2.98</v>
      </c>
      <c r="J675" s="174"/>
      <c r="K675" s="174"/>
      <c r="L675" s="174"/>
      <c r="M675" s="191">
        <v>643</v>
      </c>
      <c r="N675" s="176">
        <v>10.66</v>
      </c>
      <c r="O675" s="176"/>
      <c r="P675" s="177"/>
      <c r="Q675" s="178"/>
      <c r="R675" s="179"/>
      <c r="S675" s="179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80" t="s">
        <v>1898</v>
      </c>
      <c r="AE675" s="173" t="s">
        <v>69</v>
      </c>
      <c r="AF675" s="181" t="s">
        <v>142</v>
      </c>
      <c r="AG675" s="192" t="s">
        <v>1887</v>
      </c>
      <c r="AH675" s="198"/>
      <c r="AI675" s="181">
        <v>44880</v>
      </c>
      <c r="AJ675" s="181"/>
      <c r="AK675" s="181">
        <f ca="1">TODAY()</f>
        <v>44958</v>
      </c>
      <c r="AL675" s="173">
        <f ca="1">IF(AI675&lt;&gt;0,AK675-AI675,0)</f>
        <v>78</v>
      </c>
      <c r="AM675" s="173" t="str">
        <f>IF(ISNUMBER(X675)=TRUE,AK675-X675,IF(X675="","",(AK675)-(MID(RIGHT(X675,10),4,2)&amp;"/"&amp;LEFT((RIGHT(X675,10)),2)&amp;"/"&amp;RIGHT(X675,4))))</f>
        <v/>
      </c>
      <c r="AN675" s="181"/>
      <c r="AO675" s="190" t="s">
        <v>2320</v>
      </c>
      <c r="AP675" s="176">
        <v>10.66</v>
      </c>
      <c r="AQ675" s="176">
        <v>10.67</v>
      </c>
      <c r="AR675" s="176">
        <v>10.694999999999999</v>
      </c>
      <c r="AS675" s="176">
        <v>10.7</v>
      </c>
      <c r="AT675" s="173" t="str">
        <f>IF(ISNUMBER(U675)=TRUE,AK675-U675,IF(U675="","",(AK675)-(MID(RIGHT(U675,10),4,2)&amp;"/"&amp;LEFT((RIGHT(U675,10)),2)&amp;"/"&amp;RIGHT(U675,4))))</f>
        <v/>
      </c>
      <c r="AU675" s="173">
        <v>459</v>
      </c>
      <c r="AW675" s="142" t="s">
        <v>123</v>
      </c>
    </row>
    <row r="676" spans="2:49" s="142" customFormat="1" ht="21" customHeight="1" x14ac:dyDescent="0.25">
      <c r="B676" s="173" t="str">
        <f>IF(C676="HOLD RM","HOLD RM",IF(C676="BAL","WIP",IF(C676="HOLD SLT","HOLD SLT",IF(C676="MILL","RM",IF(C676="RE SLT","WIP",IF(C676="RM","RM",IF(C676="RM BAL","RM",IF(C676="RM SLT","RM",IF(C676="RR","WIP",IF(C676="SKP","WIP",IF(C676="SLT","WIP",IF(C676="CTL","WIP",IF(C676="RM SLT RUST","RM SLT RUST",0)))))))))))))&amp;"-"&amp;G676&amp;"/"&amp;IF(H676="2B","2B",IF(H676="NO.1","1D",IF(H676="FH","FH",0)))&amp;"-"&amp;IF(J676="",(TEXT(I676,"0.00")),TEXT(J676,"0.00"))&amp;"X"&amp;M676</f>
        <v>RM-304L/1D-2.91X642</v>
      </c>
      <c r="C676" s="173" t="s">
        <v>48</v>
      </c>
      <c r="D676" s="173" t="s">
        <v>48</v>
      </c>
      <c r="E676" s="190" t="s">
        <v>2323</v>
      </c>
      <c r="F676" s="190" t="s">
        <v>2324</v>
      </c>
      <c r="G676" s="173" t="s">
        <v>182</v>
      </c>
      <c r="H676" s="173" t="s">
        <v>127</v>
      </c>
      <c r="I676" s="174">
        <v>2.91</v>
      </c>
      <c r="J676" s="174"/>
      <c r="K676" s="174"/>
      <c r="L676" s="174"/>
      <c r="M676" s="191">
        <v>642</v>
      </c>
      <c r="N676" s="176">
        <v>10.67</v>
      </c>
      <c r="O676" s="176"/>
      <c r="P676" s="177"/>
      <c r="Q676" s="178"/>
      <c r="R676" s="179"/>
      <c r="S676" s="179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80" t="s">
        <v>1881</v>
      </c>
      <c r="AE676" s="173" t="s">
        <v>69</v>
      </c>
      <c r="AF676" s="181" t="s">
        <v>142</v>
      </c>
      <c r="AG676" s="192" t="s">
        <v>1887</v>
      </c>
      <c r="AH676" s="198"/>
      <c r="AI676" s="181">
        <v>44880</v>
      </c>
      <c r="AJ676" s="181"/>
      <c r="AK676" s="181">
        <f ca="1">TODAY()</f>
        <v>44958</v>
      </c>
      <c r="AL676" s="173">
        <f ca="1">IF(AI676&lt;&gt;0,AK676-AI676,0)</f>
        <v>78</v>
      </c>
      <c r="AM676" s="173" t="str">
        <f>IF(ISNUMBER(X676)=TRUE,AK676-X676,IF(X676="","",(AK676)-(MID(RIGHT(X676,10),4,2)&amp;"/"&amp;LEFT((RIGHT(X676,10)),2)&amp;"/"&amp;RIGHT(X676,4))))</f>
        <v/>
      </c>
      <c r="AN676" s="181"/>
      <c r="AO676" s="190" t="s">
        <v>2325</v>
      </c>
      <c r="AP676" s="176">
        <v>10.67</v>
      </c>
      <c r="AQ676" s="176">
        <v>10.68</v>
      </c>
      <c r="AR676" s="176">
        <v>10.704999999999998</v>
      </c>
      <c r="AS676" s="176">
        <v>10.709999999999999</v>
      </c>
      <c r="AT676" s="173" t="str">
        <f>IF(ISNUMBER(U676)=TRUE,AK676-U676,IF(U676="","",(AK676)-(MID(RIGHT(U676,10),4,2)&amp;"/"&amp;LEFT((RIGHT(U676,10)),2)&amp;"/"&amp;RIGHT(U676,4))))</f>
        <v/>
      </c>
      <c r="AU676" s="173">
        <v>459</v>
      </c>
      <c r="AW676" s="142" t="s">
        <v>123</v>
      </c>
    </row>
    <row r="677" spans="2:49" s="142" customFormat="1" ht="21" customHeight="1" x14ac:dyDescent="0.25">
      <c r="B677" s="173" t="str">
        <f>IF(C677="HOLD RM","HOLD RM",IF(C677="BAL","WIP",IF(C677="HOLD SLT","HOLD SLT",IF(C677="MILL","RM",IF(C677="RE SLT","WIP",IF(C677="RM","RM",IF(C677="RM BAL","RM",IF(C677="RM SLT","RM",IF(C677="RR","WIP",IF(C677="SKP","WIP",IF(C677="SLT","WIP",IF(C677="CTL","WIP",IF(C677="RM SLT RUST","RM SLT RUST",0)))))))))))))&amp;"-"&amp;G677&amp;"/"&amp;IF(H677="2B","2B",IF(H677="NO.1","1D",IF(H677="FH","FH",0)))&amp;"-"&amp;IF(J677="",(TEXT(I677,"0.00")),TEXT(J677,"0.00"))&amp;"X"&amp;M677</f>
        <v>RM-304L/1D-2.90X643</v>
      </c>
      <c r="C677" s="173" t="s">
        <v>48</v>
      </c>
      <c r="D677" s="173" t="s">
        <v>48</v>
      </c>
      <c r="E677" s="190" t="s">
        <v>2326</v>
      </c>
      <c r="F677" s="190" t="s">
        <v>2327</v>
      </c>
      <c r="G677" s="173" t="s">
        <v>182</v>
      </c>
      <c r="H677" s="173" t="s">
        <v>127</v>
      </c>
      <c r="I677" s="174">
        <v>2.9</v>
      </c>
      <c r="J677" s="174"/>
      <c r="K677" s="174"/>
      <c r="L677" s="174"/>
      <c r="M677" s="191">
        <v>643</v>
      </c>
      <c r="N677" s="176">
        <v>10.65</v>
      </c>
      <c r="O677" s="176"/>
      <c r="P677" s="177"/>
      <c r="Q677" s="178"/>
      <c r="R677" s="179"/>
      <c r="S677" s="179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80" t="s">
        <v>1881</v>
      </c>
      <c r="AE677" s="173" t="s">
        <v>69</v>
      </c>
      <c r="AF677" s="181" t="s">
        <v>142</v>
      </c>
      <c r="AG677" s="192" t="s">
        <v>1887</v>
      </c>
      <c r="AH677" s="198"/>
      <c r="AI677" s="181">
        <v>44880</v>
      </c>
      <c r="AJ677" s="181"/>
      <c r="AK677" s="181">
        <f ca="1">TODAY()</f>
        <v>44958</v>
      </c>
      <c r="AL677" s="173">
        <f ca="1">IF(AI677&lt;&gt;0,AK677-AI677,0)</f>
        <v>78</v>
      </c>
      <c r="AM677" s="173" t="str">
        <f>IF(ISNUMBER(X677)=TRUE,AK677-X677,IF(X677="","",(AK677)-(MID(RIGHT(X677,10),4,2)&amp;"/"&amp;LEFT((RIGHT(X677,10)),2)&amp;"/"&amp;RIGHT(X677,4))))</f>
        <v/>
      </c>
      <c r="AN677" s="181"/>
      <c r="AO677" s="190" t="s">
        <v>2325</v>
      </c>
      <c r="AP677" s="176">
        <v>10.65</v>
      </c>
      <c r="AQ677" s="176">
        <v>10.66</v>
      </c>
      <c r="AR677" s="176">
        <v>10.684999999999999</v>
      </c>
      <c r="AS677" s="176">
        <v>10.69</v>
      </c>
      <c r="AT677" s="173" t="str">
        <f>IF(ISNUMBER(U677)=TRUE,AK677-U677,IF(U677="","",(AK677)-(MID(RIGHT(U677,10),4,2)&amp;"/"&amp;LEFT((RIGHT(U677,10)),2)&amp;"/"&amp;RIGHT(U677,4))))</f>
        <v/>
      </c>
      <c r="AU677" s="173">
        <v>459</v>
      </c>
      <c r="AW677" s="142" t="s">
        <v>123</v>
      </c>
    </row>
    <row r="678" spans="2:49" s="142" customFormat="1" ht="21" customHeight="1" x14ac:dyDescent="0.25">
      <c r="B678" s="173" t="str">
        <f>IF(C678="HOLD RM","HOLD RM",IF(C678="BAL","WIP",IF(C678="HOLD SLT","HOLD SLT",IF(C678="MILL","RM",IF(C678="RE SLT","WIP",IF(C678="RM","RM",IF(C678="RM BAL","RM",IF(C678="RM SLT","RM",IF(C678="RR","WIP",IF(C678="SKP","WIP",IF(C678="SLT","WIP",IF(C678="CTL","WIP",IF(C678="RM SLT RUST","RM SLT RUST",0)))))))))))))&amp;"-"&amp;G678&amp;"/"&amp;IF(H678="2B","2B",IF(H678="NO.1","1D",IF(H678="FH","FH",0)))&amp;"-"&amp;IF(J678="",(TEXT(I678,"0.00")),TEXT(J678,"0.00"))&amp;"X"&amp;M678</f>
        <v>RM-304/1D-2.99X643</v>
      </c>
      <c r="C678" s="173" t="s">
        <v>48</v>
      </c>
      <c r="D678" s="173" t="s">
        <v>48</v>
      </c>
      <c r="E678" s="190" t="s">
        <v>2328</v>
      </c>
      <c r="F678" s="190" t="s">
        <v>2329</v>
      </c>
      <c r="G678" s="173">
        <v>304</v>
      </c>
      <c r="H678" s="173" t="s">
        <v>127</v>
      </c>
      <c r="I678" s="174">
        <v>2.99</v>
      </c>
      <c r="J678" s="174"/>
      <c r="K678" s="174"/>
      <c r="L678" s="174"/>
      <c r="M678" s="191">
        <v>643</v>
      </c>
      <c r="N678" s="176">
        <v>10.685</v>
      </c>
      <c r="O678" s="176"/>
      <c r="P678" s="177"/>
      <c r="Q678" s="178"/>
      <c r="R678" s="179"/>
      <c r="S678" s="179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80" t="s">
        <v>1898</v>
      </c>
      <c r="AE678" s="173" t="s">
        <v>69</v>
      </c>
      <c r="AF678" s="181" t="s">
        <v>142</v>
      </c>
      <c r="AG678" s="192" t="s">
        <v>1887</v>
      </c>
      <c r="AH678" s="198"/>
      <c r="AI678" s="181">
        <v>44880</v>
      </c>
      <c r="AJ678" s="181"/>
      <c r="AK678" s="181">
        <f ca="1">TODAY()</f>
        <v>44958</v>
      </c>
      <c r="AL678" s="173">
        <f ca="1">IF(AI678&lt;&gt;0,AK678-AI678,0)</f>
        <v>78</v>
      </c>
      <c r="AM678" s="173" t="str">
        <f>IF(ISNUMBER(X678)=TRUE,AK678-X678,IF(X678="","",(AK678)-(MID(RIGHT(X678,10),4,2)&amp;"/"&amp;LEFT((RIGHT(X678,10)),2)&amp;"/"&amp;RIGHT(X678,4))))</f>
        <v/>
      </c>
      <c r="AN678" s="181"/>
      <c r="AO678" s="190" t="s">
        <v>2330</v>
      </c>
      <c r="AP678" s="176">
        <v>10.685</v>
      </c>
      <c r="AQ678" s="176">
        <v>10.695</v>
      </c>
      <c r="AR678" s="176">
        <v>10.719999999999999</v>
      </c>
      <c r="AS678" s="176">
        <v>10.725</v>
      </c>
      <c r="AT678" s="173" t="str">
        <f>IF(ISNUMBER(U678)=TRUE,AK678-U678,IF(U678="","",(AK678)-(MID(RIGHT(U678,10),4,2)&amp;"/"&amp;LEFT((RIGHT(U678,10)),2)&amp;"/"&amp;RIGHT(U678,4))))</f>
        <v/>
      </c>
      <c r="AU678" s="173">
        <v>459</v>
      </c>
      <c r="AW678" s="142" t="s">
        <v>123</v>
      </c>
    </row>
    <row r="679" spans="2:49" s="142" customFormat="1" ht="21" customHeight="1" x14ac:dyDescent="0.25">
      <c r="B679" s="173" t="str">
        <f>IF(C679="HOLD RM","HOLD RM",IF(C679="BAL","WIP",IF(C679="HOLD SLT","HOLD SLT",IF(C679="MILL","RM",IF(C679="RE SLT","WIP",IF(C679="RM","RM",IF(C679="RM BAL","RM",IF(C679="RM SLT","RM",IF(C679="RR","WIP",IF(C679="SKP","WIP",IF(C679="SLT","WIP",IF(C679="CTL","WIP",IF(C679="RM SLT RUST","RM SLT RUST",0)))))))))))))&amp;"-"&amp;G679&amp;"/"&amp;IF(H679="2B","2B",IF(H679="NO.1","1D",IF(H679="FH","FH",0)))&amp;"-"&amp;IF(J679="",(TEXT(I679,"0.00")),TEXT(J679,"0.00"))&amp;"X"&amp;M679</f>
        <v>RM-304/1D-2.99X644</v>
      </c>
      <c r="C679" s="173" t="s">
        <v>48</v>
      </c>
      <c r="D679" s="173" t="s">
        <v>48</v>
      </c>
      <c r="E679" s="190" t="s">
        <v>2331</v>
      </c>
      <c r="F679" s="190" t="s">
        <v>2332</v>
      </c>
      <c r="G679" s="173">
        <v>304</v>
      </c>
      <c r="H679" s="173" t="s">
        <v>127</v>
      </c>
      <c r="I679" s="174">
        <v>2.99</v>
      </c>
      <c r="J679" s="174"/>
      <c r="K679" s="174"/>
      <c r="L679" s="174"/>
      <c r="M679" s="191">
        <v>644</v>
      </c>
      <c r="N679" s="176">
        <v>10.625</v>
      </c>
      <c r="O679" s="176"/>
      <c r="P679" s="177"/>
      <c r="Q679" s="178"/>
      <c r="R679" s="179"/>
      <c r="S679" s="179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80" t="s">
        <v>1898</v>
      </c>
      <c r="AE679" s="173" t="s">
        <v>69</v>
      </c>
      <c r="AF679" s="181" t="s">
        <v>142</v>
      </c>
      <c r="AG679" s="192" t="s">
        <v>1887</v>
      </c>
      <c r="AH679" s="198"/>
      <c r="AI679" s="181">
        <v>44880</v>
      </c>
      <c r="AJ679" s="181"/>
      <c r="AK679" s="181">
        <f ca="1">TODAY()</f>
        <v>44958</v>
      </c>
      <c r="AL679" s="173">
        <f ca="1">IF(AI679&lt;&gt;0,AK679-AI679,0)</f>
        <v>78</v>
      </c>
      <c r="AM679" s="173" t="str">
        <f>IF(ISNUMBER(X679)=TRUE,AK679-X679,IF(X679="","",(AK679)-(MID(RIGHT(X679,10),4,2)&amp;"/"&amp;LEFT((RIGHT(X679,10)),2)&amp;"/"&amp;RIGHT(X679,4))))</f>
        <v/>
      </c>
      <c r="AN679" s="181"/>
      <c r="AO679" s="190" t="s">
        <v>2330</v>
      </c>
      <c r="AP679" s="176">
        <v>10.625</v>
      </c>
      <c r="AQ679" s="176">
        <v>10.635</v>
      </c>
      <c r="AR679" s="176">
        <v>10.659999999999998</v>
      </c>
      <c r="AS679" s="176">
        <v>10.664999999999999</v>
      </c>
      <c r="AT679" s="173" t="str">
        <f>IF(ISNUMBER(U679)=TRUE,AK679-U679,IF(U679="","",(AK679)-(MID(RIGHT(U679,10),4,2)&amp;"/"&amp;LEFT((RIGHT(U679,10)),2)&amp;"/"&amp;RIGHT(U679,4))))</f>
        <v/>
      </c>
      <c r="AU679" s="173">
        <v>459</v>
      </c>
      <c r="AW679" s="142" t="s">
        <v>123</v>
      </c>
    </row>
    <row r="680" spans="2:49" s="142" customFormat="1" ht="21" customHeight="1" x14ac:dyDescent="0.25">
      <c r="B680" s="173" t="str">
        <f>IF(C680="HOLD RM","HOLD RM",IF(C680="BAL","WIP",IF(C680="HOLD SLT","HOLD SLT",IF(C680="MILL","RM",IF(C680="RE SLT","WIP",IF(C680="RM","RM",IF(C680="RM BAL","RM",IF(C680="RM SLT","RM",IF(C680="RR","WIP",IF(C680="SKP","WIP",IF(C680="SLT","WIP",IF(C680="CTL","WIP",IF(C680="RM SLT RUST","RM SLT RUST",0)))))))))))))&amp;"-"&amp;G680&amp;"/"&amp;IF(H680="2B","2B",IF(H680="NO.1","1D",IF(H680="FH","FH",0)))&amp;"-"&amp;IF(J680="",(TEXT(I680,"0.00")),TEXT(J680,"0.00"))&amp;"X"&amp;M680</f>
        <v>RM-304/1D-2.50X643</v>
      </c>
      <c r="C680" s="173" t="s">
        <v>48</v>
      </c>
      <c r="D680" s="173" t="s">
        <v>48</v>
      </c>
      <c r="E680" s="190" t="s">
        <v>2333</v>
      </c>
      <c r="F680" s="190" t="s">
        <v>2334</v>
      </c>
      <c r="G680" s="173">
        <v>304</v>
      </c>
      <c r="H680" s="173" t="s">
        <v>127</v>
      </c>
      <c r="I680" s="174">
        <v>2.5</v>
      </c>
      <c r="J680" s="174"/>
      <c r="K680" s="174"/>
      <c r="L680" s="174"/>
      <c r="M680" s="191">
        <v>643</v>
      </c>
      <c r="N680" s="176">
        <v>10.65</v>
      </c>
      <c r="O680" s="176"/>
      <c r="P680" s="177"/>
      <c r="Q680" s="178"/>
      <c r="R680" s="179"/>
      <c r="S680" s="179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80" t="s">
        <v>1881</v>
      </c>
      <c r="AE680" s="173" t="s">
        <v>69</v>
      </c>
      <c r="AF680" s="181" t="s">
        <v>142</v>
      </c>
      <c r="AG680" s="192" t="s">
        <v>1887</v>
      </c>
      <c r="AH680" s="198"/>
      <c r="AI680" s="181">
        <v>44880</v>
      </c>
      <c r="AJ680" s="181"/>
      <c r="AK680" s="181">
        <f ca="1">TODAY()</f>
        <v>44958</v>
      </c>
      <c r="AL680" s="173">
        <f ca="1">IF(AI680&lt;&gt;0,AK680-AI680,0)</f>
        <v>78</v>
      </c>
      <c r="AM680" s="173" t="str">
        <f>IF(ISNUMBER(X680)=TRUE,AK680-X680,IF(X680="","",(AK680)-(MID(RIGHT(X680,10),4,2)&amp;"/"&amp;LEFT((RIGHT(X680,10)),2)&amp;"/"&amp;RIGHT(X680,4))))</f>
        <v/>
      </c>
      <c r="AN680" s="181"/>
      <c r="AO680" s="190" t="s">
        <v>2335</v>
      </c>
      <c r="AP680" s="176">
        <v>10.65</v>
      </c>
      <c r="AQ680" s="176">
        <v>10.66</v>
      </c>
      <c r="AR680" s="176">
        <v>10.684999999999999</v>
      </c>
      <c r="AS680" s="176">
        <v>10.69</v>
      </c>
      <c r="AT680" s="173" t="str">
        <f>IF(ISNUMBER(U680)=TRUE,AK680-U680,IF(U680="","",(AK680)-(MID(RIGHT(U680,10),4,2)&amp;"/"&amp;LEFT((RIGHT(U680,10)),2)&amp;"/"&amp;RIGHT(U680,4))))</f>
        <v/>
      </c>
      <c r="AU680" s="173">
        <v>459</v>
      </c>
      <c r="AW680" s="142" t="s">
        <v>123</v>
      </c>
    </row>
    <row r="681" spans="2:49" s="142" customFormat="1" ht="21" customHeight="1" x14ac:dyDescent="0.25">
      <c r="B681" s="173" t="str">
        <f>IF(C681="HOLD RM","HOLD RM",IF(C681="BAL","WIP",IF(C681="HOLD SLT","HOLD SLT",IF(C681="MILL","RM",IF(C681="RE SLT","WIP",IF(C681="RM","RM",IF(C681="RM BAL","RM",IF(C681="RM SLT","RM",IF(C681="RR","WIP",IF(C681="SKP","WIP",IF(C681="SLT","WIP",IF(C681="CTL","WIP",IF(C681="RM SLT RUST","RM SLT RUST",0)))))))))))))&amp;"-"&amp;G681&amp;"/"&amp;IF(H681="2B","2B",IF(H681="NO.1","1D",IF(H681="FH","FH",0)))&amp;"-"&amp;IF(J681="",(TEXT(I681,"0.00")),TEXT(J681,"0.00"))&amp;"X"&amp;M681</f>
        <v>RM-304/1D-2.51X644</v>
      </c>
      <c r="C681" s="173" t="s">
        <v>48</v>
      </c>
      <c r="D681" s="173" t="s">
        <v>48</v>
      </c>
      <c r="E681" s="190" t="s">
        <v>2336</v>
      </c>
      <c r="F681" s="190" t="s">
        <v>2337</v>
      </c>
      <c r="G681" s="173">
        <v>304</v>
      </c>
      <c r="H681" s="173" t="s">
        <v>127</v>
      </c>
      <c r="I681" s="174">
        <v>2.5099999999999998</v>
      </c>
      <c r="J681" s="174"/>
      <c r="K681" s="174"/>
      <c r="L681" s="174"/>
      <c r="M681" s="191">
        <v>644</v>
      </c>
      <c r="N681" s="176">
        <v>10.645</v>
      </c>
      <c r="O681" s="176"/>
      <c r="P681" s="177"/>
      <c r="Q681" s="178"/>
      <c r="R681" s="179"/>
      <c r="S681" s="179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80" t="s">
        <v>1881</v>
      </c>
      <c r="AE681" s="173" t="s">
        <v>69</v>
      </c>
      <c r="AF681" s="181" t="s">
        <v>142</v>
      </c>
      <c r="AG681" s="192" t="s">
        <v>1887</v>
      </c>
      <c r="AH681" s="198"/>
      <c r="AI681" s="181">
        <v>44880</v>
      </c>
      <c r="AJ681" s="181"/>
      <c r="AK681" s="181">
        <f ca="1">TODAY()</f>
        <v>44958</v>
      </c>
      <c r="AL681" s="173">
        <f ca="1">IF(AI681&lt;&gt;0,AK681-AI681,0)</f>
        <v>78</v>
      </c>
      <c r="AM681" s="173" t="str">
        <f>IF(ISNUMBER(X681)=TRUE,AK681-X681,IF(X681="","",(AK681)-(MID(RIGHT(X681,10),4,2)&amp;"/"&amp;LEFT((RIGHT(X681,10)),2)&amp;"/"&amp;RIGHT(X681,4))))</f>
        <v/>
      </c>
      <c r="AN681" s="181"/>
      <c r="AO681" s="190" t="s">
        <v>2335</v>
      </c>
      <c r="AP681" s="176">
        <v>10.645</v>
      </c>
      <c r="AQ681" s="176">
        <v>10.654999999999999</v>
      </c>
      <c r="AR681" s="176">
        <v>10.679999999999998</v>
      </c>
      <c r="AS681" s="176">
        <v>10.684999999999999</v>
      </c>
      <c r="AT681" s="173" t="str">
        <f>IF(ISNUMBER(U681)=TRUE,AK681-U681,IF(U681="","",(AK681)-(MID(RIGHT(U681,10),4,2)&amp;"/"&amp;LEFT((RIGHT(U681,10)),2)&amp;"/"&amp;RIGHT(U681,4))))</f>
        <v/>
      </c>
      <c r="AU681" s="173">
        <v>459</v>
      </c>
      <c r="AW681" s="142" t="s">
        <v>123</v>
      </c>
    </row>
    <row r="682" spans="2:49" s="142" customFormat="1" ht="21" customHeight="1" x14ac:dyDescent="0.25">
      <c r="B682" s="173" t="str">
        <f>IF(C682="HOLD RM","HOLD RM",IF(C682="BAL","WIP",IF(C682="HOLD SLT","HOLD SLT",IF(C682="MILL","RM",IF(C682="RE SLT","WIP",IF(C682="RM","RM",IF(C682="RM BAL","RM",IF(C682="RM SLT","RM",IF(C682="RR","WIP",IF(C682="SKP","WIP",IF(C682="SLT","WIP",IF(C682="CTL","WIP",IF(C682="RM SLT RUST","RM SLT RUST",0)))))))))))))&amp;"-"&amp;G682&amp;"/"&amp;IF(H682="2B","2B",IF(H682="NO.1","1D",IF(H682="FH","FH",0)))&amp;"-"&amp;IF(J682="",(TEXT(I682,"0.00")),TEXT(J682,"0.00"))&amp;"X"&amp;M682</f>
        <v>RM-304L/1D-2.96X642</v>
      </c>
      <c r="C682" s="173" t="s">
        <v>48</v>
      </c>
      <c r="D682" s="173" t="s">
        <v>48</v>
      </c>
      <c r="E682" s="190" t="s">
        <v>2338</v>
      </c>
      <c r="F682" s="190" t="s">
        <v>2339</v>
      </c>
      <c r="G682" s="173" t="s">
        <v>182</v>
      </c>
      <c r="H682" s="173" t="s">
        <v>127</v>
      </c>
      <c r="I682" s="174">
        <v>2.96</v>
      </c>
      <c r="J682" s="174"/>
      <c r="K682" s="174"/>
      <c r="L682" s="174"/>
      <c r="M682" s="191">
        <v>642</v>
      </c>
      <c r="N682" s="176">
        <v>8.2949999999999999</v>
      </c>
      <c r="O682" s="176"/>
      <c r="P682" s="177"/>
      <c r="Q682" s="178"/>
      <c r="R682" s="179"/>
      <c r="S682" s="179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80" t="s">
        <v>1881</v>
      </c>
      <c r="AE682" s="173" t="s">
        <v>69</v>
      </c>
      <c r="AF682" s="181" t="s">
        <v>142</v>
      </c>
      <c r="AG682" s="192" t="s">
        <v>1887</v>
      </c>
      <c r="AH682" s="198"/>
      <c r="AI682" s="181">
        <v>44880</v>
      </c>
      <c r="AJ682" s="181"/>
      <c r="AK682" s="181">
        <f ca="1">TODAY()</f>
        <v>44958</v>
      </c>
      <c r="AL682" s="173">
        <f ca="1">IF(AI682&lt;&gt;0,AK682-AI682,0)</f>
        <v>78</v>
      </c>
      <c r="AM682" s="173" t="str">
        <f>IF(ISNUMBER(X682)=TRUE,AK682-X682,IF(X682="","",(AK682)-(MID(RIGHT(X682,10),4,2)&amp;"/"&amp;LEFT((RIGHT(X682,10)),2)&amp;"/"&amp;RIGHT(X682,4))))</f>
        <v/>
      </c>
      <c r="AN682" s="181"/>
      <c r="AO682" s="190" t="s">
        <v>2340</v>
      </c>
      <c r="AP682" s="176">
        <v>8.2949999999999999</v>
      </c>
      <c r="AQ682" s="176">
        <v>8.3049999999999997</v>
      </c>
      <c r="AR682" s="176">
        <v>8.3299999999999983</v>
      </c>
      <c r="AS682" s="176">
        <v>8.3349999999999991</v>
      </c>
      <c r="AT682" s="173" t="str">
        <f>IF(ISNUMBER(U682)=TRUE,AK682-U682,IF(U682="","",(AK682)-(MID(RIGHT(U682,10),4,2)&amp;"/"&amp;LEFT((RIGHT(U682,10)),2)&amp;"/"&amp;RIGHT(U682,4))))</f>
        <v/>
      </c>
      <c r="AU682" s="173">
        <v>459</v>
      </c>
      <c r="AW682" s="142" t="s">
        <v>123</v>
      </c>
    </row>
    <row r="683" spans="2:49" s="142" customFormat="1" ht="21" customHeight="1" x14ac:dyDescent="0.25">
      <c r="B683" s="173" t="str">
        <f>IF(C683="HOLD RM","HOLD RM",IF(C683="BAL","WIP",IF(C683="HOLD SLT","HOLD SLT",IF(C683="MILL","RM",IF(C683="RE SLT","WIP",IF(C683="RM","RM",IF(C683="RM BAL","RM",IF(C683="RM SLT","RM",IF(C683="RR","WIP",IF(C683="SKP","WIP",IF(C683="SLT","WIP",IF(C683="CTL","WIP",IF(C683="RM SLT RUST","RM SLT RUST",0)))))))))))))&amp;"-"&amp;G683&amp;"/"&amp;IF(H683="2B","2B",IF(H683="NO.1","1D",IF(H683="FH","FH",0)))&amp;"-"&amp;IF(J683="",(TEXT(I683,"0.00")),TEXT(J683,"0.00"))&amp;"X"&amp;M683</f>
        <v>RM-304L/1D-2.96X644</v>
      </c>
      <c r="C683" s="173" t="s">
        <v>48</v>
      </c>
      <c r="D683" s="173" t="s">
        <v>48</v>
      </c>
      <c r="E683" s="190" t="s">
        <v>2341</v>
      </c>
      <c r="F683" s="190" t="s">
        <v>2342</v>
      </c>
      <c r="G683" s="173" t="s">
        <v>182</v>
      </c>
      <c r="H683" s="173" t="s">
        <v>127</v>
      </c>
      <c r="I683" s="174">
        <v>2.96</v>
      </c>
      <c r="J683" s="174"/>
      <c r="K683" s="174"/>
      <c r="L683" s="174"/>
      <c r="M683" s="191">
        <v>644</v>
      </c>
      <c r="N683" s="176">
        <v>8.34</v>
      </c>
      <c r="O683" s="176"/>
      <c r="P683" s="177"/>
      <c r="Q683" s="178"/>
      <c r="R683" s="179"/>
      <c r="S683" s="179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80" t="s">
        <v>1881</v>
      </c>
      <c r="AE683" s="173" t="s">
        <v>69</v>
      </c>
      <c r="AF683" s="181" t="s">
        <v>142</v>
      </c>
      <c r="AG683" s="192" t="s">
        <v>1887</v>
      </c>
      <c r="AH683" s="198"/>
      <c r="AI683" s="181">
        <v>44880</v>
      </c>
      <c r="AJ683" s="181"/>
      <c r="AK683" s="181">
        <f ca="1">TODAY()</f>
        <v>44958</v>
      </c>
      <c r="AL683" s="173">
        <f ca="1">IF(AI683&lt;&gt;0,AK683-AI683,0)</f>
        <v>78</v>
      </c>
      <c r="AM683" s="173" t="str">
        <f>IF(ISNUMBER(X683)=TRUE,AK683-X683,IF(X683="","",(AK683)-(MID(RIGHT(X683,10),4,2)&amp;"/"&amp;LEFT((RIGHT(X683,10)),2)&amp;"/"&amp;RIGHT(X683,4))))</f>
        <v/>
      </c>
      <c r="AN683" s="181"/>
      <c r="AO683" s="190" t="s">
        <v>2340</v>
      </c>
      <c r="AP683" s="176">
        <v>8.34</v>
      </c>
      <c r="AQ683" s="176">
        <v>8.35</v>
      </c>
      <c r="AR683" s="176">
        <v>8.3749999999999982</v>
      </c>
      <c r="AS683" s="176">
        <v>8.379999999999999</v>
      </c>
      <c r="AT683" s="173" t="str">
        <f>IF(ISNUMBER(U683)=TRUE,AK683-U683,IF(U683="","",(AK683)-(MID(RIGHT(U683,10),4,2)&amp;"/"&amp;LEFT((RIGHT(U683,10)),2)&amp;"/"&amp;RIGHT(U683,4))))</f>
        <v/>
      </c>
      <c r="AU683" s="173">
        <v>459</v>
      </c>
      <c r="AW683" s="142" t="s">
        <v>123</v>
      </c>
    </row>
    <row r="684" spans="2:49" s="142" customFormat="1" ht="21" customHeight="1" x14ac:dyDescent="0.25">
      <c r="B684" s="173" t="str">
        <f>IF(C684="HOLD RM","HOLD RM",IF(C684="BAL","WIP",IF(C684="HOLD SLT","HOLD SLT",IF(C684="MILL","RM",IF(C684="RE SLT","WIP",IF(C684="RM","RM",IF(C684="RM BAL","RM",IF(C684="RM SLT","RM",IF(C684="RR","WIP",IF(C684="SKP","WIP",IF(C684="SLT","WIP",IF(C684="CTL","WIP",IF(C684="RM SLT RUST","RM SLT RUST",0)))))))))))))&amp;"-"&amp;G684&amp;"/"&amp;IF(H684="2B","2B",IF(H684="NO.1","1D",IF(H684="FH","FH",0)))&amp;"-"&amp;IF(J684="",(TEXT(I684,"0.00")),TEXT(J684,"0.00"))&amp;"X"&amp;M684</f>
        <v>WIP-304/FH-2.00X770</v>
      </c>
      <c r="C684" s="173" t="s">
        <v>16</v>
      </c>
      <c r="D684" s="173" t="s">
        <v>16</v>
      </c>
      <c r="E684" s="190" t="s">
        <v>2343</v>
      </c>
      <c r="F684" s="190" t="s">
        <v>2344</v>
      </c>
      <c r="G684" s="173">
        <v>304</v>
      </c>
      <c r="H684" s="173" t="s">
        <v>70</v>
      </c>
      <c r="I684" s="174">
        <v>3.89</v>
      </c>
      <c r="J684" s="174">
        <v>2</v>
      </c>
      <c r="K684" s="174"/>
      <c r="L684" s="174"/>
      <c r="M684" s="191">
        <v>770</v>
      </c>
      <c r="N684" s="176">
        <v>10.535</v>
      </c>
      <c r="O684" s="176" t="s">
        <v>114</v>
      </c>
      <c r="P684" s="177"/>
      <c r="Q684" s="178" t="s">
        <v>1344</v>
      </c>
      <c r="R684" s="179"/>
      <c r="S684" s="179"/>
      <c r="T684" s="177">
        <v>44931</v>
      </c>
      <c r="U684" s="177"/>
      <c r="V684" s="177">
        <v>44931</v>
      </c>
      <c r="W684" s="177"/>
      <c r="X684" s="177"/>
      <c r="Y684" s="177"/>
      <c r="Z684" s="177"/>
      <c r="AA684" s="177"/>
      <c r="AB684" s="177"/>
      <c r="AC684" s="177"/>
      <c r="AD684" s="180" t="s">
        <v>1345</v>
      </c>
      <c r="AE684" s="173" t="s">
        <v>69</v>
      </c>
      <c r="AF684" s="181" t="s">
        <v>142</v>
      </c>
      <c r="AG684" s="192" t="s">
        <v>2283</v>
      </c>
      <c r="AH684" s="198"/>
      <c r="AI684" s="181">
        <v>44880</v>
      </c>
      <c r="AJ684" s="181"/>
      <c r="AK684" s="181">
        <f ca="1">TODAY()</f>
        <v>44958</v>
      </c>
      <c r="AL684" s="173">
        <f ca="1">IF(AI684&lt;&gt;0,AK684-AI684,0)</f>
        <v>78</v>
      </c>
      <c r="AM684" s="173" t="str">
        <f>IF(ISNUMBER(X684)=TRUE,AK684-X684,IF(X684="","",(AK684)-(MID(RIGHT(X684,10),4,2)&amp;"/"&amp;LEFT((RIGHT(X684,10)),2)&amp;"/"&amp;RIGHT(X684,4))))</f>
        <v/>
      </c>
      <c r="AN684" s="181"/>
      <c r="AO684" s="190" t="s">
        <v>2345</v>
      </c>
      <c r="AP684" s="176">
        <v>10.52</v>
      </c>
      <c r="AQ684" s="176">
        <v>10.53</v>
      </c>
      <c r="AR684" s="176">
        <v>10.554999999999998</v>
      </c>
      <c r="AS684" s="176">
        <v>10.559999999999999</v>
      </c>
      <c r="AT684" s="173" t="str">
        <f>IF(ISNUMBER(U684)=TRUE,AK684-U684,IF(U684="","",(AK684)-(MID(RIGHT(U684,10),4,2)&amp;"/"&amp;LEFT((RIGHT(U684,10)),2)&amp;"/"&amp;RIGHT(U684,4))))</f>
        <v/>
      </c>
      <c r="AU684" s="173">
        <v>459</v>
      </c>
      <c r="AW684" s="142" t="s">
        <v>123</v>
      </c>
    </row>
    <row r="685" spans="2:49" s="142" customFormat="1" ht="21" customHeight="1" x14ac:dyDescent="0.25">
      <c r="B685" s="173" t="str">
        <f>IF(C685="HOLD RM","HOLD RM",IF(C685="BAL","WIP",IF(C685="HOLD SLT","HOLD SLT",IF(C685="MILL","RM",IF(C685="RE SLT","WIP",IF(C685="RM","RM",IF(C685="RM BAL","RM",IF(C685="RM SLT","RM",IF(C685="RR","WIP",IF(C685="SKP","WIP",IF(C685="SLT","WIP",IF(C685="CTL","WIP",IF(C685="RM SLT RUST","RM SLT RUST",0)))))))))))))&amp;"-"&amp;G685&amp;"/"&amp;IF(H685="2B","2B",IF(H685="NO.1","1D",IF(H685="FH","FH",0)))&amp;"-"&amp;IF(J685="",(TEXT(I685,"0.00")),TEXT(J685,"0.00"))&amp;"X"&amp;M685</f>
        <v>WIP-304/2B-1.50X765</v>
      </c>
      <c r="C685" s="173" t="s">
        <v>775</v>
      </c>
      <c r="D685" s="173" t="s">
        <v>776</v>
      </c>
      <c r="E685" s="190" t="s">
        <v>2346</v>
      </c>
      <c r="F685" s="190" t="s">
        <v>2347</v>
      </c>
      <c r="G685" s="173">
        <v>304</v>
      </c>
      <c r="H685" s="173" t="s">
        <v>114</v>
      </c>
      <c r="I685" s="174">
        <v>3.89</v>
      </c>
      <c r="J685" s="174">
        <v>1.5</v>
      </c>
      <c r="K685" s="174"/>
      <c r="L685" s="174"/>
      <c r="M685" s="191">
        <v>765</v>
      </c>
      <c r="N685" s="176">
        <v>10.46</v>
      </c>
      <c r="O685" s="176" t="s">
        <v>114</v>
      </c>
      <c r="P685" s="177"/>
      <c r="Q685" s="178" t="s">
        <v>314</v>
      </c>
      <c r="R685" s="178" t="s">
        <v>1540</v>
      </c>
      <c r="S685" s="179"/>
      <c r="T685" s="177">
        <v>44931</v>
      </c>
      <c r="U685" s="177"/>
      <c r="V685" s="177">
        <v>44931</v>
      </c>
      <c r="W685" s="177"/>
      <c r="X685" s="177"/>
      <c r="Y685" s="177">
        <v>44946</v>
      </c>
      <c r="Z685" s="177">
        <v>44951</v>
      </c>
      <c r="AA685" s="177"/>
      <c r="AB685" s="177"/>
      <c r="AC685" s="177"/>
      <c r="AD685" s="180" t="s">
        <v>1345</v>
      </c>
      <c r="AE685" s="173" t="s">
        <v>69</v>
      </c>
      <c r="AF685" s="181" t="s">
        <v>142</v>
      </c>
      <c r="AG685" s="192" t="s">
        <v>2283</v>
      </c>
      <c r="AH685" s="198"/>
      <c r="AI685" s="181">
        <v>44880</v>
      </c>
      <c r="AJ685" s="181"/>
      <c r="AK685" s="181">
        <f ca="1">TODAY()</f>
        <v>44958</v>
      </c>
      <c r="AL685" s="173">
        <f ca="1">IF(AI685&lt;&gt;0,AK685-AI685,0)</f>
        <v>78</v>
      </c>
      <c r="AM685" s="173" t="str">
        <f>IF(ISNUMBER(X685)=TRUE,AK685-X685,IF(X685="","",(AK685)-(MID(RIGHT(X685,10),4,2)&amp;"/"&amp;LEFT((RIGHT(X685,10)),2)&amp;"/"&amp;RIGHT(X685,4))))</f>
        <v/>
      </c>
      <c r="AN685" s="181"/>
      <c r="AO685" s="190" t="s">
        <v>2348</v>
      </c>
      <c r="AP685" s="176">
        <v>10.455</v>
      </c>
      <c r="AQ685" s="176">
        <v>10.465</v>
      </c>
      <c r="AR685" s="176">
        <v>10.489999999999998</v>
      </c>
      <c r="AS685" s="176">
        <v>10.494999999999999</v>
      </c>
      <c r="AT685" s="173" t="str">
        <f>IF(ISNUMBER(U685)=TRUE,AK685-U685,IF(U685="","",(AK685)-(MID(RIGHT(U685,10),4,2)&amp;"/"&amp;LEFT((RIGHT(U685,10)),2)&amp;"/"&amp;RIGHT(U685,4))))</f>
        <v/>
      </c>
      <c r="AU685" s="173">
        <v>459</v>
      </c>
      <c r="AW685" s="142" t="s">
        <v>123</v>
      </c>
    </row>
    <row r="686" spans="2:49" s="142" customFormat="1" ht="21" customHeight="1" x14ac:dyDescent="0.25">
      <c r="B686" s="173" t="str">
        <f>IF(C686="HOLD RM","HOLD RM",IF(C686="BAL","WIP",IF(C686="HOLD SLT","HOLD SLT",IF(C686="MILL","RM",IF(C686="RE SLT","WIP",IF(C686="RM","RM",IF(C686="RM BAL","RM",IF(C686="RM SLT","RM",IF(C686="RR","WIP",IF(C686="SKP","WIP",IF(C686="SLT","WIP",IF(C686="CTL","WIP",IF(C686="RM SLT RUST","RM SLT RUST",0)))))))))))))&amp;"-"&amp;G686&amp;"/"&amp;IF(H686="2B","2B",IF(H686="NO.1","1D",IF(H686="FH","FH",0)))&amp;"-"&amp;IF(J686="",(TEXT(I686,"0.00")),TEXT(J686,"0.00"))&amp;"X"&amp;M686</f>
        <v>WIP-304/FH-1.20X765</v>
      </c>
      <c r="C686" s="173" t="s">
        <v>16</v>
      </c>
      <c r="D686" s="173" t="s">
        <v>16</v>
      </c>
      <c r="E686" s="190" t="s">
        <v>2349</v>
      </c>
      <c r="F686" s="190" t="s">
        <v>2350</v>
      </c>
      <c r="G686" s="173">
        <v>304</v>
      </c>
      <c r="H686" s="173" t="s">
        <v>70</v>
      </c>
      <c r="I686" s="174">
        <v>3.77</v>
      </c>
      <c r="J686" s="174">
        <v>1.2</v>
      </c>
      <c r="K686" s="174"/>
      <c r="L686" s="174"/>
      <c r="M686" s="191">
        <v>765</v>
      </c>
      <c r="N686" s="176">
        <v>10.42</v>
      </c>
      <c r="O686" s="176" t="s">
        <v>114</v>
      </c>
      <c r="P686" s="177"/>
      <c r="Q686" s="178" t="s">
        <v>986</v>
      </c>
      <c r="R686" s="179"/>
      <c r="S686" s="179"/>
      <c r="T686" s="177">
        <v>44937</v>
      </c>
      <c r="U686" s="177"/>
      <c r="V686" s="177">
        <v>44937</v>
      </c>
      <c r="W686" s="177"/>
      <c r="X686" s="177"/>
      <c r="Y686" s="177"/>
      <c r="Z686" s="177"/>
      <c r="AA686" s="177"/>
      <c r="AB686" s="177"/>
      <c r="AC686" s="177"/>
      <c r="AD686" s="180" t="s">
        <v>1345</v>
      </c>
      <c r="AE686" s="173" t="s">
        <v>69</v>
      </c>
      <c r="AF686" s="181" t="s">
        <v>142</v>
      </c>
      <c r="AG686" s="192" t="s">
        <v>2283</v>
      </c>
      <c r="AH686" s="198"/>
      <c r="AI686" s="181">
        <v>44880</v>
      </c>
      <c r="AJ686" s="181"/>
      <c r="AK686" s="181">
        <f ca="1">TODAY()</f>
        <v>44958</v>
      </c>
      <c r="AL686" s="173">
        <f ca="1">IF(AI686&lt;&gt;0,AK686-AI686,0)</f>
        <v>78</v>
      </c>
      <c r="AM686" s="173" t="str">
        <f>IF(ISNUMBER(X686)=TRUE,AK686-X686,IF(X686="","",(AK686)-(MID(RIGHT(X686,10),4,2)&amp;"/"&amp;LEFT((RIGHT(X686,10)),2)&amp;"/"&amp;RIGHT(X686,4))))</f>
        <v/>
      </c>
      <c r="AN686" s="181"/>
      <c r="AO686" s="190" t="s">
        <v>2351</v>
      </c>
      <c r="AP686" s="176">
        <v>10.425000000000001</v>
      </c>
      <c r="AQ686" s="176">
        <v>10.435</v>
      </c>
      <c r="AR686" s="176">
        <v>10.459999999999999</v>
      </c>
      <c r="AS686" s="176">
        <v>10.465</v>
      </c>
      <c r="AT686" s="173" t="str">
        <f>IF(ISNUMBER(U686)=TRUE,AK686-U686,IF(U686="","",(AK686)-(MID(RIGHT(U686,10),4,2)&amp;"/"&amp;LEFT((RIGHT(U686,10)),2)&amp;"/"&amp;RIGHT(U686,4))))</f>
        <v/>
      </c>
      <c r="AU686" s="173">
        <v>459</v>
      </c>
      <c r="AW686" s="142" t="s">
        <v>123</v>
      </c>
    </row>
    <row r="687" spans="2:49" s="142" customFormat="1" ht="21" customHeight="1" x14ac:dyDescent="0.25">
      <c r="B687" s="173" t="str">
        <f>IF(C687="HOLD RM","HOLD RM",IF(C687="BAL","WIP",IF(C687="HOLD SLT","HOLD SLT",IF(C687="MILL","RM",IF(C687="RE SLT","WIP",IF(C687="RM","RM",IF(C687="RM BAL","RM",IF(C687="RM SLT","RM",IF(C687="RR","WIP",IF(C687="SKP","WIP",IF(C687="SLT","WIP",IF(C687="CTL","WIP",IF(C687="RM SLT RUST","RM SLT RUST",0)))))))))))))&amp;"-"&amp;G687&amp;"/"&amp;IF(H687="2B","2B",IF(H687="NO.1","1D",IF(H687="FH","FH",0)))&amp;"-"&amp;IF(J687="",(TEXT(I687,"0.00")),TEXT(J687,"0.00"))&amp;"X"&amp;M687</f>
        <v>WIP-304L/2B-0.98X765</v>
      </c>
      <c r="C687" s="173" t="s">
        <v>775</v>
      </c>
      <c r="D687" s="173" t="s">
        <v>1237</v>
      </c>
      <c r="E687" s="190" t="s">
        <v>2352</v>
      </c>
      <c r="F687" s="190" t="s">
        <v>2353</v>
      </c>
      <c r="G687" s="173" t="s">
        <v>182</v>
      </c>
      <c r="H687" s="173" t="s">
        <v>114</v>
      </c>
      <c r="I687" s="174">
        <v>2</v>
      </c>
      <c r="J687" s="174">
        <v>0.98</v>
      </c>
      <c r="K687" s="174"/>
      <c r="L687" s="174"/>
      <c r="M687" s="191">
        <v>765</v>
      </c>
      <c r="N687" s="176">
        <v>10.57</v>
      </c>
      <c r="O687" s="176" t="s">
        <v>114</v>
      </c>
      <c r="P687" s="177"/>
      <c r="Q687" s="178" t="s">
        <v>1386</v>
      </c>
      <c r="R687" s="179"/>
      <c r="S687" s="179"/>
      <c r="T687" s="177" t="s">
        <v>2354</v>
      </c>
      <c r="U687" s="177"/>
      <c r="V687" s="177">
        <v>44940</v>
      </c>
      <c r="W687" s="177">
        <v>44955</v>
      </c>
      <c r="X687" s="177">
        <v>44950</v>
      </c>
      <c r="Y687" s="177">
        <v>44955</v>
      </c>
      <c r="Z687" s="177"/>
      <c r="AA687" s="177"/>
      <c r="AB687" s="177"/>
      <c r="AC687" s="177"/>
      <c r="AD687" s="180" t="s">
        <v>1345</v>
      </c>
      <c r="AE687" s="173" t="s">
        <v>69</v>
      </c>
      <c r="AF687" s="181" t="s">
        <v>142</v>
      </c>
      <c r="AG687" s="192" t="s">
        <v>1653</v>
      </c>
      <c r="AH687" s="198"/>
      <c r="AI687" s="181">
        <v>44880</v>
      </c>
      <c r="AJ687" s="181"/>
      <c r="AK687" s="181">
        <f ca="1">TODAY()</f>
        <v>44958</v>
      </c>
      <c r="AL687" s="173">
        <f ca="1">IF(AI687&lt;&gt;0,AK687-AI687,0)</f>
        <v>78</v>
      </c>
      <c r="AM687" s="173">
        <f ca="1">IF(ISNUMBER(X687)=TRUE,AK687-X687,IF(X687="","",(AK687)-(MID(RIGHT(X687,10),4,2)&amp;"/"&amp;LEFT((RIGHT(X687,10)),2)&amp;"/"&amp;RIGHT(X687,4))))</f>
        <v>8</v>
      </c>
      <c r="AN687" s="181"/>
      <c r="AO687" s="190" t="s">
        <v>2355</v>
      </c>
      <c r="AP687" s="176">
        <v>10.61</v>
      </c>
      <c r="AQ687" s="176">
        <v>10.62</v>
      </c>
      <c r="AR687" s="176">
        <v>10.644999999999998</v>
      </c>
      <c r="AS687" s="176">
        <v>10.649999999999999</v>
      </c>
      <c r="AT687" s="173" t="str">
        <f>IF(ISNUMBER(U687)=TRUE,AK687-U687,IF(U687="","",(AK687)-(MID(RIGHT(U687,10),4,2)&amp;"/"&amp;LEFT((RIGHT(U687,10)),2)&amp;"/"&amp;RIGHT(U687,4))))</f>
        <v/>
      </c>
      <c r="AU687" s="173">
        <v>459</v>
      </c>
      <c r="AW687" s="142" t="s">
        <v>123</v>
      </c>
    </row>
    <row r="688" spans="2:49" s="142" customFormat="1" ht="21" customHeight="1" x14ac:dyDescent="0.25">
      <c r="B688" s="173" t="str">
        <f>IF(C688="HOLD RM","HOLD RM",IF(C688="BAL","WIP",IF(C688="HOLD SLT","HOLD SLT",IF(C688="MILL","RM",IF(C688="RE SLT","WIP",IF(C688="RM","RM",IF(C688="RM BAL","RM",IF(C688="RM SLT","RM",IF(C688="RR","WIP",IF(C688="SKP","WIP",IF(C688="SLT","WIP",IF(C688="CTL","WIP",IF(C688="RM SLT RUST","RM SLT RUST",0)))))))))))))&amp;"-"&amp;G688&amp;"/"&amp;IF(H688="2B","2B",IF(H688="NO.1","1D",IF(H688="FH","FH",0)))&amp;"-"&amp;IF(J688="",(TEXT(I688,"0.00")),TEXT(J688,"0.00"))&amp;"X"&amp;M688</f>
        <v>RM-304L/1D-3.95X643</v>
      </c>
      <c r="C688" s="173" t="s">
        <v>48</v>
      </c>
      <c r="D688" s="173" t="s">
        <v>48</v>
      </c>
      <c r="E688" s="190" t="s">
        <v>2356</v>
      </c>
      <c r="F688" s="190" t="s">
        <v>2357</v>
      </c>
      <c r="G688" s="173" t="s">
        <v>182</v>
      </c>
      <c r="H688" s="173" t="s">
        <v>127</v>
      </c>
      <c r="I688" s="174">
        <v>3.95</v>
      </c>
      <c r="J688" s="174"/>
      <c r="K688" s="174"/>
      <c r="L688" s="174"/>
      <c r="M688" s="191">
        <v>643</v>
      </c>
      <c r="N688" s="176">
        <v>10.595000000000001</v>
      </c>
      <c r="O688" s="176"/>
      <c r="P688" s="177"/>
      <c r="Q688" s="178"/>
      <c r="R688" s="179"/>
      <c r="S688" s="179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80" t="s">
        <v>1881</v>
      </c>
      <c r="AE688" s="173" t="s">
        <v>69</v>
      </c>
      <c r="AF688" s="181" t="s">
        <v>142</v>
      </c>
      <c r="AG688" s="192" t="s">
        <v>1887</v>
      </c>
      <c r="AH688" s="198"/>
      <c r="AI688" s="181">
        <v>44880</v>
      </c>
      <c r="AJ688" s="181"/>
      <c r="AK688" s="181">
        <f ca="1">TODAY()</f>
        <v>44958</v>
      </c>
      <c r="AL688" s="173">
        <f ca="1">IF(AI688&lt;&gt;0,AK688-AI688,0)</f>
        <v>78</v>
      </c>
      <c r="AM688" s="173" t="str">
        <f>IF(ISNUMBER(X688)=TRUE,AK688-X688,IF(X688="","",(AK688)-(MID(RIGHT(X688,10),4,2)&amp;"/"&amp;LEFT((RIGHT(X688,10)),2)&amp;"/"&amp;RIGHT(X688,4))))</f>
        <v/>
      </c>
      <c r="AN688" s="181"/>
      <c r="AO688" s="190" t="s">
        <v>2358</v>
      </c>
      <c r="AP688" s="176">
        <v>10.595000000000001</v>
      </c>
      <c r="AQ688" s="176">
        <v>10.605</v>
      </c>
      <c r="AR688" s="176">
        <v>10.629999999999999</v>
      </c>
      <c r="AS688" s="176">
        <v>10.635</v>
      </c>
      <c r="AT688" s="173" t="str">
        <f>IF(ISNUMBER(U688)=TRUE,AK688-U688,IF(U688="","",(AK688)-(MID(RIGHT(U688,10),4,2)&amp;"/"&amp;LEFT((RIGHT(U688,10)),2)&amp;"/"&amp;RIGHT(U688,4))))</f>
        <v/>
      </c>
      <c r="AU688" s="173">
        <v>459</v>
      </c>
      <c r="AW688" s="142" t="s">
        <v>123</v>
      </c>
    </row>
    <row r="689" spans="2:49" s="142" customFormat="1" ht="21" customHeight="1" x14ac:dyDescent="0.25">
      <c r="B689" s="173" t="str">
        <f>IF(C689="HOLD RM","HOLD RM",IF(C689="BAL","WIP",IF(C689="HOLD SLT","HOLD SLT",IF(C689="MILL","RM",IF(C689="RE SLT","WIP",IF(C689="RM","RM",IF(C689="RM BAL","RM",IF(C689="RM SLT","RM",IF(C689="RR","WIP",IF(C689="SKP","WIP",IF(C689="SLT","WIP",IF(C689="CTL","WIP",IF(C689="RM SLT RUST","RM SLT RUST",0)))))))))))))&amp;"-"&amp;G689&amp;"/"&amp;IF(H689="2B","2B",IF(H689="NO.1","1D",IF(H689="FH","FH",0)))&amp;"-"&amp;IF(J689="",(TEXT(I689,"0.00")),TEXT(J689,"0.00"))&amp;"X"&amp;M689</f>
        <v>RM-304L/1D-3.96X642</v>
      </c>
      <c r="C689" s="173" t="s">
        <v>48</v>
      </c>
      <c r="D689" s="173" t="s">
        <v>48</v>
      </c>
      <c r="E689" s="190" t="s">
        <v>2359</v>
      </c>
      <c r="F689" s="190" t="s">
        <v>2360</v>
      </c>
      <c r="G689" s="173" t="s">
        <v>182</v>
      </c>
      <c r="H689" s="173" t="s">
        <v>127</v>
      </c>
      <c r="I689" s="174">
        <v>3.96</v>
      </c>
      <c r="J689" s="174"/>
      <c r="K689" s="174"/>
      <c r="L689" s="174"/>
      <c r="M689" s="191">
        <v>642</v>
      </c>
      <c r="N689" s="176">
        <v>10.585000000000001</v>
      </c>
      <c r="O689" s="176"/>
      <c r="P689" s="177"/>
      <c r="Q689" s="178"/>
      <c r="R689" s="179"/>
      <c r="S689" s="179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80" t="s">
        <v>1881</v>
      </c>
      <c r="AE689" s="173" t="s">
        <v>69</v>
      </c>
      <c r="AF689" s="181" t="s">
        <v>142</v>
      </c>
      <c r="AG689" s="192" t="s">
        <v>1887</v>
      </c>
      <c r="AH689" s="198"/>
      <c r="AI689" s="181">
        <v>44880</v>
      </c>
      <c r="AJ689" s="181"/>
      <c r="AK689" s="181">
        <f ca="1">TODAY()</f>
        <v>44958</v>
      </c>
      <c r="AL689" s="173">
        <f ca="1">IF(AI689&lt;&gt;0,AK689-AI689,0)</f>
        <v>78</v>
      </c>
      <c r="AM689" s="173" t="str">
        <f>IF(ISNUMBER(X689)=TRUE,AK689-X689,IF(X689="","",(AK689)-(MID(RIGHT(X689,10),4,2)&amp;"/"&amp;LEFT((RIGHT(X689,10)),2)&amp;"/"&amp;RIGHT(X689,4))))</f>
        <v/>
      </c>
      <c r="AN689" s="181"/>
      <c r="AO689" s="190" t="s">
        <v>2358</v>
      </c>
      <c r="AP689" s="176">
        <v>10.585000000000001</v>
      </c>
      <c r="AQ689" s="176">
        <v>10.595000000000001</v>
      </c>
      <c r="AR689" s="176">
        <v>10.62</v>
      </c>
      <c r="AS689" s="176">
        <v>10.625</v>
      </c>
      <c r="AT689" s="173" t="str">
        <f>IF(ISNUMBER(U689)=TRUE,AK689-U689,IF(U689="","",(AK689)-(MID(RIGHT(U689,10),4,2)&amp;"/"&amp;LEFT((RIGHT(U689,10)),2)&amp;"/"&amp;RIGHT(U689,4))))</f>
        <v/>
      </c>
      <c r="AU689" s="173">
        <v>459</v>
      </c>
      <c r="AW689" s="142" t="s">
        <v>123</v>
      </c>
    </row>
    <row r="690" spans="2:49" s="142" customFormat="1" ht="21" customHeight="1" x14ac:dyDescent="0.25">
      <c r="B690" s="173" t="str">
        <f>IF(C690="HOLD RM","HOLD RM",IF(C690="BAL","WIP",IF(C690="HOLD SLT","HOLD SLT",IF(C690="MILL","RM",IF(C690="RE SLT","WIP",IF(C690="RM","RM",IF(C690="RM BAL","RM",IF(C690="RM SLT","RM",IF(C690="RR","WIP",IF(C690="SKP","WIP",IF(C690="SLT","WIP",IF(C690="CTL","WIP",IF(C690="RM SLT RUST","RM SLT RUST",0)))))))))))))&amp;"-"&amp;G690&amp;"/"&amp;IF(H690="2B","2B",IF(H690="NO.1","1D",IF(H690="FH","FH",0)))&amp;"-"&amp;IF(J690="",(TEXT(I690,"0.00")),TEXT(J690,"0.00"))&amp;"X"&amp;M690</f>
        <v>RM-304L/1D-3.96X642</v>
      </c>
      <c r="C690" s="173" t="s">
        <v>48</v>
      </c>
      <c r="D690" s="173" t="s">
        <v>48</v>
      </c>
      <c r="E690" s="190" t="s">
        <v>2361</v>
      </c>
      <c r="F690" s="190" t="s">
        <v>2362</v>
      </c>
      <c r="G690" s="173" t="s">
        <v>182</v>
      </c>
      <c r="H690" s="173" t="s">
        <v>127</v>
      </c>
      <c r="I690" s="174">
        <v>3.96</v>
      </c>
      <c r="J690" s="174"/>
      <c r="K690" s="174"/>
      <c r="L690" s="174"/>
      <c r="M690" s="191">
        <v>642</v>
      </c>
      <c r="N690" s="176">
        <v>10.53</v>
      </c>
      <c r="O690" s="176"/>
      <c r="P690" s="177"/>
      <c r="Q690" s="178"/>
      <c r="R690" s="179"/>
      <c r="S690" s="179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80" t="s">
        <v>1881</v>
      </c>
      <c r="AE690" s="173" t="s">
        <v>69</v>
      </c>
      <c r="AF690" s="181" t="s">
        <v>142</v>
      </c>
      <c r="AG690" s="192" t="s">
        <v>1887</v>
      </c>
      <c r="AH690" s="198"/>
      <c r="AI690" s="181">
        <v>44880</v>
      </c>
      <c r="AJ690" s="181"/>
      <c r="AK690" s="181">
        <f ca="1">TODAY()</f>
        <v>44958</v>
      </c>
      <c r="AL690" s="173">
        <f ca="1">IF(AI690&lt;&gt;0,AK690-AI690,0)</f>
        <v>78</v>
      </c>
      <c r="AM690" s="173" t="str">
        <f>IF(ISNUMBER(X690)=TRUE,AK690-X690,IF(X690="","",(AK690)-(MID(RIGHT(X690,10),4,2)&amp;"/"&amp;LEFT((RIGHT(X690,10)),2)&amp;"/"&amp;RIGHT(X690,4))))</f>
        <v/>
      </c>
      <c r="AN690" s="181"/>
      <c r="AO690" s="190" t="s">
        <v>2363</v>
      </c>
      <c r="AP690" s="176">
        <v>10.53</v>
      </c>
      <c r="AQ690" s="176">
        <v>10.54</v>
      </c>
      <c r="AR690" s="176">
        <v>10.564999999999998</v>
      </c>
      <c r="AS690" s="176">
        <v>10.569999999999999</v>
      </c>
      <c r="AT690" s="173" t="str">
        <f>IF(ISNUMBER(U690)=TRUE,AK690-U690,IF(U690="","",(AK690)-(MID(RIGHT(U690,10),4,2)&amp;"/"&amp;LEFT((RIGHT(U690,10)),2)&amp;"/"&amp;RIGHT(U690,4))))</f>
        <v/>
      </c>
      <c r="AU690" s="173">
        <v>459</v>
      </c>
      <c r="AW690" s="142" t="s">
        <v>123</v>
      </c>
    </row>
    <row r="691" spans="2:49" s="142" customFormat="1" ht="21" customHeight="1" x14ac:dyDescent="0.25">
      <c r="B691" s="173" t="str">
        <f>IF(C691="HOLD RM","HOLD RM",IF(C691="BAL","WIP",IF(C691="HOLD SLT","HOLD SLT",IF(C691="MILL","RM",IF(C691="RE SLT","WIP",IF(C691="RM","RM",IF(C691="RM BAL","RM",IF(C691="RM SLT","RM",IF(C691="RR","WIP",IF(C691="SKP","WIP",IF(C691="SLT","WIP",IF(C691="CTL","WIP",IF(C691="RM SLT RUST","RM SLT RUST",0)))))))))))))&amp;"-"&amp;G691&amp;"/"&amp;IF(H691="2B","2B",IF(H691="NO.1","1D",IF(H691="FH","FH",0)))&amp;"-"&amp;IF(J691="",(TEXT(I691,"0.00")),TEXT(J691,"0.00"))&amp;"X"&amp;M691</f>
        <v>RM-304L/1D-3.96X643</v>
      </c>
      <c r="C691" s="173" t="s">
        <v>48</v>
      </c>
      <c r="D691" s="173" t="s">
        <v>48</v>
      </c>
      <c r="E691" s="190" t="s">
        <v>2364</v>
      </c>
      <c r="F691" s="190" t="s">
        <v>2365</v>
      </c>
      <c r="G691" s="173" t="s">
        <v>182</v>
      </c>
      <c r="H691" s="173" t="s">
        <v>127</v>
      </c>
      <c r="I691" s="174">
        <v>3.96</v>
      </c>
      <c r="J691" s="174"/>
      <c r="K691" s="174"/>
      <c r="L691" s="174"/>
      <c r="M691" s="191">
        <v>643</v>
      </c>
      <c r="N691" s="176">
        <v>10.545</v>
      </c>
      <c r="O691" s="176"/>
      <c r="P691" s="177"/>
      <c r="Q691" s="178"/>
      <c r="R691" s="179"/>
      <c r="S691" s="179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80" t="s">
        <v>1881</v>
      </c>
      <c r="AE691" s="173" t="s">
        <v>69</v>
      </c>
      <c r="AF691" s="181" t="s">
        <v>142</v>
      </c>
      <c r="AG691" s="192" t="s">
        <v>1887</v>
      </c>
      <c r="AH691" s="198"/>
      <c r="AI691" s="181">
        <v>44880</v>
      </c>
      <c r="AJ691" s="181"/>
      <c r="AK691" s="181">
        <f ca="1">TODAY()</f>
        <v>44958</v>
      </c>
      <c r="AL691" s="173">
        <f ca="1">IF(AI691&lt;&gt;0,AK691-AI691,0)</f>
        <v>78</v>
      </c>
      <c r="AM691" s="173" t="str">
        <f>IF(ISNUMBER(X691)=TRUE,AK691-X691,IF(X691="","",(AK691)-(MID(RIGHT(X691,10),4,2)&amp;"/"&amp;LEFT((RIGHT(X691,10)),2)&amp;"/"&amp;RIGHT(X691,4))))</f>
        <v/>
      </c>
      <c r="AN691" s="181"/>
      <c r="AO691" s="190" t="s">
        <v>2363</v>
      </c>
      <c r="AP691" s="176">
        <v>10.545</v>
      </c>
      <c r="AQ691" s="176">
        <v>10.555</v>
      </c>
      <c r="AR691" s="176">
        <v>10.579999999999998</v>
      </c>
      <c r="AS691" s="176">
        <v>10.584999999999999</v>
      </c>
      <c r="AT691" s="173" t="str">
        <f>IF(ISNUMBER(U691)=TRUE,AK691-U691,IF(U691="","",(AK691)-(MID(RIGHT(U691,10),4,2)&amp;"/"&amp;LEFT((RIGHT(U691,10)),2)&amp;"/"&amp;RIGHT(U691,4))))</f>
        <v/>
      </c>
      <c r="AU691" s="173">
        <v>459</v>
      </c>
      <c r="AW691" s="142" t="s">
        <v>123</v>
      </c>
    </row>
    <row r="692" spans="2:49" s="142" customFormat="1" ht="21" customHeight="1" x14ac:dyDescent="0.25">
      <c r="B692" s="173" t="str">
        <f>IF(C692="HOLD RM","HOLD RM",IF(C692="BAL","WIP",IF(C692="HOLD SLT","HOLD SLT",IF(C692="MILL","RM",IF(C692="RE SLT","WIP",IF(C692="RM","RM",IF(C692="RM BAL","RM",IF(C692="RM SLT","RM",IF(C692="RR","WIP",IF(C692="SKP","WIP",IF(C692="SLT","WIP",IF(C692="CTL","WIP",IF(C692="RM SLT RUST","RM SLT RUST",0)))))))))))))&amp;"-"&amp;G692&amp;"/"&amp;IF(H692="2B","2B",IF(H692="NO.1","1D",IF(H692="FH","FH",0)))&amp;"-"&amp;IF(J692="",(TEXT(I692,"0.00")),TEXT(J692,"0.00"))&amp;"X"&amp;M692</f>
        <v>RM-304L/1D-3.96X642</v>
      </c>
      <c r="C692" s="173" t="s">
        <v>48</v>
      </c>
      <c r="D692" s="173" t="s">
        <v>48</v>
      </c>
      <c r="E692" s="190" t="s">
        <v>2366</v>
      </c>
      <c r="F692" s="190" t="s">
        <v>2367</v>
      </c>
      <c r="G692" s="173" t="s">
        <v>182</v>
      </c>
      <c r="H692" s="173" t="s">
        <v>127</v>
      </c>
      <c r="I692" s="174">
        <v>3.96</v>
      </c>
      <c r="J692" s="174"/>
      <c r="K692" s="174"/>
      <c r="L692" s="174"/>
      <c r="M692" s="191">
        <v>642</v>
      </c>
      <c r="N692" s="176">
        <v>10.625</v>
      </c>
      <c r="O692" s="176"/>
      <c r="P692" s="177"/>
      <c r="Q692" s="178"/>
      <c r="R692" s="179"/>
      <c r="S692" s="179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80" t="s">
        <v>1881</v>
      </c>
      <c r="AE692" s="173" t="s">
        <v>69</v>
      </c>
      <c r="AF692" s="181" t="s">
        <v>142</v>
      </c>
      <c r="AG692" s="192" t="s">
        <v>1887</v>
      </c>
      <c r="AH692" s="198"/>
      <c r="AI692" s="181">
        <v>44880</v>
      </c>
      <c r="AJ692" s="181"/>
      <c r="AK692" s="181">
        <f ca="1">TODAY()</f>
        <v>44958</v>
      </c>
      <c r="AL692" s="173">
        <f ca="1">IF(AI692&lt;&gt;0,AK692-AI692,0)</f>
        <v>78</v>
      </c>
      <c r="AM692" s="173" t="str">
        <f>IF(ISNUMBER(X692)=TRUE,AK692-X692,IF(X692="","",(AK692)-(MID(RIGHT(X692,10),4,2)&amp;"/"&amp;LEFT((RIGHT(X692,10)),2)&amp;"/"&amp;RIGHT(X692,4))))</f>
        <v/>
      </c>
      <c r="AN692" s="181"/>
      <c r="AO692" s="190" t="s">
        <v>2368</v>
      </c>
      <c r="AP692" s="176">
        <v>10.625</v>
      </c>
      <c r="AQ692" s="176">
        <v>10.635</v>
      </c>
      <c r="AR692" s="176">
        <v>10.659999999999998</v>
      </c>
      <c r="AS692" s="176">
        <v>10.664999999999999</v>
      </c>
      <c r="AT692" s="173" t="str">
        <f>IF(ISNUMBER(U692)=TRUE,AK692-U692,IF(U692="","",(AK692)-(MID(RIGHT(U692,10),4,2)&amp;"/"&amp;LEFT((RIGHT(U692,10)),2)&amp;"/"&amp;RIGHT(U692,4))))</f>
        <v/>
      </c>
      <c r="AU692" s="173">
        <v>459</v>
      </c>
      <c r="AW692" s="142" t="s">
        <v>123</v>
      </c>
    </row>
    <row r="693" spans="2:49" s="142" customFormat="1" ht="21" customHeight="1" x14ac:dyDescent="0.25">
      <c r="B693" s="173" t="str">
        <f>IF(C693="HOLD RM","HOLD RM",IF(C693="BAL","WIP",IF(C693="HOLD SLT","HOLD SLT",IF(C693="MILL","RM",IF(C693="RE SLT","WIP",IF(C693="RM","RM",IF(C693="RM BAL","RM",IF(C693="RM SLT","RM",IF(C693="RR","WIP",IF(C693="SKP","WIP",IF(C693="SLT","WIP",IF(C693="CTL","WIP",IF(C693="RM SLT RUST","RM SLT RUST",0)))))))))))))&amp;"-"&amp;G693&amp;"/"&amp;IF(H693="2B","2B",IF(H693="NO.1","1D",IF(H693="FH","FH",0)))&amp;"-"&amp;IF(J693="",(TEXT(I693,"0.00")),TEXT(J693,"0.00"))&amp;"X"&amp;M693</f>
        <v>RM-304L/1D-3.96X643</v>
      </c>
      <c r="C693" s="173" t="s">
        <v>48</v>
      </c>
      <c r="D693" s="173" t="s">
        <v>48</v>
      </c>
      <c r="E693" s="190" t="s">
        <v>2369</v>
      </c>
      <c r="F693" s="190" t="s">
        <v>2370</v>
      </c>
      <c r="G693" s="173" t="s">
        <v>182</v>
      </c>
      <c r="H693" s="173" t="s">
        <v>127</v>
      </c>
      <c r="I693" s="174">
        <v>3.96</v>
      </c>
      <c r="J693" s="174"/>
      <c r="K693" s="174"/>
      <c r="L693" s="174"/>
      <c r="M693" s="191">
        <v>643</v>
      </c>
      <c r="N693" s="176">
        <v>10.685</v>
      </c>
      <c r="O693" s="176"/>
      <c r="P693" s="177"/>
      <c r="Q693" s="178"/>
      <c r="R693" s="179"/>
      <c r="S693" s="179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80" t="s">
        <v>1881</v>
      </c>
      <c r="AE693" s="173" t="s">
        <v>69</v>
      </c>
      <c r="AF693" s="181" t="s">
        <v>142</v>
      </c>
      <c r="AG693" s="192" t="s">
        <v>1887</v>
      </c>
      <c r="AH693" s="198"/>
      <c r="AI693" s="181">
        <v>44880</v>
      </c>
      <c r="AJ693" s="181"/>
      <c r="AK693" s="181">
        <f ca="1">TODAY()</f>
        <v>44958</v>
      </c>
      <c r="AL693" s="173">
        <f ca="1">IF(AI693&lt;&gt;0,AK693-AI693,0)</f>
        <v>78</v>
      </c>
      <c r="AM693" s="173" t="str">
        <f>IF(ISNUMBER(X693)=TRUE,AK693-X693,IF(X693="","",(AK693)-(MID(RIGHT(X693,10),4,2)&amp;"/"&amp;LEFT((RIGHT(X693,10)),2)&amp;"/"&amp;RIGHT(X693,4))))</f>
        <v/>
      </c>
      <c r="AN693" s="181"/>
      <c r="AO693" s="190" t="s">
        <v>2368</v>
      </c>
      <c r="AP693" s="176">
        <v>10.685</v>
      </c>
      <c r="AQ693" s="176">
        <v>10.695</v>
      </c>
      <c r="AR693" s="176">
        <v>10.719999999999999</v>
      </c>
      <c r="AS693" s="176">
        <v>10.725</v>
      </c>
      <c r="AT693" s="173" t="str">
        <f>IF(ISNUMBER(U693)=TRUE,AK693-U693,IF(U693="","",(AK693)-(MID(RIGHT(U693,10),4,2)&amp;"/"&amp;LEFT((RIGHT(U693,10)),2)&amp;"/"&amp;RIGHT(U693,4))))</f>
        <v/>
      </c>
      <c r="AU693" s="173">
        <v>459</v>
      </c>
      <c r="AW693" s="142" t="s">
        <v>123</v>
      </c>
    </row>
    <row r="694" spans="2:49" s="142" customFormat="1" ht="21" customHeight="1" x14ac:dyDescent="0.25">
      <c r="B694" s="173" t="str">
        <f>IF(C694="HOLD RM","HOLD RM",IF(C694="BAL","WIP",IF(C694="HOLD SLT","HOLD SLT",IF(C694="MILL","RM",IF(C694="RE SLT","WIP",IF(C694="RM","RM",IF(C694="RM BAL","RM",IF(C694="RM SLT","RM",IF(C694="RR","WIP",IF(C694="SKP","WIP",IF(C694="SLT","WIP",IF(C694="CTL","WIP",IF(C694="RM SLT RUST","RM SLT RUST",0)))))))))))))&amp;"-"&amp;G694&amp;"/"&amp;IF(H694="2B","2B",IF(H694="NO.1","1D",IF(H694="FH","FH",0)))&amp;"-"&amp;IF(J694="",(TEXT(I694,"0.00")),TEXT(J694,"0.00"))&amp;"X"&amp;M694</f>
        <v>WIP-316L/2B-1.20X627</v>
      </c>
      <c r="C694" s="173" t="s">
        <v>18</v>
      </c>
      <c r="D694" s="173" t="s">
        <v>836</v>
      </c>
      <c r="E694" s="190" t="s">
        <v>2371</v>
      </c>
      <c r="F694" s="190" t="s">
        <v>2372</v>
      </c>
      <c r="G694" s="173" t="s">
        <v>135</v>
      </c>
      <c r="H694" s="173" t="s">
        <v>114</v>
      </c>
      <c r="I694" s="174">
        <v>2.91</v>
      </c>
      <c r="J694" s="174">
        <v>1.2</v>
      </c>
      <c r="K694" s="174">
        <v>1.18</v>
      </c>
      <c r="L694" s="174">
        <v>1.19</v>
      </c>
      <c r="M694" s="191">
        <v>627</v>
      </c>
      <c r="N694" s="176">
        <v>4.57</v>
      </c>
      <c r="O694" s="176" t="s">
        <v>114</v>
      </c>
      <c r="P694" s="177"/>
      <c r="Q694" s="178" t="s">
        <v>115</v>
      </c>
      <c r="R694" s="178" t="s">
        <v>615</v>
      </c>
      <c r="S694" s="179" t="s">
        <v>2373</v>
      </c>
      <c r="T694" s="177">
        <v>44901</v>
      </c>
      <c r="U694" s="177"/>
      <c r="V694" s="177">
        <v>44901</v>
      </c>
      <c r="W694" s="177"/>
      <c r="X694" s="177">
        <v>44902</v>
      </c>
      <c r="Y694" s="177"/>
      <c r="Z694" s="177">
        <v>44903</v>
      </c>
      <c r="AA694" s="177">
        <v>44881</v>
      </c>
      <c r="AB694" s="177"/>
      <c r="AC694" s="177"/>
      <c r="AD694" s="180" t="s">
        <v>2374</v>
      </c>
      <c r="AE694" s="173" t="s">
        <v>69</v>
      </c>
      <c r="AF694" s="181" t="s">
        <v>142</v>
      </c>
      <c r="AG694" s="192" t="s">
        <v>1887</v>
      </c>
      <c r="AH694" s="198"/>
      <c r="AI694" s="181">
        <v>44880</v>
      </c>
      <c r="AJ694" s="181"/>
      <c r="AK694" s="181">
        <f ca="1">TODAY()</f>
        <v>44958</v>
      </c>
      <c r="AL694" s="173">
        <f ca="1">IF(AI694&lt;&gt;0,AK694-AI694,0)</f>
        <v>78</v>
      </c>
      <c r="AM694" s="173">
        <f ca="1">IF(ISNUMBER(X694)=TRUE,AK694-X694,IF(X694="","",(AK694)-(MID(RIGHT(X694,10),4,2)&amp;"/"&amp;LEFT((RIGHT(X694,10)),2)&amp;"/"&amp;RIGHT(X694,4))))</f>
        <v>56</v>
      </c>
      <c r="AN694" s="181"/>
      <c r="AO694" s="190" t="s">
        <v>2375</v>
      </c>
      <c r="AP694" s="176">
        <v>21.835000000000001</v>
      </c>
      <c r="AQ694" s="176">
        <v>21.89</v>
      </c>
      <c r="AR694" s="176">
        <v>21.915000000000003</v>
      </c>
      <c r="AS694" s="176">
        <v>21.92</v>
      </c>
      <c r="AT694" s="173" t="str">
        <f>IF(ISNUMBER(U694)=TRUE,AK694-U694,IF(U694="","",(AK694)-(MID(RIGHT(U694,10),4,2)&amp;"/"&amp;LEFT((RIGHT(U694,10)),2)&amp;"/"&amp;RIGHT(U694,4))))</f>
        <v/>
      </c>
      <c r="AU694" s="173">
        <v>460</v>
      </c>
      <c r="AW694" s="142" t="s">
        <v>123</v>
      </c>
    </row>
    <row r="695" spans="2:49" s="142" customFormat="1" ht="20.25" customHeight="1" x14ac:dyDescent="0.25">
      <c r="B695" s="173" t="str">
        <f>IF(C695="HOLD RM","HOLD RM",IF(C695="BAL","WIP",IF(C695="HOLD SLT","HOLD SLT",IF(C695="MILL","RM",IF(C695="RE SLT","WIP",IF(C695="RM","RM",IF(C695="RM BAL","RM",IF(C695="RM SLT","RM",IF(C695="RR","WIP",IF(C695="SKP","WIP",IF(C695="SLT","WIP",IF(C695="CTL","WIP",IF(C695="RM SLT RUST","RM SLT RUST",0)))))))))))))&amp;"-"&amp;G695&amp;"/"&amp;IF(H695="2B","2B",IF(H695="NO.1","1D",IF(H695="FH","FH",0)))&amp;"-"&amp;IF(J695="",(TEXT(I695,"0.00")),TEXT(J695,"0.00"))&amp;"X"&amp;M695</f>
        <v>RM-316L/1D-2.88X627</v>
      </c>
      <c r="C695" s="173" t="s">
        <v>48</v>
      </c>
      <c r="D695" s="173" t="s">
        <v>48</v>
      </c>
      <c r="E695" s="190" t="s">
        <v>2376</v>
      </c>
      <c r="F695" s="190" t="s">
        <v>2377</v>
      </c>
      <c r="G695" s="173" t="s">
        <v>135</v>
      </c>
      <c r="H695" s="173" t="s">
        <v>127</v>
      </c>
      <c r="I695" s="174">
        <v>2.88</v>
      </c>
      <c r="J695" s="174"/>
      <c r="K695" s="174"/>
      <c r="L695" s="174"/>
      <c r="M695" s="191">
        <v>627</v>
      </c>
      <c r="N695" s="176">
        <v>10.92</v>
      </c>
      <c r="O695" s="176"/>
      <c r="P695" s="177"/>
      <c r="Q695" s="178"/>
      <c r="R695" s="179"/>
      <c r="S695" s="179"/>
      <c r="T695" s="177"/>
      <c r="U695" s="177"/>
      <c r="V695" s="177"/>
      <c r="W695" s="177"/>
      <c r="X695" s="177"/>
      <c r="Y695" s="177"/>
      <c r="Z695" s="177"/>
      <c r="AA695" s="177">
        <v>44901</v>
      </c>
      <c r="AB695" s="177"/>
      <c r="AC695" s="177"/>
      <c r="AD695" s="180" t="s">
        <v>2374</v>
      </c>
      <c r="AE695" s="173" t="s">
        <v>69</v>
      </c>
      <c r="AF695" s="181" t="s">
        <v>142</v>
      </c>
      <c r="AG695" s="192" t="s">
        <v>1887</v>
      </c>
      <c r="AH695" s="198"/>
      <c r="AI695" s="181">
        <v>44880</v>
      </c>
      <c r="AJ695" s="181"/>
      <c r="AK695" s="181">
        <f ca="1">TODAY()</f>
        <v>44958</v>
      </c>
      <c r="AL695" s="173">
        <f ca="1">IF(AI695&lt;&gt;0,AK695-AI695,0)</f>
        <v>78</v>
      </c>
      <c r="AM695" s="173" t="str">
        <f>IF(ISNUMBER(X695)=TRUE,AK695-X695,IF(X695="","",(AK695)-(MID(RIGHT(X695,10),4,2)&amp;"/"&amp;LEFT((RIGHT(X695,10)),2)&amp;"/"&amp;RIGHT(X695,4))))</f>
        <v/>
      </c>
      <c r="AN695" s="181"/>
      <c r="AO695" s="190" t="s">
        <v>2378</v>
      </c>
      <c r="AP695" s="176">
        <v>21.79</v>
      </c>
      <c r="AQ695" s="176">
        <v>21.844999999999999</v>
      </c>
      <c r="AR695" s="176">
        <v>21.87</v>
      </c>
      <c r="AS695" s="176">
        <v>21.875</v>
      </c>
      <c r="AT695" s="173" t="str">
        <f>IF(ISNUMBER(U695)=TRUE,AK695-U695,IF(U695="","",(AK695)-(MID(RIGHT(U695,10),4,2)&amp;"/"&amp;LEFT((RIGHT(U695,10)),2)&amp;"/"&amp;RIGHT(U695,4))))</f>
        <v/>
      </c>
      <c r="AU695" s="173">
        <v>460</v>
      </c>
      <c r="AW695" s="142" t="s">
        <v>123</v>
      </c>
    </row>
    <row r="696" spans="2:49" s="142" customFormat="1" ht="21" customHeight="1" x14ac:dyDescent="0.25">
      <c r="B696" s="173" t="str">
        <f>IF(C696="HOLD RM","HOLD RM",IF(C696="BAL","WIP",IF(C696="HOLD SLT","HOLD SLT",IF(C696="MILL","RM",IF(C696="RE SLT","WIP",IF(C696="RM","RM",IF(C696="RM BAL","RM",IF(C696="RM SLT","RM",IF(C696="RR","WIP",IF(C696="SKP","WIP",IF(C696="SLT","WIP",IF(C696="CTL","WIP",IF(C696="RM SLT RUST","RM SLT RUST",0)))))))))))))&amp;"-"&amp;G696&amp;"/"&amp;IF(H696="2B","2B",IF(H696="NO.1","1D",IF(H696="FH","FH",0)))&amp;"-"&amp;IF(J696="",(TEXT(I696,"0.00")),TEXT(J696,"0.00"))&amp;"X"&amp;M696</f>
        <v>WIP-316L/2B-0.60X627</v>
      </c>
      <c r="C696" s="173" t="s">
        <v>775</v>
      </c>
      <c r="D696" s="173" t="s">
        <v>1237</v>
      </c>
      <c r="E696" s="190" t="s">
        <v>2379</v>
      </c>
      <c r="F696" s="190" t="s">
        <v>2380</v>
      </c>
      <c r="G696" s="173" t="s">
        <v>135</v>
      </c>
      <c r="H696" s="173" t="s">
        <v>114</v>
      </c>
      <c r="I696" s="174">
        <v>1.2</v>
      </c>
      <c r="J696" s="174">
        <v>0.6</v>
      </c>
      <c r="K696" s="174">
        <v>0.57999999999999996</v>
      </c>
      <c r="L696" s="174">
        <v>0.6</v>
      </c>
      <c r="M696" s="191">
        <v>627</v>
      </c>
      <c r="N696" s="176">
        <v>10.515000000000001</v>
      </c>
      <c r="O696" s="176" t="s">
        <v>114</v>
      </c>
      <c r="P696" s="177"/>
      <c r="Q696" s="178" t="s">
        <v>1370</v>
      </c>
      <c r="R696" s="178" t="s">
        <v>615</v>
      </c>
      <c r="S696" s="179" t="s">
        <v>230</v>
      </c>
      <c r="T696" s="177" t="s">
        <v>2381</v>
      </c>
      <c r="U696" s="177"/>
      <c r="V696" s="177">
        <v>44885</v>
      </c>
      <c r="W696" s="177">
        <v>44901</v>
      </c>
      <c r="X696" s="177" t="s">
        <v>2382</v>
      </c>
      <c r="Y696" s="177"/>
      <c r="Z696" s="177" t="s">
        <v>2383</v>
      </c>
      <c r="AA696" s="177">
        <v>44882</v>
      </c>
      <c r="AB696" s="177"/>
      <c r="AC696" s="177"/>
      <c r="AD696" s="180" t="s">
        <v>2374</v>
      </c>
      <c r="AE696" s="173" t="s">
        <v>69</v>
      </c>
      <c r="AF696" s="181" t="s">
        <v>142</v>
      </c>
      <c r="AG696" s="192" t="s">
        <v>1887</v>
      </c>
      <c r="AH696" s="198"/>
      <c r="AI696" s="181">
        <v>44880</v>
      </c>
      <c r="AJ696" s="181"/>
      <c r="AK696" s="181">
        <f ca="1">TODAY()</f>
        <v>44958</v>
      </c>
      <c r="AL696" s="173">
        <f ca="1">IF(AI696&lt;&gt;0,AK696-AI696,0)</f>
        <v>78</v>
      </c>
      <c r="AM696" s="173">
        <f ca="1">IF(ISNUMBER(X696)=TRUE,AK696-X696,IF(X696="","",(AK696)-(MID(RIGHT(X696,10),4,2)&amp;"/"&amp;LEFT((RIGHT(X696,10)),2)&amp;"/"&amp;RIGHT(X696,4))))</f>
        <v>375</v>
      </c>
      <c r="AN696" s="181"/>
      <c r="AO696" s="190" t="s">
        <v>2384</v>
      </c>
      <c r="AP696" s="176">
        <v>21.59</v>
      </c>
      <c r="AQ696" s="176">
        <v>21.645</v>
      </c>
      <c r="AR696" s="176">
        <v>21.67</v>
      </c>
      <c r="AS696" s="176">
        <v>21.675000000000001</v>
      </c>
      <c r="AT696" s="173" t="str">
        <f>IF(ISNUMBER(U696)=TRUE,AK696-U696,IF(U696="","",(AK696)-(MID(RIGHT(U696,10),4,2)&amp;"/"&amp;LEFT((RIGHT(U696,10)),2)&amp;"/"&amp;RIGHT(U696,4))))</f>
        <v/>
      </c>
      <c r="AU696" s="173">
        <v>460</v>
      </c>
      <c r="AW696" s="142" t="s">
        <v>123</v>
      </c>
    </row>
    <row r="697" spans="2:49" s="142" customFormat="1" ht="21" customHeight="1" x14ac:dyDescent="0.25">
      <c r="B697" s="173" t="str">
        <f>IF(C697="HOLD RM","HOLD RM",IF(C697="BAL","WIP",IF(C697="HOLD SLT","HOLD SLT",IF(C697="MILL","RM",IF(C697="RE SLT","WIP",IF(C697="RM","RM",IF(C697="RM BAL","RM",IF(C697="RM SLT","RM",IF(C697="RR","WIP",IF(C697="SKP","WIP",IF(C697="SLT","WIP",IF(C697="CTL","WIP",IF(C697="RM SLT RUST","RM SLT RUST",0)))))))))))))&amp;"-"&amp;G697&amp;"/"&amp;IF(H697="2B","2B",IF(H697="NO.1","1D",IF(H697="FH","FH",0)))&amp;"-"&amp;IF(J697="",(TEXT(I697,"0.00")),TEXT(J697,"0.00"))&amp;"X"&amp;M697</f>
        <v>RM-J3/1D-2.20X620</v>
      </c>
      <c r="C697" s="173" t="s">
        <v>48</v>
      </c>
      <c r="D697" s="173" t="s">
        <v>48</v>
      </c>
      <c r="E697" s="190" t="s">
        <v>2385</v>
      </c>
      <c r="F697" s="190" t="s">
        <v>2386</v>
      </c>
      <c r="G697" s="173" t="s">
        <v>34</v>
      </c>
      <c r="H697" s="173" t="s">
        <v>127</v>
      </c>
      <c r="I697" s="174">
        <v>2.2000000000000002</v>
      </c>
      <c r="J697" s="174"/>
      <c r="K697" s="174"/>
      <c r="L697" s="174"/>
      <c r="M697" s="191">
        <v>620</v>
      </c>
      <c r="N697" s="176">
        <v>10.07</v>
      </c>
      <c r="O697" s="176"/>
      <c r="P697" s="177"/>
      <c r="Q697" s="178"/>
      <c r="R697" s="179"/>
      <c r="S697" s="179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80"/>
      <c r="AE697" s="173" t="s">
        <v>69</v>
      </c>
      <c r="AF697" s="181" t="s">
        <v>119</v>
      </c>
      <c r="AG697" s="192" t="s">
        <v>2387</v>
      </c>
      <c r="AH697" s="198">
        <v>44848</v>
      </c>
      <c r="AI697" s="181">
        <v>44880</v>
      </c>
      <c r="AJ697" s="181"/>
      <c r="AK697" s="181">
        <f ca="1">TODAY()</f>
        <v>44958</v>
      </c>
      <c r="AL697" s="173">
        <f ca="1">IF(AI697&lt;&gt;0,AK697-AI697,0)</f>
        <v>78</v>
      </c>
      <c r="AM697" s="173" t="str">
        <f>IF(ISNUMBER(X697)=TRUE,AK697-X697,IF(X697="","",(AK697)-(MID(RIGHT(X697,10),4,2)&amp;"/"&amp;LEFT((RIGHT(X697,10)),2)&amp;"/"&amp;RIGHT(X697,4))))</f>
        <v/>
      </c>
      <c r="AN697" s="181" t="s">
        <v>2388</v>
      </c>
      <c r="AO697" s="190" t="s">
        <v>2389</v>
      </c>
      <c r="AP697" s="176">
        <v>10.07</v>
      </c>
      <c r="AQ697" s="176">
        <v>10.09</v>
      </c>
      <c r="AR697" s="176">
        <v>10.114999999999998</v>
      </c>
      <c r="AS697" s="176">
        <v>10.119999999999999</v>
      </c>
      <c r="AT697" s="173" t="str">
        <f>IF(ISNUMBER(U697)=TRUE,AK697-U697,IF(U697="","",(AK697)-(MID(RIGHT(U697,10),4,2)&amp;"/"&amp;LEFT((RIGHT(U697,10)),2)&amp;"/"&amp;RIGHT(U697,4))))</f>
        <v/>
      </c>
      <c r="AU697" s="173">
        <v>461</v>
      </c>
      <c r="AW697" s="142" t="s">
        <v>123</v>
      </c>
    </row>
    <row r="698" spans="2:49" s="142" customFormat="1" ht="21" customHeight="1" x14ac:dyDescent="0.25">
      <c r="B698" s="173" t="str">
        <f>IF(C698="HOLD RM","HOLD RM",IF(C698="BAL","WIP",IF(C698="HOLD SLT","HOLD SLT",IF(C698="MILL","RM",IF(C698="RE SLT","WIP",IF(C698="RM","RM",IF(C698="RM BAL","RM",IF(C698="RM SLT","RM",IF(C698="RR","WIP",IF(C698="SKP","WIP",IF(C698="SLT","WIP",IF(C698="CTL","WIP",IF(C698="RM SLT RUST","RM SLT RUST",0)))))))))))))&amp;"-"&amp;G698&amp;"/"&amp;IF(H698="2B","2B",IF(H698="NO.1","1D",IF(H698="FH","FH",0)))&amp;"-"&amp;IF(J698="",(TEXT(I698,"0.00")),TEXT(J698,"0.00"))&amp;"X"&amp;M698</f>
        <v>RM-J3/1D-2.20X620</v>
      </c>
      <c r="C698" s="173" t="s">
        <v>48</v>
      </c>
      <c r="D698" s="173" t="s">
        <v>48</v>
      </c>
      <c r="E698" s="190" t="s">
        <v>2390</v>
      </c>
      <c r="F698" s="190" t="s">
        <v>2391</v>
      </c>
      <c r="G698" s="173" t="s">
        <v>34</v>
      </c>
      <c r="H698" s="173" t="s">
        <v>127</v>
      </c>
      <c r="I698" s="174">
        <v>2.2000000000000002</v>
      </c>
      <c r="J698" s="174"/>
      <c r="K698" s="174"/>
      <c r="L698" s="174"/>
      <c r="M698" s="191">
        <v>620</v>
      </c>
      <c r="N698" s="176">
        <v>10.06</v>
      </c>
      <c r="O698" s="176"/>
      <c r="P698" s="177"/>
      <c r="Q698" s="178"/>
      <c r="R698" s="179"/>
      <c r="S698" s="179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80"/>
      <c r="AE698" s="173" t="s">
        <v>69</v>
      </c>
      <c r="AF698" s="181" t="s">
        <v>119</v>
      </c>
      <c r="AG698" s="192" t="s">
        <v>2387</v>
      </c>
      <c r="AH698" s="198">
        <v>44848</v>
      </c>
      <c r="AI698" s="181">
        <v>44880</v>
      </c>
      <c r="AJ698" s="181"/>
      <c r="AK698" s="181">
        <f ca="1">TODAY()</f>
        <v>44958</v>
      </c>
      <c r="AL698" s="173">
        <f ca="1">IF(AI698&lt;&gt;0,AK698-AI698,0)</f>
        <v>78</v>
      </c>
      <c r="AM698" s="173" t="str">
        <f>IF(ISNUMBER(X698)=TRUE,AK698-X698,IF(X698="","",(AK698)-(MID(RIGHT(X698,10),4,2)&amp;"/"&amp;LEFT((RIGHT(X698,10)),2)&amp;"/"&amp;RIGHT(X698,4))))</f>
        <v/>
      </c>
      <c r="AN698" s="181" t="s">
        <v>2392</v>
      </c>
      <c r="AO698" s="190" t="s">
        <v>2389</v>
      </c>
      <c r="AP698" s="176">
        <v>10.06</v>
      </c>
      <c r="AQ698" s="176">
        <v>10.08</v>
      </c>
      <c r="AR698" s="176">
        <v>10.104999999999999</v>
      </c>
      <c r="AS698" s="176">
        <v>10.11</v>
      </c>
      <c r="AT698" s="173" t="str">
        <f>IF(ISNUMBER(U698)=TRUE,AK698-U698,IF(U698="","",(AK698)-(MID(RIGHT(U698,10),4,2)&amp;"/"&amp;LEFT((RIGHT(U698,10)),2)&amp;"/"&amp;RIGHT(U698,4))))</f>
        <v/>
      </c>
      <c r="AU698" s="173">
        <v>461</v>
      </c>
      <c r="AW698" s="142" t="s">
        <v>123</v>
      </c>
    </row>
    <row r="699" spans="2:49" s="142" customFormat="1" ht="21" customHeight="1" x14ac:dyDescent="0.25">
      <c r="B699" s="173" t="str">
        <f>IF(C699="HOLD RM","HOLD RM",IF(C699="BAL","WIP",IF(C699="HOLD SLT","HOLD SLT",IF(C699="MILL","RM",IF(C699="RE SLT","WIP",IF(C699="RM","RM",IF(C699="RM BAL","RM",IF(C699="RM SLT","RM",IF(C699="RR","WIP",IF(C699="SKP","WIP",IF(C699="SLT","WIP",IF(C699="CTL","WIP",IF(C699="RM SLT RUST","RM SLT RUST",0)))))))))))))&amp;"-"&amp;G699&amp;"/"&amp;IF(H699="2B","2B",IF(H699="NO.1","1D",IF(H699="FH","FH",0)))&amp;"-"&amp;IF(J699="",(TEXT(I699,"0.00")),TEXT(J699,"0.00"))&amp;"X"&amp;M699</f>
        <v>RM-J3/1D-2.20X620</v>
      </c>
      <c r="C699" s="173" t="s">
        <v>48</v>
      </c>
      <c r="D699" s="173" t="s">
        <v>48</v>
      </c>
      <c r="E699" s="190" t="s">
        <v>2393</v>
      </c>
      <c r="F699" s="190" t="s">
        <v>2394</v>
      </c>
      <c r="G699" s="173" t="s">
        <v>34</v>
      </c>
      <c r="H699" s="173" t="s">
        <v>127</v>
      </c>
      <c r="I699" s="174">
        <v>2.2000000000000002</v>
      </c>
      <c r="J699" s="174"/>
      <c r="K699" s="174"/>
      <c r="L699" s="174"/>
      <c r="M699" s="191">
        <v>620</v>
      </c>
      <c r="N699" s="176">
        <v>10.135</v>
      </c>
      <c r="O699" s="176"/>
      <c r="P699" s="177"/>
      <c r="Q699" s="178"/>
      <c r="R699" s="179"/>
      <c r="S699" s="179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80"/>
      <c r="AE699" s="173" t="s">
        <v>69</v>
      </c>
      <c r="AF699" s="181" t="s">
        <v>119</v>
      </c>
      <c r="AG699" s="192" t="s">
        <v>2387</v>
      </c>
      <c r="AH699" s="198">
        <v>44848</v>
      </c>
      <c r="AI699" s="181">
        <v>44880</v>
      </c>
      <c r="AJ699" s="181"/>
      <c r="AK699" s="181">
        <f ca="1">TODAY()</f>
        <v>44958</v>
      </c>
      <c r="AL699" s="173">
        <f ca="1">IF(AI699&lt;&gt;0,AK699-AI699,0)</f>
        <v>78</v>
      </c>
      <c r="AM699" s="173" t="str">
        <f>IF(ISNUMBER(X699)=TRUE,AK699-X699,IF(X699="","",(AK699)-(MID(RIGHT(X699,10),4,2)&amp;"/"&amp;LEFT((RIGHT(X699,10)),2)&amp;"/"&amp;RIGHT(X699,4))))</f>
        <v/>
      </c>
      <c r="AN699" s="181" t="s">
        <v>2395</v>
      </c>
      <c r="AO699" s="190" t="s">
        <v>2396</v>
      </c>
      <c r="AP699" s="176">
        <v>10.135</v>
      </c>
      <c r="AQ699" s="176">
        <v>10.154999999999999</v>
      </c>
      <c r="AR699" s="176">
        <v>10.179999999999998</v>
      </c>
      <c r="AS699" s="176">
        <v>10.184999999999999</v>
      </c>
      <c r="AT699" s="173" t="str">
        <f>IF(ISNUMBER(U699)=TRUE,AK699-U699,IF(U699="","",(AK699)-(MID(RIGHT(U699,10),4,2)&amp;"/"&amp;LEFT((RIGHT(U699,10)),2)&amp;"/"&amp;RIGHT(U699,4))))</f>
        <v/>
      </c>
      <c r="AU699" s="173">
        <v>461</v>
      </c>
      <c r="AW699" s="142" t="s">
        <v>123</v>
      </c>
    </row>
    <row r="700" spans="2:49" s="142" customFormat="1" ht="21" customHeight="1" x14ac:dyDescent="0.25">
      <c r="B700" s="173" t="str">
        <f>IF(C700="HOLD RM","HOLD RM",IF(C700="BAL","WIP",IF(C700="HOLD SLT","HOLD SLT",IF(C700="MILL","RM",IF(C700="RE SLT","WIP",IF(C700="RM","RM",IF(C700="RM BAL","RM",IF(C700="RM SLT","RM",IF(C700="RR","WIP",IF(C700="SKP","WIP",IF(C700="SLT","WIP",IF(C700="CTL","WIP",IF(C700="RM SLT RUST","RM SLT RUST",0)))))))))))))&amp;"-"&amp;G700&amp;"/"&amp;IF(H700="2B","2B",IF(H700="NO.1","1D",IF(H700="FH","FH",0)))&amp;"-"&amp;IF(J700="",(TEXT(I700,"0.00")),TEXT(J700,"0.00"))&amp;"X"&amp;M700</f>
        <v>RM-J3/1D-2.20X620</v>
      </c>
      <c r="C700" s="173" t="s">
        <v>48</v>
      </c>
      <c r="D700" s="173" t="s">
        <v>48</v>
      </c>
      <c r="E700" s="190" t="s">
        <v>2397</v>
      </c>
      <c r="F700" s="190" t="s">
        <v>2398</v>
      </c>
      <c r="G700" s="173" t="s">
        <v>34</v>
      </c>
      <c r="H700" s="173" t="s">
        <v>127</v>
      </c>
      <c r="I700" s="174">
        <v>2.2000000000000002</v>
      </c>
      <c r="J700" s="174"/>
      <c r="K700" s="174"/>
      <c r="L700" s="174"/>
      <c r="M700" s="191">
        <v>620</v>
      </c>
      <c r="N700" s="176">
        <v>10.145</v>
      </c>
      <c r="O700" s="176"/>
      <c r="P700" s="177"/>
      <c r="Q700" s="178"/>
      <c r="R700" s="179"/>
      <c r="S700" s="179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80"/>
      <c r="AE700" s="173" t="s">
        <v>69</v>
      </c>
      <c r="AF700" s="181" t="s">
        <v>119</v>
      </c>
      <c r="AG700" s="192" t="s">
        <v>2387</v>
      </c>
      <c r="AH700" s="198">
        <v>44848</v>
      </c>
      <c r="AI700" s="181">
        <v>44880</v>
      </c>
      <c r="AJ700" s="181"/>
      <c r="AK700" s="181">
        <f ca="1">TODAY()</f>
        <v>44958</v>
      </c>
      <c r="AL700" s="173">
        <f ca="1">IF(AI700&lt;&gt;0,AK700-AI700,0)</f>
        <v>78</v>
      </c>
      <c r="AM700" s="173" t="str">
        <f>IF(ISNUMBER(X700)=TRUE,AK700-X700,IF(X700="","",(AK700)-(MID(RIGHT(X700,10),4,2)&amp;"/"&amp;LEFT((RIGHT(X700,10)),2)&amp;"/"&amp;RIGHT(X700,4))))</f>
        <v/>
      </c>
      <c r="AN700" s="181" t="s">
        <v>2399</v>
      </c>
      <c r="AO700" s="190" t="s">
        <v>2396</v>
      </c>
      <c r="AP700" s="176">
        <v>10.145</v>
      </c>
      <c r="AQ700" s="176">
        <v>10.164999999999999</v>
      </c>
      <c r="AR700" s="176">
        <v>10.189999999999998</v>
      </c>
      <c r="AS700" s="176">
        <v>10.194999999999999</v>
      </c>
      <c r="AT700" s="173" t="str">
        <f>IF(ISNUMBER(U700)=TRUE,AK700-U700,IF(U700="","",(AK700)-(MID(RIGHT(U700,10),4,2)&amp;"/"&amp;LEFT((RIGHT(U700,10)),2)&amp;"/"&amp;RIGHT(U700,4))))</f>
        <v/>
      </c>
      <c r="AU700" s="173">
        <v>461</v>
      </c>
      <c r="AW700" s="142" t="s">
        <v>123</v>
      </c>
    </row>
    <row r="701" spans="2:49" s="142" customFormat="1" ht="21" customHeight="1" x14ac:dyDescent="0.25">
      <c r="B701" s="173" t="str">
        <f>IF(C701="HOLD RM","HOLD RM",IF(C701="BAL","WIP",IF(C701="HOLD SLT","HOLD SLT",IF(C701="MILL","RM",IF(C701="RE SLT","WIP",IF(C701="RM","RM",IF(C701="RM BAL","RM",IF(C701="RM SLT","RM",IF(C701="RR","WIP",IF(C701="SKP","WIP",IF(C701="SLT","WIP",IF(C701="CTL","WIP",IF(C701="RM SLT RUST","RM SLT RUST",0)))))))))))))&amp;"-"&amp;G701&amp;"/"&amp;IF(H701="2B","2B",IF(H701="NO.1","1D",IF(H701="FH","FH",0)))&amp;"-"&amp;IF(J701="",(TEXT(I701,"0.00")),TEXT(J701,"0.00"))&amp;"X"&amp;M701</f>
        <v>WIP-J3/FH-0.91X620</v>
      </c>
      <c r="C701" s="173" t="s">
        <v>16</v>
      </c>
      <c r="D701" s="173" t="s">
        <v>16</v>
      </c>
      <c r="E701" s="190" t="s">
        <v>2400</v>
      </c>
      <c r="F701" s="190" t="s">
        <v>2401</v>
      </c>
      <c r="G701" s="173" t="s">
        <v>34</v>
      </c>
      <c r="H701" s="173" t="s">
        <v>70</v>
      </c>
      <c r="I701" s="174">
        <v>2.2000000000000002</v>
      </c>
      <c r="J701" s="174">
        <v>0.91</v>
      </c>
      <c r="K701" s="174"/>
      <c r="L701" s="174"/>
      <c r="M701" s="191">
        <v>620</v>
      </c>
      <c r="N701" s="176">
        <f>10.058-6.65</f>
        <v>3.4079999999999995</v>
      </c>
      <c r="O701" s="176" t="s">
        <v>114</v>
      </c>
      <c r="P701" s="177"/>
      <c r="Q701" s="178" t="s">
        <v>294</v>
      </c>
      <c r="R701" s="179"/>
      <c r="S701" s="179"/>
      <c r="T701" s="177">
        <v>44886</v>
      </c>
      <c r="U701" s="177"/>
      <c r="V701" s="177"/>
      <c r="W701" s="177">
        <v>44887</v>
      </c>
      <c r="X701" s="177"/>
      <c r="Y701" s="177"/>
      <c r="Z701" s="177"/>
      <c r="AA701" s="177"/>
      <c r="AB701" s="177"/>
      <c r="AC701" s="177"/>
      <c r="AD701" s="180"/>
      <c r="AE701" s="173" t="s">
        <v>69</v>
      </c>
      <c r="AF701" s="181" t="s">
        <v>119</v>
      </c>
      <c r="AG701" s="192" t="s">
        <v>2387</v>
      </c>
      <c r="AH701" s="198">
        <v>44848</v>
      </c>
      <c r="AI701" s="181">
        <v>44880</v>
      </c>
      <c r="AJ701" s="181"/>
      <c r="AK701" s="181">
        <f ca="1">TODAY()</f>
        <v>44958</v>
      </c>
      <c r="AL701" s="173">
        <f ca="1">IF(AI701&lt;&gt;0,AK701-AI701,0)</f>
        <v>78</v>
      </c>
      <c r="AM701" s="173" t="str">
        <f>IF(ISNUMBER(X701)=TRUE,AK701-X701,IF(X701="","",(AK701)-(MID(RIGHT(X701,10),4,2)&amp;"/"&amp;LEFT((RIGHT(X701,10)),2)&amp;"/"&amp;RIGHT(X701,4))))</f>
        <v/>
      </c>
      <c r="AN701" s="181" t="s">
        <v>2402</v>
      </c>
      <c r="AO701" s="190" t="s">
        <v>2403</v>
      </c>
      <c r="AP701" s="176">
        <v>10.058</v>
      </c>
      <c r="AQ701" s="176">
        <v>10.077999999999999</v>
      </c>
      <c r="AR701" s="176">
        <v>10.102999999999998</v>
      </c>
      <c r="AS701" s="176">
        <v>10.107999999999999</v>
      </c>
      <c r="AT701" s="173" t="str">
        <f>IF(ISNUMBER(U701)=TRUE,AK701-U701,IF(U701="","",(AK701)-(MID(RIGHT(U701,10),4,2)&amp;"/"&amp;LEFT((RIGHT(U701,10)),2)&amp;"/"&amp;RIGHT(U701,4))))</f>
        <v/>
      </c>
      <c r="AU701" s="173">
        <v>461</v>
      </c>
      <c r="AW701" s="142" t="s">
        <v>123</v>
      </c>
    </row>
    <row r="702" spans="2:49" s="142" customFormat="1" ht="21" customHeight="1" x14ac:dyDescent="0.25">
      <c r="B702" s="173" t="str">
        <f>IF(C702="HOLD RM","HOLD RM",IF(C702="BAL","WIP",IF(C702="HOLD SLT","HOLD SLT",IF(C702="MILL","RM",IF(C702="RE SLT","WIP",IF(C702="RM","RM",IF(C702="RM BAL","RM",IF(C702="RM SLT","RM",IF(C702="RR","WIP",IF(C702="SKP","WIP",IF(C702="SLT","WIP",IF(C702="CTL","WIP",IF(C702="RM SLT RUST","RM SLT RUST",0)))))))))))))&amp;"-"&amp;G702&amp;"/"&amp;IF(H702="2B","2B",IF(H702="NO.1","1D",IF(H702="FH","FH",0)))&amp;"-"&amp;IF(J702="",(TEXT(I702,"0.00")),TEXT(J702,"0.00"))&amp;"X"&amp;M702</f>
        <v>WIP-J3/2B-0.91X620</v>
      </c>
      <c r="C702" s="173" t="s">
        <v>775</v>
      </c>
      <c r="D702" s="173" t="s">
        <v>776</v>
      </c>
      <c r="E702" s="190" t="s">
        <v>2400</v>
      </c>
      <c r="F702" s="190" t="s">
        <v>2404</v>
      </c>
      <c r="G702" s="173" t="s">
        <v>34</v>
      </c>
      <c r="H702" s="173" t="s">
        <v>114</v>
      </c>
      <c r="I702" s="174">
        <v>2.2000000000000002</v>
      </c>
      <c r="J702" s="174">
        <v>0.91</v>
      </c>
      <c r="K702" s="174">
        <v>0.87</v>
      </c>
      <c r="L702" s="174">
        <v>0.9</v>
      </c>
      <c r="M702" s="191">
        <v>620</v>
      </c>
      <c r="N702" s="176">
        <v>6.6550000000000002</v>
      </c>
      <c r="O702" s="176" t="s">
        <v>114</v>
      </c>
      <c r="P702" s="177"/>
      <c r="Q702" s="178" t="s">
        <v>294</v>
      </c>
      <c r="R702" s="179"/>
      <c r="S702" s="179"/>
      <c r="T702" s="177">
        <v>44886</v>
      </c>
      <c r="U702" s="177"/>
      <c r="V702" s="177"/>
      <c r="W702" s="177">
        <v>44887</v>
      </c>
      <c r="X702" s="177">
        <v>44897</v>
      </c>
      <c r="Y702" s="177"/>
      <c r="Z702" s="177"/>
      <c r="AA702" s="177"/>
      <c r="AB702" s="177"/>
      <c r="AC702" s="177"/>
      <c r="AD702" s="180"/>
      <c r="AE702" s="173" t="s">
        <v>69</v>
      </c>
      <c r="AF702" s="181" t="s">
        <v>119</v>
      </c>
      <c r="AG702" s="192" t="s">
        <v>2387</v>
      </c>
      <c r="AH702" s="198">
        <v>44848</v>
      </c>
      <c r="AI702" s="181">
        <v>44880</v>
      </c>
      <c r="AJ702" s="181"/>
      <c r="AK702" s="181">
        <f ca="1">TODAY()</f>
        <v>44958</v>
      </c>
      <c r="AL702" s="173">
        <f ca="1">IF(AI702&lt;&gt;0,AK702-AI702,0)</f>
        <v>78</v>
      </c>
      <c r="AM702" s="173">
        <f ca="1">IF(ISNUMBER(X702)=TRUE,AK702-X702,IF(X702="","",(AK702)-(MID(RIGHT(X702,10),4,2)&amp;"/"&amp;LEFT((RIGHT(X702,10)),2)&amp;"/"&amp;RIGHT(X702,4))))</f>
        <v>61</v>
      </c>
      <c r="AN702" s="181" t="s">
        <v>2402</v>
      </c>
      <c r="AO702" s="190" t="s">
        <v>2403</v>
      </c>
      <c r="AP702" s="176">
        <v>10.058</v>
      </c>
      <c r="AQ702" s="176">
        <v>10.077999999999999</v>
      </c>
      <c r="AR702" s="176">
        <v>10.102999999999998</v>
      </c>
      <c r="AS702" s="176">
        <v>10.107999999999999</v>
      </c>
      <c r="AT702" s="173" t="str">
        <f>IF(ISNUMBER(U702)=TRUE,AK702-U702,IF(U702="","",(AK702)-(MID(RIGHT(U702,10),4,2)&amp;"/"&amp;LEFT((RIGHT(U702,10)),2)&amp;"/"&amp;RIGHT(U702,4))))</f>
        <v/>
      </c>
      <c r="AU702" s="173">
        <v>461</v>
      </c>
      <c r="AW702" s="142" t="s">
        <v>123</v>
      </c>
    </row>
    <row r="703" spans="2:49" s="142" customFormat="1" ht="21" customHeight="1" x14ac:dyDescent="0.25">
      <c r="B703" s="173" t="str">
        <f>IF(C703="HOLD RM","HOLD RM",IF(C703="BAL","WIP",IF(C703="HOLD SLT","HOLD SLT",IF(C703="MILL","RM",IF(C703="RE SLT","WIP",IF(C703="RM","RM",IF(C703="RM BAL","RM",IF(C703="RM SLT","RM",IF(C703="RR","WIP",IF(C703="SKP","WIP",IF(C703="SLT","WIP",IF(C703="CTL","WIP",IF(C703="RM SLT RUST","RM SLT RUST",0)))))))))))))&amp;"-"&amp;G703&amp;"/"&amp;IF(H703="2B","2B",IF(H703="NO.1","1D",IF(H703="FH","FH",0)))&amp;"-"&amp;IF(J703="",(TEXT(I703,"0.00")),TEXT(J703,"0.00"))&amp;"X"&amp;M703</f>
        <v>RM-J3/1D-2.20X620</v>
      </c>
      <c r="C703" s="173" t="s">
        <v>48</v>
      </c>
      <c r="D703" s="173" t="s">
        <v>48</v>
      </c>
      <c r="E703" s="190" t="s">
        <v>2405</v>
      </c>
      <c r="F703" s="190" t="s">
        <v>2406</v>
      </c>
      <c r="G703" s="173" t="s">
        <v>34</v>
      </c>
      <c r="H703" s="173" t="s">
        <v>127</v>
      </c>
      <c r="I703" s="174">
        <v>2.2000000000000002</v>
      </c>
      <c r="J703" s="174"/>
      <c r="K703" s="174"/>
      <c r="L703" s="174"/>
      <c r="M703" s="191">
        <v>620</v>
      </c>
      <c r="N703" s="176">
        <v>10.026999999999999</v>
      </c>
      <c r="O703" s="176"/>
      <c r="P703" s="177"/>
      <c r="Q703" s="178"/>
      <c r="R703" s="179"/>
      <c r="S703" s="179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80"/>
      <c r="AE703" s="173" t="s">
        <v>69</v>
      </c>
      <c r="AF703" s="181" t="s">
        <v>119</v>
      </c>
      <c r="AG703" s="192" t="s">
        <v>2387</v>
      </c>
      <c r="AH703" s="198">
        <v>44848</v>
      </c>
      <c r="AI703" s="181">
        <v>44880</v>
      </c>
      <c r="AJ703" s="181"/>
      <c r="AK703" s="181">
        <f ca="1">TODAY()</f>
        <v>44958</v>
      </c>
      <c r="AL703" s="173">
        <f ca="1">IF(AI703&lt;&gt;0,AK703-AI703,0)</f>
        <v>78</v>
      </c>
      <c r="AM703" s="173" t="str">
        <f>IF(ISNUMBER(X703)=TRUE,AK703-X703,IF(X703="","",(AK703)-(MID(RIGHT(X703,10),4,2)&amp;"/"&amp;LEFT((RIGHT(X703,10)),2)&amp;"/"&amp;RIGHT(X703,4))))</f>
        <v/>
      </c>
      <c r="AN703" s="181" t="s">
        <v>2407</v>
      </c>
      <c r="AO703" s="190" t="s">
        <v>2403</v>
      </c>
      <c r="AP703" s="176">
        <v>10.026999999999999</v>
      </c>
      <c r="AQ703" s="176">
        <v>10.046999999999999</v>
      </c>
      <c r="AR703" s="176">
        <v>10.071999999999997</v>
      </c>
      <c r="AS703" s="176">
        <v>10.076999999999998</v>
      </c>
      <c r="AT703" s="173" t="str">
        <f>IF(ISNUMBER(U703)=TRUE,AK703-U703,IF(U703="","",(AK703)-(MID(RIGHT(U703,10),4,2)&amp;"/"&amp;LEFT((RIGHT(U703,10)),2)&amp;"/"&amp;RIGHT(U703,4))))</f>
        <v/>
      </c>
      <c r="AU703" s="173">
        <v>461</v>
      </c>
      <c r="AW703" s="142" t="s">
        <v>123</v>
      </c>
    </row>
    <row r="704" spans="2:49" s="142" customFormat="1" ht="21" customHeight="1" x14ac:dyDescent="0.25">
      <c r="B704" s="173" t="str">
        <f>IF(C704="HOLD RM","HOLD RM",IF(C704="BAL","WIP",IF(C704="HOLD SLT","HOLD SLT",IF(C704="MILL","RM",IF(C704="RE SLT","WIP",IF(C704="RM","RM",IF(C704="RM BAL","RM",IF(C704="RM SLT","RM",IF(C704="RR","WIP",IF(C704="SKP","WIP",IF(C704="SLT","WIP",IF(C704="CTL","WIP",IF(C704="RM SLT RUST","RM SLT RUST",0)))))))))))))&amp;"-"&amp;G704&amp;"/"&amp;IF(H704="2B","2B",IF(H704="NO.1","1D",IF(H704="FH","FH",0)))&amp;"-"&amp;IF(J704="",(TEXT(I704,"0.00")),TEXT(J704,"0.00"))&amp;"X"&amp;M704</f>
        <v>RM-J3/1D-2.20X620</v>
      </c>
      <c r="C704" s="173" t="s">
        <v>48</v>
      </c>
      <c r="D704" s="173" t="s">
        <v>48</v>
      </c>
      <c r="E704" s="190" t="s">
        <v>2408</v>
      </c>
      <c r="F704" s="190" t="s">
        <v>2409</v>
      </c>
      <c r="G704" s="173" t="s">
        <v>34</v>
      </c>
      <c r="H704" s="173" t="s">
        <v>127</v>
      </c>
      <c r="I704" s="174">
        <v>2.2000000000000002</v>
      </c>
      <c r="J704" s="174"/>
      <c r="K704" s="174"/>
      <c r="L704" s="174"/>
      <c r="M704" s="191">
        <v>620</v>
      </c>
      <c r="N704" s="176">
        <v>10.122</v>
      </c>
      <c r="O704" s="176"/>
      <c r="P704" s="177"/>
      <c r="Q704" s="178"/>
      <c r="R704" s="179"/>
      <c r="S704" s="179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80"/>
      <c r="AE704" s="173" t="s">
        <v>69</v>
      </c>
      <c r="AF704" s="181" t="s">
        <v>119</v>
      </c>
      <c r="AG704" s="192" t="s">
        <v>2387</v>
      </c>
      <c r="AH704" s="198">
        <v>44848</v>
      </c>
      <c r="AI704" s="181">
        <v>44880</v>
      </c>
      <c r="AJ704" s="181"/>
      <c r="AK704" s="181">
        <f ca="1">TODAY()</f>
        <v>44958</v>
      </c>
      <c r="AL704" s="173">
        <f ca="1">IF(AI704&lt;&gt;0,AK704-AI704,0)</f>
        <v>78</v>
      </c>
      <c r="AM704" s="173" t="str">
        <f>IF(ISNUMBER(X704)=TRUE,AK704-X704,IF(X704="","",(AK704)-(MID(RIGHT(X704,10),4,2)&amp;"/"&amp;LEFT((RIGHT(X704,10)),2)&amp;"/"&amp;RIGHT(X704,4))))</f>
        <v/>
      </c>
      <c r="AN704" s="181" t="s">
        <v>2388</v>
      </c>
      <c r="AO704" s="190" t="s">
        <v>2410</v>
      </c>
      <c r="AP704" s="176">
        <v>10.122</v>
      </c>
      <c r="AQ704" s="176">
        <v>10.141999999999999</v>
      </c>
      <c r="AR704" s="176">
        <v>10.166999999999998</v>
      </c>
      <c r="AS704" s="176">
        <v>10.171999999999999</v>
      </c>
      <c r="AT704" s="173" t="str">
        <f>IF(ISNUMBER(U704)=TRUE,AK704-U704,IF(U704="","",(AK704)-(MID(RIGHT(U704,10),4,2)&amp;"/"&amp;LEFT((RIGHT(U704,10)),2)&amp;"/"&amp;RIGHT(U704,4))))</f>
        <v/>
      </c>
      <c r="AU704" s="173">
        <v>461</v>
      </c>
      <c r="AW704" s="142" t="s">
        <v>123</v>
      </c>
    </row>
    <row r="705" spans="2:49" s="142" customFormat="1" ht="21" customHeight="1" x14ac:dyDescent="0.25">
      <c r="B705" s="173" t="str">
        <f>IF(C705="HOLD RM","HOLD RM",IF(C705="BAL","WIP",IF(C705="HOLD SLT","HOLD SLT",IF(C705="MILL","RM",IF(C705="RE SLT","WIP",IF(C705="RM","RM",IF(C705="RM BAL","RM",IF(C705="RM SLT","RM",IF(C705="RR","WIP",IF(C705="SKP","WIP",IF(C705="SLT","WIP",IF(C705="CTL","WIP",IF(C705="RM SLT RUST","RM SLT RUST",0)))))))))))))&amp;"-"&amp;G705&amp;"/"&amp;IF(H705="2B","2B",IF(H705="NO.1","1D",IF(H705="FH","FH",0)))&amp;"-"&amp;IF(J705="",(TEXT(I705,"0.00")),TEXT(J705,"0.00"))&amp;"X"&amp;M705</f>
        <v>WIP-J3/FH-0.73X620</v>
      </c>
      <c r="C705" s="173" t="s">
        <v>16</v>
      </c>
      <c r="D705" s="173" t="s">
        <v>16</v>
      </c>
      <c r="E705" s="190" t="s">
        <v>2411</v>
      </c>
      <c r="F705" s="190" t="s">
        <v>2412</v>
      </c>
      <c r="G705" s="173" t="s">
        <v>34</v>
      </c>
      <c r="H705" s="173" t="s">
        <v>70</v>
      </c>
      <c r="I705" s="174">
        <v>2.2000000000000002</v>
      </c>
      <c r="J705" s="174">
        <v>0.73</v>
      </c>
      <c r="K705" s="174"/>
      <c r="L705" s="174"/>
      <c r="M705" s="191">
        <v>620</v>
      </c>
      <c r="N705" s="176">
        <v>10.132999999999999</v>
      </c>
      <c r="O705" s="176" t="s">
        <v>114</v>
      </c>
      <c r="P705" s="177"/>
      <c r="Q705" s="178" t="s">
        <v>361</v>
      </c>
      <c r="R705" s="179"/>
      <c r="S705" s="179"/>
      <c r="T705" s="177">
        <v>44883</v>
      </c>
      <c r="U705" s="177"/>
      <c r="V705" s="177"/>
      <c r="W705" s="177">
        <v>44886</v>
      </c>
      <c r="X705" s="177"/>
      <c r="Y705" s="177"/>
      <c r="Z705" s="177"/>
      <c r="AA705" s="177"/>
      <c r="AB705" s="177"/>
      <c r="AC705" s="177"/>
      <c r="AD705" s="180"/>
      <c r="AE705" s="173" t="s">
        <v>69</v>
      </c>
      <c r="AF705" s="181" t="s">
        <v>119</v>
      </c>
      <c r="AG705" s="192" t="s">
        <v>2387</v>
      </c>
      <c r="AH705" s="198">
        <v>44848</v>
      </c>
      <c r="AI705" s="181">
        <v>44880</v>
      </c>
      <c r="AJ705" s="181"/>
      <c r="AK705" s="181">
        <f ca="1">TODAY()</f>
        <v>44958</v>
      </c>
      <c r="AL705" s="173">
        <f ca="1">IF(AI705&lt;&gt;0,AK705-AI705,0)</f>
        <v>78</v>
      </c>
      <c r="AM705" s="173" t="str">
        <f>IF(ISNUMBER(X705)=TRUE,AK705-X705,IF(X705="","",(AK705)-(MID(RIGHT(X705,10),4,2)&amp;"/"&amp;LEFT((RIGHT(X705,10)),2)&amp;"/"&amp;RIGHT(X705,4))))</f>
        <v/>
      </c>
      <c r="AN705" s="181" t="s">
        <v>2413</v>
      </c>
      <c r="AO705" s="190" t="s">
        <v>2410</v>
      </c>
      <c r="AP705" s="176">
        <v>10.132999999999999</v>
      </c>
      <c r="AQ705" s="176">
        <v>10.152999999999999</v>
      </c>
      <c r="AR705" s="176">
        <v>10.177999999999997</v>
      </c>
      <c r="AS705" s="176">
        <v>10.182999999999998</v>
      </c>
      <c r="AT705" s="173" t="str">
        <f>IF(ISNUMBER(U705)=TRUE,AK705-U705,IF(U705="","",(AK705)-(MID(RIGHT(U705,10),4,2)&amp;"/"&amp;LEFT((RIGHT(U705,10)),2)&amp;"/"&amp;RIGHT(U705,4))))</f>
        <v/>
      </c>
      <c r="AU705" s="173">
        <v>461</v>
      </c>
      <c r="AW705" s="142" t="s">
        <v>123</v>
      </c>
    </row>
    <row r="706" spans="2:49" s="142" customFormat="1" ht="21" customHeight="1" x14ac:dyDescent="0.25">
      <c r="B706" s="173" t="str">
        <f>IF(C706="HOLD RM","HOLD RM",IF(C706="BAL","WIP",IF(C706="HOLD SLT","HOLD SLT",IF(C706="MILL","RM",IF(C706="RE SLT","WIP",IF(C706="RM","RM",IF(C706="RM BAL","RM",IF(C706="RM SLT","RM",IF(C706="RR","WIP",IF(C706="SKP","WIP",IF(C706="SLT","WIP",IF(C706="CTL","WIP",IF(C706="RM SLT RUST","RM SLT RUST",0)))))))))))))&amp;"-"&amp;G706&amp;"/"&amp;IF(H706="2B","2B",IF(H706="NO.1","1D",IF(H706="FH","FH",0)))&amp;"-"&amp;IF(J706="",(TEXT(I706,"0.00")),TEXT(J706,"0.00"))&amp;"X"&amp;M706</f>
        <v>WIP-J3/FH-1.10X620</v>
      </c>
      <c r="C706" s="173" t="s">
        <v>16</v>
      </c>
      <c r="D706" s="173" t="s">
        <v>16</v>
      </c>
      <c r="E706" s="190" t="s">
        <v>2414</v>
      </c>
      <c r="F706" s="190" t="s">
        <v>2415</v>
      </c>
      <c r="G706" s="173" t="s">
        <v>34</v>
      </c>
      <c r="H706" s="173" t="s">
        <v>70</v>
      </c>
      <c r="I706" s="174">
        <v>2.4</v>
      </c>
      <c r="J706" s="174">
        <v>1.1000000000000001</v>
      </c>
      <c r="K706" s="174"/>
      <c r="L706" s="174"/>
      <c r="M706" s="191">
        <v>620</v>
      </c>
      <c r="N706" s="176">
        <v>10.029999999999999</v>
      </c>
      <c r="O706" s="176" t="s">
        <v>114</v>
      </c>
      <c r="P706" s="177"/>
      <c r="Q706" s="178" t="s">
        <v>295</v>
      </c>
      <c r="R706" s="179"/>
      <c r="S706" s="179"/>
      <c r="T706" s="177">
        <v>44900</v>
      </c>
      <c r="U706" s="177"/>
      <c r="V706" s="177"/>
      <c r="W706" s="177">
        <v>44902</v>
      </c>
      <c r="X706" s="177"/>
      <c r="Y706" s="177"/>
      <c r="Z706" s="177"/>
      <c r="AA706" s="177"/>
      <c r="AB706" s="177"/>
      <c r="AC706" s="177"/>
      <c r="AD706" s="180"/>
      <c r="AE706" s="173" t="s">
        <v>69</v>
      </c>
      <c r="AF706" s="181" t="s">
        <v>119</v>
      </c>
      <c r="AG706" s="192" t="s">
        <v>2387</v>
      </c>
      <c r="AH706" s="198">
        <v>44848</v>
      </c>
      <c r="AI706" s="181">
        <v>44880</v>
      </c>
      <c r="AJ706" s="181"/>
      <c r="AK706" s="181">
        <f ca="1">TODAY()</f>
        <v>44958</v>
      </c>
      <c r="AL706" s="173">
        <f ca="1">IF(AI706&lt;&gt;0,AK706-AI706,0)</f>
        <v>78</v>
      </c>
      <c r="AM706" s="173" t="str">
        <f>IF(ISNUMBER(X706)=TRUE,AK706-X706,IF(X706="","",(AK706)-(MID(RIGHT(X706,10),4,2)&amp;"/"&amp;LEFT((RIGHT(X706,10)),2)&amp;"/"&amp;RIGHT(X706,4))))</f>
        <v/>
      </c>
      <c r="AN706" s="181" t="s">
        <v>2392</v>
      </c>
      <c r="AO706" s="190" t="s">
        <v>2416</v>
      </c>
      <c r="AP706" s="176">
        <v>10.029999999999999</v>
      </c>
      <c r="AQ706" s="176">
        <v>10.049999999999999</v>
      </c>
      <c r="AR706" s="176">
        <v>10.074999999999998</v>
      </c>
      <c r="AS706" s="176">
        <v>10.079999999999998</v>
      </c>
      <c r="AT706" s="173" t="str">
        <f>IF(ISNUMBER(U706)=TRUE,AK706-U706,IF(U706="","",(AK706)-(MID(RIGHT(U706,10),4,2)&amp;"/"&amp;LEFT((RIGHT(U706,10)),2)&amp;"/"&amp;RIGHT(U706,4))))</f>
        <v/>
      </c>
      <c r="AU706" s="173">
        <v>461</v>
      </c>
      <c r="AW706" s="142" t="s">
        <v>123</v>
      </c>
    </row>
    <row r="707" spans="2:49" s="142" customFormat="1" ht="21" customHeight="1" x14ac:dyDescent="0.25">
      <c r="B707" s="173" t="str">
        <f>IF(C707="HOLD RM","HOLD RM",IF(C707="BAL","WIP",IF(C707="HOLD SLT","HOLD SLT",IF(C707="MILL","RM",IF(C707="RE SLT","WIP",IF(C707="RM","RM",IF(C707="RM BAL","RM",IF(C707="RM SLT","RM",IF(C707="RR","WIP",IF(C707="SKP","WIP",IF(C707="SLT","WIP",IF(C707="CTL","WIP",IF(C707="RM SLT RUST","RM SLT RUST",0)))))))))))))&amp;"-"&amp;G707&amp;"/"&amp;IF(H707="2B","2B",IF(H707="NO.1","1D",IF(H707="FH","FH",0)))&amp;"-"&amp;IF(J707="",(TEXT(I707,"0.00")),TEXT(J707,"0.00"))&amp;"X"&amp;M707</f>
        <v>WIP-J3/FH-1.10X620</v>
      </c>
      <c r="C707" s="173" t="s">
        <v>16</v>
      </c>
      <c r="D707" s="173" t="s">
        <v>16</v>
      </c>
      <c r="E707" s="190" t="s">
        <v>2417</v>
      </c>
      <c r="F707" s="190" t="s">
        <v>2418</v>
      </c>
      <c r="G707" s="173" t="s">
        <v>34</v>
      </c>
      <c r="H707" s="173" t="s">
        <v>70</v>
      </c>
      <c r="I707" s="174">
        <v>2.4</v>
      </c>
      <c r="J707" s="174">
        <v>1.1000000000000001</v>
      </c>
      <c r="K707" s="174"/>
      <c r="L707" s="174"/>
      <c r="M707" s="191">
        <v>620</v>
      </c>
      <c r="N707" s="176">
        <v>10.034000000000001</v>
      </c>
      <c r="O707" s="176" t="s">
        <v>114</v>
      </c>
      <c r="P707" s="177"/>
      <c r="Q707" s="178" t="s">
        <v>295</v>
      </c>
      <c r="R707" s="179"/>
      <c r="S707" s="179"/>
      <c r="T707" s="177">
        <v>44894</v>
      </c>
      <c r="U707" s="177"/>
      <c r="V707" s="177"/>
      <c r="W707" s="177">
        <v>44895</v>
      </c>
      <c r="X707" s="177"/>
      <c r="Y707" s="177"/>
      <c r="Z707" s="177"/>
      <c r="AA707" s="177"/>
      <c r="AB707" s="177"/>
      <c r="AC707" s="177"/>
      <c r="AD707" s="180"/>
      <c r="AE707" s="173" t="s">
        <v>69</v>
      </c>
      <c r="AF707" s="181" t="s">
        <v>119</v>
      </c>
      <c r="AG707" s="192" t="s">
        <v>2387</v>
      </c>
      <c r="AH707" s="198">
        <v>44848</v>
      </c>
      <c r="AI707" s="181">
        <v>44880</v>
      </c>
      <c r="AJ707" s="181"/>
      <c r="AK707" s="181">
        <f ca="1">TODAY()</f>
        <v>44958</v>
      </c>
      <c r="AL707" s="173">
        <f ca="1">IF(AI707&lt;&gt;0,AK707-AI707,0)</f>
        <v>78</v>
      </c>
      <c r="AM707" s="173" t="str">
        <f>IF(ISNUMBER(X707)=TRUE,AK707-X707,IF(X707="","",(AK707)-(MID(RIGHT(X707,10),4,2)&amp;"/"&amp;LEFT((RIGHT(X707,10)),2)&amp;"/"&amp;RIGHT(X707,4))))</f>
        <v/>
      </c>
      <c r="AN707" s="181" t="s">
        <v>2419</v>
      </c>
      <c r="AO707" s="190" t="s">
        <v>2420</v>
      </c>
      <c r="AP707" s="176">
        <v>10.034000000000001</v>
      </c>
      <c r="AQ707" s="176">
        <v>10.054</v>
      </c>
      <c r="AR707" s="176">
        <v>10.078999999999999</v>
      </c>
      <c r="AS707" s="176">
        <v>10.084</v>
      </c>
      <c r="AT707" s="173" t="str">
        <f>IF(ISNUMBER(U707)=TRUE,AK707-U707,IF(U707="","",(AK707)-(MID(RIGHT(U707,10),4,2)&amp;"/"&amp;LEFT((RIGHT(U707,10)),2)&amp;"/"&amp;RIGHT(U707,4))))</f>
        <v/>
      </c>
      <c r="AU707" s="173">
        <v>461</v>
      </c>
      <c r="AW707" s="142" t="s">
        <v>123</v>
      </c>
    </row>
    <row r="708" spans="2:49" s="142" customFormat="1" ht="21" customHeight="1" x14ac:dyDescent="0.25">
      <c r="B708" s="173" t="str">
        <f>IF(C708="HOLD RM","HOLD RM",IF(C708="BAL","WIP",IF(C708="HOLD SLT","HOLD SLT",IF(C708="MILL","RM",IF(C708="RE SLT","WIP",IF(C708="RM","RM",IF(C708="RM BAL","RM",IF(C708="RM SLT","RM",IF(C708="RR","WIP",IF(C708="SKP","WIP",IF(C708="SLT","WIP",IF(C708="CTL","WIP",IF(C708="RM SLT RUST","RM SLT RUST",0)))))))))))))&amp;"-"&amp;G708&amp;"/"&amp;IF(H708="2B","2B",IF(H708="NO.1","1D",IF(H708="FH","FH",0)))&amp;"-"&amp;IF(J708="",(TEXT(I708,"0.00")),TEXT(J708,"0.00"))&amp;"X"&amp;M708</f>
        <v>WIP-J3/FH-0.95X620</v>
      </c>
      <c r="C708" s="173" t="s">
        <v>16</v>
      </c>
      <c r="D708" s="173" t="s">
        <v>16</v>
      </c>
      <c r="E708" s="190" t="s">
        <v>2421</v>
      </c>
      <c r="F708" s="190" t="s">
        <v>2422</v>
      </c>
      <c r="G708" s="173" t="s">
        <v>34</v>
      </c>
      <c r="H708" s="173" t="s">
        <v>70</v>
      </c>
      <c r="I708" s="174">
        <v>2.4</v>
      </c>
      <c r="J708" s="174">
        <v>0.95</v>
      </c>
      <c r="K708" s="174"/>
      <c r="L708" s="174"/>
      <c r="M708" s="191">
        <v>620</v>
      </c>
      <c r="N708" s="176">
        <v>10.09</v>
      </c>
      <c r="O708" s="176" t="s">
        <v>114</v>
      </c>
      <c r="P708" s="177"/>
      <c r="Q708" s="178" t="s">
        <v>295</v>
      </c>
      <c r="R708" s="179"/>
      <c r="S708" s="179"/>
      <c r="T708" s="177">
        <v>44896</v>
      </c>
      <c r="U708" s="177"/>
      <c r="V708" s="177"/>
      <c r="W708" s="177">
        <v>44897</v>
      </c>
      <c r="X708" s="177"/>
      <c r="Y708" s="177"/>
      <c r="Z708" s="177"/>
      <c r="AA708" s="177"/>
      <c r="AB708" s="177"/>
      <c r="AC708" s="177"/>
      <c r="AD708" s="180"/>
      <c r="AE708" s="173" t="s">
        <v>69</v>
      </c>
      <c r="AF708" s="181" t="s">
        <v>119</v>
      </c>
      <c r="AG708" s="192" t="s">
        <v>2387</v>
      </c>
      <c r="AH708" s="198">
        <v>44848</v>
      </c>
      <c r="AI708" s="181">
        <v>44880</v>
      </c>
      <c r="AJ708" s="181"/>
      <c r="AK708" s="181">
        <f ca="1">TODAY()</f>
        <v>44958</v>
      </c>
      <c r="AL708" s="173">
        <f ca="1">IF(AI708&lt;&gt;0,AK708-AI708,0)</f>
        <v>78</v>
      </c>
      <c r="AM708" s="173" t="str">
        <f>IF(ISNUMBER(X708)=TRUE,AK708-X708,IF(X708="","",(AK708)-(MID(RIGHT(X708,10),4,2)&amp;"/"&amp;LEFT((RIGHT(X708,10)),2)&amp;"/"&amp;RIGHT(X708,4))))</f>
        <v/>
      </c>
      <c r="AN708" s="181" t="s">
        <v>2423</v>
      </c>
      <c r="AO708" s="190" t="s">
        <v>2424</v>
      </c>
      <c r="AP708" s="176">
        <v>10.09</v>
      </c>
      <c r="AQ708" s="176">
        <v>10.11</v>
      </c>
      <c r="AR708" s="176">
        <v>10.134999999999998</v>
      </c>
      <c r="AS708" s="176">
        <v>10.139999999999999</v>
      </c>
      <c r="AT708" s="173" t="str">
        <f>IF(ISNUMBER(U708)=TRUE,AK708-U708,IF(U708="","",(AK708)-(MID(RIGHT(U708,10),4,2)&amp;"/"&amp;LEFT((RIGHT(U708,10)),2)&amp;"/"&amp;RIGHT(U708,4))))</f>
        <v/>
      </c>
      <c r="AU708" s="173">
        <v>461</v>
      </c>
      <c r="AW708" s="142" t="s">
        <v>123</v>
      </c>
    </row>
    <row r="709" spans="2:49" s="142" customFormat="1" ht="21" customHeight="1" x14ac:dyDescent="0.25">
      <c r="B709" s="173" t="str">
        <f>IF(C709="HOLD RM","HOLD RM",IF(C709="BAL","WIP",IF(C709="HOLD SLT","HOLD SLT",IF(C709="MILL","RM",IF(C709="RE SLT","WIP",IF(C709="RM","RM",IF(C709="RM BAL","RM",IF(C709="RM SLT","RM",IF(C709="RR","WIP",IF(C709="SKP","WIP",IF(C709="SLT","WIP",IF(C709="CTL","WIP",IF(C709="RM SLT RUST","RM SLT RUST",0)))))))))))))&amp;"-"&amp;G709&amp;"/"&amp;IF(H709="2B","2B",IF(H709="NO.1","1D",IF(H709="FH","FH",0)))&amp;"-"&amp;IF(J709="",(TEXT(I709,"0.00")),TEXT(J709,"0.00"))&amp;"X"&amp;M709</f>
        <v>WIP-J3/FH-1.10X620</v>
      </c>
      <c r="C709" s="173" t="s">
        <v>16</v>
      </c>
      <c r="D709" s="173" t="s">
        <v>16</v>
      </c>
      <c r="E709" s="190" t="s">
        <v>2425</v>
      </c>
      <c r="F709" s="190" t="s">
        <v>2426</v>
      </c>
      <c r="G709" s="173" t="s">
        <v>34</v>
      </c>
      <c r="H709" s="173" t="s">
        <v>70</v>
      </c>
      <c r="I709" s="174">
        <v>2.4</v>
      </c>
      <c r="J709" s="174">
        <v>1.1000000000000001</v>
      </c>
      <c r="K709" s="174"/>
      <c r="L709" s="174"/>
      <c r="M709" s="191">
        <v>620</v>
      </c>
      <c r="N709" s="176">
        <v>9.77</v>
      </c>
      <c r="O709" s="176" t="s">
        <v>114</v>
      </c>
      <c r="P709" s="177"/>
      <c r="Q709" s="178" t="s">
        <v>295</v>
      </c>
      <c r="R709" s="179"/>
      <c r="S709" s="179"/>
      <c r="T709" s="177">
        <v>44897</v>
      </c>
      <c r="U709" s="177">
        <v>44947</v>
      </c>
      <c r="V709" s="177"/>
      <c r="W709" s="177">
        <v>44901</v>
      </c>
      <c r="X709" s="177"/>
      <c r="Y709" s="177"/>
      <c r="Z709" s="177"/>
      <c r="AA709" s="177"/>
      <c r="AB709" s="177"/>
      <c r="AC709" s="177"/>
      <c r="AD709" s="180"/>
      <c r="AE709" s="173" t="s">
        <v>69</v>
      </c>
      <c r="AF709" s="181" t="s">
        <v>119</v>
      </c>
      <c r="AG709" s="192" t="s">
        <v>2387</v>
      </c>
      <c r="AH709" s="198">
        <v>44848</v>
      </c>
      <c r="AI709" s="181">
        <v>44880</v>
      </c>
      <c r="AJ709" s="181"/>
      <c r="AK709" s="181">
        <f ca="1">TODAY()</f>
        <v>44958</v>
      </c>
      <c r="AL709" s="173">
        <f ca="1">IF(AI709&lt;&gt;0,AK709-AI709,0)</f>
        <v>78</v>
      </c>
      <c r="AM709" s="173" t="str">
        <f>IF(ISNUMBER(X709)=TRUE,AK709-X709,IF(X709="","",(AK709)-(MID(RIGHT(X709,10),4,2)&amp;"/"&amp;LEFT((RIGHT(X709,10)),2)&amp;"/"&amp;RIGHT(X709,4))))</f>
        <v/>
      </c>
      <c r="AN709" s="181" t="s">
        <v>2427</v>
      </c>
      <c r="AO709" s="190" t="s">
        <v>2428</v>
      </c>
      <c r="AP709" s="176">
        <v>9.77</v>
      </c>
      <c r="AQ709" s="176">
        <v>9.7899999999999991</v>
      </c>
      <c r="AR709" s="176">
        <v>9.8149999999999977</v>
      </c>
      <c r="AS709" s="176">
        <v>9.8199999999999985</v>
      </c>
      <c r="AT709" s="173">
        <f ca="1">IF(ISNUMBER(U709)=TRUE,AK709-U709,IF(U709="","",(AK709)-(MID(RIGHT(U709,10),4,2)&amp;"/"&amp;LEFT((RIGHT(U709,10)),2)&amp;"/"&amp;RIGHT(U709,4))))</f>
        <v>11</v>
      </c>
      <c r="AU709" s="173">
        <v>461</v>
      </c>
      <c r="AW709" s="142" t="s">
        <v>123</v>
      </c>
    </row>
    <row r="710" spans="2:49" s="142" customFormat="1" ht="21" customHeight="1" x14ac:dyDescent="0.25">
      <c r="B710" s="173" t="str">
        <f>IF(C710="HOLD RM","HOLD RM",IF(C710="BAL","WIP",IF(C710="HOLD SLT","HOLD SLT",IF(C710="MILL","RM",IF(C710="RE SLT","WIP",IF(C710="RM","RM",IF(C710="RM BAL","RM",IF(C710="RM SLT","RM",IF(C710="RR","WIP",IF(C710="SKP","WIP",IF(C710="SLT","WIP",IF(C710="CTL","WIP",IF(C710="RM SLT RUST","RM SLT RUST",0)))))))))))))&amp;"-"&amp;G710&amp;"/"&amp;IF(H710="2B","2B",IF(H710="NO.1","1D",IF(H710="FH","FH",0)))&amp;"-"&amp;IF(J710="",(TEXT(I710,"0.00")),TEXT(J710,"0.00"))&amp;"X"&amp;M710</f>
        <v>WIP-J3/FH-1.40X620</v>
      </c>
      <c r="C710" s="173" t="s">
        <v>16</v>
      </c>
      <c r="D710" s="173" t="s">
        <v>16</v>
      </c>
      <c r="E710" s="190" t="s">
        <v>2429</v>
      </c>
      <c r="F710" s="190" t="s">
        <v>2430</v>
      </c>
      <c r="G710" s="173" t="s">
        <v>34</v>
      </c>
      <c r="H710" s="173" t="s">
        <v>70</v>
      </c>
      <c r="I710" s="174">
        <v>2.4</v>
      </c>
      <c r="J710" s="174">
        <v>1.4</v>
      </c>
      <c r="K710" s="174"/>
      <c r="L710" s="174"/>
      <c r="M710" s="191">
        <v>620</v>
      </c>
      <c r="N710" s="176">
        <v>9.73</v>
      </c>
      <c r="O710" s="176" t="s">
        <v>114</v>
      </c>
      <c r="P710" s="177"/>
      <c r="Q710" s="178" t="s">
        <v>295</v>
      </c>
      <c r="R710" s="179"/>
      <c r="S710" s="179"/>
      <c r="T710" s="177">
        <v>44903</v>
      </c>
      <c r="U710" s="177"/>
      <c r="V710" s="177"/>
      <c r="W710" s="177">
        <v>44904</v>
      </c>
      <c r="X710" s="177"/>
      <c r="Y710" s="177"/>
      <c r="Z710" s="177"/>
      <c r="AA710" s="177"/>
      <c r="AB710" s="177"/>
      <c r="AC710" s="177"/>
      <c r="AD710" s="180"/>
      <c r="AE710" s="173" t="s">
        <v>69</v>
      </c>
      <c r="AF710" s="181" t="s">
        <v>119</v>
      </c>
      <c r="AG710" s="192" t="s">
        <v>2387</v>
      </c>
      <c r="AH710" s="198">
        <v>44848</v>
      </c>
      <c r="AI710" s="181">
        <v>44880</v>
      </c>
      <c r="AJ710" s="181"/>
      <c r="AK710" s="181">
        <f ca="1">TODAY()</f>
        <v>44958</v>
      </c>
      <c r="AL710" s="173">
        <f ca="1">IF(AI710&lt;&gt;0,AK710-AI710,0)</f>
        <v>78</v>
      </c>
      <c r="AM710" s="173" t="str">
        <f>IF(ISNUMBER(X710)=TRUE,AK710-X710,IF(X710="","",(AK710)-(MID(RIGHT(X710,10),4,2)&amp;"/"&amp;LEFT((RIGHT(X710,10)),2)&amp;"/"&amp;RIGHT(X710,4))))</f>
        <v/>
      </c>
      <c r="AN710" s="181" t="s">
        <v>2419</v>
      </c>
      <c r="AO710" s="190" t="s">
        <v>2428</v>
      </c>
      <c r="AP710" s="176">
        <v>9.73</v>
      </c>
      <c r="AQ710" s="176">
        <v>9.75</v>
      </c>
      <c r="AR710" s="176">
        <v>9.7749999999999986</v>
      </c>
      <c r="AS710" s="176">
        <v>9.7799999999999994</v>
      </c>
      <c r="AT710" s="173" t="str">
        <f>IF(ISNUMBER(U710)=TRUE,AK710-U710,IF(U710="","",(AK710)-(MID(RIGHT(U710,10),4,2)&amp;"/"&amp;LEFT((RIGHT(U710,10)),2)&amp;"/"&amp;RIGHT(U710,4))))</f>
        <v/>
      </c>
      <c r="AU710" s="173">
        <v>461</v>
      </c>
      <c r="AW710" s="142" t="s">
        <v>123</v>
      </c>
    </row>
    <row r="711" spans="2:49" s="142" customFormat="1" ht="21" customHeight="1" x14ac:dyDescent="0.25">
      <c r="B711" s="173" t="str">
        <f>IF(C711="HOLD RM","HOLD RM",IF(C711="BAL","WIP",IF(C711="HOLD SLT","HOLD SLT",IF(C711="MILL","RM",IF(C711="RE SLT","WIP",IF(C711="RM","RM",IF(C711="RM BAL","RM",IF(C711="RM SLT","RM",IF(C711="RR","WIP",IF(C711="SKP","WIP",IF(C711="SLT","WIP",IF(C711="CTL","WIP",IF(C711="RM SLT RUST","RM SLT RUST",0)))))))))))))&amp;"-"&amp;G711&amp;"/"&amp;IF(H711="2B","2B",IF(H711="NO.1","1D",IF(H711="FH","FH",0)))&amp;"-"&amp;IF(J711="",(TEXT(I711,"0.00")),TEXT(J711,"0.00"))&amp;"X"&amp;M711</f>
        <v>RM-J3/1D-2.20X620</v>
      </c>
      <c r="C711" s="173" t="s">
        <v>48</v>
      </c>
      <c r="D711" s="173" t="s">
        <v>48</v>
      </c>
      <c r="E711" s="190" t="s">
        <v>2431</v>
      </c>
      <c r="F711" s="190" t="s">
        <v>2432</v>
      </c>
      <c r="G711" s="173" t="s">
        <v>34</v>
      </c>
      <c r="H711" s="173" t="s">
        <v>127</v>
      </c>
      <c r="I711" s="174">
        <v>2.2000000000000002</v>
      </c>
      <c r="J711" s="174"/>
      <c r="K711" s="174"/>
      <c r="L711" s="174"/>
      <c r="M711" s="191">
        <v>620</v>
      </c>
      <c r="N711" s="176">
        <v>10.07</v>
      </c>
      <c r="O711" s="176"/>
      <c r="P711" s="177"/>
      <c r="Q711" s="178"/>
      <c r="R711" s="179"/>
      <c r="S711" s="179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80"/>
      <c r="AE711" s="173" t="s">
        <v>69</v>
      </c>
      <c r="AF711" s="181" t="s">
        <v>119</v>
      </c>
      <c r="AG711" s="192" t="s">
        <v>2387</v>
      </c>
      <c r="AH711" s="198">
        <v>44848</v>
      </c>
      <c r="AI711" s="181">
        <v>44880</v>
      </c>
      <c r="AJ711" s="181"/>
      <c r="AK711" s="181">
        <f ca="1">TODAY()</f>
        <v>44958</v>
      </c>
      <c r="AL711" s="173">
        <f ca="1">IF(AI711&lt;&gt;0,AK711-AI711,0)</f>
        <v>78</v>
      </c>
      <c r="AM711" s="173" t="str">
        <f>IF(ISNUMBER(X711)=TRUE,AK711-X711,IF(X711="","",(AK711)-(MID(RIGHT(X711,10),4,2)&amp;"/"&amp;LEFT((RIGHT(X711,10)),2)&amp;"/"&amp;RIGHT(X711,4))))</f>
        <v/>
      </c>
      <c r="AN711" s="181" t="s">
        <v>2399</v>
      </c>
      <c r="AO711" s="190" t="s">
        <v>2433</v>
      </c>
      <c r="AP711" s="176">
        <v>10.07</v>
      </c>
      <c r="AQ711" s="176">
        <v>10.09</v>
      </c>
      <c r="AR711" s="176">
        <v>10.114999999999998</v>
      </c>
      <c r="AS711" s="176">
        <v>10.119999999999999</v>
      </c>
      <c r="AT711" s="173" t="str">
        <f>IF(ISNUMBER(U711)=TRUE,AK711-U711,IF(U711="","",(AK711)-(MID(RIGHT(U711,10),4,2)&amp;"/"&amp;LEFT((RIGHT(U711,10)),2)&amp;"/"&amp;RIGHT(U711,4))))</f>
        <v/>
      </c>
      <c r="AU711" s="173">
        <v>461</v>
      </c>
      <c r="AW711" s="142" t="s">
        <v>123</v>
      </c>
    </row>
    <row r="712" spans="2:49" s="142" customFormat="1" ht="21" customHeight="1" x14ac:dyDescent="0.25">
      <c r="B712" s="173" t="str">
        <f>IF(C712="HOLD RM","HOLD RM",IF(C712="BAL","WIP",IF(C712="HOLD SLT","HOLD SLT",IF(C712="MILL","RM",IF(C712="RE SLT","WIP",IF(C712="RM","RM",IF(C712="RM BAL","RM",IF(C712="RM SLT","RM",IF(C712="RR","WIP",IF(C712="SKP","WIP",IF(C712="SLT","WIP",IF(C712="CTL","WIP",IF(C712="RM SLT RUST","RM SLT RUST",0)))))))))))))&amp;"-"&amp;G712&amp;"/"&amp;IF(H712="2B","2B",IF(H712="NO.1","1D",IF(H712="FH","FH",0)))&amp;"-"&amp;IF(J712="",(TEXT(I712,"0.00")),TEXT(J712,"0.00"))&amp;"X"&amp;M712</f>
        <v>RM-J3/1D-2.20X620</v>
      </c>
      <c r="C712" s="173" t="s">
        <v>48</v>
      </c>
      <c r="D712" s="173" t="s">
        <v>48</v>
      </c>
      <c r="E712" s="190" t="s">
        <v>2434</v>
      </c>
      <c r="F712" s="190" t="s">
        <v>2435</v>
      </c>
      <c r="G712" s="173" t="s">
        <v>34</v>
      </c>
      <c r="H712" s="173" t="s">
        <v>127</v>
      </c>
      <c r="I712" s="174">
        <v>2.2000000000000002</v>
      </c>
      <c r="J712" s="174"/>
      <c r="K712" s="174"/>
      <c r="L712" s="174"/>
      <c r="M712" s="191">
        <v>620</v>
      </c>
      <c r="N712" s="176">
        <v>10.11</v>
      </c>
      <c r="O712" s="176"/>
      <c r="P712" s="177"/>
      <c r="Q712" s="178"/>
      <c r="R712" s="179"/>
      <c r="S712" s="179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80"/>
      <c r="AE712" s="173" t="s">
        <v>69</v>
      </c>
      <c r="AF712" s="181" t="s">
        <v>119</v>
      </c>
      <c r="AG712" s="192" t="s">
        <v>2387</v>
      </c>
      <c r="AH712" s="198">
        <v>44848</v>
      </c>
      <c r="AI712" s="181">
        <v>44880</v>
      </c>
      <c r="AJ712" s="181"/>
      <c r="AK712" s="181">
        <f ca="1">TODAY()</f>
        <v>44958</v>
      </c>
      <c r="AL712" s="173">
        <f ca="1">IF(AI712&lt;&gt;0,AK712-AI712,0)</f>
        <v>78</v>
      </c>
      <c r="AM712" s="173" t="str">
        <f>IF(ISNUMBER(X712)=TRUE,AK712-X712,IF(X712="","",(AK712)-(MID(RIGHT(X712,10),4,2)&amp;"/"&amp;LEFT((RIGHT(X712,10)),2)&amp;"/"&amp;RIGHT(X712,4))))</f>
        <v/>
      </c>
      <c r="AN712" s="181" t="s">
        <v>2407</v>
      </c>
      <c r="AO712" s="190" t="s">
        <v>2433</v>
      </c>
      <c r="AP712" s="176">
        <v>10.11</v>
      </c>
      <c r="AQ712" s="176">
        <v>10.129999999999999</v>
      </c>
      <c r="AR712" s="176">
        <v>10.154999999999998</v>
      </c>
      <c r="AS712" s="176">
        <v>10.159999999999998</v>
      </c>
      <c r="AT712" s="173" t="str">
        <f>IF(ISNUMBER(U712)=TRUE,AK712-U712,IF(U712="","",(AK712)-(MID(RIGHT(U712,10),4,2)&amp;"/"&amp;LEFT((RIGHT(U712,10)),2)&amp;"/"&amp;RIGHT(U712,4))))</f>
        <v/>
      </c>
      <c r="AU712" s="173">
        <v>461</v>
      </c>
      <c r="AW712" s="142" t="s">
        <v>123</v>
      </c>
    </row>
    <row r="713" spans="2:49" s="142" customFormat="1" ht="21" customHeight="1" x14ac:dyDescent="0.25">
      <c r="B713" s="173" t="str">
        <f>IF(C713="HOLD RM","HOLD RM",IF(C713="BAL","WIP",IF(C713="HOLD SLT","HOLD SLT",IF(C713="MILL","RM",IF(C713="RE SLT","WIP",IF(C713="RM","RM",IF(C713="RM BAL","RM",IF(C713="RM SLT","RM",IF(C713="RR","WIP",IF(C713="SKP","WIP",IF(C713="SLT","WIP",IF(C713="CTL","WIP",IF(C713="RM SLT RUST","RM SLT RUST",0)))))))))))))&amp;"-"&amp;G713&amp;"/"&amp;IF(H713="2B","2B",IF(H713="NO.1","1D",IF(H713="FH","FH",0)))&amp;"-"&amp;IF(J713="",(TEXT(I713,"0.00")),TEXT(J713,"0.00"))&amp;"X"&amp;M713</f>
        <v>RM-J3/1D-2.20X620</v>
      </c>
      <c r="C713" s="173" t="s">
        <v>48</v>
      </c>
      <c r="D713" s="173" t="s">
        <v>48</v>
      </c>
      <c r="E713" s="190" t="s">
        <v>2436</v>
      </c>
      <c r="F713" s="190" t="s">
        <v>2437</v>
      </c>
      <c r="G713" s="173" t="s">
        <v>34</v>
      </c>
      <c r="H713" s="173" t="s">
        <v>127</v>
      </c>
      <c r="I713" s="174">
        <v>2.2000000000000002</v>
      </c>
      <c r="J713" s="174"/>
      <c r="K713" s="174"/>
      <c r="L713" s="174"/>
      <c r="M713" s="191">
        <v>620</v>
      </c>
      <c r="N713" s="176">
        <v>10.038</v>
      </c>
      <c r="O713" s="176"/>
      <c r="P713" s="177"/>
      <c r="Q713" s="178"/>
      <c r="R713" s="179"/>
      <c r="S713" s="179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80"/>
      <c r="AE713" s="173" t="s">
        <v>69</v>
      </c>
      <c r="AF713" s="181" t="s">
        <v>119</v>
      </c>
      <c r="AG713" s="192" t="s">
        <v>2387</v>
      </c>
      <c r="AH713" s="198">
        <v>44848</v>
      </c>
      <c r="AI713" s="181">
        <v>44880</v>
      </c>
      <c r="AJ713" s="181"/>
      <c r="AK713" s="181">
        <f ca="1">TODAY()</f>
        <v>44958</v>
      </c>
      <c r="AL713" s="173">
        <f ca="1">IF(AI713&lt;&gt;0,AK713-AI713,0)</f>
        <v>78</v>
      </c>
      <c r="AM713" s="173" t="str">
        <f>IF(ISNUMBER(X713)=TRUE,AK713-X713,IF(X713="","",(AK713)-(MID(RIGHT(X713,10),4,2)&amp;"/"&amp;LEFT((RIGHT(X713,10)),2)&amp;"/"&amp;RIGHT(X713,4))))</f>
        <v/>
      </c>
      <c r="AN713" s="181" t="s">
        <v>2423</v>
      </c>
      <c r="AO713" s="190" t="s">
        <v>2438</v>
      </c>
      <c r="AP713" s="176">
        <v>10.038</v>
      </c>
      <c r="AQ713" s="176">
        <v>10.058</v>
      </c>
      <c r="AR713" s="176">
        <v>10.082999999999998</v>
      </c>
      <c r="AS713" s="176">
        <v>10.087999999999999</v>
      </c>
      <c r="AT713" s="173" t="str">
        <f>IF(ISNUMBER(U713)=TRUE,AK713-U713,IF(U713="","",(AK713)-(MID(RIGHT(U713,10),4,2)&amp;"/"&amp;LEFT((RIGHT(U713,10)),2)&amp;"/"&amp;RIGHT(U713,4))))</f>
        <v/>
      </c>
      <c r="AU713" s="173">
        <v>461</v>
      </c>
      <c r="AW713" s="142" t="s">
        <v>123</v>
      </c>
    </row>
    <row r="714" spans="2:49" s="142" customFormat="1" ht="21" customHeight="1" x14ac:dyDescent="0.25">
      <c r="B714" s="173" t="str">
        <f>IF(C714="HOLD RM","HOLD RM",IF(C714="BAL","WIP",IF(C714="HOLD SLT","HOLD SLT",IF(C714="MILL","RM",IF(C714="RE SLT","WIP",IF(C714="RM","RM",IF(C714="RM BAL","RM",IF(C714="RM SLT","RM",IF(C714="RR","WIP",IF(C714="SKP","WIP",IF(C714="SLT","WIP",IF(C714="CTL","WIP",IF(C714="RM SLT RUST","RM SLT RUST",0)))))))))))))&amp;"-"&amp;G714&amp;"/"&amp;IF(H714="2B","2B",IF(H714="NO.1","1D",IF(H714="FH","FH",0)))&amp;"-"&amp;IF(J714="",(TEXT(I714,"0.00")),TEXT(J714,"0.00"))&amp;"X"&amp;M714</f>
        <v>WIP-J3/FH-0.73X620</v>
      </c>
      <c r="C714" s="173" t="s">
        <v>16</v>
      </c>
      <c r="D714" s="173" t="s">
        <v>16</v>
      </c>
      <c r="E714" s="190" t="s">
        <v>2439</v>
      </c>
      <c r="F714" s="190" t="s">
        <v>2440</v>
      </c>
      <c r="G714" s="173" t="s">
        <v>34</v>
      </c>
      <c r="H714" s="173" t="s">
        <v>70</v>
      </c>
      <c r="I714" s="174">
        <v>2.2000000000000002</v>
      </c>
      <c r="J714" s="174">
        <v>0.73</v>
      </c>
      <c r="K714" s="174"/>
      <c r="L714" s="174"/>
      <c r="M714" s="191">
        <v>620</v>
      </c>
      <c r="N714" s="176">
        <v>5.0410000000000004</v>
      </c>
      <c r="O714" s="176" t="s">
        <v>114</v>
      </c>
      <c r="P714" s="177"/>
      <c r="Q714" s="178" t="s">
        <v>361</v>
      </c>
      <c r="R714" s="179"/>
      <c r="S714" s="179"/>
      <c r="T714" s="177">
        <v>44886</v>
      </c>
      <c r="U714" s="177"/>
      <c r="V714" s="177"/>
      <c r="W714" s="177">
        <v>44896</v>
      </c>
      <c r="X714" s="177"/>
      <c r="Y714" s="177"/>
      <c r="Z714" s="177"/>
      <c r="AA714" s="177"/>
      <c r="AB714" s="177"/>
      <c r="AC714" s="177"/>
      <c r="AD714" s="180"/>
      <c r="AE714" s="173" t="s">
        <v>69</v>
      </c>
      <c r="AF714" s="181" t="s">
        <v>119</v>
      </c>
      <c r="AG714" s="192" t="s">
        <v>2387</v>
      </c>
      <c r="AH714" s="198">
        <v>44848</v>
      </c>
      <c r="AI714" s="181">
        <v>44880</v>
      </c>
      <c r="AJ714" s="181"/>
      <c r="AK714" s="181">
        <f ca="1">TODAY()</f>
        <v>44958</v>
      </c>
      <c r="AL714" s="173">
        <f ca="1">IF(AI714&lt;&gt;0,AK714-AI714,0)</f>
        <v>78</v>
      </c>
      <c r="AM714" s="173" t="str">
        <f>IF(ISNUMBER(X714)=TRUE,AK714-X714,IF(X714="","",(AK714)-(MID(RIGHT(X714,10),4,2)&amp;"/"&amp;LEFT((RIGHT(X714,10)),2)&amp;"/"&amp;RIGHT(X714,4))))</f>
        <v/>
      </c>
      <c r="AN714" s="181" t="s">
        <v>2402</v>
      </c>
      <c r="AO714" s="190" t="s">
        <v>2438</v>
      </c>
      <c r="AP714" s="176">
        <v>10.082000000000001</v>
      </c>
      <c r="AQ714" s="176">
        <v>10.102</v>
      </c>
      <c r="AR714" s="176">
        <v>10.126999999999999</v>
      </c>
      <c r="AS714" s="176">
        <v>10.132</v>
      </c>
      <c r="AT714" s="173" t="str">
        <f>IF(ISNUMBER(U714)=TRUE,AK714-U714,IF(U714="","",(AK714)-(MID(RIGHT(U714,10),4,2)&amp;"/"&amp;LEFT((RIGHT(U714,10)),2)&amp;"/"&amp;RIGHT(U714,4))))</f>
        <v/>
      </c>
      <c r="AU714" s="173">
        <v>461</v>
      </c>
      <c r="AW714" s="142" t="s">
        <v>123</v>
      </c>
    </row>
    <row r="715" spans="2:49" s="142" customFormat="1" ht="21" customHeight="1" x14ac:dyDescent="0.25">
      <c r="B715" s="173" t="str">
        <f>IF(C715="HOLD RM","HOLD RM",IF(C715="BAL","WIP",IF(C715="HOLD SLT","HOLD SLT",IF(C715="MILL","RM",IF(C715="RE SLT","WIP",IF(C715="RM","RM",IF(C715="RM BAL","RM",IF(C715="RM SLT","RM",IF(C715="RR","WIP",IF(C715="SKP","WIP",IF(C715="SLT","WIP",IF(C715="CTL","WIP",IF(C715="RM SLT RUST","RM SLT RUST",0)))))))))))))&amp;"-"&amp;G715&amp;"/"&amp;IF(H715="2B","2B",IF(H715="NO.1","1D",IF(H715="FH","FH",0)))&amp;"-"&amp;IF(J715="",(TEXT(I715,"0.00")),TEXT(J715,"0.00"))&amp;"X"&amp;M715</f>
        <v>WIP-J3/FH-0.73X620</v>
      </c>
      <c r="C715" s="173" t="s">
        <v>16</v>
      </c>
      <c r="D715" s="173" t="s">
        <v>16</v>
      </c>
      <c r="E715" s="190" t="s">
        <v>2439</v>
      </c>
      <c r="F715" s="190" t="s">
        <v>2441</v>
      </c>
      <c r="G715" s="173" t="s">
        <v>34</v>
      </c>
      <c r="H715" s="173" t="s">
        <v>70</v>
      </c>
      <c r="I715" s="174">
        <v>2.2000000000000002</v>
      </c>
      <c r="J715" s="174">
        <v>0.73</v>
      </c>
      <c r="K715" s="174"/>
      <c r="L715" s="174"/>
      <c r="M715" s="191">
        <v>620</v>
      </c>
      <c r="N715" s="176">
        <v>5.0410000000000004</v>
      </c>
      <c r="O715" s="176" t="s">
        <v>114</v>
      </c>
      <c r="P715" s="177"/>
      <c r="Q715" s="178" t="s">
        <v>361</v>
      </c>
      <c r="R715" s="179"/>
      <c r="S715" s="179"/>
      <c r="T715" s="177">
        <v>44886</v>
      </c>
      <c r="U715" s="177"/>
      <c r="V715" s="177"/>
      <c r="W715" s="177">
        <v>44896</v>
      </c>
      <c r="X715" s="177"/>
      <c r="Y715" s="177"/>
      <c r="Z715" s="177">
        <v>44941</v>
      </c>
      <c r="AA715" s="177"/>
      <c r="AB715" s="177"/>
      <c r="AC715" s="177"/>
      <c r="AD715" s="180"/>
      <c r="AE715" s="173" t="s">
        <v>69</v>
      </c>
      <c r="AF715" s="181" t="s">
        <v>119</v>
      </c>
      <c r="AG715" s="192" t="s">
        <v>2387</v>
      </c>
      <c r="AH715" s="198">
        <v>44848</v>
      </c>
      <c r="AI715" s="181">
        <v>44880</v>
      </c>
      <c r="AJ715" s="181"/>
      <c r="AK715" s="181">
        <f ca="1">TODAY()</f>
        <v>44958</v>
      </c>
      <c r="AL715" s="173">
        <f ca="1">IF(AI715&lt;&gt;0,AK715-AI715,0)</f>
        <v>78</v>
      </c>
      <c r="AM715" s="173" t="str">
        <f>IF(ISNUMBER(X715)=TRUE,AK715-X715,IF(X715="","",(AK715)-(MID(RIGHT(X715,10),4,2)&amp;"/"&amp;LEFT((RIGHT(X715,10)),2)&amp;"/"&amp;RIGHT(X715,4))))</f>
        <v/>
      </c>
      <c r="AN715" s="181" t="s">
        <v>2402</v>
      </c>
      <c r="AO715" s="190" t="s">
        <v>2438</v>
      </c>
      <c r="AP715" s="176">
        <v>10.082000000000001</v>
      </c>
      <c r="AQ715" s="176">
        <v>10.102</v>
      </c>
      <c r="AR715" s="176">
        <v>10.126999999999999</v>
      </c>
      <c r="AS715" s="176">
        <v>10.132</v>
      </c>
      <c r="AT715" s="173" t="str">
        <f>IF(ISNUMBER(U715)=TRUE,AK715-U715,IF(U715="","",(AK715)-(MID(RIGHT(U715,10),4,2)&amp;"/"&amp;LEFT((RIGHT(U715,10)),2)&amp;"/"&amp;RIGHT(U715,4))))</f>
        <v/>
      </c>
      <c r="AU715" s="173">
        <v>461</v>
      </c>
      <c r="AW715" s="142" t="s">
        <v>123</v>
      </c>
    </row>
    <row r="716" spans="2:49" s="142" customFormat="1" ht="21" customHeight="1" x14ac:dyDescent="0.25">
      <c r="B716" s="173" t="str">
        <f>IF(C716="HOLD RM","HOLD RM",IF(C716="BAL","WIP",IF(C716="HOLD SLT","HOLD SLT",IF(C716="MILL","RM",IF(C716="RE SLT","WIP",IF(C716="RM","RM",IF(C716="RM BAL","RM",IF(C716="RM SLT","RM",IF(C716="RR","WIP",IF(C716="SKP","WIP",IF(C716="SLT","WIP",IF(C716="CTL","WIP",IF(C716="RM SLT RUST","RM SLT RUST",0)))))))))))))&amp;"-"&amp;G716&amp;"/"&amp;IF(H716="2B","2B",IF(H716="NO.1","1D",IF(H716="FH","FH",0)))&amp;"-"&amp;IF(J716="",(TEXT(I716,"0.00")),TEXT(J716,"0.00"))&amp;"X"&amp;M716</f>
        <v>WIP-304L/FH-1.45X771</v>
      </c>
      <c r="C716" s="173" t="s">
        <v>16</v>
      </c>
      <c r="D716" s="173" t="s">
        <v>16</v>
      </c>
      <c r="E716" s="190" t="s">
        <v>2442</v>
      </c>
      <c r="F716" s="190" t="s">
        <v>2443</v>
      </c>
      <c r="G716" s="173" t="s">
        <v>182</v>
      </c>
      <c r="H716" s="173" t="s">
        <v>70</v>
      </c>
      <c r="I716" s="174">
        <v>3.93</v>
      </c>
      <c r="J716" s="174">
        <v>1.45</v>
      </c>
      <c r="K716" s="174"/>
      <c r="L716" s="174"/>
      <c r="M716" s="191">
        <v>771</v>
      </c>
      <c r="N716" s="176">
        <v>10.24</v>
      </c>
      <c r="O716" s="176" t="s">
        <v>114</v>
      </c>
      <c r="P716" s="177"/>
      <c r="Q716" s="178" t="s">
        <v>2444</v>
      </c>
      <c r="R716" s="179"/>
      <c r="S716" s="179"/>
      <c r="T716" s="177">
        <v>44949</v>
      </c>
      <c r="U716" s="177"/>
      <c r="V716" s="177">
        <v>44949</v>
      </c>
      <c r="W716" s="177"/>
      <c r="X716" s="177"/>
      <c r="Y716" s="177"/>
      <c r="Z716" s="177"/>
      <c r="AA716" s="177"/>
      <c r="AB716" s="177"/>
      <c r="AC716" s="177"/>
      <c r="AD716" s="180" t="s">
        <v>1605</v>
      </c>
      <c r="AE716" s="173" t="s">
        <v>69</v>
      </c>
      <c r="AF716" s="181" t="s">
        <v>142</v>
      </c>
      <c r="AG716" s="192" t="s">
        <v>1584</v>
      </c>
      <c r="AH716" s="198"/>
      <c r="AI716" s="181">
        <v>44914</v>
      </c>
      <c r="AJ716" s="181"/>
      <c r="AK716" s="181">
        <f ca="1">TODAY()</f>
        <v>44958</v>
      </c>
      <c r="AL716" s="173">
        <f ca="1">IF(AI716&lt;&gt;0,AK716-AI716,0)</f>
        <v>44</v>
      </c>
      <c r="AM716" s="173" t="str">
        <f>IF(ISNUMBER(X716)=TRUE,AK716-X716,IF(X716="","",(AK716)-(MID(RIGHT(X716,10),4,2)&amp;"/"&amp;LEFT((RIGHT(X716,10)),2)&amp;"/"&amp;RIGHT(X716,4))))</f>
        <v/>
      </c>
      <c r="AN716" s="181"/>
      <c r="AO716" s="190" t="s">
        <v>2445</v>
      </c>
      <c r="AP716" s="176">
        <v>10.26</v>
      </c>
      <c r="AQ716" s="176">
        <v>10.27</v>
      </c>
      <c r="AR716" s="176">
        <v>10.294999999999998</v>
      </c>
      <c r="AS716" s="176">
        <v>10.299999999999999</v>
      </c>
      <c r="AT716" s="173" t="str">
        <f>IF(ISNUMBER(U716)=TRUE,AK716-U716,IF(U716="","",(AK716)-(MID(RIGHT(U716,10),4,2)&amp;"/"&amp;LEFT((RIGHT(U716,10)),2)&amp;"/"&amp;RIGHT(U716,4))))</f>
        <v/>
      </c>
      <c r="AU716" s="173">
        <v>462</v>
      </c>
      <c r="AW716" s="142" t="s">
        <v>123</v>
      </c>
    </row>
    <row r="717" spans="2:49" s="142" customFormat="1" ht="21" customHeight="1" x14ac:dyDescent="0.25">
      <c r="B717" s="173" t="str">
        <f>IF(C717="HOLD RM","HOLD RM",IF(C717="BAL","WIP",IF(C717="HOLD SLT","HOLD SLT",IF(C717="MILL","RM",IF(C717="RE SLT","WIP",IF(C717="RM","RM",IF(C717="RM BAL","RM",IF(C717="RM SLT","RM",IF(C717="RR","WIP",IF(C717="SKP","WIP",IF(C717="SLT","WIP",IF(C717="CTL","WIP",IF(C717="RM SLT RUST","RM SLT RUST",0)))))))))))))&amp;"-"&amp;G717&amp;"/"&amp;IF(H717="2B","2B",IF(H717="NO.1","1D",IF(H717="FH","FH",0)))&amp;"-"&amp;IF(J717="",(TEXT(I717,"0.00")),TEXT(J717,"0.00"))&amp;"X"&amp;M717</f>
        <v>WIP-304L/FH-1.50X764</v>
      </c>
      <c r="C717" s="173" t="s">
        <v>16</v>
      </c>
      <c r="D717" s="173" t="s">
        <v>16</v>
      </c>
      <c r="E717" s="190" t="s">
        <v>2446</v>
      </c>
      <c r="F717" s="190" t="s">
        <v>2447</v>
      </c>
      <c r="G717" s="173" t="s">
        <v>182</v>
      </c>
      <c r="H717" s="173" t="s">
        <v>70</v>
      </c>
      <c r="I717" s="174">
        <v>3.93</v>
      </c>
      <c r="J717" s="174">
        <v>1.5</v>
      </c>
      <c r="K717" s="174"/>
      <c r="L717" s="174"/>
      <c r="M717" s="191">
        <v>764</v>
      </c>
      <c r="N717" s="176">
        <v>10.145</v>
      </c>
      <c r="O717" s="176" t="s">
        <v>114</v>
      </c>
      <c r="P717" s="177"/>
      <c r="Q717" s="178" t="s">
        <v>1540</v>
      </c>
      <c r="R717" s="179"/>
      <c r="S717" s="179"/>
      <c r="T717" s="177">
        <v>44948</v>
      </c>
      <c r="U717" s="177"/>
      <c r="V717" s="177">
        <v>44948</v>
      </c>
      <c r="W717" s="177"/>
      <c r="X717" s="177"/>
      <c r="Y717" s="177"/>
      <c r="Z717" s="177"/>
      <c r="AA717" s="177"/>
      <c r="AB717" s="177"/>
      <c r="AC717" s="177"/>
      <c r="AD717" s="180" t="s">
        <v>2448</v>
      </c>
      <c r="AE717" s="173" t="s">
        <v>69</v>
      </c>
      <c r="AF717" s="181" t="s">
        <v>142</v>
      </c>
      <c r="AG717" s="192" t="s">
        <v>1584</v>
      </c>
      <c r="AH717" s="198"/>
      <c r="AI717" s="181">
        <v>44914</v>
      </c>
      <c r="AJ717" s="181"/>
      <c r="AK717" s="181">
        <f ca="1">TODAY()</f>
        <v>44958</v>
      </c>
      <c r="AL717" s="173">
        <f ca="1">IF(AI717&lt;&gt;0,AK717-AI717,0)</f>
        <v>44</v>
      </c>
      <c r="AM717" s="173" t="str">
        <f>IF(ISNUMBER(X717)=TRUE,AK717-X717,IF(X717="","",(AK717)-(MID(RIGHT(X717,10),4,2)&amp;"/"&amp;LEFT((RIGHT(X717,10)),2)&amp;"/"&amp;RIGHT(X717,4))))</f>
        <v/>
      </c>
      <c r="AN717" s="181"/>
      <c r="AO717" s="190" t="s">
        <v>2445</v>
      </c>
      <c r="AP717" s="176">
        <v>10.154999999999999</v>
      </c>
      <c r="AQ717" s="176">
        <v>10.164999999999999</v>
      </c>
      <c r="AR717" s="176">
        <v>10.189999999999998</v>
      </c>
      <c r="AS717" s="176">
        <v>10.194999999999999</v>
      </c>
      <c r="AT717" s="173" t="str">
        <f>IF(ISNUMBER(U717)=TRUE,AK717-U717,IF(U717="","",(AK717)-(MID(RIGHT(U717,10),4,2)&amp;"/"&amp;LEFT((RIGHT(U717,10)),2)&amp;"/"&amp;RIGHT(U717,4))))</f>
        <v/>
      </c>
      <c r="AU717" s="173">
        <v>462</v>
      </c>
      <c r="AW717" s="142" t="s">
        <v>123</v>
      </c>
    </row>
    <row r="718" spans="2:49" s="142" customFormat="1" ht="21" customHeight="1" x14ac:dyDescent="0.25">
      <c r="B718" s="173" t="str">
        <f>IF(C718="HOLD RM","HOLD RM",IF(C718="BAL","WIP",IF(C718="HOLD SLT","HOLD SLT",IF(C718="MILL","RM",IF(C718="RE SLT","WIP",IF(C718="RM","RM",IF(C718="RM BAL","RM",IF(C718="RM SLT","RM",IF(C718="RR","WIP",IF(C718="SKP","WIP",IF(C718="SLT","WIP",IF(C718="CTL","WIP",IF(C718="RM SLT RUST","RM SLT RUST",0)))))))))))))&amp;"-"&amp;G718&amp;"/"&amp;IF(H718="2B","2B",IF(H718="NO.1","1D",IF(H718="FH","FH",0)))&amp;"-"&amp;IF(J718="",(TEXT(I718,"0.00")),TEXT(J718,"0.00"))&amp;"X"&amp;M718</f>
        <v>WIP-304L/FH-1.50X763</v>
      </c>
      <c r="C718" s="173" t="s">
        <v>16</v>
      </c>
      <c r="D718" s="173" t="s">
        <v>16</v>
      </c>
      <c r="E718" s="190" t="s">
        <v>2449</v>
      </c>
      <c r="F718" s="190" t="s">
        <v>2450</v>
      </c>
      <c r="G718" s="173" t="s">
        <v>182</v>
      </c>
      <c r="H718" s="173" t="s">
        <v>70</v>
      </c>
      <c r="I718" s="174">
        <v>3.88</v>
      </c>
      <c r="J718" s="174">
        <v>1.5</v>
      </c>
      <c r="K718" s="174"/>
      <c r="L718" s="174"/>
      <c r="M718" s="191">
        <v>763</v>
      </c>
      <c r="N718" s="176">
        <v>12.095000000000001</v>
      </c>
      <c r="O718" s="176" t="s">
        <v>114</v>
      </c>
      <c r="P718" s="177"/>
      <c r="Q718" s="178" t="s">
        <v>2451</v>
      </c>
      <c r="R718" s="179"/>
      <c r="S718" s="179"/>
      <c r="T718" s="177">
        <v>44945</v>
      </c>
      <c r="U718" s="177"/>
      <c r="V718" s="177">
        <v>44945</v>
      </c>
      <c r="W718" s="177"/>
      <c r="X718" s="177"/>
      <c r="Y718" s="177"/>
      <c r="Z718" s="177"/>
      <c r="AA718" s="177"/>
      <c r="AB718" s="177"/>
      <c r="AC718" s="177"/>
      <c r="AD718" s="180" t="s">
        <v>2448</v>
      </c>
      <c r="AE718" s="173" t="s">
        <v>69</v>
      </c>
      <c r="AF718" s="181" t="s">
        <v>142</v>
      </c>
      <c r="AG718" s="192" t="s">
        <v>1584</v>
      </c>
      <c r="AH718" s="198"/>
      <c r="AI718" s="181">
        <v>44914</v>
      </c>
      <c r="AJ718" s="181"/>
      <c r="AK718" s="181">
        <f ca="1">TODAY()</f>
        <v>44958</v>
      </c>
      <c r="AL718" s="173">
        <f ca="1">IF(AI718&lt;&gt;0,AK718-AI718,0)</f>
        <v>44</v>
      </c>
      <c r="AM718" s="173" t="str">
        <f>IF(ISNUMBER(X718)=TRUE,AK718-X718,IF(X718="","",(AK718)-(MID(RIGHT(X718,10),4,2)&amp;"/"&amp;LEFT((RIGHT(X718,10)),2)&amp;"/"&amp;RIGHT(X718,4))))</f>
        <v/>
      </c>
      <c r="AN718" s="181"/>
      <c r="AO718" s="190" t="s">
        <v>2452</v>
      </c>
      <c r="AP718" s="176">
        <v>12.074999999999999</v>
      </c>
      <c r="AQ718" s="176">
        <v>12.085000000000001</v>
      </c>
      <c r="AR718" s="176">
        <v>12.11</v>
      </c>
      <c r="AS718" s="176">
        <v>12.115</v>
      </c>
      <c r="AT718" s="173" t="str">
        <f>IF(ISNUMBER(U718)=TRUE,AK718-U718,IF(U718="","",(AK718)-(MID(RIGHT(U718,10),4,2)&amp;"/"&amp;LEFT((RIGHT(U718,10)),2)&amp;"/"&amp;RIGHT(U718,4))))</f>
        <v/>
      </c>
      <c r="AU718" s="173">
        <v>462</v>
      </c>
      <c r="AW718" s="142" t="s">
        <v>123</v>
      </c>
    </row>
    <row r="719" spans="2:49" s="142" customFormat="1" ht="21" customHeight="1" x14ac:dyDescent="0.25">
      <c r="B719" s="173" t="str">
        <f>IF(C719="HOLD RM","HOLD RM",IF(C719="BAL","WIP",IF(C719="HOLD SLT","HOLD SLT",IF(C719="MILL","RM",IF(C719="RE SLT","WIP",IF(C719="RM","RM",IF(C719="RM BAL","RM",IF(C719="RM SLT","RM",IF(C719="RR","WIP",IF(C719="SKP","WIP",IF(C719="SLT","WIP",IF(C719="CTL","WIP",IF(C719="RM SLT RUST","RM SLT RUST",0)))))))))))))&amp;"-"&amp;G719&amp;"/"&amp;IF(H719="2B","2B",IF(H719="NO.1","1D",IF(H719="FH","FH",0)))&amp;"-"&amp;IF(J719="",(TEXT(I719,"0.00")),TEXT(J719,"0.00"))&amp;"X"&amp;M719</f>
        <v>RM-304/1D-3.76X761</v>
      </c>
      <c r="C719" s="173" t="s">
        <v>13</v>
      </c>
      <c r="D719" s="173" t="s">
        <v>13</v>
      </c>
      <c r="E719" s="190" t="s">
        <v>2453</v>
      </c>
      <c r="F719" s="190" t="s">
        <v>2454</v>
      </c>
      <c r="G719" s="173">
        <v>304</v>
      </c>
      <c r="H719" s="173" t="s">
        <v>127</v>
      </c>
      <c r="I719" s="174">
        <v>3.76</v>
      </c>
      <c r="J719" s="174"/>
      <c r="K719" s="174"/>
      <c r="L719" s="174"/>
      <c r="M719" s="191">
        <v>761</v>
      </c>
      <c r="N719" s="176">
        <v>10.23</v>
      </c>
      <c r="O719" s="176"/>
      <c r="P719" s="177"/>
      <c r="Q719" s="178"/>
      <c r="R719" s="179"/>
      <c r="S719" s="179"/>
      <c r="T719" s="177"/>
      <c r="U719" s="177">
        <v>44944</v>
      </c>
      <c r="V719" s="177"/>
      <c r="W719" s="177"/>
      <c r="X719" s="177"/>
      <c r="Y719" s="177"/>
      <c r="Z719" s="177"/>
      <c r="AA719" s="177"/>
      <c r="AB719" s="177"/>
      <c r="AC719" s="177"/>
      <c r="AD719" s="180" t="s">
        <v>2448</v>
      </c>
      <c r="AE719" s="173" t="s">
        <v>69</v>
      </c>
      <c r="AF719" s="181" t="s">
        <v>142</v>
      </c>
      <c r="AG719" s="192" t="s">
        <v>1584</v>
      </c>
      <c r="AH719" s="198"/>
      <c r="AI719" s="181">
        <v>44914</v>
      </c>
      <c r="AJ719" s="181"/>
      <c r="AK719" s="181">
        <f ca="1">TODAY()</f>
        <v>44958</v>
      </c>
      <c r="AL719" s="173">
        <f ca="1">IF(AI719&lt;&gt;0,AK719-AI719,0)</f>
        <v>44</v>
      </c>
      <c r="AM719" s="173" t="str">
        <f>IF(ISNUMBER(X719)=TRUE,AK719-X719,IF(X719="","",(AK719)-(MID(RIGHT(X719,10),4,2)&amp;"/"&amp;LEFT((RIGHT(X719,10)),2)&amp;"/"&amp;RIGHT(X719,4))))</f>
        <v/>
      </c>
      <c r="AN719" s="181"/>
      <c r="AO719" s="190" t="s">
        <v>1585</v>
      </c>
      <c r="AP719" s="176">
        <v>10.23</v>
      </c>
      <c r="AQ719" s="176">
        <v>10.24</v>
      </c>
      <c r="AR719" s="176">
        <v>10.264999999999999</v>
      </c>
      <c r="AS719" s="176">
        <v>10.27</v>
      </c>
      <c r="AT719" s="173">
        <f ca="1">IF(ISNUMBER(U719)=TRUE,AK719-U719,IF(U719="","",(AK719)-(MID(RIGHT(U719,10),4,2)&amp;"/"&amp;LEFT((RIGHT(U719,10)),2)&amp;"/"&amp;RIGHT(U719,4))))</f>
        <v>14</v>
      </c>
      <c r="AU719" s="173">
        <v>462</v>
      </c>
      <c r="AW719" s="142" t="s">
        <v>123</v>
      </c>
    </row>
    <row r="720" spans="2:49" s="142" customFormat="1" ht="21" customHeight="1" x14ac:dyDescent="0.25">
      <c r="B720" s="173" t="str">
        <f>IF(C720="HOLD RM","HOLD RM",IF(C720="BAL","WIP",IF(C720="HOLD SLT","HOLD SLT",IF(C720="MILL","RM",IF(C720="RE SLT","WIP",IF(C720="RM","RM",IF(C720="RM BAL","RM",IF(C720="RM SLT","RM",IF(C720="RR","WIP",IF(C720="SKP","WIP",IF(C720="SLT","WIP",IF(C720="CTL","WIP",IF(C720="RM SLT RUST","RM SLT RUST",0)))))))))))))&amp;"-"&amp;G720&amp;"/"&amp;IF(H720="2B","2B",IF(H720="NO.1","1D",IF(H720="FH","FH",0)))&amp;"-"&amp;IF(J720="",(TEXT(I720,"0.00")),TEXT(J720,"0.00"))&amp;"X"&amp;M720</f>
        <v>WIP-304L/FH-1.45X767</v>
      </c>
      <c r="C720" s="173" t="s">
        <v>16</v>
      </c>
      <c r="D720" s="173" t="s">
        <v>16</v>
      </c>
      <c r="E720" s="190" t="s">
        <v>2455</v>
      </c>
      <c r="F720" s="190" t="s">
        <v>2456</v>
      </c>
      <c r="G720" s="173" t="s">
        <v>182</v>
      </c>
      <c r="H720" s="173" t="s">
        <v>70</v>
      </c>
      <c r="I720" s="174">
        <v>3.96</v>
      </c>
      <c r="J720" s="174">
        <v>1.45</v>
      </c>
      <c r="K720" s="174"/>
      <c r="L720" s="174"/>
      <c r="M720" s="191">
        <v>767</v>
      </c>
      <c r="N720" s="176">
        <v>10.33</v>
      </c>
      <c r="O720" s="176" t="s">
        <v>114</v>
      </c>
      <c r="P720" s="177"/>
      <c r="Q720" s="178" t="s">
        <v>2444</v>
      </c>
      <c r="R720" s="179"/>
      <c r="S720" s="179"/>
      <c r="T720" s="177">
        <v>44951</v>
      </c>
      <c r="U720" s="177"/>
      <c r="V720" s="177">
        <v>44951</v>
      </c>
      <c r="W720" s="177"/>
      <c r="X720" s="177"/>
      <c r="Y720" s="177"/>
      <c r="Z720" s="177"/>
      <c r="AA720" s="177"/>
      <c r="AB720" s="177"/>
      <c r="AC720" s="177"/>
      <c r="AD720" s="180" t="s">
        <v>2448</v>
      </c>
      <c r="AE720" s="173" t="s">
        <v>69</v>
      </c>
      <c r="AF720" s="181" t="s">
        <v>142</v>
      </c>
      <c r="AG720" s="192" t="s">
        <v>1584</v>
      </c>
      <c r="AH720" s="198"/>
      <c r="AI720" s="181">
        <v>44914</v>
      </c>
      <c r="AJ720" s="181"/>
      <c r="AK720" s="181">
        <f ca="1">TODAY()</f>
        <v>44958</v>
      </c>
      <c r="AL720" s="173">
        <f ca="1">IF(AI720&lt;&gt;0,AK720-AI720,0)</f>
        <v>44</v>
      </c>
      <c r="AM720" s="173" t="str">
        <f>IF(ISNUMBER(X720)=TRUE,AK720-X720,IF(X720="","",(AK720)-(MID(RIGHT(X720,10),4,2)&amp;"/"&amp;LEFT((RIGHT(X720,10)),2)&amp;"/"&amp;RIGHT(X720,4))))</f>
        <v/>
      </c>
      <c r="AN720" s="181"/>
      <c r="AO720" s="190" t="s">
        <v>2457</v>
      </c>
      <c r="AP720" s="176">
        <v>10.33</v>
      </c>
      <c r="AQ720" s="176">
        <v>10.34</v>
      </c>
      <c r="AR720" s="176">
        <v>10.364999999999998</v>
      </c>
      <c r="AS720" s="176">
        <v>10.37</v>
      </c>
      <c r="AT720" s="173" t="str">
        <f>IF(ISNUMBER(U720)=TRUE,AK720-U720,IF(U720="","",(AK720)-(MID(RIGHT(U720,10),4,2)&amp;"/"&amp;LEFT((RIGHT(U720,10)),2)&amp;"/"&amp;RIGHT(U720,4))))</f>
        <v/>
      </c>
      <c r="AU720" s="173">
        <v>462</v>
      </c>
      <c r="AW720" s="142" t="s">
        <v>123</v>
      </c>
    </row>
    <row r="721" spans="2:49" s="142" customFormat="1" ht="21" customHeight="1" x14ac:dyDescent="0.25">
      <c r="B721" s="173" t="str">
        <f>IF(C721="HOLD RM","HOLD RM",IF(C721="BAL","WIP",IF(C721="HOLD SLT","HOLD SLT",IF(C721="MILL","RM",IF(C721="RE SLT","WIP",IF(C721="RM","RM",IF(C721="RM BAL","RM",IF(C721="RM SLT","RM",IF(C721="RR","WIP",IF(C721="SKP","WIP",IF(C721="SLT","WIP",IF(C721="CTL","WIP",IF(C721="RM SLT RUST","RM SLT RUST",0)))))))))))))&amp;"-"&amp;G721&amp;"/"&amp;IF(H721="2B","2B",IF(H721="NO.1","1D",IF(H721="FH","FH",0)))&amp;"-"&amp;IF(J721="",(TEXT(I721,"0.00")),TEXT(J721,"0.00"))&amp;"X"&amp;M721</f>
        <v>RM-304L/1D-3.96X767</v>
      </c>
      <c r="C721" s="173" t="s">
        <v>48</v>
      </c>
      <c r="D721" s="173" t="s">
        <v>48</v>
      </c>
      <c r="E721" s="190" t="s">
        <v>2458</v>
      </c>
      <c r="F721" s="190" t="s">
        <v>2459</v>
      </c>
      <c r="G721" s="173" t="s">
        <v>182</v>
      </c>
      <c r="H721" s="173" t="s">
        <v>127</v>
      </c>
      <c r="I721" s="174">
        <v>3.96</v>
      </c>
      <c r="J721" s="174"/>
      <c r="K721" s="174"/>
      <c r="L721" s="174"/>
      <c r="M721" s="191">
        <v>767</v>
      </c>
      <c r="N721" s="176">
        <v>10.27</v>
      </c>
      <c r="O721" s="176"/>
      <c r="P721" s="177"/>
      <c r="Q721" s="178"/>
      <c r="R721" s="179"/>
      <c r="S721" s="179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80" t="s">
        <v>2448</v>
      </c>
      <c r="AE721" s="173" t="s">
        <v>69</v>
      </c>
      <c r="AF721" s="181" t="s">
        <v>142</v>
      </c>
      <c r="AG721" s="192" t="s">
        <v>1584</v>
      </c>
      <c r="AH721" s="198"/>
      <c r="AI721" s="181">
        <v>44914</v>
      </c>
      <c r="AJ721" s="181"/>
      <c r="AK721" s="181">
        <f ca="1">TODAY()</f>
        <v>44958</v>
      </c>
      <c r="AL721" s="173">
        <f ca="1">IF(AI721&lt;&gt;0,AK721-AI721,0)</f>
        <v>44</v>
      </c>
      <c r="AM721" s="173" t="str">
        <f>IF(ISNUMBER(X721)=TRUE,AK721-X721,IF(X721="","",(AK721)-(MID(RIGHT(X721,10),4,2)&amp;"/"&amp;LEFT((RIGHT(X721,10)),2)&amp;"/"&amp;RIGHT(X721,4))))</f>
        <v/>
      </c>
      <c r="AN721" s="181"/>
      <c r="AO721" s="190" t="s">
        <v>2457</v>
      </c>
      <c r="AP721" s="176">
        <v>10.27</v>
      </c>
      <c r="AQ721" s="176">
        <v>10.28</v>
      </c>
      <c r="AR721" s="176">
        <v>10.304999999999998</v>
      </c>
      <c r="AS721" s="176">
        <v>10.309999999999999</v>
      </c>
      <c r="AT721" s="173" t="str">
        <f>IF(ISNUMBER(U721)=TRUE,AK721-U721,IF(U721="","",(AK721)-(MID(RIGHT(U721,10),4,2)&amp;"/"&amp;LEFT((RIGHT(U721,10)),2)&amp;"/"&amp;RIGHT(U721,4))))</f>
        <v/>
      </c>
      <c r="AU721" s="173">
        <v>462</v>
      </c>
      <c r="AW721" s="142" t="s">
        <v>123</v>
      </c>
    </row>
    <row r="722" spans="2:49" s="142" customFormat="1" ht="21" customHeight="1" x14ac:dyDescent="0.25">
      <c r="B722" s="173" t="str">
        <f>IF(C722="HOLD RM","HOLD RM",IF(C722="BAL","WIP",IF(C722="HOLD SLT","HOLD SLT",IF(C722="MILL","RM",IF(C722="RE SLT","WIP",IF(C722="RM","RM",IF(C722="RM BAL","RM",IF(C722="RM SLT","RM",IF(C722="RR","WIP",IF(C722="SKP","WIP",IF(C722="SLT","WIP",IF(C722="CTL","WIP",IF(C722="RM SLT RUST","RM SLT RUST",0)))))))))))))&amp;"-"&amp;G722&amp;"/"&amp;IF(H722="2B","2B",IF(H722="NO.1","1D",IF(H722="FH","FH",0)))&amp;"-"&amp;IF(J722="",(TEXT(I722,"0.00")),TEXT(J722,"0.00"))&amp;"X"&amp;M722</f>
        <v>RM-304/1D-3.94X767</v>
      </c>
      <c r="C722" s="173" t="s">
        <v>48</v>
      </c>
      <c r="D722" s="173" t="s">
        <v>48</v>
      </c>
      <c r="E722" s="190" t="s">
        <v>2460</v>
      </c>
      <c r="F722" s="190" t="s">
        <v>2461</v>
      </c>
      <c r="G722" s="173">
        <v>304</v>
      </c>
      <c r="H722" s="173" t="s">
        <v>127</v>
      </c>
      <c r="I722" s="174">
        <v>3.94</v>
      </c>
      <c r="J722" s="174"/>
      <c r="K722" s="174"/>
      <c r="L722" s="174"/>
      <c r="M722" s="191">
        <v>767</v>
      </c>
      <c r="N722" s="176">
        <v>10.455</v>
      </c>
      <c r="O722" s="176"/>
      <c r="P722" s="177"/>
      <c r="Q722" s="178"/>
      <c r="R722" s="179"/>
      <c r="S722" s="179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80" t="s">
        <v>1605</v>
      </c>
      <c r="AE722" s="173" t="s">
        <v>69</v>
      </c>
      <c r="AF722" s="181" t="s">
        <v>142</v>
      </c>
      <c r="AG722" s="192" t="s">
        <v>1584</v>
      </c>
      <c r="AH722" s="198"/>
      <c r="AI722" s="181">
        <v>44914</v>
      </c>
      <c r="AJ722" s="181"/>
      <c r="AK722" s="181">
        <f ca="1">TODAY()</f>
        <v>44958</v>
      </c>
      <c r="AL722" s="173">
        <f ca="1">IF(AI722&lt;&gt;0,AK722-AI722,0)</f>
        <v>44</v>
      </c>
      <c r="AM722" s="173" t="str">
        <f>IF(ISNUMBER(X722)=TRUE,AK722-X722,IF(X722="","",(AK722)-(MID(RIGHT(X722,10),4,2)&amp;"/"&amp;LEFT((RIGHT(X722,10)),2)&amp;"/"&amp;RIGHT(X722,4))))</f>
        <v/>
      </c>
      <c r="AN722" s="181"/>
      <c r="AO722" s="190" t="s">
        <v>2462</v>
      </c>
      <c r="AP722" s="176">
        <v>10.455</v>
      </c>
      <c r="AQ722" s="176">
        <v>10.465</v>
      </c>
      <c r="AR722" s="176">
        <v>10.489999999999998</v>
      </c>
      <c r="AS722" s="176">
        <v>10.494999999999999</v>
      </c>
      <c r="AT722" s="173" t="str">
        <f>IF(ISNUMBER(U722)=TRUE,AK722-U722,IF(U722="","",(AK722)-(MID(RIGHT(U722,10),4,2)&amp;"/"&amp;LEFT((RIGHT(U722,10)),2)&amp;"/"&amp;RIGHT(U722,4))))</f>
        <v/>
      </c>
      <c r="AU722" s="173">
        <v>462</v>
      </c>
      <c r="AW722" s="142" t="s">
        <v>123</v>
      </c>
    </row>
    <row r="723" spans="2:49" s="142" customFormat="1" ht="21" customHeight="1" x14ac:dyDescent="0.25">
      <c r="B723" s="173" t="str">
        <f>IF(C723="HOLD RM","HOLD RM",IF(C723="BAL","WIP",IF(C723="HOLD SLT","HOLD SLT",IF(C723="MILL","RM",IF(C723="RE SLT","WIP",IF(C723="RM","RM",IF(C723="RM BAL","RM",IF(C723="RM SLT","RM",IF(C723="RR","WIP",IF(C723="SKP","WIP",IF(C723="SLT","WIP",IF(C723="CTL","WIP",IF(C723="RM SLT RUST","RM SLT RUST",0)))))))))))))&amp;"-"&amp;G723&amp;"/"&amp;IF(H723="2B","2B",IF(H723="NO.1","1D",IF(H723="FH","FH",0)))&amp;"-"&amp;IF(J723="",(TEXT(I723,"0.00")),TEXT(J723,"0.00"))&amp;"X"&amp;M723</f>
        <v>RM-304/1D-3.76X776</v>
      </c>
      <c r="C723" s="173" t="s">
        <v>13</v>
      </c>
      <c r="D723" s="173" t="s">
        <v>13</v>
      </c>
      <c r="E723" s="190" t="s">
        <v>2463</v>
      </c>
      <c r="F723" s="190" t="s">
        <v>2464</v>
      </c>
      <c r="G723" s="173">
        <v>304</v>
      </c>
      <c r="H723" s="173" t="s">
        <v>127</v>
      </c>
      <c r="I723" s="174">
        <v>3.76</v>
      </c>
      <c r="J723" s="174"/>
      <c r="K723" s="174"/>
      <c r="L723" s="174"/>
      <c r="M723" s="191">
        <v>776</v>
      </c>
      <c r="N723" s="176">
        <v>10.685</v>
      </c>
      <c r="O723" s="176"/>
      <c r="P723" s="177"/>
      <c r="Q723" s="178"/>
      <c r="R723" s="179"/>
      <c r="S723" s="179"/>
      <c r="T723" s="177">
        <v>44942</v>
      </c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80" t="s">
        <v>2448</v>
      </c>
      <c r="AE723" s="173" t="s">
        <v>69</v>
      </c>
      <c r="AF723" s="181" t="s">
        <v>142</v>
      </c>
      <c r="AG723" s="192" t="s">
        <v>1584</v>
      </c>
      <c r="AH723" s="198"/>
      <c r="AI723" s="181">
        <v>44914</v>
      </c>
      <c r="AJ723" s="181"/>
      <c r="AK723" s="181">
        <f ca="1">TODAY()</f>
        <v>44958</v>
      </c>
      <c r="AL723" s="173">
        <f ca="1">IF(AI723&lt;&gt;0,AK723-AI723,0)</f>
        <v>44</v>
      </c>
      <c r="AM723" s="173" t="str">
        <f>IF(ISNUMBER(X723)=TRUE,AK723-X723,IF(X723="","",(AK723)-(MID(RIGHT(X723,10),4,2)&amp;"/"&amp;LEFT((RIGHT(X723,10)),2)&amp;"/"&amp;RIGHT(X723,4))))</f>
        <v/>
      </c>
      <c r="AN723" s="181"/>
      <c r="AO723" s="190" t="s">
        <v>2465</v>
      </c>
      <c r="AP723" s="176">
        <v>10.685</v>
      </c>
      <c r="AQ723" s="176">
        <v>10.695</v>
      </c>
      <c r="AR723" s="176">
        <v>10.719999999999999</v>
      </c>
      <c r="AS723" s="176">
        <v>10.725</v>
      </c>
      <c r="AT723" s="173" t="str">
        <f>IF(ISNUMBER(U723)=TRUE,AK723-U723,IF(U723="","",(AK723)-(MID(RIGHT(U723,10),4,2)&amp;"/"&amp;LEFT((RIGHT(U723,10)),2)&amp;"/"&amp;RIGHT(U723,4))))</f>
        <v/>
      </c>
      <c r="AU723" s="173">
        <v>462</v>
      </c>
      <c r="AW723" s="142" t="s">
        <v>123</v>
      </c>
    </row>
    <row r="724" spans="2:49" s="142" customFormat="1" ht="21" customHeight="1" x14ac:dyDescent="0.25">
      <c r="B724" s="173" t="str">
        <f>IF(C724="HOLD RM","HOLD RM",IF(C724="BAL","WIP",IF(C724="HOLD SLT","HOLD SLT",IF(C724="MILL","RM",IF(C724="RE SLT","WIP",IF(C724="RM","RM",IF(C724="RM BAL","RM",IF(C724="RM SLT","RM",IF(C724="RR","WIP",IF(C724="SKP","WIP",IF(C724="SLT","WIP",IF(C724="CTL","WIP",IF(C724="RM SLT RUST","RM SLT RUST",0)))))))))))))&amp;"-"&amp;G724&amp;"/"&amp;IF(H724="2B","2B",IF(H724="NO.1","1D",IF(H724="FH","FH",0)))&amp;"-"&amp;IF(J724="",(TEXT(I724,"0.00")),TEXT(J724,"0.00"))&amp;"X"&amp;M724</f>
        <v>RM-304/1D-3.76X777</v>
      </c>
      <c r="C724" s="173" t="s">
        <v>13</v>
      </c>
      <c r="D724" s="173" t="s">
        <v>13</v>
      </c>
      <c r="E724" s="190" t="s">
        <v>2466</v>
      </c>
      <c r="F724" s="190" t="s">
        <v>2467</v>
      </c>
      <c r="G724" s="173">
        <v>304</v>
      </c>
      <c r="H724" s="173" t="s">
        <v>127</v>
      </c>
      <c r="I724" s="174">
        <v>3.76</v>
      </c>
      <c r="J724" s="174"/>
      <c r="K724" s="174"/>
      <c r="L724" s="174"/>
      <c r="M724" s="191">
        <v>777</v>
      </c>
      <c r="N724" s="176">
        <v>10.715</v>
      </c>
      <c r="O724" s="176"/>
      <c r="P724" s="177"/>
      <c r="Q724" s="178"/>
      <c r="R724" s="179"/>
      <c r="S724" s="179"/>
      <c r="T724" s="177">
        <v>44942</v>
      </c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80" t="s">
        <v>2448</v>
      </c>
      <c r="AE724" s="173" t="s">
        <v>69</v>
      </c>
      <c r="AF724" s="181" t="s">
        <v>142</v>
      </c>
      <c r="AG724" s="192" t="s">
        <v>1584</v>
      </c>
      <c r="AH724" s="198"/>
      <c r="AI724" s="181">
        <v>44914</v>
      </c>
      <c r="AJ724" s="181"/>
      <c r="AK724" s="181">
        <f ca="1">TODAY()</f>
        <v>44958</v>
      </c>
      <c r="AL724" s="173">
        <f ca="1">IF(AI724&lt;&gt;0,AK724-AI724,0)</f>
        <v>44</v>
      </c>
      <c r="AM724" s="173" t="str">
        <f>IF(ISNUMBER(X724)=TRUE,AK724-X724,IF(X724="","",(AK724)-(MID(RIGHT(X724,10),4,2)&amp;"/"&amp;LEFT((RIGHT(X724,10)),2)&amp;"/"&amp;RIGHT(X724,4))))</f>
        <v/>
      </c>
      <c r="AN724" s="181"/>
      <c r="AO724" s="190" t="s">
        <v>2465</v>
      </c>
      <c r="AP724" s="176">
        <v>10.715</v>
      </c>
      <c r="AQ724" s="176">
        <v>10.725</v>
      </c>
      <c r="AR724" s="176">
        <v>10.749999999999998</v>
      </c>
      <c r="AS724" s="176">
        <v>10.754999999999999</v>
      </c>
      <c r="AT724" s="173" t="str">
        <f>IF(ISNUMBER(U724)=TRUE,AK724-U724,IF(U724="","",(AK724)-(MID(RIGHT(U724,10),4,2)&amp;"/"&amp;LEFT((RIGHT(U724,10)),2)&amp;"/"&amp;RIGHT(U724,4))))</f>
        <v/>
      </c>
      <c r="AU724" s="173">
        <v>462</v>
      </c>
      <c r="AW724" s="142" t="s">
        <v>123</v>
      </c>
    </row>
    <row r="725" spans="2:49" s="142" customFormat="1" ht="21" customHeight="1" x14ac:dyDescent="0.25">
      <c r="B725" s="173" t="str">
        <f>IF(C725="HOLD RM","HOLD RM",IF(C725="BAL","WIP",IF(C725="HOLD SLT","HOLD SLT",IF(C725="MILL","RM",IF(C725="RE SLT","WIP",IF(C725="RM","RM",IF(C725="RM BAL","RM",IF(C725="RM SLT","RM",IF(C725="RR","WIP",IF(C725="SKP","WIP",IF(C725="SLT","WIP",IF(C725="CTL","WIP",IF(C725="RM SLT RUST","RM SLT RUST",0)))))))))))))&amp;"-"&amp;G725&amp;"/"&amp;IF(H725="2B","2B",IF(H725="NO.1","1D",IF(H725="FH","FH",0)))&amp;"-"&amp;IF(J725="",(TEXT(I725,"0.00")),TEXT(J725,"0.00"))&amp;"X"&amp;M725</f>
        <v>WIP-304L/2B-1.20X767</v>
      </c>
      <c r="C725" s="173" t="s">
        <v>775</v>
      </c>
      <c r="D725" s="173" t="s">
        <v>776</v>
      </c>
      <c r="E725" s="190" t="s">
        <v>2468</v>
      </c>
      <c r="F725" s="190" t="s">
        <v>2469</v>
      </c>
      <c r="G725" s="173" t="s">
        <v>182</v>
      </c>
      <c r="H725" s="173" t="s">
        <v>114</v>
      </c>
      <c r="I725" s="174">
        <v>3.58</v>
      </c>
      <c r="J725" s="174">
        <v>1.2</v>
      </c>
      <c r="K725" s="174"/>
      <c r="L725" s="174"/>
      <c r="M725" s="191">
        <v>767</v>
      </c>
      <c r="N725" s="176">
        <v>5.0650000000000004</v>
      </c>
      <c r="O725" s="176" t="s">
        <v>114</v>
      </c>
      <c r="P725" s="177"/>
      <c r="Q725" s="178" t="s">
        <v>314</v>
      </c>
      <c r="R725" s="178" t="s">
        <v>1344</v>
      </c>
      <c r="S725" s="179"/>
      <c r="T725" s="177">
        <v>44923</v>
      </c>
      <c r="U725" s="177"/>
      <c r="V725" s="177">
        <v>44924</v>
      </c>
      <c r="W725" s="177"/>
      <c r="X725" s="177"/>
      <c r="Y725" s="177">
        <v>44947</v>
      </c>
      <c r="Z725" s="177">
        <v>44952</v>
      </c>
      <c r="AA725" s="177"/>
      <c r="AB725" s="177"/>
      <c r="AC725" s="177"/>
      <c r="AD725" s="180" t="s">
        <v>2470</v>
      </c>
      <c r="AE725" s="173" t="s">
        <v>69</v>
      </c>
      <c r="AF725" s="181" t="s">
        <v>142</v>
      </c>
      <c r="AG725" s="192" t="s">
        <v>1584</v>
      </c>
      <c r="AH725" s="198"/>
      <c r="AI725" s="181">
        <v>44914</v>
      </c>
      <c r="AJ725" s="181"/>
      <c r="AK725" s="181">
        <f ca="1">TODAY()</f>
        <v>44958</v>
      </c>
      <c r="AL725" s="173">
        <f ca="1">IF(AI725&lt;&gt;0,AK725-AI725,0)</f>
        <v>44</v>
      </c>
      <c r="AM725" s="173" t="str">
        <f>IF(ISNUMBER(X725)=TRUE,AK725-X725,IF(X725="","",(AK725)-(MID(RIGHT(X725,10),4,2)&amp;"/"&amp;LEFT((RIGHT(X725,10)),2)&amp;"/"&amp;RIGHT(X725,4))))</f>
        <v/>
      </c>
      <c r="AN725" s="181"/>
      <c r="AO725" s="190" t="s">
        <v>2471</v>
      </c>
      <c r="AP725" s="176">
        <v>10.305</v>
      </c>
      <c r="AQ725" s="176">
        <v>10.315</v>
      </c>
      <c r="AR725" s="176">
        <v>10.339999999999998</v>
      </c>
      <c r="AS725" s="176">
        <v>10.344999999999999</v>
      </c>
      <c r="AT725" s="173" t="str">
        <f>IF(ISNUMBER(U725)=TRUE,AK725-U725,IF(U725="","",(AK725)-(MID(RIGHT(U725,10),4,2)&amp;"/"&amp;LEFT((RIGHT(U725,10)),2)&amp;"/"&amp;RIGHT(U725,4))))</f>
        <v/>
      </c>
      <c r="AU725" s="173">
        <v>462</v>
      </c>
      <c r="AW725" s="142" t="s">
        <v>123</v>
      </c>
    </row>
    <row r="726" spans="2:49" s="142" customFormat="1" ht="21" customHeight="1" x14ac:dyDescent="0.25">
      <c r="B726" s="173" t="str">
        <f>IF(C726="HOLD RM","HOLD RM",IF(C726="BAL","WIP",IF(C726="HOLD SLT","HOLD SLT",IF(C726="MILL","RM",IF(C726="RE SLT","WIP",IF(C726="RM","RM",IF(C726="RM BAL","RM",IF(C726="RM SLT","RM",IF(C726="RR","WIP",IF(C726="SKP","WIP",IF(C726="SLT","WIP",IF(C726="CTL","WIP",IF(C726="RM SLT RUST","RM SLT RUST",0)))))))))))))&amp;"-"&amp;G726&amp;"/"&amp;IF(H726="2B","2B",IF(H726="NO.1","1D",IF(H726="FH","FH",0)))&amp;"-"&amp;IF(J726="",(TEXT(I726,"0.00")),TEXT(J726,"0.00"))&amp;"X"&amp;M726</f>
        <v>WIP-304/FH-1.20X775</v>
      </c>
      <c r="C726" s="173" t="s">
        <v>16</v>
      </c>
      <c r="D726" s="173" t="s">
        <v>16</v>
      </c>
      <c r="E726" s="190" t="s">
        <v>2472</v>
      </c>
      <c r="F726" s="190" t="s">
        <v>2473</v>
      </c>
      <c r="G726" s="173">
        <v>304</v>
      </c>
      <c r="H726" s="173" t="s">
        <v>70</v>
      </c>
      <c r="I726" s="174">
        <v>3.8</v>
      </c>
      <c r="J726" s="174">
        <v>1.2</v>
      </c>
      <c r="K726" s="174"/>
      <c r="L726" s="174"/>
      <c r="M726" s="191">
        <v>775</v>
      </c>
      <c r="N726" s="176">
        <v>10.52</v>
      </c>
      <c r="O726" s="176" t="s">
        <v>114</v>
      </c>
      <c r="P726" s="177"/>
      <c r="Q726" s="178" t="s">
        <v>1506</v>
      </c>
      <c r="R726" s="179"/>
      <c r="S726" s="179"/>
      <c r="T726" s="177">
        <v>44944</v>
      </c>
      <c r="U726" s="177"/>
      <c r="V726" s="177">
        <v>44945</v>
      </c>
      <c r="W726" s="177"/>
      <c r="X726" s="177"/>
      <c r="Y726" s="177"/>
      <c r="Z726" s="177"/>
      <c r="AA726" s="177"/>
      <c r="AB726" s="177"/>
      <c r="AC726" s="177"/>
      <c r="AD726" s="180" t="s">
        <v>1605</v>
      </c>
      <c r="AE726" s="173" t="s">
        <v>69</v>
      </c>
      <c r="AF726" s="181" t="s">
        <v>142</v>
      </c>
      <c r="AG726" s="192" t="s">
        <v>1584</v>
      </c>
      <c r="AH726" s="198"/>
      <c r="AI726" s="181">
        <v>44914</v>
      </c>
      <c r="AJ726" s="181"/>
      <c r="AK726" s="181">
        <f ca="1">TODAY()</f>
        <v>44958</v>
      </c>
      <c r="AL726" s="173">
        <f ca="1">IF(AI726&lt;&gt;0,AK726-AI726,0)</f>
        <v>44</v>
      </c>
      <c r="AM726" s="173" t="str">
        <f>IF(ISNUMBER(X726)=TRUE,AK726-X726,IF(X726="","",(AK726)-(MID(RIGHT(X726,10),4,2)&amp;"/"&amp;LEFT((RIGHT(X726,10)),2)&amp;"/"&amp;RIGHT(X726,4))))</f>
        <v/>
      </c>
      <c r="AN726" s="181"/>
      <c r="AO726" s="190" t="s">
        <v>2474</v>
      </c>
      <c r="AP726" s="176">
        <v>10.51</v>
      </c>
      <c r="AQ726" s="176">
        <v>10.52</v>
      </c>
      <c r="AR726" s="176">
        <v>10.544999999999998</v>
      </c>
      <c r="AS726" s="176">
        <v>10.549999999999999</v>
      </c>
      <c r="AT726" s="173" t="str">
        <f>IF(ISNUMBER(U726)=TRUE,AK726-U726,IF(U726="","",(AK726)-(MID(RIGHT(U726,10),4,2)&amp;"/"&amp;LEFT((RIGHT(U726,10)),2)&amp;"/"&amp;RIGHT(U726,4))))</f>
        <v/>
      </c>
      <c r="AU726" s="173">
        <v>462</v>
      </c>
      <c r="AW726" s="142" t="s">
        <v>123</v>
      </c>
    </row>
    <row r="727" spans="2:49" s="142" customFormat="1" ht="21" customHeight="1" x14ac:dyDescent="0.25">
      <c r="B727" s="173" t="str">
        <f>IF(C727="HOLD RM","HOLD RM",IF(C727="BAL","WIP",IF(C727="HOLD SLT","HOLD SLT",IF(C727="MILL","RM",IF(C727="RE SLT","WIP",IF(C727="RM","RM",IF(C727="RM BAL","RM",IF(C727="RM SLT","RM",IF(C727="RR","WIP",IF(C727="SKP","WIP",IF(C727="SLT","WIP",IF(C727="CTL","WIP",IF(C727="RM SLT RUST","RM SLT RUST",0)))))))))))))&amp;"-"&amp;G727&amp;"/"&amp;IF(H727="2B","2B",IF(H727="NO.1","1D",IF(H727="FH","FH",0)))&amp;"-"&amp;IF(J727="",(TEXT(I727,"0.00")),TEXT(J727,"0.00"))&amp;"X"&amp;M727</f>
        <v>WIP-304/FH-1.20X775</v>
      </c>
      <c r="C727" s="173" t="s">
        <v>16</v>
      </c>
      <c r="D727" s="173" t="s">
        <v>16</v>
      </c>
      <c r="E727" s="190" t="s">
        <v>2475</v>
      </c>
      <c r="F727" s="190" t="s">
        <v>2476</v>
      </c>
      <c r="G727" s="173">
        <v>304</v>
      </c>
      <c r="H727" s="173" t="s">
        <v>70</v>
      </c>
      <c r="I727" s="174">
        <v>3.8</v>
      </c>
      <c r="J727" s="174">
        <v>1.2</v>
      </c>
      <c r="K727" s="174"/>
      <c r="L727" s="174"/>
      <c r="M727" s="191">
        <v>775</v>
      </c>
      <c r="N727" s="176">
        <v>10.484999999999999</v>
      </c>
      <c r="O727" s="176" t="s">
        <v>114</v>
      </c>
      <c r="P727" s="177"/>
      <c r="Q727" s="178" t="s">
        <v>1506</v>
      </c>
      <c r="R727" s="179"/>
      <c r="S727" s="179"/>
      <c r="T727" s="177">
        <v>44945</v>
      </c>
      <c r="U727" s="177"/>
      <c r="V727" s="177">
        <v>44945</v>
      </c>
      <c r="W727" s="177"/>
      <c r="X727" s="177"/>
      <c r="Y727" s="177"/>
      <c r="Z727" s="177"/>
      <c r="AA727" s="177"/>
      <c r="AB727" s="177"/>
      <c r="AC727" s="177"/>
      <c r="AD727" s="180" t="s">
        <v>1605</v>
      </c>
      <c r="AE727" s="173" t="s">
        <v>69</v>
      </c>
      <c r="AF727" s="181" t="s">
        <v>142</v>
      </c>
      <c r="AG727" s="192" t="s">
        <v>1584</v>
      </c>
      <c r="AH727" s="198"/>
      <c r="AI727" s="181">
        <v>44914</v>
      </c>
      <c r="AJ727" s="181"/>
      <c r="AK727" s="181">
        <f ca="1">TODAY()</f>
        <v>44958</v>
      </c>
      <c r="AL727" s="173">
        <f ca="1">IF(AI727&lt;&gt;0,AK727-AI727,0)</f>
        <v>44</v>
      </c>
      <c r="AM727" s="173" t="str">
        <f>IF(ISNUMBER(X727)=TRUE,AK727-X727,IF(X727="","",(AK727)-(MID(RIGHT(X727,10),4,2)&amp;"/"&amp;LEFT((RIGHT(X727,10)),2)&amp;"/"&amp;RIGHT(X727,4))))</f>
        <v/>
      </c>
      <c r="AN727" s="181"/>
      <c r="AO727" s="190" t="s">
        <v>2474</v>
      </c>
      <c r="AP727" s="176">
        <v>10.484999999999999</v>
      </c>
      <c r="AQ727" s="176">
        <v>10.494999999999999</v>
      </c>
      <c r="AR727" s="176">
        <v>10.519999999999998</v>
      </c>
      <c r="AS727" s="176">
        <v>10.524999999999999</v>
      </c>
      <c r="AT727" s="173" t="str">
        <f>IF(ISNUMBER(U727)=TRUE,AK727-U727,IF(U727="","",(AK727)-(MID(RIGHT(U727,10),4,2)&amp;"/"&amp;LEFT((RIGHT(U727,10)),2)&amp;"/"&amp;RIGHT(U727,4))))</f>
        <v/>
      </c>
      <c r="AU727" s="173">
        <v>462</v>
      </c>
      <c r="AW727" s="142" t="s">
        <v>123</v>
      </c>
    </row>
    <row r="728" spans="2:49" s="142" customFormat="1" ht="21" customHeight="1" x14ac:dyDescent="0.25">
      <c r="B728" s="173" t="str">
        <f>IF(C728="HOLD RM","HOLD RM",IF(C728="BAL","WIP",IF(C728="HOLD SLT","HOLD SLT",IF(C728="MILL","RM",IF(C728="RE SLT","WIP",IF(C728="RM","RM",IF(C728="RM BAL","RM",IF(C728="RM SLT","RM",IF(C728="RR","WIP",IF(C728="SKP","WIP",IF(C728="SLT","WIP",IF(C728="CTL","WIP",IF(C728="RM SLT RUST","RM SLT RUST",0)))))))))))))&amp;"-"&amp;G728&amp;"/"&amp;IF(H728="2B","2B",IF(H728="NO.1","1D",IF(H728="FH","FH",0)))&amp;"-"&amp;IF(J728="",(TEXT(I728,"0.00")),TEXT(J728,"0.00"))&amp;"X"&amp;M728</f>
        <v>HOLD SLT-304/2B-1.20X750</v>
      </c>
      <c r="C728" s="173" t="s">
        <v>68</v>
      </c>
      <c r="D728" s="173" t="s">
        <v>68</v>
      </c>
      <c r="E728" s="190" t="s">
        <v>2477</v>
      </c>
      <c r="F728" s="190" t="s">
        <v>2478</v>
      </c>
      <c r="G728" s="173">
        <v>304</v>
      </c>
      <c r="H728" s="173" t="s">
        <v>114</v>
      </c>
      <c r="I728" s="174">
        <v>3.48</v>
      </c>
      <c r="J728" s="174">
        <v>1.2</v>
      </c>
      <c r="K728" s="174"/>
      <c r="L728" s="174"/>
      <c r="M728" s="191">
        <v>750</v>
      </c>
      <c r="N728" s="176">
        <v>5.33</v>
      </c>
      <c r="O728" s="176" t="s">
        <v>114</v>
      </c>
      <c r="P728" s="177"/>
      <c r="Q728" s="178" t="s">
        <v>1344</v>
      </c>
      <c r="R728" s="179"/>
      <c r="S728" s="179"/>
      <c r="T728" s="177">
        <v>44922</v>
      </c>
      <c r="U728" s="177"/>
      <c r="V728" s="177">
        <v>44923</v>
      </c>
      <c r="W728" s="177"/>
      <c r="X728" s="177"/>
      <c r="Y728" s="177">
        <v>44947</v>
      </c>
      <c r="Z728" s="177">
        <v>44954</v>
      </c>
      <c r="AA728" s="177"/>
      <c r="AB728" s="177"/>
      <c r="AC728" s="177"/>
      <c r="AD728" s="180" t="s">
        <v>2479</v>
      </c>
      <c r="AE728" s="173" t="s">
        <v>69</v>
      </c>
      <c r="AF728" s="181" t="s">
        <v>142</v>
      </c>
      <c r="AG728" s="192" t="s">
        <v>1584</v>
      </c>
      <c r="AH728" s="198"/>
      <c r="AI728" s="181">
        <v>44914</v>
      </c>
      <c r="AJ728" s="181"/>
      <c r="AK728" s="181">
        <f ca="1">TODAY()</f>
        <v>44958</v>
      </c>
      <c r="AL728" s="173">
        <f ca="1">IF(AI728&lt;&gt;0,AK728-AI728,0)</f>
        <v>44</v>
      </c>
      <c r="AM728" s="173" t="str">
        <f>IF(ISNUMBER(X728)=TRUE,AK728-X728,IF(X728="","",(AK728)-(MID(RIGHT(X728,10),4,2)&amp;"/"&amp;LEFT((RIGHT(X728,10)),2)&amp;"/"&amp;RIGHT(X728,4))))</f>
        <v/>
      </c>
      <c r="AN728" s="181"/>
      <c r="AO728" s="190" t="s">
        <v>2480</v>
      </c>
      <c r="AP728" s="176">
        <v>9.92</v>
      </c>
      <c r="AQ728" s="176">
        <v>9.93</v>
      </c>
      <c r="AR728" s="176">
        <v>9.9549999999999983</v>
      </c>
      <c r="AS728" s="176">
        <v>9.9599999999999991</v>
      </c>
      <c r="AT728" s="173" t="str">
        <f>IF(ISNUMBER(U728)=TRUE,AK728-U728,IF(U728="","",(AK728)-(MID(RIGHT(U728,10),4,2)&amp;"/"&amp;LEFT((RIGHT(U728,10)),2)&amp;"/"&amp;RIGHT(U728,4))))</f>
        <v/>
      </c>
      <c r="AU728" s="173">
        <v>462</v>
      </c>
      <c r="AW728" s="142" t="s">
        <v>123</v>
      </c>
    </row>
    <row r="729" spans="2:49" s="142" customFormat="1" ht="21" customHeight="1" x14ac:dyDescent="0.25">
      <c r="B729" s="173" t="str">
        <f>IF(C729="HOLD RM","HOLD RM",IF(C729="BAL","WIP",IF(C729="HOLD SLT","HOLD SLT",IF(C729="MILL","RM",IF(C729="RE SLT","WIP",IF(C729="RM","RM",IF(C729="RM BAL","RM",IF(C729="RM SLT","RM",IF(C729="RR","WIP",IF(C729="SKP","WIP",IF(C729="SLT","WIP",IF(C729="CTL","WIP",IF(C729="RM SLT RUST","RM SLT RUST",0)))))))))))))&amp;"-"&amp;G729&amp;"/"&amp;IF(H729="2B","2B",IF(H729="NO.1","1D",IF(H729="FH","FH",0)))&amp;"-"&amp;IF(J729="",(TEXT(I729,"0.00")),TEXT(J729,"0.00"))&amp;"X"&amp;M729</f>
        <v>WIP-304/2B-1.20X767</v>
      </c>
      <c r="C729" s="173" t="s">
        <v>775</v>
      </c>
      <c r="D729" s="173" t="s">
        <v>776</v>
      </c>
      <c r="E729" s="190" t="s">
        <v>2481</v>
      </c>
      <c r="F729" s="190" t="s">
        <v>2482</v>
      </c>
      <c r="G729" s="173">
        <v>304</v>
      </c>
      <c r="H729" s="173" t="s">
        <v>114</v>
      </c>
      <c r="I729" s="174">
        <v>3.49</v>
      </c>
      <c r="J729" s="174">
        <v>1.2</v>
      </c>
      <c r="K729" s="174"/>
      <c r="L729" s="174"/>
      <c r="M729" s="191">
        <v>767</v>
      </c>
      <c r="N729" s="176">
        <v>9.66</v>
      </c>
      <c r="O729" s="176" t="s">
        <v>114</v>
      </c>
      <c r="P729" s="177"/>
      <c r="Q729" s="178" t="s">
        <v>1344</v>
      </c>
      <c r="R729" s="179"/>
      <c r="S729" s="179"/>
      <c r="T729" s="177">
        <v>44924</v>
      </c>
      <c r="U729" s="177"/>
      <c r="V729" s="177">
        <v>44924</v>
      </c>
      <c r="W729" s="177"/>
      <c r="X729" s="177"/>
      <c r="Y729" s="177">
        <v>44947</v>
      </c>
      <c r="Z729" s="177">
        <v>44954</v>
      </c>
      <c r="AA729" s="177"/>
      <c r="AB729" s="177"/>
      <c r="AC729" s="177"/>
      <c r="AD729" s="180" t="s">
        <v>2470</v>
      </c>
      <c r="AE729" s="173" t="s">
        <v>69</v>
      </c>
      <c r="AF729" s="181" t="s">
        <v>142</v>
      </c>
      <c r="AG729" s="192" t="s">
        <v>1584</v>
      </c>
      <c r="AH729" s="198"/>
      <c r="AI729" s="181">
        <v>44914</v>
      </c>
      <c r="AJ729" s="181"/>
      <c r="AK729" s="181">
        <f ca="1">TODAY()</f>
        <v>44958</v>
      </c>
      <c r="AL729" s="173">
        <f ca="1">IF(AI729&lt;&gt;0,AK729-AI729,0)</f>
        <v>44</v>
      </c>
      <c r="AM729" s="173" t="str">
        <f>IF(ISNUMBER(X729)=TRUE,AK729-X729,IF(X729="","",(AK729)-(MID(RIGHT(X729,10),4,2)&amp;"/"&amp;LEFT((RIGHT(X729,10)),2)&amp;"/"&amp;RIGHT(X729,4))))</f>
        <v/>
      </c>
      <c r="AN729" s="181"/>
      <c r="AO729" s="190" t="s">
        <v>2480</v>
      </c>
      <c r="AP729" s="176">
        <v>9.9250000000000007</v>
      </c>
      <c r="AQ729" s="176">
        <v>9.9350000000000005</v>
      </c>
      <c r="AR729" s="176">
        <v>9.9599999999999991</v>
      </c>
      <c r="AS729" s="176">
        <v>9.9649999999999999</v>
      </c>
      <c r="AT729" s="173" t="str">
        <f>IF(ISNUMBER(U729)=TRUE,AK729-U729,IF(U729="","",(AK729)-(MID(RIGHT(U729,10),4,2)&amp;"/"&amp;LEFT((RIGHT(U729,10)),2)&amp;"/"&amp;RIGHT(U729,4))))</f>
        <v/>
      </c>
      <c r="AU729" s="173">
        <v>462</v>
      </c>
      <c r="AW729" s="142" t="s">
        <v>123</v>
      </c>
    </row>
    <row r="730" spans="2:49" s="142" customFormat="1" ht="21" customHeight="1" x14ac:dyDescent="0.25">
      <c r="B730" s="173" t="str">
        <f>IF(C730="HOLD RM","HOLD RM",IF(C730="BAL","WIP",IF(C730="HOLD SLT","HOLD SLT",IF(C730="MILL","RM",IF(C730="RE SLT","WIP",IF(C730="RM","RM",IF(C730="RM BAL","RM",IF(C730="RM SLT","RM",IF(C730="RR","WIP",IF(C730="SKP","WIP",IF(C730="SLT","WIP",IF(C730="CTL","WIP",IF(C730="RM SLT RUST","RM SLT RUST",0)))))))))))))&amp;"-"&amp;G730&amp;"/"&amp;IF(H730="2B","2B",IF(H730="NO.1","1D",IF(H730="FH","FH",0)))&amp;"-"&amp;IF(J730="",(TEXT(I730,"0.00")),TEXT(J730,"0.00"))&amp;"X"&amp;M730</f>
        <v>WIP-304/FH-1.45X776</v>
      </c>
      <c r="C730" s="173" t="s">
        <v>16</v>
      </c>
      <c r="D730" s="173" t="s">
        <v>16</v>
      </c>
      <c r="E730" s="190" t="s">
        <v>2483</v>
      </c>
      <c r="F730" s="190" t="s">
        <v>2484</v>
      </c>
      <c r="G730" s="173">
        <v>304</v>
      </c>
      <c r="H730" s="173" t="s">
        <v>70</v>
      </c>
      <c r="I730" s="174">
        <v>3.94</v>
      </c>
      <c r="J730" s="174">
        <v>1.45</v>
      </c>
      <c r="K730" s="174"/>
      <c r="L730" s="174"/>
      <c r="M730" s="191">
        <v>776</v>
      </c>
      <c r="N730" s="176">
        <v>10.49</v>
      </c>
      <c r="O730" s="176" t="s">
        <v>114</v>
      </c>
      <c r="P730" s="177"/>
      <c r="Q730" s="178" t="s">
        <v>2444</v>
      </c>
      <c r="R730" s="179"/>
      <c r="S730" s="179"/>
      <c r="T730" s="177">
        <v>44951</v>
      </c>
      <c r="U730" s="177"/>
      <c r="V730" s="177">
        <v>44951</v>
      </c>
      <c r="W730" s="177"/>
      <c r="X730" s="177"/>
      <c r="Y730" s="177"/>
      <c r="Z730" s="177"/>
      <c r="AA730" s="177"/>
      <c r="AB730" s="177"/>
      <c r="AC730" s="177"/>
      <c r="AD730" s="180" t="s">
        <v>1605</v>
      </c>
      <c r="AE730" s="173" t="s">
        <v>69</v>
      </c>
      <c r="AF730" s="181" t="s">
        <v>142</v>
      </c>
      <c r="AG730" s="192" t="s">
        <v>1584</v>
      </c>
      <c r="AH730" s="198"/>
      <c r="AI730" s="181">
        <v>44914</v>
      </c>
      <c r="AJ730" s="181"/>
      <c r="AK730" s="181">
        <f ca="1">TODAY()</f>
        <v>44958</v>
      </c>
      <c r="AL730" s="173">
        <f ca="1">IF(AI730&lt;&gt;0,AK730-AI730,0)</f>
        <v>44</v>
      </c>
      <c r="AM730" s="173" t="str">
        <f>IF(ISNUMBER(X730)=TRUE,AK730-X730,IF(X730="","",(AK730)-(MID(RIGHT(X730,10),4,2)&amp;"/"&amp;LEFT((RIGHT(X730,10)),2)&amp;"/"&amp;RIGHT(X730,4))))</f>
        <v/>
      </c>
      <c r="AN730" s="181"/>
      <c r="AO730" s="190" t="s">
        <v>2485</v>
      </c>
      <c r="AP730" s="176">
        <v>10.5</v>
      </c>
      <c r="AQ730" s="176">
        <v>10.51</v>
      </c>
      <c r="AR730" s="176">
        <v>10.534999999999998</v>
      </c>
      <c r="AS730" s="176">
        <v>10.54</v>
      </c>
      <c r="AT730" s="173" t="str">
        <f>IF(ISNUMBER(U730)=TRUE,AK730-U730,IF(U730="","",(AK730)-(MID(RIGHT(U730,10),4,2)&amp;"/"&amp;LEFT((RIGHT(U730,10)),2)&amp;"/"&amp;RIGHT(U730,4))))</f>
        <v/>
      </c>
      <c r="AU730" s="173">
        <v>462</v>
      </c>
      <c r="AW730" s="142" t="s">
        <v>123</v>
      </c>
    </row>
    <row r="731" spans="2:49" s="142" customFormat="1" ht="21" customHeight="1" x14ac:dyDescent="0.25">
      <c r="B731" s="173" t="str">
        <f>IF(C731="HOLD RM","HOLD RM",IF(C731="BAL","WIP",IF(C731="HOLD SLT","HOLD SLT",IF(C731="MILL","RM",IF(C731="RE SLT","WIP",IF(C731="RM","RM",IF(C731="RM BAL","RM",IF(C731="RM SLT","RM",IF(C731="RR","WIP",IF(C731="SKP","WIP",IF(C731="SLT","WIP",IF(C731="CTL","WIP",IF(C731="RM SLT RUST","RM SLT RUST",0)))))))))))))&amp;"-"&amp;G731&amp;"/"&amp;IF(H731="2B","2B",IF(H731="NO.1","1D",IF(H731="FH","FH",0)))&amp;"-"&amp;IF(J731="",(TEXT(I731,"0.00")),TEXT(J731,"0.00"))&amp;"X"&amp;M731</f>
        <v>WIP-304/FH-1.50X775</v>
      </c>
      <c r="C731" s="173" t="s">
        <v>16</v>
      </c>
      <c r="D731" s="173" t="s">
        <v>16</v>
      </c>
      <c r="E731" s="190" t="s">
        <v>2486</v>
      </c>
      <c r="F731" s="190" t="s">
        <v>2487</v>
      </c>
      <c r="G731" s="173">
        <v>304</v>
      </c>
      <c r="H731" s="173" t="s">
        <v>70</v>
      </c>
      <c r="I731" s="174">
        <v>3.94</v>
      </c>
      <c r="J731" s="174">
        <v>1.5</v>
      </c>
      <c r="K731" s="174"/>
      <c r="L731" s="174"/>
      <c r="M731" s="191">
        <v>775</v>
      </c>
      <c r="N731" s="176">
        <v>10.535</v>
      </c>
      <c r="O731" s="176" t="s">
        <v>114</v>
      </c>
      <c r="P731" s="177"/>
      <c r="Q731" s="178" t="s">
        <v>2488</v>
      </c>
      <c r="R731" s="179"/>
      <c r="S731" s="179"/>
      <c r="T731" s="177">
        <v>44950</v>
      </c>
      <c r="U731" s="177"/>
      <c r="V731" s="177">
        <v>44950</v>
      </c>
      <c r="W731" s="177"/>
      <c r="X731" s="177"/>
      <c r="Y731" s="177"/>
      <c r="Z731" s="177"/>
      <c r="AA731" s="177"/>
      <c r="AB731" s="177"/>
      <c r="AC731" s="177"/>
      <c r="AD731" s="180" t="s">
        <v>1605</v>
      </c>
      <c r="AE731" s="173" t="s">
        <v>69</v>
      </c>
      <c r="AF731" s="181" t="s">
        <v>142</v>
      </c>
      <c r="AG731" s="192" t="s">
        <v>1584</v>
      </c>
      <c r="AH731" s="198"/>
      <c r="AI731" s="181">
        <v>44914</v>
      </c>
      <c r="AJ731" s="181"/>
      <c r="AK731" s="181">
        <f ca="1">TODAY()</f>
        <v>44958</v>
      </c>
      <c r="AL731" s="173">
        <f ca="1">IF(AI731&lt;&gt;0,AK731-AI731,0)</f>
        <v>44</v>
      </c>
      <c r="AM731" s="173" t="str">
        <f>IF(ISNUMBER(X731)=TRUE,AK731-X731,IF(X731="","",(AK731)-(MID(RIGHT(X731,10),4,2)&amp;"/"&amp;LEFT((RIGHT(X731,10)),2)&amp;"/"&amp;RIGHT(X731,4))))</f>
        <v/>
      </c>
      <c r="AN731" s="181"/>
      <c r="AO731" s="190" t="s">
        <v>2485</v>
      </c>
      <c r="AP731" s="176">
        <v>10.545</v>
      </c>
      <c r="AQ731" s="176">
        <v>10.555</v>
      </c>
      <c r="AR731" s="176">
        <v>10.579999999999998</v>
      </c>
      <c r="AS731" s="176">
        <v>10.584999999999999</v>
      </c>
      <c r="AT731" s="173" t="str">
        <f>IF(ISNUMBER(U731)=TRUE,AK731-U731,IF(U731="","",(AK731)-(MID(RIGHT(U731,10),4,2)&amp;"/"&amp;LEFT((RIGHT(U731,10)),2)&amp;"/"&amp;RIGHT(U731,4))))</f>
        <v/>
      </c>
      <c r="AU731" s="173">
        <v>462</v>
      </c>
      <c r="AW731" s="142" t="s">
        <v>123</v>
      </c>
    </row>
    <row r="732" spans="2:49" s="142" customFormat="1" ht="21" customHeight="1" x14ac:dyDescent="0.25">
      <c r="B732" s="173" t="str">
        <f>IF(C732="HOLD RM","HOLD RM",IF(C732="BAL","WIP",IF(C732="HOLD SLT","HOLD SLT",IF(C732="MILL","RM",IF(C732="RE SLT","WIP",IF(C732="RM","RM",IF(C732="RM BAL","RM",IF(C732="RM SLT","RM",IF(C732="RR","WIP",IF(C732="SKP","WIP",IF(C732="SLT","WIP",IF(C732="CTL","WIP",IF(C732="RM SLT RUST","RM SLT RUST",0)))))))))))))&amp;"-"&amp;G732&amp;"/"&amp;IF(H732="2B","2B",IF(H732="NO.1","1D",IF(H732="FH","FH",0)))&amp;"-"&amp;IF(J732="",(TEXT(I732,"0.00")),TEXT(J732,"0.00"))&amp;"X"&amp;M732</f>
        <v>WIP-304/FH-1.15X764</v>
      </c>
      <c r="C732" s="173" t="s">
        <v>16</v>
      </c>
      <c r="D732" s="173" t="s">
        <v>16</v>
      </c>
      <c r="E732" s="190" t="s">
        <v>2489</v>
      </c>
      <c r="F732" s="190" t="s">
        <v>2490</v>
      </c>
      <c r="G732" s="173">
        <v>304</v>
      </c>
      <c r="H732" s="173" t="s">
        <v>70</v>
      </c>
      <c r="I732" s="174">
        <v>3.78</v>
      </c>
      <c r="J732" s="174">
        <v>1.1499999999999999</v>
      </c>
      <c r="K732" s="174"/>
      <c r="L732" s="174"/>
      <c r="M732" s="191">
        <v>764</v>
      </c>
      <c r="N732" s="176">
        <v>10.25</v>
      </c>
      <c r="O732" s="176" t="s">
        <v>114</v>
      </c>
      <c r="P732" s="177"/>
      <c r="Q732" s="178" t="s">
        <v>2444</v>
      </c>
      <c r="R732" s="179"/>
      <c r="S732" s="179"/>
      <c r="T732" s="177">
        <v>44949</v>
      </c>
      <c r="U732" s="177"/>
      <c r="V732" s="177">
        <v>44949</v>
      </c>
      <c r="W732" s="177"/>
      <c r="X732" s="177"/>
      <c r="Y732" s="177"/>
      <c r="Z732" s="177"/>
      <c r="AA732" s="177"/>
      <c r="AB732" s="177"/>
      <c r="AC732" s="177"/>
      <c r="AD732" s="180" t="s">
        <v>2448</v>
      </c>
      <c r="AE732" s="173" t="s">
        <v>69</v>
      </c>
      <c r="AF732" s="181" t="s">
        <v>142</v>
      </c>
      <c r="AG732" s="192" t="s">
        <v>1584</v>
      </c>
      <c r="AH732" s="198"/>
      <c r="AI732" s="181">
        <v>44914</v>
      </c>
      <c r="AJ732" s="181"/>
      <c r="AK732" s="181">
        <f ca="1">TODAY()</f>
        <v>44958</v>
      </c>
      <c r="AL732" s="173">
        <f ca="1">IF(AI732&lt;&gt;0,AK732-AI732,0)</f>
        <v>44</v>
      </c>
      <c r="AM732" s="173" t="str">
        <f>IF(ISNUMBER(X732)=TRUE,AK732-X732,IF(X732="","",(AK732)-(MID(RIGHT(X732,10),4,2)&amp;"/"&amp;LEFT((RIGHT(X732,10)),2)&amp;"/"&amp;RIGHT(X732,4))))</f>
        <v/>
      </c>
      <c r="AN732" s="181"/>
      <c r="AO732" s="190" t="s">
        <v>2491</v>
      </c>
      <c r="AP732" s="176">
        <v>10.26</v>
      </c>
      <c r="AQ732" s="176">
        <v>10.27</v>
      </c>
      <c r="AR732" s="176">
        <v>10.294999999999998</v>
      </c>
      <c r="AS732" s="176">
        <v>10.299999999999999</v>
      </c>
      <c r="AT732" s="173" t="str">
        <f>IF(ISNUMBER(U732)=TRUE,AK732-U732,IF(U732="","",(AK732)-(MID(RIGHT(U732,10),4,2)&amp;"/"&amp;LEFT((RIGHT(U732,10)),2)&amp;"/"&amp;RIGHT(U732,4))))</f>
        <v/>
      </c>
      <c r="AU732" s="173">
        <v>462</v>
      </c>
      <c r="AW732" s="142" t="s">
        <v>123</v>
      </c>
    </row>
    <row r="733" spans="2:49" s="142" customFormat="1" ht="21" customHeight="1" x14ac:dyDescent="0.25">
      <c r="B733" s="173" t="str">
        <f>IF(C733="HOLD RM","HOLD RM",IF(C733="BAL","WIP",IF(C733="HOLD SLT","HOLD SLT",IF(C733="MILL","RM",IF(C733="RE SLT","WIP",IF(C733="RM","RM",IF(C733="RM BAL","RM",IF(C733="RM SLT","RM",IF(C733="RR","WIP",IF(C733="SKP","WIP",IF(C733="SLT","WIP",IF(C733="CTL","WIP",IF(C733="RM SLT RUST","RM SLT RUST",0)))))))))))))&amp;"-"&amp;G733&amp;"/"&amp;IF(H733="2B","2B",IF(H733="NO.1","1D",IF(H733="FH","FH",0)))&amp;"-"&amp;IF(J733="",(TEXT(I733,"0.00")),TEXT(J733,"0.00"))&amp;"X"&amp;M733</f>
        <v>WIP-304/FH-1.15X764</v>
      </c>
      <c r="C733" s="173" t="s">
        <v>16</v>
      </c>
      <c r="D733" s="173" t="s">
        <v>16</v>
      </c>
      <c r="E733" s="190" t="s">
        <v>2492</v>
      </c>
      <c r="F733" s="190" t="s">
        <v>2493</v>
      </c>
      <c r="G733" s="173">
        <v>304</v>
      </c>
      <c r="H733" s="173" t="s">
        <v>70</v>
      </c>
      <c r="I733" s="174">
        <v>3.79</v>
      </c>
      <c r="J733" s="174">
        <v>1.1499999999999999</v>
      </c>
      <c r="K733" s="174"/>
      <c r="L733" s="174"/>
      <c r="M733" s="191">
        <v>764</v>
      </c>
      <c r="N733" s="176">
        <v>10.234999999999999</v>
      </c>
      <c r="O733" s="176" t="s">
        <v>114</v>
      </c>
      <c r="P733" s="177"/>
      <c r="Q733" s="178" t="s">
        <v>2444</v>
      </c>
      <c r="R733" s="179"/>
      <c r="S733" s="179"/>
      <c r="T733" s="177">
        <v>44949</v>
      </c>
      <c r="U733" s="177"/>
      <c r="V733" s="177">
        <v>44949</v>
      </c>
      <c r="W733" s="177"/>
      <c r="X733" s="177"/>
      <c r="Y733" s="177"/>
      <c r="Z733" s="177"/>
      <c r="AA733" s="177"/>
      <c r="AB733" s="177"/>
      <c r="AC733" s="177"/>
      <c r="AD733" s="180" t="s">
        <v>2448</v>
      </c>
      <c r="AE733" s="173" t="s">
        <v>69</v>
      </c>
      <c r="AF733" s="181" t="s">
        <v>142</v>
      </c>
      <c r="AG733" s="192" t="s">
        <v>1584</v>
      </c>
      <c r="AH733" s="198"/>
      <c r="AI733" s="181">
        <v>44914</v>
      </c>
      <c r="AJ733" s="181"/>
      <c r="AK733" s="181">
        <f ca="1">TODAY()</f>
        <v>44958</v>
      </c>
      <c r="AL733" s="173">
        <f ca="1">IF(AI733&lt;&gt;0,AK733-AI733,0)</f>
        <v>44</v>
      </c>
      <c r="AM733" s="173" t="str">
        <f>IF(ISNUMBER(X733)=TRUE,AK733-X733,IF(X733="","",(AK733)-(MID(RIGHT(X733,10),4,2)&amp;"/"&amp;LEFT((RIGHT(X733,10)),2)&amp;"/"&amp;RIGHT(X733,4))))</f>
        <v/>
      </c>
      <c r="AN733" s="181"/>
      <c r="AO733" s="190" t="s">
        <v>2491</v>
      </c>
      <c r="AP733" s="176">
        <v>10.220000000000001</v>
      </c>
      <c r="AQ733" s="176">
        <v>10.23</v>
      </c>
      <c r="AR733" s="176">
        <v>10.254999999999999</v>
      </c>
      <c r="AS733" s="176">
        <v>10.26</v>
      </c>
      <c r="AT733" s="173" t="str">
        <f>IF(ISNUMBER(U733)=TRUE,AK733-U733,IF(U733="","",(AK733)-(MID(RIGHT(U733,10),4,2)&amp;"/"&amp;LEFT((RIGHT(U733,10)),2)&amp;"/"&amp;RIGHT(U733,4))))</f>
        <v/>
      </c>
      <c r="AU733" s="173">
        <v>462</v>
      </c>
      <c r="AW733" s="142" t="s">
        <v>123</v>
      </c>
    </row>
    <row r="734" spans="2:49" s="142" customFormat="1" ht="21" customHeight="1" x14ac:dyDescent="0.25">
      <c r="B734" s="173" t="str">
        <f>IF(C734="HOLD RM","HOLD RM",IF(C734="BAL","WIP",IF(C734="HOLD SLT","HOLD SLT",IF(C734="MILL","RM",IF(C734="RE SLT","WIP",IF(C734="RM","RM",IF(C734="RM BAL","RM",IF(C734="RM SLT","RM",IF(C734="RR","WIP",IF(C734="SKP","WIP",IF(C734="SLT","WIP",IF(C734="CTL","WIP",IF(C734="RM SLT RUST","RM SLT RUST",0)))))))))))))&amp;"-"&amp;G734&amp;"/"&amp;IF(H734="2B","2B",IF(H734="NO.1","1D",IF(H734="FH","FH",0)))&amp;"-"&amp;IF(J734="",(TEXT(I734,"0.00")),TEXT(J734,"0.00"))&amp;"X"&amp;M734</f>
        <v>RM-304/1D-3.88X768</v>
      </c>
      <c r="C734" s="173" t="s">
        <v>13</v>
      </c>
      <c r="D734" s="173" t="s">
        <v>13</v>
      </c>
      <c r="E734" s="190" t="s">
        <v>2494</v>
      </c>
      <c r="F734" s="190" t="s">
        <v>2495</v>
      </c>
      <c r="G734" s="173">
        <v>304</v>
      </c>
      <c r="H734" s="173" t="s">
        <v>127</v>
      </c>
      <c r="I734" s="174">
        <v>3.88</v>
      </c>
      <c r="J734" s="174"/>
      <c r="K734" s="174"/>
      <c r="L734" s="174"/>
      <c r="M734" s="191">
        <v>768</v>
      </c>
      <c r="N734" s="176">
        <v>10.385</v>
      </c>
      <c r="O734" s="176"/>
      <c r="P734" s="177"/>
      <c r="Q734" s="178"/>
      <c r="R734" s="179"/>
      <c r="S734" s="179"/>
      <c r="T734" s="177">
        <v>44941</v>
      </c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80" t="s">
        <v>2448</v>
      </c>
      <c r="AE734" s="173" t="s">
        <v>69</v>
      </c>
      <c r="AF734" s="181" t="s">
        <v>142</v>
      </c>
      <c r="AG734" s="192" t="s">
        <v>1584</v>
      </c>
      <c r="AH734" s="198"/>
      <c r="AI734" s="181">
        <v>44914</v>
      </c>
      <c r="AJ734" s="181"/>
      <c r="AK734" s="181">
        <f ca="1">TODAY()</f>
        <v>44958</v>
      </c>
      <c r="AL734" s="173">
        <f ca="1">IF(AI734&lt;&gt;0,AK734-AI734,0)</f>
        <v>44</v>
      </c>
      <c r="AM734" s="173" t="str">
        <f>IF(ISNUMBER(X734)=TRUE,AK734-X734,IF(X734="","",(AK734)-(MID(RIGHT(X734,10),4,2)&amp;"/"&amp;LEFT((RIGHT(X734,10)),2)&amp;"/"&amp;RIGHT(X734,4))))</f>
        <v/>
      </c>
      <c r="AN734" s="181"/>
      <c r="AO734" s="190" t="s">
        <v>2496</v>
      </c>
      <c r="AP734" s="176">
        <v>10.385</v>
      </c>
      <c r="AQ734" s="176">
        <v>10.395</v>
      </c>
      <c r="AR734" s="176">
        <v>10.419999999999998</v>
      </c>
      <c r="AS734" s="176">
        <v>10.424999999999999</v>
      </c>
      <c r="AT734" s="173" t="str">
        <f>IF(ISNUMBER(U734)=TRUE,AK734-U734,IF(U734="","",(AK734)-(MID(RIGHT(U734,10),4,2)&amp;"/"&amp;LEFT((RIGHT(U734,10)),2)&amp;"/"&amp;RIGHT(U734,4))))</f>
        <v/>
      </c>
      <c r="AU734" s="173">
        <v>462</v>
      </c>
      <c r="AW734" s="142" t="s">
        <v>123</v>
      </c>
    </row>
    <row r="735" spans="2:49" s="142" customFormat="1" ht="21" customHeight="1" x14ac:dyDescent="0.25">
      <c r="B735" s="173" t="str">
        <f>IF(C735="HOLD RM","HOLD RM",IF(C735="BAL","WIP",IF(C735="HOLD SLT","HOLD SLT",IF(C735="MILL","RM",IF(C735="RE SLT","WIP",IF(C735="RM","RM",IF(C735="RM BAL","RM",IF(C735="RM SLT","RM",IF(C735="RR","WIP",IF(C735="SKP","WIP",IF(C735="SLT","WIP",IF(C735="CTL","WIP",IF(C735="RM SLT RUST","RM SLT RUST",0)))))))))))))&amp;"-"&amp;G735&amp;"/"&amp;IF(H735="2B","2B",IF(H735="NO.1","1D",IF(H735="FH","FH",0)))&amp;"-"&amp;IF(J735="",(TEXT(I735,"0.00")),TEXT(J735,"0.00"))&amp;"X"&amp;M735</f>
        <v>WIP-304/FH-2.00X767</v>
      </c>
      <c r="C735" s="173" t="s">
        <v>16</v>
      </c>
      <c r="D735" s="173" t="s">
        <v>16</v>
      </c>
      <c r="E735" s="190" t="s">
        <v>2497</v>
      </c>
      <c r="F735" s="190" t="s">
        <v>2498</v>
      </c>
      <c r="G735" s="173">
        <v>304</v>
      </c>
      <c r="H735" s="173" t="s">
        <v>70</v>
      </c>
      <c r="I735" s="174">
        <v>3.89</v>
      </c>
      <c r="J735" s="174">
        <v>2</v>
      </c>
      <c r="K735" s="174"/>
      <c r="L735" s="174"/>
      <c r="M735" s="191">
        <v>767</v>
      </c>
      <c r="N735" s="176">
        <v>10.375</v>
      </c>
      <c r="O735" s="176" t="s">
        <v>114</v>
      </c>
      <c r="P735" s="177"/>
      <c r="Q735" s="178" t="s">
        <v>1506</v>
      </c>
      <c r="R735" s="179"/>
      <c r="S735" s="179"/>
      <c r="T735" s="177">
        <v>44950</v>
      </c>
      <c r="U735" s="177"/>
      <c r="V735" s="177">
        <v>44951</v>
      </c>
      <c r="W735" s="177"/>
      <c r="X735" s="177"/>
      <c r="Y735" s="177"/>
      <c r="Z735" s="177"/>
      <c r="AA735" s="177"/>
      <c r="AB735" s="177"/>
      <c r="AC735" s="177"/>
      <c r="AD735" s="180" t="s">
        <v>2448</v>
      </c>
      <c r="AE735" s="173" t="s">
        <v>69</v>
      </c>
      <c r="AF735" s="181" t="s">
        <v>142</v>
      </c>
      <c r="AG735" s="192" t="s">
        <v>1584</v>
      </c>
      <c r="AH735" s="198"/>
      <c r="AI735" s="181">
        <v>44914</v>
      </c>
      <c r="AJ735" s="181"/>
      <c r="AK735" s="181">
        <f ca="1">TODAY()</f>
        <v>44958</v>
      </c>
      <c r="AL735" s="173">
        <f ca="1">IF(AI735&lt;&gt;0,AK735-AI735,0)</f>
        <v>44</v>
      </c>
      <c r="AM735" s="173" t="str">
        <f>IF(ISNUMBER(X735)=TRUE,AK735-X735,IF(X735="","",(AK735)-(MID(RIGHT(X735,10),4,2)&amp;"/"&amp;LEFT((RIGHT(X735,10)),2)&amp;"/"&amp;RIGHT(X735,4))))</f>
        <v/>
      </c>
      <c r="AN735" s="181"/>
      <c r="AO735" s="190" t="s">
        <v>2496</v>
      </c>
      <c r="AP735" s="176">
        <v>10.36</v>
      </c>
      <c r="AQ735" s="176">
        <v>10.37</v>
      </c>
      <c r="AR735" s="176">
        <v>10.394999999999998</v>
      </c>
      <c r="AS735" s="176">
        <v>10.399999999999999</v>
      </c>
      <c r="AT735" s="173" t="str">
        <f>IF(ISNUMBER(U735)=TRUE,AK735-U735,IF(U735="","",(AK735)-(MID(RIGHT(U735,10),4,2)&amp;"/"&amp;LEFT((RIGHT(U735,10)),2)&amp;"/"&amp;RIGHT(U735,4))))</f>
        <v/>
      </c>
      <c r="AU735" s="173">
        <v>462</v>
      </c>
      <c r="AW735" s="142" t="s">
        <v>123</v>
      </c>
    </row>
    <row r="736" spans="2:49" s="142" customFormat="1" ht="21" customHeight="1" x14ac:dyDescent="0.25">
      <c r="B736" s="173" t="str">
        <f>IF(C736="HOLD RM","HOLD RM",IF(C736="BAL","WIP",IF(C736="HOLD SLT","HOLD SLT",IF(C736="MILL","RM",IF(C736="RE SLT","WIP",IF(C736="RM","RM",IF(C736="RM BAL","RM",IF(C736="RM SLT","RM",IF(C736="RR","WIP",IF(C736="SKP","WIP",IF(C736="SLT","WIP",IF(C736="CTL","WIP",IF(C736="RM SLT RUST","RM SLT RUST",0)))))))))))))&amp;"-"&amp;G736&amp;"/"&amp;IF(H736="2B","2B",IF(H736="NO.1","1D",IF(H736="FH","FH",0)))&amp;"-"&amp;IF(J736="",(TEXT(I736,"0.00")),TEXT(J736,"0.00"))&amp;"X"&amp;M736</f>
        <v>WIP-304/FH-1.15X770</v>
      </c>
      <c r="C736" s="173" t="s">
        <v>16</v>
      </c>
      <c r="D736" s="173" t="s">
        <v>16</v>
      </c>
      <c r="E736" s="190" t="s">
        <v>2499</v>
      </c>
      <c r="F736" s="190" t="s">
        <v>2500</v>
      </c>
      <c r="G736" s="173">
        <v>304</v>
      </c>
      <c r="H736" s="173" t="s">
        <v>70</v>
      </c>
      <c r="I736" s="174">
        <v>3.79</v>
      </c>
      <c r="J736" s="174">
        <v>1.1499999999999999</v>
      </c>
      <c r="K736" s="174"/>
      <c r="L736" s="174"/>
      <c r="M736" s="191">
        <v>770</v>
      </c>
      <c r="N736" s="176">
        <v>11.87</v>
      </c>
      <c r="O736" s="176" t="s">
        <v>114</v>
      </c>
      <c r="P736" s="177"/>
      <c r="Q736" s="178" t="s">
        <v>2444</v>
      </c>
      <c r="R736" s="179"/>
      <c r="S736" s="179"/>
      <c r="T736" s="177">
        <v>44949</v>
      </c>
      <c r="U736" s="177"/>
      <c r="V736" s="177">
        <v>44950</v>
      </c>
      <c r="W736" s="177"/>
      <c r="X736" s="177"/>
      <c r="Y736" s="177"/>
      <c r="Z736" s="177"/>
      <c r="AA736" s="177"/>
      <c r="AB736" s="177"/>
      <c r="AC736" s="177"/>
      <c r="AD736" s="180" t="s">
        <v>2448</v>
      </c>
      <c r="AE736" s="173" t="s">
        <v>69</v>
      </c>
      <c r="AF736" s="181" t="s">
        <v>142</v>
      </c>
      <c r="AG736" s="192" t="s">
        <v>1584</v>
      </c>
      <c r="AH736" s="198"/>
      <c r="AI736" s="181">
        <v>44914</v>
      </c>
      <c r="AJ736" s="181"/>
      <c r="AK736" s="181">
        <f ca="1">TODAY()</f>
        <v>44958</v>
      </c>
      <c r="AL736" s="173">
        <f ca="1">IF(AI736&lt;&gt;0,AK736-AI736,0)</f>
        <v>44</v>
      </c>
      <c r="AM736" s="173" t="str">
        <f>IF(ISNUMBER(X736)=TRUE,AK736-X736,IF(X736="","",(AK736)-(MID(RIGHT(X736,10),4,2)&amp;"/"&amp;LEFT((RIGHT(X736,10)),2)&amp;"/"&amp;RIGHT(X736,4))))</f>
        <v/>
      </c>
      <c r="AN736" s="181"/>
      <c r="AO736" s="190" t="s">
        <v>2501</v>
      </c>
      <c r="AP736" s="176">
        <v>11.86</v>
      </c>
      <c r="AQ736" s="176">
        <v>11.87</v>
      </c>
      <c r="AR736" s="176">
        <v>11.894999999999998</v>
      </c>
      <c r="AS736" s="176">
        <v>11.899999999999999</v>
      </c>
      <c r="AT736" s="173" t="str">
        <f>IF(ISNUMBER(U736)=TRUE,AK736-U736,IF(U736="","",(AK736)-(MID(RIGHT(U736,10),4,2)&amp;"/"&amp;LEFT((RIGHT(U736,10)),2)&amp;"/"&amp;RIGHT(U736,4))))</f>
        <v/>
      </c>
      <c r="AU736" s="173">
        <v>462</v>
      </c>
      <c r="AW736" s="142" t="s">
        <v>123</v>
      </c>
    </row>
    <row r="737" spans="2:49" s="142" customFormat="1" ht="21" customHeight="1" x14ac:dyDescent="0.25">
      <c r="B737" s="173" t="str">
        <f>IF(C737="HOLD RM","HOLD RM",IF(C737="BAL","WIP",IF(C737="HOLD SLT","HOLD SLT",IF(C737="MILL","RM",IF(C737="RE SLT","WIP",IF(C737="RM","RM",IF(C737="RM BAL","RM",IF(C737="RM SLT","RM",IF(C737="RR","WIP",IF(C737="SKP","WIP",IF(C737="SLT","WIP",IF(C737="CTL","WIP",IF(C737="RM SLT RUST","RM SLT RUST",0)))))))))))))&amp;"-"&amp;G737&amp;"/"&amp;IF(H737="2B","2B",IF(H737="NO.1","1D",IF(H737="FH","FH",0)))&amp;"-"&amp;IF(J737="",(TEXT(I737,"0.00")),TEXT(J737,"0.00"))&amp;"X"&amp;M737</f>
        <v>RM-304/1D-3.79X772</v>
      </c>
      <c r="C737" s="173" t="s">
        <v>48</v>
      </c>
      <c r="D737" s="173" t="s">
        <v>48</v>
      </c>
      <c r="E737" s="190" t="s">
        <v>2502</v>
      </c>
      <c r="F737" s="190" t="s">
        <v>2503</v>
      </c>
      <c r="G737" s="173">
        <v>304</v>
      </c>
      <c r="H737" s="173" t="s">
        <v>127</v>
      </c>
      <c r="I737" s="174">
        <v>3.79</v>
      </c>
      <c r="J737" s="174"/>
      <c r="K737" s="174"/>
      <c r="L737" s="174"/>
      <c r="M737" s="191">
        <v>772</v>
      </c>
      <c r="N737" s="176">
        <v>11.895</v>
      </c>
      <c r="O737" s="176"/>
      <c r="P737" s="177"/>
      <c r="Q737" s="178"/>
      <c r="R737" s="179"/>
      <c r="S737" s="179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80" t="s">
        <v>2448</v>
      </c>
      <c r="AE737" s="173" t="s">
        <v>69</v>
      </c>
      <c r="AF737" s="181" t="s">
        <v>142</v>
      </c>
      <c r="AG737" s="192" t="s">
        <v>1584</v>
      </c>
      <c r="AH737" s="198"/>
      <c r="AI737" s="181">
        <v>44914</v>
      </c>
      <c r="AJ737" s="181"/>
      <c r="AK737" s="181">
        <f ca="1">TODAY()</f>
        <v>44958</v>
      </c>
      <c r="AL737" s="173">
        <f ca="1">IF(AI737&lt;&gt;0,AK737-AI737,0)</f>
        <v>44</v>
      </c>
      <c r="AM737" s="173" t="str">
        <f>IF(ISNUMBER(X737)=TRUE,AK737-X737,IF(X737="","",(AK737)-(MID(RIGHT(X737,10),4,2)&amp;"/"&amp;LEFT((RIGHT(X737,10)),2)&amp;"/"&amp;RIGHT(X737,4))))</f>
        <v/>
      </c>
      <c r="AN737" s="181"/>
      <c r="AO737" s="190" t="s">
        <v>2501</v>
      </c>
      <c r="AP737" s="176">
        <v>11.895</v>
      </c>
      <c r="AQ737" s="176">
        <v>11.904999999999999</v>
      </c>
      <c r="AR737" s="176">
        <v>11.929999999999998</v>
      </c>
      <c r="AS737" s="176">
        <v>11.934999999999999</v>
      </c>
      <c r="AT737" s="173" t="str">
        <f>IF(ISNUMBER(U737)=TRUE,AK737-U737,IF(U737="","",(AK737)-(MID(RIGHT(U737,10),4,2)&amp;"/"&amp;LEFT((RIGHT(U737,10)),2)&amp;"/"&amp;RIGHT(U737,4))))</f>
        <v/>
      </c>
      <c r="AU737" s="173">
        <v>462</v>
      </c>
      <c r="AW737" s="142" t="s">
        <v>123</v>
      </c>
    </row>
    <row r="738" spans="2:49" s="142" customFormat="1" ht="21" customHeight="1" x14ac:dyDescent="0.25">
      <c r="B738" s="173" t="str">
        <f>IF(C738="HOLD RM","HOLD RM",IF(C738="BAL","WIP",IF(C738="HOLD SLT","HOLD SLT",IF(C738="MILL","RM",IF(C738="RE SLT","WIP",IF(C738="RM","RM",IF(C738="RM BAL","RM",IF(C738="RM SLT","RM",IF(C738="RR","WIP",IF(C738="SKP","WIP",IF(C738="SLT","WIP",IF(C738="CTL","WIP",IF(C738="RM SLT RUST","RM SLT RUST",0)))))))))))))&amp;"-"&amp;G738&amp;"/"&amp;IF(H738="2B","2B",IF(H738="NO.1","1D",IF(H738="FH","FH",0)))&amp;"-"&amp;IF(J738="",(TEXT(I738,"0.00")),TEXT(J738,"0.00"))&amp;"X"&amp;M738</f>
        <v>WIP-304L/FH-1.20X770</v>
      </c>
      <c r="C738" s="173" t="s">
        <v>16</v>
      </c>
      <c r="D738" s="173" t="s">
        <v>16</v>
      </c>
      <c r="E738" s="190" t="s">
        <v>2504</v>
      </c>
      <c r="F738" s="190" t="s">
        <v>2505</v>
      </c>
      <c r="G738" s="173" t="s">
        <v>182</v>
      </c>
      <c r="H738" s="173" t="s">
        <v>70</v>
      </c>
      <c r="I738" s="174">
        <v>3.79</v>
      </c>
      <c r="J738" s="174">
        <v>1.2</v>
      </c>
      <c r="K738" s="174"/>
      <c r="L738" s="174"/>
      <c r="M738" s="191">
        <v>770</v>
      </c>
      <c r="N738" s="176">
        <v>10.494999999999999</v>
      </c>
      <c r="O738" s="176" t="s">
        <v>114</v>
      </c>
      <c r="P738" s="177"/>
      <c r="Q738" s="178" t="s">
        <v>1506</v>
      </c>
      <c r="R738" s="179"/>
      <c r="S738" s="179"/>
      <c r="T738" s="177">
        <v>44950</v>
      </c>
      <c r="U738" s="177"/>
      <c r="V738" s="177">
        <v>44950</v>
      </c>
      <c r="W738" s="177"/>
      <c r="X738" s="177"/>
      <c r="Y738" s="177"/>
      <c r="Z738" s="177"/>
      <c r="AA738" s="177"/>
      <c r="AB738" s="177"/>
      <c r="AC738" s="177"/>
      <c r="AD738" s="180" t="s">
        <v>2448</v>
      </c>
      <c r="AE738" s="173" t="s">
        <v>69</v>
      </c>
      <c r="AF738" s="181" t="s">
        <v>142</v>
      </c>
      <c r="AG738" s="192" t="s">
        <v>1584</v>
      </c>
      <c r="AH738" s="198"/>
      <c r="AI738" s="181">
        <v>44914</v>
      </c>
      <c r="AJ738" s="181"/>
      <c r="AK738" s="181">
        <f ca="1">TODAY()</f>
        <v>44958</v>
      </c>
      <c r="AL738" s="173">
        <f ca="1">IF(AI738&lt;&gt;0,AK738-AI738,0)</f>
        <v>44</v>
      </c>
      <c r="AM738" s="173" t="str">
        <f>IF(ISNUMBER(X738)=TRUE,AK738-X738,IF(X738="","",(AK738)-(MID(RIGHT(X738,10),4,2)&amp;"/"&amp;LEFT((RIGHT(X738,10)),2)&amp;"/"&amp;RIGHT(X738,4))))</f>
        <v/>
      </c>
      <c r="AN738" s="181"/>
      <c r="AO738" s="190" t="s">
        <v>2506</v>
      </c>
      <c r="AP738" s="176">
        <v>10.505000000000001</v>
      </c>
      <c r="AQ738" s="176">
        <v>10.515000000000001</v>
      </c>
      <c r="AR738" s="176">
        <v>10.54</v>
      </c>
      <c r="AS738" s="176">
        <v>10.545</v>
      </c>
      <c r="AT738" s="173" t="str">
        <f>IF(ISNUMBER(U738)=TRUE,AK738-U738,IF(U738="","",(AK738)-(MID(RIGHT(U738,10),4,2)&amp;"/"&amp;LEFT((RIGHT(U738,10)),2)&amp;"/"&amp;RIGHT(U738,4))))</f>
        <v/>
      </c>
      <c r="AU738" s="173">
        <v>462</v>
      </c>
      <c r="AW738" s="142" t="s">
        <v>123</v>
      </c>
    </row>
    <row r="739" spans="2:49" s="142" customFormat="1" ht="21" customHeight="1" x14ac:dyDescent="0.25">
      <c r="B739" s="173" t="str">
        <f>IF(C739="HOLD RM","HOLD RM",IF(C739="BAL","WIP",IF(C739="HOLD SLT","HOLD SLT",IF(C739="MILL","RM",IF(C739="RE SLT","WIP",IF(C739="RM","RM",IF(C739="RM BAL","RM",IF(C739="RM SLT","RM",IF(C739="RR","WIP",IF(C739="SKP","WIP",IF(C739="SLT","WIP",IF(C739="CTL","WIP",IF(C739="RM SLT RUST","RM SLT RUST",0)))))))))))))&amp;"-"&amp;G739&amp;"/"&amp;IF(H739="2B","2B",IF(H739="NO.1","1D",IF(H739="FH","FH",0)))&amp;"-"&amp;IF(J739="",(TEXT(I739,"0.00")),TEXT(J739,"0.00"))&amp;"X"&amp;M739</f>
        <v>WIP-304L/FH-1.15X773</v>
      </c>
      <c r="C739" s="173" t="s">
        <v>16</v>
      </c>
      <c r="D739" s="173" t="s">
        <v>16</v>
      </c>
      <c r="E739" s="190" t="s">
        <v>2507</v>
      </c>
      <c r="F739" s="190" t="s">
        <v>2508</v>
      </c>
      <c r="G739" s="173" t="s">
        <v>182</v>
      </c>
      <c r="H739" s="173" t="s">
        <v>70</v>
      </c>
      <c r="I739" s="174">
        <v>3.79</v>
      </c>
      <c r="J739" s="174">
        <v>1.1499999999999999</v>
      </c>
      <c r="K739" s="174"/>
      <c r="L739" s="174"/>
      <c r="M739" s="191">
        <v>773</v>
      </c>
      <c r="N739" s="176">
        <v>10.55</v>
      </c>
      <c r="O739" s="176" t="s">
        <v>114</v>
      </c>
      <c r="P739" s="177"/>
      <c r="Q739" s="178" t="s">
        <v>1540</v>
      </c>
      <c r="R739" s="179"/>
      <c r="S739" s="179"/>
      <c r="T739" s="177">
        <v>44946</v>
      </c>
      <c r="U739" s="177"/>
      <c r="V739" s="177">
        <v>44947</v>
      </c>
      <c r="W739" s="177"/>
      <c r="X739" s="177"/>
      <c r="Y739" s="177"/>
      <c r="Z739" s="177"/>
      <c r="AA739" s="177"/>
      <c r="AB739" s="177"/>
      <c r="AC739" s="177"/>
      <c r="AD739" s="180" t="s">
        <v>1605</v>
      </c>
      <c r="AE739" s="173" t="s">
        <v>69</v>
      </c>
      <c r="AF739" s="181" t="s">
        <v>142</v>
      </c>
      <c r="AG739" s="192" t="s">
        <v>1584</v>
      </c>
      <c r="AH739" s="198"/>
      <c r="AI739" s="181">
        <v>44914</v>
      </c>
      <c r="AJ739" s="181"/>
      <c r="AK739" s="181">
        <f ca="1">TODAY()</f>
        <v>44958</v>
      </c>
      <c r="AL739" s="173">
        <f ca="1">IF(AI739&lt;&gt;0,AK739-AI739,0)</f>
        <v>44</v>
      </c>
      <c r="AM739" s="173" t="str">
        <f>IF(ISNUMBER(X739)=TRUE,AK739-X739,IF(X739="","",(AK739)-(MID(RIGHT(X739,10),4,2)&amp;"/"&amp;LEFT((RIGHT(X739,10)),2)&amp;"/"&amp;RIGHT(X739,4))))</f>
        <v/>
      </c>
      <c r="AN739" s="181"/>
      <c r="AO739" s="190" t="s">
        <v>2506</v>
      </c>
      <c r="AP739" s="176">
        <v>10.555</v>
      </c>
      <c r="AQ739" s="176">
        <v>10.565</v>
      </c>
      <c r="AR739" s="176">
        <v>10.589999999999998</v>
      </c>
      <c r="AS739" s="176">
        <v>10.594999999999999</v>
      </c>
      <c r="AT739" s="173" t="str">
        <f>IF(ISNUMBER(U739)=TRUE,AK739-U739,IF(U739="","",(AK739)-(MID(RIGHT(U739,10),4,2)&amp;"/"&amp;LEFT((RIGHT(U739,10)),2)&amp;"/"&amp;RIGHT(U739,4))))</f>
        <v/>
      </c>
      <c r="AU739" s="173">
        <v>462</v>
      </c>
      <c r="AW739" s="142" t="s">
        <v>123</v>
      </c>
    </row>
    <row r="740" spans="2:49" s="142" customFormat="1" ht="21" customHeight="1" x14ac:dyDescent="0.25">
      <c r="B740" s="173" t="str">
        <f>IF(C740="HOLD RM","HOLD RM",IF(C740="BAL","WIP",IF(C740="HOLD SLT","HOLD SLT",IF(C740="MILL","RM",IF(C740="RE SLT","WIP",IF(C740="RM","RM",IF(C740="RM BAL","RM",IF(C740="RM SLT","RM",IF(C740="RR","WIP",IF(C740="SKP","WIP",IF(C740="SLT","WIP",IF(C740="CTL","WIP",IF(C740="RM SLT RUST","RM SLT RUST",0)))))))))))))&amp;"-"&amp;G740&amp;"/"&amp;IF(H740="2B","2B",IF(H740="NO.1","1D",IF(H740="FH","FH",0)))&amp;"-"&amp;IF(J740="",(TEXT(I740,"0.00")),TEXT(J740,"0.00"))&amp;"X"&amp;M740</f>
        <v>WIP-304L/FH-1.20X771</v>
      </c>
      <c r="C740" s="173" t="s">
        <v>16</v>
      </c>
      <c r="D740" s="173" t="s">
        <v>16</v>
      </c>
      <c r="E740" s="190" t="s">
        <v>2509</v>
      </c>
      <c r="F740" s="190" t="s">
        <v>2510</v>
      </c>
      <c r="G740" s="173" t="s">
        <v>182</v>
      </c>
      <c r="H740" s="173" t="s">
        <v>70</v>
      </c>
      <c r="I740" s="174">
        <v>3.49</v>
      </c>
      <c r="J740" s="174">
        <v>1.2</v>
      </c>
      <c r="K740" s="174"/>
      <c r="L740" s="174"/>
      <c r="M740" s="191">
        <v>771</v>
      </c>
      <c r="N740" s="176">
        <v>3.0449999999999999</v>
      </c>
      <c r="O740" s="176" t="s">
        <v>114</v>
      </c>
      <c r="P740" s="177"/>
      <c r="Q740" s="178" t="s">
        <v>1344</v>
      </c>
      <c r="R740" s="179"/>
      <c r="S740" s="179"/>
      <c r="T740" s="177">
        <v>44921</v>
      </c>
      <c r="U740" s="177"/>
      <c r="V740" s="177">
        <v>44922</v>
      </c>
      <c r="W740" s="177"/>
      <c r="X740" s="177"/>
      <c r="Y740" s="177"/>
      <c r="Z740" s="177"/>
      <c r="AA740" s="177"/>
      <c r="AB740" s="177"/>
      <c r="AC740" s="177"/>
      <c r="AD740" s="180" t="s">
        <v>2470</v>
      </c>
      <c r="AE740" s="173" t="s">
        <v>69</v>
      </c>
      <c r="AF740" s="181" t="s">
        <v>142</v>
      </c>
      <c r="AG740" s="192" t="s">
        <v>1584</v>
      </c>
      <c r="AH740" s="198"/>
      <c r="AI740" s="181">
        <v>44914</v>
      </c>
      <c r="AJ740" s="181"/>
      <c r="AK740" s="181">
        <f ca="1">TODAY()</f>
        <v>44958</v>
      </c>
      <c r="AL740" s="173">
        <f ca="1">IF(AI740&lt;&gt;0,AK740-AI740,0)</f>
        <v>44</v>
      </c>
      <c r="AM740" s="173" t="str">
        <f>IF(ISNUMBER(X740)=TRUE,AK740-X740,IF(X740="","",(AK740)-(MID(RIGHT(X740,10),4,2)&amp;"/"&amp;LEFT((RIGHT(X740,10)),2)&amp;"/"&amp;RIGHT(X740,4))))</f>
        <v/>
      </c>
      <c r="AN740" s="181"/>
      <c r="AO740" s="190" t="s">
        <v>2511</v>
      </c>
      <c r="AP740" s="176">
        <v>10.45</v>
      </c>
      <c r="AQ740" s="176">
        <v>10.46</v>
      </c>
      <c r="AR740" s="176">
        <v>10.484999999999999</v>
      </c>
      <c r="AS740" s="176">
        <v>10.49</v>
      </c>
      <c r="AT740" s="173" t="str">
        <f>IF(ISNUMBER(U740)=TRUE,AK740-U740,IF(U740="","",(AK740)-(MID(RIGHT(U740,10),4,2)&amp;"/"&amp;LEFT((RIGHT(U740,10)),2)&amp;"/"&amp;RIGHT(U740,4))))</f>
        <v/>
      </c>
      <c r="AU740" s="173">
        <v>462</v>
      </c>
      <c r="AW740" s="142" t="s">
        <v>123</v>
      </c>
    </row>
    <row r="741" spans="2:49" s="142" customFormat="1" ht="21" customHeight="1" x14ac:dyDescent="0.25">
      <c r="B741" s="173" t="str">
        <f>IF(C741="HOLD RM","HOLD RM",IF(C741="BAL","WIP",IF(C741="HOLD SLT","HOLD SLT",IF(C741="MILL","RM",IF(C741="RE SLT","WIP",IF(C741="RM","RM",IF(C741="RM BAL","RM",IF(C741="RM SLT","RM",IF(C741="RR","WIP",IF(C741="SKP","WIP",IF(C741="SLT","WIP",IF(C741="CTL","WIP",IF(C741="RM SLT RUST","RM SLT RUST",0)))))))))))))&amp;"-"&amp;G741&amp;"/"&amp;IF(H741="2B","2B",IF(H741="NO.1","1D",IF(H741="FH","FH",0)))&amp;"-"&amp;IF(J741="",(TEXT(I741,"0.00")),TEXT(J741,"0.00"))&amp;"X"&amp;M741</f>
        <v>WIP-304/FH-0.88X778</v>
      </c>
      <c r="C741" s="173" t="s">
        <v>16</v>
      </c>
      <c r="D741" s="173" t="s">
        <v>16</v>
      </c>
      <c r="E741" s="190" t="s">
        <v>2512</v>
      </c>
      <c r="F741" s="190" t="s">
        <v>2513</v>
      </c>
      <c r="G741" s="173">
        <v>304</v>
      </c>
      <c r="H741" s="173" t="s">
        <v>70</v>
      </c>
      <c r="I741" s="174">
        <v>2.9</v>
      </c>
      <c r="J741" s="174">
        <v>0.88</v>
      </c>
      <c r="K741" s="174"/>
      <c r="L741" s="174"/>
      <c r="M741" s="191">
        <v>778</v>
      </c>
      <c r="N741" s="176">
        <v>10.31</v>
      </c>
      <c r="O741" s="176" t="s">
        <v>114</v>
      </c>
      <c r="P741" s="177"/>
      <c r="Q741" s="178" t="s">
        <v>1506</v>
      </c>
      <c r="R741" s="179"/>
      <c r="S741" s="179"/>
      <c r="T741" s="177">
        <v>44941</v>
      </c>
      <c r="U741" s="177"/>
      <c r="V741" s="177">
        <v>44942</v>
      </c>
      <c r="W741" s="177"/>
      <c r="X741" s="177"/>
      <c r="Y741" s="177"/>
      <c r="Z741" s="177"/>
      <c r="AA741" s="177"/>
      <c r="AB741" s="177"/>
      <c r="AC741" s="177"/>
      <c r="AD741" s="180" t="s">
        <v>2448</v>
      </c>
      <c r="AE741" s="173" t="s">
        <v>69</v>
      </c>
      <c r="AF741" s="181" t="s">
        <v>142</v>
      </c>
      <c r="AG741" s="192" t="s">
        <v>1584</v>
      </c>
      <c r="AH741" s="198"/>
      <c r="AI741" s="181">
        <v>44914</v>
      </c>
      <c r="AJ741" s="181"/>
      <c r="AK741" s="181">
        <f ca="1">TODAY()</f>
        <v>44958</v>
      </c>
      <c r="AL741" s="173">
        <f ca="1">IF(AI741&lt;&gt;0,AK741-AI741,0)</f>
        <v>44</v>
      </c>
      <c r="AM741" s="173" t="str">
        <f>IF(ISNUMBER(X741)=TRUE,AK741-X741,IF(X741="","",(AK741)-(MID(RIGHT(X741,10),4,2)&amp;"/"&amp;LEFT((RIGHT(X741,10)),2)&amp;"/"&amp;RIGHT(X741,4))))</f>
        <v/>
      </c>
      <c r="AN741" s="181"/>
      <c r="AO741" s="190" t="s">
        <v>2514</v>
      </c>
      <c r="AP741" s="176">
        <v>10.3</v>
      </c>
      <c r="AQ741" s="176">
        <v>10.31</v>
      </c>
      <c r="AR741" s="176">
        <v>10.334999999999999</v>
      </c>
      <c r="AS741" s="176">
        <v>10.34</v>
      </c>
      <c r="AT741" s="173" t="str">
        <f>IF(ISNUMBER(U741)=TRUE,AK741-U741,IF(U741="","",(AK741)-(MID(RIGHT(U741,10),4,2)&amp;"/"&amp;LEFT((RIGHT(U741,10)),2)&amp;"/"&amp;RIGHT(U741,4))))</f>
        <v/>
      </c>
      <c r="AU741" s="173">
        <v>462</v>
      </c>
      <c r="AW741" s="142" t="s">
        <v>123</v>
      </c>
    </row>
    <row r="742" spans="2:49" s="142" customFormat="1" ht="21" customHeight="1" x14ac:dyDescent="0.25">
      <c r="B742" s="173" t="str">
        <f>IF(C742="HOLD RM","HOLD RM",IF(C742="BAL","WIP",IF(C742="HOLD SLT","HOLD SLT",IF(C742="MILL","RM",IF(C742="RE SLT","WIP",IF(C742="RM","RM",IF(C742="RM BAL","RM",IF(C742="RM SLT","RM",IF(C742="RR","WIP",IF(C742="SKP","WIP",IF(C742="SLT","WIP",IF(C742="CTL","WIP",IF(C742="RM SLT RUST","RM SLT RUST",0)))))))))))))&amp;"-"&amp;G742&amp;"/"&amp;IF(H742="2B","2B",IF(H742="NO.1","1D",IF(H742="FH","FH",0)))&amp;"-"&amp;IF(J742="",(TEXT(I742,"0.00")),TEXT(J742,"0.00"))&amp;"X"&amp;M742</f>
        <v>WIP-304/FH-0.88X777</v>
      </c>
      <c r="C742" s="173" t="s">
        <v>16</v>
      </c>
      <c r="D742" s="173" t="s">
        <v>16</v>
      </c>
      <c r="E742" s="190" t="s">
        <v>2515</v>
      </c>
      <c r="F742" s="190" t="s">
        <v>2516</v>
      </c>
      <c r="G742" s="173">
        <v>304</v>
      </c>
      <c r="H742" s="173" t="s">
        <v>70</v>
      </c>
      <c r="I742" s="174">
        <v>2.9</v>
      </c>
      <c r="J742" s="174">
        <v>0.88</v>
      </c>
      <c r="K742" s="174"/>
      <c r="L742" s="174"/>
      <c r="M742" s="191">
        <v>777</v>
      </c>
      <c r="N742" s="176">
        <v>10.26</v>
      </c>
      <c r="O742" s="176" t="s">
        <v>114</v>
      </c>
      <c r="P742" s="177"/>
      <c r="Q742" s="178" t="s">
        <v>1506</v>
      </c>
      <c r="R742" s="179"/>
      <c r="S742" s="179"/>
      <c r="T742" s="177">
        <v>44941</v>
      </c>
      <c r="U742" s="177"/>
      <c r="V742" s="177">
        <v>44941</v>
      </c>
      <c r="W742" s="177"/>
      <c r="X742" s="177"/>
      <c r="Y742" s="177"/>
      <c r="Z742" s="177"/>
      <c r="AA742" s="177"/>
      <c r="AB742" s="177"/>
      <c r="AC742" s="177"/>
      <c r="AD742" s="180" t="s">
        <v>2448</v>
      </c>
      <c r="AE742" s="173" t="s">
        <v>69</v>
      </c>
      <c r="AF742" s="181" t="s">
        <v>142</v>
      </c>
      <c r="AG742" s="192" t="s">
        <v>1584</v>
      </c>
      <c r="AH742" s="198"/>
      <c r="AI742" s="181">
        <v>44914</v>
      </c>
      <c r="AJ742" s="181"/>
      <c r="AK742" s="181">
        <f ca="1">TODAY()</f>
        <v>44958</v>
      </c>
      <c r="AL742" s="173">
        <f ca="1">IF(AI742&lt;&gt;0,AK742-AI742,0)</f>
        <v>44</v>
      </c>
      <c r="AM742" s="173" t="str">
        <f>IF(ISNUMBER(X742)=TRUE,AK742-X742,IF(X742="","",(AK742)-(MID(RIGHT(X742,10),4,2)&amp;"/"&amp;LEFT((RIGHT(X742,10)),2)&amp;"/"&amp;RIGHT(X742,4))))</f>
        <v/>
      </c>
      <c r="AN742" s="181"/>
      <c r="AO742" s="190" t="s">
        <v>2514</v>
      </c>
      <c r="AP742" s="176">
        <v>10.26</v>
      </c>
      <c r="AQ742" s="176">
        <v>10.27</v>
      </c>
      <c r="AR742" s="176">
        <v>10.294999999999998</v>
      </c>
      <c r="AS742" s="176">
        <v>10.299999999999999</v>
      </c>
      <c r="AT742" s="173" t="str">
        <f>IF(ISNUMBER(U742)=TRUE,AK742-U742,IF(U742="","",(AK742)-(MID(RIGHT(U742,10),4,2)&amp;"/"&amp;LEFT((RIGHT(U742,10)),2)&amp;"/"&amp;RIGHT(U742,4))))</f>
        <v/>
      </c>
      <c r="AU742" s="173">
        <v>462</v>
      </c>
      <c r="AW742" s="142" t="s">
        <v>123</v>
      </c>
    </row>
    <row r="743" spans="2:49" s="142" customFormat="1" ht="21" customHeight="1" x14ac:dyDescent="0.25">
      <c r="B743" s="173" t="str">
        <f>IF(C743="HOLD RM","HOLD RM",IF(C743="BAL","WIP",IF(C743="HOLD SLT","HOLD SLT",IF(C743="MILL","RM",IF(C743="RE SLT","WIP",IF(C743="RM","RM",IF(C743="RM BAL","RM",IF(C743="RM SLT","RM",IF(C743="RR","WIP",IF(C743="SKP","WIP",IF(C743="SLT","WIP",IF(C743="CTL","WIP",IF(C743="RM SLT RUST","RM SLT RUST",0)))))))))))))&amp;"-"&amp;G743&amp;"/"&amp;IF(H743="2B","2B",IF(H743="NO.1","1D",IF(H743="FH","FH",0)))&amp;"-"&amp;IF(J743="",(TEXT(I743,"0.00")),TEXT(J743,"0.00"))&amp;"X"&amp;M743</f>
        <v>WIP-304L/2B-1.15X772</v>
      </c>
      <c r="C743" s="173" t="s">
        <v>775</v>
      </c>
      <c r="D743" s="173" t="s">
        <v>776</v>
      </c>
      <c r="E743" s="190" t="s">
        <v>2517</v>
      </c>
      <c r="F743" s="190" t="s">
        <v>2518</v>
      </c>
      <c r="G743" s="173" t="s">
        <v>182</v>
      </c>
      <c r="H743" s="173" t="s">
        <v>114</v>
      </c>
      <c r="I743" s="174">
        <v>3.51</v>
      </c>
      <c r="J743" s="174">
        <v>1.1499999999999999</v>
      </c>
      <c r="K743" s="174">
        <v>1.1399999999999999</v>
      </c>
      <c r="L743" s="174">
        <v>1.1499999999999999</v>
      </c>
      <c r="M743" s="191">
        <v>772</v>
      </c>
      <c r="N743" s="176">
        <v>4.9000000000000004</v>
      </c>
      <c r="O743" s="176" t="s">
        <v>114</v>
      </c>
      <c r="P743" s="177"/>
      <c r="Q743" s="178" t="s">
        <v>314</v>
      </c>
      <c r="R743" s="178" t="s">
        <v>1540</v>
      </c>
      <c r="S743" s="179"/>
      <c r="T743" s="177">
        <v>44916</v>
      </c>
      <c r="U743" s="177"/>
      <c r="V743" s="177">
        <v>44916</v>
      </c>
      <c r="W743" s="177"/>
      <c r="X743" s="177">
        <v>44926</v>
      </c>
      <c r="Y743" s="177"/>
      <c r="Z743" s="177">
        <v>44929</v>
      </c>
      <c r="AA743" s="177"/>
      <c r="AB743" s="177"/>
      <c r="AC743" s="177"/>
      <c r="AD743" s="180" t="s">
        <v>2470</v>
      </c>
      <c r="AE743" s="173" t="s">
        <v>69</v>
      </c>
      <c r="AF743" s="181" t="s">
        <v>142</v>
      </c>
      <c r="AG743" s="192" t="s">
        <v>1584</v>
      </c>
      <c r="AH743" s="198"/>
      <c r="AI743" s="181">
        <v>44914</v>
      </c>
      <c r="AJ743" s="181"/>
      <c r="AK743" s="181">
        <f ca="1">TODAY()</f>
        <v>44958</v>
      </c>
      <c r="AL743" s="173">
        <f ca="1">IF(AI743&lt;&gt;0,AK743-AI743,0)</f>
        <v>44</v>
      </c>
      <c r="AM743" s="173">
        <f ca="1">IF(ISNUMBER(X743)=TRUE,AK743-X743,IF(X743="","",(AK743)-(MID(RIGHT(X743,10),4,2)&amp;"/"&amp;LEFT((RIGHT(X743,10)),2)&amp;"/"&amp;RIGHT(X743,4))))</f>
        <v>32</v>
      </c>
      <c r="AN743" s="181"/>
      <c r="AO743" s="190" t="s">
        <v>2519</v>
      </c>
      <c r="AP743" s="176">
        <v>10.55</v>
      </c>
      <c r="AQ743" s="176">
        <v>10.56</v>
      </c>
      <c r="AR743" s="176">
        <v>10.584999999999999</v>
      </c>
      <c r="AS743" s="176">
        <v>10.59</v>
      </c>
      <c r="AT743" s="173" t="str">
        <f>IF(ISNUMBER(U743)=TRUE,AK743-U743,IF(U743="","",(AK743)-(MID(RIGHT(U743,10),4,2)&amp;"/"&amp;LEFT((RIGHT(U743,10)),2)&amp;"/"&amp;RIGHT(U743,4))))</f>
        <v/>
      </c>
      <c r="AU743" s="173">
        <v>462</v>
      </c>
      <c r="AW743" s="142" t="s">
        <v>123</v>
      </c>
    </row>
    <row r="744" spans="2:49" s="142" customFormat="1" ht="21" customHeight="1" x14ac:dyDescent="0.25">
      <c r="B744" s="173" t="str">
        <f>IF(C744="HOLD RM","HOLD RM",IF(C744="BAL","WIP",IF(C744="HOLD SLT","HOLD SLT",IF(C744="MILL","RM",IF(C744="RE SLT","WIP",IF(C744="RM","RM",IF(C744="RM BAL","RM",IF(C744="RM SLT","RM",IF(C744="RR","WIP",IF(C744="SKP","WIP",IF(C744="SLT","WIP",IF(C744="CTL","WIP",IF(C744="RM SLT RUST","RM SLT RUST",0)))))))))))))&amp;"-"&amp;G744&amp;"/"&amp;IF(H744="2B","2B",IF(H744="NO.1","1D",IF(H744="FH","FH",0)))&amp;"-"&amp;IF(J744="",(TEXT(I744,"0.00")),TEXT(J744,"0.00"))&amp;"X"&amp;M744</f>
        <v>RM-304L/1D-3.88X639</v>
      </c>
      <c r="C744" s="173" t="s">
        <v>48</v>
      </c>
      <c r="D744" s="173" t="s">
        <v>48</v>
      </c>
      <c r="E744" s="190" t="s">
        <v>2520</v>
      </c>
      <c r="F744" s="190" t="s">
        <v>2521</v>
      </c>
      <c r="G744" s="173" t="s">
        <v>182</v>
      </c>
      <c r="H744" s="173" t="s">
        <v>127</v>
      </c>
      <c r="I744" s="174">
        <v>3.88</v>
      </c>
      <c r="J744" s="174"/>
      <c r="K744" s="174"/>
      <c r="L744" s="174"/>
      <c r="M744" s="191">
        <v>639</v>
      </c>
      <c r="N744" s="176">
        <v>10.55</v>
      </c>
      <c r="O744" s="176"/>
      <c r="P744" s="177"/>
      <c r="Q744" s="178"/>
      <c r="R744" s="179"/>
      <c r="S744" s="179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80" t="s">
        <v>2522</v>
      </c>
      <c r="AE744" s="173" t="s">
        <v>69</v>
      </c>
      <c r="AF744" s="181" t="s">
        <v>142</v>
      </c>
      <c r="AG744" s="192" t="s">
        <v>1584</v>
      </c>
      <c r="AH744" s="198"/>
      <c r="AI744" s="181">
        <v>44914</v>
      </c>
      <c r="AJ744" s="181"/>
      <c r="AK744" s="181">
        <f ca="1">TODAY()</f>
        <v>44958</v>
      </c>
      <c r="AL744" s="173">
        <f ca="1">IF(AI744&lt;&gt;0,AK744-AI744,0)</f>
        <v>44</v>
      </c>
      <c r="AM744" s="173" t="str">
        <f>IF(ISNUMBER(X744)=TRUE,AK744-X744,IF(X744="","",(AK744)-(MID(RIGHT(X744,10),4,2)&amp;"/"&amp;LEFT((RIGHT(X744,10)),2)&amp;"/"&amp;RIGHT(X744,4))))</f>
        <v/>
      </c>
      <c r="AN744" s="181"/>
      <c r="AO744" s="190" t="s">
        <v>2523</v>
      </c>
      <c r="AP744" s="176">
        <v>10.55</v>
      </c>
      <c r="AQ744" s="176">
        <v>10.56</v>
      </c>
      <c r="AR744" s="176">
        <v>10.584999999999999</v>
      </c>
      <c r="AS744" s="176">
        <v>10.59</v>
      </c>
      <c r="AT744" s="173" t="str">
        <f>IF(ISNUMBER(U744)=TRUE,AK744-U744,IF(U744="","",(AK744)-(MID(RIGHT(U744,10),4,2)&amp;"/"&amp;LEFT((RIGHT(U744,10)),2)&amp;"/"&amp;RIGHT(U744,4))))</f>
        <v/>
      </c>
      <c r="AU744" s="173">
        <v>462</v>
      </c>
      <c r="AW744" s="142" t="s">
        <v>123</v>
      </c>
    </row>
    <row r="745" spans="2:49" s="142" customFormat="1" ht="21" customHeight="1" x14ac:dyDescent="0.25">
      <c r="B745" s="173" t="str">
        <f>IF(C745="HOLD RM","HOLD RM",IF(C745="BAL","WIP",IF(C745="HOLD SLT","HOLD SLT",IF(C745="MILL","RM",IF(C745="RE SLT","WIP",IF(C745="RM","RM",IF(C745="RM BAL","RM",IF(C745="RM SLT","RM",IF(C745="RR","WIP",IF(C745="SKP","WIP",IF(C745="SLT","WIP",IF(C745="CTL","WIP",IF(C745="RM SLT RUST","RM SLT RUST",0)))))))))))))&amp;"-"&amp;G745&amp;"/"&amp;IF(H745="2B","2B",IF(H745="NO.1","1D",IF(H745="FH","FH",0)))&amp;"-"&amp;IF(J745="",(TEXT(I745,"0.00")),TEXT(J745,"0.00"))&amp;"X"&amp;M745</f>
        <v>RM-304L/1D-3.89X639</v>
      </c>
      <c r="C745" s="173" t="s">
        <v>48</v>
      </c>
      <c r="D745" s="173" t="s">
        <v>48</v>
      </c>
      <c r="E745" s="190" t="s">
        <v>2524</v>
      </c>
      <c r="F745" s="190" t="s">
        <v>2525</v>
      </c>
      <c r="G745" s="173" t="s">
        <v>182</v>
      </c>
      <c r="H745" s="173" t="s">
        <v>127</v>
      </c>
      <c r="I745" s="174">
        <v>3.89</v>
      </c>
      <c r="J745" s="174"/>
      <c r="K745" s="174"/>
      <c r="L745" s="174"/>
      <c r="M745" s="191">
        <v>639</v>
      </c>
      <c r="N745" s="176">
        <v>10.54</v>
      </c>
      <c r="O745" s="176"/>
      <c r="P745" s="177"/>
      <c r="Q745" s="178"/>
      <c r="R745" s="179"/>
      <c r="S745" s="179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80" t="s">
        <v>2522</v>
      </c>
      <c r="AE745" s="173" t="s">
        <v>69</v>
      </c>
      <c r="AF745" s="181" t="s">
        <v>142</v>
      </c>
      <c r="AG745" s="192" t="s">
        <v>1584</v>
      </c>
      <c r="AH745" s="198"/>
      <c r="AI745" s="181">
        <v>44914</v>
      </c>
      <c r="AJ745" s="181"/>
      <c r="AK745" s="181">
        <f ca="1">TODAY()</f>
        <v>44958</v>
      </c>
      <c r="AL745" s="173">
        <f ca="1">IF(AI745&lt;&gt;0,AK745-AI745,0)</f>
        <v>44</v>
      </c>
      <c r="AM745" s="173" t="str">
        <f>IF(ISNUMBER(X745)=TRUE,AK745-X745,IF(X745="","",(AK745)-(MID(RIGHT(X745,10),4,2)&amp;"/"&amp;LEFT((RIGHT(X745,10)),2)&amp;"/"&amp;RIGHT(X745,4))))</f>
        <v/>
      </c>
      <c r="AN745" s="181"/>
      <c r="AO745" s="190" t="s">
        <v>2523</v>
      </c>
      <c r="AP745" s="176">
        <v>10.54</v>
      </c>
      <c r="AQ745" s="176">
        <v>10.55</v>
      </c>
      <c r="AR745" s="176">
        <v>10.574999999999999</v>
      </c>
      <c r="AS745" s="176">
        <v>10.58</v>
      </c>
      <c r="AT745" s="173" t="str">
        <f>IF(ISNUMBER(U745)=TRUE,AK745-U745,IF(U745="","",(AK745)-(MID(RIGHT(U745,10),4,2)&amp;"/"&amp;LEFT((RIGHT(U745,10)),2)&amp;"/"&amp;RIGHT(U745,4))))</f>
        <v/>
      </c>
      <c r="AU745" s="173">
        <v>462</v>
      </c>
      <c r="AW745" s="142" t="s">
        <v>123</v>
      </c>
    </row>
    <row r="746" spans="2:49" s="142" customFormat="1" ht="21" customHeight="1" x14ac:dyDescent="0.25">
      <c r="B746" s="173" t="str">
        <f>IF(C746="HOLD RM","HOLD RM",IF(C746="BAL","WIP",IF(C746="HOLD SLT","HOLD SLT",IF(C746="MILL","RM",IF(C746="RE SLT","WIP",IF(C746="RM","RM",IF(C746="RM BAL","RM",IF(C746="RM SLT","RM",IF(C746="RR","WIP",IF(C746="SKP","WIP",IF(C746="SLT","WIP",IF(C746="CTL","WIP",IF(C746="RM SLT RUST","RM SLT RUST",0)))))))))))))&amp;"-"&amp;G746&amp;"/"&amp;IF(H746="2B","2B",IF(H746="NO.1","1D",IF(H746="FH","FH",0)))&amp;"-"&amp;IF(J746="",(TEXT(I746,"0.00")),TEXT(J746,"0.00"))&amp;"X"&amp;M746</f>
        <v>RM-304L/1D-2.87X641</v>
      </c>
      <c r="C746" s="173" t="s">
        <v>48</v>
      </c>
      <c r="D746" s="173" t="s">
        <v>48</v>
      </c>
      <c r="E746" s="190" t="s">
        <v>2526</v>
      </c>
      <c r="F746" s="190" t="s">
        <v>2527</v>
      </c>
      <c r="G746" s="173" t="s">
        <v>182</v>
      </c>
      <c r="H746" s="173" t="s">
        <v>127</v>
      </c>
      <c r="I746" s="174">
        <v>2.87</v>
      </c>
      <c r="J746" s="174"/>
      <c r="K746" s="174"/>
      <c r="L746" s="174"/>
      <c r="M746" s="191">
        <v>641</v>
      </c>
      <c r="N746" s="176">
        <v>10.164999999999999</v>
      </c>
      <c r="O746" s="176"/>
      <c r="P746" s="177"/>
      <c r="Q746" s="178"/>
      <c r="R746" s="179"/>
      <c r="S746" s="179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80" t="s">
        <v>2522</v>
      </c>
      <c r="AE746" s="173" t="s">
        <v>69</v>
      </c>
      <c r="AF746" s="181" t="s">
        <v>142</v>
      </c>
      <c r="AG746" s="192" t="s">
        <v>1584</v>
      </c>
      <c r="AH746" s="198"/>
      <c r="AI746" s="181">
        <v>44914</v>
      </c>
      <c r="AJ746" s="181"/>
      <c r="AK746" s="181">
        <f ca="1">TODAY()</f>
        <v>44958</v>
      </c>
      <c r="AL746" s="173">
        <f ca="1">IF(AI746&lt;&gt;0,AK746-AI746,0)</f>
        <v>44</v>
      </c>
      <c r="AM746" s="173" t="str">
        <f>IF(ISNUMBER(X746)=TRUE,AK746-X746,IF(X746="","",(AK746)-(MID(RIGHT(X746,10),4,2)&amp;"/"&amp;LEFT((RIGHT(X746,10)),2)&amp;"/"&amp;RIGHT(X746,4))))</f>
        <v/>
      </c>
      <c r="AN746" s="181"/>
      <c r="AO746" s="190" t="s">
        <v>2528</v>
      </c>
      <c r="AP746" s="176">
        <v>10.164999999999999</v>
      </c>
      <c r="AQ746" s="176">
        <v>10.175000000000001</v>
      </c>
      <c r="AR746" s="176">
        <v>10.199999999999999</v>
      </c>
      <c r="AS746" s="176">
        <v>10.205</v>
      </c>
      <c r="AT746" s="173" t="str">
        <f>IF(ISNUMBER(U746)=TRUE,AK746-U746,IF(U746="","",(AK746)-(MID(RIGHT(U746,10),4,2)&amp;"/"&amp;LEFT((RIGHT(U746,10)),2)&amp;"/"&amp;RIGHT(U746,4))))</f>
        <v/>
      </c>
      <c r="AU746" s="173">
        <v>462</v>
      </c>
      <c r="AW746" s="142" t="s">
        <v>123</v>
      </c>
    </row>
    <row r="747" spans="2:49" s="142" customFormat="1" ht="21" customHeight="1" x14ac:dyDescent="0.25">
      <c r="B747" s="173" t="str">
        <f>IF(C747="HOLD RM","HOLD RM",IF(C747="BAL","WIP",IF(C747="HOLD SLT","HOLD SLT",IF(C747="MILL","RM",IF(C747="RE SLT","WIP",IF(C747="RM","RM",IF(C747="RM BAL","RM",IF(C747="RM SLT","RM",IF(C747="RR","WIP",IF(C747="SKP","WIP",IF(C747="SLT","WIP",IF(C747="CTL","WIP",IF(C747="RM SLT RUST","RM SLT RUST",0)))))))))))))&amp;"-"&amp;G747&amp;"/"&amp;IF(H747="2B","2B",IF(H747="NO.1","1D",IF(H747="FH","FH",0)))&amp;"-"&amp;IF(J747="",(TEXT(I747,"0.00")),TEXT(J747,"0.00"))&amp;"X"&amp;M747</f>
        <v>RM-304L/1D-2.88X642</v>
      </c>
      <c r="C747" s="173" t="s">
        <v>48</v>
      </c>
      <c r="D747" s="173" t="s">
        <v>48</v>
      </c>
      <c r="E747" s="190" t="s">
        <v>2529</v>
      </c>
      <c r="F747" s="190" t="s">
        <v>2530</v>
      </c>
      <c r="G747" s="173" t="s">
        <v>182</v>
      </c>
      <c r="H747" s="173" t="s">
        <v>127</v>
      </c>
      <c r="I747" s="174">
        <v>2.88</v>
      </c>
      <c r="J747" s="174"/>
      <c r="K747" s="174"/>
      <c r="L747" s="174"/>
      <c r="M747" s="191">
        <v>642</v>
      </c>
      <c r="N747" s="176">
        <v>10.115</v>
      </c>
      <c r="O747" s="176"/>
      <c r="P747" s="177"/>
      <c r="Q747" s="178"/>
      <c r="R747" s="179"/>
      <c r="S747" s="179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80" t="s">
        <v>2522</v>
      </c>
      <c r="AE747" s="173" t="s">
        <v>69</v>
      </c>
      <c r="AF747" s="181" t="s">
        <v>142</v>
      </c>
      <c r="AG747" s="192" t="s">
        <v>1584</v>
      </c>
      <c r="AH747" s="198"/>
      <c r="AI747" s="181">
        <v>44914</v>
      </c>
      <c r="AJ747" s="181"/>
      <c r="AK747" s="181">
        <f ca="1">TODAY()</f>
        <v>44958</v>
      </c>
      <c r="AL747" s="173">
        <f ca="1">IF(AI747&lt;&gt;0,AK747-AI747,0)</f>
        <v>44</v>
      </c>
      <c r="AM747" s="173" t="str">
        <f>IF(ISNUMBER(X747)=TRUE,AK747-X747,IF(X747="","",(AK747)-(MID(RIGHT(X747,10),4,2)&amp;"/"&amp;LEFT((RIGHT(X747,10)),2)&amp;"/"&amp;RIGHT(X747,4))))</f>
        <v/>
      </c>
      <c r="AN747" s="181"/>
      <c r="AO747" s="190" t="s">
        <v>2528</v>
      </c>
      <c r="AP747" s="176">
        <v>10.115</v>
      </c>
      <c r="AQ747" s="176">
        <v>10.125</v>
      </c>
      <c r="AR747" s="176">
        <v>10.149999999999999</v>
      </c>
      <c r="AS747" s="176">
        <v>10.154999999999999</v>
      </c>
      <c r="AT747" s="173" t="str">
        <f>IF(ISNUMBER(U747)=TRUE,AK747-U747,IF(U747="","",(AK747)-(MID(RIGHT(U747,10),4,2)&amp;"/"&amp;LEFT((RIGHT(U747,10)),2)&amp;"/"&amp;RIGHT(U747,4))))</f>
        <v/>
      </c>
      <c r="AU747" s="173">
        <v>462</v>
      </c>
      <c r="AW747" s="142" t="s">
        <v>123</v>
      </c>
    </row>
    <row r="748" spans="2:49" s="142" customFormat="1" ht="21" customHeight="1" x14ac:dyDescent="0.25">
      <c r="B748" s="173" t="str">
        <f>IF(C748="HOLD RM","HOLD RM",IF(C748="BAL","WIP",IF(C748="HOLD SLT","HOLD SLT",IF(C748="MILL","RM",IF(C748="RE SLT","WIP",IF(C748="RM","RM",IF(C748="RM BAL","RM",IF(C748="RM SLT","RM",IF(C748="RR","WIP",IF(C748="SKP","WIP",IF(C748="SLT","WIP",IF(C748="CTL","WIP",IF(C748="RM SLT RUST","RM SLT RUST",0)))))))))))))&amp;"-"&amp;G748&amp;"/"&amp;IF(H748="2B","2B",IF(H748="NO.1","1D",IF(H748="FH","FH",0)))&amp;"-"&amp;IF(J748="",(TEXT(I748,"0.00")),TEXT(J748,"0.00"))&amp;"X"&amp;M748</f>
        <v>WIP-304L/2B-1.15X772</v>
      </c>
      <c r="C748" s="173" t="s">
        <v>775</v>
      </c>
      <c r="D748" s="173" t="s">
        <v>776</v>
      </c>
      <c r="E748" s="190" t="s">
        <v>2531</v>
      </c>
      <c r="F748" s="190" t="s">
        <v>2532</v>
      </c>
      <c r="G748" s="173" t="s">
        <v>182</v>
      </c>
      <c r="H748" s="173" t="s">
        <v>114</v>
      </c>
      <c r="I748" s="174">
        <v>3.47</v>
      </c>
      <c r="J748" s="174">
        <v>1.1499999999999999</v>
      </c>
      <c r="K748" s="174"/>
      <c r="L748" s="174"/>
      <c r="M748" s="191">
        <v>772</v>
      </c>
      <c r="N748" s="176">
        <v>5.7249999999999996</v>
      </c>
      <c r="O748" s="176" t="s">
        <v>114</v>
      </c>
      <c r="P748" s="177"/>
      <c r="Q748" s="178" t="s">
        <v>314</v>
      </c>
      <c r="R748" s="178" t="s">
        <v>361</v>
      </c>
      <c r="S748" s="179"/>
      <c r="T748" s="177">
        <v>44921</v>
      </c>
      <c r="U748" s="177"/>
      <c r="V748" s="177">
        <v>44921</v>
      </c>
      <c r="W748" s="177"/>
      <c r="X748" s="177"/>
      <c r="Y748" s="177">
        <v>44946</v>
      </c>
      <c r="Z748" s="177" t="s">
        <v>2533</v>
      </c>
      <c r="AA748" s="177"/>
      <c r="AB748" s="177"/>
      <c r="AC748" s="177"/>
      <c r="AD748" s="180" t="s">
        <v>2479</v>
      </c>
      <c r="AE748" s="173" t="s">
        <v>69</v>
      </c>
      <c r="AF748" s="181" t="s">
        <v>142</v>
      </c>
      <c r="AG748" s="192" t="s">
        <v>1584</v>
      </c>
      <c r="AH748" s="198"/>
      <c r="AI748" s="181">
        <v>44914</v>
      </c>
      <c r="AJ748" s="181"/>
      <c r="AK748" s="181">
        <f ca="1">TODAY()</f>
        <v>44958</v>
      </c>
      <c r="AL748" s="173">
        <f ca="1">IF(AI748&lt;&gt;0,AK748-AI748,0)</f>
        <v>44</v>
      </c>
      <c r="AM748" s="173" t="str">
        <f>IF(ISNUMBER(X748)=TRUE,AK748-X748,IF(X748="","",(AK748)-(MID(RIGHT(X748,10),4,2)&amp;"/"&amp;LEFT((RIGHT(X748,10)),2)&amp;"/"&amp;RIGHT(X748,4))))</f>
        <v/>
      </c>
      <c r="AN748" s="181"/>
      <c r="AO748" s="190" t="s">
        <v>2534</v>
      </c>
      <c r="AP748" s="176">
        <v>10.5</v>
      </c>
      <c r="AQ748" s="176">
        <v>10.51</v>
      </c>
      <c r="AR748" s="176">
        <v>10.534999999999998</v>
      </c>
      <c r="AS748" s="176">
        <v>10.54</v>
      </c>
      <c r="AT748" s="173" t="str">
        <f>IF(ISNUMBER(U748)=TRUE,AK748-U748,IF(U748="","",(AK748)-(MID(RIGHT(U748,10),4,2)&amp;"/"&amp;LEFT((RIGHT(U748,10)),2)&amp;"/"&amp;RIGHT(U748,4))))</f>
        <v/>
      </c>
      <c r="AU748" s="173">
        <v>462</v>
      </c>
      <c r="AW748" s="142" t="s">
        <v>123</v>
      </c>
    </row>
    <row r="749" spans="2:49" s="142" customFormat="1" ht="21" customHeight="1" x14ac:dyDescent="0.25">
      <c r="B749" s="173" t="str">
        <f>IF(C749="HOLD RM","HOLD RM",IF(C749="BAL","WIP",IF(C749="HOLD SLT","HOLD SLT",IF(C749="MILL","RM",IF(C749="RE SLT","WIP",IF(C749="RM","RM",IF(C749="RM BAL","RM",IF(C749="RM SLT","RM",IF(C749="RR","WIP",IF(C749="SKP","WIP",IF(C749="SLT","WIP",IF(C749="CTL","WIP",IF(C749="RM SLT RUST","RM SLT RUST",0)))))))))))))&amp;"-"&amp;G749&amp;"/"&amp;IF(H749="2B","2B",IF(H749="NO.1","1D",IF(H749="FH","FH",0)))&amp;"-"&amp;IF(J749="",(TEXT(I749,"0.00")),TEXT(J749,"0.00"))&amp;"X"&amp;M749</f>
        <v>RM-304L/1D-3.90X641</v>
      </c>
      <c r="C749" s="173" t="s">
        <v>48</v>
      </c>
      <c r="D749" s="173" t="s">
        <v>48</v>
      </c>
      <c r="E749" s="190" t="s">
        <v>2535</v>
      </c>
      <c r="F749" s="190" t="s">
        <v>2536</v>
      </c>
      <c r="G749" s="173" t="s">
        <v>182</v>
      </c>
      <c r="H749" s="173" t="s">
        <v>127</v>
      </c>
      <c r="I749" s="174">
        <v>3.9</v>
      </c>
      <c r="J749" s="174"/>
      <c r="K749" s="174"/>
      <c r="L749" s="174"/>
      <c r="M749" s="191">
        <v>641</v>
      </c>
      <c r="N749" s="176">
        <v>10.475</v>
      </c>
      <c r="O749" s="176"/>
      <c r="P749" s="177"/>
      <c r="Q749" s="178"/>
      <c r="R749" s="179"/>
      <c r="S749" s="179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80" t="s">
        <v>2522</v>
      </c>
      <c r="AE749" s="173" t="s">
        <v>69</v>
      </c>
      <c r="AF749" s="181" t="s">
        <v>142</v>
      </c>
      <c r="AG749" s="192" t="s">
        <v>1584</v>
      </c>
      <c r="AH749" s="198"/>
      <c r="AI749" s="181">
        <v>44914</v>
      </c>
      <c r="AJ749" s="181"/>
      <c r="AK749" s="181">
        <f ca="1">TODAY()</f>
        <v>44958</v>
      </c>
      <c r="AL749" s="173">
        <f ca="1">IF(AI749&lt;&gt;0,AK749-AI749,0)</f>
        <v>44</v>
      </c>
      <c r="AM749" s="173" t="str">
        <f>IF(ISNUMBER(X749)=TRUE,AK749-X749,IF(X749="","",(AK749)-(MID(RIGHT(X749,10),4,2)&amp;"/"&amp;LEFT((RIGHT(X749,10)),2)&amp;"/"&amp;RIGHT(X749,4))))</f>
        <v/>
      </c>
      <c r="AN749" s="181"/>
      <c r="AO749" s="190" t="s">
        <v>2537</v>
      </c>
      <c r="AP749" s="176">
        <v>10.475</v>
      </c>
      <c r="AQ749" s="176">
        <v>10.484999999999999</v>
      </c>
      <c r="AR749" s="176">
        <v>10.509999999999998</v>
      </c>
      <c r="AS749" s="176">
        <v>10.514999999999999</v>
      </c>
      <c r="AT749" s="173" t="str">
        <f>IF(ISNUMBER(U749)=TRUE,AK749-U749,IF(U749="","",(AK749)-(MID(RIGHT(U749,10),4,2)&amp;"/"&amp;LEFT((RIGHT(U749,10)),2)&amp;"/"&amp;RIGHT(U749,4))))</f>
        <v/>
      </c>
      <c r="AU749" s="173">
        <v>462</v>
      </c>
      <c r="AW749" s="142" t="s">
        <v>123</v>
      </c>
    </row>
    <row r="750" spans="2:49" s="142" customFormat="1" ht="21" customHeight="1" x14ac:dyDescent="0.25">
      <c r="B750" s="173" t="str">
        <f>IF(C750="HOLD RM","HOLD RM",IF(C750="BAL","WIP",IF(C750="HOLD SLT","HOLD SLT",IF(C750="MILL","RM",IF(C750="RE SLT","WIP",IF(C750="RM","RM",IF(C750="RM BAL","RM",IF(C750="RM SLT","RM",IF(C750="RR","WIP",IF(C750="SKP","WIP",IF(C750="SLT","WIP",IF(C750="CTL","WIP",IF(C750="RM SLT RUST","RM SLT RUST",0)))))))))))))&amp;"-"&amp;G750&amp;"/"&amp;IF(H750="2B","2B",IF(H750="NO.1","1D",IF(H750="FH","FH",0)))&amp;"-"&amp;IF(J750="",(TEXT(I750,"0.00")),TEXT(J750,"0.00"))&amp;"X"&amp;M750</f>
        <v>RM-304L/1D-3.90X640</v>
      </c>
      <c r="C750" s="173" t="s">
        <v>48</v>
      </c>
      <c r="D750" s="173" t="s">
        <v>48</v>
      </c>
      <c r="E750" s="190" t="s">
        <v>2538</v>
      </c>
      <c r="F750" s="190" t="s">
        <v>2539</v>
      </c>
      <c r="G750" s="173" t="s">
        <v>182</v>
      </c>
      <c r="H750" s="173" t="s">
        <v>127</v>
      </c>
      <c r="I750" s="174">
        <v>3.9</v>
      </c>
      <c r="J750" s="174"/>
      <c r="K750" s="174"/>
      <c r="L750" s="174"/>
      <c r="M750" s="191">
        <v>640</v>
      </c>
      <c r="N750" s="176">
        <v>10.42</v>
      </c>
      <c r="O750" s="176"/>
      <c r="P750" s="177"/>
      <c r="Q750" s="178"/>
      <c r="R750" s="179"/>
      <c r="S750" s="179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80" t="s">
        <v>2522</v>
      </c>
      <c r="AE750" s="173" t="s">
        <v>69</v>
      </c>
      <c r="AF750" s="181" t="s">
        <v>142</v>
      </c>
      <c r="AG750" s="192" t="s">
        <v>1584</v>
      </c>
      <c r="AH750" s="198"/>
      <c r="AI750" s="181">
        <v>44914</v>
      </c>
      <c r="AJ750" s="181"/>
      <c r="AK750" s="181">
        <f ca="1">TODAY()</f>
        <v>44958</v>
      </c>
      <c r="AL750" s="173">
        <f ca="1">IF(AI750&lt;&gt;0,AK750-AI750,0)</f>
        <v>44</v>
      </c>
      <c r="AM750" s="173" t="str">
        <f>IF(ISNUMBER(X750)=TRUE,AK750-X750,IF(X750="","",(AK750)-(MID(RIGHT(X750,10),4,2)&amp;"/"&amp;LEFT((RIGHT(X750,10)),2)&amp;"/"&amp;RIGHT(X750,4))))</f>
        <v/>
      </c>
      <c r="AN750" s="181"/>
      <c r="AO750" s="190" t="s">
        <v>2537</v>
      </c>
      <c r="AP750" s="176">
        <v>10.42</v>
      </c>
      <c r="AQ750" s="176">
        <v>10.43</v>
      </c>
      <c r="AR750" s="176">
        <v>10.454999999999998</v>
      </c>
      <c r="AS750" s="176">
        <v>10.459999999999999</v>
      </c>
      <c r="AT750" s="173" t="str">
        <f>IF(ISNUMBER(U750)=TRUE,AK750-U750,IF(U750="","",(AK750)-(MID(RIGHT(U750,10),4,2)&amp;"/"&amp;LEFT((RIGHT(U750,10)),2)&amp;"/"&amp;RIGHT(U750,4))))</f>
        <v/>
      </c>
      <c r="AU750" s="173">
        <v>462</v>
      </c>
      <c r="AW750" s="142" t="s">
        <v>123</v>
      </c>
    </row>
    <row r="751" spans="2:49" s="142" customFormat="1" ht="21" customHeight="1" x14ac:dyDescent="0.25">
      <c r="B751" s="173" t="str">
        <f>IF(C751="HOLD RM","HOLD RM",IF(C751="BAL","WIP",IF(C751="HOLD SLT","HOLD SLT",IF(C751="MILL","RM",IF(C751="RE SLT","WIP",IF(C751="RM","RM",IF(C751="RM BAL","RM",IF(C751="RM SLT","RM",IF(C751="RR","WIP",IF(C751="SKP","WIP",IF(C751="SLT","WIP",IF(C751="CTL","WIP",IF(C751="RM SLT RUST","RM SLT RUST",0)))))))))))))&amp;"-"&amp;G751&amp;"/"&amp;IF(H751="2B","2B",IF(H751="NO.1","1D",IF(H751="FH","FH",0)))&amp;"-"&amp;IF(J751="",(TEXT(I751,"0.00")),TEXT(J751,"0.00"))&amp;"X"&amp;M751</f>
        <v>RM-304L/1D-3.90X642</v>
      </c>
      <c r="C751" s="173" t="s">
        <v>48</v>
      </c>
      <c r="D751" s="173" t="s">
        <v>48</v>
      </c>
      <c r="E751" s="190" t="s">
        <v>2540</v>
      </c>
      <c r="F751" s="190" t="s">
        <v>2541</v>
      </c>
      <c r="G751" s="173" t="s">
        <v>182</v>
      </c>
      <c r="H751" s="173" t="s">
        <v>127</v>
      </c>
      <c r="I751" s="174">
        <v>3.9</v>
      </c>
      <c r="J751" s="174"/>
      <c r="K751" s="174"/>
      <c r="L751" s="174"/>
      <c r="M751" s="191">
        <v>642</v>
      </c>
      <c r="N751" s="176">
        <v>9.4749999999999996</v>
      </c>
      <c r="O751" s="176"/>
      <c r="P751" s="177"/>
      <c r="Q751" s="178"/>
      <c r="R751" s="179"/>
      <c r="S751" s="179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80" t="s">
        <v>2522</v>
      </c>
      <c r="AE751" s="173" t="s">
        <v>69</v>
      </c>
      <c r="AF751" s="181" t="s">
        <v>142</v>
      </c>
      <c r="AG751" s="192" t="s">
        <v>1584</v>
      </c>
      <c r="AH751" s="198"/>
      <c r="AI751" s="181">
        <v>44914</v>
      </c>
      <c r="AJ751" s="181"/>
      <c r="AK751" s="181">
        <f ca="1">TODAY()</f>
        <v>44958</v>
      </c>
      <c r="AL751" s="173">
        <f ca="1">IF(AI751&lt;&gt;0,AK751-AI751,0)</f>
        <v>44</v>
      </c>
      <c r="AM751" s="173" t="str">
        <f>IF(ISNUMBER(X751)=TRUE,AK751-X751,IF(X751="","",(AK751)-(MID(RIGHT(X751,10),4,2)&amp;"/"&amp;LEFT((RIGHT(X751,10)),2)&amp;"/"&amp;RIGHT(X751,4))))</f>
        <v/>
      </c>
      <c r="AN751" s="181"/>
      <c r="AO751" s="190" t="s">
        <v>2542</v>
      </c>
      <c r="AP751" s="176">
        <v>9.4749999999999996</v>
      </c>
      <c r="AQ751" s="176">
        <v>9.4849999999999994</v>
      </c>
      <c r="AR751" s="176">
        <v>9.509999999999998</v>
      </c>
      <c r="AS751" s="176">
        <v>9.5149999999999988</v>
      </c>
      <c r="AT751" s="173" t="str">
        <f>IF(ISNUMBER(U751)=TRUE,AK751-U751,IF(U751="","",(AK751)-(MID(RIGHT(U751,10),4,2)&amp;"/"&amp;LEFT((RIGHT(U751,10)),2)&amp;"/"&amp;RIGHT(U751,4))))</f>
        <v/>
      </c>
      <c r="AU751" s="173">
        <v>462</v>
      </c>
      <c r="AW751" s="142" t="s">
        <v>123</v>
      </c>
    </row>
    <row r="752" spans="2:49" s="142" customFormat="1" ht="21" customHeight="1" x14ac:dyDescent="0.25">
      <c r="B752" s="173" t="str">
        <f>IF(C752="HOLD RM","HOLD RM",IF(C752="BAL","WIP",IF(C752="HOLD SLT","HOLD SLT",IF(C752="MILL","RM",IF(C752="RE SLT","WIP",IF(C752="RM","RM",IF(C752="RM BAL","RM",IF(C752="RM SLT","RM",IF(C752="RR","WIP",IF(C752="SKP","WIP",IF(C752="SLT","WIP",IF(C752="CTL","WIP",IF(C752="RM SLT RUST","RM SLT RUST",0)))))))))))))&amp;"-"&amp;G752&amp;"/"&amp;IF(H752="2B","2B",IF(H752="NO.1","1D",IF(H752="FH","FH",0)))&amp;"-"&amp;IF(J752="",(TEXT(I752,"0.00")),TEXT(J752,"0.00"))&amp;"X"&amp;M752</f>
        <v>RM-304L/1D-3.90X640</v>
      </c>
      <c r="C752" s="173" t="s">
        <v>48</v>
      </c>
      <c r="D752" s="173" t="s">
        <v>48</v>
      </c>
      <c r="E752" s="190" t="s">
        <v>2543</v>
      </c>
      <c r="F752" s="190" t="s">
        <v>2544</v>
      </c>
      <c r="G752" s="173" t="s">
        <v>182</v>
      </c>
      <c r="H752" s="173" t="s">
        <v>127</v>
      </c>
      <c r="I752" s="174">
        <v>3.9</v>
      </c>
      <c r="J752" s="174"/>
      <c r="K752" s="174"/>
      <c r="L752" s="174"/>
      <c r="M752" s="191">
        <v>640</v>
      </c>
      <c r="N752" s="176">
        <v>9.36</v>
      </c>
      <c r="O752" s="176"/>
      <c r="P752" s="177"/>
      <c r="Q752" s="178"/>
      <c r="R752" s="179"/>
      <c r="S752" s="179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80" t="s">
        <v>2522</v>
      </c>
      <c r="AE752" s="173" t="s">
        <v>69</v>
      </c>
      <c r="AF752" s="181" t="s">
        <v>142</v>
      </c>
      <c r="AG752" s="192" t="s">
        <v>1584</v>
      </c>
      <c r="AH752" s="198"/>
      <c r="AI752" s="181">
        <v>44914</v>
      </c>
      <c r="AJ752" s="181"/>
      <c r="AK752" s="181">
        <f ca="1">TODAY()</f>
        <v>44958</v>
      </c>
      <c r="AL752" s="173">
        <f ca="1">IF(AI752&lt;&gt;0,AK752-AI752,0)</f>
        <v>44</v>
      </c>
      <c r="AM752" s="173" t="str">
        <f>IF(ISNUMBER(X752)=TRUE,AK752-X752,IF(X752="","",(AK752)-(MID(RIGHT(X752,10),4,2)&amp;"/"&amp;LEFT((RIGHT(X752,10)),2)&amp;"/"&amp;RIGHT(X752,4))))</f>
        <v/>
      </c>
      <c r="AN752" s="181"/>
      <c r="AO752" s="190" t="s">
        <v>2542</v>
      </c>
      <c r="AP752" s="176">
        <v>9.36</v>
      </c>
      <c r="AQ752" s="176">
        <v>9.3699999999999992</v>
      </c>
      <c r="AR752" s="176">
        <v>9.3949999999999978</v>
      </c>
      <c r="AS752" s="176">
        <v>9.3999999999999986</v>
      </c>
      <c r="AT752" s="173" t="str">
        <f>IF(ISNUMBER(U752)=TRUE,AK752-U752,IF(U752="","",(AK752)-(MID(RIGHT(U752,10),4,2)&amp;"/"&amp;LEFT((RIGHT(U752,10)),2)&amp;"/"&amp;RIGHT(U752,4))))</f>
        <v/>
      </c>
      <c r="AU752" s="173">
        <v>462</v>
      </c>
      <c r="AW752" s="142" t="s">
        <v>123</v>
      </c>
    </row>
    <row r="753" spans="2:49" s="142" customFormat="1" ht="21" customHeight="1" x14ac:dyDescent="0.25">
      <c r="B753" s="173" t="str">
        <f>IF(C753="HOLD RM","HOLD RM",IF(C753="BAL","WIP",IF(C753="HOLD SLT","HOLD SLT",IF(C753="MILL","RM",IF(C753="RE SLT","WIP",IF(C753="RM","RM",IF(C753="RM BAL","RM",IF(C753="RM SLT","RM",IF(C753="RR","WIP",IF(C753="SKP","WIP",IF(C753="SLT","WIP",IF(C753="CTL","WIP",IF(C753="RM SLT RUST","RM SLT RUST",0)))))))))))))&amp;"-"&amp;G753&amp;"/"&amp;IF(H753="2B","2B",IF(H753="NO.1","1D",IF(H753="FH","FH",0)))&amp;"-"&amp;IF(J753="",(TEXT(I753,"0.00")),TEXT(J753,"0.00"))&amp;"X"&amp;M753</f>
        <v>HOLD SLT-304/2B-1.15X750</v>
      </c>
      <c r="C753" s="173" t="s">
        <v>68</v>
      </c>
      <c r="D753" s="173" t="s">
        <v>68</v>
      </c>
      <c r="E753" s="190" t="s">
        <v>2545</v>
      </c>
      <c r="F753" s="190" t="s">
        <v>2546</v>
      </c>
      <c r="G753" s="173">
        <v>304</v>
      </c>
      <c r="H753" s="173" t="s">
        <v>114</v>
      </c>
      <c r="I753" s="174">
        <v>3.39</v>
      </c>
      <c r="J753" s="174">
        <v>1.1499999999999999</v>
      </c>
      <c r="K753" s="174">
        <v>1.1299999999999999</v>
      </c>
      <c r="L753" s="174">
        <v>1.1499999999999999</v>
      </c>
      <c r="M753" s="191">
        <v>750</v>
      </c>
      <c r="N753" s="176">
        <v>5.8849999999999998</v>
      </c>
      <c r="O753" s="176" t="s">
        <v>114</v>
      </c>
      <c r="P753" s="177"/>
      <c r="Q753" s="178" t="s">
        <v>1210</v>
      </c>
      <c r="R753" s="179"/>
      <c r="S753" s="179" t="s">
        <v>2547</v>
      </c>
      <c r="T753" s="177">
        <v>44935</v>
      </c>
      <c r="U753" s="177"/>
      <c r="V753" s="177">
        <v>44935</v>
      </c>
      <c r="W753" s="177"/>
      <c r="X753" s="177"/>
      <c r="Y753" s="177">
        <v>44952</v>
      </c>
      <c r="Z753" s="177">
        <v>44954</v>
      </c>
      <c r="AA753" s="177"/>
      <c r="AB753" s="177"/>
      <c r="AC753" s="177"/>
      <c r="AD753" s="180" t="s">
        <v>1507</v>
      </c>
      <c r="AE753" s="173" t="s">
        <v>69</v>
      </c>
      <c r="AF753" s="181" t="s">
        <v>142</v>
      </c>
      <c r="AG753" s="192" t="s">
        <v>1584</v>
      </c>
      <c r="AH753" s="198"/>
      <c r="AI753" s="181">
        <v>44914</v>
      </c>
      <c r="AJ753" s="181"/>
      <c r="AK753" s="181">
        <f ca="1">TODAY()</f>
        <v>44958</v>
      </c>
      <c r="AL753" s="173">
        <f ca="1">IF(AI753&lt;&gt;0,AK753-AI753,0)</f>
        <v>44</v>
      </c>
      <c r="AM753" s="173" t="str">
        <f>IF(ISNUMBER(X753)=TRUE,AK753-X753,IF(X753="","",(AK753)-(MID(RIGHT(X753,10),4,2)&amp;"/"&amp;LEFT((RIGHT(X753,10)),2)&amp;"/"&amp;RIGHT(X753,4))))</f>
        <v/>
      </c>
      <c r="AN753" s="181"/>
      <c r="AO753" s="190" t="s">
        <v>2548</v>
      </c>
      <c r="AP753" s="176">
        <v>10.555</v>
      </c>
      <c r="AQ753" s="176">
        <v>10.565</v>
      </c>
      <c r="AR753" s="176">
        <v>10.589999999999998</v>
      </c>
      <c r="AS753" s="176">
        <v>10.594999999999999</v>
      </c>
      <c r="AT753" s="173" t="str">
        <f>IF(ISNUMBER(U753)=TRUE,AK753-U753,IF(U753="","",(AK753)-(MID(RIGHT(U753,10),4,2)&amp;"/"&amp;LEFT((RIGHT(U753,10)),2)&amp;"/"&amp;RIGHT(U753,4))))</f>
        <v/>
      </c>
      <c r="AU753" s="173">
        <v>462</v>
      </c>
      <c r="AW753" s="142" t="s">
        <v>123</v>
      </c>
    </row>
    <row r="754" spans="2:49" s="142" customFormat="1" ht="21" customHeight="1" x14ac:dyDescent="0.25">
      <c r="B754" s="173" t="str">
        <f>IF(C754="HOLD RM","HOLD RM",IF(C754="BAL","WIP",IF(C754="HOLD SLT","HOLD SLT",IF(C754="MILL","RM",IF(C754="RE SLT","WIP",IF(C754="RM","RM",IF(C754="RM BAL","RM",IF(C754="RM SLT","RM",IF(C754="RR","WIP",IF(C754="SKP","WIP",IF(C754="SLT","WIP",IF(C754="CTL","WIP",IF(C754="RM SLT RUST","RM SLT RUST",0)))))))))))))&amp;"-"&amp;G754&amp;"/"&amp;IF(H754="2B","2B",IF(H754="NO.1","1D",IF(H754="FH","FH",0)))&amp;"-"&amp;IF(J754="",(TEXT(I754,"0.00")),TEXT(J754,"0.00"))&amp;"X"&amp;M754</f>
        <v>WIP-304/2B-1.15X772</v>
      </c>
      <c r="C754" s="173" t="s">
        <v>775</v>
      </c>
      <c r="D754" s="173" t="s">
        <v>776</v>
      </c>
      <c r="E754" s="190" t="s">
        <v>2549</v>
      </c>
      <c r="F754" s="190" t="s">
        <v>2550</v>
      </c>
      <c r="G754" s="173">
        <v>304</v>
      </c>
      <c r="H754" s="173" t="s">
        <v>114</v>
      </c>
      <c r="I754" s="174">
        <v>3.39</v>
      </c>
      <c r="J754" s="174">
        <v>1.1499999999999999</v>
      </c>
      <c r="K754" s="174">
        <v>0.95</v>
      </c>
      <c r="L754" s="174">
        <v>1.01</v>
      </c>
      <c r="M754" s="191">
        <v>772</v>
      </c>
      <c r="N754" s="176">
        <v>5.2549999999999999</v>
      </c>
      <c r="O754" s="176" t="s">
        <v>114</v>
      </c>
      <c r="P754" s="177"/>
      <c r="Q754" s="178" t="s">
        <v>314</v>
      </c>
      <c r="R754" s="178" t="s">
        <v>1210</v>
      </c>
      <c r="S754" s="179" t="s">
        <v>2551</v>
      </c>
      <c r="T754" s="177">
        <v>44935</v>
      </c>
      <c r="U754" s="177"/>
      <c r="V754" s="177">
        <v>44936</v>
      </c>
      <c r="W754" s="177"/>
      <c r="X754" s="177"/>
      <c r="Y754" s="177">
        <v>44952</v>
      </c>
      <c r="Z754" s="177">
        <v>44956</v>
      </c>
      <c r="AA754" s="177"/>
      <c r="AB754" s="177"/>
      <c r="AC754" s="177"/>
      <c r="AD754" s="180" t="s">
        <v>1507</v>
      </c>
      <c r="AE754" s="173" t="s">
        <v>69</v>
      </c>
      <c r="AF754" s="181" t="s">
        <v>142</v>
      </c>
      <c r="AG754" s="192" t="s">
        <v>1584</v>
      </c>
      <c r="AH754" s="198"/>
      <c r="AI754" s="181">
        <v>44914</v>
      </c>
      <c r="AJ754" s="181"/>
      <c r="AK754" s="181">
        <f ca="1">TODAY()</f>
        <v>44958</v>
      </c>
      <c r="AL754" s="173">
        <f ca="1">IF(AI754&lt;&gt;0,AK754-AI754,0)</f>
        <v>44</v>
      </c>
      <c r="AM754" s="173" t="str">
        <f>IF(ISNUMBER(X754)=TRUE,AK754-X754,IF(X754="","",(AK754)-(MID(RIGHT(X754,10),4,2)&amp;"/"&amp;LEFT((RIGHT(X754,10)),2)&amp;"/"&amp;RIGHT(X754,4))))</f>
        <v/>
      </c>
      <c r="AN754" s="181"/>
      <c r="AO754" s="190" t="s">
        <v>2548</v>
      </c>
      <c r="AP754" s="176">
        <v>10.62</v>
      </c>
      <c r="AQ754" s="176">
        <v>10.63</v>
      </c>
      <c r="AR754" s="176">
        <v>10.654999999999999</v>
      </c>
      <c r="AS754" s="176">
        <v>10.66</v>
      </c>
      <c r="AT754" s="173" t="str">
        <f>IF(ISNUMBER(U754)=TRUE,AK754-U754,IF(U754="","",(AK754)-(MID(RIGHT(U754,10),4,2)&amp;"/"&amp;LEFT((RIGHT(U754,10)),2)&amp;"/"&amp;RIGHT(U754,4))))</f>
        <v/>
      </c>
      <c r="AU754" s="173">
        <v>462</v>
      </c>
      <c r="AW754" s="142" t="s">
        <v>123</v>
      </c>
    </row>
    <row r="755" spans="2:49" s="142" customFormat="1" ht="21" customHeight="1" x14ac:dyDescent="0.25">
      <c r="B755" s="173" t="str">
        <f>IF(C755="HOLD RM","HOLD RM",IF(C755="BAL","WIP",IF(C755="HOLD SLT","HOLD SLT",IF(C755="MILL","RM",IF(C755="RE SLT","WIP",IF(C755="RM","RM",IF(C755="RM BAL","RM",IF(C755="RM SLT","RM",IF(C755="RR","WIP",IF(C755="SKP","WIP",IF(C755="SLT","WIP",IF(C755="CTL","WIP",IF(C755="RM SLT RUST","RM SLT RUST",0)))))))))))))&amp;"-"&amp;G755&amp;"/"&amp;IF(H755="2B","2B",IF(H755="NO.1","1D",IF(H755="FH","FH",0)))&amp;"-"&amp;IF(J755="",(TEXT(I755,"0.00")),TEXT(J755,"0.00"))&amp;"X"&amp;M755</f>
        <v>RM-304L/1D-3.90X641</v>
      </c>
      <c r="C755" s="173" t="s">
        <v>48</v>
      </c>
      <c r="D755" s="173" t="s">
        <v>48</v>
      </c>
      <c r="E755" s="190" t="s">
        <v>2552</v>
      </c>
      <c r="F755" s="190" t="s">
        <v>2553</v>
      </c>
      <c r="G755" s="173" t="s">
        <v>182</v>
      </c>
      <c r="H755" s="173" t="s">
        <v>127</v>
      </c>
      <c r="I755" s="174">
        <v>3.9</v>
      </c>
      <c r="J755" s="174"/>
      <c r="K755" s="174"/>
      <c r="L755" s="174"/>
      <c r="M755" s="191">
        <v>641</v>
      </c>
      <c r="N755" s="176">
        <v>10.574999999999999</v>
      </c>
      <c r="O755" s="176"/>
      <c r="P755" s="177"/>
      <c r="Q755" s="178"/>
      <c r="R755" s="179"/>
      <c r="S755" s="179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80" t="s">
        <v>2522</v>
      </c>
      <c r="AE755" s="173" t="s">
        <v>69</v>
      </c>
      <c r="AF755" s="181" t="s">
        <v>142</v>
      </c>
      <c r="AG755" s="192" t="s">
        <v>1584</v>
      </c>
      <c r="AH755" s="198"/>
      <c r="AI755" s="181">
        <v>44914</v>
      </c>
      <c r="AJ755" s="181"/>
      <c r="AK755" s="181">
        <f ca="1">TODAY()</f>
        <v>44958</v>
      </c>
      <c r="AL755" s="173">
        <f ca="1">IF(AI755&lt;&gt;0,AK755-AI755,0)</f>
        <v>44</v>
      </c>
      <c r="AM755" s="173" t="str">
        <f>IF(ISNUMBER(X755)=TRUE,AK755-X755,IF(X755="","",(AK755)-(MID(RIGHT(X755,10),4,2)&amp;"/"&amp;LEFT((RIGHT(X755,10)),2)&amp;"/"&amp;RIGHT(X755,4))))</f>
        <v/>
      </c>
      <c r="AN755" s="181"/>
      <c r="AO755" s="190" t="s">
        <v>2554</v>
      </c>
      <c r="AP755" s="176">
        <v>10.574999999999999</v>
      </c>
      <c r="AQ755" s="176">
        <v>10.585000000000001</v>
      </c>
      <c r="AR755" s="176">
        <v>10.61</v>
      </c>
      <c r="AS755" s="176">
        <v>10.615</v>
      </c>
      <c r="AT755" s="173" t="str">
        <f>IF(ISNUMBER(U755)=TRUE,AK755-U755,IF(U755="","",(AK755)-(MID(RIGHT(U755,10),4,2)&amp;"/"&amp;LEFT((RIGHT(U755,10)),2)&amp;"/"&amp;RIGHT(U755,4))))</f>
        <v/>
      </c>
      <c r="AU755" s="173">
        <v>462</v>
      </c>
      <c r="AW755" s="142" t="s">
        <v>123</v>
      </c>
    </row>
    <row r="756" spans="2:49" s="142" customFormat="1" ht="21" customHeight="1" x14ac:dyDescent="0.25">
      <c r="B756" s="173" t="str">
        <f>IF(C756="HOLD RM","HOLD RM",IF(C756="BAL","WIP",IF(C756="HOLD SLT","HOLD SLT",IF(C756="MILL","RM",IF(C756="RE SLT","WIP",IF(C756="RM","RM",IF(C756="RM BAL","RM",IF(C756="RM SLT","RM",IF(C756="RR","WIP",IF(C756="SKP","WIP",IF(C756="SLT","WIP",IF(C756="CTL","WIP",IF(C756="RM SLT RUST","RM SLT RUST",0)))))))))))))&amp;"-"&amp;G756&amp;"/"&amp;IF(H756="2B","2B",IF(H756="NO.1","1D",IF(H756="FH","FH",0)))&amp;"-"&amp;IF(J756="",(TEXT(I756,"0.00")),TEXT(J756,"0.00"))&amp;"X"&amp;M756</f>
        <v>RM-304L/1D-3.89X639</v>
      </c>
      <c r="C756" s="173" t="s">
        <v>48</v>
      </c>
      <c r="D756" s="173" t="s">
        <v>48</v>
      </c>
      <c r="E756" s="190" t="s">
        <v>2555</v>
      </c>
      <c r="F756" s="190" t="s">
        <v>2556</v>
      </c>
      <c r="G756" s="173" t="s">
        <v>182</v>
      </c>
      <c r="H756" s="173" t="s">
        <v>127</v>
      </c>
      <c r="I756" s="174">
        <v>3.89</v>
      </c>
      <c r="J756" s="174"/>
      <c r="K756" s="174"/>
      <c r="L756" s="174"/>
      <c r="M756" s="191">
        <v>639</v>
      </c>
      <c r="N756" s="176">
        <v>10.505000000000001</v>
      </c>
      <c r="O756" s="176"/>
      <c r="P756" s="177"/>
      <c r="Q756" s="178"/>
      <c r="R756" s="179"/>
      <c r="S756" s="179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80" t="s">
        <v>2522</v>
      </c>
      <c r="AE756" s="173" t="s">
        <v>69</v>
      </c>
      <c r="AF756" s="181" t="s">
        <v>142</v>
      </c>
      <c r="AG756" s="192" t="s">
        <v>1584</v>
      </c>
      <c r="AH756" s="198"/>
      <c r="AI756" s="181">
        <v>44914</v>
      </c>
      <c r="AJ756" s="181"/>
      <c r="AK756" s="181">
        <f ca="1">TODAY()</f>
        <v>44958</v>
      </c>
      <c r="AL756" s="173">
        <f t="shared" ref="AL756:AL819" ca="1" si="0">IF(AI756&lt;&gt;0,AK756-AI756,0)</f>
        <v>44</v>
      </c>
      <c r="AM756" s="173" t="str">
        <f t="shared" ref="AM756:AM819" si="1">IF(ISNUMBER(X756)=TRUE,AK756-X756,IF(X756="","",(AK756)-(MID(RIGHT(X756,10),4,2)&amp;"/"&amp;LEFT((RIGHT(X756,10)),2)&amp;"/"&amp;RIGHT(X756,4))))</f>
        <v/>
      </c>
      <c r="AN756" s="181"/>
      <c r="AO756" s="190" t="s">
        <v>2554</v>
      </c>
      <c r="AP756" s="176">
        <v>10.505000000000001</v>
      </c>
      <c r="AQ756" s="176">
        <v>10.515000000000001</v>
      </c>
      <c r="AR756" s="176">
        <v>10.54</v>
      </c>
      <c r="AS756" s="176">
        <v>10.545</v>
      </c>
      <c r="AT756" s="173" t="str">
        <f t="shared" ref="AT756:AT819" si="2">IF(ISNUMBER(U756)=TRUE,AK756-U756,IF(U756="","",(AK756)-(MID(RIGHT(U756,10),4,2)&amp;"/"&amp;LEFT((RIGHT(U756,10)),2)&amp;"/"&amp;RIGHT(U756,4))))</f>
        <v/>
      </c>
      <c r="AU756" s="173">
        <v>462</v>
      </c>
      <c r="AW756" s="142" t="s">
        <v>123</v>
      </c>
    </row>
    <row r="757" spans="2:49" s="142" customFormat="1" ht="21" customHeight="1" x14ac:dyDescent="0.25">
      <c r="B757" s="173" t="str">
        <f>IF(C757="HOLD RM","HOLD RM",IF(C757="BAL","WIP",IF(C757="HOLD SLT","HOLD SLT",IF(C757="MILL","RM",IF(C757="RE SLT","WIP",IF(C757="RM","RM",IF(C757="RM BAL","RM",IF(C757="RM SLT","RM",IF(C757="RR","WIP",IF(C757="SKP","WIP",IF(C757="SLT","WIP",IF(C757="CTL","WIP",IF(C757="RM SLT RUST","RM SLT RUST",0)))))))))))))&amp;"-"&amp;G757&amp;"/"&amp;IF(H757="2B","2B",IF(H757="NO.1","1D",IF(H757="FH","FH",0)))&amp;"-"&amp;IF(J757="",(TEXT(I757,"0.00")),TEXT(J757,"0.00"))&amp;"X"&amp;M757</f>
        <v>RM-304/1D-3.00X642</v>
      </c>
      <c r="C757" s="173" t="s">
        <v>48</v>
      </c>
      <c r="D757" s="173" t="s">
        <v>48</v>
      </c>
      <c r="E757" s="190" t="s">
        <v>2557</v>
      </c>
      <c r="F757" s="190" t="s">
        <v>2558</v>
      </c>
      <c r="G757" s="173">
        <v>304</v>
      </c>
      <c r="H757" s="173" t="s">
        <v>127</v>
      </c>
      <c r="I757" s="174">
        <v>3</v>
      </c>
      <c r="J757" s="174"/>
      <c r="K757" s="174"/>
      <c r="L757" s="174"/>
      <c r="M757" s="191">
        <v>642</v>
      </c>
      <c r="N757" s="176">
        <v>10.475</v>
      </c>
      <c r="O757" s="176"/>
      <c r="P757" s="177"/>
      <c r="Q757" s="178"/>
      <c r="R757" s="179"/>
      <c r="S757" s="179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80" t="s">
        <v>2522</v>
      </c>
      <c r="AE757" s="173" t="s">
        <v>69</v>
      </c>
      <c r="AF757" s="181" t="s">
        <v>142</v>
      </c>
      <c r="AG757" s="192" t="s">
        <v>1584</v>
      </c>
      <c r="AH757" s="198"/>
      <c r="AI757" s="181">
        <v>44914</v>
      </c>
      <c r="AJ757" s="181"/>
      <c r="AK757" s="181">
        <f ca="1">TODAY()</f>
        <v>44958</v>
      </c>
      <c r="AL757" s="173">
        <f t="shared" ca="1" si="0"/>
        <v>44</v>
      </c>
      <c r="AM757" s="173" t="str">
        <f t="shared" si="1"/>
        <v/>
      </c>
      <c r="AN757" s="181"/>
      <c r="AO757" s="190" t="s">
        <v>2559</v>
      </c>
      <c r="AP757" s="176">
        <v>10.475</v>
      </c>
      <c r="AQ757" s="176">
        <v>10.484999999999999</v>
      </c>
      <c r="AR757" s="176">
        <v>10.509999999999998</v>
      </c>
      <c r="AS757" s="176">
        <v>10.514999999999999</v>
      </c>
      <c r="AT757" s="173" t="str">
        <f t="shared" si="2"/>
        <v/>
      </c>
      <c r="AU757" s="173">
        <v>462</v>
      </c>
      <c r="AW757" s="142" t="s">
        <v>123</v>
      </c>
    </row>
    <row r="758" spans="2:49" s="142" customFormat="1" ht="21" customHeight="1" x14ac:dyDescent="0.25">
      <c r="B758" s="173" t="str">
        <f>IF(C758="HOLD RM","HOLD RM",IF(C758="BAL","WIP",IF(C758="HOLD SLT","HOLD SLT",IF(C758="MILL","RM",IF(C758="RE SLT","WIP",IF(C758="RM","RM",IF(C758="RM BAL","RM",IF(C758="RM SLT","RM",IF(C758="RR","WIP",IF(C758="SKP","WIP",IF(C758="SLT","WIP",IF(C758="CTL","WIP",IF(C758="RM SLT RUST","RM SLT RUST",0)))))))))))))&amp;"-"&amp;G758&amp;"/"&amp;IF(H758="2B","2B",IF(H758="NO.1","1D",IF(H758="FH","FH",0)))&amp;"-"&amp;IF(J758="",(TEXT(I758,"0.00")),TEXT(J758,"0.00"))&amp;"X"&amp;M758</f>
        <v>RM-304/1D-3.00X641</v>
      </c>
      <c r="C758" s="173" t="s">
        <v>48</v>
      </c>
      <c r="D758" s="173" t="s">
        <v>48</v>
      </c>
      <c r="E758" s="190" t="s">
        <v>2560</v>
      </c>
      <c r="F758" s="190" t="s">
        <v>2561</v>
      </c>
      <c r="G758" s="173">
        <v>304</v>
      </c>
      <c r="H758" s="173" t="s">
        <v>127</v>
      </c>
      <c r="I758" s="174">
        <v>3</v>
      </c>
      <c r="J758" s="174"/>
      <c r="K758" s="174"/>
      <c r="L758" s="174"/>
      <c r="M758" s="191">
        <v>641</v>
      </c>
      <c r="N758" s="176">
        <v>10.52</v>
      </c>
      <c r="O758" s="176"/>
      <c r="P758" s="177"/>
      <c r="Q758" s="178"/>
      <c r="R758" s="179"/>
      <c r="S758" s="179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80" t="s">
        <v>2522</v>
      </c>
      <c r="AE758" s="173" t="s">
        <v>69</v>
      </c>
      <c r="AF758" s="181" t="s">
        <v>142</v>
      </c>
      <c r="AG758" s="192" t="s">
        <v>1584</v>
      </c>
      <c r="AH758" s="198"/>
      <c r="AI758" s="181">
        <v>44914</v>
      </c>
      <c r="AJ758" s="181"/>
      <c r="AK758" s="181">
        <f ca="1">TODAY()</f>
        <v>44958</v>
      </c>
      <c r="AL758" s="173">
        <f t="shared" ca="1" si="0"/>
        <v>44</v>
      </c>
      <c r="AM758" s="173" t="str">
        <f t="shared" si="1"/>
        <v/>
      </c>
      <c r="AN758" s="181"/>
      <c r="AO758" s="190" t="s">
        <v>2559</v>
      </c>
      <c r="AP758" s="176">
        <v>10.52</v>
      </c>
      <c r="AQ758" s="176">
        <v>10.53</v>
      </c>
      <c r="AR758" s="176">
        <v>10.554999999999998</v>
      </c>
      <c r="AS758" s="176">
        <v>10.559999999999999</v>
      </c>
      <c r="AT758" s="173" t="str">
        <f t="shared" si="2"/>
        <v/>
      </c>
      <c r="AU758" s="173">
        <v>462</v>
      </c>
      <c r="AW758" s="142" t="s">
        <v>123</v>
      </c>
    </row>
    <row r="759" spans="2:49" s="142" customFormat="1" ht="21" customHeight="1" x14ac:dyDescent="0.25">
      <c r="B759" s="173" t="str">
        <f>IF(C759="HOLD RM","HOLD RM",IF(C759="BAL","WIP",IF(C759="HOLD SLT","HOLD SLT",IF(C759="MILL","RM",IF(C759="RE SLT","WIP",IF(C759="RM","RM",IF(C759="RM BAL","RM",IF(C759="RM SLT","RM",IF(C759="RR","WIP",IF(C759="SKP","WIP",IF(C759="SLT","WIP",IF(C759="CTL","WIP",IF(C759="RM SLT RUST","RM SLT RUST",0)))))))))))))&amp;"-"&amp;G759&amp;"/"&amp;IF(H759="2B","2B",IF(H759="NO.1","1D",IF(H759="FH","FH",0)))&amp;"-"&amp;IF(J759="",(TEXT(I759,"0.00")),TEXT(J759,"0.00"))&amp;"X"&amp;M759</f>
        <v>WIP-304/FH-1.90X770</v>
      </c>
      <c r="C759" s="173" t="s">
        <v>16</v>
      </c>
      <c r="D759" s="173" t="s">
        <v>16</v>
      </c>
      <c r="E759" s="190" t="s">
        <v>2562</v>
      </c>
      <c r="F759" s="190" t="s">
        <v>2563</v>
      </c>
      <c r="G759" s="173">
        <v>304</v>
      </c>
      <c r="H759" s="173" t="s">
        <v>70</v>
      </c>
      <c r="I759" s="174">
        <v>3.94</v>
      </c>
      <c r="J759" s="174">
        <v>1.9</v>
      </c>
      <c r="K759" s="174"/>
      <c r="L759" s="174"/>
      <c r="M759" s="191">
        <v>770</v>
      </c>
      <c r="N759" s="176">
        <v>9.61</v>
      </c>
      <c r="O759" s="176" t="s">
        <v>114</v>
      </c>
      <c r="P759" s="177"/>
      <c r="Q759" s="178" t="s">
        <v>2444</v>
      </c>
      <c r="R759" s="179"/>
      <c r="S759" s="179"/>
      <c r="T759" s="177">
        <v>44950</v>
      </c>
      <c r="U759" s="177"/>
      <c r="V759" s="177">
        <v>44950</v>
      </c>
      <c r="W759" s="177"/>
      <c r="X759" s="177"/>
      <c r="Y759" s="177"/>
      <c r="Z759" s="177"/>
      <c r="AA759" s="177"/>
      <c r="AB759" s="177"/>
      <c r="AC759" s="177"/>
      <c r="AD759" s="180" t="s">
        <v>1605</v>
      </c>
      <c r="AE759" s="173" t="s">
        <v>69</v>
      </c>
      <c r="AF759" s="181" t="s">
        <v>142</v>
      </c>
      <c r="AG759" s="192" t="s">
        <v>1584</v>
      </c>
      <c r="AH759" s="198"/>
      <c r="AI759" s="181">
        <v>44914</v>
      </c>
      <c r="AJ759" s="181"/>
      <c r="AK759" s="181">
        <f ca="1">TODAY()</f>
        <v>44958</v>
      </c>
      <c r="AL759" s="173">
        <f t="shared" ca="1" si="0"/>
        <v>44</v>
      </c>
      <c r="AM759" s="173" t="str">
        <f t="shared" si="1"/>
        <v/>
      </c>
      <c r="AN759" s="181"/>
      <c r="AO759" s="190" t="s">
        <v>2564</v>
      </c>
      <c r="AP759" s="176">
        <v>9.6199999999999992</v>
      </c>
      <c r="AQ759" s="176">
        <v>9.6300000000000008</v>
      </c>
      <c r="AR759" s="176">
        <v>9.6549999999999994</v>
      </c>
      <c r="AS759" s="176">
        <v>9.66</v>
      </c>
      <c r="AT759" s="173" t="str">
        <f t="shared" si="2"/>
        <v/>
      </c>
      <c r="AU759" s="173">
        <v>462</v>
      </c>
      <c r="AW759" s="142" t="s">
        <v>123</v>
      </c>
    </row>
    <row r="760" spans="2:49" s="142" customFormat="1" ht="21" customHeight="1" x14ac:dyDescent="0.25">
      <c r="B760" s="173" t="str">
        <f>IF(C760="HOLD RM","HOLD RM",IF(C760="BAL","WIP",IF(C760="HOLD SLT","HOLD SLT",IF(C760="MILL","RM",IF(C760="RE SLT","WIP",IF(C760="RM","RM",IF(C760="RM BAL","RM",IF(C760="RM SLT","RM",IF(C760="RR","WIP",IF(C760="SKP","WIP",IF(C760="SLT","WIP",IF(C760="CTL","WIP",IF(C760="RM SLT RUST","RM SLT RUST",0)))))))))))))&amp;"-"&amp;G760&amp;"/"&amp;IF(H760="2B","2B",IF(H760="NO.1","1D",IF(H760="FH","FH",0)))&amp;"-"&amp;IF(J760="",(TEXT(I760,"0.00")),TEXT(J760,"0.00"))&amp;"X"&amp;M760</f>
        <v>RM-304L/1D-3.40X642</v>
      </c>
      <c r="C760" s="173" t="s">
        <v>48</v>
      </c>
      <c r="D760" s="173" t="s">
        <v>48</v>
      </c>
      <c r="E760" s="190" t="s">
        <v>2565</v>
      </c>
      <c r="F760" s="190" t="s">
        <v>2566</v>
      </c>
      <c r="G760" s="173" t="s">
        <v>182</v>
      </c>
      <c r="H760" s="173" t="s">
        <v>127</v>
      </c>
      <c r="I760" s="174">
        <v>3.4</v>
      </c>
      <c r="J760" s="174"/>
      <c r="K760" s="174"/>
      <c r="L760" s="174"/>
      <c r="M760" s="191">
        <v>642</v>
      </c>
      <c r="N760" s="176">
        <v>10.595000000000001</v>
      </c>
      <c r="O760" s="176"/>
      <c r="P760" s="177"/>
      <c r="Q760" s="178"/>
      <c r="R760" s="179"/>
      <c r="S760" s="179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80" t="s">
        <v>2522</v>
      </c>
      <c r="AE760" s="173" t="s">
        <v>69</v>
      </c>
      <c r="AF760" s="181" t="s">
        <v>142</v>
      </c>
      <c r="AG760" s="192" t="s">
        <v>1584</v>
      </c>
      <c r="AH760" s="198"/>
      <c r="AI760" s="181">
        <v>44914</v>
      </c>
      <c r="AJ760" s="181"/>
      <c r="AK760" s="181">
        <f ca="1">TODAY()</f>
        <v>44958</v>
      </c>
      <c r="AL760" s="173">
        <f t="shared" ca="1" si="0"/>
        <v>44</v>
      </c>
      <c r="AM760" s="173" t="str">
        <f t="shared" si="1"/>
        <v/>
      </c>
      <c r="AN760" s="181"/>
      <c r="AO760" s="190" t="s">
        <v>2567</v>
      </c>
      <c r="AP760" s="176">
        <v>10.595000000000001</v>
      </c>
      <c r="AQ760" s="176">
        <v>10.605</v>
      </c>
      <c r="AR760" s="176">
        <v>10.629999999999999</v>
      </c>
      <c r="AS760" s="176">
        <v>10.635</v>
      </c>
      <c r="AT760" s="173" t="str">
        <f t="shared" si="2"/>
        <v/>
      </c>
      <c r="AU760" s="173">
        <v>462</v>
      </c>
      <c r="AW760" s="142" t="s">
        <v>123</v>
      </c>
    </row>
    <row r="761" spans="2:49" s="142" customFormat="1" ht="21" customHeight="1" x14ac:dyDescent="0.25">
      <c r="B761" s="173" t="str">
        <f>IF(C761="HOLD RM","HOLD RM",IF(C761="BAL","WIP",IF(C761="HOLD SLT","HOLD SLT",IF(C761="MILL","RM",IF(C761="RE SLT","WIP",IF(C761="RM","RM",IF(C761="RM BAL","RM",IF(C761="RM SLT","RM",IF(C761="RR","WIP",IF(C761="SKP","WIP",IF(C761="SLT","WIP",IF(C761="CTL","WIP",IF(C761="RM SLT RUST","RM SLT RUST",0)))))))))))))&amp;"-"&amp;G761&amp;"/"&amp;IF(H761="2B","2B",IF(H761="NO.1","1D",IF(H761="FH","FH",0)))&amp;"-"&amp;IF(J761="",(TEXT(I761,"0.00")),TEXT(J761,"0.00"))&amp;"X"&amp;M761</f>
        <v>RM-304L/1D-3.41X642</v>
      </c>
      <c r="C761" s="173" t="s">
        <v>48</v>
      </c>
      <c r="D761" s="173" t="s">
        <v>48</v>
      </c>
      <c r="E761" s="190" t="s">
        <v>2568</v>
      </c>
      <c r="F761" s="190" t="s">
        <v>2569</v>
      </c>
      <c r="G761" s="173" t="s">
        <v>182</v>
      </c>
      <c r="H761" s="173" t="s">
        <v>127</v>
      </c>
      <c r="I761" s="174">
        <v>3.41</v>
      </c>
      <c r="J761" s="174"/>
      <c r="K761" s="174"/>
      <c r="L761" s="174"/>
      <c r="M761" s="191">
        <v>642</v>
      </c>
      <c r="N761" s="176">
        <v>10.59</v>
      </c>
      <c r="O761" s="176"/>
      <c r="P761" s="177"/>
      <c r="Q761" s="178"/>
      <c r="R761" s="179"/>
      <c r="S761" s="179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80" t="s">
        <v>2522</v>
      </c>
      <c r="AE761" s="173" t="s">
        <v>69</v>
      </c>
      <c r="AF761" s="181" t="s">
        <v>142</v>
      </c>
      <c r="AG761" s="192" t="s">
        <v>1584</v>
      </c>
      <c r="AH761" s="198"/>
      <c r="AI761" s="181">
        <v>44914</v>
      </c>
      <c r="AJ761" s="181"/>
      <c r="AK761" s="181">
        <f ca="1">TODAY()</f>
        <v>44958</v>
      </c>
      <c r="AL761" s="173">
        <f t="shared" ca="1" si="0"/>
        <v>44</v>
      </c>
      <c r="AM761" s="173" t="str">
        <f t="shared" si="1"/>
        <v/>
      </c>
      <c r="AN761" s="181"/>
      <c r="AO761" s="190" t="s">
        <v>2567</v>
      </c>
      <c r="AP761" s="176">
        <v>10.59</v>
      </c>
      <c r="AQ761" s="176">
        <v>10.6</v>
      </c>
      <c r="AR761" s="176">
        <v>10.624999999999998</v>
      </c>
      <c r="AS761" s="176">
        <v>10.629999999999999</v>
      </c>
      <c r="AT761" s="173" t="str">
        <f t="shared" si="2"/>
        <v/>
      </c>
      <c r="AU761" s="173">
        <v>462</v>
      </c>
      <c r="AW761" s="142" t="s">
        <v>123</v>
      </c>
    </row>
    <row r="762" spans="2:49" s="142" customFormat="1" ht="21" customHeight="1" x14ac:dyDescent="0.25">
      <c r="B762" s="173" t="str">
        <f>IF(C762="HOLD RM","HOLD RM",IF(C762="BAL","WIP",IF(C762="HOLD SLT","HOLD SLT",IF(C762="MILL","RM",IF(C762="RE SLT","WIP",IF(C762="RM","RM",IF(C762="RM BAL","RM",IF(C762="RM SLT","RM",IF(C762="RR","WIP",IF(C762="SKP","WIP",IF(C762="SLT","WIP",IF(C762="CTL","WIP",IF(C762="RM SLT RUST","RM SLT RUST",0)))))))))))))&amp;"-"&amp;G762&amp;"/"&amp;IF(H762="2B","2B",IF(H762="NO.1","1D",IF(H762="FH","FH",0)))&amp;"-"&amp;IF(J762="",(TEXT(I762,"0.00")),TEXT(J762,"0.00"))&amp;"X"&amp;M762</f>
        <v>RM-304L/1D-3.90X642</v>
      </c>
      <c r="C762" s="173" t="s">
        <v>48</v>
      </c>
      <c r="D762" s="173" t="s">
        <v>48</v>
      </c>
      <c r="E762" s="190" t="s">
        <v>2570</v>
      </c>
      <c r="F762" s="190" t="s">
        <v>2571</v>
      </c>
      <c r="G762" s="173" t="s">
        <v>182</v>
      </c>
      <c r="H762" s="173" t="s">
        <v>127</v>
      </c>
      <c r="I762" s="174">
        <v>3.9</v>
      </c>
      <c r="J762" s="174"/>
      <c r="K762" s="174"/>
      <c r="L762" s="174"/>
      <c r="M762" s="191">
        <v>642</v>
      </c>
      <c r="N762" s="176">
        <v>9.3949999999999996</v>
      </c>
      <c r="O762" s="176"/>
      <c r="P762" s="177"/>
      <c r="Q762" s="178"/>
      <c r="R762" s="179"/>
      <c r="S762" s="179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80" t="s">
        <v>2522</v>
      </c>
      <c r="AE762" s="173" t="s">
        <v>69</v>
      </c>
      <c r="AF762" s="181" t="s">
        <v>142</v>
      </c>
      <c r="AG762" s="192" t="s">
        <v>1584</v>
      </c>
      <c r="AH762" s="198"/>
      <c r="AI762" s="181">
        <v>44914</v>
      </c>
      <c r="AJ762" s="181"/>
      <c r="AK762" s="181">
        <f ca="1">TODAY()</f>
        <v>44958</v>
      </c>
      <c r="AL762" s="173">
        <f t="shared" ca="1" si="0"/>
        <v>44</v>
      </c>
      <c r="AM762" s="173" t="str">
        <f t="shared" si="1"/>
        <v/>
      </c>
      <c r="AN762" s="181"/>
      <c r="AO762" s="190" t="s">
        <v>2572</v>
      </c>
      <c r="AP762" s="176">
        <v>9.3949999999999996</v>
      </c>
      <c r="AQ762" s="176">
        <v>9.4049999999999994</v>
      </c>
      <c r="AR762" s="176">
        <v>9.4299999999999979</v>
      </c>
      <c r="AS762" s="176">
        <v>9.4349999999999987</v>
      </c>
      <c r="AT762" s="173" t="str">
        <f t="shared" si="2"/>
        <v/>
      </c>
      <c r="AU762" s="173">
        <v>462</v>
      </c>
      <c r="AW762" s="142" t="s">
        <v>123</v>
      </c>
    </row>
    <row r="763" spans="2:49" s="142" customFormat="1" ht="21" customHeight="1" x14ac:dyDescent="0.25">
      <c r="B763" s="173" t="str">
        <f>IF(C763="HOLD RM","HOLD RM",IF(C763="BAL","WIP",IF(C763="HOLD SLT","HOLD SLT",IF(C763="MILL","RM",IF(C763="RE SLT","WIP",IF(C763="RM","RM",IF(C763="RM BAL","RM",IF(C763="RM SLT","RM",IF(C763="RR","WIP",IF(C763="SKP","WIP",IF(C763="SLT","WIP",IF(C763="CTL","WIP",IF(C763="RM SLT RUST","RM SLT RUST",0)))))))))))))&amp;"-"&amp;G763&amp;"/"&amp;IF(H763="2B","2B",IF(H763="NO.1","1D",IF(H763="FH","FH",0)))&amp;"-"&amp;IF(J763="",(TEXT(I763,"0.00")),TEXT(J763,"0.00"))&amp;"X"&amp;M763</f>
        <v>RM-304L/1D-3.90X642</v>
      </c>
      <c r="C763" s="173" t="s">
        <v>48</v>
      </c>
      <c r="D763" s="173" t="s">
        <v>48</v>
      </c>
      <c r="E763" s="190" t="s">
        <v>2573</v>
      </c>
      <c r="F763" s="190" t="s">
        <v>2574</v>
      </c>
      <c r="G763" s="173" t="s">
        <v>182</v>
      </c>
      <c r="H763" s="173" t="s">
        <v>127</v>
      </c>
      <c r="I763" s="174">
        <v>3.9</v>
      </c>
      <c r="J763" s="174"/>
      <c r="K763" s="174"/>
      <c r="L763" s="174"/>
      <c r="M763" s="191">
        <v>642</v>
      </c>
      <c r="N763" s="176">
        <v>9.3800000000000008</v>
      </c>
      <c r="O763" s="176"/>
      <c r="P763" s="177"/>
      <c r="Q763" s="178"/>
      <c r="R763" s="179"/>
      <c r="S763" s="179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80" t="s">
        <v>2522</v>
      </c>
      <c r="AE763" s="173" t="s">
        <v>69</v>
      </c>
      <c r="AF763" s="181" t="s">
        <v>142</v>
      </c>
      <c r="AG763" s="192" t="s">
        <v>1584</v>
      </c>
      <c r="AH763" s="198"/>
      <c r="AI763" s="181">
        <v>44914</v>
      </c>
      <c r="AJ763" s="181"/>
      <c r="AK763" s="181">
        <f ca="1">TODAY()</f>
        <v>44958</v>
      </c>
      <c r="AL763" s="173">
        <f t="shared" ca="1" si="0"/>
        <v>44</v>
      </c>
      <c r="AM763" s="173" t="str">
        <f t="shared" si="1"/>
        <v/>
      </c>
      <c r="AN763" s="181"/>
      <c r="AO763" s="190" t="s">
        <v>2572</v>
      </c>
      <c r="AP763" s="176">
        <v>9.3800000000000008</v>
      </c>
      <c r="AQ763" s="176">
        <v>9.39</v>
      </c>
      <c r="AR763" s="176">
        <v>9.4149999999999991</v>
      </c>
      <c r="AS763" s="176">
        <v>9.42</v>
      </c>
      <c r="AT763" s="173" t="str">
        <f t="shared" si="2"/>
        <v/>
      </c>
      <c r="AU763" s="173">
        <v>462</v>
      </c>
      <c r="AW763" s="142" t="s">
        <v>123</v>
      </c>
    </row>
    <row r="764" spans="2:49" s="142" customFormat="1" ht="21" customHeight="1" x14ac:dyDescent="0.25">
      <c r="B764" s="173" t="str">
        <f>IF(C764="HOLD RM","HOLD RM",IF(C764="BAL","WIP",IF(C764="HOLD SLT","HOLD SLT",IF(C764="MILL","RM",IF(C764="RE SLT","WIP",IF(C764="RM","RM",IF(C764="RM BAL","RM",IF(C764="RM SLT","RM",IF(C764="RR","WIP",IF(C764="SKP","WIP",IF(C764="SLT","WIP",IF(C764="CTL","WIP",IF(C764="RM SLT RUST","RM SLT RUST",0)))))))))))))&amp;"-"&amp;G764&amp;"/"&amp;IF(H764="2B","2B",IF(H764="NO.1","1D",IF(H764="FH","FH",0)))&amp;"-"&amp;IF(J764="",(TEXT(I764,"0.00")),TEXT(J764,"0.00"))&amp;"X"&amp;M764</f>
        <v>WIP-304L/2B-1.15X773</v>
      </c>
      <c r="C764" s="173" t="s">
        <v>18</v>
      </c>
      <c r="D764" s="173" t="s">
        <v>836</v>
      </c>
      <c r="E764" s="190" t="s">
        <v>2575</v>
      </c>
      <c r="F764" s="190" t="s">
        <v>2576</v>
      </c>
      <c r="G764" s="173" t="s">
        <v>182</v>
      </c>
      <c r="H764" s="173" t="s">
        <v>114</v>
      </c>
      <c r="I764" s="174">
        <v>3.49</v>
      </c>
      <c r="J764" s="174">
        <v>1.1499999999999999</v>
      </c>
      <c r="K764" s="174"/>
      <c r="L764" s="174"/>
      <c r="M764" s="191">
        <v>773</v>
      </c>
      <c r="N764" s="176">
        <v>10.505000000000001</v>
      </c>
      <c r="O764" s="176" t="s">
        <v>114</v>
      </c>
      <c r="P764" s="177"/>
      <c r="Q764" s="178" t="s">
        <v>361</v>
      </c>
      <c r="R764" s="179"/>
      <c r="S764" s="179"/>
      <c r="T764" s="177">
        <v>44922</v>
      </c>
      <c r="U764" s="177"/>
      <c r="V764" s="177">
        <v>44922</v>
      </c>
      <c r="W764" s="177"/>
      <c r="X764" s="177"/>
      <c r="Y764" s="177">
        <v>44955</v>
      </c>
      <c r="Z764" s="177"/>
      <c r="AA764" s="177"/>
      <c r="AB764" s="177"/>
      <c r="AC764" s="177"/>
      <c r="AD764" s="180" t="s">
        <v>2479</v>
      </c>
      <c r="AE764" s="173" t="s">
        <v>69</v>
      </c>
      <c r="AF764" s="181" t="s">
        <v>142</v>
      </c>
      <c r="AG764" s="192" t="s">
        <v>1584</v>
      </c>
      <c r="AH764" s="198"/>
      <c r="AI764" s="181">
        <v>44914</v>
      </c>
      <c r="AJ764" s="181"/>
      <c r="AK764" s="181">
        <f ca="1">TODAY()</f>
        <v>44958</v>
      </c>
      <c r="AL764" s="173">
        <f t="shared" ca="1" si="0"/>
        <v>44</v>
      </c>
      <c r="AM764" s="173" t="str">
        <f t="shared" si="1"/>
        <v/>
      </c>
      <c r="AN764" s="181"/>
      <c r="AO764" s="190" t="s">
        <v>2577</v>
      </c>
      <c r="AP764" s="176">
        <v>10.585000000000001</v>
      </c>
      <c r="AQ764" s="176">
        <v>10.595000000000001</v>
      </c>
      <c r="AR764" s="176">
        <v>10.62</v>
      </c>
      <c r="AS764" s="176">
        <v>10.625</v>
      </c>
      <c r="AT764" s="173" t="str">
        <f t="shared" si="2"/>
        <v/>
      </c>
      <c r="AU764" s="173">
        <v>462</v>
      </c>
      <c r="AW764" s="142" t="s">
        <v>123</v>
      </c>
    </row>
    <row r="765" spans="2:49" s="142" customFormat="1" ht="21" customHeight="1" x14ac:dyDescent="0.25">
      <c r="B765" s="173" t="str">
        <f>IF(C765="HOLD RM","HOLD RM",IF(C765="BAL","WIP",IF(C765="HOLD SLT","HOLD SLT",IF(C765="MILL","RM",IF(C765="RE SLT","WIP",IF(C765="RM","RM",IF(C765="RM BAL","RM",IF(C765="RM SLT","RM",IF(C765="RR","WIP",IF(C765="SKP","WIP",IF(C765="SLT","WIP",IF(C765="CTL","WIP",IF(C765="RM SLT RUST","RM SLT RUST",0)))))))))))))&amp;"-"&amp;G765&amp;"/"&amp;IF(H765="2B","2B",IF(H765="NO.1","1D",IF(H765="FH","FH",0)))&amp;"-"&amp;IF(J765="",(TEXT(I765,"0.00")),TEXT(J765,"0.00"))&amp;"X"&amp;M765</f>
        <v>RM-304/1D-3.88X637</v>
      </c>
      <c r="C765" s="173" t="s">
        <v>48</v>
      </c>
      <c r="D765" s="173" t="s">
        <v>48</v>
      </c>
      <c r="E765" s="190" t="s">
        <v>2578</v>
      </c>
      <c r="F765" s="190" t="s">
        <v>2579</v>
      </c>
      <c r="G765" s="173">
        <v>304</v>
      </c>
      <c r="H765" s="173" t="s">
        <v>127</v>
      </c>
      <c r="I765" s="174">
        <v>3.88</v>
      </c>
      <c r="J765" s="174"/>
      <c r="K765" s="174"/>
      <c r="L765" s="174"/>
      <c r="M765" s="191">
        <v>637</v>
      </c>
      <c r="N765" s="176">
        <v>10.24</v>
      </c>
      <c r="O765" s="176"/>
      <c r="P765" s="177"/>
      <c r="Q765" s="178"/>
      <c r="R765" s="179"/>
      <c r="S765" s="179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80" t="s">
        <v>2522</v>
      </c>
      <c r="AE765" s="173" t="s">
        <v>69</v>
      </c>
      <c r="AF765" s="181" t="s">
        <v>142</v>
      </c>
      <c r="AG765" s="192" t="s">
        <v>1584</v>
      </c>
      <c r="AH765" s="198"/>
      <c r="AI765" s="181">
        <v>44914</v>
      </c>
      <c r="AJ765" s="181"/>
      <c r="AK765" s="181">
        <f ca="1">TODAY()</f>
        <v>44958</v>
      </c>
      <c r="AL765" s="173">
        <f t="shared" ca="1" si="0"/>
        <v>44</v>
      </c>
      <c r="AM765" s="173" t="str">
        <f t="shared" si="1"/>
        <v/>
      </c>
      <c r="AN765" s="181"/>
      <c r="AO765" s="190" t="s">
        <v>2580</v>
      </c>
      <c r="AP765" s="176">
        <v>10.24</v>
      </c>
      <c r="AQ765" s="176">
        <v>10.25</v>
      </c>
      <c r="AR765" s="176">
        <v>10.274999999999999</v>
      </c>
      <c r="AS765" s="176">
        <v>10.28</v>
      </c>
      <c r="AT765" s="173" t="str">
        <f t="shared" si="2"/>
        <v/>
      </c>
      <c r="AU765" s="173">
        <v>462</v>
      </c>
      <c r="AW765" s="142" t="s">
        <v>123</v>
      </c>
    </row>
    <row r="766" spans="2:49" s="142" customFormat="1" ht="21" customHeight="1" x14ac:dyDescent="0.25">
      <c r="B766" s="173" t="str">
        <f t="shared" ref="B766:B829" si="3">IF(C766="HOLD RM","HOLD RM",IF(C766="BAL","WIP",IF(C766="HOLD SLT","HOLD SLT",IF(C766="MILL","RM",IF(C766="RE SLT","WIP",IF(C766="RM","RM",IF(C766="RM BAL","RM",IF(C766="RM SLT","RM",IF(C766="RR","WIP",IF(C766="SKP","WIP",IF(C766="SLT","WIP",IF(C766="CTL","WIP",IF(C766="RM SLT RUST","RM SLT RUST",0)))))))))))))&amp;"-"&amp;G766&amp;"/"&amp;IF(H766="2B","2B",IF(H766="NO.1","1D",IF(H766="FH","FH",0)))&amp;"-"&amp;IF(J766="",(TEXT(I766,"0.00")),TEXT(J766,"0.00"))&amp;"X"&amp;M766</f>
        <v>RM-304/1D-3.88X638</v>
      </c>
      <c r="C766" s="173" t="s">
        <v>48</v>
      </c>
      <c r="D766" s="173" t="s">
        <v>48</v>
      </c>
      <c r="E766" s="190" t="s">
        <v>2581</v>
      </c>
      <c r="F766" s="190" t="s">
        <v>2582</v>
      </c>
      <c r="G766" s="173">
        <v>304</v>
      </c>
      <c r="H766" s="173" t="s">
        <v>127</v>
      </c>
      <c r="I766" s="174">
        <v>3.88</v>
      </c>
      <c r="J766" s="174"/>
      <c r="K766" s="174"/>
      <c r="L766" s="174"/>
      <c r="M766" s="191">
        <v>638</v>
      </c>
      <c r="N766" s="176">
        <v>10.25</v>
      </c>
      <c r="O766" s="176"/>
      <c r="P766" s="177"/>
      <c r="Q766" s="178"/>
      <c r="R766" s="179"/>
      <c r="S766" s="179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80" t="s">
        <v>2522</v>
      </c>
      <c r="AE766" s="173" t="s">
        <v>69</v>
      </c>
      <c r="AF766" s="181" t="s">
        <v>142</v>
      </c>
      <c r="AG766" s="192" t="s">
        <v>1584</v>
      </c>
      <c r="AH766" s="198"/>
      <c r="AI766" s="181">
        <v>44914</v>
      </c>
      <c r="AJ766" s="181"/>
      <c r="AK766" s="181">
        <f ca="1">TODAY()</f>
        <v>44958</v>
      </c>
      <c r="AL766" s="173">
        <f t="shared" ca="1" si="0"/>
        <v>44</v>
      </c>
      <c r="AM766" s="173" t="str">
        <f t="shared" si="1"/>
        <v/>
      </c>
      <c r="AN766" s="181"/>
      <c r="AO766" s="190" t="s">
        <v>2580</v>
      </c>
      <c r="AP766" s="176">
        <v>10.25</v>
      </c>
      <c r="AQ766" s="176">
        <v>10.26</v>
      </c>
      <c r="AR766" s="176">
        <v>10.284999999999998</v>
      </c>
      <c r="AS766" s="176">
        <v>10.29</v>
      </c>
      <c r="AT766" s="173" t="str">
        <f t="shared" si="2"/>
        <v/>
      </c>
      <c r="AU766" s="173">
        <v>462</v>
      </c>
      <c r="AW766" s="142" t="s">
        <v>123</v>
      </c>
    </row>
    <row r="767" spans="2:49" s="142" customFormat="1" ht="21" customHeight="1" x14ac:dyDescent="0.25">
      <c r="B767" s="173" t="str">
        <f t="shared" si="3"/>
        <v>RM-304L/1D-3.88X642</v>
      </c>
      <c r="C767" s="173" t="s">
        <v>48</v>
      </c>
      <c r="D767" s="173" t="s">
        <v>48</v>
      </c>
      <c r="E767" s="190" t="s">
        <v>2583</v>
      </c>
      <c r="F767" s="190" t="s">
        <v>2584</v>
      </c>
      <c r="G767" s="173" t="s">
        <v>182</v>
      </c>
      <c r="H767" s="173" t="s">
        <v>127</v>
      </c>
      <c r="I767" s="174">
        <v>3.88</v>
      </c>
      <c r="J767" s="174"/>
      <c r="K767" s="174"/>
      <c r="L767" s="174"/>
      <c r="M767" s="191">
        <v>642</v>
      </c>
      <c r="N767" s="176">
        <v>9.9700000000000006</v>
      </c>
      <c r="O767" s="176"/>
      <c r="P767" s="177"/>
      <c r="Q767" s="178"/>
      <c r="R767" s="179"/>
      <c r="S767" s="179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80" t="s">
        <v>2522</v>
      </c>
      <c r="AE767" s="173" t="s">
        <v>69</v>
      </c>
      <c r="AF767" s="181" t="s">
        <v>142</v>
      </c>
      <c r="AG767" s="192" t="s">
        <v>1584</v>
      </c>
      <c r="AH767" s="198"/>
      <c r="AI767" s="181">
        <v>44914</v>
      </c>
      <c r="AJ767" s="181"/>
      <c r="AK767" s="181">
        <f ca="1">TODAY()</f>
        <v>44958</v>
      </c>
      <c r="AL767" s="173">
        <f t="shared" ca="1" si="0"/>
        <v>44</v>
      </c>
      <c r="AM767" s="173" t="str">
        <f t="shared" si="1"/>
        <v/>
      </c>
      <c r="AN767" s="181"/>
      <c r="AO767" s="190" t="s">
        <v>2585</v>
      </c>
      <c r="AP767" s="176">
        <v>9.9700000000000006</v>
      </c>
      <c r="AQ767" s="176">
        <v>9.98</v>
      </c>
      <c r="AR767" s="176">
        <v>10.004999999999999</v>
      </c>
      <c r="AS767" s="176">
        <v>10.01</v>
      </c>
      <c r="AT767" s="173" t="str">
        <f t="shared" si="2"/>
        <v/>
      </c>
      <c r="AU767" s="173">
        <v>462</v>
      </c>
      <c r="AW767" s="142" t="s">
        <v>123</v>
      </c>
    </row>
    <row r="768" spans="2:49" s="142" customFormat="1" ht="21" customHeight="1" x14ac:dyDescent="0.25">
      <c r="B768" s="173" t="str">
        <f t="shared" si="3"/>
        <v>RM-304L/1D-3.89X637</v>
      </c>
      <c r="C768" s="173" t="s">
        <v>48</v>
      </c>
      <c r="D768" s="173" t="s">
        <v>48</v>
      </c>
      <c r="E768" s="190" t="s">
        <v>2586</v>
      </c>
      <c r="F768" s="190" t="s">
        <v>2587</v>
      </c>
      <c r="G768" s="173" t="s">
        <v>182</v>
      </c>
      <c r="H768" s="173" t="s">
        <v>127</v>
      </c>
      <c r="I768" s="174">
        <v>3.89</v>
      </c>
      <c r="J768" s="174"/>
      <c r="K768" s="174"/>
      <c r="L768" s="174"/>
      <c r="M768" s="191">
        <v>637</v>
      </c>
      <c r="N768" s="176">
        <v>9.8800000000000008</v>
      </c>
      <c r="O768" s="176"/>
      <c r="P768" s="177"/>
      <c r="Q768" s="178"/>
      <c r="R768" s="179"/>
      <c r="S768" s="179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80" t="s">
        <v>2522</v>
      </c>
      <c r="AE768" s="173" t="s">
        <v>69</v>
      </c>
      <c r="AF768" s="181" t="s">
        <v>142</v>
      </c>
      <c r="AG768" s="192" t="s">
        <v>1584</v>
      </c>
      <c r="AH768" s="198"/>
      <c r="AI768" s="181">
        <v>44914</v>
      </c>
      <c r="AJ768" s="181"/>
      <c r="AK768" s="181">
        <f ca="1">TODAY()</f>
        <v>44958</v>
      </c>
      <c r="AL768" s="173">
        <f t="shared" ca="1" si="0"/>
        <v>44</v>
      </c>
      <c r="AM768" s="173" t="str">
        <f t="shared" si="1"/>
        <v/>
      </c>
      <c r="AN768" s="181"/>
      <c r="AO768" s="190" t="s">
        <v>2585</v>
      </c>
      <c r="AP768" s="176">
        <v>9.8800000000000008</v>
      </c>
      <c r="AQ768" s="176">
        <v>9.89</v>
      </c>
      <c r="AR768" s="176">
        <v>9.9149999999999991</v>
      </c>
      <c r="AS768" s="176">
        <v>9.92</v>
      </c>
      <c r="AT768" s="173" t="str">
        <f t="shared" si="2"/>
        <v/>
      </c>
      <c r="AU768" s="173">
        <v>462</v>
      </c>
      <c r="AW768" s="142" t="s">
        <v>123</v>
      </c>
    </row>
    <row r="769" spans="2:49" s="142" customFormat="1" ht="21" customHeight="1" x14ac:dyDescent="0.25">
      <c r="B769" s="173" t="str">
        <f t="shared" si="3"/>
        <v>RM-304/1D-3.90X639</v>
      </c>
      <c r="C769" s="173" t="s">
        <v>48</v>
      </c>
      <c r="D769" s="173" t="s">
        <v>48</v>
      </c>
      <c r="E769" s="190" t="s">
        <v>2588</v>
      </c>
      <c r="F769" s="190" t="s">
        <v>2589</v>
      </c>
      <c r="G769" s="173">
        <v>304</v>
      </c>
      <c r="H769" s="173" t="s">
        <v>127</v>
      </c>
      <c r="I769" s="174">
        <v>3.9</v>
      </c>
      <c r="J769" s="174"/>
      <c r="K769" s="174"/>
      <c r="L769" s="174"/>
      <c r="M769" s="191">
        <v>639</v>
      </c>
      <c r="N769" s="176">
        <v>10.585000000000001</v>
      </c>
      <c r="O769" s="176"/>
      <c r="P769" s="177"/>
      <c r="Q769" s="178"/>
      <c r="R769" s="179"/>
      <c r="S769" s="179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80" t="s">
        <v>2522</v>
      </c>
      <c r="AE769" s="173" t="s">
        <v>69</v>
      </c>
      <c r="AF769" s="181" t="s">
        <v>142</v>
      </c>
      <c r="AG769" s="192" t="s">
        <v>1584</v>
      </c>
      <c r="AH769" s="198"/>
      <c r="AI769" s="181">
        <v>44914</v>
      </c>
      <c r="AJ769" s="181"/>
      <c r="AK769" s="181">
        <f ca="1">TODAY()</f>
        <v>44958</v>
      </c>
      <c r="AL769" s="173">
        <f t="shared" ca="1" si="0"/>
        <v>44</v>
      </c>
      <c r="AM769" s="173" t="str">
        <f t="shared" si="1"/>
        <v/>
      </c>
      <c r="AN769" s="181"/>
      <c r="AO769" s="190" t="s">
        <v>2590</v>
      </c>
      <c r="AP769" s="176">
        <v>10.585000000000001</v>
      </c>
      <c r="AQ769" s="176">
        <v>10.595000000000001</v>
      </c>
      <c r="AR769" s="176">
        <v>10.62</v>
      </c>
      <c r="AS769" s="176">
        <v>10.625</v>
      </c>
      <c r="AT769" s="173" t="str">
        <f t="shared" si="2"/>
        <v/>
      </c>
      <c r="AU769" s="173">
        <v>462</v>
      </c>
      <c r="AW769" s="142" t="s">
        <v>123</v>
      </c>
    </row>
    <row r="770" spans="2:49" s="142" customFormat="1" ht="21" customHeight="1" x14ac:dyDescent="0.25">
      <c r="B770" s="173" t="str">
        <f t="shared" si="3"/>
        <v>RM-304/1D-3.90X638</v>
      </c>
      <c r="C770" s="173" t="s">
        <v>48</v>
      </c>
      <c r="D770" s="173" t="s">
        <v>48</v>
      </c>
      <c r="E770" s="190" t="s">
        <v>2591</v>
      </c>
      <c r="F770" s="190" t="s">
        <v>2592</v>
      </c>
      <c r="G770" s="173">
        <v>304</v>
      </c>
      <c r="H770" s="173" t="s">
        <v>127</v>
      </c>
      <c r="I770" s="174">
        <v>3.9</v>
      </c>
      <c r="J770" s="174"/>
      <c r="K770" s="174"/>
      <c r="L770" s="174"/>
      <c r="M770" s="191">
        <v>638</v>
      </c>
      <c r="N770" s="176">
        <v>10.55</v>
      </c>
      <c r="O770" s="176"/>
      <c r="P770" s="177"/>
      <c r="Q770" s="178"/>
      <c r="R770" s="179"/>
      <c r="S770" s="179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80" t="s">
        <v>2522</v>
      </c>
      <c r="AE770" s="173" t="s">
        <v>69</v>
      </c>
      <c r="AF770" s="181" t="s">
        <v>142</v>
      </c>
      <c r="AG770" s="192" t="s">
        <v>1584</v>
      </c>
      <c r="AH770" s="198"/>
      <c r="AI770" s="181">
        <v>44914</v>
      </c>
      <c r="AJ770" s="181"/>
      <c r="AK770" s="181">
        <f ca="1">TODAY()</f>
        <v>44958</v>
      </c>
      <c r="AL770" s="173">
        <f t="shared" ca="1" si="0"/>
        <v>44</v>
      </c>
      <c r="AM770" s="173" t="str">
        <f t="shared" si="1"/>
        <v/>
      </c>
      <c r="AN770" s="181"/>
      <c r="AO770" s="190" t="s">
        <v>2590</v>
      </c>
      <c r="AP770" s="176">
        <v>10.55</v>
      </c>
      <c r="AQ770" s="176">
        <v>10.56</v>
      </c>
      <c r="AR770" s="176">
        <v>10.584999999999999</v>
      </c>
      <c r="AS770" s="176">
        <v>10.59</v>
      </c>
      <c r="AT770" s="173" t="str">
        <f t="shared" si="2"/>
        <v/>
      </c>
      <c r="AU770" s="173">
        <v>462</v>
      </c>
      <c r="AW770" s="142" t="s">
        <v>123</v>
      </c>
    </row>
    <row r="771" spans="2:49" s="142" customFormat="1" ht="21" customHeight="1" x14ac:dyDescent="0.25">
      <c r="B771" s="173" t="str">
        <f t="shared" si="3"/>
        <v>RM-304L/1D-3.90X641</v>
      </c>
      <c r="C771" s="173" t="s">
        <v>48</v>
      </c>
      <c r="D771" s="173" t="s">
        <v>48</v>
      </c>
      <c r="E771" s="190" t="s">
        <v>2593</v>
      </c>
      <c r="F771" s="190" t="s">
        <v>2594</v>
      </c>
      <c r="G771" s="173" t="s">
        <v>182</v>
      </c>
      <c r="H771" s="173" t="s">
        <v>127</v>
      </c>
      <c r="I771" s="174">
        <v>3.9</v>
      </c>
      <c r="J771" s="174"/>
      <c r="K771" s="174"/>
      <c r="L771" s="174"/>
      <c r="M771" s="191">
        <v>641</v>
      </c>
      <c r="N771" s="176">
        <v>10.52</v>
      </c>
      <c r="O771" s="176"/>
      <c r="P771" s="177"/>
      <c r="Q771" s="178"/>
      <c r="R771" s="179"/>
      <c r="S771" s="179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80" t="s">
        <v>2522</v>
      </c>
      <c r="AE771" s="173" t="s">
        <v>69</v>
      </c>
      <c r="AF771" s="181" t="s">
        <v>142</v>
      </c>
      <c r="AG771" s="192" t="s">
        <v>1584</v>
      </c>
      <c r="AH771" s="198"/>
      <c r="AI771" s="181">
        <v>44914</v>
      </c>
      <c r="AJ771" s="181"/>
      <c r="AK771" s="181">
        <f ca="1">TODAY()</f>
        <v>44958</v>
      </c>
      <c r="AL771" s="173">
        <f t="shared" ca="1" si="0"/>
        <v>44</v>
      </c>
      <c r="AM771" s="173" t="str">
        <f t="shared" si="1"/>
        <v/>
      </c>
      <c r="AN771" s="181"/>
      <c r="AO771" s="190" t="s">
        <v>2595</v>
      </c>
      <c r="AP771" s="176">
        <v>10.52</v>
      </c>
      <c r="AQ771" s="176">
        <v>10.53</v>
      </c>
      <c r="AR771" s="176">
        <v>10.554999999999998</v>
      </c>
      <c r="AS771" s="176">
        <v>10.559999999999999</v>
      </c>
      <c r="AT771" s="173" t="str">
        <f t="shared" si="2"/>
        <v/>
      </c>
      <c r="AU771" s="173">
        <v>462</v>
      </c>
      <c r="AW771" s="142" t="s">
        <v>123</v>
      </c>
    </row>
    <row r="772" spans="2:49" s="142" customFormat="1" ht="21" customHeight="1" x14ac:dyDescent="0.25">
      <c r="B772" s="173" t="str">
        <f t="shared" si="3"/>
        <v>RM-304L/1D-3.89X640</v>
      </c>
      <c r="C772" s="173" t="s">
        <v>48</v>
      </c>
      <c r="D772" s="173" t="s">
        <v>48</v>
      </c>
      <c r="E772" s="190" t="s">
        <v>2596</v>
      </c>
      <c r="F772" s="190" t="s">
        <v>2597</v>
      </c>
      <c r="G772" s="173" t="s">
        <v>182</v>
      </c>
      <c r="H772" s="173" t="s">
        <v>127</v>
      </c>
      <c r="I772" s="174">
        <v>3.89</v>
      </c>
      <c r="J772" s="174"/>
      <c r="K772" s="174"/>
      <c r="L772" s="174"/>
      <c r="M772" s="191">
        <v>640</v>
      </c>
      <c r="N772" s="176">
        <v>10.565</v>
      </c>
      <c r="O772" s="176"/>
      <c r="P772" s="177"/>
      <c r="Q772" s="178"/>
      <c r="R772" s="179"/>
      <c r="S772" s="179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80" t="s">
        <v>2522</v>
      </c>
      <c r="AE772" s="173" t="s">
        <v>69</v>
      </c>
      <c r="AF772" s="181" t="s">
        <v>142</v>
      </c>
      <c r="AG772" s="192" t="s">
        <v>1584</v>
      </c>
      <c r="AH772" s="198"/>
      <c r="AI772" s="181">
        <v>44914</v>
      </c>
      <c r="AJ772" s="181"/>
      <c r="AK772" s="181">
        <f ca="1">TODAY()</f>
        <v>44958</v>
      </c>
      <c r="AL772" s="173">
        <f t="shared" ca="1" si="0"/>
        <v>44</v>
      </c>
      <c r="AM772" s="173" t="str">
        <f t="shared" si="1"/>
        <v/>
      </c>
      <c r="AN772" s="181"/>
      <c r="AO772" s="190" t="s">
        <v>2595</v>
      </c>
      <c r="AP772" s="176">
        <v>10.565</v>
      </c>
      <c r="AQ772" s="176">
        <v>10.574999999999999</v>
      </c>
      <c r="AR772" s="176">
        <v>10.599999999999998</v>
      </c>
      <c r="AS772" s="176">
        <v>10.604999999999999</v>
      </c>
      <c r="AT772" s="173" t="str">
        <f t="shared" si="2"/>
        <v/>
      </c>
      <c r="AU772" s="173">
        <v>462</v>
      </c>
      <c r="AW772" s="142" t="s">
        <v>123</v>
      </c>
    </row>
    <row r="773" spans="2:49" s="142" customFormat="1" ht="21" customHeight="1" x14ac:dyDescent="0.25">
      <c r="B773" s="173" t="str">
        <f t="shared" si="3"/>
        <v>WIP-304/FH-2.00X764</v>
      </c>
      <c r="C773" s="173" t="s">
        <v>16</v>
      </c>
      <c r="D773" s="173" t="s">
        <v>16</v>
      </c>
      <c r="E773" s="190" t="s">
        <v>2598</v>
      </c>
      <c r="F773" s="190" t="s">
        <v>2599</v>
      </c>
      <c r="G773" s="173">
        <v>304</v>
      </c>
      <c r="H773" s="173" t="s">
        <v>70</v>
      </c>
      <c r="I773" s="174">
        <v>3.82</v>
      </c>
      <c r="J773" s="174">
        <v>2</v>
      </c>
      <c r="K773" s="174"/>
      <c r="L773" s="174"/>
      <c r="M773" s="191">
        <v>764</v>
      </c>
      <c r="N773" s="176">
        <v>9.15</v>
      </c>
      <c r="O773" s="176" t="s">
        <v>114</v>
      </c>
      <c r="P773" s="177"/>
      <c r="Q773" s="178" t="s">
        <v>2600</v>
      </c>
      <c r="R773" s="179"/>
      <c r="S773" s="179"/>
      <c r="T773" s="177">
        <v>44940</v>
      </c>
      <c r="U773" s="177"/>
      <c r="V773" s="177">
        <v>44940</v>
      </c>
      <c r="W773" s="177"/>
      <c r="X773" s="177"/>
      <c r="Y773" s="177"/>
      <c r="Z773" s="177"/>
      <c r="AA773" s="177"/>
      <c r="AB773" s="177"/>
      <c r="AC773" s="177"/>
      <c r="AD773" s="180" t="s">
        <v>1507</v>
      </c>
      <c r="AE773" s="173" t="s">
        <v>69</v>
      </c>
      <c r="AF773" s="181" t="s">
        <v>142</v>
      </c>
      <c r="AG773" s="192" t="s">
        <v>1584</v>
      </c>
      <c r="AH773" s="198"/>
      <c r="AI773" s="181">
        <v>44914</v>
      </c>
      <c r="AJ773" s="181"/>
      <c r="AK773" s="181">
        <f ca="1">TODAY()</f>
        <v>44958</v>
      </c>
      <c r="AL773" s="173">
        <f t="shared" ca="1" si="0"/>
        <v>44</v>
      </c>
      <c r="AM773" s="173" t="str">
        <f t="shared" si="1"/>
        <v/>
      </c>
      <c r="AN773" s="181"/>
      <c r="AO773" s="190" t="s">
        <v>2601</v>
      </c>
      <c r="AP773" s="176">
        <v>9.15</v>
      </c>
      <c r="AQ773" s="176">
        <v>9.16</v>
      </c>
      <c r="AR773" s="176">
        <v>9.1849999999999987</v>
      </c>
      <c r="AS773" s="176">
        <v>9.19</v>
      </c>
      <c r="AT773" s="173" t="str">
        <f t="shared" si="2"/>
        <v/>
      </c>
      <c r="AU773" s="173">
        <v>462</v>
      </c>
      <c r="AW773" s="142" t="s">
        <v>123</v>
      </c>
    </row>
    <row r="774" spans="2:49" s="142" customFormat="1" ht="21" customHeight="1" x14ac:dyDescent="0.25">
      <c r="B774" s="173" t="str">
        <f t="shared" si="3"/>
        <v>RM-304/1D-3.90X640</v>
      </c>
      <c r="C774" s="173" t="s">
        <v>48</v>
      </c>
      <c r="D774" s="173" t="s">
        <v>48</v>
      </c>
      <c r="E774" s="190" t="s">
        <v>2602</v>
      </c>
      <c r="F774" s="190" t="s">
        <v>2603</v>
      </c>
      <c r="G774" s="173">
        <v>304</v>
      </c>
      <c r="H774" s="173" t="s">
        <v>127</v>
      </c>
      <c r="I774" s="174">
        <v>3.9</v>
      </c>
      <c r="J774" s="174"/>
      <c r="K774" s="174"/>
      <c r="L774" s="174"/>
      <c r="M774" s="191">
        <v>640</v>
      </c>
      <c r="N774" s="176">
        <v>10.574999999999999</v>
      </c>
      <c r="O774" s="176"/>
      <c r="P774" s="177"/>
      <c r="Q774" s="178"/>
      <c r="R774" s="179"/>
      <c r="S774" s="179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80" t="s">
        <v>2522</v>
      </c>
      <c r="AE774" s="173" t="s">
        <v>69</v>
      </c>
      <c r="AF774" s="181" t="s">
        <v>142</v>
      </c>
      <c r="AG774" s="192" t="s">
        <v>1584</v>
      </c>
      <c r="AH774" s="198"/>
      <c r="AI774" s="181">
        <v>44914</v>
      </c>
      <c r="AJ774" s="181"/>
      <c r="AK774" s="181">
        <f ca="1">TODAY()</f>
        <v>44958</v>
      </c>
      <c r="AL774" s="173">
        <f t="shared" ca="1" si="0"/>
        <v>44</v>
      </c>
      <c r="AM774" s="173" t="str">
        <f t="shared" si="1"/>
        <v/>
      </c>
      <c r="AN774" s="181"/>
      <c r="AO774" s="190" t="s">
        <v>2604</v>
      </c>
      <c r="AP774" s="176">
        <v>10.574999999999999</v>
      </c>
      <c r="AQ774" s="176">
        <v>10.585000000000001</v>
      </c>
      <c r="AR774" s="176">
        <v>10.61</v>
      </c>
      <c r="AS774" s="176">
        <v>10.615</v>
      </c>
      <c r="AT774" s="173" t="str">
        <f t="shared" si="2"/>
        <v/>
      </c>
      <c r="AU774" s="173">
        <v>462</v>
      </c>
      <c r="AW774" s="142" t="s">
        <v>123</v>
      </c>
    </row>
    <row r="775" spans="2:49" s="142" customFormat="1" ht="21" customHeight="1" x14ac:dyDescent="0.25">
      <c r="B775" s="173" t="str">
        <f t="shared" si="3"/>
        <v>RM-304/1D-3.91X639</v>
      </c>
      <c r="C775" s="173" t="s">
        <v>48</v>
      </c>
      <c r="D775" s="173" t="s">
        <v>48</v>
      </c>
      <c r="E775" s="190" t="s">
        <v>2605</v>
      </c>
      <c r="F775" s="190" t="s">
        <v>2606</v>
      </c>
      <c r="G775" s="173">
        <v>304</v>
      </c>
      <c r="H775" s="173" t="s">
        <v>127</v>
      </c>
      <c r="I775" s="174">
        <v>3.91</v>
      </c>
      <c r="J775" s="174"/>
      <c r="K775" s="174"/>
      <c r="L775" s="174"/>
      <c r="M775" s="191">
        <v>639</v>
      </c>
      <c r="N775" s="176">
        <v>10.52</v>
      </c>
      <c r="O775" s="176"/>
      <c r="P775" s="177"/>
      <c r="Q775" s="178"/>
      <c r="R775" s="179"/>
      <c r="S775" s="179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80" t="s">
        <v>2522</v>
      </c>
      <c r="AE775" s="173" t="s">
        <v>69</v>
      </c>
      <c r="AF775" s="181" t="s">
        <v>142</v>
      </c>
      <c r="AG775" s="192" t="s">
        <v>1584</v>
      </c>
      <c r="AH775" s="198"/>
      <c r="AI775" s="181">
        <v>44914</v>
      </c>
      <c r="AJ775" s="181"/>
      <c r="AK775" s="181">
        <f ca="1">TODAY()</f>
        <v>44958</v>
      </c>
      <c r="AL775" s="173">
        <f t="shared" ca="1" si="0"/>
        <v>44</v>
      </c>
      <c r="AM775" s="173" t="str">
        <f t="shared" si="1"/>
        <v/>
      </c>
      <c r="AN775" s="181"/>
      <c r="AO775" s="190" t="s">
        <v>2604</v>
      </c>
      <c r="AP775" s="176">
        <v>10.52</v>
      </c>
      <c r="AQ775" s="176">
        <v>10.53</v>
      </c>
      <c r="AR775" s="176">
        <v>10.554999999999998</v>
      </c>
      <c r="AS775" s="176">
        <v>10.559999999999999</v>
      </c>
      <c r="AT775" s="173" t="str">
        <f t="shared" si="2"/>
        <v/>
      </c>
      <c r="AU775" s="173">
        <v>462</v>
      </c>
      <c r="AW775" s="142" t="s">
        <v>123</v>
      </c>
    </row>
    <row r="776" spans="2:49" s="142" customFormat="1" ht="21" customHeight="1" x14ac:dyDescent="0.25">
      <c r="B776" s="173" t="str">
        <f t="shared" si="3"/>
        <v>WIP-304L/FH-1.20X770</v>
      </c>
      <c r="C776" s="173" t="s">
        <v>16</v>
      </c>
      <c r="D776" s="173" t="s">
        <v>16</v>
      </c>
      <c r="E776" s="190" t="s">
        <v>2607</v>
      </c>
      <c r="F776" s="190" t="s">
        <v>2608</v>
      </c>
      <c r="G776" s="173" t="s">
        <v>182</v>
      </c>
      <c r="H776" s="173" t="s">
        <v>70</v>
      </c>
      <c r="I776" s="174">
        <v>3.79</v>
      </c>
      <c r="J776" s="174">
        <v>1.2</v>
      </c>
      <c r="K776" s="174"/>
      <c r="L776" s="174"/>
      <c r="M776" s="191">
        <v>770</v>
      </c>
      <c r="N776" s="176">
        <v>10.54</v>
      </c>
      <c r="O776" s="176" t="s">
        <v>114</v>
      </c>
      <c r="P776" s="177"/>
      <c r="Q776" s="178" t="s">
        <v>1506</v>
      </c>
      <c r="R776" s="179"/>
      <c r="S776" s="179"/>
      <c r="T776" s="177">
        <v>44950</v>
      </c>
      <c r="U776" s="177"/>
      <c r="V776" s="177">
        <v>44950</v>
      </c>
      <c r="W776" s="177"/>
      <c r="X776" s="177"/>
      <c r="Y776" s="177"/>
      <c r="Z776" s="177"/>
      <c r="AA776" s="177"/>
      <c r="AB776" s="177"/>
      <c r="AC776" s="177"/>
      <c r="AD776" s="180" t="s">
        <v>2448</v>
      </c>
      <c r="AE776" s="173" t="s">
        <v>69</v>
      </c>
      <c r="AF776" s="181" t="s">
        <v>142</v>
      </c>
      <c r="AG776" s="192" t="s">
        <v>1584</v>
      </c>
      <c r="AH776" s="198"/>
      <c r="AI776" s="181">
        <v>44914</v>
      </c>
      <c r="AJ776" s="181"/>
      <c r="AK776" s="181">
        <f ca="1">TODAY()</f>
        <v>44958</v>
      </c>
      <c r="AL776" s="173">
        <f t="shared" ca="1" si="0"/>
        <v>44</v>
      </c>
      <c r="AM776" s="173" t="str">
        <f t="shared" si="1"/>
        <v/>
      </c>
      <c r="AN776" s="181"/>
      <c r="AO776" s="190" t="s">
        <v>2609</v>
      </c>
      <c r="AP776" s="176">
        <v>10.525</v>
      </c>
      <c r="AQ776" s="176">
        <v>10.535</v>
      </c>
      <c r="AR776" s="176">
        <v>10.559999999999999</v>
      </c>
      <c r="AS776" s="176">
        <v>10.565</v>
      </c>
      <c r="AT776" s="173" t="str">
        <f t="shared" si="2"/>
        <v/>
      </c>
      <c r="AU776" s="173">
        <v>462</v>
      </c>
      <c r="AW776" s="142" t="s">
        <v>123</v>
      </c>
    </row>
    <row r="777" spans="2:49" s="142" customFormat="1" ht="21" customHeight="1" x14ac:dyDescent="0.25">
      <c r="B777" s="173" t="str">
        <f t="shared" si="3"/>
        <v>WIP-304L/FH-1.15X772</v>
      </c>
      <c r="C777" s="173" t="s">
        <v>16</v>
      </c>
      <c r="D777" s="173" t="s">
        <v>16</v>
      </c>
      <c r="E777" s="190" t="s">
        <v>2610</v>
      </c>
      <c r="F777" s="190" t="s">
        <v>2611</v>
      </c>
      <c r="G777" s="173" t="s">
        <v>182</v>
      </c>
      <c r="H777" s="173" t="s">
        <v>70</v>
      </c>
      <c r="I777" s="174">
        <v>3.79</v>
      </c>
      <c r="J777" s="174">
        <v>1.1499999999999999</v>
      </c>
      <c r="K777" s="174"/>
      <c r="L777" s="174"/>
      <c r="M777" s="191">
        <v>772</v>
      </c>
      <c r="N777" s="176">
        <v>10.57</v>
      </c>
      <c r="O777" s="176" t="s">
        <v>114</v>
      </c>
      <c r="P777" s="177"/>
      <c r="Q777" s="178" t="s">
        <v>2444</v>
      </c>
      <c r="R777" s="179"/>
      <c r="S777" s="179"/>
      <c r="T777" s="177">
        <v>44950</v>
      </c>
      <c r="U777" s="177"/>
      <c r="V777" s="177">
        <v>44950</v>
      </c>
      <c r="W777" s="177"/>
      <c r="X777" s="177"/>
      <c r="Y777" s="177"/>
      <c r="Z777" s="177"/>
      <c r="AA777" s="177"/>
      <c r="AB777" s="177"/>
      <c r="AC777" s="177"/>
      <c r="AD777" s="180" t="s">
        <v>1643</v>
      </c>
      <c r="AE777" s="173" t="s">
        <v>69</v>
      </c>
      <c r="AF777" s="181" t="s">
        <v>142</v>
      </c>
      <c r="AG777" s="192" t="s">
        <v>1584</v>
      </c>
      <c r="AH777" s="198"/>
      <c r="AI777" s="181">
        <v>44914</v>
      </c>
      <c r="AJ777" s="181"/>
      <c r="AK777" s="181">
        <f ca="1">TODAY()</f>
        <v>44958</v>
      </c>
      <c r="AL777" s="173">
        <f t="shared" ca="1" si="0"/>
        <v>44</v>
      </c>
      <c r="AM777" s="173" t="str">
        <f t="shared" si="1"/>
        <v/>
      </c>
      <c r="AN777" s="181"/>
      <c r="AO777" s="190" t="s">
        <v>2609</v>
      </c>
      <c r="AP777" s="176">
        <v>10.56</v>
      </c>
      <c r="AQ777" s="176">
        <v>10.57</v>
      </c>
      <c r="AR777" s="176">
        <v>10.594999999999999</v>
      </c>
      <c r="AS777" s="176">
        <v>10.6</v>
      </c>
      <c r="AT777" s="173" t="str">
        <f t="shared" si="2"/>
        <v/>
      </c>
      <c r="AU777" s="173">
        <v>462</v>
      </c>
      <c r="AW777" s="142" t="s">
        <v>123</v>
      </c>
    </row>
    <row r="778" spans="2:49" s="142" customFormat="1" ht="21" customHeight="1" x14ac:dyDescent="0.25">
      <c r="B778" s="173" t="str">
        <f t="shared" si="3"/>
        <v>RM-304L/1D-3.89X638</v>
      </c>
      <c r="C778" s="173" t="s">
        <v>48</v>
      </c>
      <c r="D778" s="173" t="s">
        <v>48</v>
      </c>
      <c r="E778" s="190" t="s">
        <v>2612</v>
      </c>
      <c r="F778" s="190" t="s">
        <v>2613</v>
      </c>
      <c r="G778" s="173" t="s">
        <v>182</v>
      </c>
      <c r="H778" s="173" t="s">
        <v>127</v>
      </c>
      <c r="I778" s="174">
        <v>3.89</v>
      </c>
      <c r="J778" s="174"/>
      <c r="K778" s="174"/>
      <c r="L778" s="174"/>
      <c r="M778" s="191">
        <v>638</v>
      </c>
      <c r="N778" s="176">
        <v>10.565</v>
      </c>
      <c r="O778" s="176"/>
      <c r="P778" s="177"/>
      <c r="Q778" s="178"/>
      <c r="R778" s="179"/>
      <c r="S778" s="179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80" t="s">
        <v>2522</v>
      </c>
      <c r="AE778" s="173" t="s">
        <v>69</v>
      </c>
      <c r="AF778" s="181" t="s">
        <v>142</v>
      </c>
      <c r="AG778" s="192" t="s">
        <v>1584</v>
      </c>
      <c r="AH778" s="198"/>
      <c r="AI778" s="181">
        <v>44914</v>
      </c>
      <c r="AJ778" s="181"/>
      <c r="AK778" s="181">
        <f ca="1">TODAY()</f>
        <v>44958</v>
      </c>
      <c r="AL778" s="173">
        <f t="shared" ca="1" si="0"/>
        <v>44</v>
      </c>
      <c r="AM778" s="173" t="str">
        <f t="shared" si="1"/>
        <v/>
      </c>
      <c r="AN778" s="181"/>
      <c r="AO778" s="190" t="s">
        <v>2614</v>
      </c>
      <c r="AP778" s="176">
        <v>10.565</v>
      </c>
      <c r="AQ778" s="176">
        <v>10.574999999999999</v>
      </c>
      <c r="AR778" s="176">
        <v>10.599999999999998</v>
      </c>
      <c r="AS778" s="176">
        <v>10.604999999999999</v>
      </c>
      <c r="AT778" s="173" t="str">
        <f t="shared" si="2"/>
        <v/>
      </c>
      <c r="AU778" s="173">
        <v>462</v>
      </c>
      <c r="AW778" s="142" t="s">
        <v>123</v>
      </c>
    </row>
    <row r="779" spans="2:49" s="142" customFormat="1" ht="21" customHeight="1" x14ac:dyDescent="0.25">
      <c r="B779" s="173" t="str">
        <f t="shared" si="3"/>
        <v>RM-304L/1D-3.90X637</v>
      </c>
      <c r="C779" s="173" t="s">
        <v>48</v>
      </c>
      <c r="D779" s="173" t="s">
        <v>48</v>
      </c>
      <c r="E779" s="190" t="s">
        <v>2615</v>
      </c>
      <c r="F779" s="190" t="s">
        <v>2616</v>
      </c>
      <c r="G779" s="173" t="s">
        <v>182</v>
      </c>
      <c r="H779" s="173" t="s">
        <v>127</v>
      </c>
      <c r="I779" s="174">
        <v>3.9</v>
      </c>
      <c r="J779" s="174"/>
      <c r="K779" s="174"/>
      <c r="L779" s="174"/>
      <c r="M779" s="191">
        <v>637</v>
      </c>
      <c r="N779" s="176">
        <v>10.53</v>
      </c>
      <c r="O779" s="176"/>
      <c r="P779" s="177"/>
      <c r="Q779" s="178"/>
      <c r="R779" s="179"/>
      <c r="S779" s="179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80" t="s">
        <v>2522</v>
      </c>
      <c r="AE779" s="173" t="s">
        <v>69</v>
      </c>
      <c r="AF779" s="181" t="s">
        <v>142</v>
      </c>
      <c r="AG779" s="192" t="s">
        <v>1584</v>
      </c>
      <c r="AH779" s="198"/>
      <c r="AI779" s="181">
        <v>44914</v>
      </c>
      <c r="AJ779" s="181"/>
      <c r="AK779" s="181">
        <f ca="1">TODAY()</f>
        <v>44958</v>
      </c>
      <c r="AL779" s="173">
        <f t="shared" ca="1" si="0"/>
        <v>44</v>
      </c>
      <c r="AM779" s="173" t="str">
        <f t="shared" si="1"/>
        <v/>
      </c>
      <c r="AN779" s="181"/>
      <c r="AO779" s="190" t="s">
        <v>2614</v>
      </c>
      <c r="AP779" s="176">
        <v>10.53</v>
      </c>
      <c r="AQ779" s="176">
        <v>10.54</v>
      </c>
      <c r="AR779" s="176">
        <v>10.564999999999998</v>
      </c>
      <c r="AS779" s="176">
        <v>10.569999999999999</v>
      </c>
      <c r="AT779" s="173" t="str">
        <f t="shared" si="2"/>
        <v/>
      </c>
      <c r="AU779" s="173">
        <v>462</v>
      </c>
      <c r="AW779" s="142" t="s">
        <v>123</v>
      </c>
    </row>
    <row r="780" spans="2:49" s="142" customFormat="1" ht="21" customHeight="1" x14ac:dyDescent="0.25">
      <c r="B780" s="173" t="str">
        <f t="shared" si="3"/>
        <v>RM-304L/1D-3.80X771</v>
      </c>
      <c r="C780" s="173" t="s">
        <v>13</v>
      </c>
      <c r="D780" s="173" t="s">
        <v>13</v>
      </c>
      <c r="E780" s="190" t="s">
        <v>2617</v>
      </c>
      <c r="F780" s="190" t="s">
        <v>2618</v>
      </c>
      <c r="G780" s="173" t="s">
        <v>182</v>
      </c>
      <c r="H780" s="173" t="s">
        <v>127</v>
      </c>
      <c r="I780" s="174">
        <v>3.8</v>
      </c>
      <c r="J780" s="174"/>
      <c r="K780" s="174"/>
      <c r="L780" s="174"/>
      <c r="M780" s="191">
        <v>771</v>
      </c>
      <c r="N780" s="176">
        <v>10.445</v>
      </c>
      <c r="O780" s="176"/>
      <c r="P780" s="177"/>
      <c r="Q780" s="178"/>
      <c r="R780" s="179"/>
      <c r="S780" s="179"/>
      <c r="T780" s="177">
        <v>44957</v>
      </c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80" t="s">
        <v>1643</v>
      </c>
      <c r="AE780" s="173" t="s">
        <v>69</v>
      </c>
      <c r="AF780" s="181" t="s">
        <v>142</v>
      </c>
      <c r="AG780" s="192" t="s">
        <v>1584</v>
      </c>
      <c r="AH780" s="198"/>
      <c r="AI780" s="181">
        <v>44914</v>
      </c>
      <c r="AJ780" s="181"/>
      <c r="AK780" s="181">
        <f ca="1">TODAY()</f>
        <v>44958</v>
      </c>
      <c r="AL780" s="173">
        <f t="shared" ca="1" si="0"/>
        <v>44</v>
      </c>
      <c r="AM780" s="173" t="str">
        <f t="shared" si="1"/>
        <v/>
      </c>
      <c r="AN780" s="181"/>
      <c r="AO780" s="190" t="s">
        <v>2619</v>
      </c>
      <c r="AP780" s="176">
        <v>10.445</v>
      </c>
      <c r="AQ780" s="176">
        <v>10.455</v>
      </c>
      <c r="AR780" s="176">
        <v>10.479999999999999</v>
      </c>
      <c r="AS780" s="176">
        <v>10.484999999999999</v>
      </c>
      <c r="AT780" s="173" t="str">
        <f t="shared" si="2"/>
        <v/>
      </c>
      <c r="AU780" s="173">
        <v>462</v>
      </c>
      <c r="AW780" s="142" t="s">
        <v>123</v>
      </c>
    </row>
    <row r="781" spans="2:49" s="142" customFormat="1" ht="21" customHeight="1" x14ac:dyDescent="0.25">
      <c r="B781" s="173" t="str">
        <f t="shared" si="3"/>
        <v>WIP-304L/FH-1.20X770</v>
      </c>
      <c r="C781" s="173" t="s">
        <v>16</v>
      </c>
      <c r="D781" s="173" t="s">
        <v>16</v>
      </c>
      <c r="E781" s="190" t="s">
        <v>2620</v>
      </c>
      <c r="F781" s="190" t="s">
        <v>2621</v>
      </c>
      <c r="G781" s="173" t="s">
        <v>182</v>
      </c>
      <c r="H781" s="173" t="s">
        <v>70</v>
      </c>
      <c r="I781" s="174">
        <v>3.88</v>
      </c>
      <c r="J781" s="174">
        <v>1.2</v>
      </c>
      <c r="K781" s="174"/>
      <c r="L781" s="174"/>
      <c r="M781" s="191">
        <v>770</v>
      </c>
      <c r="N781" s="176">
        <v>12.02</v>
      </c>
      <c r="O781" s="176" t="s">
        <v>114</v>
      </c>
      <c r="P781" s="177"/>
      <c r="Q781" s="178" t="s">
        <v>1540</v>
      </c>
      <c r="R781" s="179"/>
      <c r="S781" s="179"/>
      <c r="T781" s="177">
        <v>44947</v>
      </c>
      <c r="U781" s="177"/>
      <c r="V781" s="177">
        <v>44947</v>
      </c>
      <c r="W781" s="177"/>
      <c r="X781" s="177"/>
      <c r="Y781" s="177"/>
      <c r="Z781" s="177"/>
      <c r="AA781" s="177"/>
      <c r="AB781" s="177"/>
      <c r="AC781" s="177"/>
      <c r="AD781" s="180" t="s">
        <v>1605</v>
      </c>
      <c r="AE781" s="173" t="s">
        <v>69</v>
      </c>
      <c r="AF781" s="181" t="s">
        <v>142</v>
      </c>
      <c r="AG781" s="192" t="s">
        <v>1584</v>
      </c>
      <c r="AH781" s="198"/>
      <c r="AI781" s="181">
        <v>44914</v>
      </c>
      <c r="AJ781" s="181"/>
      <c r="AK781" s="181">
        <f ca="1">TODAY()</f>
        <v>44958</v>
      </c>
      <c r="AL781" s="173">
        <f t="shared" ca="1" si="0"/>
        <v>44</v>
      </c>
      <c r="AM781" s="173" t="str">
        <f t="shared" si="1"/>
        <v/>
      </c>
      <c r="AN781" s="181"/>
      <c r="AO781" s="190" t="s">
        <v>2622</v>
      </c>
      <c r="AP781" s="176">
        <v>12.015000000000001</v>
      </c>
      <c r="AQ781" s="176">
        <v>12.025</v>
      </c>
      <c r="AR781" s="176">
        <v>12.049999999999999</v>
      </c>
      <c r="AS781" s="176">
        <v>12.055</v>
      </c>
      <c r="AT781" s="173" t="str">
        <f t="shared" si="2"/>
        <v/>
      </c>
      <c r="AU781" s="173">
        <v>462</v>
      </c>
      <c r="AW781" s="142" t="s">
        <v>123</v>
      </c>
    </row>
    <row r="782" spans="2:49" s="142" customFormat="1" ht="21" customHeight="1" x14ac:dyDescent="0.25">
      <c r="B782" s="173" t="str">
        <f t="shared" si="3"/>
        <v>WIP-304/FH-1.00X767</v>
      </c>
      <c r="C782" s="173" t="s">
        <v>16</v>
      </c>
      <c r="D782" s="173" t="s">
        <v>16</v>
      </c>
      <c r="E782" s="190" t="s">
        <v>2623</v>
      </c>
      <c r="F782" s="190" t="s">
        <v>2624</v>
      </c>
      <c r="G782" s="173">
        <v>304</v>
      </c>
      <c r="H782" s="173" t="s">
        <v>70</v>
      </c>
      <c r="I782" s="174">
        <v>2.9</v>
      </c>
      <c r="J782" s="174">
        <v>1</v>
      </c>
      <c r="K782" s="174"/>
      <c r="L782" s="174"/>
      <c r="M782" s="191">
        <v>767</v>
      </c>
      <c r="N782" s="176">
        <v>10.39</v>
      </c>
      <c r="O782" s="176" t="s">
        <v>114</v>
      </c>
      <c r="P782" s="177"/>
      <c r="Q782" s="178" t="s">
        <v>1540</v>
      </c>
      <c r="R782" s="179"/>
      <c r="S782" s="179"/>
      <c r="T782" s="177">
        <v>44946</v>
      </c>
      <c r="U782" s="177"/>
      <c r="V782" s="177">
        <v>44946</v>
      </c>
      <c r="W782" s="177"/>
      <c r="X782" s="177"/>
      <c r="Y782" s="177"/>
      <c r="Z782" s="177"/>
      <c r="AA782" s="177"/>
      <c r="AB782" s="177"/>
      <c r="AC782" s="177"/>
      <c r="AD782" s="180" t="s">
        <v>2448</v>
      </c>
      <c r="AE782" s="173" t="s">
        <v>69</v>
      </c>
      <c r="AF782" s="181" t="s">
        <v>142</v>
      </c>
      <c r="AG782" s="192" t="s">
        <v>1584</v>
      </c>
      <c r="AH782" s="198"/>
      <c r="AI782" s="181">
        <v>44914</v>
      </c>
      <c r="AJ782" s="181"/>
      <c r="AK782" s="181">
        <f ca="1">TODAY()</f>
        <v>44958</v>
      </c>
      <c r="AL782" s="173">
        <f t="shared" ca="1" si="0"/>
        <v>44</v>
      </c>
      <c r="AM782" s="173" t="str">
        <f t="shared" si="1"/>
        <v/>
      </c>
      <c r="AN782" s="181"/>
      <c r="AO782" s="190" t="s">
        <v>2625</v>
      </c>
      <c r="AP782" s="176">
        <v>10.36</v>
      </c>
      <c r="AQ782" s="176">
        <v>10.37</v>
      </c>
      <c r="AR782" s="176">
        <v>10.394999999999998</v>
      </c>
      <c r="AS782" s="176">
        <v>10.399999999999999</v>
      </c>
      <c r="AT782" s="173" t="str">
        <f t="shared" si="2"/>
        <v/>
      </c>
      <c r="AU782" s="173">
        <v>462</v>
      </c>
      <c r="AW782" s="142" t="s">
        <v>123</v>
      </c>
    </row>
    <row r="783" spans="2:49" s="142" customFormat="1" ht="21" customHeight="1" x14ac:dyDescent="0.25">
      <c r="B783" s="173" t="str">
        <f t="shared" si="3"/>
        <v>WIP-304L/FH-1.90X770</v>
      </c>
      <c r="C783" s="173" t="s">
        <v>16</v>
      </c>
      <c r="D783" s="173" t="s">
        <v>16</v>
      </c>
      <c r="E783" s="190" t="s">
        <v>2626</v>
      </c>
      <c r="F783" s="190" t="s">
        <v>2627</v>
      </c>
      <c r="G783" s="173" t="s">
        <v>182</v>
      </c>
      <c r="H783" s="173" t="s">
        <v>70</v>
      </c>
      <c r="I783" s="174">
        <v>3.96</v>
      </c>
      <c r="J783" s="174">
        <v>1.9</v>
      </c>
      <c r="K783" s="174"/>
      <c r="L783" s="174"/>
      <c r="M783" s="191">
        <v>770</v>
      </c>
      <c r="N783" s="176">
        <v>10.5</v>
      </c>
      <c r="O783" s="176" t="s">
        <v>114</v>
      </c>
      <c r="P783" s="177"/>
      <c r="Q783" s="178" t="s">
        <v>2444</v>
      </c>
      <c r="R783" s="179"/>
      <c r="S783" s="179"/>
      <c r="T783" s="177">
        <v>44950</v>
      </c>
      <c r="U783" s="177"/>
      <c r="V783" s="177">
        <v>44950</v>
      </c>
      <c r="W783" s="177"/>
      <c r="X783" s="177"/>
      <c r="Y783" s="177"/>
      <c r="Z783" s="177"/>
      <c r="AA783" s="177"/>
      <c r="AB783" s="177"/>
      <c r="AC783" s="177"/>
      <c r="AD783" s="180" t="s">
        <v>2448</v>
      </c>
      <c r="AE783" s="173" t="s">
        <v>69</v>
      </c>
      <c r="AF783" s="181" t="s">
        <v>142</v>
      </c>
      <c r="AG783" s="192" t="s">
        <v>1584</v>
      </c>
      <c r="AH783" s="198"/>
      <c r="AI783" s="181">
        <v>44914</v>
      </c>
      <c r="AJ783" s="181"/>
      <c r="AK783" s="181">
        <f ca="1">TODAY()</f>
        <v>44958</v>
      </c>
      <c r="AL783" s="173">
        <f t="shared" ca="1" si="0"/>
        <v>44</v>
      </c>
      <c r="AM783" s="173" t="str">
        <f t="shared" si="1"/>
        <v/>
      </c>
      <c r="AN783" s="181"/>
      <c r="AO783" s="190" t="s">
        <v>2628</v>
      </c>
      <c r="AP783" s="176">
        <v>10.505000000000001</v>
      </c>
      <c r="AQ783" s="176">
        <v>10.515000000000001</v>
      </c>
      <c r="AR783" s="176">
        <v>10.54</v>
      </c>
      <c r="AS783" s="176">
        <v>10.545</v>
      </c>
      <c r="AT783" s="173" t="str">
        <f t="shared" si="2"/>
        <v/>
      </c>
      <c r="AU783" s="173">
        <v>462</v>
      </c>
      <c r="AW783" s="142" t="s">
        <v>123</v>
      </c>
    </row>
    <row r="784" spans="2:49" s="142" customFormat="1" ht="21" customHeight="1" x14ac:dyDescent="0.25">
      <c r="B784" s="173" t="str">
        <f t="shared" si="3"/>
        <v>RM-304/1D-3.97X770</v>
      </c>
      <c r="C784" s="173" t="s">
        <v>13</v>
      </c>
      <c r="D784" s="173" t="s">
        <v>13</v>
      </c>
      <c r="E784" s="190" t="s">
        <v>2629</v>
      </c>
      <c r="F784" s="190" t="s">
        <v>2630</v>
      </c>
      <c r="G784" s="173">
        <v>304</v>
      </c>
      <c r="H784" s="173" t="s">
        <v>127</v>
      </c>
      <c r="I784" s="174">
        <v>3.97</v>
      </c>
      <c r="J784" s="174"/>
      <c r="K784" s="174"/>
      <c r="L784" s="174"/>
      <c r="M784" s="191">
        <v>770</v>
      </c>
      <c r="N784" s="176">
        <v>10.515000000000001</v>
      </c>
      <c r="O784" s="176"/>
      <c r="P784" s="177"/>
      <c r="Q784" s="178"/>
      <c r="R784" s="179"/>
      <c r="S784" s="179"/>
      <c r="T784" s="177">
        <v>44942</v>
      </c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80" t="s">
        <v>1507</v>
      </c>
      <c r="AE784" s="173" t="s">
        <v>69</v>
      </c>
      <c r="AF784" s="181" t="s">
        <v>142</v>
      </c>
      <c r="AG784" s="192" t="s">
        <v>1584</v>
      </c>
      <c r="AH784" s="198"/>
      <c r="AI784" s="181">
        <v>44914</v>
      </c>
      <c r="AJ784" s="181"/>
      <c r="AK784" s="181">
        <f ca="1">TODAY()</f>
        <v>44958</v>
      </c>
      <c r="AL784" s="173">
        <f t="shared" ca="1" si="0"/>
        <v>44</v>
      </c>
      <c r="AM784" s="173" t="str">
        <f t="shared" si="1"/>
        <v/>
      </c>
      <c r="AN784" s="181"/>
      <c r="AO784" s="190" t="s">
        <v>2631</v>
      </c>
      <c r="AP784" s="176">
        <v>10.515000000000001</v>
      </c>
      <c r="AQ784" s="176">
        <v>10.525</v>
      </c>
      <c r="AR784" s="176">
        <v>10.549999999999999</v>
      </c>
      <c r="AS784" s="176">
        <v>10.555</v>
      </c>
      <c r="AT784" s="173" t="str">
        <f t="shared" si="2"/>
        <v/>
      </c>
      <c r="AU784" s="173">
        <v>462</v>
      </c>
      <c r="AW784" s="142" t="s">
        <v>123</v>
      </c>
    </row>
    <row r="785" spans="2:49" s="142" customFormat="1" ht="21" customHeight="1" x14ac:dyDescent="0.25">
      <c r="B785" s="173" t="str">
        <f t="shared" si="3"/>
        <v>WIP-304/FH-1.00X770</v>
      </c>
      <c r="C785" s="173" t="s">
        <v>16</v>
      </c>
      <c r="D785" s="173" t="s">
        <v>16</v>
      </c>
      <c r="E785" s="190" t="s">
        <v>2632</v>
      </c>
      <c r="F785" s="190" t="s">
        <v>2633</v>
      </c>
      <c r="G785" s="173">
        <v>304</v>
      </c>
      <c r="H785" s="173" t="s">
        <v>70</v>
      </c>
      <c r="I785" s="174">
        <v>2.9</v>
      </c>
      <c r="J785" s="174">
        <v>1</v>
      </c>
      <c r="K785" s="174"/>
      <c r="L785" s="174"/>
      <c r="M785" s="191">
        <v>770</v>
      </c>
      <c r="N785" s="176">
        <v>10.515000000000001</v>
      </c>
      <c r="O785" s="176" t="s">
        <v>114</v>
      </c>
      <c r="P785" s="177"/>
      <c r="Q785" s="178" t="s">
        <v>511</v>
      </c>
      <c r="R785" s="179"/>
      <c r="S785" s="179"/>
      <c r="T785" s="177">
        <v>44942</v>
      </c>
      <c r="U785" s="177"/>
      <c r="V785" s="177">
        <v>44943</v>
      </c>
      <c r="W785" s="177"/>
      <c r="X785" s="177"/>
      <c r="Y785" s="177"/>
      <c r="Z785" s="177"/>
      <c r="AA785" s="177"/>
      <c r="AB785" s="177"/>
      <c r="AC785" s="177"/>
      <c r="AD785" s="180" t="s">
        <v>2448</v>
      </c>
      <c r="AE785" s="173" t="s">
        <v>69</v>
      </c>
      <c r="AF785" s="181" t="s">
        <v>142</v>
      </c>
      <c r="AG785" s="192" t="s">
        <v>1584</v>
      </c>
      <c r="AH785" s="198"/>
      <c r="AI785" s="181">
        <v>44914</v>
      </c>
      <c r="AJ785" s="181"/>
      <c r="AK785" s="181">
        <f ca="1">TODAY()</f>
        <v>44958</v>
      </c>
      <c r="AL785" s="173">
        <f t="shared" ca="1" si="0"/>
        <v>44</v>
      </c>
      <c r="AM785" s="173" t="str">
        <f t="shared" si="1"/>
        <v/>
      </c>
      <c r="AN785" s="181"/>
      <c r="AO785" s="190" t="s">
        <v>2634</v>
      </c>
      <c r="AP785" s="176">
        <v>10.535</v>
      </c>
      <c r="AQ785" s="176">
        <v>10.545</v>
      </c>
      <c r="AR785" s="176">
        <v>10.569999999999999</v>
      </c>
      <c r="AS785" s="176">
        <v>10.574999999999999</v>
      </c>
      <c r="AT785" s="173" t="str">
        <f t="shared" si="2"/>
        <v/>
      </c>
      <c r="AU785" s="173">
        <v>462</v>
      </c>
      <c r="AW785" s="142" t="s">
        <v>123</v>
      </c>
    </row>
    <row r="786" spans="2:49" s="142" customFormat="1" ht="21" customHeight="1" x14ac:dyDescent="0.25">
      <c r="B786" s="173" t="str">
        <f t="shared" si="3"/>
        <v>WIP-304/FH-0.88X773</v>
      </c>
      <c r="C786" s="173" t="s">
        <v>16</v>
      </c>
      <c r="D786" s="173" t="s">
        <v>16</v>
      </c>
      <c r="E786" s="190" t="s">
        <v>2635</v>
      </c>
      <c r="F786" s="190" t="s">
        <v>2636</v>
      </c>
      <c r="G786" s="173">
        <v>304</v>
      </c>
      <c r="H786" s="173" t="s">
        <v>70</v>
      </c>
      <c r="I786" s="174">
        <v>2.9</v>
      </c>
      <c r="J786" s="174">
        <v>0.88</v>
      </c>
      <c r="K786" s="174"/>
      <c r="L786" s="174"/>
      <c r="M786" s="191">
        <v>773</v>
      </c>
      <c r="N786" s="176">
        <v>10.025</v>
      </c>
      <c r="O786" s="176" t="s">
        <v>114</v>
      </c>
      <c r="P786" s="177"/>
      <c r="Q786" s="178" t="s">
        <v>1506</v>
      </c>
      <c r="R786" s="179"/>
      <c r="S786" s="179"/>
      <c r="T786" s="177">
        <v>44942</v>
      </c>
      <c r="U786" s="177"/>
      <c r="V786" s="177">
        <v>44944</v>
      </c>
      <c r="W786" s="177"/>
      <c r="X786" s="177"/>
      <c r="Y786" s="177"/>
      <c r="Z786" s="177"/>
      <c r="AA786" s="177"/>
      <c r="AB786" s="177"/>
      <c r="AC786" s="177"/>
      <c r="AD786" s="180" t="s">
        <v>2448</v>
      </c>
      <c r="AE786" s="173" t="s">
        <v>69</v>
      </c>
      <c r="AF786" s="181" t="s">
        <v>142</v>
      </c>
      <c r="AG786" s="192" t="s">
        <v>1584</v>
      </c>
      <c r="AH786" s="198"/>
      <c r="AI786" s="181">
        <v>44914</v>
      </c>
      <c r="AJ786" s="181"/>
      <c r="AK786" s="181">
        <f ca="1">TODAY()</f>
        <v>44958</v>
      </c>
      <c r="AL786" s="173">
        <f t="shared" ca="1" si="0"/>
        <v>44</v>
      </c>
      <c r="AM786" s="173" t="str">
        <f t="shared" si="1"/>
        <v/>
      </c>
      <c r="AN786" s="181"/>
      <c r="AO786" s="190" t="s">
        <v>2637</v>
      </c>
      <c r="AP786" s="176">
        <v>10.025</v>
      </c>
      <c r="AQ786" s="176">
        <v>10.035</v>
      </c>
      <c r="AR786" s="176">
        <v>10.059999999999999</v>
      </c>
      <c r="AS786" s="176">
        <v>10.065</v>
      </c>
      <c r="AT786" s="173" t="str">
        <f t="shared" si="2"/>
        <v/>
      </c>
      <c r="AU786" s="173">
        <v>462</v>
      </c>
      <c r="AW786" s="142" t="s">
        <v>123</v>
      </c>
    </row>
    <row r="787" spans="2:49" s="142" customFormat="1" ht="21" customHeight="1" x14ac:dyDescent="0.25">
      <c r="B787" s="173" t="str">
        <f t="shared" si="3"/>
        <v>WIP-304L/FH-1.50X770</v>
      </c>
      <c r="C787" s="173" t="s">
        <v>16</v>
      </c>
      <c r="D787" s="173" t="s">
        <v>16</v>
      </c>
      <c r="E787" s="190" t="s">
        <v>2638</v>
      </c>
      <c r="F787" s="190" t="s">
        <v>2639</v>
      </c>
      <c r="G787" s="173" t="s">
        <v>182</v>
      </c>
      <c r="H787" s="173" t="s">
        <v>70</v>
      </c>
      <c r="I787" s="174">
        <v>3.88</v>
      </c>
      <c r="J787" s="174">
        <v>1.5</v>
      </c>
      <c r="K787" s="174"/>
      <c r="L787" s="174"/>
      <c r="M787" s="191">
        <v>770</v>
      </c>
      <c r="N787" s="176">
        <v>11.285</v>
      </c>
      <c r="O787" s="176" t="s">
        <v>114</v>
      </c>
      <c r="P787" s="177"/>
      <c r="Q787" s="178" t="s">
        <v>2640</v>
      </c>
      <c r="R787" s="179"/>
      <c r="S787" s="179"/>
      <c r="T787" s="177">
        <v>44949</v>
      </c>
      <c r="U787" s="177"/>
      <c r="V787" s="177">
        <v>44949</v>
      </c>
      <c r="W787" s="177"/>
      <c r="X787" s="177"/>
      <c r="Y787" s="177"/>
      <c r="Z787" s="177"/>
      <c r="AA787" s="177"/>
      <c r="AB787" s="177"/>
      <c r="AC787" s="177"/>
      <c r="AD787" s="180" t="s">
        <v>1643</v>
      </c>
      <c r="AE787" s="173" t="s">
        <v>69</v>
      </c>
      <c r="AF787" s="181" t="s">
        <v>142</v>
      </c>
      <c r="AG787" s="192" t="s">
        <v>1584</v>
      </c>
      <c r="AH787" s="198"/>
      <c r="AI787" s="181">
        <v>44914</v>
      </c>
      <c r="AJ787" s="181"/>
      <c r="AK787" s="181">
        <f ca="1">TODAY()</f>
        <v>44958</v>
      </c>
      <c r="AL787" s="173">
        <f t="shared" ca="1" si="0"/>
        <v>44</v>
      </c>
      <c r="AM787" s="173" t="str">
        <f t="shared" si="1"/>
        <v/>
      </c>
      <c r="AN787" s="181"/>
      <c r="AO787" s="190" t="s">
        <v>2641</v>
      </c>
      <c r="AP787" s="176">
        <v>11.28</v>
      </c>
      <c r="AQ787" s="176">
        <v>11.29</v>
      </c>
      <c r="AR787" s="176">
        <v>11.314999999999998</v>
      </c>
      <c r="AS787" s="176">
        <v>11.319999999999999</v>
      </c>
      <c r="AT787" s="173" t="str">
        <f t="shared" si="2"/>
        <v/>
      </c>
      <c r="AU787" s="173">
        <v>462</v>
      </c>
      <c r="AW787" s="142" t="s">
        <v>123</v>
      </c>
    </row>
    <row r="788" spans="2:49" s="142" customFormat="1" ht="21" customHeight="1" x14ac:dyDescent="0.25">
      <c r="B788" s="173" t="str">
        <f t="shared" si="3"/>
        <v>WIP-304L/FH-1.50X772</v>
      </c>
      <c r="C788" s="173" t="s">
        <v>16</v>
      </c>
      <c r="D788" s="173" t="s">
        <v>16</v>
      </c>
      <c r="E788" s="190" t="s">
        <v>2642</v>
      </c>
      <c r="F788" s="190" t="s">
        <v>2643</v>
      </c>
      <c r="G788" s="173" t="s">
        <v>182</v>
      </c>
      <c r="H788" s="173" t="s">
        <v>70</v>
      </c>
      <c r="I788" s="174">
        <v>3.87</v>
      </c>
      <c r="J788" s="174">
        <v>1.5</v>
      </c>
      <c r="K788" s="174"/>
      <c r="L788" s="174"/>
      <c r="M788" s="191">
        <v>772</v>
      </c>
      <c r="N788" s="176">
        <v>11.305</v>
      </c>
      <c r="O788" s="176" t="s">
        <v>114</v>
      </c>
      <c r="P788" s="177"/>
      <c r="Q788" s="178" t="s">
        <v>1506</v>
      </c>
      <c r="R788" s="179"/>
      <c r="S788" s="179"/>
      <c r="T788" s="177">
        <v>44950</v>
      </c>
      <c r="U788" s="177"/>
      <c r="V788" s="177">
        <v>44951</v>
      </c>
      <c r="W788" s="177"/>
      <c r="X788" s="177"/>
      <c r="Y788" s="177"/>
      <c r="Z788" s="177"/>
      <c r="AA788" s="177"/>
      <c r="AB788" s="177"/>
      <c r="AC788" s="177"/>
      <c r="AD788" s="180" t="s">
        <v>2448</v>
      </c>
      <c r="AE788" s="173" t="s">
        <v>69</v>
      </c>
      <c r="AF788" s="181" t="s">
        <v>142</v>
      </c>
      <c r="AG788" s="192" t="s">
        <v>1584</v>
      </c>
      <c r="AH788" s="198"/>
      <c r="AI788" s="181">
        <v>44914</v>
      </c>
      <c r="AJ788" s="181"/>
      <c r="AK788" s="181">
        <f ca="1">TODAY()</f>
        <v>44958</v>
      </c>
      <c r="AL788" s="173">
        <f t="shared" ca="1" si="0"/>
        <v>44</v>
      </c>
      <c r="AM788" s="173" t="str">
        <f t="shared" si="1"/>
        <v/>
      </c>
      <c r="AN788" s="181"/>
      <c r="AO788" s="190" t="s">
        <v>2641</v>
      </c>
      <c r="AP788" s="176">
        <v>11.315</v>
      </c>
      <c r="AQ788" s="176">
        <v>11.324999999999999</v>
      </c>
      <c r="AR788" s="176">
        <v>11.349999999999998</v>
      </c>
      <c r="AS788" s="176">
        <v>11.354999999999999</v>
      </c>
      <c r="AT788" s="173" t="str">
        <f t="shared" si="2"/>
        <v/>
      </c>
      <c r="AU788" s="173">
        <v>462</v>
      </c>
      <c r="AW788" s="142" t="s">
        <v>123</v>
      </c>
    </row>
    <row r="789" spans="2:49" s="142" customFormat="1" ht="21" customHeight="1" x14ac:dyDescent="0.25">
      <c r="B789" s="173" t="str">
        <f t="shared" si="3"/>
        <v>WIP-304/FH-1.50X768</v>
      </c>
      <c r="C789" s="173" t="s">
        <v>16</v>
      </c>
      <c r="D789" s="173" t="s">
        <v>16</v>
      </c>
      <c r="E789" s="190" t="s">
        <v>2644</v>
      </c>
      <c r="F789" s="190" t="s">
        <v>2645</v>
      </c>
      <c r="G789" s="173">
        <v>304</v>
      </c>
      <c r="H789" s="173" t="s">
        <v>70</v>
      </c>
      <c r="I789" s="174">
        <v>3.87</v>
      </c>
      <c r="J789" s="174">
        <v>1.5</v>
      </c>
      <c r="K789" s="174"/>
      <c r="L789" s="174"/>
      <c r="M789" s="191">
        <v>768</v>
      </c>
      <c r="N789" s="176">
        <v>9.36</v>
      </c>
      <c r="O789" s="176" t="s">
        <v>114</v>
      </c>
      <c r="P789" s="177"/>
      <c r="Q789" s="178" t="s">
        <v>1506</v>
      </c>
      <c r="R789" s="179"/>
      <c r="S789" s="179"/>
      <c r="T789" s="177">
        <v>44944</v>
      </c>
      <c r="U789" s="177"/>
      <c r="V789" s="177">
        <v>44944</v>
      </c>
      <c r="W789" s="177"/>
      <c r="X789" s="177"/>
      <c r="Y789" s="177"/>
      <c r="Z789" s="177"/>
      <c r="AA789" s="177"/>
      <c r="AB789" s="177"/>
      <c r="AC789" s="177"/>
      <c r="AD789" s="180" t="s">
        <v>1507</v>
      </c>
      <c r="AE789" s="173" t="s">
        <v>69</v>
      </c>
      <c r="AF789" s="181" t="s">
        <v>142</v>
      </c>
      <c r="AG789" s="192" t="s">
        <v>1584</v>
      </c>
      <c r="AH789" s="198"/>
      <c r="AI789" s="181">
        <v>44914</v>
      </c>
      <c r="AJ789" s="181"/>
      <c r="AK789" s="181">
        <f ca="1">TODAY()</f>
        <v>44958</v>
      </c>
      <c r="AL789" s="173">
        <f t="shared" ca="1" si="0"/>
        <v>44</v>
      </c>
      <c r="AM789" s="173" t="str">
        <f t="shared" si="1"/>
        <v/>
      </c>
      <c r="AN789" s="181"/>
      <c r="AO789" s="190" t="s">
        <v>2646</v>
      </c>
      <c r="AP789" s="176">
        <v>9.36</v>
      </c>
      <c r="AQ789" s="176">
        <v>9.3699999999999992</v>
      </c>
      <c r="AR789" s="176">
        <v>9.3949999999999978</v>
      </c>
      <c r="AS789" s="176">
        <v>9.3999999999999986</v>
      </c>
      <c r="AT789" s="173" t="str">
        <f t="shared" si="2"/>
        <v/>
      </c>
      <c r="AU789" s="173">
        <v>462</v>
      </c>
      <c r="AW789" s="142" t="s">
        <v>123</v>
      </c>
    </row>
    <row r="790" spans="2:49" s="142" customFormat="1" ht="21" customHeight="1" x14ac:dyDescent="0.25">
      <c r="B790" s="173" t="str">
        <f t="shared" si="3"/>
        <v>WIP-304L/FH-0.80X770</v>
      </c>
      <c r="C790" s="173" t="s">
        <v>16</v>
      </c>
      <c r="D790" s="173" t="s">
        <v>16</v>
      </c>
      <c r="E790" s="190" t="s">
        <v>2647</v>
      </c>
      <c r="F790" s="190" t="s">
        <v>2648</v>
      </c>
      <c r="G790" s="173" t="s">
        <v>182</v>
      </c>
      <c r="H790" s="173" t="s">
        <v>70</v>
      </c>
      <c r="I790" s="174">
        <v>2.95</v>
      </c>
      <c r="J790" s="174">
        <v>0.8</v>
      </c>
      <c r="K790" s="174"/>
      <c r="L790" s="174"/>
      <c r="M790" s="191">
        <v>770</v>
      </c>
      <c r="N790" s="176">
        <v>10.53</v>
      </c>
      <c r="O790" s="176" t="s">
        <v>114</v>
      </c>
      <c r="P790" s="177"/>
      <c r="Q790" s="178" t="s">
        <v>511</v>
      </c>
      <c r="R790" s="179"/>
      <c r="S790" s="179"/>
      <c r="T790" s="177">
        <v>44944</v>
      </c>
      <c r="U790" s="177"/>
      <c r="V790" s="177">
        <v>44945</v>
      </c>
      <c r="W790" s="177"/>
      <c r="X790" s="177"/>
      <c r="Y790" s="177"/>
      <c r="Z790" s="177"/>
      <c r="AA790" s="177"/>
      <c r="AB790" s="177"/>
      <c r="AC790" s="177"/>
      <c r="AD790" s="180" t="s">
        <v>2448</v>
      </c>
      <c r="AE790" s="173" t="s">
        <v>69</v>
      </c>
      <c r="AF790" s="181" t="s">
        <v>142</v>
      </c>
      <c r="AG790" s="192" t="s">
        <v>1584</v>
      </c>
      <c r="AH790" s="198"/>
      <c r="AI790" s="181">
        <v>44914</v>
      </c>
      <c r="AJ790" s="181"/>
      <c r="AK790" s="181">
        <f ca="1">TODAY()</f>
        <v>44958</v>
      </c>
      <c r="AL790" s="173">
        <f t="shared" ca="1" si="0"/>
        <v>44</v>
      </c>
      <c r="AM790" s="173" t="str">
        <f t="shared" si="1"/>
        <v/>
      </c>
      <c r="AN790" s="181"/>
      <c r="AO790" s="190" t="s">
        <v>2649</v>
      </c>
      <c r="AP790" s="176">
        <v>10.555</v>
      </c>
      <c r="AQ790" s="176">
        <v>10.565</v>
      </c>
      <c r="AR790" s="176">
        <v>10.589999999999998</v>
      </c>
      <c r="AS790" s="176">
        <v>10.594999999999999</v>
      </c>
      <c r="AT790" s="173" t="str">
        <f t="shared" si="2"/>
        <v/>
      </c>
      <c r="AU790" s="173">
        <v>462</v>
      </c>
      <c r="AW790" s="142" t="s">
        <v>123</v>
      </c>
    </row>
    <row r="791" spans="2:49" s="142" customFormat="1" ht="21" customHeight="1" x14ac:dyDescent="0.25">
      <c r="B791" s="173" t="str">
        <f t="shared" si="3"/>
        <v>WIP-304/FH-1.00X770</v>
      </c>
      <c r="C791" s="173" t="s">
        <v>16</v>
      </c>
      <c r="D791" s="173" t="s">
        <v>16</v>
      </c>
      <c r="E791" s="190" t="s">
        <v>2650</v>
      </c>
      <c r="F791" s="190" t="s">
        <v>2651</v>
      </c>
      <c r="G791" s="173">
        <v>304</v>
      </c>
      <c r="H791" s="173" t="s">
        <v>70</v>
      </c>
      <c r="I791" s="174">
        <v>2.9</v>
      </c>
      <c r="J791" s="174">
        <v>1</v>
      </c>
      <c r="K791" s="174"/>
      <c r="L791" s="174"/>
      <c r="M791" s="191">
        <v>770</v>
      </c>
      <c r="N791" s="176">
        <v>10.305</v>
      </c>
      <c r="O791" s="176" t="s">
        <v>114</v>
      </c>
      <c r="P791" s="177"/>
      <c r="Q791" s="178" t="s">
        <v>511</v>
      </c>
      <c r="R791" s="179"/>
      <c r="S791" s="179"/>
      <c r="T791" s="177">
        <v>44945</v>
      </c>
      <c r="U791" s="177"/>
      <c r="V791" s="177">
        <v>44946</v>
      </c>
      <c r="W791" s="177"/>
      <c r="X791" s="177"/>
      <c r="Y791" s="177"/>
      <c r="Z791" s="177"/>
      <c r="AA791" s="177"/>
      <c r="AB791" s="177"/>
      <c r="AC791" s="177"/>
      <c r="AD791" s="180" t="s">
        <v>1605</v>
      </c>
      <c r="AE791" s="173" t="s">
        <v>69</v>
      </c>
      <c r="AF791" s="181" t="s">
        <v>142</v>
      </c>
      <c r="AG791" s="192" t="s">
        <v>1584</v>
      </c>
      <c r="AH791" s="198"/>
      <c r="AI791" s="181">
        <v>44914</v>
      </c>
      <c r="AJ791" s="181"/>
      <c r="AK791" s="181">
        <f ca="1">TODAY()</f>
        <v>44958</v>
      </c>
      <c r="AL791" s="173">
        <f t="shared" ca="1" si="0"/>
        <v>44</v>
      </c>
      <c r="AM791" s="173" t="str">
        <f t="shared" si="1"/>
        <v/>
      </c>
      <c r="AN791" s="181"/>
      <c r="AO791" s="190" t="s">
        <v>2652</v>
      </c>
      <c r="AP791" s="176">
        <v>10.31</v>
      </c>
      <c r="AQ791" s="176">
        <v>10.32</v>
      </c>
      <c r="AR791" s="176">
        <v>10.344999999999999</v>
      </c>
      <c r="AS791" s="176">
        <v>10.35</v>
      </c>
      <c r="AT791" s="173" t="str">
        <f t="shared" si="2"/>
        <v/>
      </c>
      <c r="AU791" s="173">
        <v>462</v>
      </c>
      <c r="AW791" s="142" t="s">
        <v>123</v>
      </c>
    </row>
    <row r="792" spans="2:49" s="142" customFormat="1" ht="21" customHeight="1" x14ac:dyDescent="0.25">
      <c r="B792" s="173" t="str">
        <f t="shared" si="3"/>
        <v>WIP-304/FH-1.00X768</v>
      </c>
      <c r="C792" s="173" t="s">
        <v>16</v>
      </c>
      <c r="D792" s="173" t="s">
        <v>16</v>
      </c>
      <c r="E792" s="190" t="s">
        <v>2653</v>
      </c>
      <c r="F792" s="190" t="s">
        <v>2654</v>
      </c>
      <c r="G792" s="173">
        <v>304</v>
      </c>
      <c r="H792" s="173" t="s">
        <v>70</v>
      </c>
      <c r="I792" s="174">
        <v>2.9</v>
      </c>
      <c r="J792" s="174">
        <v>1</v>
      </c>
      <c r="K792" s="174"/>
      <c r="L792" s="174"/>
      <c r="M792" s="191">
        <v>768</v>
      </c>
      <c r="N792" s="176">
        <v>10.335000000000001</v>
      </c>
      <c r="O792" s="176" t="s">
        <v>114</v>
      </c>
      <c r="P792" s="177"/>
      <c r="Q792" s="178" t="s">
        <v>511</v>
      </c>
      <c r="R792" s="179"/>
      <c r="S792" s="179"/>
      <c r="T792" s="177">
        <v>44946</v>
      </c>
      <c r="U792" s="177"/>
      <c r="V792" s="177">
        <v>44947</v>
      </c>
      <c r="W792" s="177"/>
      <c r="X792" s="177"/>
      <c r="Y792" s="177"/>
      <c r="Z792" s="177"/>
      <c r="AA792" s="177"/>
      <c r="AB792" s="177"/>
      <c r="AC792" s="177"/>
      <c r="AD792" s="180" t="s">
        <v>1605</v>
      </c>
      <c r="AE792" s="173" t="s">
        <v>69</v>
      </c>
      <c r="AF792" s="181" t="s">
        <v>142</v>
      </c>
      <c r="AG792" s="192" t="s">
        <v>1584</v>
      </c>
      <c r="AH792" s="198"/>
      <c r="AI792" s="181">
        <v>44914</v>
      </c>
      <c r="AJ792" s="181"/>
      <c r="AK792" s="181">
        <f ca="1">TODAY()</f>
        <v>44958</v>
      </c>
      <c r="AL792" s="173">
        <f t="shared" ca="1" si="0"/>
        <v>44</v>
      </c>
      <c r="AM792" s="173" t="str">
        <f t="shared" si="1"/>
        <v/>
      </c>
      <c r="AN792" s="181"/>
      <c r="AO792" s="190" t="s">
        <v>2652</v>
      </c>
      <c r="AP792" s="176">
        <v>10.324999999999999</v>
      </c>
      <c r="AQ792" s="176">
        <v>10.335000000000001</v>
      </c>
      <c r="AR792" s="176">
        <v>10.36</v>
      </c>
      <c r="AS792" s="176">
        <v>10.365</v>
      </c>
      <c r="AT792" s="173" t="str">
        <f t="shared" si="2"/>
        <v/>
      </c>
      <c r="AU792" s="173">
        <v>462</v>
      </c>
      <c r="AW792" s="142" t="s">
        <v>123</v>
      </c>
    </row>
    <row r="793" spans="2:49" s="142" customFormat="1" ht="21" customHeight="1" x14ac:dyDescent="0.25">
      <c r="B793" s="173" t="str">
        <f t="shared" si="3"/>
        <v>RM-304/1D-3.93X770</v>
      </c>
      <c r="C793" s="173" t="s">
        <v>48</v>
      </c>
      <c r="D793" s="173" t="s">
        <v>48</v>
      </c>
      <c r="E793" s="190" t="s">
        <v>2655</v>
      </c>
      <c r="F793" s="190" t="s">
        <v>2656</v>
      </c>
      <c r="G793" s="173">
        <v>304</v>
      </c>
      <c r="H793" s="173" t="s">
        <v>127</v>
      </c>
      <c r="I793" s="174">
        <v>3.93</v>
      </c>
      <c r="J793" s="174"/>
      <c r="K793" s="174"/>
      <c r="L793" s="174"/>
      <c r="M793" s="191">
        <v>770</v>
      </c>
      <c r="N793" s="176">
        <v>10.515000000000001</v>
      </c>
      <c r="O793" s="176"/>
      <c r="P793" s="177"/>
      <c r="Q793" s="178"/>
      <c r="R793" s="179"/>
      <c r="S793" s="179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80" t="s">
        <v>1643</v>
      </c>
      <c r="AE793" s="173" t="s">
        <v>69</v>
      </c>
      <c r="AF793" s="181" t="s">
        <v>142</v>
      </c>
      <c r="AG793" s="192" t="s">
        <v>1584</v>
      </c>
      <c r="AH793" s="198"/>
      <c r="AI793" s="181">
        <v>44914</v>
      </c>
      <c r="AJ793" s="181"/>
      <c r="AK793" s="181">
        <f ca="1">TODAY()</f>
        <v>44958</v>
      </c>
      <c r="AL793" s="173">
        <f t="shared" ca="1" si="0"/>
        <v>44</v>
      </c>
      <c r="AM793" s="173" t="str">
        <f t="shared" si="1"/>
        <v/>
      </c>
      <c r="AN793" s="181"/>
      <c r="AO793" s="190" t="s">
        <v>2657</v>
      </c>
      <c r="AP793" s="176">
        <v>10.515000000000001</v>
      </c>
      <c r="AQ793" s="176">
        <v>10.525</v>
      </c>
      <c r="AR793" s="176">
        <v>10.549999999999999</v>
      </c>
      <c r="AS793" s="176">
        <v>10.555</v>
      </c>
      <c r="AT793" s="173" t="str">
        <f t="shared" si="2"/>
        <v/>
      </c>
      <c r="AU793" s="173">
        <v>462</v>
      </c>
      <c r="AW793" s="142" t="s">
        <v>123</v>
      </c>
    </row>
    <row r="794" spans="2:49" s="142" customFormat="1" ht="21" customHeight="1" x14ac:dyDescent="0.25">
      <c r="B794" s="173" t="str">
        <f t="shared" si="3"/>
        <v>RM-304/1D-3.93X772</v>
      </c>
      <c r="C794" s="173" t="s">
        <v>48</v>
      </c>
      <c r="D794" s="173" t="s">
        <v>48</v>
      </c>
      <c r="E794" s="190" t="s">
        <v>2658</v>
      </c>
      <c r="F794" s="190" t="s">
        <v>2659</v>
      </c>
      <c r="G794" s="173">
        <v>304</v>
      </c>
      <c r="H794" s="173" t="s">
        <v>127</v>
      </c>
      <c r="I794" s="174">
        <v>3.93</v>
      </c>
      <c r="J794" s="174"/>
      <c r="K794" s="174"/>
      <c r="L794" s="174"/>
      <c r="M794" s="191">
        <v>772</v>
      </c>
      <c r="N794" s="176">
        <v>10.51</v>
      </c>
      <c r="O794" s="176"/>
      <c r="P794" s="177"/>
      <c r="Q794" s="178"/>
      <c r="R794" s="179"/>
      <c r="S794" s="179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80" t="s">
        <v>1643</v>
      </c>
      <c r="AE794" s="173" t="s">
        <v>69</v>
      </c>
      <c r="AF794" s="181" t="s">
        <v>142</v>
      </c>
      <c r="AG794" s="192" t="s">
        <v>1584</v>
      </c>
      <c r="AH794" s="198"/>
      <c r="AI794" s="181">
        <v>44914</v>
      </c>
      <c r="AJ794" s="181"/>
      <c r="AK794" s="181">
        <f ca="1">TODAY()</f>
        <v>44958</v>
      </c>
      <c r="AL794" s="173">
        <f t="shared" ca="1" si="0"/>
        <v>44</v>
      </c>
      <c r="AM794" s="173" t="str">
        <f t="shared" si="1"/>
        <v/>
      </c>
      <c r="AN794" s="181"/>
      <c r="AO794" s="190" t="s">
        <v>2657</v>
      </c>
      <c r="AP794" s="176">
        <v>10.51</v>
      </c>
      <c r="AQ794" s="176">
        <v>10.52</v>
      </c>
      <c r="AR794" s="176">
        <v>10.544999999999998</v>
      </c>
      <c r="AS794" s="176">
        <v>10.549999999999999</v>
      </c>
      <c r="AT794" s="173" t="str">
        <f t="shared" si="2"/>
        <v/>
      </c>
      <c r="AU794" s="173">
        <v>462</v>
      </c>
      <c r="AW794" s="142" t="s">
        <v>123</v>
      </c>
    </row>
    <row r="795" spans="2:49" s="142" customFormat="1" ht="21" customHeight="1" x14ac:dyDescent="0.25">
      <c r="B795" s="173" t="str">
        <f t="shared" si="3"/>
        <v>WIP-304L/FH-0.90X770</v>
      </c>
      <c r="C795" s="173" t="s">
        <v>16</v>
      </c>
      <c r="D795" s="173" t="s">
        <v>16</v>
      </c>
      <c r="E795" s="190" t="s">
        <v>2660</v>
      </c>
      <c r="F795" s="190" t="s">
        <v>2661</v>
      </c>
      <c r="G795" s="173" t="s">
        <v>182</v>
      </c>
      <c r="H795" s="173" t="s">
        <v>70</v>
      </c>
      <c r="I795" s="174">
        <v>2.79</v>
      </c>
      <c r="J795" s="174">
        <v>0.9</v>
      </c>
      <c r="K795" s="174"/>
      <c r="L795" s="174"/>
      <c r="M795" s="191">
        <v>770</v>
      </c>
      <c r="N795" s="176">
        <v>10.365</v>
      </c>
      <c r="O795" s="176" t="s">
        <v>114</v>
      </c>
      <c r="P795" s="177"/>
      <c r="Q795" s="178" t="s">
        <v>1540</v>
      </c>
      <c r="R795" s="179"/>
      <c r="S795" s="179"/>
      <c r="T795" s="177">
        <v>44947</v>
      </c>
      <c r="U795" s="177"/>
      <c r="V795" s="177">
        <v>44948</v>
      </c>
      <c r="W795" s="177"/>
      <c r="X795" s="177"/>
      <c r="Y795" s="177"/>
      <c r="Z795" s="177"/>
      <c r="AA795" s="177"/>
      <c r="AB795" s="177"/>
      <c r="AC795" s="177"/>
      <c r="AD795" s="180" t="s">
        <v>1605</v>
      </c>
      <c r="AE795" s="173" t="s">
        <v>69</v>
      </c>
      <c r="AF795" s="181" t="s">
        <v>142</v>
      </c>
      <c r="AG795" s="192" t="s">
        <v>1584</v>
      </c>
      <c r="AH795" s="198"/>
      <c r="AI795" s="181">
        <v>44914</v>
      </c>
      <c r="AJ795" s="181"/>
      <c r="AK795" s="181">
        <f ca="1">TODAY()</f>
        <v>44958</v>
      </c>
      <c r="AL795" s="173">
        <f t="shared" ca="1" si="0"/>
        <v>44</v>
      </c>
      <c r="AM795" s="173" t="str">
        <f t="shared" si="1"/>
        <v/>
      </c>
      <c r="AN795" s="181"/>
      <c r="AO795" s="190" t="s">
        <v>2662</v>
      </c>
      <c r="AP795" s="176">
        <v>10.37</v>
      </c>
      <c r="AQ795" s="176">
        <v>10.38</v>
      </c>
      <c r="AR795" s="176">
        <v>10.404999999999999</v>
      </c>
      <c r="AS795" s="176">
        <v>10.41</v>
      </c>
      <c r="AT795" s="173" t="str">
        <f t="shared" si="2"/>
        <v/>
      </c>
      <c r="AU795" s="173">
        <v>462</v>
      </c>
      <c r="AW795" s="142" t="s">
        <v>123</v>
      </c>
    </row>
    <row r="796" spans="2:49" s="142" customFormat="1" ht="21" customHeight="1" x14ac:dyDescent="0.25">
      <c r="B796" s="173" t="str">
        <f t="shared" si="3"/>
        <v>RM-304L/1D-2.78X772</v>
      </c>
      <c r="C796" s="173" t="s">
        <v>48</v>
      </c>
      <c r="D796" s="173" t="s">
        <v>48</v>
      </c>
      <c r="E796" s="190" t="s">
        <v>2663</v>
      </c>
      <c r="F796" s="190" t="s">
        <v>2664</v>
      </c>
      <c r="G796" s="173" t="s">
        <v>182</v>
      </c>
      <c r="H796" s="173" t="s">
        <v>127</v>
      </c>
      <c r="I796" s="174">
        <v>2.78</v>
      </c>
      <c r="J796" s="174"/>
      <c r="K796" s="174"/>
      <c r="L796" s="174"/>
      <c r="M796" s="191">
        <v>772</v>
      </c>
      <c r="N796" s="176">
        <v>10.435</v>
      </c>
      <c r="O796" s="176"/>
      <c r="P796" s="177"/>
      <c r="Q796" s="178"/>
      <c r="R796" s="179"/>
      <c r="S796" s="179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80" t="s">
        <v>1643</v>
      </c>
      <c r="AE796" s="173" t="s">
        <v>69</v>
      </c>
      <c r="AF796" s="181" t="s">
        <v>142</v>
      </c>
      <c r="AG796" s="192" t="s">
        <v>1584</v>
      </c>
      <c r="AH796" s="198"/>
      <c r="AI796" s="181">
        <v>44914</v>
      </c>
      <c r="AJ796" s="181"/>
      <c r="AK796" s="181">
        <f ca="1">TODAY()</f>
        <v>44958</v>
      </c>
      <c r="AL796" s="173">
        <f t="shared" ca="1" si="0"/>
        <v>44</v>
      </c>
      <c r="AM796" s="173" t="str">
        <f t="shared" si="1"/>
        <v/>
      </c>
      <c r="AN796" s="181"/>
      <c r="AO796" s="190" t="s">
        <v>2662</v>
      </c>
      <c r="AP796" s="176">
        <v>10.435</v>
      </c>
      <c r="AQ796" s="176">
        <v>10.445</v>
      </c>
      <c r="AR796" s="176">
        <v>10.469999999999999</v>
      </c>
      <c r="AS796" s="176">
        <v>10.475</v>
      </c>
      <c r="AT796" s="173" t="str">
        <f t="shared" si="2"/>
        <v/>
      </c>
      <c r="AU796" s="173">
        <v>462</v>
      </c>
      <c r="AW796" s="142" t="s">
        <v>123</v>
      </c>
    </row>
    <row r="797" spans="2:49" s="142" customFormat="1" ht="21" customHeight="1" x14ac:dyDescent="0.25">
      <c r="B797" s="173" t="str">
        <f t="shared" si="3"/>
        <v>WIP-304/2B-1.00X770</v>
      </c>
      <c r="C797" s="173" t="s">
        <v>775</v>
      </c>
      <c r="D797" s="173" t="s">
        <v>776</v>
      </c>
      <c r="E797" s="190" t="s">
        <v>2665</v>
      </c>
      <c r="F797" s="190" t="s">
        <v>2666</v>
      </c>
      <c r="G797" s="173">
        <v>304</v>
      </c>
      <c r="H797" s="173" t="s">
        <v>114</v>
      </c>
      <c r="I797" s="174">
        <v>2.89</v>
      </c>
      <c r="J797" s="174">
        <v>1</v>
      </c>
      <c r="K797" s="174">
        <v>0.99</v>
      </c>
      <c r="L797" s="174">
        <v>1.01</v>
      </c>
      <c r="M797" s="191">
        <v>770</v>
      </c>
      <c r="N797" s="176">
        <v>2.4</v>
      </c>
      <c r="O797" s="176" t="s">
        <v>114</v>
      </c>
      <c r="P797" s="177"/>
      <c r="Q797" s="178" t="s">
        <v>511</v>
      </c>
      <c r="R797" s="179"/>
      <c r="S797" s="179"/>
      <c r="T797" s="177">
        <v>44944</v>
      </c>
      <c r="U797" s="177"/>
      <c r="V797" s="177">
        <v>44945</v>
      </c>
      <c r="W797" s="177"/>
      <c r="X797" s="177"/>
      <c r="Y797" s="177">
        <v>44949</v>
      </c>
      <c r="Z797" s="177"/>
      <c r="AA797" s="177">
        <v>44951</v>
      </c>
      <c r="AB797" s="177"/>
      <c r="AC797" s="177"/>
      <c r="AD797" s="180" t="s">
        <v>2448</v>
      </c>
      <c r="AE797" s="173" t="s">
        <v>69</v>
      </c>
      <c r="AF797" s="181" t="s">
        <v>142</v>
      </c>
      <c r="AG797" s="192" t="s">
        <v>1584</v>
      </c>
      <c r="AH797" s="198"/>
      <c r="AI797" s="181">
        <v>44914</v>
      </c>
      <c r="AJ797" s="181"/>
      <c r="AK797" s="181">
        <f ca="1">TODAY()</f>
        <v>44958</v>
      </c>
      <c r="AL797" s="173">
        <f t="shared" ca="1" si="0"/>
        <v>44</v>
      </c>
      <c r="AM797" s="173" t="str">
        <f t="shared" si="1"/>
        <v/>
      </c>
      <c r="AN797" s="181"/>
      <c r="AO797" s="190" t="s">
        <v>2667</v>
      </c>
      <c r="AP797" s="176">
        <v>10.525</v>
      </c>
      <c r="AQ797" s="176">
        <v>10.535</v>
      </c>
      <c r="AR797" s="176">
        <v>10.559999999999999</v>
      </c>
      <c r="AS797" s="176">
        <v>10.565</v>
      </c>
      <c r="AT797" s="173" t="str">
        <f t="shared" si="2"/>
        <v/>
      </c>
      <c r="AU797" s="173">
        <v>462</v>
      </c>
      <c r="AW797" s="142" t="s">
        <v>123</v>
      </c>
    </row>
    <row r="798" spans="2:49" s="142" customFormat="1" ht="21" customHeight="1" x14ac:dyDescent="0.25">
      <c r="B798" s="173" t="str">
        <f t="shared" si="3"/>
        <v>WIP-304/FH-1.00X773</v>
      </c>
      <c r="C798" s="173" t="s">
        <v>16</v>
      </c>
      <c r="D798" s="173" t="s">
        <v>16</v>
      </c>
      <c r="E798" s="190" t="s">
        <v>2668</v>
      </c>
      <c r="F798" s="190" t="s">
        <v>2669</v>
      </c>
      <c r="G798" s="173">
        <v>304</v>
      </c>
      <c r="H798" s="173" t="s">
        <v>70</v>
      </c>
      <c r="I798" s="174">
        <v>2.89</v>
      </c>
      <c r="J798" s="174">
        <v>1</v>
      </c>
      <c r="K798" s="174"/>
      <c r="L798" s="174"/>
      <c r="M798" s="191">
        <v>773</v>
      </c>
      <c r="N798" s="176">
        <v>10.58</v>
      </c>
      <c r="O798" s="176" t="s">
        <v>114</v>
      </c>
      <c r="P798" s="177"/>
      <c r="Q798" s="178" t="s">
        <v>1540</v>
      </c>
      <c r="R798" s="179"/>
      <c r="S798" s="179"/>
      <c r="T798" s="177">
        <v>44949</v>
      </c>
      <c r="U798" s="177"/>
      <c r="V798" s="177">
        <v>44949</v>
      </c>
      <c r="W798" s="177"/>
      <c r="X798" s="177"/>
      <c r="Y798" s="177"/>
      <c r="Z798" s="177"/>
      <c r="AA798" s="177"/>
      <c r="AB798" s="177"/>
      <c r="AC798" s="177"/>
      <c r="AD798" s="180" t="s">
        <v>1605</v>
      </c>
      <c r="AE798" s="173" t="s">
        <v>69</v>
      </c>
      <c r="AF798" s="181" t="s">
        <v>142</v>
      </c>
      <c r="AG798" s="192" t="s">
        <v>1584</v>
      </c>
      <c r="AH798" s="198"/>
      <c r="AI798" s="181">
        <v>44914</v>
      </c>
      <c r="AJ798" s="181"/>
      <c r="AK798" s="181">
        <f ca="1">TODAY()</f>
        <v>44958</v>
      </c>
      <c r="AL798" s="173">
        <f t="shared" ca="1" si="0"/>
        <v>44</v>
      </c>
      <c r="AM798" s="173" t="str">
        <f t="shared" si="1"/>
        <v/>
      </c>
      <c r="AN798" s="181"/>
      <c r="AO798" s="190" t="s">
        <v>2667</v>
      </c>
      <c r="AP798" s="176">
        <v>10.574999999999999</v>
      </c>
      <c r="AQ798" s="176">
        <v>10.585000000000001</v>
      </c>
      <c r="AR798" s="176">
        <v>10.61</v>
      </c>
      <c r="AS798" s="176">
        <v>10.615</v>
      </c>
      <c r="AT798" s="173" t="str">
        <f t="shared" si="2"/>
        <v/>
      </c>
      <c r="AU798" s="173">
        <v>462</v>
      </c>
      <c r="AW798" s="142" t="s">
        <v>123</v>
      </c>
    </row>
    <row r="799" spans="2:49" s="142" customFormat="1" ht="21" customHeight="1" x14ac:dyDescent="0.25">
      <c r="B799" s="173" t="str">
        <f t="shared" si="3"/>
        <v>RM-304L/1D-3.93X770</v>
      </c>
      <c r="C799" s="173" t="s">
        <v>48</v>
      </c>
      <c r="D799" s="173" t="s">
        <v>48</v>
      </c>
      <c r="E799" s="190" t="s">
        <v>2670</v>
      </c>
      <c r="F799" s="190" t="s">
        <v>2671</v>
      </c>
      <c r="G799" s="173" t="s">
        <v>182</v>
      </c>
      <c r="H799" s="173" t="s">
        <v>127</v>
      </c>
      <c r="I799" s="174">
        <v>3.93</v>
      </c>
      <c r="J799" s="174"/>
      <c r="K799" s="174"/>
      <c r="L799" s="174"/>
      <c r="M799" s="191">
        <v>770</v>
      </c>
      <c r="N799" s="176">
        <v>10.285</v>
      </c>
      <c r="O799" s="176"/>
      <c r="P799" s="177"/>
      <c r="Q799" s="178"/>
      <c r="R799" s="179"/>
      <c r="S799" s="179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80" t="s">
        <v>1643</v>
      </c>
      <c r="AE799" s="173" t="s">
        <v>69</v>
      </c>
      <c r="AF799" s="181" t="s">
        <v>142</v>
      </c>
      <c r="AG799" s="192" t="s">
        <v>1584</v>
      </c>
      <c r="AH799" s="198"/>
      <c r="AI799" s="181">
        <v>44914</v>
      </c>
      <c r="AJ799" s="181"/>
      <c r="AK799" s="181">
        <f ca="1">TODAY()</f>
        <v>44958</v>
      </c>
      <c r="AL799" s="173">
        <f t="shared" ca="1" si="0"/>
        <v>44</v>
      </c>
      <c r="AM799" s="173" t="str">
        <f t="shared" si="1"/>
        <v/>
      </c>
      <c r="AN799" s="181"/>
      <c r="AO799" s="190" t="s">
        <v>2672</v>
      </c>
      <c r="AP799" s="176">
        <v>10.285</v>
      </c>
      <c r="AQ799" s="176">
        <v>10.295</v>
      </c>
      <c r="AR799" s="176">
        <v>10.319999999999999</v>
      </c>
      <c r="AS799" s="176">
        <v>10.324999999999999</v>
      </c>
      <c r="AT799" s="173" t="str">
        <f t="shared" si="2"/>
        <v/>
      </c>
      <c r="AU799" s="173">
        <v>462</v>
      </c>
      <c r="AW799" s="142" t="s">
        <v>123</v>
      </c>
    </row>
    <row r="800" spans="2:49" s="142" customFormat="1" ht="21" customHeight="1" x14ac:dyDescent="0.25">
      <c r="B800" s="173" t="str">
        <f t="shared" si="3"/>
        <v>RM-304L/1D-3.93X765</v>
      </c>
      <c r="C800" s="173" t="s">
        <v>48</v>
      </c>
      <c r="D800" s="173" t="s">
        <v>48</v>
      </c>
      <c r="E800" s="190" t="s">
        <v>2673</v>
      </c>
      <c r="F800" s="190" t="s">
        <v>2674</v>
      </c>
      <c r="G800" s="173" t="s">
        <v>182</v>
      </c>
      <c r="H800" s="173" t="s">
        <v>127</v>
      </c>
      <c r="I800" s="174">
        <v>3.93</v>
      </c>
      <c r="J800" s="174"/>
      <c r="K800" s="174"/>
      <c r="L800" s="174"/>
      <c r="M800" s="191">
        <v>765</v>
      </c>
      <c r="N800" s="176">
        <v>10.19</v>
      </c>
      <c r="O800" s="176"/>
      <c r="P800" s="177"/>
      <c r="Q800" s="178"/>
      <c r="R800" s="179"/>
      <c r="S800" s="179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80" t="s">
        <v>1643</v>
      </c>
      <c r="AE800" s="173" t="s">
        <v>69</v>
      </c>
      <c r="AF800" s="181" t="s">
        <v>142</v>
      </c>
      <c r="AG800" s="192" t="s">
        <v>1584</v>
      </c>
      <c r="AH800" s="198"/>
      <c r="AI800" s="181">
        <v>44914</v>
      </c>
      <c r="AJ800" s="181"/>
      <c r="AK800" s="181">
        <f ca="1">TODAY()</f>
        <v>44958</v>
      </c>
      <c r="AL800" s="173">
        <f t="shared" ca="1" si="0"/>
        <v>44</v>
      </c>
      <c r="AM800" s="173" t="str">
        <f t="shared" si="1"/>
        <v/>
      </c>
      <c r="AN800" s="181"/>
      <c r="AO800" s="190" t="s">
        <v>2672</v>
      </c>
      <c r="AP800" s="176">
        <v>10.19</v>
      </c>
      <c r="AQ800" s="176">
        <v>10.199999999999999</v>
      </c>
      <c r="AR800" s="176">
        <v>10.224999999999998</v>
      </c>
      <c r="AS800" s="176">
        <v>10.229999999999999</v>
      </c>
      <c r="AT800" s="173" t="str">
        <f t="shared" si="2"/>
        <v/>
      </c>
      <c r="AU800" s="173">
        <v>462</v>
      </c>
      <c r="AW800" s="142" t="s">
        <v>123</v>
      </c>
    </row>
    <row r="801" spans="2:49" s="142" customFormat="1" ht="21" customHeight="1" x14ac:dyDescent="0.25">
      <c r="B801" s="173" t="str">
        <f t="shared" si="3"/>
        <v>WIP-304L/FH-0.95X774</v>
      </c>
      <c r="C801" s="173" t="s">
        <v>16</v>
      </c>
      <c r="D801" s="173" t="s">
        <v>16</v>
      </c>
      <c r="E801" s="190" t="s">
        <v>2675</v>
      </c>
      <c r="F801" s="190" t="s">
        <v>2676</v>
      </c>
      <c r="G801" s="173" t="s">
        <v>182</v>
      </c>
      <c r="H801" s="173" t="s">
        <v>70</v>
      </c>
      <c r="I801" s="174">
        <v>2.95</v>
      </c>
      <c r="J801" s="174">
        <v>0.95</v>
      </c>
      <c r="K801" s="174"/>
      <c r="L801" s="174"/>
      <c r="M801" s="191">
        <v>774</v>
      </c>
      <c r="N801" s="176">
        <f>9.125-3.68</f>
        <v>5.4450000000000003</v>
      </c>
      <c r="O801" s="176" t="s">
        <v>114</v>
      </c>
      <c r="P801" s="177"/>
      <c r="Q801" s="178" t="s">
        <v>1344</v>
      </c>
      <c r="R801" s="179"/>
      <c r="S801" s="179"/>
      <c r="T801" s="177">
        <v>44919</v>
      </c>
      <c r="U801" s="177"/>
      <c r="V801" s="177">
        <v>44919</v>
      </c>
      <c r="W801" s="177"/>
      <c r="X801" s="177"/>
      <c r="Y801" s="177"/>
      <c r="Z801" s="177"/>
      <c r="AA801" s="177"/>
      <c r="AB801" s="177"/>
      <c r="AC801" s="177"/>
      <c r="AD801" s="180" t="s">
        <v>2479</v>
      </c>
      <c r="AE801" s="173" t="s">
        <v>69</v>
      </c>
      <c r="AF801" s="181" t="s">
        <v>142</v>
      </c>
      <c r="AG801" s="192" t="s">
        <v>1584</v>
      </c>
      <c r="AH801" s="198"/>
      <c r="AI801" s="181">
        <v>44914</v>
      </c>
      <c r="AJ801" s="181"/>
      <c r="AK801" s="181">
        <f ca="1">TODAY()</f>
        <v>44958</v>
      </c>
      <c r="AL801" s="173">
        <f t="shared" ca="1" si="0"/>
        <v>44</v>
      </c>
      <c r="AM801" s="173" t="str">
        <f t="shared" si="1"/>
        <v/>
      </c>
      <c r="AN801" s="181"/>
      <c r="AO801" s="190" t="s">
        <v>2677</v>
      </c>
      <c r="AP801" s="176">
        <v>9.15</v>
      </c>
      <c r="AQ801" s="176">
        <v>9.16</v>
      </c>
      <c r="AR801" s="176">
        <v>9.1849999999999987</v>
      </c>
      <c r="AS801" s="176">
        <v>9.19</v>
      </c>
      <c r="AT801" s="173" t="str">
        <f t="shared" si="2"/>
        <v/>
      </c>
      <c r="AU801" s="173">
        <v>462</v>
      </c>
      <c r="AW801" s="142" t="s">
        <v>123</v>
      </c>
    </row>
    <row r="802" spans="2:49" s="142" customFormat="1" ht="21" customHeight="1" x14ac:dyDescent="0.25">
      <c r="B802" s="173" t="str">
        <f t="shared" si="3"/>
        <v>RM-304L/1D-3.90X635</v>
      </c>
      <c r="C802" s="173" t="s">
        <v>48</v>
      </c>
      <c r="D802" s="173" t="s">
        <v>48</v>
      </c>
      <c r="E802" s="190" t="s">
        <v>2678</v>
      </c>
      <c r="F802" s="190" t="s">
        <v>2679</v>
      </c>
      <c r="G802" s="173" t="s">
        <v>182</v>
      </c>
      <c r="H802" s="173" t="s">
        <v>127</v>
      </c>
      <c r="I802" s="174">
        <v>3.9</v>
      </c>
      <c r="J802" s="174"/>
      <c r="K802" s="174"/>
      <c r="L802" s="174"/>
      <c r="M802" s="191">
        <v>635</v>
      </c>
      <c r="N802" s="176">
        <v>10.195</v>
      </c>
      <c r="O802" s="176"/>
      <c r="P802" s="177"/>
      <c r="Q802" s="178"/>
      <c r="R802" s="179"/>
      <c r="S802" s="179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80" t="s">
        <v>2522</v>
      </c>
      <c r="AE802" s="173" t="s">
        <v>69</v>
      </c>
      <c r="AF802" s="181" t="s">
        <v>142</v>
      </c>
      <c r="AG802" s="192" t="s">
        <v>1584</v>
      </c>
      <c r="AH802" s="198"/>
      <c r="AI802" s="181">
        <v>44914</v>
      </c>
      <c r="AJ802" s="181"/>
      <c r="AK802" s="181">
        <f ca="1">TODAY()</f>
        <v>44958</v>
      </c>
      <c r="AL802" s="173">
        <f t="shared" ca="1" si="0"/>
        <v>44</v>
      </c>
      <c r="AM802" s="173" t="str">
        <f t="shared" si="1"/>
        <v/>
      </c>
      <c r="AN802" s="181"/>
      <c r="AO802" s="190" t="s">
        <v>2680</v>
      </c>
      <c r="AP802" s="176">
        <v>10.195</v>
      </c>
      <c r="AQ802" s="176">
        <v>10.205</v>
      </c>
      <c r="AR802" s="176">
        <v>10.229999999999999</v>
      </c>
      <c r="AS802" s="176">
        <v>10.234999999999999</v>
      </c>
      <c r="AT802" s="173" t="str">
        <f t="shared" si="2"/>
        <v/>
      </c>
      <c r="AU802" s="173">
        <v>462</v>
      </c>
      <c r="AW802" s="142" t="s">
        <v>123</v>
      </c>
    </row>
    <row r="803" spans="2:49" s="142" customFormat="1" ht="21" customHeight="1" x14ac:dyDescent="0.25">
      <c r="B803" s="173" t="str">
        <f t="shared" si="3"/>
        <v>RM-304L/1D-3.90X639</v>
      </c>
      <c r="C803" s="173" t="s">
        <v>48</v>
      </c>
      <c r="D803" s="173" t="s">
        <v>48</v>
      </c>
      <c r="E803" s="190" t="s">
        <v>2681</v>
      </c>
      <c r="F803" s="190" t="s">
        <v>2682</v>
      </c>
      <c r="G803" s="173" t="s">
        <v>182</v>
      </c>
      <c r="H803" s="173" t="s">
        <v>127</v>
      </c>
      <c r="I803" s="174">
        <v>3.9</v>
      </c>
      <c r="J803" s="174"/>
      <c r="K803" s="174"/>
      <c r="L803" s="174"/>
      <c r="M803" s="191">
        <v>639</v>
      </c>
      <c r="N803" s="176">
        <v>10.275</v>
      </c>
      <c r="O803" s="176"/>
      <c r="P803" s="177"/>
      <c r="Q803" s="178"/>
      <c r="R803" s="179"/>
      <c r="S803" s="179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80" t="s">
        <v>2522</v>
      </c>
      <c r="AE803" s="173" t="s">
        <v>69</v>
      </c>
      <c r="AF803" s="181" t="s">
        <v>142</v>
      </c>
      <c r="AG803" s="192" t="s">
        <v>1584</v>
      </c>
      <c r="AH803" s="198"/>
      <c r="AI803" s="181">
        <v>44914</v>
      </c>
      <c r="AJ803" s="181"/>
      <c r="AK803" s="181">
        <f ca="1">TODAY()</f>
        <v>44958</v>
      </c>
      <c r="AL803" s="173">
        <f t="shared" ca="1" si="0"/>
        <v>44</v>
      </c>
      <c r="AM803" s="173" t="str">
        <f t="shared" si="1"/>
        <v/>
      </c>
      <c r="AN803" s="181"/>
      <c r="AO803" s="190" t="s">
        <v>2680</v>
      </c>
      <c r="AP803" s="176">
        <v>10.275</v>
      </c>
      <c r="AQ803" s="176">
        <v>10.285</v>
      </c>
      <c r="AR803" s="176">
        <v>10.309999999999999</v>
      </c>
      <c r="AS803" s="176">
        <v>10.315</v>
      </c>
      <c r="AT803" s="173" t="str">
        <f t="shared" si="2"/>
        <v/>
      </c>
      <c r="AU803" s="173">
        <v>462</v>
      </c>
      <c r="AW803" s="142" t="s">
        <v>123</v>
      </c>
    </row>
    <row r="804" spans="2:49" s="142" customFormat="1" ht="21" customHeight="1" x14ac:dyDescent="0.25">
      <c r="B804" s="173" t="str">
        <f t="shared" si="3"/>
        <v>RM-304L/1D-3.88X635</v>
      </c>
      <c r="C804" s="173" t="s">
        <v>48</v>
      </c>
      <c r="D804" s="173" t="s">
        <v>48</v>
      </c>
      <c r="E804" s="190" t="s">
        <v>2683</v>
      </c>
      <c r="F804" s="190" t="s">
        <v>2684</v>
      </c>
      <c r="G804" s="173" t="s">
        <v>182</v>
      </c>
      <c r="H804" s="173" t="s">
        <v>127</v>
      </c>
      <c r="I804" s="174">
        <v>3.88</v>
      </c>
      <c r="J804" s="174"/>
      <c r="K804" s="174"/>
      <c r="L804" s="174"/>
      <c r="M804" s="191">
        <v>635</v>
      </c>
      <c r="N804" s="176">
        <v>10.42</v>
      </c>
      <c r="O804" s="176"/>
      <c r="P804" s="177"/>
      <c r="Q804" s="178"/>
      <c r="R804" s="179"/>
      <c r="S804" s="179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80" t="s">
        <v>2522</v>
      </c>
      <c r="AE804" s="173" t="s">
        <v>69</v>
      </c>
      <c r="AF804" s="181" t="s">
        <v>142</v>
      </c>
      <c r="AG804" s="192" t="s">
        <v>1584</v>
      </c>
      <c r="AH804" s="198"/>
      <c r="AI804" s="181">
        <v>44914</v>
      </c>
      <c r="AJ804" s="181"/>
      <c r="AK804" s="181">
        <f ca="1">TODAY()</f>
        <v>44958</v>
      </c>
      <c r="AL804" s="173">
        <f t="shared" ca="1" si="0"/>
        <v>44</v>
      </c>
      <c r="AM804" s="173" t="str">
        <f t="shared" si="1"/>
        <v/>
      </c>
      <c r="AN804" s="181"/>
      <c r="AO804" s="190" t="s">
        <v>2685</v>
      </c>
      <c r="AP804" s="176">
        <v>10.42</v>
      </c>
      <c r="AQ804" s="176">
        <v>10.43</v>
      </c>
      <c r="AR804" s="176">
        <v>10.454999999999998</v>
      </c>
      <c r="AS804" s="176">
        <v>10.459999999999999</v>
      </c>
      <c r="AT804" s="173" t="str">
        <f t="shared" si="2"/>
        <v/>
      </c>
      <c r="AU804" s="173">
        <v>462</v>
      </c>
      <c r="AW804" s="142" t="s">
        <v>123</v>
      </c>
    </row>
    <row r="805" spans="2:49" s="142" customFormat="1" ht="21" customHeight="1" x14ac:dyDescent="0.25">
      <c r="B805" s="173" t="str">
        <f t="shared" si="3"/>
        <v>RM-304L/1D-3.88X638</v>
      </c>
      <c r="C805" s="173" t="s">
        <v>48</v>
      </c>
      <c r="D805" s="173" t="s">
        <v>48</v>
      </c>
      <c r="E805" s="190" t="s">
        <v>2686</v>
      </c>
      <c r="F805" s="190" t="s">
        <v>2687</v>
      </c>
      <c r="G805" s="173" t="s">
        <v>182</v>
      </c>
      <c r="H805" s="173" t="s">
        <v>127</v>
      </c>
      <c r="I805" s="174">
        <v>3.88</v>
      </c>
      <c r="J805" s="174"/>
      <c r="K805" s="174"/>
      <c r="L805" s="174"/>
      <c r="M805" s="191">
        <v>638</v>
      </c>
      <c r="N805" s="176">
        <v>10.5</v>
      </c>
      <c r="O805" s="176"/>
      <c r="P805" s="177"/>
      <c r="Q805" s="178"/>
      <c r="R805" s="179"/>
      <c r="S805" s="179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80" t="s">
        <v>2522</v>
      </c>
      <c r="AE805" s="173" t="s">
        <v>69</v>
      </c>
      <c r="AF805" s="181" t="s">
        <v>142</v>
      </c>
      <c r="AG805" s="192" t="s">
        <v>1584</v>
      </c>
      <c r="AH805" s="198"/>
      <c r="AI805" s="181">
        <v>44914</v>
      </c>
      <c r="AJ805" s="181"/>
      <c r="AK805" s="181">
        <f ca="1">TODAY()</f>
        <v>44958</v>
      </c>
      <c r="AL805" s="173">
        <f t="shared" ca="1" si="0"/>
        <v>44</v>
      </c>
      <c r="AM805" s="173" t="str">
        <f t="shared" si="1"/>
        <v/>
      </c>
      <c r="AN805" s="181"/>
      <c r="AO805" s="190" t="s">
        <v>2685</v>
      </c>
      <c r="AP805" s="176">
        <v>10.5</v>
      </c>
      <c r="AQ805" s="176">
        <v>10.51</v>
      </c>
      <c r="AR805" s="176">
        <v>10.534999999999998</v>
      </c>
      <c r="AS805" s="176">
        <v>10.54</v>
      </c>
      <c r="AT805" s="173" t="str">
        <f t="shared" si="2"/>
        <v/>
      </c>
      <c r="AU805" s="173">
        <v>462</v>
      </c>
      <c r="AW805" s="142" t="s">
        <v>123</v>
      </c>
    </row>
    <row r="806" spans="2:49" s="142" customFormat="1" ht="21" customHeight="1" x14ac:dyDescent="0.25">
      <c r="B806" s="173" t="str">
        <f t="shared" si="3"/>
        <v>RM-304L/1D-3.87X635</v>
      </c>
      <c r="C806" s="173" t="s">
        <v>48</v>
      </c>
      <c r="D806" s="173" t="s">
        <v>48</v>
      </c>
      <c r="E806" s="190" t="s">
        <v>2688</v>
      </c>
      <c r="F806" s="190" t="s">
        <v>2689</v>
      </c>
      <c r="G806" s="173" t="s">
        <v>182</v>
      </c>
      <c r="H806" s="173" t="s">
        <v>127</v>
      </c>
      <c r="I806" s="174">
        <v>3.87</v>
      </c>
      <c r="J806" s="174"/>
      <c r="K806" s="174"/>
      <c r="L806" s="174"/>
      <c r="M806" s="191">
        <v>635</v>
      </c>
      <c r="N806" s="176">
        <v>9.4250000000000007</v>
      </c>
      <c r="O806" s="176"/>
      <c r="P806" s="177"/>
      <c r="Q806" s="178"/>
      <c r="R806" s="179"/>
      <c r="S806" s="179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80" t="s">
        <v>2522</v>
      </c>
      <c r="AE806" s="173" t="s">
        <v>69</v>
      </c>
      <c r="AF806" s="181" t="s">
        <v>142</v>
      </c>
      <c r="AG806" s="192" t="s">
        <v>1584</v>
      </c>
      <c r="AH806" s="198"/>
      <c r="AI806" s="181">
        <v>44914</v>
      </c>
      <c r="AJ806" s="181"/>
      <c r="AK806" s="181">
        <f ca="1">TODAY()</f>
        <v>44958</v>
      </c>
      <c r="AL806" s="173">
        <f t="shared" ca="1" si="0"/>
        <v>44</v>
      </c>
      <c r="AM806" s="173" t="str">
        <f t="shared" si="1"/>
        <v/>
      </c>
      <c r="AN806" s="181"/>
      <c r="AO806" s="190" t="s">
        <v>2690</v>
      </c>
      <c r="AP806" s="176">
        <v>9.4250000000000007</v>
      </c>
      <c r="AQ806" s="176">
        <v>9.4350000000000005</v>
      </c>
      <c r="AR806" s="176">
        <v>9.4599999999999991</v>
      </c>
      <c r="AS806" s="176">
        <v>9.4649999999999999</v>
      </c>
      <c r="AT806" s="173" t="str">
        <f t="shared" si="2"/>
        <v/>
      </c>
      <c r="AU806" s="173">
        <v>462</v>
      </c>
      <c r="AW806" s="142" t="s">
        <v>123</v>
      </c>
    </row>
    <row r="807" spans="2:49" s="142" customFormat="1" ht="21" customHeight="1" x14ac:dyDescent="0.25">
      <c r="B807" s="173" t="str">
        <f t="shared" si="3"/>
        <v>RM-304L/1D-3.88X638</v>
      </c>
      <c r="C807" s="173" t="s">
        <v>48</v>
      </c>
      <c r="D807" s="173" t="s">
        <v>48</v>
      </c>
      <c r="E807" s="190" t="s">
        <v>2691</v>
      </c>
      <c r="F807" s="190" t="s">
        <v>2692</v>
      </c>
      <c r="G807" s="173" t="s">
        <v>182</v>
      </c>
      <c r="H807" s="173" t="s">
        <v>127</v>
      </c>
      <c r="I807" s="174">
        <v>3.88</v>
      </c>
      <c r="J807" s="174"/>
      <c r="K807" s="174"/>
      <c r="L807" s="174"/>
      <c r="M807" s="191">
        <v>638</v>
      </c>
      <c r="N807" s="176">
        <v>9.4949999999999992</v>
      </c>
      <c r="O807" s="176"/>
      <c r="P807" s="177"/>
      <c r="Q807" s="178"/>
      <c r="R807" s="179"/>
      <c r="S807" s="179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80" t="s">
        <v>2522</v>
      </c>
      <c r="AE807" s="173" t="s">
        <v>69</v>
      </c>
      <c r="AF807" s="181" t="s">
        <v>142</v>
      </c>
      <c r="AG807" s="192" t="s">
        <v>1584</v>
      </c>
      <c r="AH807" s="198"/>
      <c r="AI807" s="181">
        <v>44914</v>
      </c>
      <c r="AJ807" s="181"/>
      <c r="AK807" s="181">
        <f ca="1">TODAY()</f>
        <v>44958</v>
      </c>
      <c r="AL807" s="173">
        <f t="shared" ca="1" si="0"/>
        <v>44</v>
      </c>
      <c r="AM807" s="173" t="str">
        <f t="shared" si="1"/>
        <v/>
      </c>
      <c r="AN807" s="181"/>
      <c r="AO807" s="190" t="s">
        <v>2690</v>
      </c>
      <c r="AP807" s="176">
        <v>9.4949999999999992</v>
      </c>
      <c r="AQ807" s="176">
        <v>9.5050000000000008</v>
      </c>
      <c r="AR807" s="176">
        <v>9.5299999999999994</v>
      </c>
      <c r="AS807" s="176">
        <v>9.5350000000000001</v>
      </c>
      <c r="AT807" s="173" t="str">
        <f t="shared" si="2"/>
        <v/>
      </c>
      <c r="AU807" s="173">
        <v>462</v>
      </c>
      <c r="AW807" s="142" t="s">
        <v>123</v>
      </c>
    </row>
    <row r="808" spans="2:49" s="142" customFormat="1" ht="21" customHeight="1" x14ac:dyDescent="0.25">
      <c r="B808" s="173" t="str">
        <f t="shared" si="3"/>
        <v>WIP-304L/FH-0.88X772</v>
      </c>
      <c r="C808" s="173" t="s">
        <v>16</v>
      </c>
      <c r="D808" s="173" t="s">
        <v>16</v>
      </c>
      <c r="E808" s="190" t="s">
        <v>2693</v>
      </c>
      <c r="F808" s="190" t="s">
        <v>2694</v>
      </c>
      <c r="G808" s="173" t="s">
        <v>182</v>
      </c>
      <c r="H808" s="173" t="s">
        <v>70</v>
      </c>
      <c r="I808" s="174">
        <v>2.77</v>
      </c>
      <c r="J808" s="174">
        <v>0.88</v>
      </c>
      <c r="K808" s="174"/>
      <c r="L808" s="174"/>
      <c r="M808" s="191">
        <v>772</v>
      </c>
      <c r="N808" s="176">
        <v>10.54</v>
      </c>
      <c r="O808" s="176" t="s">
        <v>114</v>
      </c>
      <c r="P808" s="177"/>
      <c r="Q808" s="178" t="s">
        <v>2444</v>
      </c>
      <c r="R808" s="179"/>
      <c r="S808" s="179"/>
      <c r="T808" s="177">
        <v>44949</v>
      </c>
      <c r="U808" s="177"/>
      <c r="V808" s="177">
        <v>44950</v>
      </c>
      <c r="W808" s="177"/>
      <c r="X808" s="177"/>
      <c r="Y808" s="177"/>
      <c r="Z808" s="177"/>
      <c r="AA808" s="177"/>
      <c r="AB808" s="177"/>
      <c r="AC808" s="177"/>
      <c r="AD808" s="180" t="s">
        <v>1643</v>
      </c>
      <c r="AE808" s="173" t="s">
        <v>69</v>
      </c>
      <c r="AF808" s="181" t="s">
        <v>142</v>
      </c>
      <c r="AG808" s="192" t="s">
        <v>1584</v>
      </c>
      <c r="AH808" s="198"/>
      <c r="AI808" s="181">
        <v>44914</v>
      </c>
      <c r="AJ808" s="181"/>
      <c r="AK808" s="181">
        <f ca="1">TODAY()</f>
        <v>44958</v>
      </c>
      <c r="AL808" s="173">
        <f t="shared" ca="1" si="0"/>
        <v>44</v>
      </c>
      <c r="AM808" s="173" t="str">
        <f t="shared" si="1"/>
        <v/>
      </c>
      <c r="AN808" s="181"/>
      <c r="AO808" s="190" t="s">
        <v>2695</v>
      </c>
      <c r="AP808" s="176">
        <v>10.535</v>
      </c>
      <c r="AQ808" s="176">
        <v>10.545</v>
      </c>
      <c r="AR808" s="176">
        <v>10.569999999999999</v>
      </c>
      <c r="AS808" s="176">
        <v>10.574999999999999</v>
      </c>
      <c r="AT808" s="173" t="str">
        <f t="shared" si="2"/>
        <v/>
      </c>
      <c r="AU808" s="173">
        <v>462</v>
      </c>
      <c r="AW808" s="142" t="s">
        <v>123</v>
      </c>
    </row>
    <row r="809" spans="2:49" s="142" customFormat="1" ht="21" customHeight="1" x14ac:dyDescent="0.25">
      <c r="B809" s="173" t="str">
        <f t="shared" si="3"/>
        <v>RM-304L/1D-3.89X635</v>
      </c>
      <c r="C809" s="173" t="s">
        <v>48</v>
      </c>
      <c r="D809" s="173" t="s">
        <v>48</v>
      </c>
      <c r="E809" s="190" t="s">
        <v>2696</v>
      </c>
      <c r="F809" s="190" t="s">
        <v>2697</v>
      </c>
      <c r="G809" s="173" t="s">
        <v>182</v>
      </c>
      <c r="H809" s="173" t="s">
        <v>127</v>
      </c>
      <c r="I809" s="174">
        <v>3.89</v>
      </c>
      <c r="J809" s="174"/>
      <c r="K809" s="174"/>
      <c r="L809" s="174"/>
      <c r="M809" s="191">
        <v>635</v>
      </c>
      <c r="N809" s="176">
        <v>10.35</v>
      </c>
      <c r="O809" s="176"/>
      <c r="P809" s="177"/>
      <c r="Q809" s="178"/>
      <c r="R809" s="179"/>
      <c r="S809" s="179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80" t="s">
        <v>2522</v>
      </c>
      <c r="AE809" s="173" t="s">
        <v>69</v>
      </c>
      <c r="AF809" s="181" t="s">
        <v>142</v>
      </c>
      <c r="AG809" s="192" t="s">
        <v>1584</v>
      </c>
      <c r="AH809" s="198"/>
      <c r="AI809" s="181">
        <v>44914</v>
      </c>
      <c r="AJ809" s="181"/>
      <c r="AK809" s="181">
        <f ca="1">TODAY()</f>
        <v>44958</v>
      </c>
      <c r="AL809" s="173">
        <f t="shared" ca="1" si="0"/>
        <v>44</v>
      </c>
      <c r="AM809" s="173" t="str">
        <f t="shared" si="1"/>
        <v/>
      </c>
      <c r="AN809" s="181"/>
      <c r="AO809" s="190" t="s">
        <v>2698</v>
      </c>
      <c r="AP809" s="176">
        <v>10.35</v>
      </c>
      <c r="AQ809" s="176">
        <v>10.36</v>
      </c>
      <c r="AR809" s="176">
        <v>10.384999999999998</v>
      </c>
      <c r="AS809" s="176">
        <v>10.389999999999999</v>
      </c>
      <c r="AT809" s="173" t="str">
        <f t="shared" si="2"/>
        <v/>
      </c>
      <c r="AU809" s="173">
        <v>462</v>
      </c>
      <c r="AW809" s="142" t="s">
        <v>123</v>
      </c>
    </row>
    <row r="810" spans="2:49" s="142" customFormat="1" ht="21" customHeight="1" x14ac:dyDescent="0.25">
      <c r="B810" s="173" t="str">
        <f t="shared" si="3"/>
        <v>RM-304L/1D-3.89X639</v>
      </c>
      <c r="C810" s="173" t="s">
        <v>48</v>
      </c>
      <c r="D810" s="173" t="s">
        <v>48</v>
      </c>
      <c r="E810" s="190" t="s">
        <v>2699</v>
      </c>
      <c r="F810" s="190" t="s">
        <v>2700</v>
      </c>
      <c r="G810" s="173" t="s">
        <v>182</v>
      </c>
      <c r="H810" s="173" t="s">
        <v>127</v>
      </c>
      <c r="I810" s="174">
        <v>3.89</v>
      </c>
      <c r="J810" s="174"/>
      <c r="K810" s="174"/>
      <c r="L810" s="174"/>
      <c r="M810" s="191">
        <v>639</v>
      </c>
      <c r="N810" s="176">
        <v>10.44</v>
      </c>
      <c r="O810" s="176"/>
      <c r="P810" s="177"/>
      <c r="Q810" s="178"/>
      <c r="R810" s="179"/>
      <c r="S810" s="179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80" t="s">
        <v>2522</v>
      </c>
      <c r="AE810" s="173" t="s">
        <v>69</v>
      </c>
      <c r="AF810" s="181" t="s">
        <v>142</v>
      </c>
      <c r="AG810" s="192" t="s">
        <v>1584</v>
      </c>
      <c r="AH810" s="198"/>
      <c r="AI810" s="181">
        <v>44914</v>
      </c>
      <c r="AJ810" s="181"/>
      <c r="AK810" s="181">
        <f ca="1">TODAY()</f>
        <v>44958</v>
      </c>
      <c r="AL810" s="173">
        <f t="shared" ca="1" si="0"/>
        <v>44</v>
      </c>
      <c r="AM810" s="173" t="str">
        <f t="shared" si="1"/>
        <v/>
      </c>
      <c r="AN810" s="181"/>
      <c r="AO810" s="190" t="s">
        <v>2698</v>
      </c>
      <c r="AP810" s="176">
        <v>10.44</v>
      </c>
      <c r="AQ810" s="176">
        <v>10.45</v>
      </c>
      <c r="AR810" s="176">
        <v>10.474999999999998</v>
      </c>
      <c r="AS810" s="176">
        <v>10.479999999999999</v>
      </c>
      <c r="AT810" s="173" t="str">
        <f t="shared" si="2"/>
        <v/>
      </c>
      <c r="AU810" s="173">
        <v>462</v>
      </c>
      <c r="AW810" s="142" t="s">
        <v>123</v>
      </c>
    </row>
    <row r="811" spans="2:49" s="142" customFormat="1" ht="21" customHeight="1" x14ac:dyDescent="0.25">
      <c r="B811" s="173" t="str">
        <f t="shared" si="3"/>
        <v>RM-304L/1D-3.89X635</v>
      </c>
      <c r="C811" s="173" t="s">
        <v>48</v>
      </c>
      <c r="D811" s="173" t="s">
        <v>48</v>
      </c>
      <c r="E811" s="190" t="s">
        <v>2701</v>
      </c>
      <c r="F811" s="190" t="s">
        <v>2702</v>
      </c>
      <c r="G811" s="173" t="s">
        <v>182</v>
      </c>
      <c r="H811" s="173" t="s">
        <v>127</v>
      </c>
      <c r="I811" s="174">
        <v>3.89</v>
      </c>
      <c r="J811" s="174"/>
      <c r="K811" s="174"/>
      <c r="L811" s="174"/>
      <c r="M811" s="191">
        <v>635</v>
      </c>
      <c r="N811" s="176">
        <v>10.34</v>
      </c>
      <c r="O811" s="176"/>
      <c r="P811" s="177"/>
      <c r="Q811" s="178"/>
      <c r="R811" s="179"/>
      <c r="S811" s="179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80" t="s">
        <v>2522</v>
      </c>
      <c r="AE811" s="173" t="s">
        <v>69</v>
      </c>
      <c r="AF811" s="181" t="s">
        <v>142</v>
      </c>
      <c r="AG811" s="192" t="s">
        <v>1584</v>
      </c>
      <c r="AH811" s="198"/>
      <c r="AI811" s="181">
        <v>44914</v>
      </c>
      <c r="AJ811" s="181"/>
      <c r="AK811" s="181">
        <f ca="1">TODAY()</f>
        <v>44958</v>
      </c>
      <c r="AL811" s="173">
        <f t="shared" ca="1" si="0"/>
        <v>44</v>
      </c>
      <c r="AM811" s="173" t="str">
        <f t="shared" si="1"/>
        <v/>
      </c>
      <c r="AN811" s="181"/>
      <c r="AO811" s="190" t="s">
        <v>2703</v>
      </c>
      <c r="AP811" s="176">
        <v>10.34</v>
      </c>
      <c r="AQ811" s="176">
        <v>10.35</v>
      </c>
      <c r="AR811" s="176">
        <v>10.374999999999998</v>
      </c>
      <c r="AS811" s="176">
        <v>10.379999999999999</v>
      </c>
      <c r="AT811" s="173" t="str">
        <f t="shared" si="2"/>
        <v/>
      </c>
      <c r="AU811" s="173">
        <v>462</v>
      </c>
      <c r="AW811" s="142" t="s">
        <v>123</v>
      </c>
    </row>
    <row r="812" spans="2:49" s="142" customFormat="1" ht="21" customHeight="1" x14ac:dyDescent="0.25">
      <c r="B812" s="173" t="str">
        <f t="shared" si="3"/>
        <v>RM-304L/1D-3.89X639</v>
      </c>
      <c r="C812" s="173" t="s">
        <v>48</v>
      </c>
      <c r="D812" s="173" t="s">
        <v>48</v>
      </c>
      <c r="E812" s="190" t="s">
        <v>2704</v>
      </c>
      <c r="F812" s="190" t="s">
        <v>2705</v>
      </c>
      <c r="G812" s="173" t="s">
        <v>182</v>
      </c>
      <c r="H812" s="173" t="s">
        <v>127</v>
      </c>
      <c r="I812" s="174">
        <v>3.89</v>
      </c>
      <c r="J812" s="174"/>
      <c r="K812" s="174"/>
      <c r="L812" s="174"/>
      <c r="M812" s="191">
        <v>639</v>
      </c>
      <c r="N812" s="176">
        <v>10.44</v>
      </c>
      <c r="O812" s="176"/>
      <c r="P812" s="177"/>
      <c r="Q812" s="178"/>
      <c r="R812" s="179"/>
      <c r="S812" s="179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80" t="s">
        <v>2522</v>
      </c>
      <c r="AE812" s="173" t="s">
        <v>69</v>
      </c>
      <c r="AF812" s="181" t="s">
        <v>142</v>
      </c>
      <c r="AG812" s="192" t="s">
        <v>1584</v>
      </c>
      <c r="AH812" s="198"/>
      <c r="AI812" s="181">
        <v>44914</v>
      </c>
      <c r="AJ812" s="181"/>
      <c r="AK812" s="181">
        <f ca="1">TODAY()</f>
        <v>44958</v>
      </c>
      <c r="AL812" s="173">
        <f t="shared" ca="1" si="0"/>
        <v>44</v>
      </c>
      <c r="AM812" s="173" t="str">
        <f t="shared" si="1"/>
        <v/>
      </c>
      <c r="AN812" s="181"/>
      <c r="AO812" s="190" t="s">
        <v>2703</v>
      </c>
      <c r="AP812" s="176">
        <v>10.44</v>
      </c>
      <c r="AQ812" s="176">
        <v>10.45</v>
      </c>
      <c r="AR812" s="176">
        <v>10.474999999999998</v>
      </c>
      <c r="AS812" s="176">
        <v>10.479999999999999</v>
      </c>
      <c r="AT812" s="173" t="str">
        <f t="shared" si="2"/>
        <v/>
      </c>
      <c r="AU812" s="173">
        <v>462</v>
      </c>
      <c r="AW812" s="142" t="s">
        <v>123</v>
      </c>
    </row>
    <row r="813" spans="2:49" s="142" customFormat="1" ht="21" customHeight="1" x14ac:dyDescent="0.25">
      <c r="B813" s="173" t="str">
        <f t="shared" si="3"/>
        <v>RM-304L/1D-3.89X635</v>
      </c>
      <c r="C813" s="173" t="s">
        <v>48</v>
      </c>
      <c r="D813" s="173" t="s">
        <v>48</v>
      </c>
      <c r="E813" s="190" t="s">
        <v>2706</v>
      </c>
      <c r="F813" s="190" t="s">
        <v>2707</v>
      </c>
      <c r="G813" s="173" t="s">
        <v>182</v>
      </c>
      <c r="H813" s="173" t="s">
        <v>127</v>
      </c>
      <c r="I813" s="174">
        <v>3.89</v>
      </c>
      <c r="J813" s="174"/>
      <c r="K813" s="174"/>
      <c r="L813" s="174"/>
      <c r="M813" s="191">
        <v>635</v>
      </c>
      <c r="N813" s="176">
        <v>9.3550000000000004</v>
      </c>
      <c r="O813" s="176"/>
      <c r="P813" s="177"/>
      <c r="Q813" s="178"/>
      <c r="R813" s="179"/>
      <c r="S813" s="179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80" t="s">
        <v>2522</v>
      </c>
      <c r="AE813" s="173" t="s">
        <v>69</v>
      </c>
      <c r="AF813" s="181" t="s">
        <v>142</v>
      </c>
      <c r="AG813" s="192" t="s">
        <v>1584</v>
      </c>
      <c r="AH813" s="198"/>
      <c r="AI813" s="181">
        <v>44914</v>
      </c>
      <c r="AJ813" s="181"/>
      <c r="AK813" s="181">
        <f ca="1">TODAY()</f>
        <v>44958</v>
      </c>
      <c r="AL813" s="173">
        <f t="shared" ca="1" si="0"/>
        <v>44</v>
      </c>
      <c r="AM813" s="173" t="str">
        <f t="shared" si="1"/>
        <v/>
      </c>
      <c r="AN813" s="181"/>
      <c r="AO813" s="190" t="s">
        <v>2708</v>
      </c>
      <c r="AP813" s="176">
        <v>9.3550000000000004</v>
      </c>
      <c r="AQ813" s="176">
        <v>9.3650000000000002</v>
      </c>
      <c r="AR813" s="176">
        <v>9.3899999999999988</v>
      </c>
      <c r="AS813" s="176">
        <v>9.3949999999999996</v>
      </c>
      <c r="AT813" s="173" t="str">
        <f t="shared" si="2"/>
        <v/>
      </c>
      <c r="AU813" s="173">
        <v>462</v>
      </c>
      <c r="AW813" s="142" t="s">
        <v>123</v>
      </c>
    </row>
    <row r="814" spans="2:49" s="142" customFormat="1" ht="21" customHeight="1" x14ac:dyDescent="0.25">
      <c r="B814" s="173" t="str">
        <f t="shared" si="3"/>
        <v>RM-304L/1D-3.89X639</v>
      </c>
      <c r="C814" s="173" t="s">
        <v>48</v>
      </c>
      <c r="D814" s="173" t="s">
        <v>48</v>
      </c>
      <c r="E814" s="190" t="s">
        <v>2709</v>
      </c>
      <c r="F814" s="190" t="s">
        <v>2710</v>
      </c>
      <c r="G814" s="173" t="s">
        <v>182</v>
      </c>
      <c r="H814" s="173" t="s">
        <v>127</v>
      </c>
      <c r="I814" s="174">
        <v>3.89</v>
      </c>
      <c r="J814" s="174"/>
      <c r="K814" s="174"/>
      <c r="L814" s="174"/>
      <c r="M814" s="191">
        <v>639</v>
      </c>
      <c r="N814" s="176">
        <v>9.43</v>
      </c>
      <c r="O814" s="176"/>
      <c r="P814" s="177"/>
      <c r="Q814" s="178"/>
      <c r="R814" s="179"/>
      <c r="S814" s="179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80" t="s">
        <v>2522</v>
      </c>
      <c r="AE814" s="173" t="s">
        <v>69</v>
      </c>
      <c r="AF814" s="181" t="s">
        <v>142</v>
      </c>
      <c r="AG814" s="192" t="s">
        <v>1584</v>
      </c>
      <c r="AH814" s="198"/>
      <c r="AI814" s="181">
        <v>44914</v>
      </c>
      <c r="AJ814" s="181"/>
      <c r="AK814" s="181">
        <f ca="1">TODAY()</f>
        <v>44958</v>
      </c>
      <c r="AL814" s="173">
        <f t="shared" ca="1" si="0"/>
        <v>44</v>
      </c>
      <c r="AM814" s="173" t="str">
        <f t="shared" si="1"/>
        <v/>
      </c>
      <c r="AN814" s="181"/>
      <c r="AO814" s="190" t="s">
        <v>2708</v>
      </c>
      <c r="AP814" s="176">
        <v>9.43</v>
      </c>
      <c r="AQ814" s="176">
        <v>9.44</v>
      </c>
      <c r="AR814" s="176">
        <v>9.4649999999999981</v>
      </c>
      <c r="AS814" s="176">
        <v>9.4699999999999989</v>
      </c>
      <c r="AT814" s="173" t="str">
        <f t="shared" si="2"/>
        <v/>
      </c>
      <c r="AU814" s="173">
        <v>462</v>
      </c>
      <c r="AW814" s="142" t="s">
        <v>123</v>
      </c>
    </row>
    <row r="815" spans="2:49" s="142" customFormat="1" ht="21" customHeight="1" x14ac:dyDescent="0.25">
      <c r="B815" s="173" t="str">
        <f t="shared" si="3"/>
        <v>WIP-304L/FH-0.88X771</v>
      </c>
      <c r="C815" s="173" t="s">
        <v>16</v>
      </c>
      <c r="D815" s="173" t="s">
        <v>16</v>
      </c>
      <c r="E815" s="190" t="s">
        <v>2711</v>
      </c>
      <c r="F815" s="190" t="s">
        <v>2712</v>
      </c>
      <c r="G815" s="173" t="s">
        <v>182</v>
      </c>
      <c r="H815" s="173" t="s">
        <v>70</v>
      </c>
      <c r="I815" s="174">
        <v>2.77</v>
      </c>
      <c r="J815" s="174">
        <v>0.88</v>
      </c>
      <c r="K815" s="174"/>
      <c r="L815" s="174"/>
      <c r="M815" s="191">
        <v>771</v>
      </c>
      <c r="N815" s="176">
        <v>10.11</v>
      </c>
      <c r="O815" s="176" t="s">
        <v>114</v>
      </c>
      <c r="P815" s="177"/>
      <c r="Q815" s="178" t="s">
        <v>2444</v>
      </c>
      <c r="R815" s="179"/>
      <c r="S815" s="179"/>
      <c r="T815" s="177">
        <v>44948</v>
      </c>
      <c r="U815" s="177"/>
      <c r="V815" s="177">
        <v>44948</v>
      </c>
      <c r="W815" s="177"/>
      <c r="X815" s="177"/>
      <c r="Y815" s="177"/>
      <c r="Z815" s="177"/>
      <c r="AA815" s="177"/>
      <c r="AB815" s="177"/>
      <c r="AC815" s="177"/>
      <c r="AD815" s="180" t="s">
        <v>1643</v>
      </c>
      <c r="AE815" s="173" t="s">
        <v>69</v>
      </c>
      <c r="AF815" s="181" t="s">
        <v>142</v>
      </c>
      <c r="AG815" s="192" t="s">
        <v>1584</v>
      </c>
      <c r="AH815" s="198"/>
      <c r="AI815" s="181">
        <v>44914</v>
      </c>
      <c r="AJ815" s="181"/>
      <c r="AK815" s="181">
        <f ca="1">TODAY()</f>
        <v>44958</v>
      </c>
      <c r="AL815" s="173">
        <f t="shared" ca="1" si="0"/>
        <v>44</v>
      </c>
      <c r="AM815" s="173" t="str">
        <f t="shared" si="1"/>
        <v/>
      </c>
      <c r="AN815" s="181"/>
      <c r="AO815" s="190" t="s">
        <v>2713</v>
      </c>
      <c r="AP815" s="176">
        <v>10.095000000000001</v>
      </c>
      <c r="AQ815" s="176">
        <v>10.105</v>
      </c>
      <c r="AR815" s="176">
        <v>10.129999999999999</v>
      </c>
      <c r="AS815" s="176">
        <v>10.135</v>
      </c>
      <c r="AT815" s="173" t="str">
        <f t="shared" si="2"/>
        <v/>
      </c>
      <c r="AU815" s="173">
        <v>462</v>
      </c>
      <c r="AW815" s="142" t="s">
        <v>123</v>
      </c>
    </row>
    <row r="816" spans="2:49" s="142" customFormat="1" ht="21" customHeight="1" x14ac:dyDescent="0.25">
      <c r="B816" s="173" t="str">
        <f t="shared" si="3"/>
        <v>WIP-304L/FH-1.00X771</v>
      </c>
      <c r="C816" s="173" t="s">
        <v>16</v>
      </c>
      <c r="D816" s="173" t="s">
        <v>16</v>
      </c>
      <c r="E816" s="190" t="s">
        <v>2714</v>
      </c>
      <c r="F816" s="190" t="s">
        <v>2715</v>
      </c>
      <c r="G816" s="173" t="s">
        <v>182</v>
      </c>
      <c r="H816" s="173" t="s">
        <v>70</v>
      </c>
      <c r="I816" s="174">
        <v>2.78</v>
      </c>
      <c r="J816" s="174">
        <v>1</v>
      </c>
      <c r="K816" s="174"/>
      <c r="L816" s="174"/>
      <c r="M816" s="191">
        <v>771</v>
      </c>
      <c r="N816" s="176">
        <v>10.115</v>
      </c>
      <c r="O816" s="176" t="s">
        <v>114</v>
      </c>
      <c r="P816" s="177"/>
      <c r="Q816" s="178" t="s">
        <v>2444</v>
      </c>
      <c r="R816" s="179"/>
      <c r="S816" s="179"/>
      <c r="T816" s="177">
        <v>44951</v>
      </c>
      <c r="U816" s="177"/>
      <c r="V816" s="177">
        <v>44951</v>
      </c>
      <c r="W816" s="177"/>
      <c r="X816" s="177"/>
      <c r="Y816" s="177"/>
      <c r="Z816" s="177"/>
      <c r="AA816" s="177"/>
      <c r="AB816" s="177"/>
      <c r="AC816" s="177"/>
      <c r="AD816" s="180" t="s">
        <v>1643</v>
      </c>
      <c r="AE816" s="173" t="s">
        <v>69</v>
      </c>
      <c r="AF816" s="181" t="s">
        <v>142</v>
      </c>
      <c r="AG816" s="192" t="s">
        <v>1584</v>
      </c>
      <c r="AH816" s="198"/>
      <c r="AI816" s="181">
        <v>44914</v>
      </c>
      <c r="AJ816" s="181"/>
      <c r="AK816" s="181">
        <f ca="1">TODAY()</f>
        <v>44958</v>
      </c>
      <c r="AL816" s="173">
        <f t="shared" ca="1" si="0"/>
        <v>44</v>
      </c>
      <c r="AM816" s="173" t="str">
        <f t="shared" si="1"/>
        <v/>
      </c>
      <c r="AN816" s="181"/>
      <c r="AO816" s="190" t="s">
        <v>2713</v>
      </c>
      <c r="AP816" s="176">
        <v>10.09</v>
      </c>
      <c r="AQ816" s="176">
        <v>10.1</v>
      </c>
      <c r="AR816" s="176">
        <v>10.124999999999998</v>
      </c>
      <c r="AS816" s="176">
        <v>10.129999999999999</v>
      </c>
      <c r="AT816" s="173" t="str">
        <f t="shared" si="2"/>
        <v/>
      </c>
      <c r="AU816" s="173">
        <v>462</v>
      </c>
      <c r="AW816" s="142" t="s">
        <v>123</v>
      </c>
    </row>
    <row r="817" spans="2:49" s="142" customFormat="1" ht="21" customHeight="1" x14ac:dyDescent="0.25">
      <c r="B817" s="173" t="str">
        <f t="shared" si="3"/>
        <v>RM-304/1D-3.90X635</v>
      </c>
      <c r="C817" s="173" t="s">
        <v>48</v>
      </c>
      <c r="D817" s="173" t="s">
        <v>48</v>
      </c>
      <c r="E817" s="190" t="s">
        <v>2716</v>
      </c>
      <c r="F817" s="190" t="s">
        <v>2717</v>
      </c>
      <c r="G817" s="173">
        <v>304</v>
      </c>
      <c r="H817" s="173" t="s">
        <v>127</v>
      </c>
      <c r="I817" s="174">
        <v>3.9</v>
      </c>
      <c r="J817" s="174"/>
      <c r="K817" s="174"/>
      <c r="L817" s="174"/>
      <c r="M817" s="191">
        <v>635</v>
      </c>
      <c r="N817" s="176">
        <v>10.4</v>
      </c>
      <c r="O817" s="176"/>
      <c r="P817" s="177"/>
      <c r="Q817" s="178"/>
      <c r="R817" s="179"/>
      <c r="S817" s="179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80" t="s">
        <v>2522</v>
      </c>
      <c r="AE817" s="173" t="s">
        <v>69</v>
      </c>
      <c r="AF817" s="181" t="s">
        <v>142</v>
      </c>
      <c r="AG817" s="192" t="s">
        <v>1584</v>
      </c>
      <c r="AH817" s="198"/>
      <c r="AI817" s="181">
        <v>44914</v>
      </c>
      <c r="AJ817" s="181"/>
      <c r="AK817" s="181">
        <f ca="1">TODAY()</f>
        <v>44958</v>
      </c>
      <c r="AL817" s="173">
        <f t="shared" ca="1" si="0"/>
        <v>44</v>
      </c>
      <c r="AM817" s="173" t="str">
        <f t="shared" si="1"/>
        <v/>
      </c>
      <c r="AN817" s="181"/>
      <c r="AO817" s="190" t="s">
        <v>2718</v>
      </c>
      <c r="AP817" s="176">
        <v>10.4</v>
      </c>
      <c r="AQ817" s="176">
        <v>10.41</v>
      </c>
      <c r="AR817" s="176">
        <v>10.434999999999999</v>
      </c>
      <c r="AS817" s="176">
        <v>10.44</v>
      </c>
      <c r="AT817" s="173" t="str">
        <f t="shared" si="2"/>
        <v/>
      </c>
      <c r="AU817" s="173">
        <v>462</v>
      </c>
      <c r="AW817" s="142" t="s">
        <v>123</v>
      </c>
    </row>
    <row r="818" spans="2:49" s="142" customFormat="1" ht="21" customHeight="1" x14ac:dyDescent="0.25">
      <c r="B818" s="173" t="str">
        <f t="shared" si="3"/>
        <v>RM-304/1D-3.89X637</v>
      </c>
      <c r="C818" s="173" t="s">
        <v>48</v>
      </c>
      <c r="D818" s="173" t="s">
        <v>48</v>
      </c>
      <c r="E818" s="190" t="s">
        <v>2719</v>
      </c>
      <c r="F818" s="190" t="s">
        <v>2720</v>
      </c>
      <c r="G818" s="173">
        <v>304</v>
      </c>
      <c r="H818" s="173" t="s">
        <v>127</v>
      </c>
      <c r="I818" s="174">
        <v>3.89</v>
      </c>
      <c r="J818" s="174"/>
      <c r="K818" s="174"/>
      <c r="L818" s="174"/>
      <c r="M818" s="191">
        <v>637</v>
      </c>
      <c r="N818" s="176">
        <v>10.445</v>
      </c>
      <c r="O818" s="176"/>
      <c r="P818" s="177"/>
      <c r="Q818" s="178"/>
      <c r="R818" s="179"/>
      <c r="S818" s="179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80" t="s">
        <v>2522</v>
      </c>
      <c r="AE818" s="173" t="s">
        <v>69</v>
      </c>
      <c r="AF818" s="181" t="s">
        <v>142</v>
      </c>
      <c r="AG818" s="192" t="s">
        <v>1584</v>
      </c>
      <c r="AH818" s="198"/>
      <c r="AI818" s="181">
        <v>44914</v>
      </c>
      <c r="AJ818" s="181"/>
      <c r="AK818" s="181">
        <f ca="1">TODAY()</f>
        <v>44958</v>
      </c>
      <c r="AL818" s="173">
        <f t="shared" ca="1" si="0"/>
        <v>44</v>
      </c>
      <c r="AM818" s="173" t="str">
        <f t="shared" si="1"/>
        <v/>
      </c>
      <c r="AN818" s="181"/>
      <c r="AO818" s="190" t="s">
        <v>2718</v>
      </c>
      <c r="AP818" s="176">
        <v>10.445</v>
      </c>
      <c r="AQ818" s="176">
        <v>10.455</v>
      </c>
      <c r="AR818" s="176">
        <v>10.479999999999999</v>
      </c>
      <c r="AS818" s="176">
        <v>10.484999999999999</v>
      </c>
      <c r="AT818" s="173" t="str">
        <f t="shared" si="2"/>
        <v/>
      </c>
      <c r="AU818" s="173">
        <v>462</v>
      </c>
      <c r="AW818" s="142" t="s">
        <v>123</v>
      </c>
    </row>
    <row r="819" spans="2:49" s="142" customFormat="1" ht="21" customHeight="1" x14ac:dyDescent="0.25">
      <c r="B819" s="173" t="str">
        <f t="shared" si="3"/>
        <v>WIP-304L/FH-0.90X772</v>
      </c>
      <c r="C819" s="173" t="s">
        <v>16</v>
      </c>
      <c r="D819" s="173" t="s">
        <v>16</v>
      </c>
      <c r="E819" s="190" t="s">
        <v>2721</v>
      </c>
      <c r="F819" s="190" t="s">
        <v>2722</v>
      </c>
      <c r="G819" s="173" t="s">
        <v>182</v>
      </c>
      <c r="H819" s="173" t="s">
        <v>70</v>
      </c>
      <c r="I819" s="174">
        <v>2.79</v>
      </c>
      <c r="J819" s="174">
        <v>0.9</v>
      </c>
      <c r="K819" s="174"/>
      <c r="L819" s="174"/>
      <c r="M819" s="191">
        <v>772</v>
      </c>
      <c r="N819" s="176">
        <f>10.54-5.925</f>
        <v>4.6149999999999993</v>
      </c>
      <c r="O819" s="176" t="s">
        <v>114</v>
      </c>
      <c r="P819" s="177"/>
      <c r="Q819" s="178" t="s">
        <v>1540</v>
      </c>
      <c r="R819" s="179"/>
      <c r="S819" s="179"/>
      <c r="T819" s="177">
        <v>44947</v>
      </c>
      <c r="U819" s="177"/>
      <c r="V819" s="177">
        <v>44948</v>
      </c>
      <c r="W819" s="177"/>
      <c r="X819" s="177"/>
      <c r="Y819" s="177"/>
      <c r="Z819" s="177"/>
      <c r="AA819" s="177"/>
      <c r="AB819" s="177"/>
      <c r="AC819" s="177"/>
      <c r="AD819" s="180" t="s">
        <v>1605</v>
      </c>
      <c r="AE819" s="173" t="s">
        <v>69</v>
      </c>
      <c r="AF819" s="181" t="s">
        <v>142</v>
      </c>
      <c r="AG819" s="192" t="s">
        <v>1584</v>
      </c>
      <c r="AH819" s="198"/>
      <c r="AI819" s="181">
        <v>44914</v>
      </c>
      <c r="AJ819" s="181"/>
      <c r="AK819" s="181">
        <f ca="1">TODAY()</f>
        <v>44958</v>
      </c>
      <c r="AL819" s="173">
        <f t="shared" ca="1" si="0"/>
        <v>44</v>
      </c>
      <c r="AM819" s="173" t="str">
        <f t="shared" si="1"/>
        <v/>
      </c>
      <c r="AN819" s="181"/>
      <c r="AO819" s="190" t="s">
        <v>2723</v>
      </c>
      <c r="AP819" s="176">
        <v>10.57</v>
      </c>
      <c r="AQ819" s="176">
        <v>10.58</v>
      </c>
      <c r="AR819" s="176">
        <v>10.604999999999999</v>
      </c>
      <c r="AS819" s="176">
        <v>10.61</v>
      </c>
      <c r="AT819" s="173" t="str">
        <f t="shared" si="2"/>
        <v/>
      </c>
      <c r="AU819" s="173">
        <v>462</v>
      </c>
      <c r="AW819" s="142" t="s">
        <v>123</v>
      </c>
    </row>
    <row r="820" spans="2:49" s="142" customFormat="1" ht="21" customHeight="1" x14ac:dyDescent="0.25">
      <c r="B820" s="173" t="str">
        <f t="shared" si="3"/>
        <v>RM-304/1D-3.81X635</v>
      </c>
      <c r="C820" s="173" t="s">
        <v>48</v>
      </c>
      <c r="D820" s="173" t="s">
        <v>48</v>
      </c>
      <c r="E820" s="190" t="s">
        <v>2724</v>
      </c>
      <c r="F820" s="190" t="s">
        <v>2725</v>
      </c>
      <c r="G820" s="173">
        <v>304</v>
      </c>
      <c r="H820" s="173" t="s">
        <v>127</v>
      </c>
      <c r="I820" s="174">
        <v>3.81</v>
      </c>
      <c r="J820" s="174"/>
      <c r="K820" s="174"/>
      <c r="L820" s="174"/>
      <c r="M820" s="191">
        <v>635</v>
      </c>
      <c r="N820" s="176">
        <v>10.5</v>
      </c>
      <c r="O820" s="176"/>
      <c r="P820" s="177"/>
      <c r="Q820" s="178"/>
      <c r="R820" s="179"/>
      <c r="S820" s="179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80" t="s">
        <v>2522</v>
      </c>
      <c r="AE820" s="173" t="s">
        <v>69</v>
      </c>
      <c r="AF820" s="181" t="s">
        <v>142</v>
      </c>
      <c r="AG820" s="192" t="s">
        <v>1584</v>
      </c>
      <c r="AH820" s="198"/>
      <c r="AI820" s="181">
        <v>44914</v>
      </c>
      <c r="AJ820" s="181"/>
      <c r="AK820" s="181">
        <f ca="1">TODAY()</f>
        <v>44958</v>
      </c>
      <c r="AL820" s="173">
        <f t="shared" ref="AL820:AL883" ca="1" si="4">IF(AI820&lt;&gt;0,AK820-AI820,0)</f>
        <v>44</v>
      </c>
      <c r="AM820" s="173" t="str">
        <f t="shared" ref="AM820:AM883" si="5">IF(ISNUMBER(X820)=TRUE,AK820-X820,IF(X820="","",(AK820)-(MID(RIGHT(X820,10),4,2)&amp;"/"&amp;LEFT((RIGHT(X820,10)),2)&amp;"/"&amp;RIGHT(X820,4))))</f>
        <v/>
      </c>
      <c r="AN820" s="181"/>
      <c r="AO820" s="190" t="s">
        <v>2726</v>
      </c>
      <c r="AP820" s="176">
        <v>10.5</v>
      </c>
      <c r="AQ820" s="176">
        <v>10.51</v>
      </c>
      <c r="AR820" s="176">
        <v>10.534999999999998</v>
      </c>
      <c r="AS820" s="176">
        <v>10.54</v>
      </c>
      <c r="AT820" s="173" t="str">
        <f t="shared" ref="AT820:AT841" si="6">IF(ISNUMBER(U820)=TRUE,AK820-U820,IF(U820="","",(AK820)-(MID(RIGHT(U820,10),4,2)&amp;"/"&amp;LEFT((RIGHT(U820,10)),2)&amp;"/"&amp;RIGHT(U820,4))))</f>
        <v/>
      </c>
      <c r="AU820" s="173">
        <v>462</v>
      </c>
      <c r="AW820" s="142" t="s">
        <v>123</v>
      </c>
    </row>
    <row r="821" spans="2:49" s="142" customFormat="1" ht="21" customHeight="1" x14ac:dyDescent="0.25">
      <c r="B821" s="173" t="str">
        <f t="shared" si="3"/>
        <v>RM-304/1D-3.80X636</v>
      </c>
      <c r="C821" s="173" t="s">
        <v>48</v>
      </c>
      <c r="D821" s="173" t="s">
        <v>48</v>
      </c>
      <c r="E821" s="190" t="s">
        <v>2727</v>
      </c>
      <c r="F821" s="190" t="s">
        <v>2728</v>
      </c>
      <c r="G821" s="173">
        <v>304</v>
      </c>
      <c r="H821" s="173" t="s">
        <v>127</v>
      </c>
      <c r="I821" s="174">
        <v>3.8</v>
      </c>
      <c r="J821" s="174"/>
      <c r="K821" s="174"/>
      <c r="L821" s="174"/>
      <c r="M821" s="191">
        <v>636</v>
      </c>
      <c r="N821" s="176">
        <v>10.525</v>
      </c>
      <c r="O821" s="176"/>
      <c r="P821" s="177"/>
      <c r="Q821" s="178"/>
      <c r="R821" s="179"/>
      <c r="S821" s="179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80" t="s">
        <v>2522</v>
      </c>
      <c r="AE821" s="173" t="s">
        <v>69</v>
      </c>
      <c r="AF821" s="181" t="s">
        <v>142</v>
      </c>
      <c r="AG821" s="192" t="s">
        <v>1584</v>
      </c>
      <c r="AH821" s="198"/>
      <c r="AI821" s="181">
        <v>44914</v>
      </c>
      <c r="AJ821" s="181"/>
      <c r="AK821" s="181">
        <f ca="1">TODAY()</f>
        <v>44958</v>
      </c>
      <c r="AL821" s="173">
        <f t="shared" ca="1" si="4"/>
        <v>44</v>
      </c>
      <c r="AM821" s="173" t="str">
        <f t="shared" si="5"/>
        <v/>
      </c>
      <c r="AN821" s="181"/>
      <c r="AO821" s="190" t="s">
        <v>2726</v>
      </c>
      <c r="AP821" s="176">
        <v>10.525</v>
      </c>
      <c r="AQ821" s="176">
        <v>10.535</v>
      </c>
      <c r="AR821" s="176">
        <v>10.559999999999999</v>
      </c>
      <c r="AS821" s="176">
        <v>10.565</v>
      </c>
      <c r="AT821" s="173" t="str">
        <f t="shared" si="6"/>
        <v/>
      </c>
      <c r="AU821" s="173">
        <v>462</v>
      </c>
      <c r="AW821" s="142" t="s">
        <v>123</v>
      </c>
    </row>
    <row r="822" spans="2:49" s="142" customFormat="1" ht="21" customHeight="1" x14ac:dyDescent="0.25">
      <c r="B822" s="173" t="str">
        <f t="shared" si="3"/>
        <v>RM-304/1D-3.39X635</v>
      </c>
      <c r="C822" s="173" t="s">
        <v>48</v>
      </c>
      <c r="D822" s="173" t="s">
        <v>48</v>
      </c>
      <c r="E822" s="190" t="s">
        <v>2729</v>
      </c>
      <c r="F822" s="190" t="s">
        <v>2730</v>
      </c>
      <c r="G822" s="173">
        <v>304</v>
      </c>
      <c r="H822" s="173" t="s">
        <v>127</v>
      </c>
      <c r="I822" s="174">
        <v>3.39</v>
      </c>
      <c r="J822" s="174"/>
      <c r="K822" s="174"/>
      <c r="L822" s="174"/>
      <c r="M822" s="191">
        <v>635</v>
      </c>
      <c r="N822" s="176">
        <v>9.4450000000000003</v>
      </c>
      <c r="O822" s="176"/>
      <c r="P822" s="177"/>
      <c r="Q822" s="178"/>
      <c r="R822" s="179"/>
      <c r="S822" s="179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80" t="s">
        <v>2522</v>
      </c>
      <c r="AE822" s="173" t="s">
        <v>69</v>
      </c>
      <c r="AF822" s="181" t="s">
        <v>142</v>
      </c>
      <c r="AG822" s="192" t="s">
        <v>1584</v>
      </c>
      <c r="AH822" s="198"/>
      <c r="AI822" s="181">
        <v>44914</v>
      </c>
      <c r="AJ822" s="181"/>
      <c r="AK822" s="181">
        <f ca="1">TODAY()</f>
        <v>44958</v>
      </c>
      <c r="AL822" s="173">
        <f t="shared" ca="1" si="4"/>
        <v>44</v>
      </c>
      <c r="AM822" s="173" t="str">
        <f t="shared" si="5"/>
        <v/>
      </c>
      <c r="AN822" s="181"/>
      <c r="AO822" s="190" t="s">
        <v>2731</v>
      </c>
      <c r="AP822" s="176">
        <v>9.4450000000000003</v>
      </c>
      <c r="AQ822" s="176">
        <v>9.4550000000000001</v>
      </c>
      <c r="AR822" s="176">
        <v>9.4799999999999986</v>
      </c>
      <c r="AS822" s="176">
        <v>9.4849999999999994</v>
      </c>
      <c r="AT822" s="173" t="str">
        <f t="shared" si="6"/>
        <v/>
      </c>
      <c r="AU822" s="173">
        <v>462</v>
      </c>
      <c r="AW822" s="142" t="s">
        <v>123</v>
      </c>
    </row>
    <row r="823" spans="2:49" s="142" customFormat="1" ht="21" customHeight="1" x14ac:dyDescent="0.25">
      <c r="B823" s="173" t="str">
        <f t="shared" si="3"/>
        <v>RM-304/1D-3.38X637</v>
      </c>
      <c r="C823" s="173" t="s">
        <v>48</v>
      </c>
      <c r="D823" s="173" t="s">
        <v>48</v>
      </c>
      <c r="E823" s="190" t="s">
        <v>2732</v>
      </c>
      <c r="F823" s="190" t="s">
        <v>2733</v>
      </c>
      <c r="G823" s="173">
        <v>304</v>
      </c>
      <c r="H823" s="173" t="s">
        <v>127</v>
      </c>
      <c r="I823" s="174">
        <v>3.38</v>
      </c>
      <c r="J823" s="174"/>
      <c r="K823" s="174"/>
      <c r="L823" s="174"/>
      <c r="M823" s="191">
        <v>637</v>
      </c>
      <c r="N823" s="176">
        <v>9.4749999999999996</v>
      </c>
      <c r="O823" s="176"/>
      <c r="P823" s="177"/>
      <c r="Q823" s="178"/>
      <c r="R823" s="179"/>
      <c r="S823" s="179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80" t="s">
        <v>2522</v>
      </c>
      <c r="AE823" s="173" t="s">
        <v>69</v>
      </c>
      <c r="AF823" s="181" t="s">
        <v>142</v>
      </c>
      <c r="AG823" s="192" t="s">
        <v>1584</v>
      </c>
      <c r="AH823" s="198"/>
      <c r="AI823" s="181">
        <v>44914</v>
      </c>
      <c r="AJ823" s="181"/>
      <c r="AK823" s="181">
        <f ca="1">TODAY()</f>
        <v>44958</v>
      </c>
      <c r="AL823" s="173">
        <f t="shared" ca="1" si="4"/>
        <v>44</v>
      </c>
      <c r="AM823" s="173" t="str">
        <f t="shared" si="5"/>
        <v/>
      </c>
      <c r="AN823" s="181"/>
      <c r="AO823" s="190" t="s">
        <v>2731</v>
      </c>
      <c r="AP823" s="176">
        <v>9.4749999999999996</v>
      </c>
      <c r="AQ823" s="176">
        <v>9.4849999999999994</v>
      </c>
      <c r="AR823" s="176">
        <v>9.509999999999998</v>
      </c>
      <c r="AS823" s="176">
        <v>9.5149999999999988</v>
      </c>
      <c r="AT823" s="173" t="str">
        <f t="shared" si="6"/>
        <v/>
      </c>
      <c r="AU823" s="173">
        <v>462</v>
      </c>
      <c r="AW823" s="142" t="s">
        <v>123</v>
      </c>
    </row>
    <row r="824" spans="2:49" s="142" customFormat="1" ht="21" customHeight="1" x14ac:dyDescent="0.25">
      <c r="B824" s="173" t="str">
        <f t="shared" si="3"/>
        <v>RM-304L/1D-3.89X635</v>
      </c>
      <c r="C824" s="173" t="s">
        <v>48</v>
      </c>
      <c r="D824" s="173" t="s">
        <v>48</v>
      </c>
      <c r="E824" s="190" t="s">
        <v>2734</v>
      </c>
      <c r="F824" s="190" t="s">
        <v>2735</v>
      </c>
      <c r="G824" s="173" t="s">
        <v>182</v>
      </c>
      <c r="H824" s="173" t="s">
        <v>127</v>
      </c>
      <c r="I824" s="174">
        <v>3.89</v>
      </c>
      <c r="J824" s="174"/>
      <c r="K824" s="174"/>
      <c r="L824" s="174"/>
      <c r="M824" s="191">
        <v>635</v>
      </c>
      <c r="N824" s="176">
        <v>9.49</v>
      </c>
      <c r="O824" s="176"/>
      <c r="P824" s="177"/>
      <c r="Q824" s="178"/>
      <c r="R824" s="179"/>
      <c r="S824" s="179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80" t="s">
        <v>2522</v>
      </c>
      <c r="AE824" s="173" t="s">
        <v>69</v>
      </c>
      <c r="AF824" s="181" t="s">
        <v>142</v>
      </c>
      <c r="AG824" s="192" t="s">
        <v>1584</v>
      </c>
      <c r="AH824" s="198"/>
      <c r="AI824" s="181">
        <v>44914</v>
      </c>
      <c r="AJ824" s="181"/>
      <c r="AK824" s="181">
        <f ca="1">TODAY()</f>
        <v>44958</v>
      </c>
      <c r="AL824" s="173">
        <f t="shared" ca="1" si="4"/>
        <v>44</v>
      </c>
      <c r="AM824" s="173" t="str">
        <f t="shared" si="5"/>
        <v/>
      </c>
      <c r="AN824" s="181"/>
      <c r="AO824" s="190" t="s">
        <v>2736</v>
      </c>
      <c r="AP824" s="176">
        <v>9.49</v>
      </c>
      <c r="AQ824" s="176">
        <v>9.5</v>
      </c>
      <c r="AR824" s="176">
        <v>9.5249999999999986</v>
      </c>
      <c r="AS824" s="176">
        <v>9.5299999999999994</v>
      </c>
      <c r="AT824" s="173" t="str">
        <f t="shared" si="6"/>
        <v/>
      </c>
      <c r="AU824" s="173">
        <v>462</v>
      </c>
      <c r="AW824" s="142" t="s">
        <v>123</v>
      </c>
    </row>
    <row r="825" spans="2:49" s="142" customFormat="1" ht="21" customHeight="1" x14ac:dyDescent="0.25">
      <c r="B825" s="173" t="str">
        <f t="shared" si="3"/>
        <v>RM-304L/1D-3.89X637</v>
      </c>
      <c r="C825" s="173" t="s">
        <v>48</v>
      </c>
      <c r="D825" s="173" t="s">
        <v>48</v>
      </c>
      <c r="E825" s="190" t="s">
        <v>2737</v>
      </c>
      <c r="F825" s="190" t="s">
        <v>2738</v>
      </c>
      <c r="G825" s="173" t="s">
        <v>182</v>
      </c>
      <c r="H825" s="173" t="s">
        <v>127</v>
      </c>
      <c r="I825" s="174">
        <v>3.89</v>
      </c>
      <c r="J825" s="174"/>
      <c r="K825" s="174"/>
      <c r="L825" s="174"/>
      <c r="M825" s="191">
        <v>637</v>
      </c>
      <c r="N825" s="176">
        <v>9.5399999999999991</v>
      </c>
      <c r="O825" s="176"/>
      <c r="P825" s="177"/>
      <c r="Q825" s="178"/>
      <c r="R825" s="179"/>
      <c r="S825" s="179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80" t="s">
        <v>2522</v>
      </c>
      <c r="AE825" s="173" t="s">
        <v>69</v>
      </c>
      <c r="AF825" s="181" t="s">
        <v>142</v>
      </c>
      <c r="AG825" s="192" t="s">
        <v>1584</v>
      </c>
      <c r="AH825" s="198"/>
      <c r="AI825" s="181">
        <v>44914</v>
      </c>
      <c r="AJ825" s="181"/>
      <c r="AK825" s="181">
        <f ca="1">TODAY()</f>
        <v>44958</v>
      </c>
      <c r="AL825" s="173">
        <f t="shared" ca="1" si="4"/>
        <v>44</v>
      </c>
      <c r="AM825" s="173" t="str">
        <f t="shared" si="5"/>
        <v/>
      </c>
      <c r="AN825" s="181"/>
      <c r="AO825" s="190" t="s">
        <v>2736</v>
      </c>
      <c r="AP825" s="176">
        <v>9.5399999999999991</v>
      </c>
      <c r="AQ825" s="176">
        <v>9.5500000000000007</v>
      </c>
      <c r="AR825" s="176">
        <v>9.5749999999999993</v>
      </c>
      <c r="AS825" s="176">
        <v>9.58</v>
      </c>
      <c r="AT825" s="173" t="str">
        <f t="shared" si="6"/>
        <v/>
      </c>
      <c r="AU825" s="173">
        <v>462</v>
      </c>
      <c r="AW825" s="142" t="s">
        <v>123</v>
      </c>
    </row>
    <row r="826" spans="2:49" s="142" customFormat="1" ht="21" customHeight="1" x14ac:dyDescent="0.25">
      <c r="B826" s="173" t="str">
        <f t="shared" si="3"/>
        <v>RM-304L/1D-2.91X635</v>
      </c>
      <c r="C826" s="173" t="s">
        <v>48</v>
      </c>
      <c r="D826" s="173" t="s">
        <v>48</v>
      </c>
      <c r="E826" s="190" t="s">
        <v>2739</v>
      </c>
      <c r="F826" s="190" t="s">
        <v>2740</v>
      </c>
      <c r="G826" s="173" t="s">
        <v>182</v>
      </c>
      <c r="H826" s="173" t="s">
        <v>127</v>
      </c>
      <c r="I826" s="174">
        <v>2.91</v>
      </c>
      <c r="J826" s="174"/>
      <c r="K826" s="174"/>
      <c r="L826" s="174"/>
      <c r="M826" s="191">
        <v>635</v>
      </c>
      <c r="N826" s="176">
        <v>9.42</v>
      </c>
      <c r="O826" s="176"/>
      <c r="P826" s="177"/>
      <c r="Q826" s="178"/>
      <c r="R826" s="179"/>
      <c r="S826" s="179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80" t="s">
        <v>2522</v>
      </c>
      <c r="AE826" s="173" t="s">
        <v>69</v>
      </c>
      <c r="AF826" s="181" t="s">
        <v>142</v>
      </c>
      <c r="AG826" s="192" t="s">
        <v>1584</v>
      </c>
      <c r="AH826" s="198"/>
      <c r="AI826" s="181">
        <v>44914</v>
      </c>
      <c r="AJ826" s="181"/>
      <c r="AK826" s="181">
        <f ca="1">TODAY()</f>
        <v>44958</v>
      </c>
      <c r="AL826" s="173">
        <f t="shared" ca="1" si="4"/>
        <v>44</v>
      </c>
      <c r="AM826" s="173" t="str">
        <f t="shared" si="5"/>
        <v/>
      </c>
      <c r="AN826" s="181"/>
      <c r="AO826" s="190" t="s">
        <v>2741</v>
      </c>
      <c r="AP826" s="176">
        <v>9.42</v>
      </c>
      <c r="AQ826" s="176">
        <v>9.43</v>
      </c>
      <c r="AR826" s="176">
        <v>9.4549999999999983</v>
      </c>
      <c r="AS826" s="176">
        <v>9.4599999999999991</v>
      </c>
      <c r="AT826" s="173" t="str">
        <f t="shared" si="6"/>
        <v/>
      </c>
      <c r="AU826" s="173">
        <v>462</v>
      </c>
      <c r="AW826" s="142" t="s">
        <v>123</v>
      </c>
    </row>
    <row r="827" spans="2:49" s="142" customFormat="1" ht="21" customHeight="1" x14ac:dyDescent="0.25">
      <c r="B827" s="173" t="str">
        <f t="shared" si="3"/>
        <v>RM-304L/1D-2.91X636</v>
      </c>
      <c r="C827" s="173" t="s">
        <v>48</v>
      </c>
      <c r="D827" s="173" t="s">
        <v>48</v>
      </c>
      <c r="E827" s="190" t="s">
        <v>2742</v>
      </c>
      <c r="F827" s="190" t="s">
        <v>2743</v>
      </c>
      <c r="G827" s="173" t="s">
        <v>182</v>
      </c>
      <c r="H827" s="173" t="s">
        <v>127</v>
      </c>
      <c r="I827" s="174">
        <v>2.91</v>
      </c>
      <c r="J827" s="174"/>
      <c r="K827" s="174"/>
      <c r="L827" s="174"/>
      <c r="M827" s="191">
        <v>636</v>
      </c>
      <c r="N827" s="176">
        <v>9.4700000000000006</v>
      </c>
      <c r="O827" s="176"/>
      <c r="P827" s="177"/>
      <c r="Q827" s="178"/>
      <c r="R827" s="179"/>
      <c r="S827" s="179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80" t="s">
        <v>2522</v>
      </c>
      <c r="AE827" s="173" t="s">
        <v>69</v>
      </c>
      <c r="AF827" s="181" t="s">
        <v>142</v>
      </c>
      <c r="AG827" s="192" t="s">
        <v>1584</v>
      </c>
      <c r="AH827" s="198"/>
      <c r="AI827" s="181">
        <v>44914</v>
      </c>
      <c r="AJ827" s="181"/>
      <c r="AK827" s="181">
        <f ca="1">TODAY()</f>
        <v>44958</v>
      </c>
      <c r="AL827" s="173">
        <f t="shared" ca="1" si="4"/>
        <v>44</v>
      </c>
      <c r="AM827" s="173" t="str">
        <f t="shared" si="5"/>
        <v/>
      </c>
      <c r="AN827" s="181"/>
      <c r="AO827" s="190" t="s">
        <v>2741</v>
      </c>
      <c r="AP827" s="176">
        <v>9.4700000000000006</v>
      </c>
      <c r="AQ827" s="176">
        <v>9.48</v>
      </c>
      <c r="AR827" s="176">
        <v>9.504999999999999</v>
      </c>
      <c r="AS827" s="176">
        <v>9.51</v>
      </c>
      <c r="AT827" s="173" t="str">
        <f t="shared" si="6"/>
        <v/>
      </c>
      <c r="AU827" s="173">
        <v>462</v>
      </c>
      <c r="AW827" s="142" t="s">
        <v>123</v>
      </c>
    </row>
    <row r="828" spans="2:49" s="142" customFormat="1" ht="21" customHeight="1" x14ac:dyDescent="0.25">
      <c r="B828" s="173" t="str">
        <f t="shared" si="3"/>
        <v>RM-304/1D-2.90X635</v>
      </c>
      <c r="C828" s="173" t="s">
        <v>48</v>
      </c>
      <c r="D828" s="173" t="s">
        <v>48</v>
      </c>
      <c r="E828" s="190" t="s">
        <v>2744</v>
      </c>
      <c r="F828" s="190" t="s">
        <v>2745</v>
      </c>
      <c r="G828" s="173">
        <v>304</v>
      </c>
      <c r="H828" s="173" t="s">
        <v>127</v>
      </c>
      <c r="I828" s="174">
        <v>2.9</v>
      </c>
      <c r="J828" s="174"/>
      <c r="K828" s="174"/>
      <c r="L828" s="174"/>
      <c r="M828" s="191">
        <v>635</v>
      </c>
      <c r="N828" s="176">
        <v>9.58</v>
      </c>
      <c r="O828" s="176"/>
      <c r="P828" s="177"/>
      <c r="Q828" s="178"/>
      <c r="R828" s="179"/>
      <c r="S828" s="179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80" t="s">
        <v>2522</v>
      </c>
      <c r="AE828" s="173" t="s">
        <v>69</v>
      </c>
      <c r="AF828" s="181" t="s">
        <v>142</v>
      </c>
      <c r="AG828" s="192" t="s">
        <v>1584</v>
      </c>
      <c r="AH828" s="198"/>
      <c r="AI828" s="181">
        <v>44914</v>
      </c>
      <c r="AJ828" s="181"/>
      <c r="AK828" s="181">
        <f ca="1">TODAY()</f>
        <v>44958</v>
      </c>
      <c r="AL828" s="173">
        <f t="shared" ca="1" si="4"/>
        <v>44</v>
      </c>
      <c r="AM828" s="173" t="str">
        <f t="shared" si="5"/>
        <v/>
      </c>
      <c r="AN828" s="181"/>
      <c r="AO828" s="190" t="s">
        <v>2746</v>
      </c>
      <c r="AP828" s="176">
        <v>9.58</v>
      </c>
      <c r="AQ828" s="176">
        <v>9.59</v>
      </c>
      <c r="AR828" s="176">
        <v>9.6149999999999984</v>
      </c>
      <c r="AS828" s="176">
        <v>9.6199999999999992</v>
      </c>
      <c r="AT828" s="173" t="str">
        <f t="shared" si="6"/>
        <v/>
      </c>
      <c r="AU828" s="173">
        <v>462</v>
      </c>
      <c r="AW828" s="142" t="s">
        <v>123</v>
      </c>
    </row>
    <row r="829" spans="2:49" s="142" customFormat="1" ht="21" customHeight="1" x14ac:dyDescent="0.25">
      <c r="B829" s="173" t="str">
        <f t="shared" si="3"/>
        <v>RM-304/1D-2.89X636</v>
      </c>
      <c r="C829" s="173" t="s">
        <v>48</v>
      </c>
      <c r="D829" s="173" t="s">
        <v>48</v>
      </c>
      <c r="E829" s="190" t="s">
        <v>2747</v>
      </c>
      <c r="F829" s="190" t="s">
        <v>2748</v>
      </c>
      <c r="G829" s="173">
        <v>304</v>
      </c>
      <c r="H829" s="173" t="s">
        <v>127</v>
      </c>
      <c r="I829" s="174">
        <v>2.89</v>
      </c>
      <c r="J829" s="174"/>
      <c r="K829" s="174"/>
      <c r="L829" s="174"/>
      <c r="M829" s="191">
        <v>636</v>
      </c>
      <c r="N829" s="176">
        <v>9.6150000000000002</v>
      </c>
      <c r="O829" s="176"/>
      <c r="P829" s="177"/>
      <c r="Q829" s="178"/>
      <c r="R829" s="179"/>
      <c r="S829" s="179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80" t="s">
        <v>2522</v>
      </c>
      <c r="AE829" s="173" t="s">
        <v>69</v>
      </c>
      <c r="AF829" s="181" t="s">
        <v>142</v>
      </c>
      <c r="AG829" s="192" t="s">
        <v>1584</v>
      </c>
      <c r="AH829" s="198"/>
      <c r="AI829" s="181">
        <v>44914</v>
      </c>
      <c r="AJ829" s="181"/>
      <c r="AK829" s="181">
        <f ca="1">TODAY()</f>
        <v>44958</v>
      </c>
      <c r="AL829" s="173">
        <f t="shared" ca="1" si="4"/>
        <v>44</v>
      </c>
      <c r="AM829" s="173" t="str">
        <f t="shared" si="5"/>
        <v/>
      </c>
      <c r="AN829" s="181"/>
      <c r="AO829" s="190" t="s">
        <v>2746</v>
      </c>
      <c r="AP829" s="176">
        <v>9.6150000000000002</v>
      </c>
      <c r="AQ829" s="176">
        <v>9.625</v>
      </c>
      <c r="AR829" s="176">
        <v>9.6499999999999986</v>
      </c>
      <c r="AS829" s="176">
        <v>9.6549999999999994</v>
      </c>
      <c r="AT829" s="173" t="str">
        <f t="shared" si="6"/>
        <v/>
      </c>
      <c r="AU829" s="173">
        <v>462</v>
      </c>
      <c r="AW829" s="142" t="s">
        <v>123</v>
      </c>
    </row>
    <row r="830" spans="2:49" s="142" customFormat="1" ht="21" customHeight="1" x14ac:dyDescent="0.25">
      <c r="B830" s="173" t="str">
        <f t="shared" ref="B830:B893" si="7">IF(C830="HOLD RM","HOLD RM",IF(C830="BAL","WIP",IF(C830="HOLD SLT","HOLD SLT",IF(C830="MILL","RM",IF(C830="RE SLT","WIP",IF(C830="RM","RM",IF(C830="RM BAL","RM",IF(C830="RM SLT","RM",IF(C830="RR","WIP",IF(C830="SKP","WIP",IF(C830="SLT","WIP",IF(C830="CTL","WIP",IF(C830="RM SLT RUST","RM SLT RUST",0)))))))))))))&amp;"-"&amp;G830&amp;"/"&amp;IF(H830="2B","2B",IF(H830="NO.1","1D",IF(H830="FH","FH",0)))&amp;"-"&amp;IF(J830="",(TEXT(I830,"0.00")),TEXT(J830,"0.00"))&amp;"X"&amp;M830</f>
        <v>RM-304/1D-2.89X635</v>
      </c>
      <c r="C830" s="173" t="s">
        <v>48</v>
      </c>
      <c r="D830" s="173" t="s">
        <v>48</v>
      </c>
      <c r="E830" s="190" t="s">
        <v>2749</v>
      </c>
      <c r="F830" s="190" t="s">
        <v>2750</v>
      </c>
      <c r="G830" s="173">
        <v>304</v>
      </c>
      <c r="H830" s="173" t="s">
        <v>127</v>
      </c>
      <c r="I830" s="174">
        <v>2.89</v>
      </c>
      <c r="J830" s="174"/>
      <c r="K830" s="174"/>
      <c r="L830" s="174"/>
      <c r="M830" s="191">
        <v>635</v>
      </c>
      <c r="N830" s="176">
        <v>9.5</v>
      </c>
      <c r="O830" s="176"/>
      <c r="P830" s="177"/>
      <c r="Q830" s="178"/>
      <c r="R830" s="179"/>
      <c r="S830" s="179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80" t="s">
        <v>2522</v>
      </c>
      <c r="AE830" s="173" t="s">
        <v>69</v>
      </c>
      <c r="AF830" s="181" t="s">
        <v>142</v>
      </c>
      <c r="AG830" s="192" t="s">
        <v>1584</v>
      </c>
      <c r="AH830" s="198"/>
      <c r="AI830" s="181">
        <v>44914</v>
      </c>
      <c r="AJ830" s="181"/>
      <c r="AK830" s="181">
        <f ca="1">TODAY()</f>
        <v>44958</v>
      </c>
      <c r="AL830" s="173">
        <f t="shared" ca="1" si="4"/>
        <v>44</v>
      </c>
      <c r="AM830" s="173" t="str">
        <f t="shared" si="5"/>
        <v/>
      </c>
      <c r="AN830" s="181"/>
      <c r="AO830" s="190" t="s">
        <v>2751</v>
      </c>
      <c r="AP830" s="176">
        <v>9.5</v>
      </c>
      <c r="AQ830" s="176">
        <v>9.51</v>
      </c>
      <c r="AR830" s="176">
        <v>9.5349999999999984</v>
      </c>
      <c r="AS830" s="176">
        <v>9.5399999999999991</v>
      </c>
      <c r="AT830" s="173" t="str">
        <f t="shared" si="6"/>
        <v/>
      </c>
      <c r="AU830" s="173">
        <v>462</v>
      </c>
      <c r="AW830" s="142" t="s">
        <v>123</v>
      </c>
    </row>
    <row r="831" spans="2:49" s="142" customFormat="1" ht="21" customHeight="1" x14ac:dyDescent="0.25">
      <c r="B831" s="173" t="str">
        <f t="shared" si="7"/>
        <v>RM-304/1D-2.90X636</v>
      </c>
      <c r="C831" s="173" t="s">
        <v>48</v>
      </c>
      <c r="D831" s="173" t="s">
        <v>48</v>
      </c>
      <c r="E831" s="190" t="s">
        <v>2752</v>
      </c>
      <c r="F831" s="190" t="s">
        <v>2753</v>
      </c>
      <c r="G831" s="173">
        <v>304</v>
      </c>
      <c r="H831" s="173" t="s">
        <v>127</v>
      </c>
      <c r="I831" s="174">
        <v>2.9</v>
      </c>
      <c r="J831" s="174"/>
      <c r="K831" s="174"/>
      <c r="L831" s="174"/>
      <c r="M831" s="191">
        <v>636</v>
      </c>
      <c r="N831" s="176">
        <v>9.5649999999999995</v>
      </c>
      <c r="O831" s="176"/>
      <c r="P831" s="177"/>
      <c r="Q831" s="178"/>
      <c r="R831" s="179"/>
      <c r="S831" s="179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80" t="s">
        <v>2522</v>
      </c>
      <c r="AE831" s="173" t="s">
        <v>69</v>
      </c>
      <c r="AF831" s="181" t="s">
        <v>142</v>
      </c>
      <c r="AG831" s="192" t="s">
        <v>1584</v>
      </c>
      <c r="AH831" s="198"/>
      <c r="AI831" s="181">
        <v>44914</v>
      </c>
      <c r="AJ831" s="181"/>
      <c r="AK831" s="181">
        <f ca="1">TODAY()</f>
        <v>44958</v>
      </c>
      <c r="AL831" s="173">
        <f t="shared" ca="1" si="4"/>
        <v>44</v>
      </c>
      <c r="AM831" s="173" t="str">
        <f t="shared" si="5"/>
        <v/>
      </c>
      <c r="AN831" s="181"/>
      <c r="AO831" s="190" t="s">
        <v>2751</v>
      </c>
      <c r="AP831" s="176">
        <v>9.5649999999999995</v>
      </c>
      <c r="AQ831" s="176">
        <v>9.5749999999999993</v>
      </c>
      <c r="AR831" s="176">
        <v>9.5999999999999979</v>
      </c>
      <c r="AS831" s="176">
        <v>9.6049999999999986</v>
      </c>
      <c r="AT831" s="173" t="str">
        <f t="shared" si="6"/>
        <v/>
      </c>
      <c r="AU831" s="173">
        <v>462</v>
      </c>
      <c r="AW831" s="142" t="s">
        <v>123</v>
      </c>
    </row>
    <row r="832" spans="2:49" s="142" customFormat="1" ht="21" customHeight="1" x14ac:dyDescent="0.25">
      <c r="B832" s="173" t="str">
        <f t="shared" si="7"/>
        <v>RM-304/1D-2.91X635</v>
      </c>
      <c r="C832" s="173" t="s">
        <v>48</v>
      </c>
      <c r="D832" s="173" t="s">
        <v>48</v>
      </c>
      <c r="E832" s="190" t="s">
        <v>2754</v>
      </c>
      <c r="F832" s="190" t="s">
        <v>2755</v>
      </c>
      <c r="G832" s="173">
        <v>304</v>
      </c>
      <c r="H832" s="173" t="s">
        <v>127</v>
      </c>
      <c r="I832" s="174">
        <v>2.91</v>
      </c>
      <c r="J832" s="174"/>
      <c r="K832" s="174"/>
      <c r="L832" s="174"/>
      <c r="M832" s="191">
        <v>635</v>
      </c>
      <c r="N832" s="176">
        <v>9.4649999999999999</v>
      </c>
      <c r="O832" s="176"/>
      <c r="P832" s="177"/>
      <c r="Q832" s="178"/>
      <c r="R832" s="179"/>
      <c r="S832" s="179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80" t="s">
        <v>2522</v>
      </c>
      <c r="AE832" s="173" t="s">
        <v>69</v>
      </c>
      <c r="AF832" s="181" t="s">
        <v>142</v>
      </c>
      <c r="AG832" s="192" t="s">
        <v>1584</v>
      </c>
      <c r="AH832" s="198"/>
      <c r="AI832" s="181">
        <v>44914</v>
      </c>
      <c r="AJ832" s="181"/>
      <c r="AK832" s="181">
        <f ca="1">TODAY()</f>
        <v>44958</v>
      </c>
      <c r="AL832" s="173">
        <f t="shared" ca="1" si="4"/>
        <v>44</v>
      </c>
      <c r="AM832" s="173" t="str">
        <f t="shared" si="5"/>
        <v/>
      </c>
      <c r="AN832" s="181"/>
      <c r="AO832" s="190" t="s">
        <v>2756</v>
      </c>
      <c r="AP832" s="176">
        <v>9.4649999999999999</v>
      </c>
      <c r="AQ832" s="176">
        <v>9.4749999999999996</v>
      </c>
      <c r="AR832" s="176">
        <v>9.4999999999999982</v>
      </c>
      <c r="AS832" s="176">
        <v>9.504999999999999</v>
      </c>
      <c r="AT832" s="173" t="str">
        <f t="shared" si="6"/>
        <v/>
      </c>
      <c r="AU832" s="173">
        <v>462</v>
      </c>
      <c r="AW832" s="142" t="s">
        <v>123</v>
      </c>
    </row>
    <row r="833" spans="2:53" s="142" customFormat="1" ht="21" customHeight="1" x14ac:dyDescent="0.25">
      <c r="B833" s="173" t="str">
        <f t="shared" si="7"/>
        <v>RM-304/1D-2.91X637</v>
      </c>
      <c r="C833" s="173" t="s">
        <v>48</v>
      </c>
      <c r="D833" s="173" t="s">
        <v>48</v>
      </c>
      <c r="E833" s="190" t="s">
        <v>2757</v>
      </c>
      <c r="F833" s="190" t="s">
        <v>2758</v>
      </c>
      <c r="G833" s="173">
        <v>304</v>
      </c>
      <c r="H833" s="173" t="s">
        <v>127</v>
      </c>
      <c r="I833" s="174">
        <v>2.91</v>
      </c>
      <c r="J833" s="174"/>
      <c r="K833" s="174"/>
      <c r="L833" s="174"/>
      <c r="M833" s="191">
        <v>637</v>
      </c>
      <c r="N833" s="176">
        <v>9.4949999999999992</v>
      </c>
      <c r="O833" s="176"/>
      <c r="P833" s="177"/>
      <c r="Q833" s="178"/>
      <c r="R833" s="179"/>
      <c r="S833" s="179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80" t="s">
        <v>2522</v>
      </c>
      <c r="AE833" s="173" t="s">
        <v>69</v>
      </c>
      <c r="AF833" s="181" t="s">
        <v>142</v>
      </c>
      <c r="AG833" s="192" t="s">
        <v>1584</v>
      </c>
      <c r="AH833" s="198"/>
      <c r="AI833" s="181">
        <v>44914</v>
      </c>
      <c r="AJ833" s="181"/>
      <c r="AK833" s="181">
        <f ca="1">TODAY()</f>
        <v>44958</v>
      </c>
      <c r="AL833" s="173">
        <f t="shared" ca="1" si="4"/>
        <v>44</v>
      </c>
      <c r="AM833" s="173" t="str">
        <f t="shared" si="5"/>
        <v/>
      </c>
      <c r="AN833" s="181"/>
      <c r="AO833" s="190" t="s">
        <v>2756</v>
      </c>
      <c r="AP833" s="176">
        <v>9.4949999999999992</v>
      </c>
      <c r="AQ833" s="176">
        <v>9.5050000000000008</v>
      </c>
      <c r="AR833" s="176">
        <v>9.5299999999999994</v>
      </c>
      <c r="AS833" s="176">
        <v>9.5350000000000001</v>
      </c>
      <c r="AT833" s="173" t="str">
        <f t="shared" si="6"/>
        <v/>
      </c>
      <c r="AU833" s="173">
        <v>462</v>
      </c>
      <c r="AW833" s="142" t="s">
        <v>123</v>
      </c>
    </row>
    <row r="834" spans="2:53" s="142" customFormat="1" ht="21" customHeight="1" x14ac:dyDescent="0.25">
      <c r="B834" s="173" t="str">
        <f t="shared" si="7"/>
        <v>RM-304/1D-2.90X635</v>
      </c>
      <c r="C834" s="173" t="s">
        <v>48</v>
      </c>
      <c r="D834" s="173" t="s">
        <v>48</v>
      </c>
      <c r="E834" s="190" t="s">
        <v>2759</v>
      </c>
      <c r="F834" s="190" t="s">
        <v>2760</v>
      </c>
      <c r="G834" s="173">
        <v>304</v>
      </c>
      <c r="H834" s="173" t="s">
        <v>127</v>
      </c>
      <c r="I834" s="174">
        <v>2.9</v>
      </c>
      <c r="J834" s="174"/>
      <c r="K834" s="174"/>
      <c r="L834" s="174"/>
      <c r="M834" s="191">
        <v>635</v>
      </c>
      <c r="N834" s="176">
        <v>9.48</v>
      </c>
      <c r="O834" s="176"/>
      <c r="P834" s="177"/>
      <c r="Q834" s="178"/>
      <c r="R834" s="179"/>
      <c r="S834" s="179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80" t="s">
        <v>2522</v>
      </c>
      <c r="AE834" s="173" t="s">
        <v>69</v>
      </c>
      <c r="AF834" s="181" t="s">
        <v>142</v>
      </c>
      <c r="AG834" s="192" t="s">
        <v>1584</v>
      </c>
      <c r="AH834" s="198"/>
      <c r="AI834" s="181">
        <v>44914</v>
      </c>
      <c r="AJ834" s="181"/>
      <c r="AK834" s="181">
        <f ca="1">TODAY()</f>
        <v>44958</v>
      </c>
      <c r="AL834" s="173">
        <f t="shared" ca="1" si="4"/>
        <v>44</v>
      </c>
      <c r="AM834" s="173" t="str">
        <f t="shared" si="5"/>
        <v/>
      </c>
      <c r="AN834" s="181"/>
      <c r="AO834" s="190" t="s">
        <v>2761</v>
      </c>
      <c r="AP834" s="176">
        <v>9.48</v>
      </c>
      <c r="AQ834" s="176">
        <v>9.49</v>
      </c>
      <c r="AR834" s="176">
        <v>9.5149999999999988</v>
      </c>
      <c r="AS834" s="176">
        <v>9.52</v>
      </c>
      <c r="AT834" s="173" t="str">
        <f t="shared" si="6"/>
        <v/>
      </c>
      <c r="AU834" s="173">
        <v>462</v>
      </c>
      <c r="AW834" s="142" t="s">
        <v>123</v>
      </c>
    </row>
    <row r="835" spans="2:53" s="142" customFormat="1" ht="21" customHeight="1" x14ac:dyDescent="0.25">
      <c r="B835" s="173" t="str">
        <f t="shared" si="7"/>
        <v>RM-304/1D-2.89X636</v>
      </c>
      <c r="C835" s="173" t="s">
        <v>48</v>
      </c>
      <c r="D835" s="173" t="s">
        <v>48</v>
      </c>
      <c r="E835" s="190" t="s">
        <v>2762</v>
      </c>
      <c r="F835" s="190" t="s">
        <v>2763</v>
      </c>
      <c r="G835" s="173">
        <v>304</v>
      </c>
      <c r="H835" s="173" t="s">
        <v>127</v>
      </c>
      <c r="I835" s="174">
        <v>2.89</v>
      </c>
      <c r="J835" s="174"/>
      <c r="K835" s="174"/>
      <c r="L835" s="174"/>
      <c r="M835" s="191">
        <v>636</v>
      </c>
      <c r="N835" s="176">
        <v>9.52</v>
      </c>
      <c r="O835" s="176"/>
      <c r="P835" s="177"/>
      <c r="Q835" s="178"/>
      <c r="R835" s="179"/>
      <c r="S835" s="179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80" t="s">
        <v>2522</v>
      </c>
      <c r="AE835" s="173" t="s">
        <v>69</v>
      </c>
      <c r="AF835" s="181" t="s">
        <v>142</v>
      </c>
      <c r="AG835" s="192" t="s">
        <v>1584</v>
      </c>
      <c r="AH835" s="198"/>
      <c r="AI835" s="181">
        <v>44914</v>
      </c>
      <c r="AJ835" s="181"/>
      <c r="AK835" s="181">
        <f ca="1">TODAY()</f>
        <v>44958</v>
      </c>
      <c r="AL835" s="173">
        <f t="shared" ca="1" si="4"/>
        <v>44</v>
      </c>
      <c r="AM835" s="173" t="str">
        <f t="shared" si="5"/>
        <v/>
      </c>
      <c r="AN835" s="181"/>
      <c r="AO835" s="190" t="s">
        <v>2761</v>
      </c>
      <c r="AP835" s="176">
        <v>9.52</v>
      </c>
      <c r="AQ835" s="176">
        <v>9.5299999999999994</v>
      </c>
      <c r="AR835" s="176">
        <v>9.5549999999999979</v>
      </c>
      <c r="AS835" s="176">
        <v>9.5599999999999987</v>
      </c>
      <c r="AT835" s="173" t="str">
        <f t="shared" si="6"/>
        <v/>
      </c>
      <c r="AU835" s="173">
        <v>462</v>
      </c>
      <c r="AW835" s="142" t="s">
        <v>123</v>
      </c>
    </row>
    <row r="836" spans="2:53" s="142" customFormat="1" ht="21" customHeight="1" x14ac:dyDescent="0.25">
      <c r="B836" s="173" t="str">
        <f t="shared" si="7"/>
        <v>RM-304/1D-3.95X770</v>
      </c>
      <c r="C836" s="173" t="s">
        <v>48</v>
      </c>
      <c r="D836" s="173" t="s">
        <v>48</v>
      </c>
      <c r="E836" s="190" t="s">
        <v>2764</v>
      </c>
      <c r="F836" s="190" t="s">
        <v>2765</v>
      </c>
      <c r="G836" s="173">
        <v>304</v>
      </c>
      <c r="H836" s="173" t="s">
        <v>127</v>
      </c>
      <c r="I836" s="174">
        <v>3.95</v>
      </c>
      <c r="J836" s="174"/>
      <c r="K836" s="174"/>
      <c r="L836" s="174"/>
      <c r="M836" s="191">
        <v>770</v>
      </c>
      <c r="N836" s="176">
        <v>10.01</v>
      </c>
      <c r="O836" s="176"/>
      <c r="P836" s="177"/>
      <c r="Q836" s="178"/>
      <c r="R836" s="179"/>
      <c r="S836" s="179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80" t="s">
        <v>1643</v>
      </c>
      <c r="AE836" s="173" t="s">
        <v>69</v>
      </c>
      <c r="AF836" s="181" t="s">
        <v>142</v>
      </c>
      <c r="AG836" s="192" t="s">
        <v>1584</v>
      </c>
      <c r="AH836" s="198"/>
      <c r="AI836" s="181">
        <v>44914</v>
      </c>
      <c r="AJ836" s="181"/>
      <c r="AK836" s="181">
        <f ca="1">TODAY()</f>
        <v>44958</v>
      </c>
      <c r="AL836" s="173">
        <f t="shared" ca="1" si="4"/>
        <v>44</v>
      </c>
      <c r="AM836" s="173" t="str">
        <f t="shared" si="5"/>
        <v/>
      </c>
      <c r="AN836" s="181"/>
      <c r="AO836" s="190" t="s">
        <v>2766</v>
      </c>
      <c r="AP836" s="176">
        <v>10.01</v>
      </c>
      <c r="AQ836" s="176">
        <v>10.02</v>
      </c>
      <c r="AR836" s="176">
        <v>10.044999999999998</v>
      </c>
      <c r="AS836" s="176">
        <v>10.049999999999999</v>
      </c>
      <c r="AT836" s="173" t="str">
        <f t="shared" si="6"/>
        <v/>
      </c>
      <c r="AU836" s="173">
        <v>462</v>
      </c>
      <c r="AW836" s="142" t="s">
        <v>123</v>
      </c>
    </row>
    <row r="837" spans="2:53" s="142" customFormat="1" ht="21" customHeight="1" x14ac:dyDescent="0.25">
      <c r="B837" s="173" t="str">
        <f t="shared" si="7"/>
        <v>WIP-304/FH-1.45X769</v>
      </c>
      <c r="C837" s="173" t="s">
        <v>16</v>
      </c>
      <c r="D837" s="173" t="s">
        <v>16</v>
      </c>
      <c r="E837" s="190" t="s">
        <v>2767</v>
      </c>
      <c r="F837" s="190" t="s">
        <v>2768</v>
      </c>
      <c r="G837" s="173">
        <v>304</v>
      </c>
      <c r="H837" s="173" t="s">
        <v>70</v>
      </c>
      <c r="I837" s="174">
        <v>3.94</v>
      </c>
      <c r="J837" s="174">
        <v>1.45</v>
      </c>
      <c r="K837" s="174"/>
      <c r="L837" s="174"/>
      <c r="M837" s="191">
        <v>769</v>
      </c>
      <c r="N837" s="176">
        <v>10.295</v>
      </c>
      <c r="O837" s="176" t="s">
        <v>114</v>
      </c>
      <c r="P837" s="177"/>
      <c r="Q837" s="178" t="s">
        <v>2444</v>
      </c>
      <c r="R837" s="179"/>
      <c r="S837" s="179"/>
      <c r="T837" s="177">
        <v>44950</v>
      </c>
      <c r="U837" s="177"/>
      <c r="V837" s="177">
        <v>44950</v>
      </c>
      <c r="W837" s="177"/>
      <c r="X837" s="177"/>
      <c r="Y837" s="177"/>
      <c r="Z837" s="177"/>
      <c r="AA837" s="177"/>
      <c r="AB837" s="177"/>
      <c r="AC837" s="177"/>
      <c r="AD837" s="180" t="s">
        <v>2448</v>
      </c>
      <c r="AE837" s="173" t="s">
        <v>69</v>
      </c>
      <c r="AF837" s="181" t="s">
        <v>142</v>
      </c>
      <c r="AG837" s="192" t="s">
        <v>1584</v>
      </c>
      <c r="AH837" s="198"/>
      <c r="AI837" s="181">
        <v>44914</v>
      </c>
      <c r="AJ837" s="181"/>
      <c r="AK837" s="181">
        <f ca="1">TODAY()</f>
        <v>44958</v>
      </c>
      <c r="AL837" s="173">
        <f t="shared" ca="1" si="4"/>
        <v>44</v>
      </c>
      <c r="AM837" s="173" t="str">
        <f t="shared" si="5"/>
        <v/>
      </c>
      <c r="AN837" s="181"/>
      <c r="AO837" s="190" t="s">
        <v>2766</v>
      </c>
      <c r="AP837" s="176">
        <v>10.305</v>
      </c>
      <c r="AQ837" s="176">
        <v>10.315</v>
      </c>
      <c r="AR837" s="176">
        <v>10.339999999999998</v>
      </c>
      <c r="AS837" s="176">
        <v>10.344999999999999</v>
      </c>
      <c r="AT837" s="173" t="str">
        <f t="shared" si="6"/>
        <v/>
      </c>
      <c r="AU837" s="173">
        <v>462</v>
      </c>
      <c r="AW837" s="142" t="s">
        <v>123</v>
      </c>
    </row>
    <row r="838" spans="2:53" s="142" customFormat="1" ht="21" customHeight="1" x14ac:dyDescent="0.25">
      <c r="B838" s="173" t="str">
        <f t="shared" si="7"/>
        <v>WIP-304L/FH-0.90X770</v>
      </c>
      <c r="C838" s="173" t="s">
        <v>16</v>
      </c>
      <c r="D838" s="173" t="s">
        <v>16</v>
      </c>
      <c r="E838" s="190" t="s">
        <v>2769</v>
      </c>
      <c r="F838" s="190" t="s">
        <v>2770</v>
      </c>
      <c r="G838" s="173" t="s">
        <v>182</v>
      </c>
      <c r="H838" s="173" t="s">
        <v>70</v>
      </c>
      <c r="I838" s="174">
        <v>2.81</v>
      </c>
      <c r="J838" s="174">
        <v>0.9</v>
      </c>
      <c r="K838" s="174"/>
      <c r="L838" s="174"/>
      <c r="M838" s="191">
        <v>770</v>
      </c>
      <c r="N838" s="176">
        <v>10.4</v>
      </c>
      <c r="O838" s="176" t="s">
        <v>114</v>
      </c>
      <c r="P838" s="177"/>
      <c r="Q838" s="178" t="s">
        <v>1540</v>
      </c>
      <c r="R838" s="179"/>
      <c r="S838" s="179"/>
      <c r="T838" s="177">
        <v>44947</v>
      </c>
      <c r="U838" s="177"/>
      <c r="V838" s="177">
        <v>44948</v>
      </c>
      <c r="W838" s="177"/>
      <c r="X838" s="177"/>
      <c r="Y838" s="177"/>
      <c r="Z838" s="177"/>
      <c r="AA838" s="177"/>
      <c r="AB838" s="177"/>
      <c r="AC838" s="177"/>
      <c r="AD838" s="180" t="s">
        <v>1605</v>
      </c>
      <c r="AE838" s="173" t="s">
        <v>69</v>
      </c>
      <c r="AF838" s="181" t="s">
        <v>142</v>
      </c>
      <c r="AG838" s="192" t="s">
        <v>1584</v>
      </c>
      <c r="AH838" s="198"/>
      <c r="AI838" s="181">
        <v>44914</v>
      </c>
      <c r="AJ838" s="181"/>
      <c r="AK838" s="181">
        <f ca="1">TODAY()</f>
        <v>44958</v>
      </c>
      <c r="AL838" s="173">
        <f t="shared" ca="1" si="4"/>
        <v>44</v>
      </c>
      <c r="AM838" s="173" t="str">
        <f t="shared" si="5"/>
        <v/>
      </c>
      <c r="AN838" s="181"/>
      <c r="AO838" s="190" t="s">
        <v>2771</v>
      </c>
      <c r="AP838" s="176">
        <v>10.4</v>
      </c>
      <c r="AQ838" s="176">
        <v>10.41</v>
      </c>
      <c r="AR838" s="176">
        <v>10.434999999999999</v>
      </c>
      <c r="AS838" s="176">
        <v>10.44</v>
      </c>
      <c r="AT838" s="173" t="str">
        <f t="shared" si="6"/>
        <v/>
      </c>
      <c r="AU838" s="173">
        <v>462</v>
      </c>
      <c r="AW838" s="142" t="s">
        <v>123</v>
      </c>
    </row>
    <row r="839" spans="2:53" s="142" customFormat="1" ht="21" customHeight="1" x14ac:dyDescent="0.25">
      <c r="B839" s="173" t="str">
        <f t="shared" si="7"/>
        <v>WIP-304L/FH-0.88X773</v>
      </c>
      <c r="C839" s="173" t="s">
        <v>16</v>
      </c>
      <c r="D839" s="173" t="s">
        <v>16</v>
      </c>
      <c r="E839" s="190" t="s">
        <v>2772</v>
      </c>
      <c r="F839" s="190" t="s">
        <v>2773</v>
      </c>
      <c r="G839" s="173" t="s">
        <v>182</v>
      </c>
      <c r="H839" s="173" t="s">
        <v>70</v>
      </c>
      <c r="I839" s="174">
        <v>2.81</v>
      </c>
      <c r="J839" s="174">
        <v>0.88</v>
      </c>
      <c r="K839" s="174"/>
      <c r="L839" s="174"/>
      <c r="M839" s="191">
        <v>773</v>
      </c>
      <c r="N839" s="176">
        <v>10.44</v>
      </c>
      <c r="O839" s="176" t="s">
        <v>114</v>
      </c>
      <c r="P839" s="177"/>
      <c r="Q839" s="178" t="s">
        <v>1506</v>
      </c>
      <c r="R839" s="179"/>
      <c r="S839" s="179"/>
      <c r="T839" s="177">
        <v>44944</v>
      </c>
      <c r="U839" s="177"/>
      <c r="V839" s="177">
        <v>44944</v>
      </c>
      <c r="W839" s="177"/>
      <c r="X839" s="177"/>
      <c r="Y839" s="177"/>
      <c r="Z839" s="177"/>
      <c r="AA839" s="177"/>
      <c r="AB839" s="177"/>
      <c r="AC839" s="177"/>
      <c r="AD839" s="180" t="s">
        <v>1605</v>
      </c>
      <c r="AE839" s="173" t="s">
        <v>69</v>
      </c>
      <c r="AF839" s="181" t="s">
        <v>142</v>
      </c>
      <c r="AG839" s="192" t="s">
        <v>1584</v>
      </c>
      <c r="AH839" s="198"/>
      <c r="AI839" s="181">
        <v>44914</v>
      </c>
      <c r="AJ839" s="181"/>
      <c r="AK839" s="181">
        <f ca="1">TODAY()</f>
        <v>44958</v>
      </c>
      <c r="AL839" s="173">
        <f t="shared" ca="1" si="4"/>
        <v>44</v>
      </c>
      <c r="AM839" s="173" t="str">
        <f t="shared" si="5"/>
        <v/>
      </c>
      <c r="AN839" s="181"/>
      <c r="AO839" s="190" t="s">
        <v>2771</v>
      </c>
      <c r="AP839" s="176">
        <v>10.44</v>
      </c>
      <c r="AQ839" s="176">
        <v>10.45</v>
      </c>
      <c r="AR839" s="176">
        <v>10.474999999999998</v>
      </c>
      <c r="AS839" s="176">
        <v>10.479999999999999</v>
      </c>
      <c r="AT839" s="173" t="str">
        <f t="shared" si="6"/>
        <v/>
      </c>
      <c r="AU839" s="173">
        <v>462</v>
      </c>
      <c r="AW839" s="142" t="s">
        <v>123</v>
      </c>
    </row>
    <row r="840" spans="2:53" s="142" customFormat="1" ht="21" customHeight="1" x14ac:dyDescent="0.25">
      <c r="B840" s="173" t="str">
        <f t="shared" si="7"/>
        <v>RM-304L/1D-3.80X635</v>
      </c>
      <c r="C840" s="173" t="s">
        <v>48</v>
      </c>
      <c r="D840" s="173" t="s">
        <v>48</v>
      </c>
      <c r="E840" s="190" t="s">
        <v>2774</v>
      </c>
      <c r="F840" s="190" t="s">
        <v>2775</v>
      </c>
      <c r="G840" s="173" t="s">
        <v>182</v>
      </c>
      <c r="H840" s="173" t="s">
        <v>127</v>
      </c>
      <c r="I840" s="174">
        <v>3.8</v>
      </c>
      <c r="J840" s="174"/>
      <c r="K840" s="174"/>
      <c r="L840" s="174"/>
      <c r="M840" s="191">
        <v>635</v>
      </c>
      <c r="N840" s="176">
        <v>10.5</v>
      </c>
      <c r="O840" s="176"/>
      <c r="P840" s="177"/>
      <c r="Q840" s="178"/>
      <c r="R840" s="179"/>
      <c r="S840" s="179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80" t="s">
        <v>2522</v>
      </c>
      <c r="AE840" s="173" t="s">
        <v>69</v>
      </c>
      <c r="AF840" s="181" t="s">
        <v>142</v>
      </c>
      <c r="AG840" s="192" t="s">
        <v>1584</v>
      </c>
      <c r="AH840" s="198"/>
      <c r="AI840" s="181">
        <v>44914</v>
      </c>
      <c r="AJ840" s="181"/>
      <c r="AK840" s="181">
        <f ca="1">TODAY()</f>
        <v>44958</v>
      </c>
      <c r="AL840" s="173">
        <f t="shared" ca="1" si="4"/>
        <v>44</v>
      </c>
      <c r="AM840" s="173" t="str">
        <f t="shared" si="5"/>
        <v/>
      </c>
      <c r="AN840" s="181"/>
      <c r="AO840" s="190" t="s">
        <v>2776</v>
      </c>
      <c r="AP840" s="176">
        <v>10.5</v>
      </c>
      <c r="AQ840" s="176">
        <v>10.51</v>
      </c>
      <c r="AR840" s="176">
        <v>10.534999999999998</v>
      </c>
      <c r="AS840" s="176">
        <v>10.54</v>
      </c>
      <c r="AT840" s="173" t="str">
        <f t="shared" si="6"/>
        <v/>
      </c>
      <c r="AU840" s="173">
        <v>462</v>
      </c>
      <c r="AW840" s="142" t="s">
        <v>123</v>
      </c>
    </row>
    <row r="841" spans="2:53" s="142" customFormat="1" ht="21" customHeight="1" x14ac:dyDescent="0.25">
      <c r="B841" s="173" t="str">
        <f t="shared" si="7"/>
        <v>RM-304L/1D-3.79X635</v>
      </c>
      <c r="C841" s="173" t="s">
        <v>48</v>
      </c>
      <c r="D841" s="173" t="s">
        <v>48</v>
      </c>
      <c r="E841" s="190" t="s">
        <v>2777</v>
      </c>
      <c r="F841" s="190" t="s">
        <v>2778</v>
      </c>
      <c r="G841" s="173" t="s">
        <v>182</v>
      </c>
      <c r="H841" s="173" t="s">
        <v>127</v>
      </c>
      <c r="I841" s="174">
        <v>3.79</v>
      </c>
      <c r="J841" s="174"/>
      <c r="K841" s="174"/>
      <c r="L841" s="174"/>
      <c r="M841" s="191">
        <v>635</v>
      </c>
      <c r="N841" s="176">
        <v>10.494999999999999</v>
      </c>
      <c r="O841" s="176"/>
      <c r="P841" s="177"/>
      <c r="Q841" s="178"/>
      <c r="R841" s="179"/>
      <c r="S841" s="179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80" t="s">
        <v>2522</v>
      </c>
      <c r="AE841" s="173" t="s">
        <v>69</v>
      </c>
      <c r="AF841" s="181" t="s">
        <v>142</v>
      </c>
      <c r="AG841" s="192" t="s">
        <v>1584</v>
      </c>
      <c r="AH841" s="198"/>
      <c r="AI841" s="181">
        <v>44914</v>
      </c>
      <c r="AJ841" s="181"/>
      <c r="AK841" s="181">
        <f ca="1">TODAY()</f>
        <v>44958</v>
      </c>
      <c r="AL841" s="173">
        <f t="shared" ca="1" si="4"/>
        <v>44</v>
      </c>
      <c r="AM841" s="173" t="str">
        <f t="shared" si="5"/>
        <v/>
      </c>
      <c r="AN841" s="181"/>
      <c r="AO841" s="190" t="s">
        <v>2776</v>
      </c>
      <c r="AP841" s="176">
        <v>10.494999999999999</v>
      </c>
      <c r="AQ841" s="176">
        <v>10.505000000000001</v>
      </c>
      <c r="AR841" s="176">
        <v>10.53</v>
      </c>
      <c r="AS841" s="176">
        <v>10.535</v>
      </c>
      <c r="AT841" s="173" t="str">
        <f t="shared" si="6"/>
        <v/>
      </c>
      <c r="AU841" s="173">
        <v>462</v>
      </c>
      <c r="AW841" s="142" t="s">
        <v>123</v>
      </c>
    </row>
    <row r="842" spans="2:53" s="142" customFormat="1" ht="21" customHeight="1" x14ac:dyDescent="0.25">
      <c r="B842" s="173" t="str">
        <f t="shared" si="7"/>
        <v>RM-J3/1D-2.40X620</v>
      </c>
      <c r="C842" s="173" t="s">
        <v>48</v>
      </c>
      <c r="D842" s="173" t="s">
        <v>48</v>
      </c>
      <c r="E842" s="190" t="s">
        <v>2779</v>
      </c>
      <c r="F842" s="190" t="s">
        <v>2780</v>
      </c>
      <c r="G842" s="173" t="s">
        <v>34</v>
      </c>
      <c r="H842" s="173" t="s">
        <v>127</v>
      </c>
      <c r="I842" s="174">
        <v>2.4</v>
      </c>
      <c r="J842" s="174"/>
      <c r="K842" s="174"/>
      <c r="L842" s="174"/>
      <c r="M842" s="191">
        <v>620</v>
      </c>
      <c r="N842" s="176">
        <v>6.08</v>
      </c>
      <c r="O842" s="176"/>
      <c r="P842" s="177"/>
      <c r="Q842" s="178"/>
      <c r="R842" s="179"/>
      <c r="S842" s="179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80"/>
      <c r="AE842" s="173" t="s">
        <v>69</v>
      </c>
      <c r="AF842" s="181" t="s">
        <v>248</v>
      </c>
      <c r="AG842" s="192" t="s">
        <v>2781</v>
      </c>
      <c r="AH842" s="198">
        <v>44902</v>
      </c>
      <c r="AI842" s="181">
        <v>44922</v>
      </c>
      <c r="AJ842" s="181"/>
      <c r="AK842" s="181">
        <f ca="1">TODAY()</f>
        <v>44958</v>
      </c>
      <c r="AL842" s="173">
        <f t="shared" ca="1" si="4"/>
        <v>36</v>
      </c>
      <c r="AM842" s="173" t="str">
        <f t="shared" si="5"/>
        <v/>
      </c>
      <c r="AN842" s="181" t="s">
        <v>2782</v>
      </c>
      <c r="AO842" s="190" t="s">
        <v>2783</v>
      </c>
      <c r="AP842" s="176">
        <v>6.08</v>
      </c>
      <c r="AQ842" s="176">
        <v>6.12</v>
      </c>
      <c r="AR842" s="176">
        <v>6.0650000000000004</v>
      </c>
      <c r="AS842" s="176">
        <v>6.0650000000000004</v>
      </c>
      <c r="AT842" s="173"/>
      <c r="AU842" s="173">
        <v>463</v>
      </c>
      <c r="AW842" s="142" t="s">
        <v>123</v>
      </c>
      <c r="AY842" s="212" t="s">
        <v>2784</v>
      </c>
      <c r="AZ842" s="196"/>
      <c r="BA842" s="196" t="s">
        <v>2785</v>
      </c>
    </row>
    <row r="843" spans="2:53" s="142" customFormat="1" ht="21" customHeight="1" x14ac:dyDescent="0.25">
      <c r="B843" s="173" t="str">
        <f t="shared" si="7"/>
        <v>RM-J3/1D-2.40X620</v>
      </c>
      <c r="C843" s="173" t="s">
        <v>48</v>
      </c>
      <c r="D843" s="173" t="s">
        <v>48</v>
      </c>
      <c r="E843" s="190" t="s">
        <v>2786</v>
      </c>
      <c r="F843" s="190" t="s">
        <v>2787</v>
      </c>
      <c r="G843" s="173" t="s">
        <v>34</v>
      </c>
      <c r="H843" s="173" t="s">
        <v>127</v>
      </c>
      <c r="I843" s="174">
        <v>2.4</v>
      </c>
      <c r="J843" s="174"/>
      <c r="K843" s="174"/>
      <c r="L843" s="174"/>
      <c r="M843" s="191">
        <v>620</v>
      </c>
      <c r="N843" s="176">
        <v>6.1</v>
      </c>
      <c r="O843" s="176"/>
      <c r="P843" s="177"/>
      <c r="Q843" s="178"/>
      <c r="R843" s="179"/>
      <c r="S843" s="179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80"/>
      <c r="AE843" s="173" t="s">
        <v>69</v>
      </c>
      <c r="AF843" s="181" t="s">
        <v>248</v>
      </c>
      <c r="AG843" s="192" t="s">
        <v>2781</v>
      </c>
      <c r="AH843" s="198">
        <v>44902</v>
      </c>
      <c r="AI843" s="181">
        <v>44922</v>
      </c>
      <c r="AJ843" s="181"/>
      <c r="AK843" s="181">
        <f ca="1">TODAY()</f>
        <v>44958</v>
      </c>
      <c r="AL843" s="173">
        <f t="shared" ca="1" si="4"/>
        <v>36</v>
      </c>
      <c r="AM843" s="173" t="str">
        <f t="shared" si="5"/>
        <v/>
      </c>
      <c r="AN843" s="181" t="s">
        <v>2788</v>
      </c>
      <c r="AO843" s="190" t="s">
        <v>2783</v>
      </c>
      <c r="AP843" s="176">
        <v>6.1</v>
      </c>
      <c r="AQ843" s="176">
        <v>6.14</v>
      </c>
      <c r="AR843" s="176">
        <v>6.07</v>
      </c>
      <c r="AS843" s="176">
        <v>6.07</v>
      </c>
      <c r="AT843" s="173"/>
      <c r="AU843" s="173">
        <v>463</v>
      </c>
      <c r="AW843" s="142" t="s">
        <v>123</v>
      </c>
      <c r="AY843" s="212" t="s">
        <v>2784</v>
      </c>
      <c r="AZ843" s="196"/>
      <c r="BA843" s="196" t="s">
        <v>2785</v>
      </c>
    </row>
    <row r="844" spans="2:53" s="142" customFormat="1" ht="21" customHeight="1" x14ac:dyDescent="0.25">
      <c r="B844" s="173" t="str">
        <f t="shared" si="7"/>
        <v>RM-J3/1D-2.40X690</v>
      </c>
      <c r="C844" s="173" t="s">
        <v>48</v>
      </c>
      <c r="D844" s="173" t="s">
        <v>48</v>
      </c>
      <c r="E844" s="190" t="s">
        <v>2789</v>
      </c>
      <c r="F844" s="190" t="s">
        <v>2790</v>
      </c>
      <c r="G844" s="173" t="s">
        <v>34</v>
      </c>
      <c r="H844" s="173" t="s">
        <v>127</v>
      </c>
      <c r="I844" s="174">
        <v>2.4</v>
      </c>
      <c r="J844" s="174"/>
      <c r="K844" s="174"/>
      <c r="L844" s="174"/>
      <c r="M844" s="191">
        <v>690</v>
      </c>
      <c r="N844" s="176">
        <v>11.007999999999999</v>
      </c>
      <c r="O844" s="176"/>
      <c r="P844" s="177"/>
      <c r="Q844" s="178"/>
      <c r="R844" s="179"/>
      <c r="S844" s="179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80"/>
      <c r="AE844" s="173" t="s">
        <v>69</v>
      </c>
      <c r="AF844" s="181" t="s">
        <v>248</v>
      </c>
      <c r="AG844" s="192" t="s">
        <v>2781</v>
      </c>
      <c r="AH844" s="198">
        <v>44902</v>
      </c>
      <c r="AI844" s="181">
        <v>44922</v>
      </c>
      <c r="AJ844" s="181"/>
      <c r="AK844" s="181">
        <f ca="1">TODAY()</f>
        <v>44958</v>
      </c>
      <c r="AL844" s="173">
        <f t="shared" ca="1" si="4"/>
        <v>36</v>
      </c>
      <c r="AM844" s="173" t="str">
        <f t="shared" si="5"/>
        <v/>
      </c>
      <c r="AN844" s="181" t="s">
        <v>2791</v>
      </c>
      <c r="AO844" s="190" t="s">
        <v>2792</v>
      </c>
      <c r="AP844" s="176">
        <v>11.007999999999999</v>
      </c>
      <c r="AQ844" s="176">
        <v>11.047999999999998</v>
      </c>
      <c r="AR844" s="176">
        <v>10.979999999999999</v>
      </c>
      <c r="AS844" s="176">
        <v>10.984999999999999</v>
      </c>
      <c r="AT844" s="173"/>
      <c r="AU844" s="173">
        <v>463</v>
      </c>
      <c r="AW844" s="142" t="s">
        <v>123</v>
      </c>
      <c r="AY844" s="212" t="s">
        <v>2793</v>
      </c>
      <c r="AZ844" s="196"/>
      <c r="BA844" s="196" t="s">
        <v>2785</v>
      </c>
    </row>
    <row r="845" spans="2:53" s="142" customFormat="1" ht="21" customHeight="1" x14ac:dyDescent="0.25">
      <c r="B845" s="173" t="str">
        <f t="shared" si="7"/>
        <v>RM-J3/1D-2.40X735</v>
      </c>
      <c r="C845" s="173" t="s">
        <v>48</v>
      </c>
      <c r="D845" s="173" t="s">
        <v>48</v>
      </c>
      <c r="E845" s="190" t="s">
        <v>2794</v>
      </c>
      <c r="F845" s="190" t="s">
        <v>2795</v>
      </c>
      <c r="G845" s="173" t="s">
        <v>34</v>
      </c>
      <c r="H845" s="173" t="s">
        <v>127</v>
      </c>
      <c r="I845" s="174">
        <v>2.4</v>
      </c>
      <c r="J845" s="174"/>
      <c r="K845" s="174"/>
      <c r="L845" s="174"/>
      <c r="M845" s="191">
        <v>735</v>
      </c>
      <c r="N845" s="176">
        <v>12.034000000000001</v>
      </c>
      <c r="O845" s="176"/>
      <c r="P845" s="177"/>
      <c r="Q845" s="178"/>
      <c r="R845" s="179"/>
      <c r="S845" s="179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80"/>
      <c r="AE845" s="173" t="s">
        <v>69</v>
      </c>
      <c r="AF845" s="181" t="s">
        <v>248</v>
      </c>
      <c r="AG845" s="192" t="s">
        <v>2781</v>
      </c>
      <c r="AH845" s="198">
        <v>44902</v>
      </c>
      <c r="AI845" s="181">
        <v>44922</v>
      </c>
      <c r="AJ845" s="181"/>
      <c r="AK845" s="181">
        <f ca="1">TODAY()</f>
        <v>44958</v>
      </c>
      <c r="AL845" s="173">
        <f t="shared" ca="1" si="4"/>
        <v>36</v>
      </c>
      <c r="AM845" s="173" t="str">
        <f t="shared" si="5"/>
        <v/>
      </c>
      <c r="AN845" s="181" t="s">
        <v>2796</v>
      </c>
      <c r="AO845" s="190" t="s">
        <v>2797</v>
      </c>
      <c r="AP845" s="176">
        <v>12.034000000000001</v>
      </c>
      <c r="AQ845" s="176">
        <v>12.074</v>
      </c>
      <c r="AR845" s="176">
        <v>11.994999999999999</v>
      </c>
      <c r="AS845" s="176">
        <v>11.994999999999999</v>
      </c>
      <c r="AT845" s="173"/>
      <c r="AU845" s="173">
        <v>463</v>
      </c>
      <c r="AW845" s="142" t="s">
        <v>123</v>
      </c>
      <c r="AY845" s="212" t="s">
        <v>2784</v>
      </c>
      <c r="AZ845" s="196"/>
      <c r="BA845" s="196" t="s">
        <v>2785</v>
      </c>
    </row>
    <row r="846" spans="2:53" s="142" customFormat="1" ht="21" customHeight="1" x14ac:dyDescent="0.25">
      <c r="B846" s="173" t="str">
        <f t="shared" si="7"/>
        <v>RM-J3/1D-2.40X650</v>
      </c>
      <c r="C846" s="173" t="s">
        <v>48</v>
      </c>
      <c r="D846" s="173" t="s">
        <v>48</v>
      </c>
      <c r="E846" s="190" t="s">
        <v>2798</v>
      </c>
      <c r="F846" s="190" t="s">
        <v>2799</v>
      </c>
      <c r="G846" s="173" t="s">
        <v>34</v>
      </c>
      <c r="H846" s="173" t="s">
        <v>127</v>
      </c>
      <c r="I846" s="174">
        <v>2.4</v>
      </c>
      <c r="J846" s="174"/>
      <c r="K846" s="174"/>
      <c r="L846" s="174"/>
      <c r="M846" s="191">
        <v>650</v>
      </c>
      <c r="N846" s="176">
        <v>9.66</v>
      </c>
      <c r="O846" s="176"/>
      <c r="P846" s="177"/>
      <c r="Q846" s="178"/>
      <c r="R846" s="179"/>
      <c r="S846" s="179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80"/>
      <c r="AE846" s="173" t="s">
        <v>69</v>
      </c>
      <c r="AF846" s="181" t="s">
        <v>248</v>
      </c>
      <c r="AG846" s="192" t="s">
        <v>2781</v>
      </c>
      <c r="AH846" s="198">
        <v>44902</v>
      </c>
      <c r="AI846" s="181">
        <v>44922</v>
      </c>
      <c r="AJ846" s="181"/>
      <c r="AK846" s="181">
        <f ca="1">TODAY()</f>
        <v>44958</v>
      </c>
      <c r="AL846" s="173">
        <f t="shared" ca="1" si="4"/>
        <v>36</v>
      </c>
      <c r="AM846" s="173" t="str">
        <f t="shared" si="5"/>
        <v/>
      </c>
      <c r="AN846" s="181" t="s">
        <v>2796</v>
      </c>
      <c r="AO846" s="190" t="s">
        <v>2800</v>
      </c>
      <c r="AP846" s="176">
        <v>9.66</v>
      </c>
      <c r="AQ846" s="176">
        <v>9.6999999999999993</v>
      </c>
      <c r="AR846" s="176">
        <v>9.64</v>
      </c>
      <c r="AS846" s="176">
        <v>9.64</v>
      </c>
      <c r="AT846" s="173"/>
      <c r="AU846" s="173">
        <v>463</v>
      </c>
      <c r="AW846" s="142" t="s">
        <v>123</v>
      </c>
      <c r="AY846" s="212" t="s">
        <v>2784</v>
      </c>
      <c r="AZ846" s="196"/>
      <c r="BA846" s="196" t="s">
        <v>2785</v>
      </c>
    </row>
    <row r="847" spans="2:53" s="142" customFormat="1" ht="21" customHeight="1" x14ac:dyDescent="0.25">
      <c r="B847" s="173" t="str">
        <f t="shared" si="7"/>
        <v>RM-J3/1D-2.40X675</v>
      </c>
      <c r="C847" s="173" t="s">
        <v>48</v>
      </c>
      <c r="D847" s="173" t="s">
        <v>48</v>
      </c>
      <c r="E847" s="190" t="s">
        <v>2801</v>
      </c>
      <c r="F847" s="190" t="s">
        <v>2802</v>
      </c>
      <c r="G847" s="173" t="s">
        <v>34</v>
      </c>
      <c r="H847" s="173" t="s">
        <v>127</v>
      </c>
      <c r="I847" s="174">
        <v>2.4</v>
      </c>
      <c r="J847" s="174"/>
      <c r="K847" s="174"/>
      <c r="L847" s="174"/>
      <c r="M847" s="191">
        <v>675</v>
      </c>
      <c r="N847" s="176">
        <v>9.94</v>
      </c>
      <c r="O847" s="176"/>
      <c r="P847" s="177"/>
      <c r="Q847" s="178"/>
      <c r="R847" s="179"/>
      <c r="S847" s="179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80"/>
      <c r="AE847" s="173" t="s">
        <v>69</v>
      </c>
      <c r="AF847" s="181" t="s">
        <v>248</v>
      </c>
      <c r="AG847" s="192" t="s">
        <v>2781</v>
      </c>
      <c r="AH847" s="198">
        <v>44902</v>
      </c>
      <c r="AI847" s="181">
        <v>44922</v>
      </c>
      <c r="AJ847" s="181"/>
      <c r="AK847" s="181">
        <f ca="1">TODAY()</f>
        <v>44958</v>
      </c>
      <c r="AL847" s="173">
        <f t="shared" ca="1" si="4"/>
        <v>36</v>
      </c>
      <c r="AM847" s="173" t="str">
        <f t="shared" si="5"/>
        <v/>
      </c>
      <c r="AN847" s="181" t="s">
        <v>2791</v>
      </c>
      <c r="AO847" s="190" t="s">
        <v>2800</v>
      </c>
      <c r="AP847" s="176">
        <v>9.94</v>
      </c>
      <c r="AQ847" s="176">
        <v>9.9799999999999986</v>
      </c>
      <c r="AR847" s="176">
        <v>9.9550000000000001</v>
      </c>
      <c r="AS847" s="176">
        <v>9.9550000000000001</v>
      </c>
      <c r="AT847" s="173"/>
      <c r="AU847" s="173">
        <v>463</v>
      </c>
      <c r="AW847" s="142" t="s">
        <v>123</v>
      </c>
      <c r="AY847" s="212" t="s">
        <v>2784</v>
      </c>
      <c r="AZ847" s="196"/>
      <c r="BA847" s="196" t="s">
        <v>2785</v>
      </c>
    </row>
    <row r="848" spans="2:53" s="142" customFormat="1" ht="21" customHeight="1" x14ac:dyDescent="0.25">
      <c r="B848" s="173" t="str">
        <f t="shared" si="7"/>
        <v>RM-J3/1D-2.20X620</v>
      </c>
      <c r="C848" s="173" t="s">
        <v>48</v>
      </c>
      <c r="D848" s="173" t="s">
        <v>48</v>
      </c>
      <c r="E848" s="190" t="s">
        <v>2803</v>
      </c>
      <c r="F848" s="190" t="s">
        <v>2804</v>
      </c>
      <c r="G848" s="173" t="s">
        <v>34</v>
      </c>
      <c r="H848" s="173" t="s">
        <v>127</v>
      </c>
      <c r="I848" s="174">
        <v>2.2000000000000002</v>
      </c>
      <c r="J848" s="174"/>
      <c r="K848" s="174"/>
      <c r="L848" s="174"/>
      <c r="M848" s="191">
        <v>620</v>
      </c>
      <c r="N848" s="176">
        <v>10.002000000000001</v>
      </c>
      <c r="O848" s="176"/>
      <c r="P848" s="177"/>
      <c r="Q848" s="178"/>
      <c r="R848" s="179"/>
      <c r="S848" s="179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80"/>
      <c r="AE848" s="173" t="s">
        <v>69</v>
      </c>
      <c r="AF848" s="181" t="s">
        <v>248</v>
      </c>
      <c r="AG848" s="192" t="s">
        <v>2781</v>
      </c>
      <c r="AH848" s="198">
        <v>44902</v>
      </c>
      <c r="AI848" s="181">
        <v>44922</v>
      </c>
      <c r="AJ848" s="181"/>
      <c r="AK848" s="181">
        <f ca="1">TODAY()</f>
        <v>44958</v>
      </c>
      <c r="AL848" s="173">
        <f t="shared" ca="1" si="4"/>
        <v>36</v>
      </c>
      <c r="AM848" s="173" t="str">
        <f t="shared" si="5"/>
        <v/>
      </c>
      <c r="AN848" s="181" t="s">
        <v>2788</v>
      </c>
      <c r="AO848" s="190" t="s">
        <v>2805</v>
      </c>
      <c r="AP848" s="176">
        <v>10.002000000000001</v>
      </c>
      <c r="AQ848" s="176">
        <v>10.042</v>
      </c>
      <c r="AR848" s="176">
        <v>9.99</v>
      </c>
      <c r="AS848" s="176">
        <v>9.99</v>
      </c>
      <c r="AT848" s="173"/>
      <c r="AU848" s="173">
        <v>463</v>
      </c>
      <c r="AW848" s="142" t="s">
        <v>123</v>
      </c>
      <c r="AY848" s="212" t="s">
        <v>2784</v>
      </c>
      <c r="AZ848" s="196"/>
      <c r="BA848" s="196" t="s">
        <v>2785</v>
      </c>
    </row>
    <row r="849" spans="2:53" s="142" customFormat="1" ht="21" customHeight="1" x14ac:dyDescent="0.25">
      <c r="B849" s="173" t="str">
        <f t="shared" si="7"/>
        <v>RM-J3/1D-2.20X620</v>
      </c>
      <c r="C849" s="173" t="s">
        <v>48</v>
      </c>
      <c r="D849" s="173" t="s">
        <v>48</v>
      </c>
      <c r="E849" s="190" t="s">
        <v>2806</v>
      </c>
      <c r="F849" s="190" t="s">
        <v>2807</v>
      </c>
      <c r="G849" s="173" t="s">
        <v>34</v>
      </c>
      <c r="H849" s="173" t="s">
        <v>127</v>
      </c>
      <c r="I849" s="174">
        <v>2.2000000000000002</v>
      </c>
      <c r="J849" s="174"/>
      <c r="K849" s="174"/>
      <c r="L849" s="174"/>
      <c r="M849" s="191">
        <v>620</v>
      </c>
      <c r="N849" s="176">
        <v>9.9830000000000005</v>
      </c>
      <c r="O849" s="176"/>
      <c r="P849" s="177"/>
      <c r="Q849" s="178"/>
      <c r="R849" s="179"/>
      <c r="S849" s="179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80"/>
      <c r="AE849" s="173" t="s">
        <v>69</v>
      </c>
      <c r="AF849" s="181" t="s">
        <v>248</v>
      </c>
      <c r="AG849" s="192" t="s">
        <v>2781</v>
      </c>
      <c r="AH849" s="198">
        <v>44902</v>
      </c>
      <c r="AI849" s="181">
        <v>44922</v>
      </c>
      <c r="AJ849" s="181"/>
      <c r="AK849" s="181">
        <f ca="1">TODAY()</f>
        <v>44958</v>
      </c>
      <c r="AL849" s="173">
        <f t="shared" ca="1" si="4"/>
        <v>36</v>
      </c>
      <c r="AM849" s="173" t="str">
        <f t="shared" si="5"/>
        <v/>
      </c>
      <c r="AN849" s="181" t="s">
        <v>2788</v>
      </c>
      <c r="AO849" s="190" t="s">
        <v>2805</v>
      </c>
      <c r="AP849" s="176">
        <v>9.9830000000000005</v>
      </c>
      <c r="AQ849" s="176">
        <v>10.023</v>
      </c>
      <c r="AR849" s="176">
        <v>9.9649999999999999</v>
      </c>
      <c r="AS849" s="176">
        <v>9.9649999999999999</v>
      </c>
      <c r="AT849" s="173"/>
      <c r="AU849" s="173">
        <v>463</v>
      </c>
      <c r="AW849" s="142" t="s">
        <v>123</v>
      </c>
      <c r="AY849" s="212" t="s">
        <v>2784</v>
      </c>
      <c r="AZ849" s="196"/>
      <c r="BA849" s="196" t="s">
        <v>2785</v>
      </c>
    </row>
    <row r="850" spans="2:53" s="142" customFormat="1" ht="21" customHeight="1" x14ac:dyDescent="0.25">
      <c r="B850" s="173" t="str">
        <f t="shared" si="7"/>
        <v>RM-J3/1D-2.20X620</v>
      </c>
      <c r="C850" s="173" t="s">
        <v>48</v>
      </c>
      <c r="D850" s="173" t="s">
        <v>48</v>
      </c>
      <c r="E850" s="190" t="s">
        <v>2808</v>
      </c>
      <c r="F850" s="190" t="s">
        <v>2809</v>
      </c>
      <c r="G850" s="173" t="s">
        <v>34</v>
      </c>
      <c r="H850" s="173" t="s">
        <v>127</v>
      </c>
      <c r="I850" s="174">
        <v>2.2000000000000002</v>
      </c>
      <c r="J850" s="174"/>
      <c r="K850" s="174"/>
      <c r="L850" s="174"/>
      <c r="M850" s="191">
        <v>620</v>
      </c>
      <c r="N850" s="176">
        <v>10.055</v>
      </c>
      <c r="O850" s="176"/>
      <c r="P850" s="177"/>
      <c r="Q850" s="178"/>
      <c r="R850" s="179"/>
      <c r="S850" s="179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80"/>
      <c r="AE850" s="173" t="s">
        <v>69</v>
      </c>
      <c r="AF850" s="181" t="s">
        <v>248</v>
      </c>
      <c r="AG850" s="192" t="s">
        <v>2781</v>
      </c>
      <c r="AH850" s="198">
        <v>44902</v>
      </c>
      <c r="AI850" s="181">
        <v>44922</v>
      </c>
      <c r="AJ850" s="181"/>
      <c r="AK850" s="181">
        <f ca="1">TODAY()</f>
        <v>44958</v>
      </c>
      <c r="AL850" s="173">
        <f t="shared" ca="1" si="4"/>
        <v>36</v>
      </c>
      <c r="AM850" s="173" t="str">
        <f t="shared" si="5"/>
        <v/>
      </c>
      <c r="AN850" s="181" t="s">
        <v>2782</v>
      </c>
      <c r="AO850" s="190" t="s">
        <v>2810</v>
      </c>
      <c r="AP850" s="176">
        <v>10.055</v>
      </c>
      <c r="AQ850" s="176">
        <v>10.094999999999999</v>
      </c>
      <c r="AR850" s="176">
        <v>10.035</v>
      </c>
      <c r="AS850" s="176">
        <v>10.035</v>
      </c>
      <c r="AT850" s="173"/>
      <c r="AU850" s="173">
        <v>463</v>
      </c>
      <c r="AV850" s="149"/>
      <c r="AW850" s="142" t="s">
        <v>123</v>
      </c>
      <c r="AY850" s="212" t="s">
        <v>2784</v>
      </c>
      <c r="AZ850" s="196"/>
      <c r="BA850" s="196" t="s">
        <v>2785</v>
      </c>
    </row>
    <row r="851" spans="2:53" s="142" customFormat="1" ht="21" customHeight="1" x14ac:dyDescent="0.25">
      <c r="B851" s="173" t="str">
        <f t="shared" si="7"/>
        <v>RM-J3/1D-2.20X620</v>
      </c>
      <c r="C851" s="173" t="s">
        <v>48</v>
      </c>
      <c r="D851" s="173" t="s">
        <v>48</v>
      </c>
      <c r="E851" s="190" t="s">
        <v>2811</v>
      </c>
      <c r="F851" s="190" t="s">
        <v>2812</v>
      </c>
      <c r="G851" s="173" t="s">
        <v>34</v>
      </c>
      <c r="H851" s="173" t="s">
        <v>127</v>
      </c>
      <c r="I851" s="174">
        <v>2.2000000000000002</v>
      </c>
      <c r="J851" s="174"/>
      <c r="K851" s="174"/>
      <c r="L851" s="174"/>
      <c r="M851" s="191">
        <v>620</v>
      </c>
      <c r="N851" s="176">
        <v>9.98</v>
      </c>
      <c r="O851" s="176"/>
      <c r="P851" s="177"/>
      <c r="Q851" s="178"/>
      <c r="R851" s="179"/>
      <c r="S851" s="179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80"/>
      <c r="AE851" s="173" t="s">
        <v>69</v>
      </c>
      <c r="AF851" s="181" t="s">
        <v>248</v>
      </c>
      <c r="AG851" s="192" t="s">
        <v>2781</v>
      </c>
      <c r="AH851" s="198">
        <v>44902</v>
      </c>
      <c r="AI851" s="181">
        <v>44922</v>
      </c>
      <c r="AJ851" s="181"/>
      <c r="AK851" s="181">
        <f ca="1">TODAY()</f>
        <v>44958</v>
      </c>
      <c r="AL851" s="173">
        <f t="shared" ca="1" si="4"/>
        <v>36</v>
      </c>
      <c r="AM851" s="173" t="str">
        <f t="shared" si="5"/>
        <v/>
      </c>
      <c r="AN851" s="181" t="s">
        <v>2813</v>
      </c>
      <c r="AO851" s="190" t="s">
        <v>2814</v>
      </c>
      <c r="AP851" s="176">
        <v>9.98</v>
      </c>
      <c r="AQ851" s="176">
        <v>10.02</v>
      </c>
      <c r="AR851" s="176">
        <v>9.94</v>
      </c>
      <c r="AS851" s="176">
        <v>9.94</v>
      </c>
      <c r="AT851" s="173"/>
      <c r="AU851" s="173">
        <v>463</v>
      </c>
      <c r="AV851" s="149"/>
      <c r="AW851" s="142" t="s">
        <v>123</v>
      </c>
      <c r="AY851" s="212" t="s">
        <v>2784</v>
      </c>
      <c r="AZ851" s="196"/>
      <c r="BA851" s="196" t="s">
        <v>2785</v>
      </c>
    </row>
    <row r="852" spans="2:53" s="142" customFormat="1" ht="21" customHeight="1" x14ac:dyDescent="0.25">
      <c r="B852" s="173" t="str">
        <f t="shared" si="7"/>
        <v>RM-J3/1D-2.20X620</v>
      </c>
      <c r="C852" s="173" t="s">
        <v>48</v>
      </c>
      <c r="D852" s="173" t="s">
        <v>48</v>
      </c>
      <c r="E852" s="190" t="s">
        <v>2815</v>
      </c>
      <c r="F852" s="190" t="s">
        <v>2816</v>
      </c>
      <c r="G852" s="173" t="s">
        <v>34</v>
      </c>
      <c r="H852" s="173" t="s">
        <v>127</v>
      </c>
      <c r="I852" s="174">
        <v>2.2000000000000002</v>
      </c>
      <c r="J852" s="174"/>
      <c r="K852" s="174"/>
      <c r="L852" s="174"/>
      <c r="M852" s="191">
        <v>620</v>
      </c>
      <c r="N852" s="176">
        <v>10</v>
      </c>
      <c r="O852" s="176"/>
      <c r="P852" s="177"/>
      <c r="Q852" s="178"/>
      <c r="R852" s="179"/>
      <c r="S852" s="179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80"/>
      <c r="AE852" s="173" t="s">
        <v>69</v>
      </c>
      <c r="AF852" s="181" t="s">
        <v>248</v>
      </c>
      <c r="AG852" s="192" t="s">
        <v>2781</v>
      </c>
      <c r="AH852" s="198">
        <v>44902</v>
      </c>
      <c r="AI852" s="181">
        <v>44922</v>
      </c>
      <c r="AJ852" s="181"/>
      <c r="AK852" s="181">
        <f ca="1">TODAY()</f>
        <v>44958</v>
      </c>
      <c r="AL852" s="173">
        <f t="shared" ca="1" si="4"/>
        <v>36</v>
      </c>
      <c r="AM852" s="173" t="str">
        <f t="shared" si="5"/>
        <v/>
      </c>
      <c r="AN852" s="181" t="s">
        <v>2813</v>
      </c>
      <c r="AO852" s="190" t="s">
        <v>2814</v>
      </c>
      <c r="AP852" s="176">
        <v>10</v>
      </c>
      <c r="AQ852" s="176">
        <v>10.039999999999999</v>
      </c>
      <c r="AR852" s="176">
        <v>9.9849999999999994</v>
      </c>
      <c r="AS852" s="176">
        <v>9.9849999999999994</v>
      </c>
      <c r="AT852" s="173"/>
      <c r="AU852" s="173">
        <v>463</v>
      </c>
      <c r="AV852" s="149"/>
      <c r="AW852" s="142" t="s">
        <v>123</v>
      </c>
      <c r="AY852" s="212" t="s">
        <v>2784</v>
      </c>
      <c r="AZ852" s="196"/>
      <c r="BA852" s="196" t="s">
        <v>2785</v>
      </c>
    </row>
    <row r="853" spans="2:53" s="142" customFormat="1" ht="21" customHeight="1" x14ac:dyDescent="0.25">
      <c r="B853" s="173" t="str">
        <f t="shared" si="7"/>
        <v>RM-J3/1D-2.20X620</v>
      </c>
      <c r="C853" s="173" t="s">
        <v>48</v>
      </c>
      <c r="D853" s="173" t="s">
        <v>48</v>
      </c>
      <c r="E853" s="190" t="s">
        <v>2817</v>
      </c>
      <c r="F853" s="190" t="s">
        <v>2818</v>
      </c>
      <c r="G853" s="173" t="s">
        <v>34</v>
      </c>
      <c r="H853" s="173" t="s">
        <v>127</v>
      </c>
      <c r="I853" s="174">
        <v>2.2000000000000002</v>
      </c>
      <c r="J853" s="174"/>
      <c r="K853" s="174"/>
      <c r="L853" s="174"/>
      <c r="M853" s="191">
        <v>620</v>
      </c>
      <c r="N853" s="176">
        <v>4.8259999999999996</v>
      </c>
      <c r="O853" s="176"/>
      <c r="P853" s="177"/>
      <c r="Q853" s="178"/>
      <c r="R853" s="179"/>
      <c r="S853" s="179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80"/>
      <c r="AE853" s="173" t="s">
        <v>69</v>
      </c>
      <c r="AF853" s="181" t="s">
        <v>248</v>
      </c>
      <c r="AG853" s="192" t="s">
        <v>2781</v>
      </c>
      <c r="AH853" s="198">
        <v>44902</v>
      </c>
      <c r="AI853" s="181">
        <v>44922</v>
      </c>
      <c r="AJ853" s="181"/>
      <c r="AK853" s="181">
        <f ca="1">TODAY()</f>
        <v>44958</v>
      </c>
      <c r="AL853" s="173">
        <f t="shared" ca="1" si="4"/>
        <v>36</v>
      </c>
      <c r="AM853" s="173" t="str">
        <f t="shared" si="5"/>
        <v/>
      </c>
      <c r="AN853" s="181" t="s">
        <v>2796</v>
      </c>
      <c r="AO853" s="190" t="s">
        <v>2819</v>
      </c>
      <c r="AP853" s="176">
        <v>4.8259999999999996</v>
      </c>
      <c r="AQ853" s="176">
        <v>4.8659999999999997</v>
      </c>
      <c r="AR853" s="176">
        <v>4.8099999999999996</v>
      </c>
      <c r="AS853" s="176">
        <v>4.8099999999999996</v>
      </c>
      <c r="AT853" s="173"/>
      <c r="AU853" s="173">
        <v>463</v>
      </c>
      <c r="AV853" s="149"/>
      <c r="AW853" s="142" t="s">
        <v>123</v>
      </c>
      <c r="AY853" s="212" t="s">
        <v>2784</v>
      </c>
      <c r="AZ853" s="196"/>
      <c r="BA853" s="196" t="s">
        <v>2785</v>
      </c>
    </row>
    <row r="854" spans="2:53" s="142" customFormat="1" ht="21" customHeight="1" x14ac:dyDescent="0.25">
      <c r="B854" s="173" t="str">
        <f t="shared" si="7"/>
        <v>RM-J3/1D-2.20X620</v>
      </c>
      <c r="C854" s="173" t="s">
        <v>48</v>
      </c>
      <c r="D854" s="173" t="s">
        <v>48</v>
      </c>
      <c r="E854" s="190" t="s">
        <v>2820</v>
      </c>
      <c r="F854" s="190" t="s">
        <v>2821</v>
      </c>
      <c r="G854" s="173" t="s">
        <v>34</v>
      </c>
      <c r="H854" s="173" t="s">
        <v>127</v>
      </c>
      <c r="I854" s="174">
        <v>2.2000000000000002</v>
      </c>
      <c r="J854" s="174"/>
      <c r="K854" s="174"/>
      <c r="L854" s="174"/>
      <c r="M854" s="191">
        <v>620</v>
      </c>
      <c r="N854" s="176">
        <v>4.8380000000000001</v>
      </c>
      <c r="O854" s="176"/>
      <c r="P854" s="177"/>
      <c r="Q854" s="178"/>
      <c r="R854" s="179"/>
      <c r="S854" s="179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80"/>
      <c r="AE854" s="173" t="s">
        <v>69</v>
      </c>
      <c r="AF854" s="181" t="s">
        <v>248</v>
      </c>
      <c r="AG854" s="192" t="s">
        <v>2781</v>
      </c>
      <c r="AH854" s="198">
        <v>44902</v>
      </c>
      <c r="AI854" s="181">
        <v>44922</v>
      </c>
      <c r="AJ854" s="181"/>
      <c r="AK854" s="181">
        <f ca="1">TODAY()</f>
        <v>44958</v>
      </c>
      <c r="AL854" s="173">
        <f t="shared" ca="1" si="4"/>
        <v>36</v>
      </c>
      <c r="AM854" s="173" t="str">
        <f t="shared" si="5"/>
        <v/>
      </c>
      <c r="AN854" s="181" t="s">
        <v>2791</v>
      </c>
      <c r="AO854" s="190" t="s">
        <v>2819</v>
      </c>
      <c r="AP854" s="176">
        <v>4.8380000000000001</v>
      </c>
      <c r="AQ854" s="176">
        <v>4.8780000000000001</v>
      </c>
      <c r="AR854" s="176">
        <v>4.82</v>
      </c>
      <c r="AS854" s="176">
        <v>4.82</v>
      </c>
      <c r="AT854" s="173"/>
      <c r="AU854" s="173">
        <v>463</v>
      </c>
      <c r="AV854" s="149"/>
      <c r="AW854" s="142" t="s">
        <v>123</v>
      </c>
      <c r="AY854" s="212" t="s">
        <v>2784</v>
      </c>
      <c r="AZ854" s="196"/>
      <c r="BA854" s="196" t="s">
        <v>2785</v>
      </c>
    </row>
    <row r="855" spans="2:53" s="142" customFormat="1" ht="21" customHeight="1" x14ac:dyDescent="0.25">
      <c r="B855" s="173" t="str">
        <f t="shared" si="7"/>
        <v>RM-J3/1D-2.20X620</v>
      </c>
      <c r="C855" s="173" t="s">
        <v>48</v>
      </c>
      <c r="D855" s="173" t="s">
        <v>48</v>
      </c>
      <c r="E855" s="190" t="s">
        <v>2822</v>
      </c>
      <c r="F855" s="190" t="s">
        <v>2823</v>
      </c>
      <c r="G855" s="173" t="s">
        <v>34</v>
      </c>
      <c r="H855" s="173" t="s">
        <v>127</v>
      </c>
      <c r="I855" s="174">
        <v>2.2000000000000002</v>
      </c>
      <c r="J855" s="174"/>
      <c r="K855" s="174"/>
      <c r="L855" s="174"/>
      <c r="M855" s="191">
        <v>620</v>
      </c>
      <c r="N855" s="176">
        <v>5.0979999999999999</v>
      </c>
      <c r="O855" s="176"/>
      <c r="P855" s="177"/>
      <c r="Q855" s="178"/>
      <c r="R855" s="179"/>
      <c r="S855" s="179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80"/>
      <c r="AE855" s="173" t="s">
        <v>69</v>
      </c>
      <c r="AF855" s="181" t="s">
        <v>248</v>
      </c>
      <c r="AG855" s="192" t="s">
        <v>2781</v>
      </c>
      <c r="AH855" s="198">
        <v>44902</v>
      </c>
      <c r="AI855" s="181">
        <v>44922</v>
      </c>
      <c r="AJ855" s="181"/>
      <c r="AK855" s="181">
        <f ca="1">TODAY()</f>
        <v>44958</v>
      </c>
      <c r="AL855" s="173">
        <f t="shared" ca="1" si="4"/>
        <v>36</v>
      </c>
      <c r="AM855" s="173" t="str">
        <f t="shared" si="5"/>
        <v/>
      </c>
      <c r="AN855" s="181" t="s">
        <v>2813</v>
      </c>
      <c r="AO855" s="190" t="s">
        <v>2819</v>
      </c>
      <c r="AP855" s="176">
        <v>5.0979999999999999</v>
      </c>
      <c r="AQ855" s="176">
        <v>5.1379999999999999</v>
      </c>
      <c r="AR855" s="176">
        <v>5.0750000000000002</v>
      </c>
      <c r="AS855" s="176">
        <v>5.0750000000000002</v>
      </c>
      <c r="AT855" s="173"/>
      <c r="AU855" s="173">
        <v>463</v>
      </c>
      <c r="AV855" s="149"/>
      <c r="AW855" s="142" t="s">
        <v>123</v>
      </c>
      <c r="AY855" s="212" t="s">
        <v>2784</v>
      </c>
      <c r="AZ855" s="196"/>
      <c r="BA855" s="196" t="s">
        <v>2785</v>
      </c>
    </row>
    <row r="856" spans="2:53" s="142" customFormat="1" ht="21" customHeight="1" x14ac:dyDescent="0.25">
      <c r="B856" s="173" t="str">
        <f t="shared" si="7"/>
        <v>RM-J3/1D-2.20X620</v>
      </c>
      <c r="C856" s="173" t="s">
        <v>48</v>
      </c>
      <c r="D856" s="173" t="s">
        <v>48</v>
      </c>
      <c r="E856" s="190" t="s">
        <v>2824</v>
      </c>
      <c r="F856" s="190" t="s">
        <v>2825</v>
      </c>
      <c r="G856" s="173" t="s">
        <v>34</v>
      </c>
      <c r="H856" s="173" t="s">
        <v>127</v>
      </c>
      <c r="I856" s="174">
        <v>2.2000000000000002</v>
      </c>
      <c r="J856" s="174"/>
      <c r="K856" s="174"/>
      <c r="L856" s="174"/>
      <c r="M856" s="191">
        <v>620</v>
      </c>
      <c r="N856" s="176">
        <v>5.0880000000000001</v>
      </c>
      <c r="O856" s="176"/>
      <c r="P856" s="177"/>
      <c r="Q856" s="178"/>
      <c r="R856" s="179"/>
      <c r="S856" s="179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80"/>
      <c r="AE856" s="173" t="s">
        <v>69</v>
      </c>
      <c r="AF856" s="181" t="s">
        <v>248</v>
      </c>
      <c r="AG856" s="192" t="s">
        <v>2781</v>
      </c>
      <c r="AH856" s="198">
        <v>44902</v>
      </c>
      <c r="AI856" s="181">
        <v>44922</v>
      </c>
      <c r="AJ856" s="181"/>
      <c r="AK856" s="181">
        <f ca="1">TODAY()</f>
        <v>44958</v>
      </c>
      <c r="AL856" s="173">
        <f t="shared" ca="1" si="4"/>
        <v>36</v>
      </c>
      <c r="AM856" s="173" t="str">
        <f t="shared" si="5"/>
        <v/>
      </c>
      <c r="AN856" s="181" t="s">
        <v>2826</v>
      </c>
      <c r="AO856" s="190" t="s">
        <v>2819</v>
      </c>
      <c r="AP856" s="176">
        <v>5.0880000000000001</v>
      </c>
      <c r="AQ856" s="176">
        <v>5.1280000000000001</v>
      </c>
      <c r="AR856" s="176">
        <v>5.07</v>
      </c>
      <c r="AS856" s="176">
        <v>5.07</v>
      </c>
      <c r="AT856" s="173"/>
      <c r="AU856" s="173">
        <v>463</v>
      </c>
      <c r="AV856" s="149"/>
      <c r="AW856" s="142" t="s">
        <v>123</v>
      </c>
      <c r="AY856" s="212" t="s">
        <v>2784</v>
      </c>
      <c r="AZ856" s="196"/>
      <c r="BA856" s="196" t="s">
        <v>2785</v>
      </c>
    </row>
    <row r="857" spans="2:53" s="142" customFormat="1" ht="21" customHeight="1" x14ac:dyDescent="0.25">
      <c r="B857" s="173" t="str">
        <f t="shared" si="7"/>
        <v>RM-J3/1D-2.20X620</v>
      </c>
      <c r="C857" s="173" t="s">
        <v>48</v>
      </c>
      <c r="D857" s="173" t="s">
        <v>48</v>
      </c>
      <c r="E857" s="190" t="s">
        <v>2827</v>
      </c>
      <c r="F857" s="190" t="s">
        <v>2828</v>
      </c>
      <c r="G857" s="173" t="s">
        <v>34</v>
      </c>
      <c r="H857" s="173" t="s">
        <v>127</v>
      </c>
      <c r="I857" s="174">
        <v>2.2000000000000002</v>
      </c>
      <c r="J857" s="174"/>
      <c r="K857" s="174"/>
      <c r="L857" s="174"/>
      <c r="M857" s="191">
        <v>620</v>
      </c>
      <c r="N857" s="176">
        <v>9.8450000000000006</v>
      </c>
      <c r="O857" s="176"/>
      <c r="P857" s="177"/>
      <c r="Q857" s="178"/>
      <c r="R857" s="179"/>
      <c r="S857" s="179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80"/>
      <c r="AE857" s="173" t="s">
        <v>69</v>
      </c>
      <c r="AF857" s="181" t="s">
        <v>248</v>
      </c>
      <c r="AG857" s="192" t="s">
        <v>2781</v>
      </c>
      <c r="AH857" s="198">
        <v>44902</v>
      </c>
      <c r="AI857" s="181">
        <v>44922</v>
      </c>
      <c r="AJ857" s="181"/>
      <c r="AK857" s="181">
        <f ca="1">TODAY()</f>
        <v>44958</v>
      </c>
      <c r="AL857" s="173">
        <f t="shared" ca="1" si="4"/>
        <v>36</v>
      </c>
      <c r="AM857" s="173" t="str">
        <f t="shared" si="5"/>
        <v/>
      </c>
      <c r="AN857" s="181" t="s">
        <v>2826</v>
      </c>
      <c r="AO857" s="190" t="s">
        <v>2829</v>
      </c>
      <c r="AP857" s="176">
        <v>9.8450000000000006</v>
      </c>
      <c r="AQ857" s="176">
        <v>9.8849999999999998</v>
      </c>
      <c r="AR857" s="176">
        <v>9.83</v>
      </c>
      <c r="AS857" s="176">
        <v>9.83</v>
      </c>
      <c r="AT857" s="173"/>
      <c r="AU857" s="173">
        <v>463</v>
      </c>
      <c r="AV857" s="149"/>
      <c r="AW857" s="142" t="s">
        <v>123</v>
      </c>
      <c r="AY857" s="212" t="s">
        <v>2784</v>
      </c>
      <c r="AZ857" s="196"/>
      <c r="BA857" s="196" t="s">
        <v>2785</v>
      </c>
    </row>
    <row r="858" spans="2:53" s="142" customFormat="1" ht="21" customHeight="1" x14ac:dyDescent="0.25">
      <c r="B858" s="173" t="str">
        <f t="shared" si="7"/>
        <v>RM-J3/1D-2.20X620</v>
      </c>
      <c r="C858" s="173" t="s">
        <v>48</v>
      </c>
      <c r="D858" s="173" t="s">
        <v>48</v>
      </c>
      <c r="E858" s="190" t="s">
        <v>2830</v>
      </c>
      <c r="F858" s="190" t="s">
        <v>2831</v>
      </c>
      <c r="G858" s="173" t="s">
        <v>34</v>
      </c>
      <c r="H858" s="173" t="s">
        <v>127</v>
      </c>
      <c r="I858" s="174">
        <v>2.2000000000000002</v>
      </c>
      <c r="J858" s="174"/>
      <c r="K858" s="174"/>
      <c r="L858" s="174"/>
      <c r="M858" s="191">
        <v>620</v>
      </c>
      <c r="N858" s="176">
        <v>9.7449999999999992</v>
      </c>
      <c r="O858" s="176"/>
      <c r="P858" s="177"/>
      <c r="Q858" s="178"/>
      <c r="R858" s="179"/>
      <c r="S858" s="179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80"/>
      <c r="AE858" s="173" t="s">
        <v>69</v>
      </c>
      <c r="AF858" s="181" t="s">
        <v>248</v>
      </c>
      <c r="AG858" s="192" t="s">
        <v>2781</v>
      </c>
      <c r="AH858" s="198">
        <v>44902</v>
      </c>
      <c r="AI858" s="181">
        <v>44922</v>
      </c>
      <c r="AJ858" s="181"/>
      <c r="AK858" s="181">
        <f ca="1">TODAY()</f>
        <v>44958</v>
      </c>
      <c r="AL858" s="173">
        <f t="shared" ca="1" si="4"/>
        <v>36</v>
      </c>
      <c r="AM858" s="173" t="str">
        <f t="shared" si="5"/>
        <v/>
      </c>
      <c r="AN858" s="181" t="s">
        <v>2826</v>
      </c>
      <c r="AO858" s="190" t="s">
        <v>2829</v>
      </c>
      <c r="AP858" s="176">
        <v>9.7449999999999992</v>
      </c>
      <c r="AQ858" s="176">
        <v>9.7849999999999984</v>
      </c>
      <c r="AR858" s="176">
        <v>9.74</v>
      </c>
      <c r="AS858" s="176">
        <v>9.74</v>
      </c>
      <c r="AT858" s="173"/>
      <c r="AU858" s="173">
        <v>463</v>
      </c>
      <c r="AV858" s="149"/>
      <c r="AW858" s="142" t="s">
        <v>123</v>
      </c>
      <c r="AY858" s="212" t="s">
        <v>2784</v>
      </c>
      <c r="AZ858" s="196"/>
      <c r="BA858" s="196" t="s">
        <v>2785</v>
      </c>
    </row>
    <row r="859" spans="2:53" s="142" customFormat="1" ht="21" customHeight="1" x14ac:dyDescent="0.25">
      <c r="B859" s="173" t="str">
        <f t="shared" si="7"/>
        <v>RM-J3/1D-2.40X620</v>
      </c>
      <c r="C859" s="173" t="s">
        <v>48</v>
      </c>
      <c r="D859" s="173" t="s">
        <v>48</v>
      </c>
      <c r="E859" s="190" t="s">
        <v>2832</v>
      </c>
      <c r="F859" s="190" t="s">
        <v>2833</v>
      </c>
      <c r="G859" s="173" t="s">
        <v>34</v>
      </c>
      <c r="H859" s="173" t="s">
        <v>127</v>
      </c>
      <c r="I859" s="174">
        <v>2.4</v>
      </c>
      <c r="J859" s="174"/>
      <c r="K859" s="174"/>
      <c r="L859" s="174"/>
      <c r="M859" s="191">
        <v>620</v>
      </c>
      <c r="N859" s="176">
        <v>10.018000000000001</v>
      </c>
      <c r="O859" s="176"/>
      <c r="P859" s="177"/>
      <c r="Q859" s="178"/>
      <c r="R859" s="179"/>
      <c r="S859" s="179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80"/>
      <c r="AE859" s="173" t="s">
        <v>69</v>
      </c>
      <c r="AF859" s="181" t="s">
        <v>119</v>
      </c>
      <c r="AG859" s="192" t="s">
        <v>2834</v>
      </c>
      <c r="AH859" s="198">
        <v>44895</v>
      </c>
      <c r="AI859" s="181">
        <v>44925</v>
      </c>
      <c r="AJ859" s="181"/>
      <c r="AK859" s="181">
        <f ca="1">TODAY()</f>
        <v>44958</v>
      </c>
      <c r="AL859" s="173">
        <f t="shared" ca="1" si="4"/>
        <v>33</v>
      </c>
      <c r="AM859" s="173" t="str">
        <f t="shared" si="5"/>
        <v/>
      </c>
      <c r="AN859" s="181" t="s">
        <v>2835</v>
      </c>
      <c r="AO859" s="190" t="s">
        <v>2836</v>
      </c>
      <c r="AP859" s="176">
        <v>10.018000000000001</v>
      </c>
      <c r="AQ859" s="176">
        <v>10.038</v>
      </c>
      <c r="AR859" s="176">
        <v>10.062999999999999</v>
      </c>
      <c r="AS859" s="176">
        <v>10.068</v>
      </c>
      <c r="AT859" s="173"/>
      <c r="AU859" s="173">
        <v>464</v>
      </c>
      <c r="AV859" s="149"/>
      <c r="AW859" s="142" t="s">
        <v>123</v>
      </c>
      <c r="AY859" s="212"/>
      <c r="AZ859" s="196"/>
      <c r="BA859" s="196"/>
    </row>
    <row r="860" spans="2:53" s="142" customFormat="1" ht="21" customHeight="1" x14ac:dyDescent="0.25">
      <c r="B860" s="173" t="str">
        <f t="shared" si="7"/>
        <v>RM-J3/1D-2.40X620</v>
      </c>
      <c r="C860" s="173" t="s">
        <v>48</v>
      </c>
      <c r="D860" s="173" t="s">
        <v>48</v>
      </c>
      <c r="E860" s="190" t="s">
        <v>2837</v>
      </c>
      <c r="F860" s="190" t="s">
        <v>2838</v>
      </c>
      <c r="G860" s="173" t="s">
        <v>34</v>
      </c>
      <c r="H860" s="173" t="s">
        <v>127</v>
      </c>
      <c r="I860" s="174">
        <v>2.4</v>
      </c>
      <c r="J860" s="174"/>
      <c r="K860" s="174"/>
      <c r="L860" s="174"/>
      <c r="M860" s="191">
        <v>620</v>
      </c>
      <c r="N860" s="176">
        <v>9.9819999999999993</v>
      </c>
      <c r="O860" s="176"/>
      <c r="P860" s="177"/>
      <c r="Q860" s="178"/>
      <c r="R860" s="179"/>
      <c r="S860" s="179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80"/>
      <c r="AE860" s="173" t="s">
        <v>69</v>
      </c>
      <c r="AF860" s="181" t="s">
        <v>119</v>
      </c>
      <c r="AG860" s="192" t="s">
        <v>2834</v>
      </c>
      <c r="AH860" s="198">
        <v>44895</v>
      </c>
      <c r="AI860" s="181">
        <v>44925</v>
      </c>
      <c r="AJ860" s="181"/>
      <c r="AK860" s="181">
        <f ca="1">TODAY()</f>
        <v>44958</v>
      </c>
      <c r="AL860" s="173">
        <f t="shared" ca="1" si="4"/>
        <v>33</v>
      </c>
      <c r="AM860" s="173" t="str">
        <f t="shared" si="5"/>
        <v/>
      </c>
      <c r="AN860" s="181" t="s">
        <v>2835</v>
      </c>
      <c r="AO860" s="190" t="s">
        <v>2836</v>
      </c>
      <c r="AP860" s="176">
        <v>9.9819999999999993</v>
      </c>
      <c r="AQ860" s="176">
        <v>10.002000000000001</v>
      </c>
      <c r="AR860" s="176">
        <v>10.026999999999999</v>
      </c>
      <c r="AS860" s="176">
        <v>10.032</v>
      </c>
      <c r="AT860" s="173"/>
      <c r="AU860" s="173">
        <v>464</v>
      </c>
      <c r="AV860" s="149"/>
      <c r="AW860" s="142" t="s">
        <v>123</v>
      </c>
      <c r="AY860" s="212"/>
      <c r="AZ860" s="196"/>
      <c r="BA860" s="196"/>
    </row>
    <row r="861" spans="2:53" s="142" customFormat="1" ht="21" customHeight="1" x14ac:dyDescent="0.25">
      <c r="B861" s="173" t="str">
        <f t="shared" si="7"/>
        <v>RM-J3/1D-2.40X620</v>
      </c>
      <c r="C861" s="173" t="s">
        <v>48</v>
      </c>
      <c r="D861" s="173" t="s">
        <v>48</v>
      </c>
      <c r="E861" s="190" t="s">
        <v>2839</v>
      </c>
      <c r="F861" s="190" t="s">
        <v>2840</v>
      </c>
      <c r="G861" s="173" t="s">
        <v>34</v>
      </c>
      <c r="H861" s="173" t="s">
        <v>127</v>
      </c>
      <c r="I861" s="174">
        <v>2.4</v>
      </c>
      <c r="J861" s="174"/>
      <c r="K861" s="174"/>
      <c r="L861" s="174"/>
      <c r="M861" s="191">
        <v>620</v>
      </c>
      <c r="N861" s="176">
        <v>10.013</v>
      </c>
      <c r="O861" s="176"/>
      <c r="P861" s="177"/>
      <c r="Q861" s="178"/>
      <c r="R861" s="179"/>
      <c r="S861" s="179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80"/>
      <c r="AE861" s="173" t="s">
        <v>69</v>
      </c>
      <c r="AF861" s="181" t="s">
        <v>119</v>
      </c>
      <c r="AG861" s="192" t="s">
        <v>2834</v>
      </c>
      <c r="AH861" s="198">
        <v>44895</v>
      </c>
      <c r="AI861" s="181">
        <v>44925</v>
      </c>
      <c r="AJ861" s="181"/>
      <c r="AK861" s="181">
        <f ca="1">TODAY()</f>
        <v>44958</v>
      </c>
      <c r="AL861" s="173">
        <f t="shared" ca="1" si="4"/>
        <v>33</v>
      </c>
      <c r="AM861" s="173" t="str">
        <f t="shared" si="5"/>
        <v/>
      </c>
      <c r="AN861" s="181" t="s">
        <v>2841</v>
      </c>
      <c r="AO861" s="190" t="s">
        <v>2842</v>
      </c>
      <c r="AP861" s="176">
        <v>10.013</v>
      </c>
      <c r="AQ861" s="176">
        <v>10.032999999999999</v>
      </c>
      <c r="AR861" s="176">
        <v>10.057999999999998</v>
      </c>
      <c r="AS861" s="176">
        <v>10.062999999999999</v>
      </c>
      <c r="AT861" s="173"/>
      <c r="AU861" s="173">
        <v>464</v>
      </c>
      <c r="AV861" s="149"/>
      <c r="AW861" s="142" t="s">
        <v>123</v>
      </c>
      <c r="AY861" s="212"/>
      <c r="AZ861" s="196"/>
      <c r="BA861" s="196"/>
    </row>
    <row r="862" spans="2:53" s="142" customFormat="1" ht="21" customHeight="1" x14ac:dyDescent="0.25">
      <c r="B862" s="173" t="str">
        <f t="shared" si="7"/>
        <v>RM-J3/1D-2.40X620</v>
      </c>
      <c r="C862" s="173" t="s">
        <v>48</v>
      </c>
      <c r="D862" s="173" t="s">
        <v>48</v>
      </c>
      <c r="E862" s="190" t="s">
        <v>2843</v>
      </c>
      <c r="F862" s="190" t="s">
        <v>2844</v>
      </c>
      <c r="G862" s="173" t="s">
        <v>34</v>
      </c>
      <c r="H862" s="173" t="s">
        <v>127</v>
      </c>
      <c r="I862" s="174">
        <v>2.4</v>
      </c>
      <c r="J862" s="174"/>
      <c r="K862" s="174"/>
      <c r="L862" s="174"/>
      <c r="M862" s="191">
        <v>620</v>
      </c>
      <c r="N862" s="176">
        <v>9.9819999999999993</v>
      </c>
      <c r="O862" s="176"/>
      <c r="P862" s="177"/>
      <c r="Q862" s="178"/>
      <c r="R862" s="179"/>
      <c r="S862" s="179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80"/>
      <c r="AE862" s="173" t="s">
        <v>69</v>
      </c>
      <c r="AF862" s="181" t="s">
        <v>119</v>
      </c>
      <c r="AG862" s="192" t="s">
        <v>2834</v>
      </c>
      <c r="AH862" s="198">
        <v>44895</v>
      </c>
      <c r="AI862" s="181">
        <v>44925</v>
      </c>
      <c r="AJ862" s="181"/>
      <c r="AK862" s="181">
        <f ca="1">TODAY()</f>
        <v>44958</v>
      </c>
      <c r="AL862" s="173">
        <f t="shared" ca="1" si="4"/>
        <v>33</v>
      </c>
      <c r="AM862" s="173" t="str">
        <f t="shared" si="5"/>
        <v/>
      </c>
      <c r="AN862" s="181" t="s">
        <v>2841</v>
      </c>
      <c r="AO862" s="190" t="s">
        <v>2842</v>
      </c>
      <c r="AP862" s="176">
        <v>9.9819999999999993</v>
      </c>
      <c r="AQ862" s="176">
        <v>10.001999999999999</v>
      </c>
      <c r="AR862" s="176">
        <v>10.026999999999997</v>
      </c>
      <c r="AS862" s="176">
        <v>10.031999999999998</v>
      </c>
      <c r="AT862" s="173"/>
      <c r="AU862" s="173">
        <v>464</v>
      </c>
      <c r="AV862" s="149"/>
      <c r="AW862" s="142" t="s">
        <v>123</v>
      </c>
      <c r="AY862" s="212"/>
      <c r="AZ862" s="196"/>
      <c r="BA862" s="196"/>
    </row>
    <row r="863" spans="2:53" s="142" customFormat="1" ht="21" customHeight="1" x14ac:dyDescent="0.25">
      <c r="B863" s="173" t="str">
        <f t="shared" si="7"/>
        <v>RM-J3/1D-2.20X620</v>
      </c>
      <c r="C863" s="173" t="s">
        <v>48</v>
      </c>
      <c r="D863" s="173" t="s">
        <v>48</v>
      </c>
      <c r="E863" s="190" t="s">
        <v>2845</v>
      </c>
      <c r="F863" s="190" t="s">
        <v>2846</v>
      </c>
      <c r="G863" s="173" t="s">
        <v>34</v>
      </c>
      <c r="H863" s="173" t="s">
        <v>127</v>
      </c>
      <c r="I863" s="174">
        <v>2.2000000000000002</v>
      </c>
      <c r="J863" s="174"/>
      <c r="K863" s="174"/>
      <c r="L863" s="174"/>
      <c r="M863" s="191">
        <v>620</v>
      </c>
      <c r="N863" s="176">
        <v>10.009</v>
      </c>
      <c r="O863" s="176"/>
      <c r="P863" s="177"/>
      <c r="Q863" s="178"/>
      <c r="R863" s="179"/>
      <c r="S863" s="179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80"/>
      <c r="AE863" s="173" t="s">
        <v>69</v>
      </c>
      <c r="AF863" s="181" t="s">
        <v>119</v>
      </c>
      <c r="AG863" s="192" t="s">
        <v>2834</v>
      </c>
      <c r="AH863" s="198">
        <v>44895</v>
      </c>
      <c r="AI863" s="181">
        <v>44925</v>
      </c>
      <c r="AJ863" s="181"/>
      <c r="AK863" s="181">
        <f ca="1">TODAY()</f>
        <v>44958</v>
      </c>
      <c r="AL863" s="173">
        <f t="shared" ca="1" si="4"/>
        <v>33</v>
      </c>
      <c r="AM863" s="173" t="str">
        <f t="shared" si="5"/>
        <v/>
      </c>
      <c r="AN863" s="181" t="s">
        <v>2847</v>
      </c>
      <c r="AO863" s="190" t="s">
        <v>2848</v>
      </c>
      <c r="AP863" s="176">
        <v>10.009</v>
      </c>
      <c r="AQ863" s="176">
        <v>10.029</v>
      </c>
      <c r="AR863" s="176">
        <v>10.053999999999998</v>
      </c>
      <c r="AS863" s="176">
        <v>10.058999999999999</v>
      </c>
      <c r="AT863" s="173"/>
      <c r="AU863" s="173">
        <v>464</v>
      </c>
      <c r="AV863" s="149"/>
      <c r="AW863" s="142" t="s">
        <v>123</v>
      </c>
      <c r="AY863" s="212"/>
      <c r="AZ863" s="196"/>
      <c r="BA863" s="196"/>
    </row>
    <row r="864" spans="2:53" s="142" customFormat="1" ht="21" customHeight="1" x14ac:dyDescent="0.25">
      <c r="B864" s="173" t="str">
        <f t="shared" si="7"/>
        <v>RM-J3/1D-2.20X620</v>
      </c>
      <c r="C864" s="173" t="s">
        <v>48</v>
      </c>
      <c r="D864" s="173" t="s">
        <v>48</v>
      </c>
      <c r="E864" s="190" t="s">
        <v>2849</v>
      </c>
      <c r="F864" s="190" t="s">
        <v>2850</v>
      </c>
      <c r="G864" s="173" t="s">
        <v>34</v>
      </c>
      <c r="H864" s="173" t="s">
        <v>127</v>
      </c>
      <c r="I864" s="174">
        <v>2.2000000000000002</v>
      </c>
      <c r="J864" s="174"/>
      <c r="K864" s="174"/>
      <c r="L864" s="174"/>
      <c r="M864" s="191">
        <v>620</v>
      </c>
      <c r="N864" s="176">
        <v>9.9459999999999997</v>
      </c>
      <c r="O864" s="176"/>
      <c r="P864" s="177"/>
      <c r="Q864" s="178"/>
      <c r="R864" s="179"/>
      <c r="S864" s="179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80"/>
      <c r="AE864" s="173" t="s">
        <v>69</v>
      </c>
      <c r="AF864" s="181" t="s">
        <v>119</v>
      </c>
      <c r="AG864" s="192" t="s">
        <v>2834</v>
      </c>
      <c r="AH864" s="198">
        <v>44895</v>
      </c>
      <c r="AI864" s="181">
        <v>44925</v>
      </c>
      <c r="AJ864" s="181"/>
      <c r="AK864" s="181">
        <f ca="1">TODAY()</f>
        <v>44958</v>
      </c>
      <c r="AL864" s="173">
        <f t="shared" ca="1" si="4"/>
        <v>33</v>
      </c>
      <c r="AM864" s="173" t="str">
        <f t="shared" si="5"/>
        <v/>
      </c>
      <c r="AN864" s="181" t="s">
        <v>2851</v>
      </c>
      <c r="AO864" s="190" t="s">
        <v>2848</v>
      </c>
      <c r="AP864" s="176">
        <v>9.9459999999999997</v>
      </c>
      <c r="AQ864" s="176">
        <v>9.9659999999999993</v>
      </c>
      <c r="AR864" s="176">
        <v>9.9909999999999979</v>
      </c>
      <c r="AS864" s="176">
        <v>9.9959999999999987</v>
      </c>
      <c r="AT864" s="173"/>
      <c r="AU864" s="173">
        <v>464</v>
      </c>
      <c r="AV864" s="149"/>
      <c r="AW864" s="142" t="s">
        <v>123</v>
      </c>
      <c r="AY864" s="212"/>
      <c r="AZ864" s="196"/>
      <c r="BA864" s="196"/>
    </row>
    <row r="865" spans="2:53" s="142" customFormat="1" ht="21" customHeight="1" x14ac:dyDescent="0.25">
      <c r="B865" s="173" t="str">
        <f t="shared" si="7"/>
        <v>RM-J3/1D-2.20X620</v>
      </c>
      <c r="C865" s="173" t="s">
        <v>13</v>
      </c>
      <c r="D865" s="173" t="s">
        <v>13</v>
      </c>
      <c r="E865" s="190" t="s">
        <v>2852</v>
      </c>
      <c r="F865" s="190" t="s">
        <v>2853</v>
      </c>
      <c r="G865" s="173" t="s">
        <v>34</v>
      </c>
      <c r="H865" s="173" t="s">
        <v>127</v>
      </c>
      <c r="I865" s="174">
        <v>2.2000000000000002</v>
      </c>
      <c r="J865" s="174"/>
      <c r="K865" s="174"/>
      <c r="L865" s="174"/>
      <c r="M865" s="191">
        <v>620</v>
      </c>
      <c r="N865" s="176">
        <v>9.9600000000000009</v>
      </c>
      <c r="O865" s="176"/>
      <c r="P865" s="177"/>
      <c r="Q865" s="178"/>
      <c r="R865" s="179"/>
      <c r="S865" s="179"/>
      <c r="T865" s="177"/>
      <c r="U865" s="177">
        <v>44954</v>
      </c>
      <c r="V865" s="177"/>
      <c r="W865" s="177"/>
      <c r="X865" s="177"/>
      <c r="Y865" s="177"/>
      <c r="Z865" s="177"/>
      <c r="AA865" s="177"/>
      <c r="AB865" s="177"/>
      <c r="AC865" s="177"/>
      <c r="AD865" s="180"/>
      <c r="AE865" s="173" t="s">
        <v>69</v>
      </c>
      <c r="AF865" s="181" t="s">
        <v>119</v>
      </c>
      <c r="AG865" s="192" t="s">
        <v>2834</v>
      </c>
      <c r="AH865" s="198">
        <v>44895</v>
      </c>
      <c r="AI865" s="181">
        <v>44925</v>
      </c>
      <c r="AJ865" s="181"/>
      <c r="AK865" s="181">
        <f ca="1">TODAY()</f>
        <v>44958</v>
      </c>
      <c r="AL865" s="173">
        <f t="shared" ca="1" si="4"/>
        <v>33</v>
      </c>
      <c r="AM865" s="173" t="str">
        <f t="shared" si="5"/>
        <v/>
      </c>
      <c r="AN865" s="181" t="s">
        <v>2854</v>
      </c>
      <c r="AO865" s="190" t="s">
        <v>2855</v>
      </c>
      <c r="AP865" s="176">
        <v>9.9600000000000009</v>
      </c>
      <c r="AQ865" s="176">
        <v>9.98</v>
      </c>
      <c r="AR865" s="176">
        <v>10.004999999999999</v>
      </c>
      <c r="AS865" s="176">
        <v>10.01</v>
      </c>
      <c r="AT865" s="173"/>
      <c r="AU865" s="173">
        <v>464</v>
      </c>
      <c r="AV865" s="149"/>
      <c r="AW865" s="142" t="s">
        <v>123</v>
      </c>
      <c r="AY865" s="212"/>
      <c r="AZ865" s="196"/>
      <c r="BA865" s="196"/>
    </row>
    <row r="866" spans="2:53" s="142" customFormat="1" ht="21" customHeight="1" x14ac:dyDescent="0.25">
      <c r="B866" s="173" t="str">
        <f t="shared" si="7"/>
        <v>RM-J3/1D-2.20X620</v>
      </c>
      <c r="C866" s="173" t="s">
        <v>48</v>
      </c>
      <c r="D866" s="173" t="s">
        <v>48</v>
      </c>
      <c r="E866" s="190" t="s">
        <v>2856</v>
      </c>
      <c r="F866" s="190" t="s">
        <v>2857</v>
      </c>
      <c r="G866" s="173" t="s">
        <v>34</v>
      </c>
      <c r="H866" s="173" t="s">
        <v>127</v>
      </c>
      <c r="I866" s="174">
        <v>2.2000000000000002</v>
      </c>
      <c r="J866" s="174"/>
      <c r="K866" s="174"/>
      <c r="L866" s="174"/>
      <c r="M866" s="191">
        <v>620</v>
      </c>
      <c r="N866" s="176">
        <v>9.9149999999999991</v>
      </c>
      <c r="O866" s="176"/>
      <c r="P866" s="177"/>
      <c r="Q866" s="178"/>
      <c r="R866" s="179"/>
      <c r="S866" s="179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80"/>
      <c r="AE866" s="173" t="s">
        <v>69</v>
      </c>
      <c r="AF866" s="181" t="s">
        <v>119</v>
      </c>
      <c r="AG866" s="192" t="s">
        <v>2834</v>
      </c>
      <c r="AH866" s="198">
        <v>44895</v>
      </c>
      <c r="AI866" s="181">
        <v>44925</v>
      </c>
      <c r="AJ866" s="181"/>
      <c r="AK866" s="181">
        <f ca="1">TODAY()</f>
        <v>44958</v>
      </c>
      <c r="AL866" s="173">
        <f t="shared" ca="1" si="4"/>
        <v>33</v>
      </c>
      <c r="AM866" s="173" t="str">
        <f t="shared" si="5"/>
        <v/>
      </c>
      <c r="AN866" s="181" t="s">
        <v>2847</v>
      </c>
      <c r="AO866" s="190" t="s">
        <v>2855</v>
      </c>
      <c r="AP866" s="176">
        <v>9.9149999999999991</v>
      </c>
      <c r="AQ866" s="176">
        <v>9.9349999999999987</v>
      </c>
      <c r="AR866" s="176">
        <v>9.9599999999999973</v>
      </c>
      <c r="AS866" s="176">
        <v>9.9649999999999981</v>
      </c>
      <c r="AT866" s="173"/>
      <c r="AU866" s="173">
        <v>464</v>
      </c>
      <c r="AV866" s="149"/>
      <c r="AW866" s="142" t="s">
        <v>123</v>
      </c>
      <c r="AY866" s="212"/>
      <c r="AZ866" s="196"/>
      <c r="BA866" s="196"/>
    </row>
    <row r="867" spans="2:53" s="142" customFormat="1" ht="21" customHeight="1" x14ac:dyDescent="0.25">
      <c r="B867" s="173" t="str">
        <f t="shared" si="7"/>
        <v>RM-J3/1D-2.20X620</v>
      </c>
      <c r="C867" s="173" t="s">
        <v>13</v>
      </c>
      <c r="D867" s="173" t="s">
        <v>13</v>
      </c>
      <c r="E867" s="190" t="s">
        <v>2858</v>
      </c>
      <c r="F867" s="190" t="s">
        <v>2859</v>
      </c>
      <c r="G867" s="173" t="s">
        <v>34</v>
      </c>
      <c r="H867" s="173" t="s">
        <v>127</v>
      </c>
      <c r="I867" s="174">
        <v>2.2000000000000002</v>
      </c>
      <c r="J867" s="174"/>
      <c r="K867" s="174"/>
      <c r="L867" s="174"/>
      <c r="M867" s="191">
        <v>620</v>
      </c>
      <c r="N867" s="176">
        <v>9.9730000000000008</v>
      </c>
      <c r="O867" s="176"/>
      <c r="P867" s="177"/>
      <c r="Q867" s="178"/>
      <c r="R867" s="179"/>
      <c r="S867" s="179"/>
      <c r="T867" s="177">
        <v>44952</v>
      </c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80"/>
      <c r="AE867" s="173" t="s">
        <v>69</v>
      </c>
      <c r="AF867" s="181" t="s">
        <v>119</v>
      </c>
      <c r="AG867" s="192" t="s">
        <v>2834</v>
      </c>
      <c r="AH867" s="198">
        <v>44895</v>
      </c>
      <c r="AI867" s="181">
        <v>44925</v>
      </c>
      <c r="AJ867" s="181"/>
      <c r="AK867" s="181">
        <f ca="1">TODAY()</f>
        <v>44958</v>
      </c>
      <c r="AL867" s="173">
        <f t="shared" ca="1" si="4"/>
        <v>33</v>
      </c>
      <c r="AM867" s="173" t="str">
        <f t="shared" si="5"/>
        <v/>
      </c>
      <c r="AN867" s="181" t="s">
        <v>2851</v>
      </c>
      <c r="AO867" s="190" t="s">
        <v>2860</v>
      </c>
      <c r="AP867" s="176">
        <v>9.9730000000000008</v>
      </c>
      <c r="AQ867" s="176">
        <v>9.9930000000000003</v>
      </c>
      <c r="AR867" s="176">
        <v>10.017999999999999</v>
      </c>
      <c r="AS867" s="176">
        <v>10.023</v>
      </c>
      <c r="AT867" s="173"/>
      <c r="AU867" s="173">
        <v>464</v>
      </c>
      <c r="AV867" s="149"/>
      <c r="AW867" s="142" t="s">
        <v>123</v>
      </c>
      <c r="AY867" s="212"/>
      <c r="AZ867" s="196"/>
      <c r="BA867" s="196"/>
    </row>
    <row r="868" spans="2:53" s="142" customFormat="1" ht="21" customHeight="1" x14ac:dyDescent="0.25">
      <c r="B868" s="173" t="str">
        <f t="shared" si="7"/>
        <v>RM-J3/1D-2.20X620</v>
      </c>
      <c r="C868" s="173" t="s">
        <v>48</v>
      </c>
      <c r="D868" s="173" t="s">
        <v>48</v>
      </c>
      <c r="E868" s="190" t="s">
        <v>2861</v>
      </c>
      <c r="F868" s="190" t="s">
        <v>2862</v>
      </c>
      <c r="G868" s="173" t="s">
        <v>34</v>
      </c>
      <c r="H868" s="173" t="s">
        <v>127</v>
      </c>
      <c r="I868" s="174">
        <v>2.2000000000000002</v>
      </c>
      <c r="J868" s="174"/>
      <c r="K868" s="174"/>
      <c r="L868" s="174"/>
      <c r="M868" s="191">
        <v>620</v>
      </c>
      <c r="N868" s="176">
        <v>9.9570000000000007</v>
      </c>
      <c r="O868" s="176"/>
      <c r="P868" s="177"/>
      <c r="Q868" s="178"/>
      <c r="R868" s="179"/>
      <c r="S868" s="179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80"/>
      <c r="AE868" s="173" t="s">
        <v>69</v>
      </c>
      <c r="AF868" s="181" t="s">
        <v>119</v>
      </c>
      <c r="AG868" s="192" t="s">
        <v>2834</v>
      </c>
      <c r="AH868" s="198">
        <v>44895</v>
      </c>
      <c r="AI868" s="181">
        <v>44925</v>
      </c>
      <c r="AJ868" s="181"/>
      <c r="AK868" s="181">
        <f ca="1">TODAY()</f>
        <v>44958</v>
      </c>
      <c r="AL868" s="173">
        <f t="shared" ca="1" si="4"/>
        <v>33</v>
      </c>
      <c r="AM868" s="173" t="str">
        <f t="shared" si="5"/>
        <v/>
      </c>
      <c r="AN868" s="181" t="s">
        <v>2854</v>
      </c>
      <c r="AO868" s="190" t="s">
        <v>2860</v>
      </c>
      <c r="AP868" s="176">
        <v>9.9570000000000007</v>
      </c>
      <c r="AQ868" s="176">
        <v>9.9770000000000003</v>
      </c>
      <c r="AR868" s="176">
        <v>10.001999999999999</v>
      </c>
      <c r="AS868" s="176">
        <v>10.007</v>
      </c>
      <c r="AT868" s="173"/>
      <c r="AU868" s="173">
        <v>464</v>
      </c>
      <c r="AV868" s="149"/>
      <c r="AW868" s="142" t="s">
        <v>123</v>
      </c>
      <c r="AY868" s="212"/>
      <c r="AZ868" s="196"/>
      <c r="BA868" s="196"/>
    </row>
    <row r="869" spans="2:53" s="142" customFormat="1" ht="21" customHeight="1" x14ac:dyDescent="0.25">
      <c r="B869" s="173" t="str">
        <f t="shared" si="7"/>
        <v>RM-J3/1D-2.40X620</v>
      </c>
      <c r="C869" s="173" t="s">
        <v>48</v>
      </c>
      <c r="D869" s="173" t="s">
        <v>48</v>
      </c>
      <c r="E869" s="190" t="s">
        <v>2863</v>
      </c>
      <c r="F869" s="190" t="s">
        <v>2864</v>
      </c>
      <c r="G869" s="173" t="s">
        <v>34</v>
      </c>
      <c r="H869" s="173" t="s">
        <v>127</v>
      </c>
      <c r="I869" s="174">
        <v>2.4</v>
      </c>
      <c r="J869" s="174"/>
      <c r="K869" s="174"/>
      <c r="L869" s="174"/>
      <c r="M869" s="191">
        <v>620</v>
      </c>
      <c r="N869" s="176">
        <v>10.007999999999999</v>
      </c>
      <c r="O869" s="176"/>
      <c r="P869" s="177"/>
      <c r="Q869" s="178"/>
      <c r="R869" s="179"/>
      <c r="S869" s="179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80"/>
      <c r="AE869" s="173" t="s">
        <v>69</v>
      </c>
      <c r="AF869" s="181" t="s">
        <v>119</v>
      </c>
      <c r="AG869" s="192" t="s">
        <v>2834</v>
      </c>
      <c r="AH869" s="198">
        <v>44895</v>
      </c>
      <c r="AI869" s="181">
        <v>44925</v>
      </c>
      <c r="AJ869" s="181"/>
      <c r="AK869" s="181">
        <f ca="1">TODAY()</f>
        <v>44958</v>
      </c>
      <c r="AL869" s="173">
        <f t="shared" ca="1" si="4"/>
        <v>33</v>
      </c>
      <c r="AM869" s="173" t="str">
        <f t="shared" si="5"/>
        <v/>
      </c>
      <c r="AN869" s="181" t="s">
        <v>2865</v>
      </c>
      <c r="AO869" s="190" t="s">
        <v>2866</v>
      </c>
      <c r="AP869" s="176">
        <v>10.007999999999999</v>
      </c>
      <c r="AQ869" s="176">
        <v>10.027999999999999</v>
      </c>
      <c r="AR869" s="176">
        <v>10.052999999999997</v>
      </c>
      <c r="AS869" s="176">
        <v>10.057999999999998</v>
      </c>
      <c r="AT869" s="173"/>
      <c r="AU869" s="173">
        <v>464</v>
      </c>
      <c r="AV869" s="149"/>
      <c r="AW869" s="142" t="s">
        <v>123</v>
      </c>
      <c r="AY869" s="212"/>
      <c r="AZ869" s="196"/>
      <c r="BA869" s="196"/>
    </row>
    <row r="870" spans="2:53" s="142" customFormat="1" ht="21" customHeight="1" x14ac:dyDescent="0.25">
      <c r="B870" s="173" t="str">
        <f t="shared" si="7"/>
        <v>RM-J3/1D-2.40X620</v>
      </c>
      <c r="C870" s="173" t="s">
        <v>48</v>
      </c>
      <c r="D870" s="173" t="s">
        <v>48</v>
      </c>
      <c r="E870" s="190" t="s">
        <v>2867</v>
      </c>
      <c r="F870" s="190" t="s">
        <v>2868</v>
      </c>
      <c r="G870" s="173" t="s">
        <v>34</v>
      </c>
      <c r="H870" s="173" t="s">
        <v>127</v>
      </c>
      <c r="I870" s="174">
        <v>2.4</v>
      </c>
      <c r="J870" s="174"/>
      <c r="K870" s="174"/>
      <c r="L870" s="174"/>
      <c r="M870" s="191">
        <v>620</v>
      </c>
      <c r="N870" s="176">
        <v>9.9819999999999993</v>
      </c>
      <c r="O870" s="176"/>
      <c r="P870" s="177"/>
      <c r="Q870" s="178"/>
      <c r="R870" s="179"/>
      <c r="S870" s="179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80"/>
      <c r="AE870" s="173" t="s">
        <v>69</v>
      </c>
      <c r="AF870" s="181" t="s">
        <v>119</v>
      </c>
      <c r="AG870" s="192" t="s">
        <v>2834</v>
      </c>
      <c r="AH870" s="198">
        <v>44895</v>
      </c>
      <c r="AI870" s="181">
        <v>44925</v>
      </c>
      <c r="AJ870" s="181"/>
      <c r="AK870" s="181">
        <f ca="1">TODAY()</f>
        <v>44958</v>
      </c>
      <c r="AL870" s="173">
        <f t="shared" ca="1" si="4"/>
        <v>33</v>
      </c>
      <c r="AM870" s="173" t="str">
        <f t="shared" si="5"/>
        <v/>
      </c>
      <c r="AN870" s="181" t="s">
        <v>2865</v>
      </c>
      <c r="AO870" s="190" t="s">
        <v>2866</v>
      </c>
      <c r="AP870" s="176">
        <v>9.9819999999999993</v>
      </c>
      <c r="AQ870" s="176">
        <v>10.001999999999999</v>
      </c>
      <c r="AR870" s="176">
        <v>10.026999999999997</v>
      </c>
      <c r="AS870" s="176">
        <v>10.031999999999998</v>
      </c>
      <c r="AT870" s="173"/>
      <c r="AU870" s="173">
        <v>464</v>
      </c>
      <c r="AV870" s="149"/>
      <c r="AW870" s="142" t="s">
        <v>123</v>
      </c>
      <c r="AY870" s="212"/>
      <c r="AZ870" s="196"/>
      <c r="BA870" s="196"/>
    </row>
    <row r="871" spans="2:53" s="142" customFormat="1" ht="21" customHeight="1" x14ac:dyDescent="0.25">
      <c r="B871" s="173" t="str">
        <f t="shared" si="7"/>
        <v>RM-J3/1D-2.20X620</v>
      </c>
      <c r="C871" s="173" t="s">
        <v>48</v>
      </c>
      <c r="D871" s="173" t="s">
        <v>48</v>
      </c>
      <c r="E871" s="190" t="s">
        <v>2869</v>
      </c>
      <c r="F871" s="190" t="s">
        <v>2870</v>
      </c>
      <c r="G871" s="173" t="s">
        <v>34</v>
      </c>
      <c r="H871" s="173" t="s">
        <v>127</v>
      </c>
      <c r="I871" s="174">
        <v>2.2000000000000002</v>
      </c>
      <c r="J871" s="174"/>
      <c r="K871" s="174"/>
      <c r="L871" s="174"/>
      <c r="M871" s="191">
        <v>620</v>
      </c>
      <c r="N871" s="176">
        <v>10.01</v>
      </c>
      <c r="O871" s="176"/>
      <c r="P871" s="177"/>
      <c r="Q871" s="178"/>
      <c r="R871" s="179"/>
      <c r="S871" s="179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80"/>
      <c r="AE871" s="173" t="s">
        <v>69</v>
      </c>
      <c r="AF871" s="181" t="s">
        <v>119</v>
      </c>
      <c r="AG871" s="192" t="s">
        <v>2834</v>
      </c>
      <c r="AH871" s="198">
        <v>44895</v>
      </c>
      <c r="AI871" s="181">
        <v>44925</v>
      </c>
      <c r="AJ871" s="181"/>
      <c r="AK871" s="181">
        <f ca="1">TODAY()</f>
        <v>44958</v>
      </c>
      <c r="AL871" s="173">
        <f t="shared" ca="1" si="4"/>
        <v>33</v>
      </c>
      <c r="AM871" s="173" t="str">
        <f t="shared" si="5"/>
        <v/>
      </c>
      <c r="AN871" s="181" t="s">
        <v>2871</v>
      </c>
      <c r="AO871" s="190" t="s">
        <v>2872</v>
      </c>
      <c r="AP871" s="176">
        <v>10.01</v>
      </c>
      <c r="AQ871" s="176">
        <v>10.029999999999999</v>
      </c>
      <c r="AR871" s="176">
        <v>10.054999999999998</v>
      </c>
      <c r="AS871" s="176">
        <v>10.059999999999999</v>
      </c>
      <c r="AT871" s="173"/>
      <c r="AU871" s="173">
        <v>464</v>
      </c>
      <c r="AV871" s="149"/>
      <c r="AW871" s="142" t="s">
        <v>123</v>
      </c>
      <c r="AY871" s="212"/>
      <c r="AZ871" s="196"/>
      <c r="BA871" s="196"/>
    </row>
    <row r="872" spans="2:53" s="142" customFormat="1" ht="21" customHeight="1" x14ac:dyDescent="0.25">
      <c r="B872" s="173" t="str">
        <f t="shared" si="7"/>
        <v>RM-J3/1D-2.20X620</v>
      </c>
      <c r="C872" s="173" t="s">
        <v>48</v>
      </c>
      <c r="D872" s="173" t="s">
        <v>48</v>
      </c>
      <c r="E872" s="190" t="s">
        <v>2873</v>
      </c>
      <c r="F872" s="190" t="s">
        <v>2874</v>
      </c>
      <c r="G872" s="173" t="s">
        <v>34</v>
      </c>
      <c r="H872" s="173" t="s">
        <v>127</v>
      </c>
      <c r="I872" s="174">
        <v>2.2000000000000002</v>
      </c>
      <c r="J872" s="174"/>
      <c r="K872" s="174"/>
      <c r="L872" s="174"/>
      <c r="M872" s="191">
        <v>620</v>
      </c>
      <c r="N872" s="176">
        <v>10</v>
      </c>
      <c r="O872" s="176"/>
      <c r="P872" s="177"/>
      <c r="Q872" s="178"/>
      <c r="R872" s="179"/>
      <c r="S872" s="179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80"/>
      <c r="AE872" s="173" t="s">
        <v>69</v>
      </c>
      <c r="AF872" s="181" t="s">
        <v>119</v>
      </c>
      <c r="AG872" s="192" t="s">
        <v>2834</v>
      </c>
      <c r="AH872" s="198">
        <v>44895</v>
      </c>
      <c r="AI872" s="181">
        <v>44925</v>
      </c>
      <c r="AJ872" s="181"/>
      <c r="AK872" s="181">
        <f ca="1">TODAY()</f>
        <v>44958</v>
      </c>
      <c r="AL872" s="173">
        <f t="shared" ca="1" si="4"/>
        <v>33</v>
      </c>
      <c r="AM872" s="173" t="str">
        <f t="shared" si="5"/>
        <v/>
      </c>
      <c r="AN872" s="181" t="s">
        <v>2871</v>
      </c>
      <c r="AO872" s="190" t="s">
        <v>2872</v>
      </c>
      <c r="AP872" s="176">
        <v>10</v>
      </c>
      <c r="AQ872" s="176">
        <v>10.02</v>
      </c>
      <c r="AR872" s="176">
        <v>10.044999999999998</v>
      </c>
      <c r="AS872" s="176">
        <v>10.049999999999999</v>
      </c>
      <c r="AT872" s="173"/>
      <c r="AU872" s="173">
        <v>464</v>
      </c>
      <c r="AV872" s="149"/>
      <c r="AW872" s="142" t="s">
        <v>123</v>
      </c>
      <c r="AY872" s="212"/>
      <c r="AZ872" s="196"/>
      <c r="BA872" s="196"/>
    </row>
    <row r="873" spans="2:53" s="142" customFormat="1" ht="21" customHeight="1" x14ac:dyDescent="0.25">
      <c r="B873" s="173" t="str">
        <f t="shared" si="7"/>
        <v>RM-304L/1D-3.76X767</v>
      </c>
      <c r="C873" s="173" t="s">
        <v>48</v>
      </c>
      <c r="D873" s="173" t="s">
        <v>48</v>
      </c>
      <c r="E873" s="190" t="s">
        <v>2875</v>
      </c>
      <c r="F873" s="190" t="s">
        <v>2876</v>
      </c>
      <c r="G873" s="173" t="s">
        <v>182</v>
      </c>
      <c r="H873" s="173" t="s">
        <v>127</v>
      </c>
      <c r="I873" s="174">
        <v>3.76</v>
      </c>
      <c r="J873" s="174"/>
      <c r="K873" s="174"/>
      <c r="L873" s="174"/>
      <c r="M873" s="191">
        <v>767</v>
      </c>
      <c r="N873" s="176">
        <v>10.46</v>
      </c>
      <c r="O873" s="176"/>
      <c r="P873" s="177"/>
      <c r="Q873" s="178"/>
      <c r="R873" s="179"/>
      <c r="S873" s="179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80" t="s">
        <v>2877</v>
      </c>
      <c r="AE873" s="173" t="s">
        <v>69</v>
      </c>
      <c r="AF873" s="181" t="s">
        <v>142</v>
      </c>
      <c r="AG873" s="192" t="s">
        <v>2878</v>
      </c>
      <c r="AH873" s="198"/>
      <c r="AI873" s="181">
        <v>44950</v>
      </c>
      <c r="AJ873" s="181"/>
      <c r="AK873" s="181">
        <f ca="1">TODAY()</f>
        <v>44958</v>
      </c>
      <c r="AL873" s="173">
        <f t="shared" ca="1" si="4"/>
        <v>8</v>
      </c>
      <c r="AM873" s="173" t="str">
        <f t="shared" si="5"/>
        <v/>
      </c>
      <c r="AN873" s="181"/>
      <c r="AO873" s="190" t="s">
        <v>2879</v>
      </c>
      <c r="AP873" s="176">
        <v>10.46</v>
      </c>
      <c r="AQ873" s="176">
        <v>10.47</v>
      </c>
      <c r="AR873" s="176">
        <v>10.494999999999999</v>
      </c>
      <c r="AS873" s="176">
        <v>10.5</v>
      </c>
      <c r="AT873" s="173"/>
      <c r="AU873" s="173">
        <v>465</v>
      </c>
      <c r="AV873" s="149"/>
      <c r="AW873" s="142" t="s">
        <v>123</v>
      </c>
      <c r="AY873" s="212"/>
      <c r="AZ873" s="196"/>
      <c r="BA873" s="196"/>
    </row>
    <row r="874" spans="2:53" s="142" customFormat="1" ht="21" customHeight="1" x14ac:dyDescent="0.25">
      <c r="B874" s="173" t="str">
        <f t="shared" si="7"/>
        <v>RM-304L/1D-3.76X768</v>
      </c>
      <c r="C874" s="173" t="s">
        <v>48</v>
      </c>
      <c r="D874" s="173" t="s">
        <v>48</v>
      </c>
      <c r="E874" s="190" t="s">
        <v>2880</v>
      </c>
      <c r="F874" s="190" t="s">
        <v>2881</v>
      </c>
      <c r="G874" s="173" t="s">
        <v>182</v>
      </c>
      <c r="H874" s="173" t="s">
        <v>127</v>
      </c>
      <c r="I874" s="174">
        <v>3.76</v>
      </c>
      <c r="J874" s="174"/>
      <c r="K874" s="174"/>
      <c r="L874" s="174"/>
      <c r="M874" s="191">
        <v>768</v>
      </c>
      <c r="N874" s="176">
        <v>10.47</v>
      </c>
      <c r="O874" s="176"/>
      <c r="P874" s="177"/>
      <c r="Q874" s="178"/>
      <c r="R874" s="179"/>
      <c r="S874" s="179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80" t="s">
        <v>2877</v>
      </c>
      <c r="AE874" s="173" t="s">
        <v>69</v>
      </c>
      <c r="AF874" s="181" t="s">
        <v>142</v>
      </c>
      <c r="AG874" s="192" t="s">
        <v>2878</v>
      </c>
      <c r="AH874" s="198"/>
      <c r="AI874" s="181">
        <v>44950</v>
      </c>
      <c r="AJ874" s="181"/>
      <c r="AK874" s="181">
        <f ca="1">TODAY()</f>
        <v>44958</v>
      </c>
      <c r="AL874" s="173">
        <f t="shared" ca="1" si="4"/>
        <v>8</v>
      </c>
      <c r="AM874" s="173" t="str">
        <f t="shared" si="5"/>
        <v/>
      </c>
      <c r="AN874" s="181"/>
      <c r="AO874" s="190" t="s">
        <v>2879</v>
      </c>
      <c r="AP874" s="176">
        <v>10.47</v>
      </c>
      <c r="AQ874" s="176">
        <v>10.48</v>
      </c>
      <c r="AR874" s="176">
        <v>10.504999999999999</v>
      </c>
      <c r="AS874" s="176">
        <v>10.51</v>
      </c>
      <c r="AT874" s="173"/>
      <c r="AU874" s="173">
        <v>465</v>
      </c>
      <c r="AV874" s="149"/>
      <c r="AW874" s="142" t="s">
        <v>123</v>
      </c>
      <c r="AY874" s="212"/>
      <c r="AZ874" s="196"/>
      <c r="BA874" s="196"/>
    </row>
    <row r="875" spans="2:53" s="142" customFormat="1" ht="21" customHeight="1" x14ac:dyDescent="0.25">
      <c r="B875" s="173" t="str">
        <f t="shared" si="7"/>
        <v>RM-304L/1D-3.79X768</v>
      </c>
      <c r="C875" s="173" t="s">
        <v>48</v>
      </c>
      <c r="D875" s="173" t="s">
        <v>48</v>
      </c>
      <c r="E875" s="190" t="s">
        <v>2882</v>
      </c>
      <c r="F875" s="190" t="s">
        <v>2883</v>
      </c>
      <c r="G875" s="173" t="s">
        <v>182</v>
      </c>
      <c r="H875" s="173" t="s">
        <v>127</v>
      </c>
      <c r="I875" s="174">
        <v>3.79</v>
      </c>
      <c r="J875" s="174"/>
      <c r="K875" s="174"/>
      <c r="L875" s="174"/>
      <c r="M875" s="191">
        <v>768</v>
      </c>
      <c r="N875" s="176">
        <v>10.29</v>
      </c>
      <c r="O875" s="176"/>
      <c r="P875" s="177"/>
      <c r="Q875" s="178"/>
      <c r="R875" s="179"/>
      <c r="S875" s="179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80" t="s">
        <v>2877</v>
      </c>
      <c r="AE875" s="173" t="s">
        <v>69</v>
      </c>
      <c r="AF875" s="181" t="s">
        <v>142</v>
      </c>
      <c r="AG875" s="192" t="s">
        <v>2878</v>
      </c>
      <c r="AH875" s="198"/>
      <c r="AI875" s="181">
        <v>44950</v>
      </c>
      <c r="AJ875" s="181"/>
      <c r="AK875" s="181">
        <f ca="1">TODAY()</f>
        <v>44958</v>
      </c>
      <c r="AL875" s="173">
        <f t="shared" ca="1" si="4"/>
        <v>8</v>
      </c>
      <c r="AM875" s="173" t="str">
        <f t="shared" si="5"/>
        <v/>
      </c>
      <c r="AN875" s="181"/>
      <c r="AO875" s="190" t="s">
        <v>2884</v>
      </c>
      <c r="AP875" s="176">
        <v>10.29</v>
      </c>
      <c r="AQ875" s="176">
        <v>10.299999999999999</v>
      </c>
      <c r="AR875" s="176">
        <v>10.324999999999998</v>
      </c>
      <c r="AS875" s="176">
        <v>10.329999999999998</v>
      </c>
      <c r="AT875" s="173"/>
      <c r="AU875" s="173">
        <v>465</v>
      </c>
      <c r="AV875" s="149"/>
      <c r="AW875" s="142" t="s">
        <v>123</v>
      </c>
      <c r="AY875" s="212"/>
      <c r="AZ875" s="196"/>
      <c r="BA875" s="196"/>
    </row>
    <row r="876" spans="2:53" s="142" customFormat="1" ht="21" customHeight="1" x14ac:dyDescent="0.25">
      <c r="B876" s="173" t="str">
        <f t="shared" si="7"/>
        <v>RM-304L/1D-3.79X768</v>
      </c>
      <c r="C876" s="173" t="s">
        <v>48</v>
      </c>
      <c r="D876" s="173" t="s">
        <v>48</v>
      </c>
      <c r="E876" s="190" t="s">
        <v>2885</v>
      </c>
      <c r="F876" s="190" t="s">
        <v>2886</v>
      </c>
      <c r="G876" s="173" t="s">
        <v>182</v>
      </c>
      <c r="H876" s="173" t="s">
        <v>127</v>
      </c>
      <c r="I876" s="174">
        <v>3.79</v>
      </c>
      <c r="J876" s="174"/>
      <c r="K876" s="174"/>
      <c r="L876" s="174"/>
      <c r="M876" s="191">
        <v>768</v>
      </c>
      <c r="N876" s="176">
        <v>10.29</v>
      </c>
      <c r="O876" s="176"/>
      <c r="P876" s="177"/>
      <c r="Q876" s="178"/>
      <c r="R876" s="179"/>
      <c r="S876" s="179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80" t="s">
        <v>2877</v>
      </c>
      <c r="AE876" s="173" t="s">
        <v>69</v>
      </c>
      <c r="AF876" s="181" t="s">
        <v>142</v>
      </c>
      <c r="AG876" s="192" t="s">
        <v>2878</v>
      </c>
      <c r="AH876" s="198"/>
      <c r="AI876" s="181">
        <v>44950</v>
      </c>
      <c r="AJ876" s="181"/>
      <c r="AK876" s="181">
        <f ca="1">TODAY()</f>
        <v>44958</v>
      </c>
      <c r="AL876" s="173">
        <f t="shared" ca="1" si="4"/>
        <v>8</v>
      </c>
      <c r="AM876" s="173" t="str">
        <f t="shared" si="5"/>
        <v/>
      </c>
      <c r="AN876" s="181"/>
      <c r="AO876" s="190" t="s">
        <v>2884</v>
      </c>
      <c r="AP876" s="176">
        <v>10.29</v>
      </c>
      <c r="AQ876" s="176">
        <v>10.299999999999999</v>
      </c>
      <c r="AR876" s="176">
        <v>10.324999999999998</v>
      </c>
      <c r="AS876" s="176">
        <v>10.329999999999998</v>
      </c>
      <c r="AT876" s="173"/>
      <c r="AU876" s="173">
        <v>465</v>
      </c>
      <c r="AV876" s="149"/>
      <c r="AW876" s="142" t="s">
        <v>123</v>
      </c>
      <c r="AY876" s="212"/>
      <c r="AZ876" s="196"/>
      <c r="BA876" s="196"/>
    </row>
    <row r="877" spans="2:53" s="142" customFormat="1" ht="21" customHeight="1" x14ac:dyDescent="0.25">
      <c r="B877" s="173" t="str">
        <f t="shared" si="7"/>
        <v>RM-304L/1D-3.88X639</v>
      </c>
      <c r="C877" s="173" t="s">
        <v>48</v>
      </c>
      <c r="D877" s="173" t="s">
        <v>48</v>
      </c>
      <c r="E877" s="190" t="s">
        <v>2887</v>
      </c>
      <c r="F877" s="190" t="s">
        <v>2888</v>
      </c>
      <c r="G877" s="173" t="s">
        <v>182</v>
      </c>
      <c r="H877" s="173" t="s">
        <v>127</v>
      </c>
      <c r="I877" s="174">
        <v>3.88</v>
      </c>
      <c r="J877" s="174"/>
      <c r="K877" s="174"/>
      <c r="L877" s="174"/>
      <c r="M877" s="191">
        <v>639</v>
      </c>
      <c r="N877" s="176">
        <v>10.44</v>
      </c>
      <c r="O877" s="176"/>
      <c r="P877" s="177"/>
      <c r="Q877" s="178"/>
      <c r="R877" s="179"/>
      <c r="S877" s="179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80" t="s">
        <v>2877</v>
      </c>
      <c r="AE877" s="173" t="s">
        <v>69</v>
      </c>
      <c r="AF877" s="181" t="s">
        <v>142</v>
      </c>
      <c r="AG877" s="192" t="s">
        <v>2878</v>
      </c>
      <c r="AH877" s="198"/>
      <c r="AI877" s="181">
        <v>44950</v>
      </c>
      <c r="AJ877" s="181"/>
      <c r="AK877" s="181">
        <f ca="1">TODAY()</f>
        <v>44958</v>
      </c>
      <c r="AL877" s="173">
        <f t="shared" ca="1" si="4"/>
        <v>8</v>
      </c>
      <c r="AM877" s="173" t="str">
        <f t="shared" si="5"/>
        <v/>
      </c>
      <c r="AN877" s="181"/>
      <c r="AO877" s="190" t="s">
        <v>2889</v>
      </c>
      <c r="AP877" s="176">
        <v>10.44</v>
      </c>
      <c r="AQ877" s="176">
        <v>10.45</v>
      </c>
      <c r="AR877" s="176">
        <v>10.474999999999998</v>
      </c>
      <c r="AS877" s="176">
        <v>10.479999999999999</v>
      </c>
      <c r="AT877" s="173"/>
      <c r="AU877" s="173">
        <v>465</v>
      </c>
      <c r="AV877" s="149"/>
      <c r="AW877" s="142" t="s">
        <v>123</v>
      </c>
      <c r="AY877" s="212"/>
      <c r="AZ877" s="196"/>
      <c r="BA877" s="196"/>
    </row>
    <row r="878" spans="2:53" s="142" customFormat="1" ht="21" customHeight="1" x14ac:dyDescent="0.25">
      <c r="B878" s="173" t="str">
        <f t="shared" si="7"/>
        <v>RM-304L/1D-3.89X642</v>
      </c>
      <c r="C878" s="173" t="s">
        <v>48</v>
      </c>
      <c r="D878" s="173" t="s">
        <v>48</v>
      </c>
      <c r="E878" s="190" t="s">
        <v>2890</v>
      </c>
      <c r="F878" s="190" t="s">
        <v>2891</v>
      </c>
      <c r="G878" s="173" t="s">
        <v>182</v>
      </c>
      <c r="H878" s="173" t="s">
        <v>127</v>
      </c>
      <c r="I878" s="174">
        <v>3.89</v>
      </c>
      <c r="J878" s="174"/>
      <c r="K878" s="174"/>
      <c r="L878" s="174"/>
      <c r="M878" s="191">
        <v>642</v>
      </c>
      <c r="N878" s="176">
        <v>10.435</v>
      </c>
      <c r="O878" s="176"/>
      <c r="P878" s="177"/>
      <c r="Q878" s="178"/>
      <c r="R878" s="179"/>
      <c r="S878" s="179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80" t="s">
        <v>2877</v>
      </c>
      <c r="AE878" s="173" t="s">
        <v>69</v>
      </c>
      <c r="AF878" s="181" t="s">
        <v>142</v>
      </c>
      <c r="AG878" s="192" t="s">
        <v>2878</v>
      </c>
      <c r="AH878" s="198"/>
      <c r="AI878" s="181">
        <v>44950</v>
      </c>
      <c r="AJ878" s="181"/>
      <c r="AK878" s="181">
        <f ca="1">TODAY()</f>
        <v>44958</v>
      </c>
      <c r="AL878" s="173">
        <f t="shared" ca="1" si="4"/>
        <v>8</v>
      </c>
      <c r="AM878" s="173" t="str">
        <f t="shared" si="5"/>
        <v/>
      </c>
      <c r="AN878" s="181"/>
      <c r="AO878" s="190" t="s">
        <v>2889</v>
      </c>
      <c r="AP878" s="176">
        <v>10.435</v>
      </c>
      <c r="AQ878" s="176">
        <v>10.445</v>
      </c>
      <c r="AR878" s="176">
        <v>10.469999999999999</v>
      </c>
      <c r="AS878" s="176">
        <v>10.475</v>
      </c>
      <c r="AT878" s="173"/>
      <c r="AU878" s="173">
        <v>465</v>
      </c>
      <c r="AV878" s="149"/>
      <c r="AW878" s="142" t="s">
        <v>123</v>
      </c>
      <c r="AY878" s="212"/>
      <c r="AZ878" s="196"/>
      <c r="BA878" s="196"/>
    </row>
    <row r="879" spans="2:53" s="142" customFormat="1" ht="21" customHeight="1" x14ac:dyDescent="0.25">
      <c r="B879" s="173" t="str">
        <f t="shared" si="7"/>
        <v>RM-304L/1D-3.90X643</v>
      </c>
      <c r="C879" s="173" t="s">
        <v>48</v>
      </c>
      <c r="D879" s="173" t="s">
        <v>48</v>
      </c>
      <c r="E879" s="190" t="s">
        <v>2892</v>
      </c>
      <c r="F879" s="190" t="s">
        <v>2893</v>
      </c>
      <c r="G879" s="173" t="s">
        <v>182</v>
      </c>
      <c r="H879" s="173" t="s">
        <v>127</v>
      </c>
      <c r="I879" s="174">
        <v>3.9</v>
      </c>
      <c r="J879" s="174"/>
      <c r="K879" s="174"/>
      <c r="L879" s="174"/>
      <c r="M879" s="191">
        <v>643</v>
      </c>
      <c r="N879" s="176">
        <v>10.66</v>
      </c>
      <c r="O879" s="176"/>
      <c r="P879" s="177"/>
      <c r="Q879" s="178"/>
      <c r="R879" s="179"/>
      <c r="S879" s="179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80" t="s">
        <v>2877</v>
      </c>
      <c r="AE879" s="173" t="s">
        <v>69</v>
      </c>
      <c r="AF879" s="181" t="s">
        <v>142</v>
      </c>
      <c r="AG879" s="192" t="s">
        <v>2878</v>
      </c>
      <c r="AH879" s="198"/>
      <c r="AI879" s="181">
        <v>44950</v>
      </c>
      <c r="AJ879" s="181"/>
      <c r="AK879" s="181">
        <f ca="1">TODAY()</f>
        <v>44958</v>
      </c>
      <c r="AL879" s="173">
        <f t="shared" ca="1" si="4"/>
        <v>8</v>
      </c>
      <c r="AM879" s="173" t="str">
        <f t="shared" si="5"/>
        <v/>
      </c>
      <c r="AN879" s="181"/>
      <c r="AO879" s="190" t="s">
        <v>2894</v>
      </c>
      <c r="AP879" s="176">
        <v>10.66</v>
      </c>
      <c r="AQ879" s="176">
        <v>10.67</v>
      </c>
      <c r="AR879" s="176">
        <v>10.694999999999999</v>
      </c>
      <c r="AS879" s="176">
        <v>10.7</v>
      </c>
      <c r="AT879" s="173"/>
      <c r="AU879" s="173">
        <v>465</v>
      </c>
      <c r="AV879" s="149"/>
      <c r="AW879" s="142" t="s">
        <v>123</v>
      </c>
      <c r="AY879" s="212"/>
      <c r="AZ879" s="196"/>
      <c r="BA879" s="196"/>
    </row>
    <row r="880" spans="2:53" s="142" customFormat="1" ht="21" customHeight="1" x14ac:dyDescent="0.25">
      <c r="B880" s="173" t="str">
        <f t="shared" si="7"/>
        <v>RM-304L/1D-3.91X642</v>
      </c>
      <c r="C880" s="173" t="s">
        <v>48</v>
      </c>
      <c r="D880" s="173" t="s">
        <v>48</v>
      </c>
      <c r="E880" s="190" t="s">
        <v>2895</v>
      </c>
      <c r="F880" s="190" t="s">
        <v>2896</v>
      </c>
      <c r="G880" s="173" t="s">
        <v>182</v>
      </c>
      <c r="H880" s="173" t="s">
        <v>127</v>
      </c>
      <c r="I880" s="174">
        <v>3.91</v>
      </c>
      <c r="J880" s="174"/>
      <c r="K880" s="174"/>
      <c r="L880" s="174"/>
      <c r="M880" s="191">
        <v>642</v>
      </c>
      <c r="N880" s="176">
        <v>10.645</v>
      </c>
      <c r="O880" s="176"/>
      <c r="P880" s="177"/>
      <c r="Q880" s="178"/>
      <c r="R880" s="179"/>
      <c r="S880" s="179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80" t="s">
        <v>2877</v>
      </c>
      <c r="AE880" s="173" t="s">
        <v>69</v>
      </c>
      <c r="AF880" s="181" t="s">
        <v>142</v>
      </c>
      <c r="AG880" s="192" t="s">
        <v>2878</v>
      </c>
      <c r="AH880" s="198"/>
      <c r="AI880" s="181">
        <v>44950</v>
      </c>
      <c r="AJ880" s="181"/>
      <c r="AK880" s="181">
        <f ca="1">TODAY()</f>
        <v>44958</v>
      </c>
      <c r="AL880" s="173">
        <f t="shared" ca="1" si="4"/>
        <v>8</v>
      </c>
      <c r="AM880" s="173" t="str">
        <f t="shared" si="5"/>
        <v/>
      </c>
      <c r="AN880" s="181"/>
      <c r="AO880" s="190" t="s">
        <v>2894</v>
      </c>
      <c r="AP880" s="176">
        <v>10.645</v>
      </c>
      <c r="AQ880" s="176">
        <v>10.654999999999999</v>
      </c>
      <c r="AR880" s="176">
        <v>10.679999999999998</v>
      </c>
      <c r="AS880" s="176">
        <v>10.684999999999999</v>
      </c>
      <c r="AT880" s="173"/>
      <c r="AU880" s="173">
        <v>465</v>
      </c>
      <c r="AV880" s="149"/>
      <c r="AW880" s="142" t="s">
        <v>123</v>
      </c>
      <c r="AY880" s="212"/>
      <c r="AZ880" s="196"/>
      <c r="BA880" s="196"/>
    </row>
    <row r="881" spans="2:53" s="142" customFormat="1" ht="21" customHeight="1" x14ac:dyDescent="0.25">
      <c r="B881" s="173" t="str">
        <f t="shared" si="7"/>
        <v>RM-304L/1D-3.79X768</v>
      </c>
      <c r="C881" s="173" t="s">
        <v>48</v>
      </c>
      <c r="D881" s="173" t="s">
        <v>48</v>
      </c>
      <c r="E881" s="190" t="s">
        <v>2897</v>
      </c>
      <c r="F881" s="190" t="s">
        <v>2898</v>
      </c>
      <c r="G881" s="173" t="s">
        <v>182</v>
      </c>
      <c r="H881" s="173" t="s">
        <v>127</v>
      </c>
      <c r="I881" s="174">
        <v>3.79</v>
      </c>
      <c r="J881" s="174"/>
      <c r="K881" s="174"/>
      <c r="L881" s="174"/>
      <c r="M881" s="191">
        <v>768</v>
      </c>
      <c r="N881" s="176">
        <v>10.445</v>
      </c>
      <c r="O881" s="176"/>
      <c r="P881" s="177"/>
      <c r="Q881" s="178"/>
      <c r="R881" s="179"/>
      <c r="S881" s="179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80" t="s">
        <v>2877</v>
      </c>
      <c r="AE881" s="173" t="s">
        <v>69</v>
      </c>
      <c r="AF881" s="181" t="s">
        <v>142</v>
      </c>
      <c r="AG881" s="192" t="s">
        <v>2878</v>
      </c>
      <c r="AH881" s="198"/>
      <c r="AI881" s="181">
        <v>44950</v>
      </c>
      <c r="AJ881" s="181"/>
      <c r="AK881" s="181">
        <f ca="1">TODAY()</f>
        <v>44958</v>
      </c>
      <c r="AL881" s="173">
        <f t="shared" ca="1" si="4"/>
        <v>8</v>
      </c>
      <c r="AM881" s="173" t="str">
        <f t="shared" si="5"/>
        <v/>
      </c>
      <c r="AN881" s="181"/>
      <c r="AO881" s="190" t="s">
        <v>2899</v>
      </c>
      <c r="AP881" s="176">
        <v>10.445</v>
      </c>
      <c r="AQ881" s="176">
        <v>10.455</v>
      </c>
      <c r="AR881" s="176">
        <v>10.479999999999999</v>
      </c>
      <c r="AS881" s="176">
        <v>10.484999999999999</v>
      </c>
      <c r="AT881" s="173"/>
      <c r="AU881" s="173">
        <v>465</v>
      </c>
      <c r="AV881" s="149"/>
      <c r="AW881" s="142" t="s">
        <v>123</v>
      </c>
      <c r="AY881" s="212"/>
      <c r="AZ881" s="196"/>
      <c r="BA881" s="196"/>
    </row>
    <row r="882" spans="2:53" s="142" customFormat="1" ht="21" customHeight="1" x14ac:dyDescent="0.25">
      <c r="B882" s="173" t="str">
        <f t="shared" si="7"/>
        <v>RM-304L/1D-3.79X768</v>
      </c>
      <c r="C882" s="173" t="s">
        <v>48</v>
      </c>
      <c r="D882" s="173" t="s">
        <v>48</v>
      </c>
      <c r="E882" s="190" t="s">
        <v>2900</v>
      </c>
      <c r="F882" s="190" t="s">
        <v>2901</v>
      </c>
      <c r="G882" s="173" t="s">
        <v>182</v>
      </c>
      <c r="H882" s="173" t="s">
        <v>127</v>
      </c>
      <c r="I882" s="174">
        <v>3.79</v>
      </c>
      <c r="J882" s="174"/>
      <c r="K882" s="174"/>
      <c r="L882" s="174"/>
      <c r="M882" s="191">
        <v>768</v>
      </c>
      <c r="N882" s="176">
        <v>10.455</v>
      </c>
      <c r="O882" s="176"/>
      <c r="P882" s="177"/>
      <c r="Q882" s="178"/>
      <c r="R882" s="179"/>
      <c r="S882" s="179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80" t="s">
        <v>2877</v>
      </c>
      <c r="AE882" s="173" t="s">
        <v>69</v>
      </c>
      <c r="AF882" s="181" t="s">
        <v>142</v>
      </c>
      <c r="AG882" s="192" t="s">
        <v>2878</v>
      </c>
      <c r="AH882" s="198"/>
      <c r="AI882" s="181">
        <v>44950</v>
      </c>
      <c r="AJ882" s="181"/>
      <c r="AK882" s="181">
        <f ca="1">TODAY()</f>
        <v>44958</v>
      </c>
      <c r="AL882" s="173">
        <f t="shared" ca="1" si="4"/>
        <v>8</v>
      </c>
      <c r="AM882" s="173" t="str">
        <f t="shared" si="5"/>
        <v/>
      </c>
      <c r="AN882" s="181"/>
      <c r="AO882" s="190" t="s">
        <v>2899</v>
      </c>
      <c r="AP882" s="176">
        <v>10.455</v>
      </c>
      <c r="AQ882" s="176">
        <v>10.465</v>
      </c>
      <c r="AR882" s="176">
        <v>10.489999999999998</v>
      </c>
      <c r="AS882" s="176">
        <v>10.494999999999999</v>
      </c>
      <c r="AT882" s="173"/>
      <c r="AU882" s="173">
        <v>465</v>
      </c>
      <c r="AV882" s="149"/>
      <c r="AW882" s="142" t="s">
        <v>123</v>
      </c>
      <c r="AY882" s="212"/>
      <c r="AZ882" s="196"/>
      <c r="BA882" s="196"/>
    </row>
    <row r="883" spans="2:53" s="142" customFormat="1" ht="21" customHeight="1" x14ac:dyDescent="0.25">
      <c r="B883" s="173" t="str">
        <f t="shared" si="7"/>
        <v>RM-304L/1D-3.80X769</v>
      </c>
      <c r="C883" s="173" t="s">
        <v>48</v>
      </c>
      <c r="D883" s="173" t="s">
        <v>48</v>
      </c>
      <c r="E883" s="190" t="s">
        <v>2902</v>
      </c>
      <c r="F883" s="190" t="s">
        <v>2903</v>
      </c>
      <c r="G883" s="173" t="s">
        <v>182</v>
      </c>
      <c r="H883" s="173" t="s">
        <v>127</v>
      </c>
      <c r="I883" s="174">
        <v>3.8</v>
      </c>
      <c r="J883" s="174"/>
      <c r="K883" s="174"/>
      <c r="L883" s="174"/>
      <c r="M883" s="191">
        <v>769</v>
      </c>
      <c r="N883" s="176">
        <v>10.475</v>
      </c>
      <c r="O883" s="176"/>
      <c r="P883" s="177"/>
      <c r="Q883" s="178"/>
      <c r="R883" s="179"/>
      <c r="S883" s="179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80" t="s">
        <v>2877</v>
      </c>
      <c r="AE883" s="173" t="s">
        <v>69</v>
      </c>
      <c r="AF883" s="181" t="s">
        <v>142</v>
      </c>
      <c r="AG883" s="192" t="s">
        <v>2878</v>
      </c>
      <c r="AH883" s="198"/>
      <c r="AI883" s="181">
        <v>44950</v>
      </c>
      <c r="AJ883" s="181"/>
      <c r="AK883" s="181">
        <f ca="1">TODAY()</f>
        <v>44958</v>
      </c>
      <c r="AL883" s="173">
        <f t="shared" ca="1" si="4"/>
        <v>8</v>
      </c>
      <c r="AM883" s="173" t="str">
        <f t="shared" si="5"/>
        <v/>
      </c>
      <c r="AN883" s="181"/>
      <c r="AO883" s="190" t="s">
        <v>2904</v>
      </c>
      <c r="AP883" s="176">
        <v>10.475</v>
      </c>
      <c r="AQ883" s="176">
        <v>10.484999999999999</v>
      </c>
      <c r="AR883" s="176">
        <v>10.509999999999998</v>
      </c>
      <c r="AS883" s="176">
        <v>10.514999999999999</v>
      </c>
      <c r="AT883" s="173"/>
      <c r="AU883" s="173">
        <v>465</v>
      </c>
      <c r="AV883" s="149"/>
      <c r="AW883" s="142" t="s">
        <v>123</v>
      </c>
      <c r="AY883" s="212"/>
      <c r="AZ883" s="196"/>
      <c r="BA883" s="196"/>
    </row>
    <row r="884" spans="2:53" s="142" customFormat="1" ht="21" customHeight="1" x14ac:dyDescent="0.25">
      <c r="B884" s="173" t="str">
        <f t="shared" si="7"/>
        <v>RM-304L/1D-3.80X769</v>
      </c>
      <c r="C884" s="173" t="s">
        <v>48</v>
      </c>
      <c r="D884" s="173" t="s">
        <v>48</v>
      </c>
      <c r="E884" s="190" t="s">
        <v>2905</v>
      </c>
      <c r="F884" s="190" t="s">
        <v>2906</v>
      </c>
      <c r="G884" s="173" t="s">
        <v>182</v>
      </c>
      <c r="H884" s="173" t="s">
        <v>127</v>
      </c>
      <c r="I884" s="174">
        <v>3.8</v>
      </c>
      <c r="J884" s="174"/>
      <c r="K884" s="174"/>
      <c r="L884" s="174"/>
      <c r="M884" s="191">
        <v>769</v>
      </c>
      <c r="N884" s="176">
        <v>10.49</v>
      </c>
      <c r="O884" s="176"/>
      <c r="P884" s="177"/>
      <c r="Q884" s="178"/>
      <c r="R884" s="179"/>
      <c r="S884" s="179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80" t="s">
        <v>2877</v>
      </c>
      <c r="AE884" s="173" t="s">
        <v>69</v>
      </c>
      <c r="AF884" s="181" t="s">
        <v>142</v>
      </c>
      <c r="AG884" s="192" t="s">
        <v>2878</v>
      </c>
      <c r="AH884" s="198"/>
      <c r="AI884" s="181">
        <v>44950</v>
      </c>
      <c r="AJ884" s="181"/>
      <c r="AK884" s="181">
        <f ca="1">TODAY()</f>
        <v>44958</v>
      </c>
      <c r="AL884" s="173">
        <f t="shared" ref="AL884:AL947" ca="1" si="8">IF(AI884&lt;&gt;0,AK884-AI884,0)</f>
        <v>8</v>
      </c>
      <c r="AM884" s="173" t="str">
        <f t="shared" ref="AM884:AM947" si="9">IF(ISNUMBER(X884)=TRUE,AK884-X884,IF(X884="","",(AK884)-(MID(RIGHT(X884,10),4,2)&amp;"/"&amp;LEFT((RIGHT(X884,10)),2)&amp;"/"&amp;RIGHT(X884,4))))</f>
        <v/>
      </c>
      <c r="AN884" s="181"/>
      <c r="AO884" s="190" t="s">
        <v>2904</v>
      </c>
      <c r="AP884" s="176">
        <v>10.49</v>
      </c>
      <c r="AQ884" s="176">
        <v>10.5</v>
      </c>
      <c r="AR884" s="176">
        <v>10.524999999999999</v>
      </c>
      <c r="AS884" s="176">
        <v>10.53</v>
      </c>
      <c r="AT884" s="173"/>
      <c r="AU884" s="173">
        <v>465</v>
      </c>
      <c r="AV884" s="149"/>
      <c r="AW884" s="142" t="s">
        <v>123</v>
      </c>
      <c r="AY884" s="212"/>
      <c r="AZ884" s="196"/>
      <c r="BA884" s="196"/>
    </row>
    <row r="885" spans="2:53" s="142" customFormat="1" ht="21" customHeight="1" x14ac:dyDescent="0.25">
      <c r="B885" s="173" t="str">
        <f t="shared" si="7"/>
        <v>RM-304L/1D-3.90X642</v>
      </c>
      <c r="C885" s="173" t="s">
        <v>48</v>
      </c>
      <c r="D885" s="173" t="s">
        <v>48</v>
      </c>
      <c r="E885" s="190" t="s">
        <v>2907</v>
      </c>
      <c r="F885" s="190" t="s">
        <v>2908</v>
      </c>
      <c r="G885" s="173" t="s">
        <v>182</v>
      </c>
      <c r="H885" s="173" t="s">
        <v>127</v>
      </c>
      <c r="I885" s="174">
        <v>3.9</v>
      </c>
      <c r="J885" s="174"/>
      <c r="K885" s="174"/>
      <c r="L885" s="174"/>
      <c r="M885" s="191">
        <v>642</v>
      </c>
      <c r="N885" s="176">
        <v>10.455</v>
      </c>
      <c r="O885" s="176"/>
      <c r="P885" s="177"/>
      <c r="Q885" s="178"/>
      <c r="R885" s="179"/>
      <c r="S885" s="179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80" t="s">
        <v>2877</v>
      </c>
      <c r="AE885" s="173" t="s">
        <v>69</v>
      </c>
      <c r="AF885" s="181" t="s">
        <v>142</v>
      </c>
      <c r="AG885" s="192" t="s">
        <v>2878</v>
      </c>
      <c r="AH885" s="198"/>
      <c r="AI885" s="181">
        <v>44950</v>
      </c>
      <c r="AJ885" s="181"/>
      <c r="AK885" s="181">
        <f ca="1">TODAY()</f>
        <v>44958</v>
      </c>
      <c r="AL885" s="173">
        <f t="shared" ca="1" si="8"/>
        <v>8</v>
      </c>
      <c r="AM885" s="173" t="str">
        <f t="shared" si="9"/>
        <v/>
      </c>
      <c r="AN885" s="181"/>
      <c r="AO885" s="190" t="s">
        <v>2909</v>
      </c>
      <c r="AP885" s="176">
        <v>10.455</v>
      </c>
      <c r="AQ885" s="176">
        <v>10.465</v>
      </c>
      <c r="AR885" s="176">
        <v>10.489999999999998</v>
      </c>
      <c r="AS885" s="176">
        <v>10.494999999999999</v>
      </c>
      <c r="AT885" s="173"/>
      <c r="AU885" s="173">
        <v>465</v>
      </c>
      <c r="AV885" s="149"/>
      <c r="AW885" s="142" t="s">
        <v>123</v>
      </c>
      <c r="AY885" s="212"/>
      <c r="AZ885" s="196"/>
      <c r="BA885" s="196"/>
    </row>
    <row r="886" spans="2:53" s="142" customFormat="1" ht="21" customHeight="1" x14ac:dyDescent="0.25">
      <c r="B886" s="173" t="str">
        <f t="shared" si="7"/>
        <v>RM-304L/1D-3.90X642</v>
      </c>
      <c r="C886" s="173" t="s">
        <v>48</v>
      </c>
      <c r="D886" s="173" t="s">
        <v>48</v>
      </c>
      <c r="E886" s="190" t="s">
        <v>2910</v>
      </c>
      <c r="F886" s="190" t="s">
        <v>2911</v>
      </c>
      <c r="G886" s="173" t="s">
        <v>182</v>
      </c>
      <c r="H886" s="173" t="s">
        <v>127</v>
      </c>
      <c r="I886" s="174">
        <v>3.9</v>
      </c>
      <c r="J886" s="174"/>
      <c r="K886" s="174"/>
      <c r="L886" s="174"/>
      <c r="M886" s="191">
        <v>642</v>
      </c>
      <c r="N886" s="176">
        <v>10.475</v>
      </c>
      <c r="O886" s="176"/>
      <c r="P886" s="177"/>
      <c r="Q886" s="178"/>
      <c r="R886" s="179"/>
      <c r="S886" s="179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80" t="s">
        <v>2877</v>
      </c>
      <c r="AE886" s="173" t="s">
        <v>69</v>
      </c>
      <c r="AF886" s="181" t="s">
        <v>142</v>
      </c>
      <c r="AG886" s="192" t="s">
        <v>2878</v>
      </c>
      <c r="AH886" s="198"/>
      <c r="AI886" s="181">
        <v>44950</v>
      </c>
      <c r="AJ886" s="181"/>
      <c r="AK886" s="181">
        <f ca="1">TODAY()</f>
        <v>44958</v>
      </c>
      <c r="AL886" s="173">
        <f t="shared" ca="1" si="8"/>
        <v>8</v>
      </c>
      <c r="AM886" s="173" t="str">
        <f t="shared" si="9"/>
        <v/>
      </c>
      <c r="AN886" s="181"/>
      <c r="AO886" s="190" t="s">
        <v>2909</v>
      </c>
      <c r="AP886" s="176">
        <v>10.475</v>
      </c>
      <c r="AQ886" s="176">
        <v>10.484999999999999</v>
      </c>
      <c r="AR886" s="176">
        <v>10.509999999999998</v>
      </c>
      <c r="AS886" s="176">
        <v>10.514999999999999</v>
      </c>
      <c r="AT886" s="173"/>
      <c r="AU886" s="173">
        <v>465</v>
      </c>
      <c r="AV886" s="149"/>
      <c r="AW886" s="142" t="s">
        <v>123</v>
      </c>
      <c r="AY886" s="212"/>
      <c r="AZ886" s="196"/>
      <c r="BA886" s="196"/>
    </row>
    <row r="887" spans="2:53" s="142" customFormat="1" ht="21" customHeight="1" x14ac:dyDescent="0.25">
      <c r="B887" s="173" t="str">
        <f t="shared" si="7"/>
        <v>RM-304/1D-3.90X641</v>
      </c>
      <c r="C887" s="173" t="s">
        <v>48</v>
      </c>
      <c r="D887" s="173" t="s">
        <v>48</v>
      </c>
      <c r="E887" s="190" t="s">
        <v>2912</v>
      </c>
      <c r="F887" s="190" t="s">
        <v>2913</v>
      </c>
      <c r="G887" s="173">
        <v>304</v>
      </c>
      <c r="H887" s="173" t="s">
        <v>127</v>
      </c>
      <c r="I887" s="174">
        <v>3.9</v>
      </c>
      <c r="J887" s="174"/>
      <c r="K887" s="174"/>
      <c r="L887" s="174"/>
      <c r="M887" s="191">
        <v>641</v>
      </c>
      <c r="N887" s="176">
        <v>10.51</v>
      </c>
      <c r="O887" s="176"/>
      <c r="P887" s="177"/>
      <c r="Q887" s="178"/>
      <c r="R887" s="179"/>
      <c r="S887" s="179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80" t="s">
        <v>2877</v>
      </c>
      <c r="AE887" s="173" t="s">
        <v>69</v>
      </c>
      <c r="AF887" s="181" t="s">
        <v>142</v>
      </c>
      <c r="AG887" s="192" t="s">
        <v>2878</v>
      </c>
      <c r="AH887" s="198"/>
      <c r="AI887" s="181">
        <v>44950</v>
      </c>
      <c r="AJ887" s="181"/>
      <c r="AK887" s="181">
        <f ca="1">TODAY()</f>
        <v>44958</v>
      </c>
      <c r="AL887" s="173">
        <f t="shared" ca="1" si="8"/>
        <v>8</v>
      </c>
      <c r="AM887" s="173" t="str">
        <f t="shared" si="9"/>
        <v/>
      </c>
      <c r="AN887" s="181"/>
      <c r="AO887" s="190" t="s">
        <v>2914</v>
      </c>
      <c r="AP887" s="176">
        <v>10.51</v>
      </c>
      <c r="AQ887" s="176">
        <v>10.52</v>
      </c>
      <c r="AR887" s="176">
        <v>10.544999999999998</v>
      </c>
      <c r="AS887" s="176">
        <v>10.549999999999999</v>
      </c>
      <c r="AT887" s="173"/>
      <c r="AU887" s="173">
        <v>465</v>
      </c>
      <c r="AV887" s="149"/>
      <c r="AW887" s="142" t="s">
        <v>123</v>
      </c>
      <c r="AY887" s="212"/>
      <c r="AZ887" s="196"/>
      <c r="BA887" s="196"/>
    </row>
    <row r="888" spans="2:53" s="142" customFormat="1" ht="21" customHeight="1" x14ac:dyDescent="0.25">
      <c r="B888" s="173" t="str">
        <f t="shared" si="7"/>
        <v>RM-304/1D-3.90X640</v>
      </c>
      <c r="C888" s="173" t="s">
        <v>48</v>
      </c>
      <c r="D888" s="173" t="s">
        <v>48</v>
      </c>
      <c r="E888" s="190" t="s">
        <v>2915</v>
      </c>
      <c r="F888" s="190" t="s">
        <v>2916</v>
      </c>
      <c r="G888" s="173">
        <v>304</v>
      </c>
      <c r="H888" s="173" t="s">
        <v>127</v>
      </c>
      <c r="I888" s="174">
        <v>3.9</v>
      </c>
      <c r="J888" s="174"/>
      <c r="K888" s="174"/>
      <c r="L888" s="174"/>
      <c r="M888" s="191">
        <v>640</v>
      </c>
      <c r="N888" s="176">
        <v>10.49</v>
      </c>
      <c r="O888" s="176"/>
      <c r="P888" s="177"/>
      <c r="Q888" s="178"/>
      <c r="R888" s="179"/>
      <c r="S888" s="179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80" t="s">
        <v>2877</v>
      </c>
      <c r="AE888" s="173" t="s">
        <v>69</v>
      </c>
      <c r="AF888" s="181" t="s">
        <v>142</v>
      </c>
      <c r="AG888" s="192" t="s">
        <v>2878</v>
      </c>
      <c r="AH888" s="198"/>
      <c r="AI888" s="181">
        <v>44950</v>
      </c>
      <c r="AJ888" s="181"/>
      <c r="AK888" s="181">
        <f ca="1">TODAY()</f>
        <v>44958</v>
      </c>
      <c r="AL888" s="173">
        <f t="shared" ca="1" si="8"/>
        <v>8</v>
      </c>
      <c r="AM888" s="173" t="str">
        <f t="shared" si="9"/>
        <v/>
      </c>
      <c r="AN888" s="181"/>
      <c r="AO888" s="190" t="s">
        <v>2914</v>
      </c>
      <c r="AP888" s="176">
        <v>10.49</v>
      </c>
      <c r="AQ888" s="176">
        <v>10.5</v>
      </c>
      <c r="AR888" s="176">
        <v>10.524999999999999</v>
      </c>
      <c r="AS888" s="176">
        <v>10.53</v>
      </c>
      <c r="AT888" s="173"/>
      <c r="AU888" s="173">
        <v>465</v>
      </c>
      <c r="AV888" s="149"/>
      <c r="AW888" s="142" t="s">
        <v>123</v>
      </c>
      <c r="AY888" s="212"/>
      <c r="AZ888" s="196"/>
      <c r="BA888" s="196"/>
    </row>
    <row r="889" spans="2:53" s="142" customFormat="1" ht="21" customHeight="1" x14ac:dyDescent="0.25">
      <c r="B889" s="173" t="str">
        <f t="shared" si="7"/>
        <v>RM-304L/1D-3.78X768</v>
      </c>
      <c r="C889" s="173" t="s">
        <v>48</v>
      </c>
      <c r="D889" s="173" t="s">
        <v>48</v>
      </c>
      <c r="E889" s="190" t="s">
        <v>2917</v>
      </c>
      <c r="F889" s="190" t="s">
        <v>2918</v>
      </c>
      <c r="G889" s="173" t="s">
        <v>182</v>
      </c>
      <c r="H889" s="173" t="s">
        <v>127</v>
      </c>
      <c r="I889" s="174">
        <v>3.78</v>
      </c>
      <c r="J889" s="174"/>
      <c r="K889" s="174"/>
      <c r="L889" s="174"/>
      <c r="M889" s="191">
        <v>768</v>
      </c>
      <c r="N889" s="176">
        <v>10.46</v>
      </c>
      <c r="O889" s="176"/>
      <c r="P889" s="177"/>
      <c r="Q889" s="178"/>
      <c r="R889" s="179"/>
      <c r="S889" s="179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80" t="s">
        <v>2877</v>
      </c>
      <c r="AE889" s="173" t="s">
        <v>69</v>
      </c>
      <c r="AF889" s="181" t="s">
        <v>142</v>
      </c>
      <c r="AG889" s="192" t="s">
        <v>2878</v>
      </c>
      <c r="AH889" s="198"/>
      <c r="AI889" s="181">
        <v>44950</v>
      </c>
      <c r="AJ889" s="181"/>
      <c r="AK889" s="181">
        <f ca="1">TODAY()</f>
        <v>44958</v>
      </c>
      <c r="AL889" s="173">
        <f t="shared" ca="1" si="8"/>
        <v>8</v>
      </c>
      <c r="AM889" s="173" t="str">
        <f t="shared" si="9"/>
        <v/>
      </c>
      <c r="AN889" s="181"/>
      <c r="AO889" s="190" t="s">
        <v>2919</v>
      </c>
      <c r="AP889" s="176">
        <v>10.46</v>
      </c>
      <c r="AQ889" s="176">
        <v>10.47</v>
      </c>
      <c r="AR889" s="176">
        <v>10.494999999999999</v>
      </c>
      <c r="AS889" s="176">
        <v>10.5</v>
      </c>
      <c r="AT889" s="173"/>
      <c r="AU889" s="173">
        <v>465</v>
      </c>
      <c r="AV889" s="149"/>
      <c r="AW889" s="142" t="s">
        <v>123</v>
      </c>
      <c r="AY889" s="212"/>
      <c r="AZ889" s="196"/>
      <c r="BA889" s="196"/>
    </row>
    <row r="890" spans="2:53" s="142" customFormat="1" ht="21" customHeight="1" x14ac:dyDescent="0.25">
      <c r="B890" s="173" t="str">
        <f t="shared" si="7"/>
        <v>RM-304L/1D-3.78X768</v>
      </c>
      <c r="C890" s="173" t="s">
        <v>48</v>
      </c>
      <c r="D890" s="173" t="s">
        <v>48</v>
      </c>
      <c r="E890" s="190" t="s">
        <v>2920</v>
      </c>
      <c r="F890" s="190" t="s">
        <v>2921</v>
      </c>
      <c r="G890" s="173" t="s">
        <v>182</v>
      </c>
      <c r="H890" s="173" t="s">
        <v>127</v>
      </c>
      <c r="I890" s="174">
        <v>3.78</v>
      </c>
      <c r="J890" s="174"/>
      <c r="K890" s="174"/>
      <c r="L890" s="174"/>
      <c r="M890" s="191">
        <v>768</v>
      </c>
      <c r="N890" s="176">
        <v>10.44</v>
      </c>
      <c r="O890" s="176"/>
      <c r="P890" s="177"/>
      <c r="Q890" s="178"/>
      <c r="R890" s="179"/>
      <c r="S890" s="179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80" t="s">
        <v>2877</v>
      </c>
      <c r="AE890" s="173" t="s">
        <v>69</v>
      </c>
      <c r="AF890" s="181" t="s">
        <v>142</v>
      </c>
      <c r="AG890" s="192" t="s">
        <v>2878</v>
      </c>
      <c r="AH890" s="198"/>
      <c r="AI890" s="181">
        <v>44950</v>
      </c>
      <c r="AJ890" s="181"/>
      <c r="AK890" s="181">
        <f ca="1">TODAY()</f>
        <v>44958</v>
      </c>
      <c r="AL890" s="173">
        <f t="shared" ca="1" si="8"/>
        <v>8</v>
      </c>
      <c r="AM890" s="173" t="str">
        <f t="shared" si="9"/>
        <v/>
      </c>
      <c r="AN890" s="181"/>
      <c r="AO890" s="190" t="s">
        <v>2919</v>
      </c>
      <c r="AP890" s="176">
        <v>10.44</v>
      </c>
      <c r="AQ890" s="176">
        <v>10.45</v>
      </c>
      <c r="AR890" s="176">
        <v>10.474999999999998</v>
      </c>
      <c r="AS890" s="176">
        <v>10.479999999999999</v>
      </c>
      <c r="AT890" s="173"/>
      <c r="AU890" s="173">
        <v>465</v>
      </c>
      <c r="AV890" s="149"/>
      <c r="AW890" s="142" t="s">
        <v>123</v>
      </c>
      <c r="AY890" s="212"/>
      <c r="AZ890" s="196"/>
      <c r="BA890" s="196"/>
    </row>
    <row r="891" spans="2:53" s="142" customFormat="1" ht="21" customHeight="1" x14ac:dyDescent="0.25">
      <c r="B891" s="173" t="str">
        <f t="shared" si="7"/>
        <v>RM-304L/1D-3.91X638</v>
      </c>
      <c r="C891" s="173" t="s">
        <v>48</v>
      </c>
      <c r="D891" s="173" t="s">
        <v>48</v>
      </c>
      <c r="E891" s="190" t="s">
        <v>2922</v>
      </c>
      <c r="F891" s="190" t="s">
        <v>2923</v>
      </c>
      <c r="G891" s="173" t="s">
        <v>182</v>
      </c>
      <c r="H891" s="173" t="s">
        <v>127</v>
      </c>
      <c r="I891" s="174">
        <v>3.91</v>
      </c>
      <c r="J891" s="174"/>
      <c r="K891" s="174"/>
      <c r="L891" s="174"/>
      <c r="M891" s="191">
        <v>638</v>
      </c>
      <c r="N891" s="176">
        <v>10.63</v>
      </c>
      <c r="O891" s="176"/>
      <c r="P891" s="177"/>
      <c r="Q891" s="178"/>
      <c r="R891" s="179"/>
      <c r="S891" s="179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80" t="s">
        <v>2877</v>
      </c>
      <c r="AE891" s="173" t="s">
        <v>69</v>
      </c>
      <c r="AF891" s="181" t="s">
        <v>142</v>
      </c>
      <c r="AG891" s="192" t="s">
        <v>2878</v>
      </c>
      <c r="AH891" s="198"/>
      <c r="AI891" s="181">
        <v>44950</v>
      </c>
      <c r="AJ891" s="181"/>
      <c r="AK891" s="181">
        <f ca="1">TODAY()</f>
        <v>44958</v>
      </c>
      <c r="AL891" s="173">
        <f t="shared" ca="1" si="8"/>
        <v>8</v>
      </c>
      <c r="AM891" s="173" t="str">
        <f t="shared" si="9"/>
        <v/>
      </c>
      <c r="AN891" s="181"/>
      <c r="AO891" s="190" t="s">
        <v>2924</v>
      </c>
      <c r="AP891" s="176">
        <v>10.63</v>
      </c>
      <c r="AQ891" s="176">
        <v>10.64</v>
      </c>
      <c r="AR891" s="176">
        <v>10.664999999999999</v>
      </c>
      <c r="AS891" s="176">
        <v>10.67</v>
      </c>
      <c r="AT891" s="173"/>
      <c r="AU891" s="173">
        <v>465</v>
      </c>
      <c r="AV891" s="149"/>
      <c r="AW891" s="142" t="s">
        <v>123</v>
      </c>
      <c r="AY891" s="212"/>
      <c r="AZ891" s="196"/>
      <c r="BA891" s="196"/>
    </row>
    <row r="892" spans="2:53" s="142" customFormat="1" ht="21" customHeight="1" x14ac:dyDescent="0.25">
      <c r="B892" s="173" t="str">
        <f t="shared" si="7"/>
        <v>RM-304L/1D-3.91X642</v>
      </c>
      <c r="C892" s="173" t="s">
        <v>48</v>
      </c>
      <c r="D892" s="173" t="s">
        <v>48</v>
      </c>
      <c r="E892" s="190" t="s">
        <v>2925</v>
      </c>
      <c r="F892" s="190" t="s">
        <v>2926</v>
      </c>
      <c r="G892" s="173" t="s">
        <v>182</v>
      </c>
      <c r="H892" s="173" t="s">
        <v>127</v>
      </c>
      <c r="I892" s="174">
        <v>3.91</v>
      </c>
      <c r="J892" s="174"/>
      <c r="K892" s="174"/>
      <c r="L892" s="174"/>
      <c r="M892" s="191">
        <v>642</v>
      </c>
      <c r="N892" s="176">
        <v>10.72</v>
      </c>
      <c r="O892" s="176"/>
      <c r="P892" s="177"/>
      <c r="Q892" s="178"/>
      <c r="R892" s="179"/>
      <c r="S892" s="179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80" t="s">
        <v>2877</v>
      </c>
      <c r="AE892" s="173" t="s">
        <v>69</v>
      </c>
      <c r="AF892" s="181" t="s">
        <v>142</v>
      </c>
      <c r="AG892" s="192" t="s">
        <v>2878</v>
      </c>
      <c r="AH892" s="198"/>
      <c r="AI892" s="181">
        <v>44950</v>
      </c>
      <c r="AJ892" s="181"/>
      <c r="AK892" s="181">
        <f ca="1">TODAY()</f>
        <v>44958</v>
      </c>
      <c r="AL892" s="173">
        <f t="shared" ca="1" si="8"/>
        <v>8</v>
      </c>
      <c r="AM892" s="173" t="str">
        <f t="shared" si="9"/>
        <v/>
      </c>
      <c r="AN892" s="181"/>
      <c r="AO892" s="190" t="s">
        <v>2924</v>
      </c>
      <c r="AP892" s="176">
        <v>10.72</v>
      </c>
      <c r="AQ892" s="176">
        <v>10.73</v>
      </c>
      <c r="AR892" s="176">
        <v>10.754999999999999</v>
      </c>
      <c r="AS892" s="176">
        <v>10.76</v>
      </c>
      <c r="AT892" s="173"/>
      <c r="AU892" s="173">
        <v>465</v>
      </c>
      <c r="AV892" s="149"/>
      <c r="AW892" s="142" t="s">
        <v>123</v>
      </c>
      <c r="AY892" s="212"/>
      <c r="AZ892" s="196"/>
      <c r="BA892" s="196"/>
    </row>
    <row r="893" spans="2:53" s="142" customFormat="1" ht="21" customHeight="1" x14ac:dyDescent="0.25">
      <c r="B893" s="173" t="str">
        <f t="shared" si="7"/>
        <v>RM-304L/1D-3.78X768</v>
      </c>
      <c r="C893" s="173" t="s">
        <v>48</v>
      </c>
      <c r="D893" s="173" t="s">
        <v>48</v>
      </c>
      <c r="E893" s="190" t="s">
        <v>2927</v>
      </c>
      <c r="F893" s="190" t="s">
        <v>2928</v>
      </c>
      <c r="G893" s="173" t="s">
        <v>182</v>
      </c>
      <c r="H893" s="173" t="s">
        <v>127</v>
      </c>
      <c r="I893" s="174">
        <v>3.78</v>
      </c>
      <c r="J893" s="174"/>
      <c r="K893" s="174"/>
      <c r="L893" s="174"/>
      <c r="M893" s="191">
        <v>768</v>
      </c>
      <c r="N893" s="176">
        <v>10.404999999999999</v>
      </c>
      <c r="O893" s="176"/>
      <c r="P893" s="177"/>
      <c r="Q893" s="178"/>
      <c r="R893" s="179"/>
      <c r="S893" s="179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80" t="s">
        <v>2877</v>
      </c>
      <c r="AE893" s="173" t="s">
        <v>69</v>
      </c>
      <c r="AF893" s="181" t="s">
        <v>142</v>
      </c>
      <c r="AG893" s="192" t="s">
        <v>2878</v>
      </c>
      <c r="AH893" s="198"/>
      <c r="AI893" s="181">
        <v>44950</v>
      </c>
      <c r="AJ893" s="181"/>
      <c r="AK893" s="181">
        <f ca="1">TODAY()</f>
        <v>44958</v>
      </c>
      <c r="AL893" s="173">
        <f t="shared" ca="1" si="8"/>
        <v>8</v>
      </c>
      <c r="AM893" s="173" t="str">
        <f t="shared" si="9"/>
        <v/>
      </c>
      <c r="AN893" s="181"/>
      <c r="AO893" s="190" t="s">
        <v>2929</v>
      </c>
      <c r="AP893" s="176">
        <v>10.404999999999999</v>
      </c>
      <c r="AQ893" s="176">
        <v>10.414999999999999</v>
      </c>
      <c r="AR893" s="176">
        <v>10.439999999999998</v>
      </c>
      <c r="AS893" s="176">
        <v>10.444999999999999</v>
      </c>
      <c r="AT893" s="173"/>
      <c r="AU893" s="173">
        <v>465</v>
      </c>
      <c r="AV893" s="149"/>
      <c r="AW893" s="142" t="s">
        <v>123</v>
      </c>
      <c r="AY893" s="212"/>
      <c r="AZ893" s="196"/>
      <c r="BA893" s="196"/>
    </row>
    <row r="894" spans="2:53" s="142" customFormat="1" ht="21" customHeight="1" x14ac:dyDescent="0.25">
      <c r="B894" s="173" t="str">
        <f t="shared" ref="B894:B957" si="10">IF(C894="HOLD RM","HOLD RM",IF(C894="BAL","WIP",IF(C894="HOLD SLT","HOLD SLT",IF(C894="MILL","RM",IF(C894="RE SLT","WIP",IF(C894="RM","RM",IF(C894="RM BAL","RM",IF(C894="RM SLT","RM",IF(C894="RR","WIP",IF(C894="SKP","WIP",IF(C894="SLT","WIP",IF(C894="CTL","WIP",IF(C894="RM SLT RUST","RM SLT RUST",0)))))))))))))&amp;"-"&amp;G894&amp;"/"&amp;IF(H894="2B","2B",IF(H894="NO.1","1D",IF(H894="FH","FH",0)))&amp;"-"&amp;IF(J894="",(TEXT(I894,"0.00")),TEXT(J894,"0.00"))&amp;"X"&amp;M894</f>
        <v>RM-304L/1D-3.78X769</v>
      </c>
      <c r="C894" s="173" t="s">
        <v>48</v>
      </c>
      <c r="D894" s="173" t="s">
        <v>48</v>
      </c>
      <c r="E894" s="190" t="s">
        <v>2930</v>
      </c>
      <c r="F894" s="190" t="s">
        <v>2931</v>
      </c>
      <c r="G894" s="173" t="s">
        <v>182</v>
      </c>
      <c r="H894" s="173" t="s">
        <v>127</v>
      </c>
      <c r="I894" s="174">
        <v>3.78</v>
      </c>
      <c r="J894" s="174"/>
      <c r="K894" s="174"/>
      <c r="L894" s="174"/>
      <c r="M894" s="191">
        <v>769</v>
      </c>
      <c r="N894" s="176">
        <v>10.445</v>
      </c>
      <c r="O894" s="176"/>
      <c r="P894" s="177"/>
      <c r="Q894" s="178"/>
      <c r="R894" s="179"/>
      <c r="S894" s="179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80" t="s">
        <v>2877</v>
      </c>
      <c r="AE894" s="173" t="s">
        <v>69</v>
      </c>
      <c r="AF894" s="181" t="s">
        <v>142</v>
      </c>
      <c r="AG894" s="192" t="s">
        <v>2878</v>
      </c>
      <c r="AH894" s="198"/>
      <c r="AI894" s="181">
        <v>44950</v>
      </c>
      <c r="AJ894" s="181"/>
      <c r="AK894" s="181">
        <f ca="1">TODAY()</f>
        <v>44958</v>
      </c>
      <c r="AL894" s="173">
        <f t="shared" ca="1" si="8"/>
        <v>8</v>
      </c>
      <c r="AM894" s="173" t="str">
        <f t="shared" si="9"/>
        <v/>
      </c>
      <c r="AN894" s="181"/>
      <c r="AO894" s="190" t="s">
        <v>2929</v>
      </c>
      <c r="AP894" s="176">
        <v>10.445</v>
      </c>
      <c r="AQ894" s="176">
        <v>10.455</v>
      </c>
      <c r="AR894" s="176">
        <v>10.479999999999999</v>
      </c>
      <c r="AS894" s="176">
        <v>10.484999999999999</v>
      </c>
      <c r="AT894" s="173"/>
      <c r="AU894" s="173">
        <v>465</v>
      </c>
      <c r="AV894" s="149"/>
      <c r="AW894" s="142" t="s">
        <v>123</v>
      </c>
      <c r="AY894" s="212"/>
      <c r="AZ894" s="196"/>
      <c r="BA894" s="196"/>
    </row>
    <row r="895" spans="2:53" s="142" customFormat="1" ht="21" customHeight="1" x14ac:dyDescent="0.25">
      <c r="B895" s="173" t="str">
        <f t="shared" si="10"/>
        <v>RM-304L/1D-3.91X643</v>
      </c>
      <c r="C895" s="173" t="s">
        <v>48</v>
      </c>
      <c r="D895" s="173" t="s">
        <v>48</v>
      </c>
      <c r="E895" s="190" t="s">
        <v>2932</v>
      </c>
      <c r="F895" s="190" t="s">
        <v>2933</v>
      </c>
      <c r="G895" s="173" t="s">
        <v>182</v>
      </c>
      <c r="H895" s="173" t="s">
        <v>127</v>
      </c>
      <c r="I895" s="174">
        <v>3.91</v>
      </c>
      <c r="J895" s="174"/>
      <c r="K895" s="174"/>
      <c r="L895" s="174"/>
      <c r="M895" s="191">
        <v>643</v>
      </c>
      <c r="N895" s="176">
        <v>10.6</v>
      </c>
      <c r="O895" s="176"/>
      <c r="P895" s="177"/>
      <c r="Q895" s="178"/>
      <c r="R895" s="179"/>
      <c r="S895" s="179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80" t="s">
        <v>2877</v>
      </c>
      <c r="AE895" s="173" t="s">
        <v>69</v>
      </c>
      <c r="AF895" s="181" t="s">
        <v>142</v>
      </c>
      <c r="AG895" s="192" t="s">
        <v>2878</v>
      </c>
      <c r="AH895" s="198"/>
      <c r="AI895" s="181">
        <v>44950</v>
      </c>
      <c r="AJ895" s="181"/>
      <c r="AK895" s="181">
        <f ca="1">TODAY()</f>
        <v>44958</v>
      </c>
      <c r="AL895" s="173">
        <f t="shared" ca="1" si="8"/>
        <v>8</v>
      </c>
      <c r="AM895" s="173" t="str">
        <f t="shared" si="9"/>
        <v/>
      </c>
      <c r="AN895" s="181"/>
      <c r="AO895" s="190" t="s">
        <v>2934</v>
      </c>
      <c r="AP895" s="176">
        <v>10.6</v>
      </c>
      <c r="AQ895" s="176">
        <v>10.61</v>
      </c>
      <c r="AR895" s="176">
        <v>10.634999999999998</v>
      </c>
      <c r="AS895" s="176">
        <v>10.639999999999999</v>
      </c>
      <c r="AT895" s="173"/>
      <c r="AU895" s="173">
        <v>465</v>
      </c>
      <c r="AV895" s="149"/>
      <c r="AW895" s="142" t="s">
        <v>123</v>
      </c>
      <c r="AY895" s="212"/>
      <c r="AZ895" s="196"/>
      <c r="BA895" s="196"/>
    </row>
    <row r="896" spans="2:53" s="142" customFormat="1" ht="21" customHeight="1" x14ac:dyDescent="0.25">
      <c r="B896" s="173" t="str">
        <f t="shared" si="10"/>
        <v>RM-304L/1D-3.91X638</v>
      </c>
      <c r="C896" s="173" t="s">
        <v>48</v>
      </c>
      <c r="D896" s="173" t="s">
        <v>48</v>
      </c>
      <c r="E896" s="190" t="s">
        <v>2935</v>
      </c>
      <c r="F896" s="190" t="s">
        <v>2936</v>
      </c>
      <c r="G896" s="173" t="s">
        <v>182</v>
      </c>
      <c r="H896" s="173" t="s">
        <v>127</v>
      </c>
      <c r="I896" s="174">
        <v>3.91</v>
      </c>
      <c r="J896" s="174"/>
      <c r="K896" s="174"/>
      <c r="L896" s="174"/>
      <c r="M896" s="191">
        <v>638</v>
      </c>
      <c r="N896" s="176">
        <v>10.515000000000001</v>
      </c>
      <c r="O896" s="176"/>
      <c r="P896" s="177"/>
      <c r="Q896" s="178"/>
      <c r="R896" s="179"/>
      <c r="S896" s="179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80" t="s">
        <v>2877</v>
      </c>
      <c r="AE896" s="173" t="s">
        <v>69</v>
      </c>
      <c r="AF896" s="181" t="s">
        <v>142</v>
      </c>
      <c r="AG896" s="192" t="s">
        <v>2878</v>
      </c>
      <c r="AH896" s="198"/>
      <c r="AI896" s="181">
        <v>44950</v>
      </c>
      <c r="AJ896" s="181"/>
      <c r="AK896" s="181">
        <f ca="1">TODAY()</f>
        <v>44958</v>
      </c>
      <c r="AL896" s="173">
        <f t="shared" ca="1" si="8"/>
        <v>8</v>
      </c>
      <c r="AM896" s="173" t="str">
        <f t="shared" si="9"/>
        <v/>
      </c>
      <c r="AN896" s="181"/>
      <c r="AO896" s="190" t="s">
        <v>2934</v>
      </c>
      <c r="AP896" s="176">
        <v>10.515000000000001</v>
      </c>
      <c r="AQ896" s="176">
        <v>10.525</v>
      </c>
      <c r="AR896" s="176">
        <v>10.549999999999999</v>
      </c>
      <c r="AS896" s="176">
        <v>10.555</v>
      </c>
      <c r="AT896" s="173"/>
      <c r="AU896" s="173">
        <v>465</v>
      </c>
      <c r="AV896" s="149"/>
      <c r="AW896" s="142" t="s">
        <v>123</v>
      </c>
      <c r="AY896" s="212"/>
      <c r="AZ896" s="196"/>
      <c r="BA896" s="196"/>
    </row>
    <row r="897" spans="2:53" s="142" customFormat="1" ht="21" customHeight="1" x14ac:dyDescent="0.25">
      <c r="B897" s="173" t="str">
        <f t="shared" si="10"/>
        <v>RM-304L/1D-3.78X768</v>
      </c>
      <c r="C897" s="173" t="s">
        <v>48</v>
      </c>
      <c r="D897" s="173" t="s">
        <v>48</v>
      </c>
      <c r="E897" s="190" t="s">
        <v>2937</v>
      </c>
      <c r="F897" s="190" t="s">
        <v>2938</v>
      </c>
      <c r="G897" s="173" t="s">
        <v>182</v>
      </c>
      <c r="H897" s="173" t="s">
        <v>127</v>
      </c>
      <c r="I897" s="174">
        <v>3.78</v>
      </c>
      <c r="J897" s="174"/>
      <c r="K897" s="174"/>
      <c r="L897" s="174"/>
      <c r="M897" s="191">
        <v>768</v>
      </c>
      <c r="N897" s="176">
        <v>10.210000000000001</v>
      </c>
      <c r="O897" s="176"/>
      <c r="P897" s="177"/>
      <c r="Q897" s="178"/>
      <c r="R897" s="179"/>
      <c r="S897" s="179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80" t="s">
        <v>2877</v>
      </c>
      <c r="AE897" s="173" t="s">
        <v>69</v>
      </c>
      <c r="AF897" s="181" t="s">
        <v>142</v>
      </c>
      <c r="AG897" s="192" t="s">
        <v>2878</v>
      </c>
      <c r="AH897" s="198"/>
      <c r="AI897" s="181">
        <v>44950</v>
      </c>
      <c r="AJ897" s="181"/>
      <c r="AK897" s="181">
        <f ca="1">TODAY()</f>
        <v>44958</v>
      </c>
      <c r="AL897" s="173">
        <f t="shared" ca="1" si="8"/>
        <v>8</v>
      </c>
      <c r="AM897" s="173" t="str">
        <f t="shared" si="9"/>
        <v/>
      </c>
      <c r="AN897" s="181"/>
      <c r="AO897" s="190" t="s">
        <v>2939</v>
      </c>
      <c r="AP897" s="176">
        <v>10.210000000000001</v>
      </c>
      <c r="AQ897" s="176">
        <v>10.220000000000001</v>
      </c>
      <c r="AR897" s="176">
        <v>10.244999999999999</v>
      </c>
      <c r="AS897" s="176">
        <v>10.25</v>
      </c>
      <c r="AT897" s="173"/>
      <c r="AU897" s="173">
        <v>465</v>
      </c>
      <c r="AV897" s="149"/>
      <c r="AW897" s="142" t="s">
        <v>123</v>
      </c>
      <c r="AY897" s="212"/>
      <c r="AZ897" s="196"/>
      <c r="BA897" s="196"/>
    </row>
    <row r="898" spans="2:53" s="142" customFormat="1" ht="21" customHeight="1" x14ac:dyDescent="0.25">
      <c r="B898" s="173" t="str">
        <f t="shared" si="10"/>
        <v>RM-304L/1D-3.78X768</v>
      </c>
      <c r="C898" s="173" t="s">
        <v>48</v>
      </c>
      <c r="D898" s="173" t="s">
        <v>48</v>
      </c>
      <c r="E898" s="190" t="s">
        <v>2940</v>
      </c>
      <c r="F898" s="190" t="s">
        <v>2941</v>
      </c>
      <c r="G898" s="173" t="s">
        <v>182</v>
      </c>
      <c r="H898" s="173" t="s">
        <v>127</v>
      </c>
      <c r="I898" s="174">
        <v>3.78</v>
      </c>
      <c r="J898" s="174"/>
      <c r="K898" s="174"/>
      <c r="L898" s="174"/>
      <c r="M898" s="191">
        <v>768</v>
      </c>
      <c r="N898" s="176">
        <v>10.220000000000001</v>
      </c>
      <c r="O898" s="176"/>
      <c r="P898" s="177"/>
      <c r="Q898" s="178"/>
      <c r="R898" s="179"/>
      <c r="S898" s="179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80" t="s">
        <v>2877</v>
      </c>
      <c r="AE898" s="173" t="s">
        <v>69</v>
      </c>
      <c r="AF898" s="181" t="s">
        <v>142</v>
      </c>
      <c r="AG898" s="192" t="s">
        <v>2878</v>
      </c>
      <c r="AH898" s="198"/>
      <c r="AI898" s="181">
        <v>44950</v>
      </c>
      <c r="AJ898" s="181"/>
      <c r="AK898" s="181">
        <f ca="1">TODAY()</f>
        <v>44958</v>
      </c>
      <c r="AL898" s="173">
        <f t="shared" ca="1" si="8"/>
        <v>8</v>
      </c>
      <c r="AM898" s="173" t="str">
        <f t="shared" si="9"/>
        <v/>
      </c>
      <c r="AN898" s="181"/>
      <c r="AO898" s="190" t="s">
        <v>2939</v>
      </c>
      <c r="AP898" s="176">
        <v>10.220000000000001</v>
      </c>
      <c r="AQ898" s="176">
        <v>10.23</v>
      </c>
      <c r="AR898" s="176">
        <v>10.254999999999999</v>
      </c>
      <c r="AS898" s="176">
        <v>10.26</v>
      </c>
      <c r="AT898" s="173"/>
      <c r="AU898" s="173">
        <v>465</v>
      </c>
      <c r="AV898" s="149"/>
      <c r="AW898" s="142" t="s">
        <v>123</v>
      </c>
      <c r="AY898" s="212"/>
      <c r="AZ898" s="196"/>
      <c r="BA898" s="196"/>
    </row>
    <row r="899" spans="2:53" s="142" customFormat="1" ht="21" customHeight="1" x14ac:dyDescent="0.25">
      <c r="B899" s="173" t="str">
        <f t="shared" si="10"/>
        <v>RM-304L/1D-3.80X768</v>
      </c>
      <c r="C899" s="173" t="s">
        <v>48</v>
      </c>
      <c r="D899" s="173" t="s">
        <v>48</v>
      </c>
      <c r="E899" s="190" t="s">
        <v>2942</v>
      </c>
      <c r="F899" s="190" t="s">
        <v>2943</v>
      </c>
      <c r="G899" s="173" t="s">
        <v>182</v>
      </c>
      <c r="H899" s="173" t="s">
        <v>127</v>
      </c>
      <c r="I899" s="174">
        <v>3.8</v>
      </c>
      <c r="J899" s="174"/>
      <c r="K899" s="174"/>
      <c r="L899" s="174"/>
      <c r="M899" s="191">
        <v>768</v>
      </c>
      <c r="N899" s="176">
        <v>10.44</v>
      </c>
      <c r="O899" s="176"/>
      <c r="P899" s="177"/>
      <c r="Q899" s="178"/>
      <c r="R899" s="179"/>
      <c r="S899" s="179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80" t="s">
        <v>2877</v>
      </c>
      <c r="AE899" s="173" t="s">
        <v>69</v>
      </c>
      <c r="AF899" s="181" t="s">
        <v>142</v>
      </c>
      <c r="AG899" s="192" t="s">
        <v>2878</v>
      </c>
      <c r="AH899" s="198"/>
      <c r="AI899" s="181">
        <v>44950</v>
      </c>
      <c r="AJ899" s="181"/>
      <c r="AK899" s="181">
        <f ca="1">TODAY()</f>
        <v>44958</v>
      </c>
      <c r="AL899" s="173">
        <f t="shared" ca="1" si="8"/>
        <v>8</v>
      </c>
      <c r="AM899" s="173" t="str">
        <f t="shared" si="9"/>
        <v/>
      </c>
      <c r="AN899" s="181"/>
      <c r="AO899" s="190" t="s">
        <v>2944</v>
      </c>
      <c r="AP899" s="176">
        <v>10.44</v>
      </c>
      <c r="AQ899" s="176">
        <v>10.45</v>
      </c>
      <c r="AR899" s="176">
        <v>10.474999999999998</v>
      </c>
      <c r="AS899" s="176">
        <v>10.479999999999999</v>
      </c>
      <c r="AT899" s="173"/>
      <c r="AU899" s="173">
        <v>465</v>
      </c>
      <c r="AV899" s="149"/>
      <c r="AW899" s="142" t="s">
        <v>123</v>
      </c>
      <c r="AY899" s="212"/>
      <c r="AZ899" s="196"/>
      <c r="BA899" s="196"/>
    </row>
    <row r="900" spans="2:53" s="142" customFormat="1" ht="21" customHeight="1" x14ac:dyDescent="0.25">
      <c r="B900" s="173" t="str">
        <f t="shared" si="10"/>
        <v>RM-304L/1D-3.80X769</v>
      </c>
      <c r="C900" s="173" t="s">
        <v>48</v>
      </c>
      <c r="D900" s="173" t="s">
        <v>48</v>
      </c>
      <c r="E900" s="190" t="s">
        <v>2945</v>
      </c>
      <c r="F900" s="190" t="s">
        <v>2946</v>
      </c>
      <c r="G900" s="173" t="s">
        <v>182</v>
      </c>
      <c r="H900" s="173" t="s">
        <v>127</v>
      </c>
      <c r="I900" s="174">
        <v>3.8</v>
      </c>
      <c r="J900" s="174"/>
      <c r="K900" s="174"/>
      <c r="L900" s="174"/>
      <c r="M900" s="191">
        <v>769</v>
      </c>
      <c r="N900" s="176">
        <v>10.475</v>
      </c>
      <c r="O900" s="176"/>
      <c r="P900" s="177"/>
      <c r="Q900" s="178"/>
      <c r="R900" s="179"/>
      <c r="S900" s="179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80" t="s">
        <v>2877</v>
      </c>
      <c r="AE900" s="173" t="s">
        <v>69</v>
      </c>
      <c r="AF900" s="181" t="s">
        <v>142</v>
      </c>
      <c r="AG900" s="192" t="s">
        <v>2878</v>
      </c>
      <c r="AH900" s="198"/>
      <c r="AI900" s="181">
        <v>44950</v>
      </c>
      <c r="AJ900" s="181"/>
      <c r="AK900" s="181">
        <f ca="1">TODAY()</f>
        <v>44958</v>
      </c>
      <c r="AL900" s="173">
        <f t="shared" ca="1" si="8"/>
        <v>8</v>
      </c>
      <c r="AM900" s="173" t="str">
        <f t="shared" si="9"/>
        <v/>
      </c>
      <c r="AN900" s="181"/>
      <c r="AO900" s="190" t="s">
        <v>2944</v>
      </c>
      <c r="AP900" s="176">
        <v>10.475</v>
      </c>
      <c r="AQ900" s="176">
        <v>10.484999999999999</v>
      </c>
      <c r="AR900" s="176">
        <v>10.509999999999998</v>
      </c>
      <c r="AS900" s="176">
        <v>10.514999999999999</v>
      </c>
      <c r="AT900" s="173"/>
      <c r="AU900" s="173">
        <v>465</v>
      </c>
      <c r="AV900" s="149"/>
      <c r="AW900" s="142" t="s">
        <v>123</v>
      </c>
      <c r="AY900" s="212"/>
      <c r="AZ900" s="196"/>
      <c r="BA900" s="196"/>
    </row>
    <row r="901" spans="2:53" s="142" customFormat="1" ht="21" customHeight="1" x14ac:dyDescent="0.25">
      <c r="B901" s="173" t="str">
        <f t="shared" si="10"/>
        <v>RM-304L/1D-3.79X768</v>
      </c>
      <c r="C901" s="173" t="s">
        <v>48</v>
      </c>
      <c r="D901" s="173" t="s">
        <v>48</v>
      </c>
      <c r="E901" s="190" t="s">
        <v>2947</v>
      </c>
      <c r="F901" s="190" t="s">
        <v>2948</v>
      </c>
      <c r="G901" s="173" t="s">
        <v>182</v>
      </c>
      <c r="H901" s="173" t="s">
        <v>127</v>
      </c>
      <c r="I901" s="174">
        <v>3.79</v>
      </c>
      <c r="J901" s="174"/>
      <c r="K901" s="174"/>
      <c r="L901" s="174"/>
      <c r="M901" s="191">
        <v>768</v>
      </c>
      <c r="N901" s="176">
        <v>10.445</v>
      </c>
      <c r="O901" s="176"/>
      <c r="P901" s="177"/>
      <c r="Q901" s="178"/>
      <c r="R901" s="179"/>
      <c r="S901" s="179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80" t="s">
        <v>2877</v>
      </c>
      <c r="AE901" s="173" t="s">
        <v>69</v>
      </c>
      <c r="AF901" s="181" t="s">
        <v>142</v>
      </c>
      <c r="AG901" s="192" t="s">
        <v>2878</v>
      </c>
      <c r="AH901" s="198"/>
      <c r="AI901" s="181">
        <v>44950</v>
      </c>
      <c r="AJ901" s="181"/>
      <c r="AK901" s="181">
        <f ca="1">TODAY()</f>
        <v>44958</v>
      </c>
      <c r="AL901" s="173">
        <f t="shared" ca="1" si="8"/>
        <v>8</v>
      </c>
      <c r="AM901" s="173" t="str">
        <f t="shared" si="9"/>
        <v/>
      </c>
      <c r="AN901" s="181"/>
      <c r="AO901" s="190" t="s">
        <v>2949</v>
      </c>
      <c r="AP901" s="176">
        <v>10.445</v>
      </c>
      <c r="AQ901" s="176">
        <v>10.455</v>
      </c>
      <c r="AR901" s="176">
        <v>10.479999999999999</v>
      </c>
      <c r="AS901" s="176">
        <v>10.484999999999999</v>
      </c>
      <c r="AT901" s="173"/>
      <c r="AU901" s="173">
        <v>465</v>
      </c>
      <c r="AV901" s="149"/>
      <c r="AW901" s="142" t="s">
        <v>123</v>
      </c>
      <c r="AY901" s="212"/>
      <c r="AZ901" s="196"/>
      <c r="BA901" s="196"/>
    </row>
    <row r="902" spans="2:53" s="142" customFormat="1" ht="21" customHeight="1" x14ac:dyDescent="0.25">
      <c r="B902" s="173" t="str">
        <f t="shared" si="10"/>
        <v>RM-304L/1D-3.79X768</v>
      </c>
      <c r="C902" s="173" t="s">
        <v>48</v>
      </c>
      <c r="D902" s="173" t="s">
        <v>48</v>
      </c>
      <c r="E902" s="190" t="s">
        <v>2950</v>
      </c>
      <c r="F902" s="190" t="s">
        <v>2951</v>
      </c>
      <c r="G902" s="173" t="s">
        <v>182</v>
      </c>
      <c r="H902" s="173" t="s">
        <v>127</v>
      </c>
      <c r="I902" s="174">
        <v>3.79</v>
      </c>
      <c r="J902" s="174"/>
      <c r="K902" s="174"/>
      <c r="L902" s="174"/>
      <c r="M902" s="191">
        <v>768</v>
      </c>
      <c r="N902" s="176">
        <v>10.435</v>
      </c>
      <c r="O902" s="176"/>
      <c r="P902" s="177"/>
      <c r="Q902" s="178"/>
      <c r="R902" s="179"/>
      <c r="S902" s="179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80" t="s">
        <v>2877</v>
      </c>
      <c r="AE902" s="173" t="s">
        <v>69</v>
      </c>
      <c r="AF902" s="181" t="s">
        <v>142</v>
      </c>
      <c r="AG902" s="192" t="s">
        <v>2878</v>
      </c>
      <c r="AH902" s="198"/>
      <c r="AI902" s="181">
        <v>44950</v>
      </c>
      <c r="AJ902" s="181"/>
      <c r="AK902" s="181">
        <f ca="1">TODAY()</f>
        <v>44958</v>
      </c>
      <c r="AL902" s="173">
        <f t="shared" ca="1" si="8"/>
        <v>8</v>
      </c>
      <c r="AM902" s="173" t="str">
        <f t="shared" si="9"/>
        <v/>
      </c>
      <c r="AN902" s="181"/>
      <c r="AO902" s="190" t="s">
        <v>2949</v>
      </c>
      <c r="AP902" s="176">
        <v>10.435</v>
      </c>
      <c r="AQ902" s="176">
        <v>10.445</v>
      </c>
      <c r="AR902" s="176">
        <v>10.469999999999999</v>
      </c>
      <c r="AS902" s="176">
        <v>10.475</v>
      </c>
      <c r="AT902" s="173"/>
      <c r="AU902" s="173">
        <v>465</v>
      </c>
      <c r="AV902" s="149"/>
      <c r="AW902" s="142" t="s">
        <v>123</v>
      </c>
      <c r="AY902" s="212"/>
      <c r="AZ902" s="196"/>
      <c r="BA902" s="196"/>
    </row>
    <row r="903" spans="2:53" s="142" customFormat="1" ht="21" customHeight="1" x14ac:dyDescent="0.25">
      <c r="B903" s="173" t="str">
        <f t="shared" si="10"/>
        <v>RM-304L/1D-3.79X768</v>
      </c>
      <c r="C903" s="173" t="s">
        <v>48</v>
      </c>
      <c r="D903" s="173" t="s">
        <v>48</v>
      </c>
      <c r="E903" s="190" t="s">
        <v>2952</v>
      </c>
      <c r="F903" s="190" t="s">
        <v>2953</v>
      </c>
      <c r="G903" s="173" t="s">
        <v>182</v>
      </c>
      <c r="H903" s="173" t="s">
        <v>127</v>
      </c>
      <c r="I903" s="174">
        <v>3.79</v>
      </c>
      <c r="J903" s="174"/>
      <c r="K903" s="174"/>
      <c r="L903" s="174"/>
      <c r="M903" s="191">
        <v>768</v>
      </c>
      <c r="N903" s="176">
        <v>10.435</v>
      </c>
      <c r="O903" s="176"/>
      <c r="P903" s="177"/>
      <c r="Q903" s="178"/>
      <c r="R903" s="179"/>
      <c r="S903" s="179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80" t="s">
        <v>2877</v>
      </c>
      <c r="AE903" s="173" t="s">
        <v>69</v>
      </c>
      <c r="AF903" s="181" t="s">
        <v>142</v>
      </c>
      <c r="AG903" s="192" t="s">
        <v>2878</v>
      </c>
      <c r="AH903" s="198"/>
      <c r="AI903" s="181">
        <v>44950</v>
      </c>
      <c r="AJ903" s="181"/>
      <c r="AK903" s="181">
        <f ca="1">TODAY()</f>
        <v>44958</v>
      </c>
      <c r="AL903" s="173">
        <f t="shared" ca="1" si="8"/>
        <v>8</v>
      </c>
      <c r="AM903" s="173" t="str">
        <f t="shared" si="9"/>
        <v/>
      </c>
      <c r="AN903" s="181"/>
      <c r="AO903" s="190" t="s">
        <v>2954</v>
      </c>
      <c r="AP903" s="176">
        <v>10.435</v>
      </c>
      <c r="AQ903" s="176">
        <v>10.445</v>
      </c>
      <c r="AR903" s="176">
        <v>10.469999999999999</v>
      </c>
      <c r="AS903" s="176">
        <v>10.475</v>
      </c>
      <c r="AT903" s="173"/>
      <c r="AU903" s="173">
        <v>465</v>
      </c>
      <c r="AV903" s="149"/>
      <c r="AW903" s="142" t="s">
        <v>123</v>
      </c>
      <c r="AY903" s="212"/>
      <c r="AZ903" s="196"/>
      <c r="BA903" s="196"/>
    </row>
    <row r="904" spans="2:53" s="142" customFormat="1" ht="21" customHeight="1" x14ac:dyDescent="0.25">
      <c r="B904" s="173" t="str">
        <f t="shared" si="10"/>
        <v>RM-304L/1D-3.79X768</v>
      </c>
      <c r="C904" s="173" t="s">
        <v>48</v>
      </c>
      <c r="D904" s="173" t="s">
        <v>48</v>
      </c>
      <c r="E904" s="190" t="s">
        <v>2955</v>
      </c>
      <c r="F904" s="190" t="s">
        <v>2956</v>
      </c>
      <c r="G904" s="173" t="s">
        <v>182</v>
      </c>
      <c r="H904" s="173" t="s">
        <v>127</v>
      </c>
      <c r="I904" s="174">
        <v>3.79</v>
      </c>
      <c r="J904" s="174"/>
      <c r="K904" s="174"/>
      <c r="L904" s="174"/>
      <c r="M904" s="191">
        <v>768</v>
      </c>
      <c r="N904" s="176">
        <v>10.425000000000001</v>
      </c>
      <c r="O904" s="176"/>
      <c r="P904" s="177"/>
      <c r="Q904" s="178"/>
      <c r="R904" s="179"/>
      <c r="S904" s="179"/>
      <c r="T904" s="177"/>
      <c r="U904" s="177"/>
      <c r="V904" s="177"/>
      <c r="W904" s="177"/>
      <c r="X904" s="177"/>
      <c r="Y904" s="177"/>
      <c r="Z904" s="177"/>
      <c r="AA904" s="177"/>
      <c r="AB904" s="177"/>
      <c r="AC904" s="177"/>
      <c r="AD904" s="180" t="s">
        <v>2877</v>
      </c>
      <c r="AE904" s="173" t="s">
        <v>69</v>
      </c>
      <c r="AF904" s="181" t="s">
        <v>142</v>
      </c>
      <c r="AG904" s="192" t="s">
        <v>2878</v>
      </c>
      <c r="AH904" s="198"/>
      <c r="AI904" s="181">
        <v>44950</v>
      </c>
      <c r="AJ904" s="181"/>
      <c r="AK904" s="181">
        <f ca="1">TODAY()</f>
        <v>44958</v>
      </c>
      <c r="AL904" s="173">
        <f t="shared" ca="1" si="8"/>
        <v>8</v>
      </c>
      <c r="AM904" s="173" t="str">
        <f t="shared" si="9"/>
        <v/>
      </c>
      <c r="AN904" s="181"/>
      <c r="AO904" s="190" t="s">
        <v>2954</v>
      </c>
      <c r="AP904" s="176">
        <v>10.425000000000001</v>
      </c>
      <c r="AQ904" s="176">
        <v>10.435</v>
      </c>
      <c r="AR904" s="176">
        <v>10.459999999999999</v>
      </c>
      <c r="AS904" s="176">
        <v>10.465</v>
      </c>
      <c r="AT904" s="173"/>
      <c r="AU904" s="173">
        <v>465</v>
      </c>
      <c r="AV904" s="149"/>
      <c r="AW904" s="142" t="s">
        <v>123</v>
      </c>
      <c r="AY904" s="212"/>
      <c r="AZ904" s="196"/>
      <c r="BA904" s="196"/>
    </row>
    <row r="905" spans="2:53" s="142" customFormat="1" ht="21" customHeight="1" x14ac:dyDescent="0.25">
      <c r="B905" s="173" t="str">
        <f t="shared" si="10"/>
        <v>RM-304L/1D-3.78X768</v>
      </c>
      <c r="C905" s="173" t="s">
        <v>48</v>
      </c>
      <c r="D905" s="173" t="s">
        <v>48</v>
      </c>
      <c r="E905" s="190" t="s">
        <v>2957</v>
      </c>
      <c r="F905" s="190" t="s">
        <v>2958</v>
      </c>
      <c r="G905" s="173" t="s">
        <v>182</v>
      </c>
      <c r="H905" s="173" t="s">
        <v>127</v>
      </c>
      <c r="I905" s="174">
        <v>3.78</v>
      </c>
      <c r="J905" s="174"/>
      <c r="K905" s="174"/>
      <c r="L905" s="174"/>
      <c r="M905" s="191">
        <v>768</v>
      </c>
      <c r="N905" s="176">
        <v>11.96</v>
      </c>
      <c r="O905" s="176"/>
      <c r="P905" s="177"/>
      <c r="Q905" s="178"/>
      <c r="R905" s="179"/>
      <c r="S905" s="179"/>
      <c r="T905" s="177"/>
      <c r="U905" s="177"/>
      <c r="V905" s="177"/>
      <c r="W905" s="177"/>
      <c r="X905" s="177"/>
      <c r="Y905" s="177"/>
      <c r="Z905" s="177"/>
      <c r="AA905" s="177"/>
      <c r="AB905" s="177"/>
      <c r="AC905" s="177"/>
      <c r="AD905" s="180" t="s">
        <v>2877</v>
      </c>
      <c r="AE905" s="173" t="s">
        <v>69</v>
      </c>
      <c r="AF905" s="181" t="s">
        <v>142</v>
      </c>
      <c r="AG905" s="192" t="s">
        <v>2878</v>
      </c>
      <c r="AH905" s="198"/>
      <c r="AI905" s="181">
        <v>44950</v>
      </c>
      <c r="AJ905" s="181"/>
      <c r="AK905" s="181">
        <f ca="1">TODAY()</f>
        <v>44958</v>
      </c>
      <c r="AL905" s="173">
        <f t="shared" ca="1" si="8"/>
        <v>8</v>
      </c>
      <c r="AM905" s="173" t="str">
        <f t="shared" si="9"/>
        <v/>
      </c>
      <c r="AN905" s="181"/>
      <c r="AO905" s="190" t="s">
        <v>2959</v>
      </c>
      <c r="AP905" s="176">
        <v>11.96</v>
      </c>
      <c r="AQ905" s="176">
        <v>11.97</v>
      </c>
      <c r="AR905" s="176">
        <v>11.994999999999999</v>
      </c>
      <c r="AS905" s="176">
        <v>12</v>
      </c>
      <c r="AT905" s="173"/>
      <c r="AU905" s="173">
        <v>465</v>
      </c>
      <c r="AV905" s="149"/>
      <c r="AW905" s="142" t="s">
        <v>123</v>
      </c>
      <c r="AY905" s="212"/>
      <c r="AZ905" s="196"/>
      <c r="BA905" s="196"/>
    </row>
    <row r="906" spans="2:53" s="142" customFormat="1" ht="21" customHeight="1" x14ac:dyDescent="0.25">
      <c r="B906" s="173" t="str">
        <f t="shared" si="10"/>
        <v>RM-304L/1D-3.78X767</v>
      </c>
      <c r="C906" s="173" t="s">
        <v>48</v>
      </c>
      <c r="D906" s="173" t="s">
        <v>48</v>
      </c>
      <c r="E906" s="190" t="s">
        <v>2960</v>
      </c>
      <c r="F906" s="190" t="s">
        <v>2961</v>
      </c>
      <c r="G906" s="173" t="s">
        <v>182</v>
      </c>
      <c r="H906" s="173" t="s">
        <v>127</v>
      </c>
      <c r="I906" s="174">
        <v>3.78</v>
      </c>
      <c r="J906" s="174"/>
      <c r="K906" s="174"/>
      <c r="L906" s="174"/>
      <c r="M906" s="191">
        <v>767</v>
      </c>
      <c r="N906" s="176">
        <v>11.965</v>
      </c>
      <c r="O906" s="176"/>
      <c r="P906" s="177"/>
      <c r="Q906" s="178"/>
      <c r="R906" s="179"/>
      <c r="S906" s="179"/>
      <c r="T906" s="177"/>
      <c r="U906" s="177"/>
      <c r="V906" s="177"/>
      <c r="W906" s="177"/>
      <c r="X906" s="177"/>
      <c r="Y906" s="177"/>
      <c r="Z906" s="177"/>
      <c r="AA906" s="177"/>
      <c r="AB906" s="177"/>
      <c r="AC906" s="177"/>
      <c r="AD906" s="180" t="s">
        <v>2877</v>
      </c>
      <c r="AE906" s="173" t="s">
        <v>69</v>
      </c>
      <c r="AF906" s="181" t="s">
        <v>142</v>
      </c>
      <c r="AG906" s="192" t="s">
        <v>2878</v>
      </c>
      <c r="AH906" s="198"/>
      <c r="AI906" s="181">
        <v>44950</v>
      </c>
      <c r="AJ906" s="181"/>
      <c r="AK906" s="181">
        <f ca="1">TODAY()</f>
        <v>44958</v>
      </c>
      <c r="AL906" s="173">
        <f t="shared" ca="1" si="8"/>
        <v>8</v>
      </c>
      <c r="AM906" s="173" t="str">
        <f t="shared" si="9"/>
        <v/>
      </c>
      <c r="AN906" s="181"/>
      <c r="AO906" s="190" t="s">
        <v>2959</v>
      </c>
      <c r="AP906" s="176">
        <v>11.965</v>
      </c>
      <c r="AQ906" s="176">
        <v>11.975</v>
      </c>
      <c r="AR906" s="176">
        <v>11.999999999999998</v>
      </c>
      <c r="AS906" s="176">
        <v>12.004999999999999</v>
      </c>
      <c r="AT906" s="173"/>
      <c r="AU906" s="173">
        <v>465</v>
      </c>
      <c r="AV906" s="149"/>
      <c r="AW906" s="142" t="s">
        <v>123</v>
      </c>
      <c r="AY906" s="212"/>
      <c r="AZ906" s="196"/>
      <c r="BA906" s="196"/>
    </row>
    <row r="907" spans="2:53" s="142" customFormat="1" ht="21" customHeight="1" x14ac:dyDescent="0.25">
      <c r="B907" s="173" t="str">
        <f t="shared" si="10"/>
        <v>RM-304L/1D-3.75X763</v>
      </c>
      <c r="C907" s="173" t="s">
        <v>48</v>
      </c>
      <c r="D907" s="173" t="s">
        <v>48</v>
      </c>
      <c r="E907" s="190" t="s">
        <v>2962</v>
      </c>
      <c r="F907" s="190" t="s">
        <v>2963</v>
      </c>
      <c r="G907" s="173" t="s">
        <v>182</v>
      </c>
      <c r="H907" s="173" t="s">
        <v>127</v>
      </c>
      <c r="I907" s="174">
        <v>3.75</v>
      </c>
      <c r="J907" s="174"/>
      <c r="K907" s="174"/>
      <c r="L907" s="174"/>
      <c r="M907" s="191">
        <v>763</v>
      </c>
      <c r="N907" s="176">
        <v>9.32</v>
      </c>
      <c r="O907" s="176"/>
      <c r="P907" s="177"/>
      <c r="Q907" s="178"/>
      <c r="R907" s="179"/>
      <c r="S907" s="179"/>
      <c r="T907" s="177"/>
      <c r="U907" s="177"/>
      <c r="V907" s="177"/>
      <c r="W907" s="177"/>
      <c r="X907" s="177"/>
      <c r="Y907" s="177"/>
      <c r="Z907" s="177"/>
      <c r="AA907" s="177"/>
      <c r="AB907" s="177"/>
      <c r="AC907" s="177"/>
      <c r="AD907" s="180" t="s">
        <v>2877</v>
      </c>
      <c r="AE907" s="173" t="s">
        <v>69</v>
      </c>
      <c r="AF907" s="181" t="s">
        <v>142</v>
      </c>
      <c r="AG907" s="192" t="s">
        <v>2878</v>
      </c>
      <c r="AH907" s="198"/>
      <c r="AI907" s="181">
        <v>44950</v>
      </c>
      <c r="AJ907" s="181"/>
      <c r="AK907" s="181">
        <f ca="1">TODAY()</f>
        <v>44958</v>
      </c>
      <c r="AL907" s="173">
        <f t="shared" ca="1" si="8"/>
        <v>8</v>
      </c>
      <c r="AM907" s="173" t="str">
        <f t="shared" si="9"/>
        <v/>
      </c>
      <c r="AN907" s="181"/>
      <c r="AO907" s="190" t="s">
        <v>2964</v>
      </c>
      <c r="AP907" s="176">
        <v>9.32</v>
      </c>
      <c r="AQ907" s="176">
        <v>9.33</v>
      </c>
      <c r="AR907" s="176">
        <v>9.3549999999999986</v>
      </c>
      <c r="AS907" s="176">
        <v>9.36</v>
      </c>
      <c r="AT907" s="173"/>
      <c r="AU907" s="173">
        <v>465</v>
      </c>
      <c r="AV907" s="149"/>
      <c r="AW907" s="142" t="s">
        <v>123</v>
      </c>
      <c r="AY907" s="212"/>
      <c r="AZ907" s="196"/>
      <c r="BA907" s="196"/>
    </row>
    <row r="908" spans="2:53" s="142" customFormat="1" ht="21" customHeight="1" x14ac:dyDescent="0.25">
      <c r="B908" s="173" t="str">
        <f t="shared" si="10"/>
        <v>RM-304L/1D-3.75X767</v>
      </c>
      <c r="C908" s="173" t="s">
        <v>48</v>
      </c>
      <c r="D908" s="173" t="s">
        <v>48</v>
      </c>
      <c r="E908" s="190" t="s">
        <v>2965</v>
      </c>
      <c r="F908" s="190" t="s">
        <v>2966</v>
      </c>
      <c r="G908" s="173" t="s">
        <v>182</v>
      </c>
      <c r="H908" s="173" t="s">
        <v>127</v>
      </c>
      <c r="I908" s="174">
        <v>3.75</v>
      </c>
      <c r="J908" s="174"/>
      <c r="K908" s="174"/>
      <c r="L908" s="174"/>
      <c r="M908" s="191">
        <v>767</v>
      </c>
      <c r="N908" s="176">
        <v>9.375</v>
      </c>
      <c r="O908" s="176"/>
      <c r="P908" s="177"/>
      <c r="Q908" s="178"/>
      <c r="R908" s="179"/>
      <c r="S908" s="179"/>
      <c r="T908" s="177"/>
      <c r="U908" s="177"/>
      <c r="V908" s="177"/>
      <c r="W908" s="177"/>
      <c r="X908" s="177"/>
      <c r="Y908" s="177"/>
      <c r="Z908" s="177"/>
      <c r="AA908" s="177"/>
      <c r="AB908" s="177"/>
      <c r="AC908" s="177"/>
      <c r="AD908" s="180" t="s">
        <v>2877</v>
      </c>
      <c r="AE908" s="173" t="s">
        <v>69</v>
      </c>
      <c r="AF908" s="181" t="s">
        <v>142</v>
      </c>
      <c r="AG908" s="192" t="s">
        <v>2878</v>
      </c>
      <c r="AH908" s="198"/>
      <c r="AI908" s="181">
        <v>44950</v>
      </c>
      <c r="AJ908" s="181"/>
      <c r="AK908" s="181">
        <f ca="1">TODAY()</f>
        <v>44958</v>
      </c>
      <c r="AL908" s="173">
        <f t="shared" ca="1" si="8"/>
        <v>8</v>
      </c>
      <c r="AM908" s="173" t="str">
        <f t="shared" si="9"/>
        <v/>
      </c>
      <c r="AN908" s="181"/>
      <c r="AO908" s="190" t="s">
        <v>2964</v>
      </c>
      <c r="AP908" s="176">
        <v>9.375</v>
      </c>
      <c r="AQ908" s="176">
        <v>9.3849999999999998</v>
      </c>
      <c r="AR908" s="176">
        <v>9.4099999999999984</v>
      </c>
      <c r="AS908" s="176">
        <v>9.4149999999999991</v>
      </c>
      <c r="AT908" s="173"/>
      <c r="AU908" s="173">
        <v>465</v>
      </c>
      <c r="AV908" s="149"/>
      <c r="AW908" s="142" t="s">
        <v>123</v>
      </c>
      <c r="AY908" s="212"/>
      <c r="AZ908" s="196"/>
      <c r="BA908" s="196"/>
    </row>
    <row r="909" spans="2:53" s="142" customFormat="1" ht="21" customHeight="1" x14ac:dyDescent="0.25">
      <c r="B909" s="173" t="str">
        <f t="shared" si="10"/>
        <v>RM-304/1D-3.39X767</v>
      </c>
      <c r="C909" s="173" t="s">
        <v>48</v>
      </c>
      <c r="D909" s="173" t="s">
        <v>48</v>
      </c>
      <c r="E909" s="190" t="s">
        <v>2967</v>
      </c>
      <c r="F909" s="190" t="s">
        <v>2968</v>
      </c>
      <c r="G909" s="173">
        <v>304</v>
      </c>
      <c r="H909" s="173" t="s">
        <v>127</v>
      </c>
      <c r="I909" s="174">
        <v>3.39</v>
      </c>
      <c r="J909" s="174"/>
      <c r="K909" s="174"/>
      <c r="L909" s="174"/>
      <c r="M909" s="191">
        <v>767</v>
      </c>
      <c r="N909" s="176">
        <v>10.4</v>
      </c>
      <c r="O909" s="176"/>
      <c r="P909" s="177"/>
      <c r="Q909" s="178"/>
      <c r="R909" s="179"/>
      <c r="S909" s="179"/>
      <c r="T909" s="177"/>
      <c r="U909" s="177"/>
      <c r="V909" s="177"/>
      <c r="W909" s="177"/>
      <c r="X909" s="177"/>
      <c r="Y909" s="177"/>
      <c r="Z909" s="177"/>
      <c r="AA909" s="177"/>
      <c r="AB909" s="177"/>
      <c r="AC909" s="177"/>
      <c r="AD909" s="180" t="s">
        <v>2877</v>
      </c>
      <c r="AE909" s="173" t="s">
        <v>69</v>
      </c>
      <c r="AF909" s="181" t="s">
        <v>142</v>
      </c>
      <c r="AG909" s="192" t="s">
        <v>2878</v>
      </c>
      <c r="AH909" s="198"/>
      <c r="AI909" s="181">
        <v>44950</v>
      </c>
      <c r="AJ909" s="181"/>
      <c r="AK909" s="181">
        <f ca="1">TODAY()</f>
        <v>44958</v>
      </c>
      <c r="AL909" s="173">
        <f t="shared" ca="1" si="8"/>
        <v>8</v>
      </c>
      <c r="AM909" s="173" t="str">
        <f t="shared" si="9"/>
        <v/>
      </c>
      <c r="AN909" s="181"/>
      <c r="AO909" s="190" t="s">
        <v>2969</v>
      </c>
      <c r="AP909" s="176">
        <v>10.4</v>
      </c>
      <c r="AQ909" s="176">
        <v>10.41</v>
      </c>
      <c r="AR909" s="176">
        <v>10.434999999999999</v>
      </c>
      <c r="AS909" s="176">
        <v>10.44</v>
      </c>
      <c r="AT909" s="173"/>
      <c r="AU909" s="173">
        <v>465</v>
      </c>
      <c r="AV909" s="149"/>
      <c r="AW909" s="142" t="s">
        <v>123</v>
      </c>
      <c r="AY909" s="212"/>
      <c r="AZ909" s="196"/>
      <c r="BA909" s="196"/>
    </row>
    <row r="910" spans="2:53" s="142" customFormat="1" ht="21" customHeight="1" x14ac:dyDescent="0.25">
      <c r="B910" s="173" t="str">
        <f t="shared" si="10"/>
        <v>RM-304/1D-3.39X768</v>
      </c>
      <c r="C910" s="173" t="s">
        <v>48</v>
      </c>
      <c r="D910" s="173" t="s">
        <v>48</v>
      </c>
      <c r="E910" s="190" t="s">
        <v>2970</v>
      </c>
      <c r="F910" s="190" t="s">
        <v>2971</v>
      </c>
      <c r="G910" s="173">
        <v>304</v>
      </c>
      <c r="H910" s="173" t="s">
        <v>127</v>
      </c>
      <c r="I910" s="174">
        <v>3.39</v>
      </c>
      <c r="J910" s="174"/>
      <c r="K910" s="174"/>
      <c r="L910" s="174"/>
      <c r="M910" s="191">
        <v>768</v>
      </c>
      <c r="N910" s="176">
        <v>10.435</v>
      </c>
      <c r="O910" s="176"/>
      <c r="P910" s="177"/>
      <c r="Q910" s="178"/>
      <c r="R910" s="179"/>
      <c r="S910" s="179"/>
      <c r="T910" s="177"/>
      <c r="U910" s="177"/>
      <c r="V910" s="177"/>
      <c r="W910" s="177"/>
      <c r="X910" s="177"/>
      <c r="Y910" s="177"/>
      <c r="Z910" s="177"/>
      <c r="AA910" s="177"/>
      <c r="AB910" s="177"/>
      <c r="AC910" s="177"/>
      <c r="AD910" s="180" t="s">
        <v>2877</v>
      </c>
      <c r="AE910" s="173" t="s">
        <v>69</v>
      </c>
      <c r="AF910" s="181" t="s">
        <v>142</v>
      </c>
      <c r="AG910" s="192" t="s">
        <v>2878</v>
      </c>
      <c r="AH910" s="198"/>
      <c r="AI910" s="181">
        <v>44950</v>
      </c>
      <c r="AJ910" s="181"/>
      <c r="AK910" s="181">
        <f ca="1">TODAY()</f>
        <v>44958</v>
      </c>
      <c r="AL910" s="173">
        <f t="shared" ca="1" si="8"/>
        <v>8</v>
      </c>
      <c r="AM910" s="173" t="str">
        <f t="shared" si="9"/>
        <v/>
      </c>
      <c r="AN910" s="181"/>
      <c r="AO910" s="190" t="s">
        <v>2969</v>
      </c>
      <c r="AP910" s="176">
        <v>10.435</v>
      </c>
      <c r="AQ910" s="176">
        <v>10.445</v>
      </c>
      <c r="AR910" s="176">
        <v>10.469999999999999</v>
      </c>
      <c r="AS910" s="176">
        <v>10.475</v>
      </c>
      <c r="AT910" s="173"/>
      <c r="AU910" s="173">
        <v>465</v>
      </c>
      <c r="AV910" s="149"/>
      <c r="AW910" s="142" t="s">
        <v>123</v>
      </c>
      <c r="AY910" s="212"/>
      <c r="AZ910" s="196"/>
      <c r="BA910" s="196"/>
    </row>
    <row r="911" spans="2:53" s="142" customFormat="1" ht="21" customHeight="1" x14ac:dyDescent="0.25">
      <c r="B911" s="173" t="str">
        <f t="shared" si="10"/>
        <v>RM-304/1D-3.76X766</v>
      </c>
      <c r="C911" s="173" t="s">
        <v>48</v>
      </c>
      <c r="D911" s="173" t="s">
        <v>48</v>
      </c>
      <c r="E911" s="190" t="s">
        <v>2972</v>
      </c>
      <c r="F911" s="190" t="s">
        <v>2973</v>
      </c>
      <c r="G911" s="173">
        <v>304</v>
      </c>
      <c r="H911" s="173" t="s">
        <v>127</v>
      </c>
      <c r="I911" s="174">
        <v>3.76</v>
      </c>
      <c r="J911" s="174"/>
      <c r="K911" s="174"/>
      <c r="L911" s="174"/>
      <c r="M911" s="191">
        <v>766</v>
      </c>
      <c r="N911" s="176">
        <v>10.23</v>
      </c>
      <c r="O911" s="176"/>
      <c r="P911" s="177"/>
      <c r="Q911" s="178"/>
      <c r="R911" s="179"/>
      <c r="S911" s="179"/>
      <c r="T911" s="177"/>
      <c r="U911" s="177"/>
      <c r="V911" s="177"/>
      <c r="W911" s="177"/>
      <c r="X911" s="177"/>
      <c r="Y911" s="177"/>
      <c r="Z911" s="177"/>
      <c r="AA911" s="177"/>
      <c r="AB911" s="177"/>
      <c r="AC911" s="177"/>
      <c r="AD911" s="180" t="s">
        <v>2877</v>
      </c>
      <c r="AE911" s="173" t="s">
        <v>69</v>
      </c>
      <c r="AF911" s="181" t="s">
        <v>142</v>
      </c>
      <c r="AG911" s="192" t="s">
        <v>2878</v>
      </c>
      <c r="AH911" s="198"/>
      <c r="AI911" s="181">
        <v>44950</v>
      </c>
      <c r="AJ911" s="181"/>
      <c r="AK911" s="181">
        <f ca="1">TODAY()</f>
        <v>44958</v>
      </c>
      <c r="AL911" s="173">
        <f t="shared" ca="1" si="8"/>
        <v>8</v>
      </c>
      <c r="AM911" s="173" t="str">
        <f t="shared" si="9"/>
        <v/>
      </c>
      <c r="AN911" s="181"/>
      <c r="AO911" s="190" t="s">
        <v>2974</v>
      </c>
      <c r="AP911" s="176">
        <v>10.23</v>
      </c>
      <c r="AQ911" s="176">
        <v>10.24</v>
      </c>
      <c r="AR911" s="176">
        <v>10.264999999999999</v>
      </c>
      <c r="AS911" s="176">
        <v>10.27</v>
      </c>
      <c r="AT911" s="173"/>
      <c r="AU911" s="173">
        <v>465</v>
      </c>
      <c r="AV911" s="149"/>
      <c r="AW911" s="142" t="s">
        <v>123</v>
      </c>
      <c r="AY911" s="212"/>
      <c r="AZ911" s="196"/>
      <c r="BA911" s="196"/>
    </row>
    <row r="912" spans="2:53" s="142" customFormat="1" ht="21" customHeight="1" x14ac:dyDescent="0.25">
      <c r="B912" s="173" t="str">
        <f t="shared" si="10"/>
        <v>RM-304/1D-3.76X768</v>
      </c>
      <c r="C912" s="173" t="s">
        <v>48</v>
      </c>
      <c r="D912" s="173" t="s">
        <v>48</v>
      </c>
      <c r="E912" s="190" t="s">
        <v>2975</v>
      </c>
      <c r="F912" s="190" t="s">
        <v>2976</v>
      </c>
      <c r="G912" s="173">
        <v>304</v>
      </c>
      <c r="H912" s="173" t="s">
        <v>127</v>
      </c>
      <c r="I912" s="174">
        <v>3.76</v>
      </c>
      <c r="J912" s="174"/>
      <c r="K912" s="174"/>
      <c r="L912" s="174"/>
      <c r="M912" s="191">
        <v>768</v>
      </c>
      <c r="N912" s="176">
        <v>10.220000000000001</v>
      </c>
      <c r="O912" s="176"/>
      <c r="P912" s="177"/>
      <c r="Q912" s="178"/>
      <c r="R912" s="179"/>
      <c r="S912" s="179"/>
      <c r="T912" s="177"/>
      <c r="U912" s="177"/>
      <c r="V912" s="177"/>
      <c r="W912" s="177"/>
      <c r="X912" s="177"/>
      <c r="Y912" s="177"/>
      <c r="Z912" s="177"/>
      <c r="AA912" s="177"/>
      <c r="AB912" s="177"/>
      <c r="AC912" s="177"/>
      <c r="AD912" s="180" t="s">
        <v>2877</v>
      </c>
      <c r="AE912" s="173" t="s">
        <v>69</v>
      </c>
      <c r="AF912" s="181" t="s">
        <v>142</v>
      </c>
      <c r="AG912" s="192" t="s">
        <v>2878</v>
      </c>
      <c r="AH912" s="198"/>
      <c r="AI912" s="181">
        <v>44950</v>
      </c>
      <c r="AJ912" s="181"/>
      <c r="AK912" s="181">
        <f ca="1">TODAY()</f>
        <v>44958</v>
      </c>
      <c r="AL912" s="173">
        <f t="shared" ca="1" si="8"/>
        <v>8</v>
      </c>
      <c r="AM912" s="173" t="str">
        <f t="shared" si="9"/>
        <v/>
      </c>
      <c r="AN912" s="181"/>
      <c r="AO912" s="190" t="s">
        <v>2974</v>
      </c>
      <c r="AP912" s="176">
        <v>10.220000000000001</v>
      </c>
      <c r="AQ912" s="176">
        <v>10.23</v>
      </c>
      <c r="AR912" s="176">
        <v>10.254999999999999</v>
      </c>
      <c r="AS912" s="176">
        <v>10.26</v>
      </c>
      <c r="AT912" s="173"/>
      <c r="AU912" s="173">
        <v>465</v>
      </c>
      <c r="AV912" s="149"/>
      <c r="AW912" s="142" t="s">
        <v>123</v>
      </c>
      <c r="AY912" s="212"/>
      <c r="AZ912" s="196"/>
      <c r="BA912" s="196"/>
    </row>
    <row r="913" spans="2:53" s="142" customFormat="1" ht="21" customHeight="1" x14ac:dyDescent="0.25">
      <c r="B913" s="173" t="str">
        <f t="shared" si="10"/>
        <v>RM-304L/1D-3.79X768</v>
      </c>
      <c r="C913" s="173" t="s">
        <v>48</v>
      </c>
      <c r="D913" s="173" t="s">
        <v>48</v>
      </c>
      <c r="E913" s="190" t="s">
        <v>2977</v>
      </c>
      <c r="F913" s="190" t="s">
        <v>2978</v>
      </c>
      <c r="G913" s="173" t="s">
        <v>182</v>
      </c>
      <c r="H913" s="173" t="s">
        <v>127</v>
      </c>
      <c r="I913" s="174">
        <v>3.79</v>
      </c>
      <c r="J913" s="174"/>
      <c r="K913" s="174"/>
      <c r="L913" s="174"/>
      <c r="M913" s="191">
        <v>768</v>
      </c>
      <c r="N913" s="176">
        <v>10.435</v>
      </c>
      <c r="O913" s="176"/>
      <c r="P913" s="177"/>
      <c r="Q913" s="178"/>
      <c r="R913" s="179"/>
      <c r="S913" s="179"/>
      <c r="T913" s="177"/>
      <c r="U913" s="177"/>
      <c r="V913" s="177"/>
      <c r="W913" s="177"/>
      <c r="X913" s="177"/>
      <c r="Y913" s="177"/>
      <c r="Z913" s="177"/>
      <c r="AA913" s="177"/>
      <c r="AB913" s="177"/>
      <c r="AC913" s="177"/>
      <c r="AD913" s="180" t="s">
        <v>2877</v>
      </c>
      <c r="AE913" s="173" t="s">
        <v>69</v>
      </c>
      <c r="AF913" s="181" t="s">
        <v>142</v>
      </c>
      <c r="AG913" s="192" t="s">
        <v>2878</v>
      </c>
      <c r="AH913" s="198"/>
      <c r="AI913" s="181">
        <v>44950</v>
      </c>
      <c r="AJ913" s="181"/>
      <c r="AK913" s="181">
        <f ca="1">TODAY()</f>
        <v>44958</v>
      </c>
      <c r="AL913" s="173">
        <f t="shared" ca="1" si="8"/>
        <v>8</v>
      </c>
      <c r="AM913" s="173" t="str">
        <f t="shared" si="9"/>
        <v/>
      </c>
      <c r="AN913" s="181"/>
      <c r="AO913" s="190" t="s">
        <v>2979</v>
      </c>
      <c r="AP913" s="176">
        <v>10.435</v>
      </c>
      <c r="AQ913" s="176">
        <v>10.445</v>
      </c>
      <c r="AR913" s="176">
        <v>10.469999999999999</v>
      </c>
      <c r="AS913" s="176">
        <v>10.475</v>
      </c>
      <c r="AT913" s="173"/>
      <c r="AU913" s="173">
        <v>465</v>
      </c>
      <c r="AV913" s="149"/>
      <c r="AW913" s="142" t="s">
        <v>123</v>
      </c>
      <c r="AY913" s="212"/>
      <c r="AZ913" s="196"/>
      <c r="BA913" s="196"/>
    </row>
    <row r="914" spans="2:53" s="142" customFormat="1" ht="21" customHeight="1" x14ac:dyDescent="0.25">
      <c r="B914" s="173" t="str">
        <f t="shared" si="10"/>
        <v>RM-304L/1D-3.79X769</v>
      </c>
      <c r="C914" s="173" t="s">
        <v>48</v>
      </c>
      <c r="D914" s="173" t="s">
        <v>48</v>
      </c>
      <c r="E914" s="190" t="s">
        <v>2980</v>
      </c>
      <c r="F914" s="190" t="s">
        <v>2981</v>
      </c>
      <c r="G914" s="173" t="s">
        <v>182</v>
      </c>
      <c r="H914" s="173" t="s">
        <v>127</v>
      </c>
      <c r="I914" s="174">
        <v>3.79</v>
      </c>
      <c r="J914" s="174"/>
      <c r="K914" s="174"/>
      <c r="L914" s="174"/>
      <c r="M914" s="191">
        <v>769</v>
      </c>
      <c r="N914" s="176">
        <v>10.455</v>
      </c>
      <c r="O914" s="176"/>
      <c r="P914" s="177"/>
      <c r="Q914" s="178"/>
      <c r="R914" s="179"/>
      <c r="S914" s="179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80" t="s">
        <v>2877</v>
      </c>
      <c r="AE914" s="173" t="s">
        <v>69</v>
      </c>
      <c r="AF914" s="181" t="s">
        <v>142</v>
      </c>
      <c r="AG914" s="192" t="s">
        <v>2878</v>
      </c>
      <c r="AH914" s="198"/>
      <c r="AI914" s="181">
        <v>44950</v>
      </c>
      <c r="AJ914" s="181"/>
      <c r="AK914" s="181">
        <f ca="1">TODAY()</f>
        <v>44958</v>
      </c>
      <c r="AL914" s="173">
        <f t="shared" ca="1" si="8"/>
        <v>8</v>
      </c>
      <c r="AM914" s="173" t="str">
        <f t="shared" si="9"/>
        <v/>
      </c>
      <c r="AN914" s="181"/>
      <c r="AO914" s="190" t="s">
        <v>2979</v>
      </c>
      <c r="AP914" s="176">
        <v>10.455</v>
      </c>
      <c r="AQ914" s="176">
        <v>10.465</v>
      </c>
      <c r="AR914" s="176">
        <v>10.489999999999998</v>
      </c>
      <c r="AS914" s="176">
        <v>10.494999999999999</v>
      </c>
      <c r="AT914" s="173"/>
      <c r="AU914" s="173">
        <v>465</v>
      </c>
      <c r="AV914" s="149"/>
      <c r="AW914" s="142" t="s">
        <v>123</v>
      </c>
      <c r="AY914" s="212"/>
      <c r="AZ914" s="196"/>
      <c r="BA914" s="196"/>
    </row>
    <row r="915" spans="2:53" s="142" customFormat="1" ht="21" customHeight="1" x14ac:dyDescent="0.25">
      <c r="B915" s="173" t="str">
        <f t="shared" si="10"/>
        <v>RM-304L/1D-3.76X767</v>
      </c>
      <c r="C915" s="173" t="s">
        <v>48</v>
      </c>
      <c r="D915" s="173" t="s">
        <v>48</v>
      </c>
      <c r="E915" s="190" t="s">
        <v>2982</v>
      </c>
      <c r="F915" s="190" t="s">
        <v>2983</v>
      </c>
      <c r="G915" s="173" t="s">
        <v>182</v>
      </c>
      <c r="H915" s="173" t="s">
        <v>127</v>
      </c>
      <c r="I915" s="174">
        <v>3.76</v>
      </c>
      <c r="J915" s="174"/>
      <c r="K915" s="174"/>
      <c r="L915" s="174"/>
      <c r="M915" s="191">
        <v>767</v>
      </c>
      <c r="N915" s="176">
        <v>10.365</v>
      </c>
      <c r="O915" s="176"/>
      <c r="P915" s="177"/>
      <c r="Q915" s="178"/>
      <c r="R915" s="179"/>
      <c r="S915" s="179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80" t="s">
        <v>2877</v>
      </c>
      <c r="AE915" s="173" t="s">
        <v>69</v>
      </c>
      <c r="AF915" s="181" t="s">
        <v>142</v>
      </c>
      <c r="AG915" s="192" t="s">
        <v>2878</v>
      </c>
      <c r="AH915" s="198"/>
      <c r="AI915" s="181">
        <v>44950</v>
      </c>
      <c r="AJ915" s="181"/>
      <c r="AK915" s="181">
        <f ca="1">TODAY()</f>
        <v>44958</v>
      </c>
      <c r="AL915" s="173">
        <f t="shared" ca="1" si="8"/>
        <v>8</v>
      </c>
      <c r="AM915" s="173" t="str">
        <f t="shared" si="9"/>
        <v/>
      </c>
      <c r="AN915" s="181"/>
      <c r="AO915" s="190" t="s">
        <v>2984</v>
      </c>
      <c r="AP915" s="176">
        <v>10.365</v>
      </c>
      <c r="AQ915" s="176">
        <v>10.375</v>
      </c>
      <c r="AR915" s="176">
        <v>10.399999999999999</v>
      </c>
      <c r="AS915" s="176">
        <v>10.404999999999999</v>
      </c>
      <c r="AT915" s="173"/>
      <c r="AU915" s="173">
        <v>465</v>
      </c>
      <c r="AV915" s="149"/>
      <c r="AW915" s="142" t="s">
        <v>123</v>
      </c>
      <c r="AY915" s="212"/>
      <c r="AZ915" s="196"/>
      <c r="BA915" s="196"/>
    </row>
    <row r="916" spans="2:53" s="142" customFormat="1" ht="21" customHeight="1" x14ac:dyDescent="0.25">
      <c r="B916" s="173" t="str">
        <f t="shared" si="10"/>
        <v>RM-304L/1D-3.77X768</v>
      </c>
      <c r="C916" s="173" t="s">
        <v>48</v>
      </c>
      <c r="D916" s="173" t="s">
        <v>48</v>
      </c>
      <c r="E916" s="190" t="s">
        <v>2985</v>
      </c>
      <c r="F916" s="190" t="s">
        <v>2986</v>
      </c>
      <c r="G916" s="173" t="s">
        <v>182</v>
      </c>
      <c r="H916" s="173" t="s">
        <v>127</v>
      </c>
      <c r="I916" s="174">
        <v>3.77</v>
      </c>
      <c r="J916" s="174"/>
      <c r="K916" s="174"/>
      <c r="L916" s="174"/>
      <c r="M916" s="191">
        <v>768</v>
      </c>
      <c r="N916" s="176">
        <v>10.375</v>
      </c>
      <c r="O916" s="176"/>
      <c r="P916" s="177"/>
      <c r="Q916" s="178"/>
      <c r="R916" s="179"/>
      <c r="S916" s="179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80" t="s">
        <v>2877</v>
      </c>
      <c r="AE916" s="173" t="s">
        <v>69</v>
      </c>
      <c r="AF916" s="181" t="s">
        <v>142</v>
      </c>
      <c r="AG916" s="192" t="s">
        <v>2878</v>
      </c>
      <c r="AH916" s="198"/>
      <c r="AI916" s="181">
        <v>44950</v>
      </c>
      <c r="AJ916" s="181"/>
      <c r="AK916" s="181">
        <f ca="1">TODAY()</f>
        <v>44958</v>
      </c>
      <c r="AL916" s="173">
        <f t="shared" ca="1" si="8"/>
        <v>8</v>
      </c>
      <c r="AM916" s="173" t="str">
        <f t="shared" si="9"/>
        <v/>
      </c>
      <c r="AN916" s="181"/>
      <c r="AO916" s="190" t="s">
        <v>2984</v>
      </c>
      <c r="AP916" s="176">
        <v>10.375</v>
      </c>
      <c r="AQ916" s="176">
        <v>10.385</v>
      </c>
      <c r="AR916" s="176">
        <v>10.409999999999998</v>
      </c>
      <c r="AS916" s="176">
        <v>10.414999999999999</v>
      </c>
      <c r="AT916" s="173"/>
      <c r="AU916" s="173">
        <v>465</v>
      </c>
      <c r="AV916" s="149"/>
      <c r="AW916" s="142" t="s">
        <v>123</v>
      </c>
      <c r="AY916" s="212"/>
      <c r="AZ916" s="196"/>
      <c r="BA916" s="196"/>
    </row>
    <row r="917" spans="2:53" s="142" customFormat="1" ht="21" customHeight="1" x14ac:dyDescent="0.25">
      <c r="B917" s="173" t="str">
        <f t="shared" si="10"/>
        <v>RM-304L/1D-3.82X767</v>
      </c>
      <c r="C917" s="173" t="s">
        <v>48</v>
      </c>
      <c r="D917" s="173" t="s">
        <v>48</v>
      </c>
      <c r="E917" s="190" t="s">
        <v>2987</v>
      </c>
      <c r="F917" s="190" t="s">
        <v>2988</v>
      </c>
      <c r="G917" s="173" t="s">
        <v>182</v>
      </c>
      <c r="H917" s="173" t="s">
        <v>127</v>
      </c>
      <c r="I917" s="174">
        <v>3.82</v>
      </c>
      <c r="J917" s="174"/>
      <c r="K917" s="174"/>
      <c r="L917" s="174"/>
      <c r="M917" s="191">
        <v>767</v>
      </c>
      <c r="N917" s="176">
        <v>10.385</v>
      </c>
      <c r="O917" s="176"/>
      <c r="P917" s="177"/>
      <c r="Q917" s="178"/>
      <c r="R917" s="179"/>
      <c r="S917" s="179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80" t="s">
        <v>2877</v>
      </c>
      <c r="AE917" s="173" t="s">
        <v>69</v>
      </c>
      <c r="AF917" s="181" t="s">
        <v>142</v>
      </c>
      <c r="AG917" s="192" t="s">
        <v>2878</v>
      </c>
      <c r="AH917" s="198"/>
      <c r="AI917" s="181">
        <v>44950</v>
      </c>
      <c r="AJ917" s="181"/>
      <c r="AK917" s="181">
        <f ca="1">TODAY()</f>
        <v>44958</v>
      </c>
      <c r="AL917" s="173">
        <f t="shared" ca="1" si="8"/>
        <v>8</v>
      </c>
      <c r="AM917" s="173" t="str">
        <f t="shared" si="9"/>
        <v/>
      </c>
      <c r="AN917" s="181"/>
      <c r="AO917" s="190" t="s">
        <v>2989</v>
      </c>
      <c r="AP917" s="176">
        <v>10.385</v>
      </c>
      <c r="AQ917" s="176">
        <v>10.395</v>
      </c>
      <c r="AR917" s="176">
        <v>10.419999999999998</v>
      </c>
      <c r="AS917" s="176">
        <v>10.424999999999999</v>
      </c>
      <c r="AT917" s="173"/>
      <c r="AU917" s="173">
        <v>465</v>
      </c>
      <c r="AV917" s="149"/>
      <c r="AW917" s="142" t="s">
        <v>123</v>
      </c>
      <c r="AY917" s="212"/>
      <c r="AZ917" s="196"/>
      <c r="BA917" s="196"/>
    </row>
    <row r="918" spans="2:53" s="142" customFormat="1" ht="21" customHeight="1" x14ac:dyDescent="0.25">
      <c r="B918" s="173" t="str">
        <f t="shared" si="10"/>
        <v>RM-304L/1D-3.81X769</v>
      </c>
      <c r="C918" s="173" t="s">
        <v>48</v>
      </c>
      <c r="D918" s="173" t="s">
        <v>48</v>
      </c>
      <c r="E918" s="190" t="s">
        <v>2990</v>
      </c>
      <c r="F918" s="190" t="s">
        <v>2991</v>
      </c>
      <c r="G918" s="173" t="s">
        <v>182</v>
      </c>
      <c r="H918" s="173" t="s">
        <v>127</v>
      </c>
      <c r="I918" s="174">
        <v>3.81</v>
      </c>
      <c r="J918" s="174"/>
      <c r="K918" s="174"/>
      <c r="L918" s="174"/>
      <c r="M918" s="191">
        <v>769</v>
      </c>
      <c r="N918" s="176">
        <v>10.43</v>
      </c>
      <c r="O918" s="176"/>
      <c r="P918" s="177"/>
      <c r="Q918" s="178"/>
      <c r="R918" s="179"/>
      <c r="S918" s="179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80" t="s">
        <v>2877</v>
      </c>
      <c r="AE918" s="173" t="s">
        <v>69</v>
      </c>
      <c r="AF918" s="181" t="s">
        <v>142</v>
      </c>
      <c r="AG918" s="192" t="s">
        <v>2878</v>
      </c>
      <c r="AH918" s="198"/>
      <c r="AI918" s="181">
        <v>44950</v>
      </c>
      <c r="AJ918" s="181"/>
      <c r="AK918" s="181">
        <f ca="1">TODAY()</f>
        <v>44958</v>
      </c>
      <c r="AL918" s="173">
        <f t="shared" ca="1" si="8"/>
        <v>8</v>
      </c>
      <c r="AM918" s="173" t="str">
        <f t="shared" si="9"/>
        <v/>
      </c>
      <c r="AN918" s="181"/>
      <c r="AO918" s="190" t="s">
        <v>2989</v>
      </c>
      <c r="AP918" s="176">
        <v>10.43</v>
      </c>
      <c r="AQ918" s="176">
        <v>10.44</v>
      </c>
      <c r="AR918" s="176">
        <v>10.464999999999998</v>
      </c>
      <c r="AS918" s="176">
        <v>10.469999999999999</v>
      </c>
      <c r="AT918" s="173"/>
      <c r="AU918" s="173">
        <v>465</v>
      </c>
      <c r="AV918" s="149"/>
      <c r="AW918" s="142" t="s">
        <v>123</v>
      </c>
      <c r="AY918" s="212"/>
      <c r="AZ918" s="196"/>
      <c r="BA918" s="196"/>
    </row>
    <row r="919" spans="2:53" s="142" customFormat="1" ht="21" customHeight="1" x14ac:dyDescent="0.25">
      <c r="B919" s="173" t="str">
        <f t="shared" si="10"/>
        <v>RM-304L/1D-3.80X770</v>
      </c>
      <c r="C919" s="173" t="s">
        <v>48</v>
      </c>
      <c r="D919" s="173" t="s">
        <v>48</v>
      </c>
      <c r="E919" s="190" t="s">
        <v>2992</v>
      </c>
      <c r="F919" s="190" t="s">
        <v>2993</v>
      </c>
      <c r="G919" s="173" t="s">
        <v>182</v>
      </c>
      <c r="H919" s="173" t="s">
        <v>127</v>
      </c>
      <c r="I919" s="174">
        <v>3.8</v>
      </c>
      <c r="J919" s="174"/>
      <c r="K919" s="174"/>
      <c r="L919" s="174"/>
      <c r="M919" s="191">
        <v>770</v>
      </c>
      <c r="N919" s="176">
        <v>8.7550000000000008</v>
      </c>
      <c r="O919" s="176"/>
      <c r="P919" s="177"/>
      <c r="Q919" s="178"/>
      <c r="R919" s="179"/>
      <c r="S919" s="179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80" t="s">
        <v>2877</v>
      </c>
      <c r="AE919" s="173" t="s">
        <v>69</v>
      </c>
      <c r="AF919" s="181" t="s">
        <v>142</v>
      </c>
      <c r="AG919" s="192" t="s">
        <v>2878</v>
      </c>
      <c r="AH919" s="198"/>
      <c r="AI919" s="181">
        <v>44950</v>
      </c>
      <c r="AJ919" s="181"/>
      <c r="AK919" s="181">
        <f ca="1">TODAY()</f>
        <v>44958</v>
      </c>
      <c r="AL919" s="173">
        <f t="shared" ca="1" si="8"/>
        <v>8</v>
      </c>
      <c r="AM919" s="173" t="str">
        <f t="shared" si="9"/>
        <v/>
      </c>
      <c r="AN919" s="181"/>
      <c r="AO919" s="190" t="s">
        <v>2994</v>
      </c>
      <c r="AP919" s="176">
        <v>8.7550000000000008</v>
      </c>
      <c r="AQ919" s="176">
        <v>8.7650000000000006</v>
      </c>
      <c r="AR919" s="176">
        <v>8.7899999999999991</v>
      </c>
      <c r="AS919" s="176">
        <v>8.7949999999999999</v>
      </c>
      <c r="AT919" s="173"/>
      <c r="AU919" s="173">
        <v>465</v>
      </c>
      <c r="AV919" s="149"/>
      <c r="AW919" s="142" t="s">
        <v>123</v>
      </c>
      <c r="AY919" s="212"/>
      <c r="AZ919" s="196"/>
      <c r="BA919" s="196"/>
    </row>
    <row r="920" spans="2:53" s="142" customFormat="1" ht="21" customHeight="1" x14ac:dyDescent="0.25">
      <c r="B920" s="173" t="str">
        <f t="shared" si="10"/>
        <v>RM-304L/1D-3.80X768</v>
      </c>
      <c r="C920" s="173" t="s">
        <v>48</v>
      </c>
      <c r="D920" s="173" t="s">
        <v>48</v>
      </c>
      <c r="E920" s="190" t="s">
        <v>2995</v>
      </c>
      <c r="F920" s="190" t="s">
        <v>2996</v>
      </c>
      <c r="G920" s="173" t="s">
        <v>182</v>
      </c>
      <c r="H920" s="173" t="s">
        <v>127</v>
      </c>
      <c r="I920" s="174">
        <v>3.8</v>
      </c>
      <c r="J920" s="174"/>
      <c r="K920" s="174"/>
      <c r="L920" s="174"/>
      <c r="M920" s="191">
        <v>768</v>
      </c>
      <c r="N920" s="176">
        <v>8.6750000000000007</v>
      </c>
      <c r="O920" s="176"/>
      <c r="P920" s="177"/>
      <c r="Q920" s="178"/>
      <c r="R920" s="179"/>
      <c r="S920" s="179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80" t="s">
        <v>2877</v>
      </c>
      <c r="AE920" s="173" t="s">
        <v>69</v>
      </c>
      <c r="AF920" s="181" t="s">
        <v>142</v>
      </c>
      <c r="AG920" s="192" t="s">
        <v>2878</v>
      </c>
      <c r="AH920" s="198"/>
      <c r="AI920" s="181">
        <v>44950</v>
      </c>
      <c r="AJ920" s="181"/>
      <c r="AK920" s="181">
        <f ca="1">TODAY()</f>
        <v>44958</v>
      </c>
      <c r="AL920" s="173">
        <f t="shared" ca="1" si="8"/>
        <v>8</v>
      </c>
      <c r="AM920" s="173" t="str">
        <f t="shared" si="9"/>
        <v/>
      </c>
      <c r="AN920" s="181"/>
      <c r="AO920" s="190" t="s">
        <v>2994</v>
      </c>
      <c r="AP920" s="176">
        <v>8.6750000000000007</v>
      </c>
      <c r="AQ920" s="176">
        <v>8.6850000000000005</v>
      </c>
      <c r="AR920" s="176">
        <v>8.7099999999999991</v>
      </c>
      <c r="AS920" s="176">
        <v>8.7149999999999999</v>
      </c>
      <c r="AT920" s="173"/>
      <c r="AU920" s="173">
        <v>465</v>
      </c>
      <c r="AV920" s="149"/>
      <c r="AW920" s="142" t="s">
        <v>123</v>
      </c>
      <c r="AY920" s="212"/>
      <c r="AZ920" s="196"/>
      <c r="BA920" s="196"/>
    </row>
    <row r="921" spans="2:53" s="142" customFormat="1" ht="21" customHeight="1" x14ac:dyDescent="0.25">
      <c r="B921" s="173" t="str">
        <f t="shared" si="10"/>
        <v>RM-304/1D-3.79X767</v>
      </c>
      <c r="C921" s="173" t="s">
        <v>48</v>
      </c>
      <c r="D921" s="173" t="s">
        <v>48</v>
      </c>
      <c r="E921" s="190" t="s">
        <v>2997</v>
      </c>
      <c r="F921" s="190" t="s">
        <v>2998</v>
      </c>
      <c r="G921" s="173">
        <v>304</v>
      </c>
      <c r="H921" s="173" t="s">
        <v>127</v>
      </c>
      <c r="I921" s="174">
        <v>3.79</v>
      </c>
      <c r="J921" s="174"/>
      <c r="K921" s="174"/>
      <c r="L921" s="174"/>
      <c r="M921" s="191">
        <v>767</v>
      </c>
      <c r="N921" s="176">
        <v>10.164999999999999</v>
      </c>
      <c r="O921" s="176"/>
      <c r="P921" s="177"/>
      <c r="Q921" s="178"/>
      <c r="R921" s="179"/>
      <c r="S921" s="179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80" t="s">
        <v>2877</v>
      </c>
      <c r="AE921" s="173" t="s">
        <v>69</v>
      </c>
      <c r="AF921" s="181" t="s">
        <v>142</v>
      </c>
      <c r="AG921" s="192" t="s">
        <v>2878</v>
      </c>
      <c r="AH921" s="198"/>
      <c r="AI921" s="181">
        <v>44950</v>
      </c>
      <c r="AJ921" s="181"/>
      <c r="AK921" s="181">
        <f ca="1">TODAY()</f>
        <v>44958</v>
      </c>
      <c r="AL921" s="173">
        <f t="shared" ca="1" si="8"/>
        <v>8</v>
      </c>
      <c r="AM921" s="173" t="str">
        <f t="shared" si="9"/>
        <v/>
      </c>
      <c r="AN921" s="181"/>
      <c r="AO921" s="190" t="s">
        <v>2999</v>
      </c>
      <c r="AP921" s="176">
        <v>10.164999999999999</v>
      </c>
      <c r="AQ921" s="176">
        <v>10.174999999999999</v>
      </c>
      <c r="AR921" s="176">
        <v>10.199999999999998</v>
      </c>
      <c r="AS921" s="176">
        <v>10.204999999999998</v>
      </c>
      <c r="AT921" s="173"/>
      <c r="AU921" s="173">
        <v>465</v>
      </c>
      <c r="AV921" s="149"/>
      <c r="AW921" s="142" t="s">
        <v>123</v>
      </c>
      <c r="AY921" s="212"/>
      <c r="AZ921" s="196"/>
      <c r="BA921" s="196"/>
    </row>
    <row r="922" spans="2:53" s="142" customFormat="1" ht="21" customHeight="1" x14ac:dyDescent="0.25">
      <c r="B922" s="173" t="str">
        <f t="shared" si="10"/>
        <v>RM-304/1D-3.79X767</v>
      </c>
      <c r="C922" s="173" t="s">
        <v>48</v>
      </c>
      <c r="D922" s="173" t="s">
        <v>48</v>
      </c>
      <c r="E922" s="190" t="s">
        <v>3000</v>
      </c>
      <c r="F922" s="190" t="s">
        <v>3001</v>
      </c>
      <c r="G922" s="173">
        <v>304</v>
      </c>
      <c r="H922" s="173" t="s">
        <v>127</v>
      </c>
      <c r="I922" s="174">
        <v>3.79</v>
      </c>
      <c r="J922" s="174"/>
      <c r="K922" s="174"/>
      <c r="L922" s="174"/>
      <c r="M922" s="191">
        <v>767</v>
      </c>
      <c r="N922" s="176">
        <v>10.199999999999999</v>
      </c>
      <c r="O922" s="176"/>
      <c r="P922" s="177"/>
      <c r="Q922" s="178"/>
      <c r="R922" s="179"/>
      <c r="S922" s="179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80" t="s">
        <v>2877</v>
      </c>
      <c r="AE922" s="173" t="s">
        <v>69</v>
      </c>
      <c r="AF922" s="181" t="s">
        <v>142</v>
      </c>
      <c r="AG922" s="192" t="s">
        <v>2878</v>
      </c>
      <c r="AH922" s="198"/>
      <c r="AI922" s="181">
        <v>44950</v>
      </c>
      <c r="AJ922" s="181"/>
      <c r="AK922" s="181">
        <f ca="1">TODAY()</f>
        <v>44958</v>
      </c>
      <c r="AL922" s="173">
        <f t="shared" ca="1" si="8"/>
        <v>8</v>
      </c>
      <c r="AM922" s="173" t="str">
        <f t="shared" si="9"/>
        <v/>
      </c>
      <c r="AN922" s="181"/>
      <c r="AO922" s="190" t="s">
        <v>2999</v>
      </c>
      <c r="AP922" s="176">
        <v>10.199999999999999</v>
      </c>
      <c r="AQ922" s="176">
        <v>10.209999999999999</v>
      </c>
      <c r="AR922" s="176">
        <v>10.234999999999998</v>
      </c>
      <c r="AS922" s="176">
        <v>10.239999999999998</v>
      </c>
      <c r="AT922" s="173"/>
      <c r="AU922" s="173">
        <v>465</v>
      </c>
      <c r="AV922" s="149"/>
      <c r="AW922" s="142" t="s">
        <v>123</v>
      </c>
      <c r="AY922" s="212"/>
      <c r="AZ922" s="196"/>
      <c r="BA922" s="196"/>
    </row>
    <row r="923" spans="2:53" s="142" customFormat="1" ht="21" customHeight="1" x14ac:dyDescent="0.25">
      <c r="B923" s="173" t="str">
        <f t="shared" si="10"/>
        <v>RM-304/1D-3.80X767</v>
      </c>
      <c r="C923" s="173" t="s">
        <v>48</v>
      </c>
      <c r="D923" s="173" t="s">
        <v>48</v>
      </c>
      <c r="E923" s="190" t="s">
        <v>3002</v>
      </c>
      <c r="F923" s="190" t="s">
        <v>3003</v>
      </c>
      <c r="G923" s="173">
        <v>304</v>
      </c>
      <c r="H923" s="173" t="s">
        <v>127</v>
      </c>
      <c r="I923" s="174">
        <v>3.8</v>
      </c>
      <c r="J923" s="174"/>
      <c r="K923" s="174"/>
      <c r="L923" s="174"/>
      <c r="M923" s="191">
        <v>767</v>
      </c>
      <c r="N923" s="176">
        <v>10.205</v>
      </c>
      <c r="O923" s="176"/>
      <c r="P923" s="177"/>
      <c r="Q923" s="178"/>
      <c r="R923" s="179"/>
      <c r="S923" s="179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80" t="s">
        <v>2877</v>
      </c>
      <c r="AE923" s="173" t="s">
        <v>69</v>
      </c>
      <c r="AF923" s="181" t="s">
        <v>142</v>
      </c>
      <c r="AG923" s="192" t="s">
        <v>2878</v>
      </c>
      <c r="AH923" s="198"/>
      <c r="AI923" s="181">
        <v>44950</v>
      </c>
      <c r="AJ923" s="181"/>
      <c r="AK923" s="181">
        <f ca="1">TODAY()</f>
        <v>44958</v>
      </c>
      <c r="AL923" s="173">
        <f t="shared" ca="1" si="8"/>
        <v>8</v>
      </c>
      <c r="AM923" s="173" t="str">
        <f t="shared" si="9"/>
        <v/>
      </c>
      <c r="AN923" s="181"/>
      <c r="AO923" s="190" t="s">
        <v>3004</v>
      </c>
      <c r="AP923" s="176">
        <v>10.205</v>
      </c>
      <c r="AQ923" s="176">
        <v>10.215</v>
      </c>
      <c r="AR923" s="176">
        <v>10.239999999999998</v>
      </c>
      <c r="AS923" s="176">
        <v>10.244999999999999</v>
      </c>
      <c r="AT923" s="173"/>
      <c r="AU923" s="173">
        <v>465</v>
      </c>
      <c r="AV923" s="149"/>
      <c r="AW923" s="142" t="s">
        <v>123</v>
      </c>
      <c r="AY923" s="212"/>
      <c r="AZ923" s="196"/>
      <c r="BA923" s="196"/>
    </row>
    <row r="924" spans="2:53" s="142" customFormat="1" ht="21" customHeight="1" x14ac:dyDescent="0.25">
      <c r="B924" s="173" t="str">
        <f t="shared" si="10"/>
        <v>RM-304/1D-3.80X767</v>
      </c>
      <c r="C924" s="173" t="s">
        <v>48</v>
      </c>
      <c r="D924" s="173" t="s">
        <v>48</v>
      </c>
      <c r="E924" s="190" t="s">
        <v>3005</v>
      </c>
      <c r="F924" s="190" t="s">
        <v>3006</v>
      </c>
      <c r="G924" s="173">
        <v>304</v>
      </c>
      <c r="H924" s="173" t="s">
        <v>127</v>
      </c>
      <c r="I924" s="174">
        <v>3.8</v>
      </c>
      <c r="J924" s="174"/>
      <c r="K924" s="174"/>
      <c r="L924" s="174"/>
      <c r="M924" s="191">
        <v>767</v>
      </c>
      <c r="N924" s="176">
        <v>10.26</v>
      </c>
      <c r="O924" s="176"/>
      <c r="P924" s="177"/>
      <c r="Q924" s="178"/>
      <c r="R924" s="179"/>
      <c r="S924" s="179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80" t="s">
        <v>2877</v>
      </c>
      <c r="AE924" s="173" t="s">
        <v>69</v>
      </c>
      <c r="AF924" s="181" t="s">
        <v>142</v>
      </c>
      <c r="AG924" s="192" t="s">
        <v>2878</v>
      </c>
      <c r="AH924" s="198"/>
      <c r="AI924" s="181">
        <v>44950</v>
      </c>
      <c r="AJ924" s="181"/>
      <c r="AK924" s="181">
        <f ca="1">TODAY()</f>
        <v>44958</v>
      </c>
      <c r="AL924" s="173">
        <f t="shared" ca="1" si="8"/>
        <v>8</v>
      </c>
      <c r="AM924" s="173" t="str">
        <f t="shared" si="9"/>
        <v/>
      </c>
      <c r="AN924" s="181"/>
      <c r="AO924" s="190" t="s">
        <v>3004</v>
      </c>
      <c r="AP924" s="176">
        <v>10.26</v>
      </c>
      <c r="AQ924" s="176">
        <v>10.27</v>
      </c>
      <c r="AR924" s="176">
        <v>10.294999999999998</v>
      </c>
      <c r="AS924" s="176">
        <v>10.299999999999999</v>
      </c>
      <c r="AT924" s="173"/>
      <c r="AU924" s="173">
        <v>465</v>
      </c>
      <c r="AV924" s="149"/>
      <c r="AW924" s="142" t="s">
        <v>123</v>
      </c>
      <c r="AY924" s="212"/>
      <c r="AZ924" s="196"/>
      <c r="BA924" s="196"/>
    </row>
    <row r="925" spans="2:53" s="142" customFormat="1" ht="21" customHeight="1" x14ac:dyDescent="0.25">
      <c r="B925" s="173" t="str">
        <f t="shared" si="10"/>
        <v>RM-304L/1D-3.80X768</v>
      </c>
      <c r="C925" s="173" t="s">
        <v>48</v>
      </c>
      <c r="D925" s="173" t="s">
        <v>48</v>
      </c>
      <c r="E925" s="190" t="s">
        <v>3007</v>
      </c>
      <c r="F925" s="190" t="s">
        <v>3008</v>
      </c>
      <c r="G925" s="173" t="s">
        <v>182</v>
      </c>
      <c r="H925" s="173" t="s">
        <v>127</v>
      </c>
      <c r="I925" s="174">
        <v>3.8</v>
      </c>
      <c r="J925" s="174"/>
      <c r="K925" s="174"/>
      <c r="L925" s="174"/>
      <c r="M925" s="191">
        <v>768</v>
      </c>
      <c r="N925" s="176">
        <v>10.47</v>
      </c>
      <c r="O925" s="176"/>
      <c r="P925" s="177"/>
      <c r="Q925" s="178"/>
      <c r="R925" s="179"/>
      <c r="S925" s="179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80" t="s">
        <v>2877</v>
      </c>
      <c r="AE925" s="173" t="s">
        <v>69</v>
      </c>
      <c r="AF925" s="181" t="s">
        <v>142</v>
      </c>
      <c r="AG925" s="192" t="s">
        <v>2878</v>
      </c>
      <c r="AH925" s="198"/>
      <c r="AI925" s="181">
        <v>44950</v>
      </c>
      <c r="AJ925" s="181"/>
      <c r="AK925" s="181">
        <f ca="1">TODAY()</f>
        <v>44958</v>
      </c>
      <c r="AL925" s="173">
        <f t="shared" ca="1" si="8"/>
        <v>8</v>
      </c>
      <c r="AM925" s="173" t="str">
        <f t="shared" si="9"/>
        <v/>
      </c>
      <c r="AN925" s="181"/>
      <c r="AO925" s="190" t="s">
        <v>3009</v>
      </c>
      <c r="AP925" s="176">
        <v>10.47</v>
      </c>
      <c r="AQ925" s="176">
        <v>10.48</v>
      </c>
      <c r="AR925" s="176">
        <v>10.504999999999999</v>
      </c>
      <c r="AS925" s="176">
        <v>10.51</v>
      </c>
      <c r="AT925" s="173"/>
      <c r="AU925" s="173">
        <v>465</v>
      </c>
      <c r="AV925" s="149"/>
      <c r="AW925" s="142" t="s">
        <v>123</v>
      </c>
      <c r="AY925" s="212"/>
      <c r="AZ925" s="196"/>
      <c r="BA925" s="196"/>
    </row>
    <row r="926" spans="2:53" s="142" customFormat="1" ht="21" customHeight="1" x14ac:dyDescent="0.25">
      <c r="B926" s="173" t="str">
        <f t="shared" si="10"/>
        <v>RM-304L/1D-3.80X769</v>
      </c>
      <c r="C926" s="173" t="s">
        <v>48</v>
      </c>
      <c r="D926" s="173" t="s">
        <v>48</v>
      </c>
      <c r="E926" s="190" t="s">
        <v>3010</v>
      </c>
      <c r="F926" s="190" t="s">
        <v>3011</v>
      </c>
      <c r="G926" s="173" t="s">
        <v>182</v>
      </c>
      <c r="H926" s="173" t="s">
        <v>127</v>
      </c>
      <c r="I926" s="174">
        <v>3.8</v>
      </c>
      <c r="J926" s="174"/>
      <c r="K926" s="174"/>
      <c r="L926" s="174"/>
      <c r="M926" s="191">
        <v>769</v>
      </c>
      <c r="N926" s="176">
        <v>10.525</v>
      </c>
      <c r="O926" s="176"/>
      <c r="P926" s="177"/>
      <c r="Q926" s="178"/>
      <c r="R926" s="179"/>
      <c r="S926" s="179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80" t="s">
        <v>2877</v>
      </c>
      <c r="AE926" s="173" t="s">
        <v>69</v>
      </c>
      <c r="AF926" s="181" t="s">
        <v>142</v>
      </c>
      <c r="AG926" s="192" t="s">
        <v>2878</v>
      </c>
      <c r="AH926" s="198"/>
      <c r="AI926" s="181">
        <v>44950</v>
      </c>
      <c r="AJ926" s="181"/>
      <c r="AK926" s="181">
        <f ca="1">TODAY()</f>
        <v>44958</v>
      </c>
      <c r="AL926" s="173">
        <f t="shared" ca="1" si="8"/>
        <v>8</v>
      </c>
      <c r="AM926" s="173" t="str">
        <f t="shared" si="9"/>
        <v/>
      </c>
      <c r="AN926" s="181"/>
      <c r="AO926" s="190" t="s">
        <v>3009</v>
      </c>
      <c r="AP926" s="176">
        <v>10.525</v>
      </c>
      <c r="AQ926" s="176">
        <v>10.535</v>
      </c>
      <c r="AR926" s="176">
        <v>10.559999999999999</v>
      </c>
      <c r="AS926" s="176">
        <v>10.565</v>
      </c>
      <c r="AT926" s="173"/>
      <c r="AU926" s="173">
        <v>465</v>
      </c>
      <c r="AV926" s="149"/>
      <c r="AW926" s="142" t="s">
        <v>123</v>
      </c>
      <c r="AY926" s="212"/>
      <c r="AZ926" s="196"/>
      <c r="BA926" s="196"/>
    </row>
    <row r="927" spans="2:53" s="142" customFormat="1" ht="21" customHeight="1" x14ac:dyDescent="0.25">
      <c r="B927" s="173" t="str">
        <f t="shared" si="10"/>
        <v>RM-304/1D-3.76X769</v>
      </c>
      <c r="C927" s="173" t="s">
        <v>48</v>
      </c>
      <c r="D927" s="173" t="s">
        <v>48</v>
      </c>
      <c r="E927" s="190" t="s">
        <v>3012</v>
      </c>
      <c r="F927" s="190" t="s">
        <v>3013</v>
      </c>
      <c r="G927" s="173">
        <v>304</v>
      </c>
      <c r="H927" s="173" t="s">
        <v>127</v>
      </c>
      <c r="I927" s="174">
        <v>3.76</v>
      </c>
      <c r="J927" s="174"/>
      <c r="K927" s="174"/>
      <c r="L927" s="174"/>
      <c r="M927" s="191">
        <v>769</v>
      </c>
      <c r="N927" s="176">
        <v>10.14</v>
      </c>
      <c r="O927" s="176"/>
      <c r="P927" s="177"/>
      <c r="Q927" s="178"/>
      <c r="R927" s="179"/>
      <c r="S927" s="179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80" t="s">
        <v>2877</v>
      </c>
      <c r="AE927" s="173" t="s">
        <v>69</v>
      </c>
      <c r="AF927" s="181" t="s">
        <v>142</v>
      </c>
      <c r="AG927" s="192" t="s">
        <v>2878</v>
      </c>
      <c r="AH927" s="198"/>
      <c r="AI927" s="181">
        <v>44950</v>
      </c>
      <c r="AJ927" s="181"/>
      <c r="AK927" s="181">
        <f ca="1">TODAY()</f>
        <v>44958</v>
      </c>
      <c r="AL927" s="173">
        <f t="shared" ca="1" si="8"/>
        <v>8</v>
      </c>
      <c r="AM927" s="173" t="str">
        <f t="shared" si="9"/>
        <v/>
      </c>
      <c r="AN927" s="181"/>
      <c r="AO927" s="190" t="s">
        <v>3014</v>
      </c>
      <c r="AP927" s="176">
        <v>10.14</v>
      </c>
      <c r="AQ927" s="176">
        <v>10.15</v>
      </c>
      <c r="AR927" s="176">
        <v>10.174999999999999</v>
      </c>
      <c r="AS927" s="176">
        <v>10.18</v>
      </c>
      <c r="AT927" s="173"/>
      <c r="AU927" s="173">
        <v>465</v>
      </c>
      <c r="AV927" s="149"/>
      <c r="AW927" s="142" t="s">
        <v>123</v>
      </c>
      <c r="AY927" s="212"/>
      <c r="AZ927" s="196"/>
      <c r="BA927" s="196"/>
    </row>
    <row r="928" spans="2:53" s="142" customFormat="1" ht="21" customHeight="1" x14ac:dyDescent="0.25">
      <c r="B928" s="173" t="str">
        <f t="shared" si="10"/>
        <v>RM-304/1D-3.76X766</v>
      </c>
      <c r="C928" s="173" t="s">
        <v>48</v>
      </c>
      <c r="D928" s="173" t="s">
        <v>48</v>
      </c>
      <c r="E928" s="190" t="s">
        <v>3015</v>
      </c>
      <c r="F928" s="190" t="s">
        <v>3016</v>
      </c>
      <c r="G928" s="173">
        <v>304</v>
      </c>
      <c r="H928" s="173" t="s">
        <v>127</v>
      </c>
      <c r="I928" s="174">
        <v>3.76</v>
      </c>
      <c r="J928" s="174"/>
      <c r="K928" s="174"/>
      <c r="L928" s="174"/>
      <c r="M928" s="191">
        <v>766</v>
      </c>
      <c r="N928" s="176">
        <v>10.119999999999999</v>
      </c>
      <c r="O928" s="176"/>
      <c r="P928" s="177"/>
      <c r="Q928" s="178"/>
      <c r="R928" s="179"/>
      <c r="S928" s="179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80" t="s">
        <v>2877</v>
      </c>
      <c r="AE928" s="173" t="s">
        <v>69</v>
      </c>
      <c r="AF928" s="181" t="s">
        <v>142</v>
      </c>
      <c r="AG928" s="192" t="s">
        <v>2878</v>
      </c>
      <c r="AH928" s="198"/>
      <c r="AI928" s="181">
        <v>44950</v>
      </c>
      <c r="AJ928" s="181"/>
      <c r="AK928" s="181">
        <f ca="1">TODAY()</f>
        <v>44958</v>
      </c>
      <c r="AL928" s="173">
        <f t="shared" ca="1" si="8"/>
        <v>8</v>
      </c>
      <c r="AM928" s="173" t="str">
        <f t="shared" si="9"/>
        <v/>
      </c>
      <c r="AN928" s="181"/>
      <c r="AO928" s="190" t="s">
        <v>3014</v>
      </c>
      <c r="AP928" s="176">
        <v>10.119999999999999</v>
      </c>
      <c r="AQ928" s="176">
        <v>10.129999999999999</v>
      </c>
      <c r="AR928" s="176">
        <v>10.154999999999998</v>
      </c>
      <c r="AS928" s="176">
        <v>10.159999999999998</v>
      </c>
      <c r="AT928" s="173"/>
      <c r="AU928" s="173">
        <v>465</v>
      </c>
      <c r="AV928" s="149"/>
      <c r="AW928" s="142" t="s">
        <v>123</v>
      </c>
      <c r="AY928" s="212"/>
      <c r="AZ928" s="196"/>
      <c r="BA928" s="196"/>
    </row>
    <row r="929" spans="2:53" s="142" customFormat="1" ht="21" customHeight="1" x14ac:dyDescent="0.25">
      <c r="B929" s="173" t="str">
        <f t="shared" si="10"/>
        <v>RM-304L/1D-3.80X769</v>
      </c>
      <c r="C929" s="173" t="s">
        <v>48</v>
      </c>
      <c r="D929" s="173" t="s">
        <v>48</v>
      </c>
      <c r="E929" s="190" t="s">
        <v>3017</v>
      </c>
      <c r="F929" s="190" t="s">
        <v>3018</v>
      </c>
      <c r="G929" s="173" t="s">
        <v>182</v>
      </c>
      <c r="H929" s="173" t="s">
        <v>127</v>
      </c>
      <c r="I929" s="174">
        <v>3.8</v>
      </c>
      <c r="J929" s="174"/>
      <c r="K929" s="174"/>
      <c r="L929" s="174"/>
      <c r="M929" s="191">
        <v>769</v>
      </c>
      <c r="N929" s="176">
        <v>10.49</v>
      </c>
      <c r="O929" s="176"/>
      <c r="P929" s="177"/>
      <c r="Q929" s="178"/>
      <c r="R929" s="179"/>
      <c r="S929" s="179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80" t="s">
        <v>2877</v>
      </c>
      <c r="AE929" s="173" t="s">
        <v>69</v>
      </c>
      <c r="AF929" s="181" t="s">
        <v>142</v>
      </c>
      <c r="AG929" s="192" t="s">
        <v>2878</v>
      </c>
      <c r="AH929" s="198"/>
      <c r="AI929" s="181">
        <v>44950</v>
      </c>
      <c r="AJ929" s="181"/>
      <c r="AK929" s="181">
        <f ca="1">TODAY()</f>
        <v>44958</v>
      </c>
      <c r="AL929" s="173">
        <f t="shared" ca="1" si="8"/>
        <v>8</v>
      </c>
      <c r="AM929" s="173" t="str">
        <f t="shared" si="9"/>
        <v/>
      </c>
      <c r="AN929" s="181"/>
      <c r="AO929" s="190" t="s">
        <v>3019</v>
      </c>
      <c r="AP929" s="176">
        <v>10.49</v>
      </c>
      <c r="AQ929" s="176">
        <v>10.5</v>
      </c>
      <c r="AR929" s="176">
        <v>10.524999999999999</v>
      </c>
      <c r="AS929" s="176">
        <v>10.53</v>
      </c>
      <c r="AT929" s="173"/>
      <c r="AU929" s="173">
        <v>465</v>
      </c>
      <c r="AV929" s="149"/>
      <c r="AW929" s="142" t="s">
        <v>123</v>
      </c>
      <c r="AY929" s="212"/>
      <c r="AZ929" s="196"/>
      <c r="BA929" s="196"/>
    </row>
    <row r="930" spans="2:53" s="142" customFormat="1" ht="21" customHeight="1" x14ac:dyDescent="0.25">
      <c r="B930" s="173" t="str">
        <f t="shared" si="10"/>
        <v>RM-304L/1D-3.81X767</v>
      </c>
      <c r="C930" s="173" t="s">
        <v>48</v>
      </c>
      <c r="D930" s="173" t="s">
        <v>48</v>
      </c>
      <c r="E930" s="190" t="s">
        <v>3020</v>
      </c>
      <c r="F930" s="190" t="s">
        <v>3021</v>
      </c>
      <c r="G930" s="173" t="s">
        <v>182</v>
      </c>
      <c r="H930" s="173" t="s">
        <v>127</v>
      </c>
      <c r="I930" s="174">
        <v>3.81</v>
      </c>
      <c r="J930" s="174"/>
      <c r="K930" s="174"/>
      <c r="L930" s="174"/>
      <c r="M930" s="191">
        <v>767</v>
      </c>
      <c r="N930" s="176">
        <v>10.425000000000001</v>
      </c>
      <c r="O930" s="176"/>
      <c r="P930" s="177"/>
      <c r="Q930" s="178"/>
      <c r="R930" s="179"/>
      <c r="S930" s="179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80" t="s">
        <v>2877</v>
      </c>
      <c r="AE930" s="173" t="s">
        <v>69</v>
      </c>
      <c r="AF930" s="181" t="s">
        <v>142</v>
      </c>
      <c r="AG930" s="192" t="s">
        <v>2878</v>
      </c>
      <c r="AH930" s="198"/>
      <c r="AI930" s="181">
        <v>44950</v>
      </c>
      <c r="AJ930" s="181"/>
      <c r="AK930" s="181">
        <f ca="1">TODAY()</f>
        <v>44958</v>
      </c>
      <c r="AL930" s="173">
        <f t="shared" ca="1" si="8"/>
        <v>8</v>
      </c>
      <c r="AM930" s="173" t="str">
        <f t="shared" si="9"/>
        <v/>
      </c>
      <c r="AN930" s="181"/>
      <c r="AO930" s="190" t="s">
        <v>3019</v>
      </c>
      <c r="AP930" s="176">
        <v>10.425000000000001</v>
      </c>
      <c r="AQ930" s="176">
        <v>10.435</v>
      </c>
      <c r="AR930" s="176">
        <v>10.459999999999999</v>
      </c>
      <c r="AS930" s="176">
        <v>10.465</v>
      </c>
      <c r="AT930" s="173"/>
      <c r="AU930" s="173">
        <v>465</v>
      </c>
      <c r="AV930" s="149"/>
      <c r="AW930" s="142" t="s">
        <v>123</v>
      </c>
      <c r="AY930" s="212"/>
      <c r="AZ930" s="196"/>
      <c r="BA930" s="196"/>
    </row>
    <row r="931" spans="2:53" s="142" customFormat="1" ht="21" customHeight="1" x14ac:dyDescent="0.25">
      <c r="B931" s="173" t="str">
        <f t="shared" si="10"/>
        <v>RM-304L/1D-3.78X768</v>
      </c>
      <c r="C931" s="173" t="s">
        <v>48</v>
      </c>
      <c r="D931" s="173" t="s">
        <v>48</v>
      </c>
      <c r="E931" s="190" t="s">
        <v>3022</v>
      </c>
      <c r="F931" s="190" t="s">
        <v>3023</v>
      </c>
      <c r="G931" s="173" t="s">
        <v>182</v>
      </c>
      <c r="H931" s="173" t="s">
        <v>127</v>
      </c>
      <c r="I931" s="174">
        <v>3.78</v>
      </c>
      <c r="J931" s="174"/>
      <c r="K931" s="174"/>
      <c r="L931" s="174"/>
      <c r="M931" s="191">
        <v>768</v>
      </c>
      <c r="N931" s="176">
        <v>10.43</v>
      </c>
      <c r="O931" s="176"/>
      <c r="P931" s="177"/>
      <c r="Q931" s="178"/>
      <c r="R931" s="179"/>
      <c r="S931" s="179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80" t="s">
        <v>2877</v>
      </c>
      <c r="AE931" s="173" t="s">
        <v>69</v>
      </c>
      <c r="AF931" s="181" t="s">
        <v>142</v>
      </c>
      <c r="AG931" s="192" t="s">
        <v>2878</v>
      </c>
      <c r="AH931" s="198"/>
      <c r="AI931" s="181">
        <v>44950</v>
      </c>
      <c r="AJ931" s="181"/>
      <c r="AK931" s="181">
        <f ca="1">TODAY()</f>
        <v>44958</v>
      </c>
      <c r="AL931" s="173">
        <f t="shared" ca="1" si="8"/>
        <v>8</v>
      </c>
      <c r="AM931" s="173" t="str">
        <f t="shared" si="9"/>
        <v/>
      </c>
      <c r="AN931" s="181"/>
      <c r="AO931" s="190" t="s">
        <v>3024</v>
      </c>
      <c r="AP931" s="176">
        <v>10.43</v>
      </c>
      <c r="AQ931" s="176">
        <v>10.44</v>
      </c>
      <c r="AR931" s="176">
        <v>10.464999999999998</v>
      </c>
      <c r="AS931" s="176">
        <v>10.469999999999999</v>
      </c>
      <c r="AT931" s="173"/>
      <c r="AU931" s="173">
        <v>465</v>
      </c>
      <c r="AV931" s="149"/>
      <c r="AW931" s="142" t="s">
        <v>123</v>
      </c>
      <c r="AY931" s="212"/>
      <c r="AZ931" s="196"/>
      <c r="BA931" s="196"/>
    </row>
    <row r="932" spans="2:53" s="142" customFormat="1" ht="21" customHeight="1" x14ac:dyDescent="0.25">
      <c r="B932" s="173" t="str">
        <f t="shared" si="10"/>
        <v>RM-304L/1D-3.77X769</v>
      </c>
      <c r="C932" s="173" t="s">
        <v>48</v>
      </c>
      <c r="D932" s="173" t="s">
        <v>48</v>
      </c>
      <c r="E932" s="190" t="s">
        <v>3025</v>
      </c>
      <c r="F932" s="190" t="s">
        <v>3026</v>
      </c>
      <c r="G932" s="173" t="s">
        <v>182</v>
      </c>
      <c r="H932" s="173" t="s">
        <v>127</v>
      </c>
      <c r="I932" s="174">
        <v>3.77</v>
      </c>
      <c r="J932" s="174"/>
      <c r="K932" s="174"/>
      <c r="L932" s="174"/>
      <c r="M932" s="191">
        <v>769</v>
      </c>
      <c r="N932" s="176">
        <v>10.43</v>
      </c>
      <c r="O932" s="176"/>
      <c r="P932" s="177"/>
      <c r="Q932" s="178"/>
      <c r="R932" s="179"/>
      <c r="S932" s="179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80" t="s">
        <v>2877</v>
      </c>
      <c r="AE932" s="173" t="s">
        <v>69</v>
      </c>
      <c r="AF932" s="181" t="s">
        <v>142</v>
      </c>
      <c r="AG932" s="192" t="s">
        <v>2878</v>
      </c>
      <c r="AH932" s="198"/>
      <c r="AI932" s="181">
        <v>44950</v>
      </c>
      <c r="AJ932" s="181"/>
      <c r="AK932" s="181">
        <f ca="1">TODAY()</f>
        <v>44958</v>
      </c>
      <c r="AL932" s="173">
        <f t="shared" ca="1" si="8"/>
        <v>8</v>
      </c>
      <c r="AM932" s="173" t="str">
        <f t="shared" si="9"/>
        <v/>
      </c>
      <c r="AN932" s="181"/>
      <c r="AO932" s="190" t="s">
        <v>3024</v>
      </c>
      <c r="AP932" s="176">
        <v>10.43</v>
      </c>
      <c r="AQ932" s="176">
        <v>10.44</v>
      </c>
      <c r="AR932" s="176">
        <v>10.464999999999998</v>
      </c>
      <c r="AS932" s="176">
        <v>10.469999999999999</v>
      </c>
      <c r="AT932" s="173"/>
      <c r="AU932" s="173">
        <v>465</v>
      </c>
      <c r="AV932" s="149"/>
      <c r="AW932" s="142" t="s">
        <v>123</v>
      </c>
      <c r="AY932" s="212"/>
      <c r="AZ932" s="196"/>
      <c r="BA932" s="196"/>
    </row>
    <row r="933" spans="2:53" s="142" customFormat="1" ht="21" customHeight="1" x14ac:dyDescent="0.25">
      <c r="B933" s="173" t="str">
        <f t="shared" si="10"/>
        <v>RM-304/1D-3.89X640</v>
      </c>
      <c r="C933" s="173" t="s">
        <v>48</v>
      </c>
      <c r="D933" s="173" t="s">
        <v>48</v>
      </c>
      <c r="E933" s="190" t="s">
        <v>3027</v>
      </c>
      <c r="F933" s="190" t="s">
        <v>3028</v>
      </c>
      <c r="G933" s="173">
        <v>304</v>
      </c>
      <c r="H933" s="173" t="s">
        <v>127</v>
      </c>
      <c r="I933" s="174">
        <v>3.89</v>
      </c>
      <c r="J933" s="174"/>
      <c r="K933" s="174"/>
      <c r="L933" s="174"/>
      <c r="M933" s="191">
        <v>640</v>
      </c>
      <c r="N933" s="176">
        <v>10.535</v>
      </c>
      <c r="O933" s="176"/>
      <c r="P933" s="177"/>
      <c r="Q933" s="178"/>
      <c r="R933" s="179"/>
      <c r="S933" s="179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80" t="s">
        <v>2877</v>
      </c>
      <c r="AE933" s="173" t="s">
        <v>69</v>
      </c>
      <c r="AF933" s="181" t="s">
        <v>142</v>
      </c>
      <c r="AG933" s="192" t="s">
        <v>2878</v>
      </c>
      <c r="AH933" s="198"/>
      <c r="AI933" s="181">
        <v>44950</v>
      </c>
      <c r="AJ933" s="181"/>
      <c r="AK933" s="181">
        <f ca="1">TODAY()</f>
        <v>44958</v>
      </c>
      <c r="AL933" s="173">
        <f t="shared" ca="1" si="8"/>
        <v>8</v>
      </c>
      <c r="AM933" s="173" t="str">
        <f t="shared" si="9"/>
        <v/>
      </c>
      <c r="AN933" s="181"/>
      <c r="AO933" s="190" t="s">
        <v>3029</v>
      </c>
      <c r="AP933" s="176">
        <v>10.535</v>
      </c>
      <c r="AQ933" s="176">
        <v>10.545</v>
      </c>
      <c r="AR933" s="176">
        <v>10.569999999999999</v>
      </c>
      <c r="AS933" s="176">
        <v>10.574999999999999</v>
      </c>
      <c r="AT933" s="173"/>
      <c r="AU933" s="173">
        <v>465</v>
      </c>
      <c r="AV933" s="149"/>
      <c r="AW933" s="142" t="s">
        <v>123</v>
      </c>
      <c r="AY933" s="212"/>
      <c r="AZ933" s="196"/>
      <c r="BA933" s="196"/>
    </row>
    <row r="934" spans="2:53" s="142" customFormat="1" ht="21" customHeight="1" x14ac:dyDescent="0.25">
      <c r="B934" s="173" t="str">
        <f t="shared" si="10"/>
        <v>RM-304/1D-3.88X637</v>
      </c>
      <c r="C934" s="173" t="s">
        <v>48</v>
      </c>
      <c r="D934" s="173" t="s">
        <v>48</v>
      </c>
      <c r="E934" s="190" t="s">
        <v>3030</v>
      </c>
      <c r="F934" s="190" t="s">
        <v>3031</v>
      </c>
      <c r="G934" s="173">
        <v>304</v>
      </c>
      <c r="H934" s="173" t="s">
        <v>127</v>
      </c>
      <c r="I934" s="174">
        <v>3.88</v>
      </c>
      <c r="J934" s="174"/>
      <c r="K934" s="174"/>
      <c r="L934" s="174"/>
      <c r="M934" s="191">
        <v>637</v>
      </c>
      <c r="N934" s="176">
        <v>10.52</v>
      </c>
      <c r="O934" s="176"/>
      <c r="P934" s="177"/>
      <c r="Q934" s="178"/>
      <c r="R934" s="179"/>
      <c r="S934" s="179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80" t="s">
        <v>2877</v>
      </c>
      <c r="AE934" s="173" t="s">
        <v>69</v>
      </c>
      <c r="AF934" s="181" t="s">
        <v>142</v>
      </c>
      <c r="AG934" s="192" t="s">
        <v>2878</v>
      </c>
      <c r="AH934" s="198"/>
      <c r="AI934" s="181">
        <v>44950</v>
      </c>
      <c r="AJ934" s="181"/>
      <c r="AK934" s="181">
        <f ca="1">TODAY()</f>
        <v>44958</v>
      </c>
      <c r="AL934" s="173">
        <f t="shared" ca="1" si="8"/>
        <v>8</v>
      </c>
      <c r="AM934" s="173" t="str">
        <f t="shared" si="9"/>
        <v/>
      </c>
      <c r="AN934" s="181"/>
      <c r="AO934" s="190" t="s">
        <v>3029</v>
      </c>
      <c r="AP934" s="176">
        <v>10.52</v>
      </c>
      <c r="AQ934" s="176">
        <v>10.53</v>
      </c>
      <c r="AR934" s="176">
        <v>10.554999999999998</v>
      </c>
      <c r="AS934" s="176">
        <v>10.559999999999999</v>
      </c>
      <c r="AT934" s="173"/>
      <c r="AU934" s="173">
        <v>465</v>
      </c>
      <c r="AV934" s="149"/>
      <c r="AW934" s="142" t="s">
        <v>123</v>
      </c>
      <c r="AY934" s="212"/>
      <c r="AZ934" s="196"/>
      <c r="BA934" s="196"/>
    </row>
    <row r="935" spans="2:53" s="142" customFormat="1" ht="21" customHeight="1" x14ac:dyDescent="0.25">
      <c r="B935" s="173" t="str">
        <f t="shared" si="10"/>
        <v>RM-304/1D-2.99X635</v>
      </c>
      <c r="C935" s="173" t="s">
        <v>48</v>
      </c>
      <c r="D935" s="173" t="s">
        <v>48</v>
      </c>
      <c r="E935" s="190" t="s">
        <v>3032</v>
      </c>
      <c r="F935" s="190" t="s">
        <v>3033</v>
      </c>
      <c r="G935" s="173">
        <v>304</v>
      </c>
      <c r="H935" s="173" t="s">
        <v>127</v>
      </c>
      <c r="I935" s="174">
        <v>2.99</v>
      </c>
      <c r="J935" s="174"/>
      <c r="K935" s="174"/>
      <c r="L935" s="174"/>
      <c r="M935" s="191">
        <v>635</v>
      </c>
      <c r="N935" s="176">
        <v>10.28</v>
      </c>
      <c r="O935" s="176"/>
      <c r="P935" s="177"/>
      <c r="Q935" s="178"/>
      <c r="R935" s="179"/>
      <c r="S935" s="179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80" t="s">
        <v>2877</v>
      </c>
      <c r="AE935" s="173" t="s">
        <v>69</v>
      </c>
      <c r="AF935" s="181" t="s">
        <v>142</v>
      </c>
      <c r="AG935" s="192" t="s">
        <v>2878</v>
      </c>
      <c r="AH935" s="198"/>
      <c r="AI935" s="181">
        <v>44950</v>
      </c>
      <c r="AJ935" s="181"/>
      <c r="AK935" s="181">
        <f ca="1">TODAY()</f>
        <v>44958</v>
      </c>
      <c r="AL935" s="173">
        <f t="shared" ca="1" si="8"/>
        <v>8</v>
      </c>
      <c r="AM935" s="173" t="str">
        <f t="shared" si="9"/>
        <v/>
      </c>
      <c r="AN935" s="181"/>
      <c r="AO935" s="190" t="s">
        <v>3034</v>
      </c>
      <c r="AP935" s="176">
        <v>10.28</v>
      </c>
      <c r="AQ935" s="176">
        <v>10.29</v>
      </c>
      <c r="AR935" s="176">
        <v>10.314999999999998</v>
      </c>
      <c r="AS935" s="176">
        <v>10.319999999999999</v>
      </c>
      <c r="AT935" s="173"/>
      <c r="AU935" s="173">
        <v>465</v>
      </c>
      <c r="AV935" s="149"/>
      <c r="AW935" s="142" t="s">
        <v>123</v>
      </c>
      <c r="AY935" s="212"/>
      <c r="AZ935" s="196"/>
      <c r="BA935" s="196"/>
    </row>
    <row r="936" spans="2:53" s="142" customFormat="1" ht="21" customHeight="1" x14ac:dyDescent="0.25">
      <c r="B936" s="173" t="str">
        <f t="shared" si="10"/>
        <v>RM-304/1D-3.00X638</v>
      </c>
      <c r="C936" s="173" t="s">
        <v>48</v>
      </c>
      <c r="D936" s="173" t="s">
        <v>48</v>
      </c>
      <c r="E936" s="190" t="s">
        <v>3035</v>
      </c>
      <c r="F936" s="190" t="s">
        <v>3036</v>
      </c>
      <c r="G936" s="173">
        <v>304</v>
      </c>
      <c r="H936" s="173" t="s">
        <v>127</v>
      </c>
      <c r="I936" s="174">
        <v>3</v>
      </c>
      <c r="J936" s="174"/>
      <c r="K936" s="174"/>
      <c r="L936" s="174"/>
      <c r="M936" s="191">
        <v>638</v>
      </c>
      <c r="N936" s="176">
        <v>10.385</v>
      </c>
      <c r="O936" s="176"/>
      <c r="P936" s="177"/>
      <c r="Q936" s="178"/>
      <c r="R936" s="179"/>
      <c r="S936" s="179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80" t="s">
        <v>2877</v>
      </c>
      <c r="AE936" s="173" t="s">
        <v>69</v>
      </c>
      <c r="AF936" s="181" t="s">
        <v>142</v>
      </c>
      <c r="AG936" s="192" t="s">
        <v>2878</v>
      </c>
      <c r="AH936" s="198"/>
      <c r="AI936" s="181">
        <v>44950</v>
      </c>
      <c r="AJ936" s="181"/>
      <c r="AK936" s="181">
        <f ca="1">TODAY()</f>
        <v>44958</v>
      </c>
      <c r="AL936" s="173">
        <f t="shared" ca="1" si="8"/>
        <v>8</v>
      </c>
      <c r="AM936" s="173" t="str">
        <f t="shared" si="9"/>
        <v/>
      </c>
      <c r="AN936" s="181"/>
      <c r="AO936" s="190" t="s">
        <v>3034</v>
      </c>
      <c r="AP936" s="176">
        <v>10.385</v>
      </c>
      <c r="AQ936" s="176">
        <v>10.395</v>
      </c>
      <c r="AR936" s="176">
        <v>10.419999999999998</v>
      </c>
      <c r="AS936" s="176">
        <v>10.424999999999999</v>
      </c>
      <c r="AT936" s="173"/>
      <c r="AU936" s="173">
        <v>465</v>
      </c>
      <c r="AV936" s="149"/>
      <c r="AW936" s="142" t="s">
        <v>123</v>
      </c>
      <c r="AY936" s="212"/>
      <c r="AZ936" s="196"/>
      <c r="BA936" s="196"/>
    </row>
    <row r="937" spans="2:53" s="142" customFormat="1" ht="21" customHeight="1" x14ac:dyDescent="0.25">
      <c r="B937" s="173" t="str">
        <f t="shared" si="10"/>
        <v>RM-304L/1D-3.89X768</v>
      </c>
      <c r="C937" s="173" t="s">
        <v>48</v>
      </c>
      <c r="D937" s="173" t="s">
        <v>48</v>
      </c>
      <c r="E937" s="190" t="s">
        <v>3037</v>
      </c>
      <c r="F937" s="190" t="s">
        <v>3038</v>
      </c>
      <c r="G937" s="173" t="s">
        <v>182</v>
      </c>
      <c r="H937" s="173" t="s">
        <v>127</v>
      </c>
      <c r="I937" s="174">
        <v>3.89</v>
      </c>
      <c r="J937" s="174"/>
      <c r="K937" s="174"/>
      <c r="L937" s="174"/>
      <c r="M937" s="191">
        <v>768</v>
      </c>
      <c r="N937" s="176">
        <v>11.055</v>
      </c>
      <c r="O937" s="176"/>
      <c r="P937" s="177"/>
      <c r="Q937" s="178"/>
      <c r="R937" s="179"/>
      <c r="S937" s="179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80" t="s">
        <v>2877</v>
      </c>
      <c r="AE937" s="173" t="s">
        <v>69</v>
      </c>
      <c r="AF937" s="181" t="s">
        <v>142</v>
      </c>
      <c r="AG937" s="192" t="s">
        <v>2878</v>
      </c>
      <c r="AH937" s="198"/>
      <c r="AI937" s="181">
        <v>44950</v>
      </c>
      <c r="AJ937" s="181"/>
      <c r="AK937" s="181">
        <f ca="1">TODAY()</f>
        <v>44958</v>
      </c>
      <c r="AL937" s="173">
        <f t="shared" ca="1" si="8"/>
        <v>8</v>
      </c>
      <c r="AM937" s="173" t="str">
        <f t="shared" si="9"/>
        <v/>
      </c>
      <c r="AN937" s="181"/>
      <c r="AO937" s="190" t="s">
        <v>3039</v>
      </c>
      <c r="AP937" s="176">
        <v>11.055</v>
      </c>
      <c r="AQ937" s="176">
        <v>11.065</v>
      </c>
      <c r="AR937" s="176">
        <v>11.089999999999998</v>
      </c>
      <c r="AS937" s="176">
        <v>11.094999999999999</v>
      </c>
      <c r="AT937" s="173"/>
      <c r="AU937" s="173">
        <v>465</v>
      </c>
      <c r="AV937" s="149"/>
      <c r="AW937" s="142" t="s">
        <v>123</v>
      </c>
      <c r="AY937" s="212"/>
      <c r="AZ937" s="196"/>
      <c r="BA937" s="196"/>
    </row>
    <row r="938" spans="2:53" s="142" customFormat="1" ht="21" customHeight="1" x14ac:dyDescent="0.25">
      <c r="B938" s="173" t="str">
        <f t="shared" si="10"/>
        <v>RM-304L/1D-3.88X768</v>
      </c>
      <c r="C938" s="173" t="s">
        <v>48</v>
      </c>
      <c r="D938" s="173" t="s">
        <v>48</v>
      </c>
      <c r="E938" s="190" t="s">
        <v>3040</v>
      </c>
      <c r="F938" s="190" t="s">
        <v>3041</v>
      </c>
      <c r="G938" s="173" t="s">
        <v>182</v>
      </c>
      <c r="H938" s="173" t="s">
        <v>127</v>
      </c>
      <c r="I938" s="174">
        <v>3.88</v>
      </c>
      <c r="J938" s="174"/>
      <c r="K938" s="174"/>
      <c r="L938" s="174"/>
      <c r="M938" s="191">
        <v>768</v>
      </c>
      <c r="N938" s="176">
        <v>11.1</v>
      </c>
      <c r="O938" s="176"/>
      <c r="P938" s="177"/>
      <c r="Q938" s="178"/>
      <c r="R938" s="179"/>
      <c r="S938" s="179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80" t="s">
        <v>2877</v>
      </c>
      <c r="AE938" s="173" t="s">
        <v>69</v>
      </c>
      <c r="AF938" s="181" t="s">
        <v>142</v>
      </c>
      <c r="AG938" s="192" t="s">
        <v>2878</v>
      </c>
      <c r="AH938" s="198"/>
      <c r="AI938" s="181">
        <v>44950</v>
      </c>
      <c r="AJ938" s="181"/>
      <c r="AK938" s="181">
        <f ca="1">TODAY()</f>
        <v>44958</v>
      </c>
      <c r="AL938" s="173">
        <f t="shared" ca="1" si="8"/>
        <v>8</v>
      </c>
      <c r="AM938" s="173" t="str">
        <f t="shared" si="9"/>
        <v/>
      </c>
      <c r="AN938" s="181"/>
      <c r="AO938" s="190" t="s">
        <v>3039</v>
      </c>
      <c r="AP938" s="176">
        <v>11.1</v>
      </c>
      <c r="AQ938" s="176">
        <v>11.11</v>
      </c>
      <c r="AR938" s="176">
        <v>11.134999999999998</v>
      </c>
      <c r="AS938" s="176">
        <v>11.139999999999999</v>
      </c>
      <c r="AT938" s="173"/>
      <c r="AU938" s="173">
        <v>465</v>
      </c>
      <c r="AV938" s="149"/>
      <c r="AW938" s="142" t="s">
        <v>123</v>
      </c>
      <c r="AY938" s="212"/>
      <c r="AZ938" s="196"/>
      <c r="BA938" s="196"/>
    </row>
    <row r="939" spans="2:53" s="142" customFormat="1" ht="21" customHeight="1" x14ac:dyDescent="0.25">
      <c r="B939" s="173" t="str">
        <f t="shared" si="10"/>
        <v>RM-304/1D-3.79X767</v>
      </c>
      <c r="C939" s="173" t="s">
        <v>48</v>
      </c>
      <c r="D939" s="173" t="s">
        <v>48</v>
      </c>
      <c r="E939" s="190" t="s">
        <v>3042</v>
      </c>
      <c r="F939" s="190" t="s">
        <v>3043</v>
      </c>
      <c r="G939" s="173">
        <v>304</v>
      </c>
      <c r="H939" s="173" t="s">
        <v>127</v>
      </c>
      <c r="I939" s="174">
        <v>3.79</v>
      </c>
      <c r="J939" s="174"/>
      <c r="K939" s="174"/>
      <c r="L939" s="174"/>
      <c r="M939" s="191">
        <v>767</v>
      </c>
      <c r="N939" s="176">
        <v>9.8849999999999998</v>
      </c>
      <c r="O939" s="176"/>
      <c r="P939" s="177"/>
      <c r="Q939" s="178"/>
      <c r="R939" s="179"/>
      <c r="S939" s="179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80" t="s">
        <v>2877</v>
      </c>
      <c r="AE939" s="173" t="s">
        <v>69</v>
      </c>
      <c r="AF939" s="181" t="s">
        <v>142</v>
      </c>
      <c r="AG939" s="192" t="s">
        <v>2878</v>
      </c>
      <c r="AH939" s="198"/>
      <c r="AI939" s="181">
        <v>44950</v>
      </c>
      <c r="AJ939" s="181"/>
      <c r="AK939" s="181">
        <f ca="1">TODAY()</f>
        <v>44958</v>
      </c>
      <c r="AL939" s="173">
        <f t="shared" ca="1" si="8"/>
        <v>8</v>
      </c>
      <c r="AM939" s="173" t="str">
        <f t="shared" si="9"/>
        <v/>
      </c>
      <c r="AN939" s="181"/>
      <c r="AO939" s="190" t="s">
        <v>3044</v>
      </c>
      <c r="AP939" s="176">
        <v>9.8849999999999998</v>
      </c>
      <c r="AQ939" s="176">
        <v>9.8949999999999996</v>
      </c>
      <c r="AR939" s="176">
        <v>9.9199999999999982</v>
      </c>
      <c r="AS939" s="176">
        <v>9.9249999999999989</v>
      </c>
      <c r="AT939" s="173"/>
      <c r="AU939" s="173">
        <v>465</v>
      </c>
      <c r="AV939" s="149"/>
      <c r="AW939" s="142" t="s">
        <v>123</v>
      </c>
      <c r="AY939" s="212"/>
      <c r="AZ939" s="196"/>
      <c r="BA939" s="196"/>
    </row>
    <row r="940" spans="2:53" s="142" customFormat="1" ht="21" customHeight="1" x14ac:dyDescent="0.25">
      <c r="B940" s="173" t="str">
        <f t="shared" si="10"/>
        <v>RM-304/1D-3.79X769</v>
      </c>
      <c r="C940" s="173" t="s">
        <v>48</v>
      </c>
      <c r="D940" s="173" t="s">
        <v>48</v>
      </c>
      <c r="E940" s="190" t="s">
        <v>3045</v>
      </c>
      <c r="F940" s="190" t="s">
        <v>3046</v>
      </c>
      <c r="G940" s="173">
        <v>304</v>
      </c>
      <c r="H940" s="173" t="s">
        <v>127</v>
      </c>
      <c r="I940" s="174">
        <v>3.79</v>
      </c>
      <c r="J940" s="174"/>
      <c r="K940" s="174"/>
      <c r="L940" s="174"/>
      <c r="M940" s="191">
        <v>769</v>
      </c>
      <c r="N940" s="176">
        <v>9.9450000000000003</v>
      </c>
      <c r="O940" s="176"/>
      <c r="P940" s="177"/>
      <c r="Q940" s="178"/>
      <c r="R940" s="179"/>
      <c r="S940" s="179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80" t="s">
        <v>2877</v>
      </c>
      <c r="AE940" s="173" t="s">
        <v>69</v>
      </c>
      <c r="AF940" s="181" t="s">
        <v>142</v>
      </c>
      <c r="AG940" s="192" t="s">
        <v>2878</v>
      </c>
      <c r="AH940" s="198"/>
      <c r="AI940" s="181">
        <v>44950</v>
      </c>
      <c r="AJ940" s="181"/>
      <c r="AK940" s="181">
        <f ca="1">TODAY()</f>
        <v>44958</v>
      </c>
      <c r="AL940" s="173">
        <f t="shared" ca="1" si="8"/>
        <v>8</v>
      </c>
      <c r="AM940" s="173" t="str">
        <f t="shared" si="9"/>
        <v/>
      </c>
      <c r="AN940" s="181"/>
      <c r="AO940" s="190" t="s">
        <v>3044</v>
      </c>
      <c r="AP940" s="176">
        <v>9.9450000000000003</v>
      </c>
      <c r="AQ940" s="176">
        <v>9.9550000000000001</v>
      </c>
      <c r="AR940" s="176">
        <v>9.9799999999999986</v>
      </c>
      <c r="AS940" s="176">
        <v>9.9849999999999994</v>
      </c>
      <c r="AT940" s="173"/>
      <c r="AU940" s="173">
        <v>465</v>
      </c>
      <c r="AV940" s="149"/>
      <c r="AW940" s="142" t="s">
        <v>123</v>
      </c>
      <c r="AY940" s="212"/>
      <c r="AZ940" s="196"/>
      <c r="BA940" s="196"/>
    </row>
    <row r="941" spans="2:53" s="142" customFormat="1" ht="21" customHeight="1" x14ac:dyDescent="0.25">
      <c r="B941" s="173" t="str">
        <f t="shared" si="10"/>
        <v>RM-304/1D-2.91X635</v>
      </c>
      <c r="C941" s="173" t="s">
        <v>48</v>
      </c>
      <c r="D941" s="173" t="s">
        <v>48</v>
      </c>
      <c r="E941" s="190" t="s">
        <v>3047</v>
      </c>
      <c r="F941" s="190" t="s">
        <v>3048</v>
      </c>
      <c r="G941" s="173">
        <v>304</v>
      </c>
      <c r="H941" s="173" t="s">
        <v>127</v>
      </c>
      <c r="I941" s="174">
        <v>2.91</v>
      </c>
      <c r="J941" s="174"/>
      <c r="K941" s="174"/>
      <c r="L941" s="174"/>
      <c r="M941" s="191">
        <v>635</v>
      </c>
      <c r="N941" s="176">
        <v>8.7200000000000006</v>
      </c>
      <c r="O941" s="176"/>
      <c r="P941" s="177"/>
      <c r="Q941" s="178"/>
      <c r="R941" s="179"/>
      <c r="S941" s="179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80" t="s">
        <v>2877</v>
      </c>
      <c r="AE941" s="173" t="s">
        <v>69</v>
      </c>
      <c r="AF941" s="181" t="s">
        <v>142</v>
      </c>
      <c r="AG941" s="192" t="s">
        <v>2878</v>
      </c>
      <c r="AH941" s="198"/>
      <c r="AI941" s="181">
        <v>44950</v>
      </c>
      <c r="AJ941" s="181"/>
      <c r="AK941" s="181">
        <f ca="1">TODAY()</f>
        <v>44958</v>
      </c>
      <c r="AL941" s="173">
        <f t="shared" ca="1" si="8"/>
        <v>8</v>
      </c>
      <c r="AM941" s="173" t="str">
        <f t="shared" si="9"/>
        <v/>
      </c>
      <c r="AN941" s="181"/>
      <c r="AO941" s="190" t="s">
        <v>3049</v>
      </c>
      <c r="AP941" s="176">
        <v>8.7200000000000006</v>
      </c>
      <c r="AQ941" s="176">
        <v>8.73</v>
      </c>
      <c r="AR941" s="176">
        <v>8.754999999999999</v>
      </c>
      <c r="AS941" s="176">
        <v>8.76</v>
      </c>
      <c r="AT941" s="173"/>
      <c r="AU941" s="173">
        <v>465</v>
      </c>
      <c r="AV941" s="149"/>
      <c r="AW941" s="142" t="s">
        <v>123</v>
      </c>
      <c r="AY941" s="212"/>
      <c r="AZ941" s="196"/>
      <c r="BA941" s="196"/>
    </row>
    <row r="942" spans="2:53" s="142" customFormat="1" ht="21" customHeight="1" x14ac:dyDescent="0.25">
      <c r="B942" s="173" t="str">
        <f t="shared" si="10"/>
        <v>RM-304/1D-2.91X637</v>
      </c>
      <c r="C942" s="173" t="s">
        <v>48</v>
      </c>
      <c r="D942" s="173" t="s">
        <v>48</v>
      </c>
      <c r="E942" s="190" t="s">
        <v>3050</v>
      </c>
      <c r="F942" s="190" t="s">
        <v>3051</v>
      </c>
      <c r="G942" s="173">
        <v>304</v>
      </c>
      <c r="H942" s="173" t="s">
        <v>127</v>
      </c>
      <c r="I942" s="174">
        <v>2.91</v>
      </c>
      <c r="J942" s="174"/>
      <c r="K942" s="174"/>
      <c r="L942" s="174"/>
      <c r="M942" s="191">
        <v>637</v>
      </c>
      <c r="N942" s="176">
        <v>8.7650000000000006</v>
      </c>
      <c r="O942" s="176"/>
      <c r="P942" s="177"/>
      <c r="Q942" s="178"/>
      <c r="R942" s="179"/>
      <c r="S942" s="179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80" t="s">
        <v>2877</v>
      </c>
      <c r="AE942" s="173" t="s">
        <v>69</v>
      </c>
      <c r="AF942" s="181" t="s">
        <v>142</v>
      </c>
      <c r="AG942" s="192" t="s">
        <v>2878</v>
      </c>
      <c r="AH942" s="198"/>
      <c r="AI942" s="181">
        <v>44950</v>
      </c>
      <c r="AJ942" s="181"/>
      <c r="AK942" s="181">
        <f ca="1">TODAY()</f>
        <v>44958</v>
      </c>
      <c r="AL942" s="173">
        <f t="shared" ca="1" si="8"/>
        <v>8</v>
      </c>
      <c r="AM942" s="173" t="str">
        <f t="shared" si="9"/>
        <v/>
      </c>
      <c r="AN942" s="181"/>
      <c r="AO942" s="190" t="s">
        <v>3049</v>
      </c>
      <c r="AP942" s="176">
        <v>8.7650000000000006</v>
      </c>
      <c r="AQ942" s="176">
        <v>8.7750000000000004</v>
      </c>
      <c r="AR942" s="176">
        <v>8.7999999999999989</v>
      </c>
      <c r="AS942" s="176">
        <v>8.8049999999999997</v>
      </c>
      <c r="AT942" s="173"/>
      <c r="AU942" s="173">
        <v>465</v>
      </c>
      <c r="AV942" s="149"/>
      <c r="AW942" s="142" t="s">
        <v>123</v>
      </c>
      <c r="AY942" s="212"/>
      <c r="AZ942" s="196"/>
      <c r="BA942" s="196"/>
    </row>
    <row r="943" spans="2:53" s="142" customFormat="1" ht="21" customHeight="1" x14ac:dyDescent="0.25">
      <c r="B943" s="173" t="str">
        <f t="shared" si="10"/>
        <v>RM-304L/1D-3.79X769</v>
      </c>
      <c r="C943" s="173" t="s">
        <v>48</v>
      </c>
      <c r="D943" s="173" t="s">
        <v>48</v>
      </c>
      <c r="E943" s="190" t="s">
        <v>3052</v>
      </c>
      <c r="F943" s="190" t="s">
        <v>3053</v>
      </c>
      <c r="G943" s="173" t="s">
        <v>182</v>
      </c>
      <c r="H943" s="173" t="s">
        <v>127</v>
      </c>
      <c r="I943" s="174">
        <v>3.79</v>
      </c>
      <c r="J943" s="174"/>
      <c r="K943" s="174"/>
      <c r="L943" s="174"/>
      <c r="M943" s="191">
        <v>769</v>
      </c>
      <c r="N943" s="176">
        <v>10.42</v>
      </c>
      <c r="O943" s="176"/>
      <c r="P943" s="177"/>
      <c r="Q943" s="178"/>
      <c r="R943" s="179"/>
      <c r="S943" s="179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80" t="s">
        <v>2877</v>
      </c>
      <c r="AE943" s="173" t="s">
        <v>69</v>
      </c>
      <c r="AF943" s="181" t="s">
        <v>142</v>
      </c>
      <c r="AG943" s="192" t="s">
        <v>2878</v>
      </c>
      <c r="AH943" s="198"/>
      <c r="AI943" s="181">
        <v>44950</v>
      </c>
      <c r="AJ943" s="181"/>
      <c r="AK943" s="181">
        <f ca="1">TODAY()</f>
        <v>44958</v>
      </c>
      <c r="AL943" s="173">
        <f t="shared" ca="1" si="8"/>
        <v>8</v>
      </c>
      <c r="AM943" s="173" t="str">
        <f t="shared" si="9"/>
        <v/>
      </c>
      <c r="AN943" s="181"/>
      <c r="AO943" s="190" t="s">
        <v>3054</v>
      </c>
      <c r="AP943" s="176">
        <v>10.42</v>
      </c>
      <c r="AQ943" s="176">
        <v>10.43</v>
      </c>
      <c r="AR943" s="176">
        <v>10.454999999999998</v>
      </c>
      <c r="AS943" s="176">
        <v>10.459999999999999</v>
      </c>
      <c r="AT943" s="173"/>
      <c r="AU943" s="173">
        <v>465</v>
      </c>
      <c r="AV943" s="149"/>
      <c r="AW943" s="142" t="s">
        <v>123</v>
      </c>
      <c r="AY943" s="212"/>
      <c r="AZ943" s="196"/>
      <c r="BA943" s="196"/>
    </row>
    <row r="944" spans="2:53" s="142" customFormat="1" ht="21" customHeight="1" x14ac:dyDescent="0.25">
      <c r="B944" s="173" t="str">
        <f t="shared" si="10"/>
        <v>RM-304L/1D-3.79X768</v>
      </c>
      <c r="C944" s="173" t="s">
        <v>48</v>
      </c>
      <c r="D944" s="173" t="s">
        <v>48</v>
      </c>
      <c r="E944" s="190" t="s">
        <v>3055</v>
      </c>
      <c r="F944" s="190" t="s">
        <v>3056</v>
      </c>
      <c r="G944" s="173" t="s">
        <v>182</v>
      </c>
      <c r="H944" s="173" t="s">
        <v>127</v>
      </c>
      <c r="I944" s="174">
        <v>3.79</v>
      </c>
      <c r="J944" s="174"/>
      <c r="K944" s="174"/>
      <c r="L944" s="174"/>
      <c r="M944" s="191">
        <v>768</v>
      </c>
      <c r="N944" s="176">
        <v>10.395</v>
      </c>
      <c r="O944" s="176"/>
      <c r="P944" s="177"/>
      <c r="Q944" s="178"/>
      <c r="R944" s="179"/>
      <c r="S944" s="179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80" t="s">
        <v>2877</v>
      </c>
      <c r="AE944" s="173" t="s">
        <v>69</v>
      </c>
      <c r="AF944" s="181" t="s">
        <v>142</v>
      </c>
      <c r="AG944" s="192" t="s">
        <v>2878</v>
      </c>
      <c r="AH944" s="198"/>
      <c r="AI944" s="181">
        <v>44950</v>
      </c>
      <c r="AJ944" s="181"/>
      <c r="AK944" s="181">
        <f ca="1">TODAY()</f>
        <v>44958</v>
      </c>
      <c r="AL944" s="173">
        <f t="shared" ca="1" si="8"/>
        <v>8</v>
      </c>
      <c r="AM944" s="173" t="str">
        <f t="shared" si="9"/>
        <v/>
      </c>
      <c r="AN944" s="181"/>
      <c r="AO944" s="190" t="s">
        <v>3054</v>
      </c>
      <c r="AP944" s="176">
        <v>10.395</v>
      </c>
      <c r="AQ944" s="176">
        <v>10.404999999999999</v>
      </c>
      <c r="AR944" s="176">
        <v>10.429999999999998</v>
      </c>
      <c r="AS944" s="176">
        <v>10.434999999999999</v>
      </c>
      <c r="AT944" s="173"/>
      <c r="AU944" s="173">
        <v>465</v>
      </c>
      <c r="AV944" s="149"/>
      <c r="AW944" s="142" t="s">
        <v>123</v>
      </c>
      <c r="AY944" s="212"/>
      <c r="AZ944" s="196"/>
      <c r="BA944" s="196"/>
    </row>
    <row r="945" spans="2:53" s="142" customFormat="1" ht="21" customHeight="1" x14ac:dyDescent="0.25">
      <c r="B945" s="173" t="str">
        <f t="shared" si="10"/>
        <v>RM-304/1D-3.01X635</v>
      </c>
      <c r="C945" s="173" t="s">
        <v>48</v>
      </c>
      <c r="D945" s="173" t="s">
        <v>48</v>
      </c>
      <c r="E945" s="190" t="s">
        <v>3057</v>
      </c>
      <c r="F945" s="190" t="s">
        <v>3058</v>
      </c>
      <c r="G945" s="173">
        <v>304</v>
      </c>
      <c r="H945" s="173" t="s">
        <v>127</v>
      </c>
      <c r="I945" s="174">
        <v>3.01</v>
      </c>
      <c r="J945" s="174"/>
      <c r="K945" s="174"/>
      <c r="L945" s="174"/>
      <c r="M945" s="191">
        <v>635</v>
      </c>
      <c r="N945" s="176">
        <v>10.51</v>
      </c>
      <c r="O945" s="176"/>
      <c r="P945" s="177"/>
      <c r="Q945" s="178"/>
      <c r="R945" s="179"/>
      <c r="S945" s="179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80" t="s">
        <v>2877</v>
      </c>
      <c r="AE945" s="173" t="s">
        <v>69</v>
      </c>
      <c r="AF945" s="181" t="s">
        <v>142</v>
      </c>
      <c r="AG945" s="192" t="s">
        <v>2878</v>
      </c>
      <c r="AH945" s="198"/>
      <c r="AI945" s="181">
        <v>44950</v>
      </c>
      <c r="AJ945" s="181"/>
      <c r="AK945" s="181">
        <f ca="1">TODAY()</f>
        <v>44958</v>
      </c>
      <c r="AL945" s="173">
        <f t="shared" ca="1" si="8"/>
        <v>8</v>
      </c>
      <c r="AM945" s="173" t="str">
        <f t="shared" si="9"/>
        <v/>
      </c>
      <c r="AN945" s="181"/>
      <c r="AO945" s="190" t="s">
        <v>3059</v>
      </c>
      <c r="AP945" s="176">
        <v>10.51</v>
      </c>
      <c r="AQ945" s="176">
        <v>10.52</v>
      </c>
      <c r="AR945" s="176">
        <v>10.544999999999998</v>
      </c>
      <c r="AS945" s="176">
        <v>10.549999999999999</v>
      </c>
      <c r="AT945" s="173"/>
      <c r="AU945" s="173">
        <v>465</v>
      </c>
      <c r="AV945" s="149"/>
      <c r="AW945" s="142" t="s">
        <v>123</v>
      </c>
      <c r="AY945" s="212"/>
      <c r="AZ945" s="196"/>
      <c r="BA945" s="196"/>
    </row>
    <row r="946" spans="2:53" s="142" customFormat="1" ht="21" customHeight="1" x14ac:dyDescent="0.25">
      <c r="B946" s="173" t="str">
        <f t="shared" si="10"/>
        <v>RM-304/1D-3.01X637</v>
      </c>
      <c r="C946" s="173" t="s">
        <v>48</v>
      </c>
      <c r="D946" s="173" t="s">
        <v>48</v>
      </c>
      <c r="E946" s="190" t="s">
        <v>3060</v>
      </c>
      <c r="F946" s="190" t="s">
        <v>3061</v>
      </c>
      <c r="G946" s="173">
        <v>304</v>
      </c>
      <c r="H946" s="173" t="s">
        <v>127</v>
      </c>
      <c r="I946" s="174">
        <v>3.01</v>
      </c>
      <c r="J946" s="174"/>
      <c r="K946" s="174"/>
      <c r="L946" s="174"/>
      <c r="M946" s="191">
        <v>637</v>
      </c>
      <c r="N946" s="176">
        <v>10.57</v>
      </c>
      <c r="O946" s="176"/>
      <c r="P946" s="177"/>
      <c r="Q946" s="178"/>
      <c r="R946" s="179"/>
      <c r="S946" s="179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80" t="s">
        <v>2877</v>
      </c>
      <c r="AE946" s="173" t="s">
        <v>69</v>
      </c>
      <c r="AF946" s="181" t="s">
        <v>142</v>
      </c>
      <c r="AG946" s="192" t="s">
        <v>2878</v>
      </c>
      <c r="AH946" s="198"/>
      <c r="AI946" s="181">
        <v>44950</v>
      </c>
      <c r="AJ946" s="181"/>
      <c r="AK946" s="181">
        <f ca="1">TODAY()</f>
        <v>44958</v>
      </c>
      <c r="AL946" s="173">
        <f t="shared" ca="1" si="8"/>
        <v>8</v>
      </c>
      <c r="AM946" s="173" t="str">
        <f t="shared" si="9"/>
        <v/>
      </c>
      <c r="AN946" s="181"/>
      <c r="AO946" s="190" t="s">
        <v>3059</v>
      </c>
      <c r="AP946" s="176">
        <v>10.57</v>
      </c>
      <c r="AQ946" s="176">
        <v>10.58</v>
      </c>
      <c r="AR946" s="176">
        <v>10.604999999999999</v>
      </c>
      <c r="AS946" s="176">
        <v>10.61</v>
      </c>
      <c r="AT946" s="173"/>
      <c r="AU946" s="173">
        <v>465</v>
      </c>
      <c r="AV946" s="149"/>
      <c r="AW946" s="142" t="s">
        <v>123</v>
      </c>
      <c r="AY946" s="212"/>
      <c r="AZ946" s="196"/>
      <c r="BA946" s="196"/>
    </row>
    <row r="947" spans="2:53" s="142" customFormat="1" ht="21" customHeight="1" x14ac:dyDescent="0.25">
      <c r="B947" s="173" t="str">
        <f t="shared" si="10"/>
        <v>RM-304/1D-3.01X635</v>
      </c>
      <c r="C947" s="173" t="s">
        <v>48</v>
      </c>
      <c r="D947" s="173" t="s">
        <v>48</v>
      </c>
      <c r="E947" s="190" t="s">
        <v>3062</v>
      </c>
      <c r="F947" s="190" t="s">
        <v>3063</v>
      </c>
      <c r="G947" s="173">
        <v>304</v>
      </c>
      <c r="H947" s="173" t="s">
        <v>127</v>
      </c>
      <c r="I947" s="174">
        <v>3.01</v>
      </c>
      <c r="J947" s="174"/>
      <c r="K947" s="174"/>
      <c r="L947" s="174"/>
      <c r="M947" s="191">
        <v>635</v>
      </c>
      <c r="N947" s="176">
        <v>10.555</v>
      </c>
      <c r="O947" s="176"/>
      <c r="P947" s="177"/>
      <c r="Q947" s="178"/>
      <c r="R947" s="179"/>
      <c r="S947" s="179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80" t="s">
        <v>2877</v>
      </c>
      <c r="AE947" s="173" t="s">
        <v>69</v>
      </c>
      <c r="AF947" s="181" t="s">
        <v>142</v>
      </c>
      <c r="AG947" s="192" t="s">
        <v>2878</v>
      </c>
      <c r="AH947" s="198"/>
      <c r="AI947" s="181">
        <v>44950</v>
      </c>
      <c r="AJ947" s="181"/>
      <c r="AK947" s="181">
        <f ca="1">TODAY()</f>
        <v>44958</v>
      </c>
      <c r="AL947" s="173">
        <f t="shared" ca="1" si="8"/>
        <v>8</v>
      </c>
      <c r="AM947" s="173" t="str">
        <f t="shared" si="9"/>
        <v/>
      </c>
      <c r="AN947" s="181"/>
      <c r="AO947" s="190" t="s">
        <v>3064</v>
      </c>
      <c r="AP947" s="176">
        <v>10.555</v>
      </c>
      <c r="AQ947" s="176">
        <v>10.565</v>
      </c>
      <c r="AR947" s="176">
        <v>10.589999999999998</v>
      </c>
      <c r="AS947" s="176">
        <v>10.594999999999999</v>
      </c>
      <c r="AT947" s="173"/>
      <c r="AU947" s="173">
        <v>465</v>
      </c>
      <c r="AV947" s="149"/>
      <c r="AW947" s="142" t="s">
        <v>123</v>
      </c>
      <c r="AY947" s="212"/>
      <c r="AZ947" s="196"/>
      <c r="BA947" s="196"/>
    </row>
    <row r="948" spans="2:53" s="142" customFormat="1" ht="21" customHeight="1" x14ac:dyDescent="0.25">
      <c r="B948" s="173" t="str">
        <f t="shared" si="10"/>
        <v>RM-304/1D-3.01X635</v>
      </c>
      <c r="C948" s="173" t="s">
        <v>48</v>
      </c>
      <c r="D948" s="173" t="s">
        <v>48</v>
      </c>
      <c r="E948" s="190" t="s">
        <v>3065</v>
      </c>
      <c r="F948" s="190" t="s">
        <v>3066</v>
      </c>
      <c r="G948" s="173">
        <v>304</v>
      </c>
      <c r="H948" s="173" t="s">
        <v>127</v>
      </c>
      <c r="I948" s="174">
        <v>3.01</v>
      </c>
      <c r="J948" s="174"/>
      <c r="K948" s="174"/>
      <c r="L948" s="174"/>
      <c r="M948" s="191">
        <v>635</v>
      </c>
      <c r="N948" s="176">
        <v>10.535</v>
      </c>
      <c r="O948" s="176"/>
      <c r="P948" s="177"/>
      <c r="Q948" s="178"/>
      <c r="R948" s="179"/>
      <c r="S948" s="179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80" t="s">
        <v>2877</v>
      </c>
      <c r="AE948" s="173" t="s">
        <v>69</v>
      </c>
      <c r="AF948" s="181" t="s">
        <v>142</v>
      </c>
      <c r="AG948" s="192" t="s">
        <v>2878</v>
      </c>
      <c r="AH948" s="198"/>
      <c r="AI948" s="181">
        <v>44950</v>
      </c>
      <c r="AJ948" s="181"/>
      <c r="AK948" s="181">
        <f ca="1">TODAY()</f>
        <v>44958</v>
      </c>
      <c r="AL948" s="173">
        <f t="shared" ref="AL948:AL1011" ca="1" si="11">IF(AI948&lt;&gt;0,AK948-AI948,0)</f>
        <v>8</v>
      </c>
      <c r="AM948" s="173" t="str">
        <f t="shared" ref="AM948:AM1011" si="12">IF(ISNUMBER(X948)=TRUE,AK948-X948,IF(X948="","",(AK948)-(MID(RIGHT(X948,10),4,2)&amp;"/"&amp;LEFT((RIGHT(X948,10)),2)&amp;"/"&amp;RIGHT(X948,4))))</f>
        <v/>
      </c>
      <c r="AN948" s="181"/>
      <c r="AO948" s="190" t="s">
        <v>3064</v>
      </c>
      <c r="AP948" s="176">
        <v>10.535</v>
      </c>
      <c r="AQ948" s="176">
        <v>10.545</v>
      </c>
      <c r="AR948" s="176">
        <v>10.569999999999999</v>
      </c>
      <c r="AS948" s="176">
        <v>10.574999999999999</v>
      </c>
      <c r="AT948" s="173"/>
      <c r="AU948" s="173">
        <v>465</v>
      </c>
      <c r="AV948" s="149"/>
      <c r="AW948" s="142" t="s">
        <v>123</v>
      </c>
      <c r="AY948" s="212"/>
      <c r="AZ948" s="196"/>
      <c r="BA948" s="196"/>
    </row>
    <row r="949" spans="2:53" s="142" customFormat="1" ht="21" customHeight="1" x14ac:dyDescent="0.25">
      <c r="B949" s="173" t="str">
        <f t="shared" si="10"/>
        <v>RM-304/1D-2.99X635</v>
      </c>
      <c r="C949" s="173" t="s">
        <v>48</v>
      </c>
      <c r="D949" s="173" t="s">
        <v>48</v>
      </c>
      <c r="E949" s="190" t="s">
        <v>3067</v>
      </c>
      <c r="F949" s="190" t="s">
        <v>3068</v>
      </c>
      <c r="G949" s="173">
        <v>304</v>
      </c>
      <c r="H949" s="173" t="s">
        <v>127</v>
      </c>
      <c r="I949" s="174">
        <v>2.99</v>
      </c>
      <c r="J949" s="174"/>
      <c r="K949" s="174"/>
      <c r="L949" s="174"/>
      <c r="M949" s="191">
        <v>635</v>
      </c>
      <c r="N949" s="176">
        <v>10.54</v>
      </c>
      <c r="O949" s="176"/>
      <c r="P949" s="177"/>
      <c r="Q949" s="178"/>
      <c r="R949" s="179"/>
      <c r="S949" s="179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80" t="s">
        <v>2877</v>
      </c>
      <c r="AE949" s="173" t="s">
        <v>69</v>
      </c>
      <c r="AF949" s="181" t="s">
        <v>142</v>
      </c>
      <c r="AG949" s="192" t="s">
        <v>2878</v>
      </c>
      <c r="AH949" s="198"/>
      <c r="AI949" s="181">
        <v>44950</v>
      </c>
      <c r="AJ949" s="181"/>
      <c r="AK949" s="181">
        <f ca="1">TODAY()</f>
        <v>44958</v>
      </c>
      <c r="AL949" s="173">
        <f t="shared" ca="1" si="11"/>
        <v>8</v>
      </c>
      <c r="AM949" s="173" t="str">
        <f t="shared" si="12"/>
        <v/>
      </c>
      <c r="AN949" s="181"/>
      <c r="AO949" s="190" t="s">
        <v>3069</v>
      </c>
      <c r="AP949" s="176">
        <v>10.54</v>
      </c>
      <c r="AQ949" s="176">
        <v>10.549999999999999</v>
      </c>
      <c r="AR949" s="176">
        <v>10.574999999999998</v>
      </c>
      <c r="AS949" s="176">
        <v>10.579999999999998</v>
      </c>
      <c r="AT949" s="173"/>
      <c r="AU949" s="173">
        <v>465</v>
      </c>
      <c r="AV949" s="149"/>
      <c r="AW949" s="142" t="s">
        <v>123</v>
      </c>
      <c r="AY949" s="212"/>
      <c r="AZ949" s="196"/>
      <c r="BA949" s="196"/>
    </row>
    <row r="950" spans="2:53" s="142" customFormat="1" ht="21" customHeight="1" x14ac:dyDescent="0.25">
      <c r="B950" s="173" t="str">
        <f t="shared" si="10"/>
        <v>RM-304/1D-2.98X639</v>
      </c>
      <c r="C950" s="173" t="s">
        <v>48</v>
      </c>
      <c r="D950" s="173" t="s">
        <v>48</v>
      </c>
      <c r="E950" s="190" t="s">
        <v>3070</v>
      </c>
      <c r="F950" s="190" t="s">
        <v>3071</v>
      </c>
      <c r="G950" s="173">
        <v>304</v>
      </c>
      <c r="H950" s="173" t="s">
        <v>127</v>
      </c>
      <c r="I950" s="174">
        <v>2.98</v>
      </c>
      <c r="J950" s="174"/>
      <c r="K950" s="174"/>
      <c r="L950" s="174"/>
      <c r="M950" s="191">
        <v>639</v>
      </c>
      <c r="N950" s="176">
        <v>10.635</v>
      </c>
      <c r="O950" s="176"/>
      <c r="P950" s="177"/>
      <c r="Q950" s="178"/>
      <c r="R950" s="179"/>
      <c r="S950" s="179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80" t="s">
        <v>2877</v>
      </c>
      <c r="AE950" s="173" t="s">
        <v>69</v>
      </c>
      <c r="AF950" s="181" t="s">
        <v>142</v>
      </c>
      <c r="AG950" s="192" t="s">
        <v>2878</v>
      </c>
      <c r="AH950" s="198"/>
      <c r="AI950" s="181">
        <v>44950</v>
      </c>
      <c r="AJ950" s="181"/>
      <c r="AK950" s="181">
        <f ca="1">TODAY()</f>
        <v>44958</v>
      </c>
      <c r="AL950" s="173">
        <f t="shared" ca="1" si="11"/>
        <v>8</v>
      </c>
      <c r="AM950" s="173" t="str">
        <f t="shared" si="12"/>
        <v/>
      </c>
      <c r="AN950" s="181"/>
      <c r="AO950" s="190" t="s">
        <v>3069</v>
      </c>
      <c r="AP950" s="176">
        <v>10.635</v>
      </c>
      <c r="AQ950" s="176">
        <v>10.645</v>
      </c>
      <c r="AR950" s="176">
        <v>10.669999999999998</v>
      </c>
      <c r="AS950" s="176">
        <v>10.674999999999999</v>
      </c>
      <c r="AT950" s="173"/>
      <c r="AU950" s="173">
        <v>465</v>
      </c>
      <c r="AV950" s="149"/>
      <c r="AW950" s="142" t="s">
        <v>123</v>
      </c>
      <c r="AY950" s="212"/>
      <c r="AZ950" s="196"/>
      <c r="BA950" s="196"/>
    </row>
    <row r="951" spans="2:53" s="142" customFormat="1" ht="21" customHeight="1" x14ac:dyDescent="0.25">
      <c r="B951" s="173" t="str">
        <f t="shared" si="10"/>
        <v>RM-304L/1D-3.89X635</v>
      </c>
      <c r="C951" s="173" t="s">
        <v>48</v>
      </c>
      <c r="D951" s="173" t="s">
        <v>48</v>
      </c>
      <c r="E951" s="190" t="s">
        <v>3072</v>
      </c>
      <c r="F951" s="190" t="s">
        <v>3073</v>
      </c>
      <c r="G951" s="173" t="s">
        <v>182</v>
      </c>
      <c r="H951" s="173" t="s">
        <v>127</v>
      </c>
      <c r="I951" s="174">
        <v>3.89</v>
      </c>
      <c r="J951" s="174"/>
      <c r="K951" s="174"/>
      <c r="L951" s="174"/>
      <c r="M951" s="191">
        <v>635</v>
      </c>
      <c r="N951" s="176">
        <v>10.4</v>
      </c>
      <c r="O951" s="176"/>
      <c r="P951" s="177"/>
      <c r="Q951" s="178"/>
      <c r="R951" s="179"/>
      <c r="S951" s="179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80" t="s">
        <v>2877</v>
      </c>
      <c r="AE951" s="173" t="s">
        <v>69</v>
      </c>
      <c r="AF951" s="181" t="s">
        <v>142</v>
      </c>
      <c r="AG951" s="192" t="s">
        <v>2878</v>
      </c>
      <c r="AH951" s="198"/>
      <c r="AI951" s="181">
        <v>44950</v>
      </c>
      <c r="AJ951" s="181"/>
      <c r="AK951" s="181">
        <f ca="1">TODAY()</f>
        <v>44958</v>
      </c>
      <c r="AL951" s="173">
        <f t="shared" ca="1" si="11"/>
        <v>8</v>
      </c>
      <c r="AM951" s="173" t="str">
        <f t="shared" si="12"/>
        <v/>
      </c>
      <c r="AN951" s="181"/>
      <c r="AO951" s="190" t="s">
        <v>3074</v>
      </c>
      <c r="AP951" s="176">
        <v>10.4</v>
      </c>
      <c r="AQ951" s="176">
        <v>10.41</v>
      </c>
      <c r="AR951" s="176">
        <v>10.434999999999999</v>
      </c>
      <c r="AS951" s="176">
        <v>10.44</v>
      </c>
      <c r="AT951" s="173"/>
      <c r="AU951" s="173">
        <v>465</v>
      </c>
      <c r="AV951" s="149"/>
      <c r="AW951" s="142" t="s">
        <v>123</v>
      </c>
      <c r="AY951" s="212"/>
      <c r="AZ951" s="196"/>
      <c r="BA951" s="196"/>
    </row>
    <row r="952" spans="2:53" s="142" customFormat="1" ht="21" customHeight="1" x14ac:dyDescent="0.25">
      <c r="B952" s="173" t="str">
        <f t="shared" si="10"/>
        <v>RM-304L/1D-3.89X638</v>
      </c>
      <c r="C952" s="173" t="s">
        <v>48</v>
      </c>
      <c r="D952" s="173" t="s">
        <v>48</v>
      </c>
      <c r="E952" s="190" t="s">
        <v>3075</v>
      </c>
      <c r="F952" s="190" t="s">
        <v>3076</v>
      </c>
      <c r="G952" s="173" t="s">
        <v>182</v>
      </c>
      <c r="H952" s="173" t="s">
        <v>127</v>
      </c>
      <c r="I952" s="174">
        <v>3.89</v>
      </c>
      <c r="J952" s="174"/>
      <c r="K952" s="174"/>
      <c r="L952" s="174"/>
      <c r="M952" s="191">
        <v>638</v>
      </c>
      <c r="N952" s="176">
        <v>10.445</v>
      </c>
      <c r="O952" s="176"/>
      <c r="P952" s="177"/>
      <c r="Q952" s="178"/>
      <c r="R952" s="179"/>
      <c r="S952" s="179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80" t="s">
        <v>2877</v>
      </c>
      <c r="AE952" s="173" t="s">
        <v>69</v>
      </c>
      <c r="AF952" s="181" t="s">
        <v>142</v>
      </c>
      <c r="AG952" s="192" t="s">
        <v>2878</v>
      </c>
      <c r="AH952" s="198"/>
      <c r="AI952" s="181">
        <v>44950</v>
      </c>
      <c r="AJ952" s="181"/>
      <c r="AK952" s="181">
        <f ca="1">TODAY()</f>
        <v>44958</v>
      </c>
      <c r="AL952" s="173">
        <f t="shared" ca="1" si="11"/>
        <v>8</v>
      </c>
      <c r="AM952" s="173" t="str">
        <f t="shared" si="12"/>
        <v/>
      </c>
      <c r="AN952" s="181"/>
      <c r="AO952" s="190" t="s">
        <v>3074</v>
      </c>
      <c r="AP952" s="176">
        <v>10.445</v>
      </c>
      <c r="AQ952" s="176">
        <v>10.455</v>
      </c>
      <c r="AR952" s="176">
        <v>10.479999999999999</v>
      </c>
      <c r="AS952" s="176">
        <v>10.484999999999999</v>
      </c>
      <c r="AT952" s="173"/>
      <c r="AU952" s="173">
        <v>465</v>
      </c>
      <c r="AV952" s="149"/>
      <c r="AW952" s="142" t="s">
        <v>123</v>
      </c>
      <c r="AY952" s="212"/>
      <c r="AZ952" s="196"/>
      <c r="BA952" s="196"/>
    </row>
    <row r="953" spans="2:53" s="142" customFormat="1" ht="21" customHeight="1" x14ac:dyDescent="0.25">
      <c r="B953" s="173" t="str">
        <f t="shared" si="10"/>
        <v>RM-304/1D-3.90X635</v>
      </c>
      <c r="C953" s="173" t="s">
        <v>48</v>
      </c>
      <c r="D953" s="173" t="s">
        <v>48</v>
      </c>
      <c r="E953" s="190" t="s">
        <v>3077</v>
      </c>
      <c r="F953" s="190" t="s">
        <v>3078</v>
      </c>
      <c r="G953" s="173">
        <v>304</v>
      </c>
      <c r="H953" s="173" t="s">
        <v>127</v>
      </c>
      <c r="I953" s="174">
        <v>3.9</v>
      </c>
      <c r="J953" s="174"/>
      <c r="K953" s="174"/>
      <c r="L953" s="174"/>
      <c r="M953" s="191">
        <v>635</v>
      </c>
      <c r="N953" s="176">
        <v>10.585000000000001</v>
      </c>
      <c r="O953" s="176"/>
      <c r="P953" s="177"/>
      <c r="Q953" s="178"/>
      <c r="R953" s="179"/>
      <c r="S953" s="179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80" t="s">
        <v>2877</v>
      </c>
      <c r="AE953" s="173" t="s">
        <v>69</v>
      </c>
      <c r="AF953" s="181" t="s">
        <v>142</v>
      </c>
      <c r="AG953" s="192" t="s">
        <v>2878</v>
      </c>
      <c r="AH953" s="198"/>
      <c r="AI953" s="181">
        <v>44950</v>
      </c>
      <c r="AJ953" s="181"/>
      <c r="AK953" s="181">
        <f ca="1">TODAY()</f>
        <v>44958</v>
      </c>
      <c r="AL953" s="173">
        <f t="shared" ca="1" si="11"/>
        <v>8</v>
      </c>
      <c r="AM953" s="173" t="str">
        <f t="shared" si="12"/>
        <v/>
      </c>
      <c r="AN953" s="181"/>
      <c r="AO953" s="190" t="s">
        <v>3079</v>
      </c>
      <c r="AP953" s="176">
        <v>10.585000000000001</v>
      </c>
      <c r="AQ953" s="176">
        <v>10.595000000000001</v>
      </c>
      <c r="AR953" s="176">
        <v>10.62</v>
      </c>
      <c r="AS953" s="176">
        <v>10.625</v>
      </c>
      <c r="AT953" s="173"/>
      <c r="AU953" s="173">
        <v>465</v>
      </c>
      <c r="AV953" s="149"/>
      <c r="AW953" s="142" t="s">
        <v>123</v>
      </c>
      <c r="AY953" s="212"/>
      <c r="AZ953" s="196"/>
      <c r="BA953" s="196"/>
    </row>
    <row r="954" spans="2:53" s="142" customFormat="1" ht="21" customHeight="1" x14ac:dyDescent="0.25">
      <c r="B954" s="173" t="str">
        <f t="shared" si="10"/>
        <v>RM-304/1D-3.89X638</v>
      </c>
      <c r="C954" s="173" t="s">
        <v>48</v>
      </c>
      <c r="D954" s="173" t="s">
        <v>48</v>
      </c>
      <c r="E954" s="190" t="s">
        <v>3080</v>
      </c>
      <c r="F954" s="190" t="s">
        <v>3081</v>
      </c>
      <c r="G954" s="173">
        <v>304</v>
      </c>
      <c r="H954" s="173" t="s">
        <v>127</v>
      </c>
      <c r="I954" s="174">
        <v>3.89</v>
      </c>
      <c r="J954" s="174"/>
      <c r="K954" s="174"/>
      <c r="L954" s="174"/>
      <c r="M954" s="191">
        <v>638</v>
      </c>
      <c r="N954" s="176">
        <v>10.645</v>
      </c>
      <c r="O954" s="176"/>
      <c r="P954" s="177"/>
      <c r="Q954" s="178"/>
      <c r="R954" s="179"/>
      <c r="S954" s="179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80" t="s">
        <v>2877</v>
      </c>
      <c r="AE954" s="173" t="s">
        <v>69</v>
      </c>
      <c r="AF954" s="181" t="s">
        <v>142</v>
      </c>
      <c r="AG954" s="192" t="s">
        <v>2878</v>
      </c>
      <c r="AH954" s="198"/>
      <c r="AI954" s="181">
        <v>44950</v>
      </c>
      <c r="AJ954" s="181"/>
      <c r="AK954" s="181">
        <f ca="1">TODAY()</f>
        <v>44958</v>
      </c>
      <c r="AL954" s="173">
        <f t="shared" ca="1" si="11"/>
        <v>8</v>
      </c>
      <c r="AM954" s="173" t="str">
        <f t="shared" si="12"/>
        <v/>
      </c>
      <c r="AN954" s="181"/>
      <c r="AO954" s="190" t="s">
        <v>3079</v>
      </c>
      <c r="AP954" s="176">
        <v>10.645</v>
      </c>
      <c r="AQ954" s="176">
        <v>10.654999999999999</v>
      </c>
      <c r="AR954" s="176">
        <v>10.679999999999998</v>
      </c>
      <c r="AS954" s="176">
        <v>10.684999999999999</v>
      </c>
      <c r="AT954" s="173"/>
      <c r="AU954" s="173">
        <v>465</v>
      </c>
      <c r="AV954" s="149"/>
      <c r="AW954" s="142" t="s">
        <v>123</v>
      </c>
      <c r="AY954" s="212"/>
      <c r="AZ954" s="196"/>
      <c r="BA954" s="196"/>
    </row>
    <row r="955" spans="2:53" s="142" customFormat="1" ht="21" customHeight="1" x14ac:dyDescent="0.25">
      <c r="B955" s="173" t="str">
        <f t="shared" si="10"/>
        <v>RM-304L/1D-3.90X635</v>
      </c>
      <c r="C955" s="173" t="s">
        <v>48</v>
      </c>
      <c r="D955" s="173" t="s">
        <v>48</v>
      </c>
      <c r="E955" s="190" t="s">
        <v>3082</v>
      </c>
      <c r="F955" s="190" t="s">
        <v>3083</v>
      </c>
      <c r="G955" s="173" t="s">
        <v>182</v>
      </c>
      <c r="H955" s="173" t="s">
        <v>127</v>
      </c>
      <c r="I955" s="174">
        <v>3.9</v>
      </c>
      <c r="J955" s="174"/>
      <c r="K955" s="174"/>
      <c r="L955" s="174"/>
      <c r="M955" s="191">
        <v>635</v>
      </c>
      <c r="N955" s="176">
        <v>10.57</v>
      </c>
      <c r="O955" s="176"/>
      <c r="P955" s="177"/>
      <c r="Q955" s="178"/>
      <c r="R955" s="179"/>
      <c r="S955" s="179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80" t="s">
        <v>2877</v>
      </c>
      <c r="AE955" s="173" t="s">
        <v>69</v>
      </c>
      <c r="AF955" s="181" t="s">
        <v>142</v>
      </c>
      <c r="AG955" s="192" t="s">
        <v>2878</v>
      </c>
      <c r="AH955" s="198"/>
      <c r="AI955" s="181">
        <v>44950</v>
      </c>
      <c r="AJ955" s="181"/>
      <c r="AK955" s="181">
        <f ca="1">TODAY()</f>
        <v>44958</v>
      </c>
      <c r="AL955" s="173">
        <f t="shared" ca="1" si="11"/>
        <v>8</v>
      </c>
      <c r="AM955" s="173" t="str">
        <f t="shared" si="12"/>
        <v/>
      </c>
      <c r="AN955" s="181"/>
      <c r="AO955" s="190" t="s">
        <v>3084</v>
      </c>
      <c r="AP955" s="176">
        <v>10.57</v>
      </c>
      <c r="AQ955" s="176">
        <v>10.58</v>
      </c>
      <c r="AR955" s="176">
        <v>10.604999999999999</v>
      </c>
      <c r="AS955" s="176">
        <v>10.61</v>
      </c>
      <c r="AT955" s="173"/>
      <c r="AU955" s="173">
        <v>465</v>
      </c>
      <c r="AV955" s="149"/>
      <c r="AW955" s="142" t="s">
        <v>123</v>
      </c>
      <c r="AY955" s="212"/>
      <c r="AZ955" s="196"/>
      <c r="BA955" s="196"/>
    </row>
    <row r="956" spans="2:53" s="142" customFormat="1" ht="21" customHeight="1" x14ac:dyDescent="0.25">
      <c r="B956" s="173" t="str">
        <f t="shared" si="10"/>
        <v>RM-304L/1D-3.90X638</v>
      </c>
      <c r="C956" s="173" t="s">
        <v>48</v>
      </c>
      <c r="D956" s="173" t="s">
        <v>48</v>
      </c>
      <c r="E956" s="190" t="s">
        <v>3085</v>
      </c>
      <c r="F956" s="190" t="s">
        <v>3086</v>
      </c>
      <c r="G956" s="173" t="s">
        <v>182</v>
      </c>
      <c r="H956" s="173" t="s">
        <v>127</v>
      </c>
      <c r="I956" s="174">
        <v>3.9</v>
      </c>
      <c r="J956" s="174"/>
      <c r="K956" s="174"/>
      <c r="L956" s="174"/>
      <c r="M956" s="191">
        <v>638</v>
      </c>
      <c r="N956" s="176">
        <v>10.63</v>
      </c>
      <c r="O956" s="176"/>
      <c r="P956" s="177"/>
      <c r="Q956" s="178"/>
      <c r="R956" s="179"/>
      <c r="S956" s="179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80" t="s">
        <v>2877</v>
      </c>
      <c r="AE956" s="173" t="s">
        <v>69</v>
      </c>
      <c r="AF956" s="181" t="s">
        <v>142</v>
      </c>
      <c r="AG956" s="192" t="s">
        <v>2878</v>
      </c>
      <c r="AH956" s="198"/>
      <c r="AI956" s="181">
        <v>44950</v>
      </c>
      <c r="AJ956" s="181"/>
      <c r="AK956" s="181">
        <f ca="1">TODAY()</f>
        <v>44958</v>
      </c>
      <c r="AL956" s="173">
        <f t="shared" ca="1" si="11"/>
        <v>8</v>
      </c>
      <c r="AM956" s="173" t="str">
        <f t="shared" si="12"/>
        <v/>
      </c>
      <c r="AN956" s="181"/>
      <c r="AO956" s="190" t="s">
        <v>3084</v>
      </c>
      <c r="AP956" s="176">
        <v>10.63</v>
      </c>
      <c r="AQ956" s="176">
        <v>10.64</v>
      </c>
      <c r="AR956" s="176">
        <v>10.664999999999999</v>
      </c>
      <c r="AS956" s="176">
        <v>10.67</v>
      </c>
      <c r="AT956" s="173"/>
      <c r="AU956" s="173">
        <v>465</v>
      </c>
      <c r="AV956" s="149"/>
      <c r="AW956" s="142" t="s">
        <v>123</v>
      </c>
      <c r="AY956" s="212"/>
      <c r="AZ956" s="196"/>
      <c r="BA956" s="196"/>
    </row>
    <row r="957" spans="2:53" s="142" customFormat="1" ht="21" customHeight="1" x14ac:dyDescent="0.25">
      <c r="B957" s="173" t="str">
        <f t="shared" si="10"/>
        <v>RM-304/1D-3.87X635</v>
      </c>
      <c r="C957" s="173" t="s">
        <v>48</v>
      </c>
      <c r="D957" s="173" t="s">
        <v>48</v>
      </c>
      <c r="E957" s="190" t="s">
        <v>3087</v>
      </c>
      <c r="F957" s="190" t="s">
        <v>3088</v>
      </c>
      <c r="G957" s="173">
        <v>304</v>
      </c>
      <c r="H957" s="173" t="s">
        <v>127</v>
      </c>
      <c r="I957" s="174">
        <v>3.87</v>
      </c>
      <c r="J957" s="174"/>
      <c r="K957" s="174"/>
      <c r="L957" s="174"/>
      <c r="M957" s="191">
        <v>635</v>
      </c>
      <c r="N957" s="176">
        <v>10.49</v>
      </c>
      <c r="O957" s="176"/>
      <c r="P957" s="177"/>
      <c r="Q957" s="178"/>
      <c r="R957" s="179"/>
      <c r="S957" s="179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80" t="s">
        <v>2877</v>
      </c>
      <c r="AE957" s="173" t="s">
        <v>69</v>
      </c>
      <c r="AF957" s="181" t="s">
        <v>142</v>
      </c>
      <c r="AG957" s="192" t="s">
        <v>2878</v>
      </c>
      <c r="AH957" s="198"/>
      <c r="AI957" s="181">
        <v>44950</v>
      </c>
      <c r="AJ957" s="181"/>
      <c r="AK957" s="181">
        <f ca="1">TODAY()</f>
        <v>44958</v>
      </c>
      <c r="AL957" s="173">
        <f t="shared" ca="1" si="11"/>
        <v>8</v>
      </c>
      <c r="AM957" s="173" t="str">
        <f t="shared" si="12"/>
        <v/>
      </c>
      <c r="AN957" s="181"/>
      <c r="AO957" s="190" t="s">
        <v>3089</v>
      </c>
      <c r="AP957" s="176">
        <v>10.49</v>
      </c>
      <c r="AQ957" s="176">
        <v>10.5</v>
      </c>
      <c r="AR957" s="176">
        <v>10.524999999999999</v>
      </c>
      <c r="AS957" s="176">
        <v>10.53</v>
      </c>
      <c r="AT957" s="173"/>
      <c r="AU957" s="173">
        <v>465</v>
      </c>
      <c r="AV957" s="149"/>
      <c r="AW957" s="142" t="s">
        <v>123</v>
      </c>
      <c r="AY957" s="212"/>
      <c r="AZ957" s="196"/>
      <c r="BA957" s="196"/>
    </row>
    <row r="958" spans="2:53" s="142" customFormat="1" ht="21" customHeight="1" x14ac:dyDescent="0.25">
      <c r="B958" s="173" t="str">
        <f t="shared" ref="B958:B1021" si="13">IF(C958="HOLD RM","HOLD RM",IF(C958="BAL","WIP",IF(C958="HOLD SLT","HOLD SLT",IF(C958="MILL","RM",IF(C958="RE SLT","WIP",IF(C958="RM","RM",IF(C958="RM BAL","RM",IF(C958="RM SLT","RM",IF(C958="RR","WIP",IF(C958="SKP","WIP",IF(C958="SLT","WIP",IF(C958="CTL","WIP",IF(C958="RM SLT RUST","RM SLT RUST",0)))))))))))))&amp;"-"&amp;G958&amp;"/"&amp;IF(H958="2B","2B",IF(H958="NO.1","1D",IF(H958="FH","FH",0)))&amp;"-"&amp;IF(J958="",(TEXT(I958,"0.00")),TEXT(J958,"0.00"))&amp;"X"&amp;M958</f>
        <v>RM-304/1D-3.88X638</v>
      </c>
      <c r="C958" s="173" t="s">
        <v>48</v>
      </c>
      <c r="D958" s="173" t="s">
        <v>48</v>
      </c>
      <c r="E958" s="190" t="s">
        <v>3090</v>
      </c>
      <c r="F958" s="190" t="s">
        <v>3091</v>
      </c>
      <c r="G958" s="173">
        <v>304</v>
      </c>
      <c r="H958" s="173" t="s">
        <v>127</v>
      </c>
      <c r="I958" s="174">
        <v>3.88</v>
      </c>
      <c r="J958" s="174"/>
      <c r="K958" s="174"/>
      <c r="L958" s="174"/>
      <c r="M958" s="191">
        <v>638</v>
      </c>
      <c r="N958" s="176">
        <v>10.55</v>
      </c>
      <c r="O958" s="176"/>
      <c r="P958" s="177"/>
      <c r="Q958" s="178"/>
      <c r="R958" s="179"/>
      <c r="S958" s="179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80" t="s">
        <v>2877</v>
      </c>
      <c r="AE958" s="173" t="s">
        <v>69</v>
      </c>
      <c r="AF958" s="181" t="s">
        <v>142</v>
      </c>
      <c r="AG958" s="192" t="s">
        <v>2878</v>
      </c>
      <c r="AH958" s="198"/>
      <c r="AI958" s="181">
        <v>44950</v>
      </c>
      <c r="AJ958" s="181"/>
      <c r="AK958" s="181">
        <f ca="1">TODAY()</f>
        <v>44958</v>
      </c>
      <c r="AL958" s="173">
        <f t="shared" ca="1" si="11"/>
        <v>8</v>
      </c>
      <c r="AM958" s="173" t="str">
        <f t="shared" si="12"/>
        <v/>
      </c>
      <c r="AN958" s="181"/>
      <c r="AO958" s="190" t="s">
        <v>3089</v>
      </c>
      <c r="AP958" s="176">
        <v>10.55</v>
      </c>
      <c r="AQ958" s="176">
        <v>10.56</v>
      </c>
      <c r="AR958" s="176">
        <v>10.584999999999999</v>
      </c>
      <c r="AS958" s="176">
        <v>10.59</v>
      </c>
      <c r="AT958" s="173"/>
      <c r="AU958" s="173">
        <v>465</v>
      </c>
      <c r="AV958" s="149"/>
      <c r="AW958" s="142" t="s">
        <v>123</v>
      </c>
      <c r="AY958" s="212"/>
      <c r="AZ958" s="196"/>
      <c r="BA958" s="196"/>
    </row>
    <row r="959" spans="2:53" s="142" customFormat="1" ht="21" customHeight="1" x14ac:dyDescent="0.25">
      <c r="B959" s="173" t="str">
        <f t="shared" si="13"/>
        <v>RM-304L/1D-3.88X635</v>
      </c>
      <c r="C959" s="173" t="s">
        <v>48</v>
      </c>
      <c r="D959" s="173" t="s">
        <v>48</v>
      </c>
      <c r="E959" s="190" t="s">
        <v>3092</v>
      </c>
      <c r="F959" s="190" t="s">
        <v>3093</v>
      </c>
      <c r="G959" s="173" t="s">
        <v>182</v>
      </c>
      <c r="H959" s="173" t="s">
        <v>127</v>
      </c>
      <c r="I959" s="174">
        <v>3.88</v>
      </c>
      <c r="J959" s="174"/>
      <c r="K959" s="174"/>
      <c r="L959" s="174"/>
      <c r="M959" s="191">
        <v>635</v>
      </c>
      <c r="N959" s="176">
        <v>10.52</v>
      </c>
      <c r="O959" s="176"/>
      <c r="P959" s="177"/>
      <c r="Q959" s="178"/>
      <c r="R959" s="179"/>
      <c r="S959" s="179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80" t="s">
        <v>2877</v>
      </c>
      <c r="AE959" s="173" t="s">
        <v>69</v>
      </c>
      <c r="AF959" s="181" t="s">
        <v>142</v>
      </c>
      <c r="AG959" s="192" t="s">
        <v>2878</v>
      </c>
      <c r="AH959" s="198"/>
      <c r="AI959" s="181">
        <v>44950</v>
      </c>
      <c r="AJ959" s="181"/>
      <c r="AK959" s="181">
        <f ca="1">TODAY()</f>
        <v>44958</v>
      </c>
      <c r="AL959" s="173">
        <f t="shared" ca="1" si="11"/>
        <v>8</v>
      </c>
      <c r="AM959" s="173" t="str">
        <f t="shared" si="12"/>
        <v/>
      </c>
      <c r="AN959" s="181"/>
      <c r="AO959" s="190" t="s">
        <v>3094</v>
      </c>
      <c r="AP959" s="176">
        <v>10.52</v>
      </c>
      <c r="AQ959" s="176">
        <v>10.53</v>
      </c>
      <c r="AR959" s="176">
        <v>10.554999999999998</v>
      </c>
      <c r="AS959" s="176">
        <v>10.559999999999999</v>
      </c>
      <c r="AT959" s="173"/>
      <c r="AU959" s="173">
        <v>465</v>
      </c>
      <c r="AV959" s="149"/>
      <c r="AW959" s="142" t="s">
        <v>123</v>
      </c>
      <c r="AY959" s="212"/>
      <c r="AZ959" s="196"/>
      <c r="BA959" s="196"/>
    </row>
    <row r="960" spans="2:53" s="142" customFormat="1" ht="21" customHeight="1" x14ac:dyDescent="0.25">
      <c r="B960" s="173" t="str">
        <f t="shared" si="13"/>
        <v>RM-304L/1D-3.88X639</v>
      </c>
      <c r="C960" s="173" t="s">
        <v>48</v>
      </c>
      <c r="D960" s="173" t="s">
        <v>48</v>
      </c>
      <c r="E960" s="190" t="s">
        <v>3095</v>
      </c>
      <c r="F960" s="190" t="s">
        <v>3096</v>
      </c>
      <c r="G960" s="173" t="s">
        <v>182</v>
      </c>
      <c r="H960" s="173" t="s">
        <v>127</v>
      </c>
      <c r="I960" s="174">
        <v>3.88</v>
      </c>
      <c r="J960" s="174"/>
      <c r="K960" s="174"/>
      <c r="L960" s="174"/>
      <c r="M960" s="191">
        <v>639</v>
      </c>
      <c r="N960" s="176">
        <v>10.6</v>
      </c>
      <c r="O960" s="176"/>
      <c r="P960" s="177"/>
      <c r="Q960" s="178"/>
      <c r="R960" s="179"/>
      <c r="S960" s="179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80" t="s">
        <v>2877</v>
      </c>
      <c r="AE960" s="173" t="s">
        <v>69</v>
      </c>
      <c r="AF960" s="181" t="s">
        <v>142</v>
      </c>
      <c r="AG960" s="192" t="s">
        <v>2878</v>
      </c>
      <c r="AH960" s="198"/>
      <c r="AI960" s="181">
        <v>44950</v>
      </c>
      <c r="AJ960" s="181"/>
      <c r="AK960" s="181">
        <f ca="1">TODAY()</f>
        <v>44958</v>
      </c>
      <c r="AL960" s="173">
        <f t="shared" ca="1" si="11"/>
        <v>8</v>
      </c>
      <c r="AM960" s="173" t="str">
        <f t="shared" si="12"/>
        <v/>
      </c>
      <c r="AN960" s="181"/>
      <c r="AO960" s="190" t="s">
        <v>3094</v>
      </c>
      <c r="AP960" s="176">
        <v>10.6</v>
      </c>
      <c r="AQ960" s="176">
        <v>10.61</v>
      </c>
      <c r="AR960" s="176">
        <v>10.634999999999998</v>
      </c>
      <c r="AS960" s="176">
        <v>10.639999999999999</v>
      </c>
      <c r="AT960" s="173"/>
      <c r="AU960" s="173">
        <v>465</v>
      </c>
      <c r="AV960" s="149"/>
      <c r="AW960" s="142" t="s">
        <v>123</v>
      </c>
      <c r="AY960" s="212"/>
      <c r="AZ960" s="196"/>
      <c r="BA960" s="196"/>
    </row>
    <row r="961" spans="2:53" s="142" customFormat="1" ht="21" customHeight="1" x14ac:dyDescent="0.25">
      <c r="B961" s="173" t="str">
        <f t="shared" si="13"/>
        <v>RM-304L/1D-3.88X635</v>
      </c>
      <c r="C961" s="173" t="s">
        <v>48</v>
      </c>
      <c r="D961" s="173" t="s">
        <v>48</v>
      </c>
      <c r="E961" s="190" t="s">
        <v>3097</v>
      </c>
      <c r="F961" s="190" t="s">
        <v>3098</v>
      </c>
      <c r="G961" s="173" t="s">
        <v>182</v>
      </c>
      <c r="H961" s="173" t="s">
        <v>127</v>
      </c>
      <c r="I961" s="174">
        <v>3.88</v>
      </c>
      <c r="J961" s="174"/>
      <c r="K961" s="174"/>
      <c r="L961" s="174"/>
      <c r="M961" s="191">
        <v>635</v>
      </c>
      <c r="N961" s="176">
        <v>10.365</v>
      </c>
      <c r="O961" s="176"/>
      <c r="P961" s="177"/>
      <c r="Q961" s="178"/>
      <c r="R961" s="179"/>
      <c r="S961" s="179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80" t="s">
        <v>2877</v>
      </c>
      <c r="AE961" s="173" t="s">
        <v>69</v>
      </c>
      <c r="AF961" s="181" t="s">
        <v>142</v>
      </c>
      <c r="AG961" s="192" t="s">
        <v>2878</v>
      </c>
      <c r="AH961" s="198"/>
      <c r="AI961" s="181">
        <v>44950</v>
      </c>
      <c r="AJ961" s="181"/>
      <c r="AK961" s="181">
        <f ca="1">TODAY()</f>
        <v>44958</v>
      </c>
      <c r="AL961" s="173">
        <f t="shared" ca="1" si="11"/>
        <v>8</v>
      </c>
      <c r="AM961" s="173" t="str">
        <f t="shared" si="12"/>
        <v/>
      </c>
      <c r="AN961" s="181"/>
      <c r="AO961" s="190" t="s">
        <v>3099</v>
      </c>
      <c r="AP961" s="176">
        <v>10.365</v>
      </c>
      <c r="AQ961" s="176">
        <v>10.375</v>
      </c>
      <c r="AR961" s="176">
        <v>10.399999999999999</v>
      </c>
      <c r="AS961" s="176">
        <v>10.404999999999999</v>
      </c>
      <c r="AT961" s="173"/>
      <c r="AU961" s="173">
        <v>465</v>
      </c>
      <c r="AV961" s="149"/>
      <c r="AW961" s="142" t="s">
        <v>123</v>
      </c>
      <c r="AY961" s="212"/>
      <c r="AZ961" s="196"/>
      <c r="BA961" s="196"/>
    </row>
    <row r="962" spans="2:53" s="142" customFormat="1" ht="21" customHeight="1" x14ac:dyDescent="0.25">
      <c r="B962" s="173" t="str">
        <f t="shared" si="13"/>
        <v>RM-304L/1D-3.88X638</v>
      </c>
      <c r="C962" s="173" t="s">
        <v>48</v>
      </c>
      <c r="D962" s="173" t="s">
        <v>48</v>
      </c>
      <c r="E962" s="190" t="s">
        <v>3100</v>
      </c>
      <c r="F962" s="190" t="s">
        <v>3101</v>
      </c>
      <c r="G962" s="173" t="s">
        <v>182</v>
      </c>
      <c r="H962" s="173" t="s">
        <v>127</v>
      </c>
      <c r="I962" s="174">
        <v>3.88</v>
      </c>
      <c r="J962" s="174"/>
      <c r="K962" s="174"/>
      <c r="L962" s="174"/>
      <c r="M962" s="191">
        <v>638</v>
      </c>
      <c r="N962" s="176">
        <v>10.41</v>
      </c>
      <c r="O962" s="176"/>
      <c r="P962" s="177"/>
      <c r="Q962" s="178"/>
      <c r="R962" s="179"/>
      <c r="S962" s="179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80" t="s">
        <v>2877</v>
      </c>
      <c r="AE962" s="173" t="s">
        <v>69</v>
      </c>
      <c r="AF962" s="181" t="s">
        <v>142</v>
      </c>
      <c r="AG962" s="192" t="s">
        <v>2878</v>
      </c>
      <c r="AH962" s="198"/>
      <c r="AI962" s="181">
        <v>44950</v>
      </c>
      <c r="AJ962" s="181"/>
      <c r="AK962" s="181">
        <f ca="1">TODAY()</f>
        <v>44958</v>
      </c>
      <c r="AL962" s="173">
        <f t="shared" ca="1" si="11"/>
        <v>8</v>
      </c>
      <c r="AM962" s="173" t="str">
        <f t="shared" si="12"/>
        <v/>
      </c>
      <c r="AN962" s="181"/>
      <c r="AO962" s="190" t="s">
        <v>3099</v>
      </c>
      <c r="AP962" s="176">
        <v>10.41</v>
      </c>
      <c r="AQ962" s="176">
        <v>10.42</v>
      </c>
      <c r="AR962" s="176">
        <v>10.444999999999999</v>
      </c>
      <c r="AS962" s="176">
        <v>10.45</v>
      </c>
      <c r="AT962" s="173"/>
      <c r="AU962" s="173">
        <v>465</v>
      </c>
      <c r="AV962" s="149"/>
      <c r="AW962" s="142" t="s">
        <v>123</v>
      </c>
      <c r="AY962" s="212"/>
      <c r="AZ962" s="196"/>
      <c r="BA962" s="196"/>
    </row>
    <row r="963" spans="2:53" s="142" customFormat="1" ht="21" customHeight="1" x14ac:dyDescent="0.25">
      <c r="B963" s="173" t="str">
        <f t="shared" si="13"/>
        <v>RM-304L/1D-3.88X635</v>
      </c>
      <c r="C963" s="173" t="s">
        <v>48</v>
      </c>
      <c r="D963" s="173" t="s">
        <v>48</v>
      </c>
      <c r="E963" s="190" t="s">
        <v>3102</v>
      </c>
      <c r="F963" s="190" t="s">
        <v>3103</v>
      </c>
      <c r="G963" s="173" t="s">
        <v>182</v>
      </c>
      <c r="H963" s="173" t="s">
        <v>127</v>
      </c>
      <c r="I963" s="174">
        <v>3.88</v>
      </c>
      <c r="J963" s="174"/>
      <c r="K963" s="174"/>
      <c r="L963" s="174"/>
      <c r="M963" s="191">
        <v>635</v>
      </c>
      <c r="N963" s="176">
        <v>10.625</v>
      </c>
      <c r="O963" s="176"/>
      <c r="P963" s="177"/>
      <c r="Q963" s="178"/>
      <c r="R963" s="179"/>
      <c r="S963" s="179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80" t="s">
        <v>2877</v>
      </c>
      <c r="AE963" s="173" t="s">
        <v>69</v>
      </c>
      <c r="AF963" s="181" t="s">
        <v>142</v>
      </c>
      <c r="AG963" s="192" t="s">
        <v>2878</v>
      </c>
      <c r="AH963" s="198"/>
      <c r="AI963" s="181">
        <v>44950</v>
      </c>
      <c r="AJ963" s="181"/>
      <c r="AK963" s="181">
        <f ca="1">TODAY()</f>
        <v>44958</v>
      </c>
      <c r="AL963" s="173">
        <f t="shared" ca="1" si="11"/>
        <v>8</v>
      </c>
      <c r="AM963" s="173" t="str">
        <f t="shared" si="12"/>
        <v/>
      </c>
      <c r="AN963" s="181"/>
      <c r="AO963" s="190" t="s">
        <v>3104</v>
      </c>
      <c r="AP963" s="176">
        <v>10.625</v>
      </c>
      <c r="AQ963" s="176">
        <v>10.635</v>
      </c>
      <c r="AR963" s="176">
        <v>10.659999999999998</v>
      </c>
      <c r="AS963" s="176">
        <v>10.664999999999999</v>
      </c>
      <c r="AT963" s="173"/>
      <c r="AU963" s="173">
        <v>465</v>
      </c>
      <c r="AV963" s="149"/>
      <c r="AW963" s="142" t="s">
        <v>123</v>
      </c>
      <c r="AY963" s="212"/>
      <c r="AZ963" s="196"/>
      <c r="BA963" s="196"/>
    </row>
    <row r="964" spans="2:53" s="142" customFormat="1" ht="21" customHeight="1" x14ac:dyDescent="0.25">
      <c r="B964" s="173" t="str">
        <f t="shared" si="13"/>
        <v>RM-304L/1D-3.88X638</v>
      </c>
      <c r="C964" s="173" t="s">
        <v>48</v>
      </c>
      <c r="D964" s="173" t="s">
        <v>48</v>
      </c>
      <c r="E964" s="190" t="s">
        <v>3105</v>
      </c>
      <c r="F964" s="190" t="s">
        <v>3106</v>
      </c>
      <c r="G964" s="173" t="s">
        <v>182</v>
      </c>
      <c r="H964" s="173" t="s">
        <v>127</v>
      </c>
      <c r="I964" s="174">
        <v>3.88</v>
      </c>
      <c r="J964" s="174"/>
      <c r="K964" s="174"/>
      <c r="L964" s="174"/>
      <c r="M964" s="191">
        <v>638</v>
      </c>
      <c r="N964" s="176">
        <v>10.705</v>
      </c>
      <c r="O964" s="176"/>
      <c r="P964" s="177"/>
      <c r="Q964" s="178"/>
      <c r="R964" s="179"/>
      <c r="S964" s="179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80" t="s">
        <v>2877</v>
      </c>
      <c r="AE964" s="173" t="s">
        <v>69</v>
      </c>
      <c r="AF964" s="181" t="s">
        <v>142</v>
      </c>
      <c r="AG964" s="192" t="s">
        <v>2878</v>
      </c>
      <c r="AH964" s="198"/>
      <c r="AI964" s="181">
        <v>44950</v>
      </c>
      <c r="AJ964" s="181"/>
      <c r="AK964" s="181">
        <f ca="1">TODAY()</f>
        <v>44958</v>
      </c>
      <c r="AL964" s="173">
        <f t="shared" ca="1" si="11"/>
        <v>8</v>
      </c>
      <c r="AM964" s="173" t="str">
        <f t="shared" si="12"/>
        <v/>
      </c>
      <c r="AN964" s="181"/>
      <c r="AO964" s="190" t="s">
        <v>3104</v>
      </c>
      <c r="AP964" s="176">
        <v>10.705</v>
      </c>
      <c r="AQ964" s="176">
        <v>10.715</v>
      </c>
      <c r="AR964" s="176">
        <v>10.739999999999998</v>
      </c>
      <c r="AS964" s="176">
        <v>10.744999999999999</v>
      </c>
      <c r="AT964" s="173"/>
      <c r="AU964" s="173">
        <v>465</v>
      </c>
      <c r="AV964" s="149"/>
      <c r="AW964" s="142" t="s">
        <v>123</v>
      </c>
      <c r="AY964" s="212"/>
      <c r="AZ964" s="196"/>
      <c r="BA964" s="196"/>
    </row>
    <row r="965" spans="2:53" s="142" customFormat="1" ht="21" customHeight="1" x14ac:dyDescent="0.25">
      <c r="B965" s="173" t="str">
        <f t="shared" si="13"/>
        <v>RM-304/1D-3.00X635</v>
      </c>
      <c r="C965" s="173" t="s">
        <v>48</v>
      </c>
      <c r="D965" s="173" t="s">
        <v>48</v>
      </c>
      <c r="E965" s="190" t="s">
        <v>3107</v>
      </c>
      <c r="F965" s="190" t="s">
        <v>3108</v>
      </c>
      <c r="G965" s="173">
        <v>304</v>
      </c>
      <c r="H965" s="173" t="s">
        <v>127</v>
      </c>
      <c r="I965" s="174">
        <v>3</v>
      </c>
      <c r="J965" s="174"/>
      <c r="K965" s="174"/>
      <c r="L965" s="174"/>
      <c r="M965" s="191">
        <v>635</v>
      </c>
      <c r="N965" s="176">
        <v>10.44</v>
      </c>
      <c r="O965" s="176"/>
      <c r="P965" s="177"/>
      <c r="Q965" s="178"/>
      <c r="R965" s="179"/>
      <c r="S965" s="179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80" t="s">
        <v>2877</v>
      </c>
      <c r="AE965" s="173" t="s">
        <v>69</v>
      </c>
      <c r="AF965" s="181" t="s">
        <v>142</v>
      </c>
      <c r="AG965" s="192" t="s">
        <v>2878</v>
      </c>
      <c r="AH965" s="198"/>
      <c r="AI965" s="181">
        <v>44950</v>
      </c>
      <c r="AJ965" s="181"/>
      <c r="AK965" s="181">
        <f ca="1">TODAY()</f>
        <v>44958</v>
      </c>
      <c r="AL965" s="173">
        <f t="shared" ca="1" si="11"/>
        <v>8</v>
      </c>
      <c r="AM965" s="173" t="str">
        <f t="shared" si="12"/>
        <v/>
      </c>
      <c r="AN965" s="181"/>
      <c r="AO965" s="190" t="s">
        <v>3109</v>
      </c>
      <c r="AP965" s="176">
        <v>10.44</v>
      </c>
      <c r="AQ965" s="176">
        <v>10.45</v>
      </c>
      <c r="AR965" s="176">
        <v>10.474999999999998</v>
      </c>
      <c r="AS965" s="176">
        <v>10.479999999999999</v>
      </c>
      <c r="AT965" s="173"/>
      <c r="AU965" s="173">
        <v>465</v>
      </c>
      <c r="AV965" s="149"/>
      <c r="AW965" s="142" t="s">
        <v>123</v>
      </c>
      <c r="AY965" s="212"/>
      <c r="AZ965" s="196"/>
      <c r="BA965" s="196"/>
    </row>
    <row r="966" spans="2:53" s="142" customFormat="1" ht="21" customHeight="1" x14ac:dyDescent="0.25">
      <c r="B966" s="173" t="str">
        <f t="shared" si="13"/>
        <v>RM-304/1D-3.00X638</v>
      </c>
      <c r="C966" s="173" t="s">
        <v>48</v>
      </c>
      <c r="D966" s="173" t="s">
        <v>48</v>
      </c>
      <c r="E966" s="190" t="s">
        <v>3110</v>
      </c>
      <c r="F966" s="190" t="s">
        <v>3111</v>
      </c>
      <c r="G966" s="173">
        <v>304</v>
      </c>
      <c r="H966" s="173" t="s">
        <v>127</v>
      </c>
      <c r="I966" s="174">
        <v>3</v>
      </c>
      <c r="J966" s="174"/>
      <c r="K966" s="174"/>
      <c r="L966" s="174"/>
      <c r="M966" s="191">
        <v>638</v>
      </c>
      <c r="N966" s="176">
        <v>10.505000000000001</v>
      </c>
      <c r="O966" s="176"/>
      <c r="P966" s="177"/>
      <c r="Q966" s="178"/>
      <c r="R966" s="179"/>
      <c r="S966" s="179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80" t="s">
        <v>2877</v>
      </c>
      <c r="AE966" s="173" t="s">
        <v>69</v>
      </c>
      <c r="AF966" s="181" t="s">
        <v>142</v>
      </c>
      <c r="AG966" s="192" t="s">
        <v>2878</v>
      </c>
      <c r="AH966" s="198"/>
      <c r="AI966" s="181">
        <v>44950</v>
      </c>
      <c r="AJ966" s="181"/>
      <c r="AK966" s="181">
        <f ca="1">TODAY()</f>
        <v>44958</v>
      </c>
      <c r="AL966" s="173">
        <f t="shared" ca="1" si="11"/>
        <v>8</v>
      </c>
      <c r="AM966" s="173" t="str">
        <f t="shared" si="12"/>
        <v/>
      </c>
      <c r="AN966" s="181"/>
      <c r="AO966" s="190" t="s">
        <v>3109</v>
      </c>
      <c r="AP966" s="176">
        <v>10.505000000000001</v>
      </c>
      <c r="AQ966" s="176">
        <v>10.515000000000001</v>
      </c>
      <c r="AR966" s="176">
        <v>10.54</v>
      </c>
      <c r="AS966" s="176">
        <v>10.545</v>
      </c>
      <c r="AT966" s="173"/>
      <c r="AU966" s="173">
        <v>465</v>
      </c>
      <c r="AV966" s="149"/>
      <c r="AW966" s="142" t="s">
        <v>123</v>
      </c>
      <c r="AY966" s="212"/>
      <c r="AZ966" s="196"/>
      <c r="BA966" s="196"/>
    </row>
    <row r="967" spans="2:53" s="142" customFormat="1" ht="21" customHeight="1" x14ac:dyDescent="0.25">
      <c r="B967" s="173" t="str">
        <f t="shared" si="13"/>
        <v>RM-304L/1D-3.89X635</v>
      </c>
      <c r="C967" s="173" t="s">
        <v>48</v>
      </c>
      <c r="D967" s="173" t="s">
        <v>48</v>
      </c>
      <c r="E967" s="190" t="s">
        <v>3112</v>
      </c>
      <c r="F967" s="190" t="s">
        <v>3113</v>
      </c>
      <c r="G967" s="173" t="s">
        <v>182</v>
      </c>
      <c r="H967" s="173" t="s">
        <v>127</v>
      </c>
      <c r="I967" s="174">
        <v>3.89</v>
      </c>
      <c r="J967" s="174"/>
      <c r="K967" s="174"/>
      <c r="L967" s="174"/>
      <c r="M967" s="191">
        <v>635</v>
      </c>
      <c r="N967" s="176">
        <v>10.585000000000001</v>
      </c>
      <c r="O967" s="176"/>
      <c r="P967" s="177"/>
      <c r="Q967" s="178"/>
      <c r="R967" s="179"/>
      <c r="S967" s="179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80" t="s">
        <v>2877</v>
      </c>
      <c r="AE967" s="173" t="s">
        <v>69</v>
      </c>
      <c r="AF967" s="181" t="s">
        <v>142</v>
      </c>
      <c r="AG967" s="192" t="s">
        <v>2878</v>
      </c>
      <c r="AH967" s="198"/>
      <c r="AI967" s="181">
        <v>44950</v>
      </c>
      <c r="AJ967" s="181"/>
      <c r="AK967" s="181">
        <f ca="1">TODAY()</f>
        <v>44958</v>
      </c>
      <c r="AL967" s="173">
        <f t="shared" ca="1" si="11"/>
        <v>8</v>
      </c>
      <c r="AM967" s="173" t="str">
        <f t="shared" si="12"/>
        <v/>
      </c>
      <c r="AN967" s="181"/>
      <c r="AO967" s="190" t="s">
        <v>3114</v>
      </c>
      <c r="AP967" s="176">
        <v>10.585000000000001</v>
      </c>
      <c r="AQ967" s="176">
        <v>10.595000000000001</v>
      </c>
      <c r="AR967" s="176">
        <v>10.62</v>
      </c>
      <c r="AS967" s="176">
        <v>10.625</v>
      </c>
      <c r="AT967" s="173"/>
      <c r="AU967" s="173">
        <v>465</v>
      </c>
      <c r="AV967" s="149"/>
      <c r="AW967" s="142" t="s">
        <v>123</v>
      </c>
      <c r="AY967" s="212"/>
      <c r="AZ967" s="196"/>
      <c r="BA967" s="196"/>
    </row>
    <row r="968" spans="2:53" s="142" customFormat="1" ht="21" customHeight="1" x14ac:dyDescent="0.25">
      <c r="B968" s="173" t="str">
        <f t="shared" si="13"/>
        <v>RM-304L/1D-3.88X638</v>
      </c>
      <c r="C968" s="173" t="s">
        <v>48</v>
      </c>
      <c r="D968" s="173" t="s">
        <v>48</v>
      </c>
      <c r="E968" s="190" t="s">
        <v>3115</v>
      </c>
      <c r="F968" s="190" t="s">
        <v>3116</v>
      </c>
      <c r="G968" s="173" t="s">
        <v>182</v>
      </c>
      <c r="H968" s="173" t="s">
        <v>127</v>
      </c>
      <c r="I968" s="174">
        <v>3.88</v>
      </c>
      <c r="J968" s="174"/>
      <c r="K968" s="174"/>
      <c r="L968" s="174"/>
      <c r="M968" s="191">
        <v>638</v>
      </c>
      <c r="N968" s="176">
        <v>10.57</v>
      </c>
      <c r="O968" s="176"/>
      <c r="P968" s="177"/>
      <c r="Q968" s="178"/>
      <c r="R968" s="179"/>
      <c r="S968" s="179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80" t="s">
        <v>2877</v>
      </c>
      <c r="AE968" s="173" t="s">
        <v>69</v>
      </c>
      <c r="AF968" s="181" t="s">
        <v>142</v>
      </c>
      <c r="AG968" s="192" t="s">
        <v>2878</v>
      </c>
      <c r="AH968" s="198"/>
      <c r="AI968" s="181">
        <v>44950</v>
      </c>
      <c r="AJ968" s="181"/>
      <c r="AK968" s="181">
        <f ca="1">TODAY()</f>
        <v>44958</v>
      </c>
      <c r="AL968" s="173">
        <f t="shared" ca="1" si="11"/>
        <v>8</v>
      </c>
      <c r="AM968" s="173" t="str">
        <f t="shared" si="12"/>
        <v/>
      </c>
      <c r="AN968" s="181"/>
      <c r="AO968" s="190" t="s">
        <v>3114</v>
      </c>
      <c r="AP968" s="176">
        <v>10.57</v>
      </c>
      <c r="AQ968" s="176">
        <v>10.58</v>
      </c>
      <c r="AR968" s="176">
        <v>10.604999999999999</v>
      </c>
      <c r="AS968" s="176">
        <v>10.61</v>
      </c>
      <c r="AT968" s="173"/>
      <c r="AU968" s="173">
        <v>465</v>
      </c>
      <c r="AV968" s="149"/>
      <c r="AW968" s="142" t="s">
        <v>123</v>
      </c>
      <c r="AY968" s="212"/>
      <c r="AZ968" s="196"/>
      <c r="BA968" s="196"/>
    </row>
    <row r="969" spans="2:53" s="142" customFormat="1" ht="21" customHeight="1" x14ac:dyDescent="0.25">
      <c r="B969" s="173" t="str">
        <f t="shared" si="13"/>
        <v>RM-304/1D-3.89X635</v>
      </c>
      <c r="C969" s="173" t="s">
        <v>48</v>
      </c>
      <c r="D969" s="173" t="s">
        <v>48</v>
      </c>
      <c r="E969" s="190" t="s">
        <v>3117</v>
      </c>
      <c r="F969" s="190" t="s">
        <v>3118</v>
      </c>
      <c r="G969" s="173">
        <v>304</v>
      </c>
      <c r="H969" s="173" t="s">
        <v>127</v>
      </c>
      <c r="I969" s="174">
        <v>3.89</v>
      </c>
      <c r="J969" s="174"/>
      <c r="K969" s="174"/>
      <c r="L969" s="174"/>
      <c r="M969" s="191">
        <v>635</v>
      </c>
      <c r="N969" s="176">
        <v>10.565</v>
      </c>
      <c r="O969" s="176"/>
      <c r="P969" s="177"/>
      <c r="Q969" s="178"/>
      <c r="R969" s="179"/>
      <c r="S969" s="179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80" t="s">
        <v>2877</v>
      </c>
      <c r="AE969" s="173" t="s">
        <v>69</v>
      </c>
      <c r="AF969" s="181" t="s">
        <v>142</v>
      </c>
      <c r="AG969" s="192" t="s">
        <v>2878</v>
      </c>
      <c r="AH969" s="198"/>
      <c r="AI969" s="181">
        <v>44950</v>
      </c>
      <c r="AJ969" s="181"/>
      <c r="AK969" s="181">
        <f ca="1">TODAY()</f>
        <v>44958</v>
      </c>
      <c r="AL969" s="173">
        <f t="shared" ca="1" si="11"/>
        <v>8</v>
      </c>
      <c r="AM969" s="173" t="str">
        <f t="shared" si="12"/>
        <v/>
      </c>
      <c r="AN969" s="181"/>
      <c r="AO969" s="190" t="s">
        <v>3119</v>
      </c>
      <c r="AP969" s="176">
        <v>10.565</v>
      </c>
      <c r="AQ969" s="176">
        <v>10.574999999999999</v>
      </c>
      <c r="AR969" s="176">
        <v>10.599999999999998</v>
      </c>
      <c r="AS969" s="176">
        <v>10.604999999999999</v>
      </c>
      <c r="AT969" s="173"/>
      <c r="AU969" s="173">
        <v>465</v>
      </c>
      <c r="AV969" s="149"/>
      <c r="AW969" s="142" t="s">
        <v>123</v>
      </c>
      <c r="AY969" s="212"/>
      <c r="AZ969" s="196"/>
      <c r="BA969" s="196"/>
    </row>
    <row r="970" spans="2:53" s="142" customFormat="1" ht="21" customHeight="1" x14ac:dyDescent="0.25">
      <c r="B970" s="173" t="str">
        <f t="shared" si="13"/>
        <v>RM-304/1D-3.89X636</v>
      </c>
      <c r="C970" s="173" t="s">
        <v>48</v>
      </c>
      <c r="D970" s="173" t="s">
        <v>48</v>
      </c>
      <c r="E970" s="190" t="s">
        <v>3120</v>
      </c>
      <c r="F970" s="190" t="s">
        <v>3121</v>
      </c>
      <c r="G970" s="173">
        <v>304</v>
      </c>
      <c r="H970" s="173" t="s">
        <v>127</v>
      </c>
      <c r="I970" s="174">
        <v>3.89</v>
      </c>
      <c r="J970" s="174"/>
      <c r="K970" s="174"/>
      <c r="L970" s="174"/>
      <c r="M970" s="191">
        <v>636</v>
      </c>
      <c r="N970" s="176">
        <v>10.6</v>
      </c>
      <c r="O970" s="176"/>
      <c r="P970" s="177"/>
      <c r="Q970" s="178"/>
      <c r="R970" s="179"/>
      <c r="S970" s="179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80" t="s">
        <v>2877</v>
      </c>
      <c r="AE970" s="173" t="s">
        <v>69</v>
      </c>
      <c r="AF970" s="181" t="s">
        <v>142</v>
      </c>
      <c r="AG970" s="192" t="s">
        <v>2878</v>
      </c>
      <c r="AH970" s="198"/>
      <c r="AI970" s="181">
        <v>44950</v>
      </c>
      <c r="AJ970" s="181"/>
      <c r="AK970" s="181">
        <f ca="1">TODAY()</f>
        <v>44958</v>
      </c>
      <c r="AL970" s="173">
        <f t="shared" ca="1" si="11"/>
        <v>8</v>
      </c>
      <c r="AM970" s="173" t="str">
        <f t="shared" si="12"/>
        <v/>
      </c>
      <c r="AN970" s="181"/>
      <c r="AO970" s="190" t="s">
        <v>3119</v>
      </c>
      <c r="AP970" s="176">
        <v>10.6</v>
      </c>
      <c r="AQ970" s="176">
        <v>10.61</v>
      </c>
      <c r="AR970" s="176">
        <v>10.634999999999998</v>
      </c>
      <c r="AS970" s="176">
        <v>10.639999999999999</v>
      </c>
      <c r="AT970" s="173"/>
      <c r="AU970" s="173">
        <v>465</v>
      </c>
      <c r="AV970" s="149"/>
      <c r="AW970" s="142" t="s">
        <v>123</v>
      </c>
      <c r="AY970" s="212"/>
      <c r="AZ970" s="196"/>
      <c r="BA970" s="196"/>
    </row>
    <row r="971" spans="2:53" s="142" customFormat="1" ht="21" customHeight="1" x14ac:dyDescent="0.25">
      <c r="B971" s="173" t="str">
        <f t="shared" si="13"/>
        <v>RM-304L/1D-3.89X635</v>
      </c>
      <c r="C971" s="173" t="s">
        <v>48</v>
      </c>
      <c r="D971" s="173" t="s">
        <v>48</v>
      </c>
      <c r="E971" s="190" t="s">
        <v>3122</v>
      </c>
      <c r="F971" s="190" t="s">
        <v>3123</v>
      </c>
      <c r="G971" s="173" t="s">
        <v>182</v>
      </c>
      <c r="H971" s="173" t="s">
        <v>127</v>
      </c>
      <c r="I971" s="174">
        <v>3.89</v>
      </c>
      <c r="J971" s="174"/>
      <c r="K971" s="174"/>
      <c r="L971" s="174"/>
      <c r="M971" s="191">
        <v>635</v>
      </c>
      <c r="N971" s="176">
        <v>10.574999999999999</v>
      </c>
      <c r="O971" s="176"/>
      <c r="P971" s="177"/>
      <c r="Q971" s="178"/>
      <c r="R971" s="179"/>
      <c r="S971" s="179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80" t="s">
        <v>2877</v>
      </c>
      <c r="AE971" s="173" t="s">
        <v>69</v>
      </c>
      <c r="AF971" s="181" t="s">
        <v>142</v>
      </c>
      <c r="AG971" s="192" t="s">
        <v>2878</v>
      </c>
      <c r="AH971" s="198"/>
      <c r="AI971" s="181">
        <v>44950</v>
      </c>
      <c r="AJ971" s="181"/>
      <c r="AK971" s="181">
        <f ca="1">TODAY()</f>
        <v>44958</v>
      </c>
      <c r="AL971" s="173">
        <f t="shared" ca="1" si="11"/>
        <v>8</v>
      </c>
      <c r="AM971" s="173" t="str">
        <f t="shared" si="12"/>
        <v/>
      </c>
      <c r="AN971" s="181"/>
      <c r="AO971" s="190" t="s">
        <v>3124</v>
      </c>
      <c r="AP971" s="176">
        <v>10.574999999999999</v>
      </c>
      <c r="AQ971" s="176">
        <v>10.584999999999999</v>
      </c>
      <c r="AR971" s="176">
        <v>10.609999999999998</v>
      </c>
      <c r="AS971" s="176">
        <v>10.614999999999998</v>
      </c>
      <c r="AT971" s="173"/>
      <c r="AU971" s="173">
        <v>465</v>
      </c>
      <c r="AV971" s="149"/>
      <c r="AW971" s="142" t="s">
        <v>123</v>
      </c>
      <c r="AY971" s="212"/>
      <c r="AZ971" s="196"/>
      <c r="BA971" s="196"/>
    </row>
    <row r="972" spans="2:53" s="142" customFormat="1" ht="21" customHeight="1" x14ac:dyDescent="0.25">
      <c r="B972" s="173" t="str">
        <f t="shared" si="13"/>
        <v>RM-304L/1D-3.90X638</v>
      </c>
      <c r="C972" s="173" t="s">
        <v>48</v>
      </c>
      <c r="D972" s="173" t="s">
        <v>48</v>
      </c>
      <c r="E972" s="190" t="s">
        <v>3125</v>
      </c>
      <c r="F972" s="190" t="s">
        <v>3126</v>
      </c>
      <c r="G972" s="173" t="s">
        <v>182</v>
      </c>
      <c r="H972" s="173" t="s">
        <v>127</v>
      </c>
      <c r="I972" s="174">
        <v>3.9</v>
      </c>
      <c r="J972" s="174"/>
      <c r="K972" s="174"/>
      <c r="L972" s="174"/>
      <c r="M972" s="191">
        <v>638</v>
      </c>
      <c r="N972" s="176">
        <v>10.635</v>
      </c>
      <c r="O972" s="176"/>
      <c r="P972" s="177"/>
      <c r="Q972" s="178"/>
      <c r="R972" s="179"/>
      <c r="S972" s="179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80" t="s">
        <v>2877</v>
      </c>
      <c r="AE972" s="173" t="s">
        <v>69</v>
      </c>
      <c r="AF972" s="181" t="s">
        <v>142</v>
      </c>
      <c r="AG972" s="192" t="s">
        <v>2878</v>
      </c>
      <c r="AH972" s="198"/>
      <c r="AI972" s="181">
        <v>44950</v>
      </c>
      <c r="AJ972" s="181"/>
      <c r="AK972" s="181">
        <f ca="1">TODAY()</f>
        <v>44958</v>
      </c>
      <c r="AL972" s="173">
        <f t="shared" ca="1" si="11"/>
        <v>8</v>
      </c>
      <c r="AM972" s="173" t="str">
        <f t="shared" si="12"/>
        <v/>
      </c>
      <c r="AN972" s="181"/>
      <c r="AO972" s="190" t="s">
        <v>3124</v>
      </c>
      <c r="AP972" s="176">
        <v>10.635</v>
      </c>
      <c r="AQ972" s="176">
        <v>10.645</v>
      </c>
      <c r="AR972" s="176">
        <v>10.669999999999998</v>
      </c>
      <c r="AS972" s="176">
        <v>10.674999999999999</v>
      </c>
      <c r="AT972" s="173"/>
      <c r="AU972" s="173">
        <v>465</v>
      </c>
      <c r="AV972" s="149"/>
      <c r="AW972" s="142" t="s">
        <v>123</v>
      </c>
      <c r="AY972" s="212"/>
      <c r="AZ972" s="196"/>
      <c r="BA972" s="196"/>
    </row>
    <row r="973" spans="2:53" s="142" customFormat="1" ht="21" customHeight="1" x14ac:dyDescent="0.25">
      <c r="B973" s="173" t="str">
        <f t="shared" si="13"/>
        <v>RM-304/1D-3.89X635</v>
      </c>
      <c r="C973" s="173" t="s">
        <v>48</v>
      </c>
      <c r="D973" s="173" t="s">
        <v>48</v>
      </c>
      <c r="E973" s="190" t="s">
        <v>3127</v>
      </c>
      <c r="F973" s="190" t="s">
        <v>3128</v>
      </c>
      <c r="G973" s="173">
        <v>304</v>
      </c>
      <c r="H973" s="173" t="s">
        <v>127</v>
      </c>
      <c r="I973" s="174">
        <v>3.89</v>
      </c>
      <c r="J973" s="174"/>
      <c r="K973" s="174"/>
      <c r="L973" s="174"/>
      <c r="M973" s="191">
        <v>635</v>
      </c>
      <c r="N973" s="176">
        <v>10.525</v>
      </c>
      <c r="O973" s="176"/>
      <c r="P973" s="177"/>
      <c r="Q973" s="178"/>
      <c r="R973" s="179"/>
      <c r="S973" s="179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80" t="s">
        <v>2877</v>
      </c>
      <c r="AE973" s="173" t="s">
        <v>69</v>
      </c>
      <c r="AF973" s="181" t="s">
        <v>142</v>
      </c>
      <c r="AG973" s="192" t="s">
        <v>2878</v>
      </c>
      <c r="AH973" s="198"/>
      <c r="AI973" s="181">
        <v>44950</v>
      </c>
      <c r="AJ973" s="181"/>
      <c r="AK973" s="181">
        <f ca="1">TODAY()</f>
        <v>44958</v>
      </c>
      <c r="AL973" s="173">
        <f t="shared" ca="1" si="11"/>
        <v>8</v>
      </c>
      <c r="AM973" s="173" t="str">
        <f t="shared" si="12"/>
        <v/>
      </c>
      <c r="AN973" s="181"/>
      <c r="AO973" s="190" t="s">
        <v>3129</v>
      </c>
      <c r="AP973" s="176">
        <v>10.525</v>
      </c>
      <c r="AQ973" s="176">
        <v>10.535</v>
      </c>
      <c r="AR973" s="176">
        <v>10.559999999999999</v>
      </c>
      <c r="AS973" s="176">
        <v>10.565</v>
      </c>
      <c r="AT973" s="173"/>
      <c r="AU973" s="173">
        <v>465</v>
      </c>
      <c r="AV973" s="149"/>
      <c r="AW973" s="142" t="s">
        <v>123</v>
      </c>
      <c r="AY973" s="212"/>
      <c r="AZ973" s="196"/>
      <c r="BA973" s="196"/>
    </row>
    <row r="974" spans="2:53" s="142" customFormat="1" ht="21" customHeight="1" x14ac:dyDescent="0.25">
      <c r="B974" s="173" t="str">
        <f t="shared" si="13"/>
        <v>RM-304/1D-3.89X637</v>
      </c>
      <c r="C974" s="173" t="s">
        <v>48</v>
      </c>
      <c r="D974" s="173" t="s">
        <v>48</v>
      </c>
      <c r="E974" s="190" t="s">
        <v>3130</v>
      </c>
      <c r="F974" s="190" t="s">
        <v>3131</v>
      </c>
      <c r="G974" s="173">
        <v>304</v>
      </c>
      <c r="H974" s="173" t="s">
        <v>127</v>
      </c>
      <c r="I974" s="174">
        <v>3.89</v>
      </c>
      <c r="J974" s="174"/>
      <c r="K974" s="174"/>
      <c r="L974" s="174"/>
      <c r="M974" s="191">
        <v>637</v>
      </c>
      <c r="N974" s="176">
        <v>10.555</v>
      </c>
      <c r="O974" s="176"/>
      <c r="P974" s="177"/>
      <c r="Q974" s="178"/>
      <c r="R974" s="179"/>
      <c r="S974" s="179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80" t="s">
        <v>2877</v>
      </c>
      <c r="AE974" s="173" t="s">
        <v>69</v>
      </c>
      <c r="AF974" s="181" t="s">
        <v>142</v>
      </c>
      <c r="AG974" s="192" t="s">
        <v>2878</v>
      </c>
      <c r="AH974" s="198"/>
      <c r="AI974" s="181">
        <v>44950</v>
      </c>
      <c r="AJ974" s="181"/>
      <c r="AK974" s="181">
        <f ca="1">TODAY()</f>
        <v>44958</v>
      </c>
      <c r="AL974" s="173">
        <f t="shared" ca="1" si="11"/>
        <v>8</v>
      </c>
      <c r="AM974" s="173" t="str">
        <f t="shared" si="12"/>
        <v/>
      </c>
      <c r="AN974" s="181"/>
      <c r="AO974" s="190" t="s">
        <v>3129</v>
      </c>
      <c r="AP974" s="176">
        <v>10.555</v>
      </c>
      <c r="AQ974" s="176">
        <v>10.565</v>
      </c>
      <c r="AR974" s="176">
        <v>10.589999999999998</v>
      </c>
      <c r="AS974" s="176">
        <v>10.594999999999999</v>
      </c>
      <c r="AT974" s="173"/>
      <c r="AU974" s="173">
        <v>465</v>
      </c>
      <c r="AV974" s="149"/>
      <c r="AW974" s="142" t="s">
        <v>123</v>
      </c>
      <c r="AY974" s="212"/>
      <c r="AZ974" s="196"/>
      <c r="BA974" s="196"/>
    </row>
    <row r="975" spans="2:53" s="142" customFormat="1" ht="21" customHeight="1" x14ac:dyDescent="0.25">
      <c r="B975" s="173" t="str">
        <f t="shared" si="13"/>
        <v>RM-304/1D-3.38X635</v>
      </c>
      <c r="C975" s="173" t="s">
        <v>48</v>
      </c>
      <c r="D975" s="173" t="s">
        <v>48</v>
      </c>
      <c r="E975" s="190" t="s">
        <v>3132</v>
      </c>
      <c r="F975" s="190" t="s">
        <v>3133</v>
      </c>
      <c r="G975" s="173">
        <v>304</v>
      </c>
      <c r="H975" s="173" t="s">
        <v>127</v>
      </c>
      <c r="I975" s="174">
        <v>3.38</v>
      </c>
      <c r="J975" s="174"/>
      <c r="K975" s="174"/>
      <c r="L975" s="174"/>
      <c r="M975" s="191">
        <v>635</v>
      </c>
      <c r="N975" s="176">
        <v>8.8450000000000006</v>
      </c>
      <c r="O975" s="176"/>
      <c r="P975" s="177"/>
      <c r="Q975" s="178"/>
      <c r="R975" s="179"/>
      <c r="S975" s="179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80" t="s">
        <v>2877</v>
      </c>
      <c r="AE975" s="173" t="s">
        <v>69</v>
      </c>
      <c r="AF975" s="181" t="s">
        <v>142</v>
      </c>
      <c r="AG975" s="192" t="s">
        <v>2878</v>
      </c>
      <c r="AH975" s="198"/>
      <c r="AI975" s="181">
        <v>44950</v>
      </c>
      <c r="AJ975" s="181"/>
      <c r="AK975" s="181">
        <f ca="1">TODAY()</f>
        <v>44958</v>
      </c>
      <c r="AL975" s="173">
        <f t="shared" ca="1" si="11"/>
        <v>8</v>
      </c>
      <c r="AM975" s="173" t="str">
        <f t="shared" si="12"/>
        <v/>
      </c>
      <c r="AN975" s="181"/>
      <c r="AO975" s="190" t="s">
        <v>3134</v>
      </c>
      <c r="AP975" s="176">
        <v>8.8450000000000006</v>
      </c>
      <c r="AQ975" s="176">
        <v>8.8550000000000004</v>
      </c>
      <c r="AR975" s="176">
        <v>8.879999999999999</v>
      </c>
      <c r="AS975" s="176">
        <v>8.8849999999999998</v>
      </c>
      <c r="AT975" s="173"/>
      <c r="AU975" s="173">
        <v>465</v>
      </c>
      <c r="AV975" s="149"/>
      <c r="AW975" s="142" t="s">
        <v>123</v>
      </c>
      <c r="AY975" s="212"/>
      <c r="AZ975" s="196"/>
      <c r="BA975" s="196"/>
    </row>
    <row r="976" spans="2:53" s="142" customFormat="1" ht="21" customHeight="1" x14ac:dyDescent="0.25">
      <c r="B976" s="173" t="str">
        <f t="shared" si="13"/>
        <v>RM-304/1D-3.39X637</v>
      </c>
      <c r="C976" s="173" t="s">
        <v>48</v>
      </c>
      <c r="D976" s="173" t="s">
        <v>48</v>
      </c>
      <c r="E976" s="190" t="s">
        <v>3135</v>
      </c>
      <c r="F976" s="190" t="s">
        <v>3136</v>
      </c>
      <c r="G976" s="173">
        <v>304</v>
      </c>
      <c r="H976" s="173" t="s">
        <v>127</v>
      </c>
      <c r="I976" s="174">
        <v>3.39</v>
      </c>
      <c r="J976" s="174"/>
      <c r="K976" s="174"/>
      <c r="L976" s="174"/>
      <c r="M976" s="191">
        <v>637</v>
      </c>
      <c r="N976" s="176">
        <v>8.84</v>
      </c>
      <c r="O976" s="176"/>
      <c r="P976" s="177"/>
      <c r="Q976" s="178"/>
      <c r="R976" s="179"/>
      <c r="S976" s="179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80" t="s">
        <v>2877</v>
      </c>
      <c r="AE976" s="173" t="s">
        <v>69</v>
      </c>
      <c r="AF976" s="181" t="s">
        <v>142</v>
      </c>
      <c r="AG976" s="192" t="s">
        <v>2878</v>
      </c>
      <c r="AH976" s="198"/>
      <c r="AI976" s="181">
        <v>44950</v>
      </c>
      <c r="AJ976" s="181"/>
      <c r="AK976" s="181">
        <f ca="1">TODAY()</f>
        <v>44958</v>
      </c>
      <c r="AL976" s="173">
        <f t="shared" ca="1" si="11"/>
        <v>8</v>
      </c>
      <c r="AM976" s="173" t="str">
        <f t="shared" si="12"/>
        <v/>
      </c>
      <c r="AN976" s="181"/>
      <c r="AO976" s="190" t="s">
        <v>3134</v>
      </c>
      <c r="AP976" s="176">
        <v>8.84</v>
      </c>
      <c r="AQ976" s="176">
        <v>8.85</v>
      </c>
      <c r="AR976" s="176">
        <v>8.8749999999999982</v>
      </c>
      <c r="AS976" s="176">
        <v>8.879999999999999</v>
      </c>
      <c r="AT976" s="173"/>
      <c r="AU976" s="173">
        <v>465</v>
      </c>
      <c r="AV976" s="149"/>
      <c r="AW976" s="142" t="s">
        <v>123</v>
      </c>
      <c r="AY976" s="212"/>
      <c r="AZ976" s="196"/>
      <c r="BA976" s="196"/>
    </row>
    <row r="977" spans="2:53" s="142" customFormat="1" ht="21" customHeight="1" x14ac:dyDescent="0.25">
      <c r="B977" s="173" t="str">
        <f t="shared" si="13"/>
        <v>RM-304L/1D-2.95X635</v>
      </c>
      <c r="C977" s="173" t="s">
        <v>48</v>
      </c>
      <c r="D977" s="173" t="s">
        <v>48</v>
      </c>
      <c r="E977" s="190" t="s">
        <v>3137</v>
      </c>
      <c r="F977" s="190" t="s">
        <v>3138</v>
      </c>
      <c r="G977" s="173" t="s">
        <v>182</v>
      </c>
      <c r="H977" s="173" t="s">
        <v>127</v>
      </c>
      <c r="I977" s="174">
        <v>2.95</v>
      </c>
      <c r="J977" s="174"/>
      <c r="K977" s="174"/>
      <c r="L977" s="174"/>
      <c r="M977" s="191">
        <v>635</v>
      </c>
      <c r="N977" s="176">
        <v>8.375</v>
      </c>
      <c r="O977" s="176"/>
      <c r="P977" s="177"/>
      <c r="Q977" s="178"/>
      <c r="R977" s="179"/>
      <c r="S977" s="179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80" t="s">
        <v>2877</v>
      </c>
      <c r="AE977" s="173" t="s">
        <v>69</v>
      </c>
      <c r="AF977" s="181" t="s">
        <v>142</v>
      </c>
      <c r="AG977" s="192" t="s">
        <v>2878</v>
      </c>
      <c r="AH977" s="198"/>
      <c r="AI977" s="181">
        <v>44950</v>
      </c>
      <c r="AJ977" s="181"/>
      <c r="AK977" s="181">
        <f ca="1">TODAY()</f>
        <v>44958</v>
      </c>
      <c r="AL977" s="173">
        <f t="shared" ca="1" si="11"/>
        <v>8</v>
      </c>
      <c r="AM977" s="173" t="str">
        <f t="shared" si="12"/>
        <v/>
      </c>
      <c r="AN977" s="181"/>
      <c r="AO977" s="190" t="s">
        <v>3139</v>
      </c>
      <c r="AP977" s="176">
        <v>8.375</v>
      </c>
      <c r="AQ977" s="176">
        <v>8.3849999999999998</v>
      </c>
      <c r="AR977" s="176">
        <v>8.4099999999999984</v>
      </c>
      <c r="AS977" s="176">
        <v>8.4149999999999991</v>
      </c>
      <c r="AT977" s="173"/>
      <c r="AU977" s="173">
        <v>465</v>
      </c>
      <c r="AV977" s="149"/>
      <c r="AW977" s="142" t="s">
        <v>123</v>
      </c>
      <c r="AY977" s="212"/>
      <c r="AZ977" s="196"/>
      <c r="BA977" s="196"/>
    </row>
    <row r="978" spans="2:53" s="142" customFormat="1" ht="21" customHeight="1" x14ac:dyDescent="0.25">
      <c r="B978" s="173" t="str">
        <f t="shared" si="13"/>
        <v>RM-304L/1D-2.95X637</v>
      </c>
      <c r="C978" s="173" t="s">
        <v>48</v>
      </c>
      <c r="D978" s="173" t="s">
        <v>48</v>
      </c>
      <c r="E978" s="190" t="s">
        <v>3140</v>
      </c>
      <c r="F978" s="190" t="s">
        <v>3141</v>
      </c>
      <c r="G978" s="173" t="s">
        <v>182</v>
      </c>
      <c r="H978" s="173" t="s">
        <v>127</v>
      </c>
      <c r="I978" s="174">
        <v>2.95</v>
      </c>
      <c r="J978" s="174"/>
      <c r="K978" s="174"/>
      <c r="L978" s="174"/>
      <c r="M978" s="191">
        <v>637</v>
      </c>
      <c r="N978" s="176">
        <v>8.3800000000000008</v>
      </c>
      <c r="O978" s="176"/>
      <c r="P978" s="177"/>
      <c r="Q978" s="178"/>
      <c r="R978" s="179"/>
      <c r="S978" s="179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80" t="s">
        <v>2877</v>
      </c>
      <c r="AE978" s="173" t="s">
        <v>69</v>
      </c>
      <c r="AF978" s="181" t="s">
        <v>142</v>
      </c>
      <c r="AG978" s="192" t="s">
        <v>2878</v>
      </c>
      <c r="AH978" s="198"/>
      <c r="AI978" s="181">
        <v>44950</v>
      </c>
      <c r="AJ978" s="181"/>
      <c r="AK978" s="181">
        <f ca="1">TODAY()</f>
        <v>44958</v>
      </c>
      <c r="AL978" s="173">
        <f t="shared" ca="1" si="11"/>
        <v>8</v>
      </c>
      <c r="AM978" s="173" t="str">
        <f t="shared" si="12"/>
        <v/>
      </c>
      <c r="AN978" s="181"/>
      <c r="AO978" s="190" t="s">
        <v>3139</v>
      </c>
      <c r="AP978" s="176">
        <v>8.3800000000000008</v>
      </c>
      <c r="AQ978" s="176">
        <v>8.39</v>
      </c>
      <c r="AR978" s="176">
        <v>8.4149999999999991</v>
      </c>
      <c r="AS978" s="176">
        <v>8.42</v>
      </c>
      <c r="AT978" s="173"/>
      <c r="AU978" s="173">
        <v>465</v>
      </c>
      <c r="AV978" s="149"/>
      <c r="AW978" s="142" t="s">
        <v>123</v>
      </c>
      <c r="AY978" s="212"/>
      <c r="AZ978" s="196"/>
      <c r="BA978" s="196"/>
    </row>
    <row r="979" spans="2:53" s="142" customFormat="1" ht="21" customHeight="1" x14ac:dyDescent="0.25">
      <c r="B979" s="173" t="str">
        <f t="shared" si="13"/>
        <v>RM-304L/1D-3.90X635</v>
      </c>
      <c r="C979" s="173" t="s">
        <v>48</v>
      </c>
      <c r="D979" s="173" t="s">
        <v>48</v>
      </c>
      <c r="E979" s="190" t="s">
        <v>3142</v>
      </c>
      <c r="F979" s="190" t="s">
        <v>3143</v>
      </c>
      <c r="G979" s="173" t="s">
        <v>182</v>
      </c>
      <c r="H979" s="173" t="s">
        <v>127</v>
      </c>
      <c r="I979" s="174">
        <v>3.9</v>
      </c>
      <c r="J979" s="174"/>
      <c r="K979" s="174"/>
      <c r="L979" s="174"/>
      <c r="M979" s="191">
        <v>635</v>
      </c>
      <c r="N979" s="176">
        <v>10.57</v>
      </c>
      <c r="O979" s="176"/>
      <c r="P979" s="177"/>
      <c r="Q979" s="178"/>
      <c r="R979" s="179"/>
      <c r="S979" s="179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80" t="s">
        <v>2877</v>
      </c>
      <c r="AE979" s="173" t="s">
        <v>69</v>
      </c>
      <c r="AF979" s="181" t="s">
        <v>142</v>
      </c>
      <c r="AG979" s="192" t="s">
        <v>2878</v>
      </c>
      <c r="AH979" s="198"/>
      <c r="AI979" s="181">
        <v>44950</v>
      </c>
      <c r="AJ979" s="181"/>
      <c r="AK979" s="181">
        <f ca="1">TODAY()</f>
        <v>44958</v>
      </c>
      <c r="AL979" s="173">
        <f t="shared" ca="1" si="11"/>
        <v>8</v>
      </c>
      <c r="AM979" s="173" t="str">
        <f t="shared" si="12"/>
        <v/>
      </c>
      <c r="AN979" s="181"/>
      <c r="AO979" s="190" t="s">
        <v>3144</v>
      </c>
      <c r="AP979" s="176">
        <v>10.57</v>
      </c>
      <c r="AQ979" s="176">
        <v>10.58</v>
      </c>
      <c r="AR979" s="176">
        <v>10.604999999999999</v>
      </c>
      <c r="AS979" s="176">
        <v>10.61</v>
      </c>
      <c r="AT979" s="173"/>
      <c r="AU979" s="173">
        <v>465</v>
      </c>
      <c r="AV979" s="149"/>
      <c r="AW979" s="142" t="s">
        <v>123</v>
      </c>
      <c r="AY979" s="212"/>
      <c r="AZ979" s="196"/>
      <c r="BA979" s="196"/>
    </row>
    <row r="980" spans="2:53" s="142" customFormat="1" ht="21" customHeight="1" x14ac:dyDescent="0.25">
      <c r="B980" s="173" t="str">
        <f t="shared" si="13"/>
        <v>RM-304L/1D-3.89X637</v>
      </c>
      <c r="C980" s="173" t="s">
        <v>48</v>
      </c>
      <c r="D980" s="173" t="s">
        <v>48</v>
      </c>
      <c r="E980" s="190" t="s">
        <v>3145</v>
      </c>
      <c r="F980" s="190" t="s">
        <v>3146</v>
      </c>
      <c r="G980" s="173" t="s">
        <v>182</v>
      </c>
      <c r="H980" s="173" t="s">
        <v>127</v>
      </c>
      <c r="I980" s="174">
        <v>3.89</v>
      </c>
      <c r="J980" s="174"/>
      <c r="K980" s="174"/>
      <c r="L980" s="174"/>
      <c r="M980" s="191">
        <v>637</v>
      </c>
      <c r="N980" s="176">
        <v>10.615</v>
      </c>
      <c r="O980" s="176"/>
      <c r="P980" s="177"/>
      <c r="Q980" s="178"/>
      <c r="R980" s="179"/>
      <c r="S980" s="179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80" t="s">
        <v>2877</v>
      </c>
      <c r="AE980" s="173" t="s">
        <v>69</v>
      </c>
      <c r="AF980" s="181" t="s">
        <v>142</v>
      </c>
      <c r="AG980" s="192" t="s">
        <v>2878</v>
      </c>
      <c r="AH980" s="198"/>
      <c r="AI980" s="181">
        <v>44950</v>
      </c>
      <c r="AJ980" s="181"/>
      <c r="AK980" s="181">
        <f ca="1">TODAY()</f>
        <v>44958</v>
      </c>
      <c r="AL980" s="173">
        <f t="shared" ca="1" si="11"/>
        <v>8</v>
      </c>
      <c r="AM980" s="173" t="str">
        <f t="shared" si="12"/>
        <v/>
      </c>
      <c r="AN980" s="181"/>
      <c r="AO980" s="190" t="s">
        <v>3144</v>
      </c>
      <c r="AP980" s="176">
        <v>10.615</v>
      </c>
      <c r="AQ980" s="176">
        <v>10.625</v>
      </c>
      <c r="AR980" s="176">
        <v>10.649999999999999</v>
      </c>
      <c r="AS980" s="176">
        <v>10.654999999999999</v>
      </c>
      <c r="AT980" s="173"/>
      <c r="AU980" s="173">
        <v>465</v>
      </c>
      <c r="AV980" s="149"/>
      <c r="AW980" s="142" t="s">
        <v>123</v>
      </c>
      <c r="AY980" s="212"/>
      <c r="AZ980" s="196"/>
      <c r="BA980" s="196"/>
    </row>
    <row r="981" spans="2:53" s="142" customFormat="1" ht="21" customHeight="1" x14ac:dyDescent="0.25">
      <c r="B981" s="173" t="str">
        <f t="shared" si="13"/>
        <v>RM-304/1D-2.99X635</v>
      </c>
      <c r="C981" s="173" t="s">
        <v>48</v>
      </c>
      <c r="D981" s="173" t="s">
        <v>48</v>
      </c>
      <c r="E981" s="190" t="s">
        <v>3147</v>
      </c>
      <c r="F981" s="190" t="s">
        <v>3148</v>
      </c>
      <c r="G981" s="173">
        <v>304</v>
      </c>
      <c r="H981" s="173" t="s">
        <v>127</v>
      </c>
      <c r="I981" s="174">
        <v>2.99</v>
      </c>
      <c r="J981" s="174"/>
      <c r="K981" s="174"/>
      <c r="L981" s="174"/>
      <c r="M981" s="191">
        <v>635</v>
      </c>
      <c r="N981" s="176">
        <v>9.125</v>
      </c>
      <c r="O981" s="176"/>
      <c r="P981" s="177"/>
      <c r="Q981" s="178"/>
      <c r="R981" s="179"/>
      <c r="S981" s="179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80" t="s">
        <v>2877</v>
      </c>
      <c r="AE981" s="173" t="s">
        <v>69</v>
      </c>
      <c r="AF981" s="181" t="s">
        <v>142</v>
      </c>
      <c r="AG981" s="192" t="s">
        <v>2878</v>
      </c>
      <c r="AH981" s="198"/>
      <c r="AI981" s="181">
        <v>44950</v>
      </c>
      <c r="AJ981" s="181"/>
      <c r="AK981" s="181">
        <f ca="1">TODAY()</f>
        <v>44958</v>
      </c>
      <c r="AL981" s="173">
        <f t="shared" ca="1" si="11"/>
        <v>8</v>
      </c>
      <c r="AM981" s="173" t="str">
        <f t="shared" si="12"/>
        <v/>
      </c>
      <c r="AN981" s="181"/>
      <c r="AO981" s="190" t="s">
        <v>3149</v>
      </c>
      <c r="AP981" s="176">
        <v>9.125</v>
      </c>
      <c r="AQ981" s="176">
        <v>9.1349999999999998</v>
      </c>
      <c r="AR981" s="176">
        <v>9.1599999999999984</v>
      </c>
      <c r="AS981" s="176">
        <v>9.1649999999999991</v>
      </c>
      <c r="AT981" s="173"/>
      <c r="AU981" s="173">
        <v>465</v>
      </c>
      <c r="AV981" s="149"/>
      <c r="AW981" s="142" t="s">
        <v>123</v>
      </c>
      <c r="AY981" s="212"/>
      <c r="AZ981" s="196"/>
      <c r="BA981" s="196"/>
    </row>
    <row r="982" spans="2:53" s="142" customFormat="1" ht="21" customHeight="1" x14ac:dyDescent="0.25">
      <c r="B982" s="173" t="str">
        <f t="shared" si="13"/>
        <v>RM-304/1D-2.99X637</v>
      </c>
      <c r="C982" s="173" t="s">
        <v>48</v>
      </c>
      <c r="D982" s="173" t="s">
        <v>48</v>
      </c>
      <c r="E982" s="190" t="s">
        <v>3150</v>
      </c>
      <c r="F982" s="190" t="s">
        <v>3151</v>
      </c>
      <c r="G982" s="173">
        <v>304</v>
      </c>
      <c r="H982" s="173" t="s">
        <v>127</v>
      </c>
      <c r="I982" s="174">
        <v>2.99</v>
      </c>
      <c r="J982" s="174"/>
      <c r="K982" s="174"/>
      <c r="L982" s="174"/>
      <c r="M982" s="191">
        <v>637</v>
      </c>
      <c r="N982" s="176">
        <v>9.14</v>
      </c>
      <c r="O982" s="176"/>
      <c r="P982" s="177"/>
      <c r="Q982" s="178"/>
      <c r="R982" s="179"/>
      <c r="S982" s="179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80" t="s">
        <v>2877</v>
      </c>
      <c r="AE982" s="173" t="s">
        <v>69</v>
      </c>
      <c r="AF982" s="181" t="s">
        <v>142</v>
      </c>
      <c r="AG982" s="192" t="s">
        <v>2878</v>
      </c>
      <c r="AH982" s="198"/>
      <c r="AI982" s="181">
        <v>44950</v>
      </c>
      <c r="AJ982" s="181"/>
      <c r="AK982" s="181">
        <f ca="1">TODAY()</f>
        <v>44958</v>
      </c>
      <c r="AL982" s="173">
        <f t="shared" ca="1" si="11"/>
        <v>8</v>
      </c>
      <c r="AM982" s="173" t="str">
        <f t="shared" si="12"/>
        <v/>
      </c>
      <c r="AN982" s="181"/>
      <c r="AO982" s="190" t="s">
        <v>3149</v>
      </c>
      <c r="AP982" s="176">
        <v>9.14</v>
      </c>
      <c r="AQ982" s="176">
        <v>9.15</v>
      </c>
      <c r="AR982" s="176">
        <v>9.1749999999999989</v>
      </c>
      <c r="AS982" s="176">
        <v>9.18</v>
      </c>
      <c r="AT982" s="173"/>
      <c r="AU982" s="173">
        <v>465</v>
      </c>
      <c r="AV982" s="149"/>
      <c r="AW982" s="142" t="s">
        <v>123</v>
      </c>
      <c r="AY982" s="212"/>
      <c r="AZ982" s="196"/>
      <c r="BA982" s="196"/>
    </row>
    <row r="983" spans="2:53" s="142" customFormat="1" ht="21" customHeight="1" x14ac:dyDescent="0.25">
      <c r="B983" s="173" t="str">
        <f t="shared" si="13"/>
        <v>RM-304/1D-3.00X635</v>
      </c>
      <c r="C983" s="173" t="s">
        <v>48</v>
      </c>
      <c r="D983" s="173" t="s">
        <v>48</v>
      </c>
      <c r="E983" s="190" t="s">
        <v>3152</v>
      </c>
      <c r="F983" s="190" t="s">
        <v>3153</v>
      </c>
      <c r="G983" s="173">
        <v>304</v>
      </c>
      <c r="H983" s="173" t="s">
        <v>127</v>
      </c>
      <c r="I983" s="174">
        <v>3</v>
      </c>
      <c r="J983" s="174"/>
      <c r="K983" s="174"/>
      <c r="L983" s="174"/>
      <c r="M983" s="191">
        <v>635</v>
      </c>
      <c r="N983" s="176">
        <v>10.52</v>
      </c>
      <c r="O983" s="176"/>
      <c r="P983" s="177"/>
      <c r="Q983" s="178"/>
      <c r="R983" s="179"/>
      <c r="S983" s="179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80" t="s">
        <v>2877</v>
      </c>
      <c r="AE983" s="173" t="s">
        <v>69</v>
      </c>
      <c r="AF983" s="181" t="s">
        <v>142</v>
      </c>
      <c r="AG983" s="192" t="s">
        <v>2878</v>
      </c>
      <c r="AH983" s="198"/>
      <c r="AI983" s="181">
        <v>44950</v>
      </c>
      <c r="AJ983" s="181"/>
      <c r="AK983" s="181">
        <f ca="1">TODAY()</f>
        <v>44958</v>
      </c>
      <c r="AL983" s="173">
        <f t="shared" ca="1" si="11"/>
        <v>8</v>
      </c>
      <c r="AM983" s="173" t="str">
        <f t="shared" si="12"/>
        <v/>
      </c>
      <c r="AN983" s="181"/>
      <c r="AO983" s="190" t="s">
        <v>3154</v>
      </c>
      <c r="AP983" s="176">
        <v>10.52</v>
      </c>
      <c r="AQ983" s="176">
        <v>10.53</v>
      </c>
      <c r="AR983" s="176">
        <v>10.554999999999998</v>
      </c>
      <c r="AS983" s="176">
        <v>10.559999999999999</v>
      </c>
      <c r="AT983" s="173"/>
      <c r="AU983" s="173">
        <v>465</v>
      </c>
      <c r="AV983" s="149"/>
      <c r="AW983" s="142" t="s">
        <v>123</v>
      </c>
      <c r="AY983" s="212"/>
      <c r="AZ983" s="196"/>
      <c r="BA983" s="196"/>
    </row>
    <row r="984" spans="2:53" s="142" customFormat="1" ht="21" customHeight="1" x14ac:dyDescent="0.25">
      <c r="B984" s="173" t="str">
        <f t="shared" si="13"/>
        <v>RM-304/1D-3.00X638</v>
      </c>
      <c r="C984" s="173" t="s">
        <v>48</v>
      </c>
      <c r="D984" s="173" t="s">
        <v>48</v>
      </c>
      <c r="E984" s="190" t="s">
        <v>3155</v>
      </c>
      <c r="F984" s="190" t="s">
        <v>3156</v>
      </c>
      <c r="G984" s="173">
        <v>304</v>
      </c>
      <c r="H984" s="173" t="s">
        <v>127</v>
      </c>
      <c r="I984" s="174">
        <v>3</v>
      </c>
      <c r="J984" s="174"/>
      <c r="K984" s="174"/>
      <c r="L984" s="174"/>
      <c r="M984" s="191">
        <v>638</v>
      </c>
      <c r="N984" s="176">
        <v>10.585000000000001</v>
      </c>
      <c r="O984" s="176"/>
      <c r="P984" s="177"/>
      <c r="Q984" s="178"/>
      <c r="R984" s="179"/>
      <c r="S984" s="179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80" t="s">
        <v>2877</v>
      </c>
      <c r="AE984" s="173" t="s">
        <v>69</v>
      </c>
      <c r="AF984" s="181" t="s">
        <v>142</v>
      </c>
      <c r="AG984" s="192" t="s">
        <v>2878</v>
      </c>
      <c r="AH984" s="198"/>
      <c r="AI984" s="181">
        <v>44950</v>
      </c>
      <c r="AJ984" s="181"/>
      <c r="AK984" s="181">
        <f ca="1">TODAY()</f>
        <v>44958</v>
      </c>
      <c r="AL984" s="173">
        <f t="shared" ca="1" si="11"/>
        <v>8</v>
      </c>
      <c r="AM984" s="173" t="str">
        <f t="shared" si="12"/>
        <v/>
      </c>
      <c r="AN984" s="181"/>
      <c r="AO984" s="190" t="s">
        <v>3154</v>
      </c>
      <c r="AP984" s="176">
        <v>10.585000000000001</v>
      </c>
      <c r="AQ984" s="176">
        <v>10.595000000000001</v>
      </c>
      <c r="AR984" s="176">
        <v>10.62</v>
      </c>
      <c r="AS984" s="176">
        <v>10.625</v>
      </c>
      <c r="AT984" s="173"/>
      <c r="AU984" s="173">
        <v>465</v>
      </c>
      <c r="AV984" s="149"/>
      <c r="AW984" s="142" t="s">
        <v>123</v>
      </c>
      <c r="AY984" s="212"/>
      <c r="AZ984" s="196"/>
      <c r="BA984" s="196"/>
    </row>
    <row r="985" spans="2:53" s="142" customFormat="1" ht="21" customHeight="1" x14ac:dyDescent="0.25">
      <c r="B985" s="173" t="str">
        <f t="shared" si="13"/>
        <v>RM-304/1D-2.83X770</v>
      </c>
      <c r="C985" s="173" t="s">
        <v>48</v>
      </c>
      <c r="D985" s="173" t="s">
        <v>48</v>
      </c>
      <c r="E985" s="190" t="s">
        <v>3157</v>
      </c>
      <c r="F985" s="190" t="s">
        <v>3158</v>
      </c>
      <c r="G985" s="173">
        <v>304</v>
      </c>
      <c r="H985" s="173" t="s">
        <v>127</v>
      </c>
      <c r="I985" s="174">
        <v>2.83</v>
      </c>
      <c r="J985" s="174"/>
      <c r="K985" s="174"/>
      <c r="L985" s="174"/>
      <c r="M985" s="191">
        <v>770</v>
      </c>
      <c r="N985" s="176">
        <v>10.23</v>
      </c>
      <c r="O985" s="176"/>
      <c r="P985" s="177"/>
      <c r="Q985" s="178"/>
      <c r="R985" s="179"/>
      <c r="S985" s="179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80" t="s">
        <v>2877</v>
      </c>
      <c r="AE985" s="173" t="s">
        <v>69</v>
      </c>
      <c r="AF985" s="181" t="s">
        <v>142</v>
      </c>
      <c r="AG985" s="192" t="s">
        <v>2878</v>
      </c>
      <c r="AH985" s="198"/>
      <c r="AI985" s="181">
        <v>44950</v>
      </c>
      <c r="AJ985" s="181"/>
      <c r="AK985" s="181">
        <f ca="1">TODAY()</f>
        <v>44958</v>
      </c>
      <c r="AL985" s="173">
        <f t="shared" ca="1" si="11"/>
        <v>8</v>
      </c>
      <c r="AM985" s="173" t="str">
        <f t="shared" si="12"/>
        <v/>
      </c>
      <c r="AN985" s="181"/>
      <c r="AO985" s="190" t="s">
        <v>3159</v>
      </c>
      <c r="AP985" s="176">
        <v>10.23</v>
      </c>
      <c r="AQ985" s="176">
        <v>10.24</v>
      </c>
      <c r="AR985" s="176">
        <v>10.264999999999999</v>
      </c>
      <c r="AS985" s="176">
        <v>10.27</v>
      </c>
      <c r="AT985" s="173"/>
      <c r="AU985" s="173">
        <v>465</v>
      </c>
      <c r="AV985" s="149"/>
      <c r="AW985" s="142" t="s">
        <v>123</v>
      </c>
      <c r="AY985" s="212"/>
      <c r="AZ985" s="196"/>
      <c r="BA985" s="196"/>
    </row>
    <row r="986" spans="2:53" s="142" customFormat="1" ht="21" customHeight="1" x14ac:dyDescent="0.25">
      <c r="B986" s="173" t="str">
        <f t="shared" si="13"/>
        <v>RM-304/1D-2.82X771</v>
      </c>
      <c r="C986" s="173" t="s">
        <v>48</v>
      </c>
      <c r="D986" s="173" t="s">
        <v>48</v>
      </c>
      <c r="E986" s="190" t="s">
        <v>3160</v>
      </c>
      <c r="F986" s="190" t="s">
        <v>3161</v>
      </c>
      <c r="G986" s="173">
        <v>304</v>
      </c>
      <c r="H986" s="173" t="s">
        <v>127</v>
      </c>
      <c r="I986" s="174">
        <v>2.82</v>
      </c>
      <c r="J986" s="174"/>
      <c r="K986" s="174"/>
      <c r="L986" s="174"/>
      <c r="M986" s="191">
        <v>771</v>
      </c>
      <c r="N986" s="176">
        <v>10.23</v>
      </c>
      <c r="O986" s="176"/>
      <c r="P986" s="177"/>
      <c r="Q986" s="178"/>
      <c r="R986" s="179"/>
      <c r="S986" s="179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80" t="s">
        <v>2877</v>
      </c>
      <c r="AE986" s="173" t="s">
        <v>69</v>
      </c>
      <c r="AF986" s="181" t="s">
        <v>142</v>
      </c>
      <c r="AG986" s="192" t="s">
        <v>2878</v>
      </c>
      <c r="AH986" s="198"/>
      <c r="AI986" s="181">
        <v>44950</v>
      </c>
      <c r="AJ986" s="181"/>
      <c r="AK986" s="181">
        <f ca="1">TODAY()</f>
        <v>44958</v>
      </c>
      <c r="AL986" s="173">
        <f t="shared" ca="1" si="11"/>
        <v>8</v>
      </c>
      <c r="AM986" s="173" t="str">
        <f t="shared" si="12"/>
        <v/>
      </c>
      <c r="AN986" s="181"/>
      <c r="AO986" s="190" t="s">
        <v>3159</v>
      </c>
      <c r="AP986" s="176">
        <v>10.23</v>
      </c>
      <c r="AQ986" s="176">
        <v>10.24</v>
      </c>
      <c r="AR986" s="176">
        <v>10.264999999999999</v>
      </c>
      <c r="AS986" s="176">
        <v>10.27</v>
      </c>
      <c r="AT986" s="173"/>
      <c r="AU986" s="173">
        <v>465</v>
      </c>
      <c r="AV986" s="149"/>
      <c r="AW986" s="142" t="s">
        <v>123</v>
      </c>
      <c r="AY986" s="212"/>
      <c r="AZ986" s="196"/>
      <c r="BA986" s="196"/>
    </row>
    <row r="987" spans="2:53" s="142" customFormat="1" ht="21" customHeight="1" x14ac:dyDescent="0.25">
      <c r="B987" s="173" t="str">
        <f t="shared" si="13"/>
        <v>RM-304/1D-3.05X770</v>
      </c>
      <c r="C987" s="173" t="s">
        <v>13</v>
      </c>
      <c r="D987" s="173" t="s">
        <v>13</v>
      </c>
      <c r="E987" s="190" t="s">
        <v>3162</v>
      </c>
      <c r="F987" s="190" t="s">
        <v>3163</v>
      </c>
      <c r="G987" s="173">
        <v>304</v>
      </c>
      <c r="H987" s="173" t="s">
        <v>127</v>
      </c>
      <c r="I987" s="174">
        <v>3.05</v>
      </c>
      <c r="J987" s="174"/>
      <c r="K987" s="174"/>
      <c r="L987" s="174"/>
      <c r="M987" s="191">
        <v>770</v>
      </c>
      <c r="N987" s="176">
        <v>10.545</v>
      </c>
      <c r="O987" s="176"/>
      <c r="P987" s="177"/>
      <c r="Q987" s="178"/>
      <c r="R987" s="179"/>
      <c r="S987" s="179"/>
      <c r="T987" s="177">
        <v>44956</v>
      </c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80" t="s">
        <v>3164</v>
      </c>
      <c r="AE987" s="173" t="s">
        <v>69</v>
      </c>
      <c r="AF987" s="181" t="s">
        <v>142</v>
      </c>
      <c r="AG987" s="192" t="s">
        <v>2878</v>
      </c>
      <c r="AH987" s="198"/>
      <c r="AI987" s="181">
        <v>44950</v>
      </c>
      <c r="AJ987" s="181"/>
      <c r="AK987" s="181">
        <f ca="1">TODAY()</f>
        <v>44958</v>
      </c>
      <c r="AL987" s="173">
        <f t="shared" ca="1" si="11"/>
        <v>8</v>
      </c>
      <c r="AM987" s="173" t="str">
        <f t="shared" si="12"/>
        <v/>
      </c>
      <c r="AN987" s="181"/>
      <c r="AO987" s="190" t="s">
        <v>3165</v>
      </c>
      <c r="AP987" s="176">
        <v>10.545</v>
      </c>
      <c r="AQ987" s="176">
        <v>10.555</v>
      </c>
      <c r="AR987" s="176">
        <v>10.579999999999998</v>
      </c>
      <c r="AS987" s="176">
        <v>10.584999999999999</v>
      </c>
      <c r="AT987" s="173"/>
      <c r="AU987" s="173">
        <v>465</v>
      </c>
      <c r="AV987" s="149"/>
      <c r="AW987" s="142" t="s">
        <v>123</v>
      </c>
      <c r="AY987" s="212"/>
      <c r="AZ987" s="196"/>
      <c r="BA987" s="196"/>
    </row>
    <row r="988" spans="2:53" s="142" customFormat="1" ht="21" customHeight="1" x14ac:dyDescent="0.25">
      <c r="B988" s="173" t="str">
        <f t="shared" si="13"/>
        <v>WIP-304/FH-1.15X772</v>
      </c>
      <c r="C988" s="173" t="s">
        <v>16</v>
      </c>
      <c r="D988" s="173" t="s">
        <v>16</v>
      </c>
      <c r="E988" s="190" t="s">
        <v>3166</v>
      </c>
      <c r="F988" s="190" t="s">
        <v>3167</v>
      </c>
      <c r="G988" s="173">
        <v>304</v>
      </c>
      <c r="H988" s="173" t="s">
        <v>70</v>
      </c>
      <c r="I988" s="174">
        <v>3.05</v>
      </c>
      <c r="J988" s="174">
        <v>1.1499999999999999</v>
      </c>
      <c r="K988" s="174"/>
      <c r="L988" s="174"/>
      <c r="M988" s="191">
        <v>772</v>
      </c>
      <c r="N988" s="176">
        <v>10.585000000000001</v>
      </c>
      <c r="O988" s="176" t="s">
        <v>114</v>
      </c>
      <c r="P988" s="177"/>
      <c r="Q988" s="178" t="s">
        <v>2444</v>
      </c>
      <c r="R988" s="179"/>
      <c r="S988" s="179"/>
      <c r="T988" s="177">
        <v>44951</v>
      </c>
      <c r="U988" s="177"/>
      <c r="V988" s="177">
        <v>44951</v>
      </c>
      <c r="W988" s="177"/>
      <c r="X988" s="177"/>
      <c r="Y988" s="177"/>
      <c r="Z988" s="177"/>
      <c r="AA988" s="177"/>
      <c r="AB988" s="177"/>
      <c r="AC988" s="177"/>
      <c r="AD988" s="180" t="s">
        <v>3164</v>
      </c>
      <c r="AE988" s="173" t="s">
        <v>69</v>
      </c>
      <c r="AF988" s="181" t="s">
        <v>142</v>
      </c>
      <c r="AG988" s="192" t="s">
        <v>2878</v>
      </c>
      <c r="AH988" s="198"/>
      <c r="AI988" s="181">
        <v>44950</v>
      </c>
      <c r="AJ988" s="181"/>
      <c r="AK988" s="181">
        <f ca="1">TODAY()</f>
        <v>44958</v>
      </c>
      <c r="AL988" s="173">
        <f t="shared" ca="1" si="11"/>
        <v>8</v>
      </c>
      <c r="AM988" s="173" t="str">
        <f t="shared" si="12"/>
        <v/>
      </c>
      <c r="AN988" s="181"/>
      <c r="AO988" s="190" t="s">
        <v>3165</v>
      </c>
      <c r="AP988" s="176">
        <v>10.57</v>
      </c>
      <c r="AQ988" s="176">
        <v>10.58</v>
      </c>
      <c r="AR988" s="176">
        <v>10.604999999999999</v>
      </c>
      <c r="AS988" s="176">
        <v>10.61</v>
      </c>
      <c r="AT988" s="173"/>
      <c r="AU988" s="173">
        <v>465</v>
      </c>
      <c r="AV988" s="149"/>
      <c r="AW988" s="142" t="s">
        <v>123</v>
      </c>
      <c r="AY988" s="212"/>
      <c r="AZ988" s="196"/>
      <c r="BA988" s="196"/>
    </row>
    <row r="989" spans="2:53" s="142" customFormat="1" ht="21" customHeight="1" x14ac:dyDescent="0.25">
      <c r="B989" s="173" t="str">
        <f t="shared" si="13"/>
        <v>RM-304/1D-3.06X770</v>
      </c>
      <c r="C989" s="173" t="s">
        <v>48</v>
      </c>
      <c r="D989" s="173" t="s">
        <v>48</v>
      </c>
      <c r="E989" s="190" t="s">
        <v>3168</v>
      </c>
      <c r="F989" s="190" t="s">
        <v>3169</v>
      </c>
      <c r="G989" s="173">
        <v>304</v>
      </c>
      <c r="H989" s="173" t="s">
        <v>127</v>
      </c>
      <c r="I989" s="174">
        <v>3.06</v>
      </c>
      <c r="J989" s="174"/>
      <c r="K989" s="174"/>
      <c r="L989" s="174"/>
      <c r="M989" s="191">
        <v>770</v>
      </c>
      <c r="N989" s="176">
        <v>10.515000000000001</v>
      </c>
      <c r="O989" s="176"/>
      <c r="P989" s="177"/>
      <c r="Q989" s="178"/>
      <c r="R989" s="179"/>
      <c r="S989" s="179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80" t="s">
        <v>2877</v>
      </c>
      <c r="AE989" s="173" t="s">
        <v>69</v>
      </c>
      <c r="AF989" s="181" t="s">
        <v>142</v>
      </c>
      <c r="AG989" s="192" t="s">
        <v>2878</v>
      </c>
      <c r="AH989" s="198"/>
      <c r="AI989" s="181">
        <v>44950</v>
      </c>
      <c r="AJ989" s="181"/>
      <c r="AK989" s="181">
        <f ca="1">TODAY()</f>
        <v>44958</v>
      </c>
      <c r="AL989" s="173">
        <f t="shared" ca="1" si="11"/>
        <v>8</v>
      </c>
      <c r="AM989" s="173" t="str">
        <f t="shared" si="12"/>
        <v/>
      </c>
      <c r="AN989" s="181"/>
      <c r="AO989" s="190" t="s">
        <v>3170</v>
      </c>
      <c r="AP989" s="176">
        <v>10.515000000000001</v>
      </c>
      <c r="AQ989" s="176">
        <v>10.525</v>
      </c>
      <c r="AR989" s="176">
        <v>10.549999999999999</v>
      </c>
      <c r="AS989" s="176">
        <v>10.555</v>
      </c>
      <c r="AT989" s="173"/>
      <c r="AU989" s="173">
        <v>465</v>
      </c>
      <c r="AV989" s="149"/>
      <c r="AW989" s="142" t="s">
        <v>123</v>
      </c>
      <c r="AY989" s="212"/>
      <c r="AZ989" s="196"/>
      <c r="BA989" s="196"/>
    </row>
    <row r="990" spans="2:53" s="142" customFormat="1" ht="21" customHeight="1" x14ac:dyDescent="0.25">
      <c r="B990" s="173" t="str">
        <f t="shared" si="13"/>
        <v>RM-304/1D-3.05X772</v>
      </c>
      <c r="C990" s="173" t="s">
        <v>48</v>
      </c>
      <c r="D990" s="173" t="s">
        <v>48</v>
      </c>
      <c r="E990" s="190" t="s">
        <v>3171</v>
      </c>
      <c r="F990" s="190" t="s">
        <v>3172</v>
      </c>
      <c r="G990" s="173">
        <v>304</v>
      </c>
      <c r="H990" s="173" t="s">
        <v>127</v>
      </c>
      <c r="I990" s="174">
        <v>3.05</v>
      </c>
      <c r="J990" s="174"/>
      <c r="K990" s="174"/>
      <c r="L990" s="174"/>
      <c r="M990" s="191">
        <v>772</v>
      </c>
      <c r="N990" s="176">
        <v>10.545</v>
      </c>
      <c r="O990" s="176"/>
      <c r="P990" s="177"/>
      <c r="Q990" s="178"/>
      <c r="R990" s="179"/>
      <c r="S990" s="179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80" t="s">
        <v>2877</v>
      </c>
      <c r="AE990" s="173" t="s">
        <v>69</v>
      </c>
      <c r="AF990" s="181" t="s">
        <v>142</v>
      </c>
      <c r="AG990" s="192" t="s">
        <v>2878</v>
      </c>
      <c r="AH990" s="198"/>
      <c r="AI990" s="181">
        <v>44950</v>
      </c>
      <c r="AJ990" s="181"/>
      <c r="AK990" s="181">
        <f ca="1">TODAY()</f>
        <v>44958</v>
      </c>
      <c r="AL990" s="173">
        <f t="shared" ca="1" si="11"/>
        <v>8</v>
      </c>
      <c r="AM990" s="173" t="str">
        <f t="shared" si="12"/>
        <v/>
      </c>
      <c r="AN990" s="181"/>
      <c r="AO990" s="190" t="s">
        <v>3170</v>
      </c>
      <c r="AP990" s="176">
        <v>10.545</v>
      </c>
      <c r="AQ990" s="176">
        <v>10.555</v>
      </c>
      <c r="AR990" s="176">
        <v>10.579999999999998</v>
      </c>
      <c r="AS990" s="176">
        <v>10.584999999999999</v>
      </c>
      <c r="AT990" s="173"/>
      <c r="AU990" s="173">
        <v>465</v>
      </c>
      <c r="AV990" s="149"/>
      <c r="AW990" s="142" t="s">
        <v>123</v>
      </c>
      <c r="AY990" s="212"/>
      <c r="AZ990" s="196"/>
      <c r="BA990" s="196"/>
    </row>
    <row r="991" spans="2:53" s="142" customFormat="1" ht="21" customHeight="1" x14ac:dyDescent="0.25">
      <c r="B991" s="173" t="str">
        <f t="shared" si="13"/>
        <v>RM-304/1D-2.98X770</v>
      </c>
      <c r="C991" s="173" t="s">
        <v>48</v>
      </c>
      <c r="D991" s="173" t="s">
        <v>48</v>
      </c>
      <c r="E991" s="190" t="s">
        <v>3173</v>
      </c>
      <c r="F991" s="190" t="s">
        <v>3174</v>
      </c>
      <c r="G991" s="173">
        <v>304</v>
      </c>
      <c r="H991" s="173" t="s">
        <v>127</v>
      </c>
      <c r="I991" s="174">
        <v>2.98</v>
      </c>
      <c r="J991" s="174"/>
      <c r="K991" s="174"/>
      <c r="L991" s="174"/>
      <c r="M991" s="191">
        <v>770</v>
      </c>
      <c r="N991" s="176">
        <v>11.965</v>
      </c>
      <c r="O991" s="176"/>
      <c r="P991" s="177"/>
      <c r="Q991" s="178"/>
      <c r="R991" s="179"/>
      <c r="S991" s="179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80" t="s">
        <v>3164</v>
      </c>
      <c r="AE991" s="173" t="s">
        <v>69</v>
      </c>
      <c r="AF991" s="181" t="s">
        <v>142</v>
      </c>
      <c r="AG991" s="192" t="s">
        <v>2878</v>
      </c>
      <c r="AH991" s="198"/>
      <c r="AI991" s="181">
        <v>44950</v>
      </c>
      <c r="AJ991" s="181"/>
      <c r="AK991" s="181">
        <f ca="1">TODAY()</f>
        <v>44958</v>
      </c>
      <c r="AL991" s="173">
        <f t="shared" ca="1" si="11"/>
        <v>8</v>
      </c>
      <c r="AM991" s="173" t="str">
        <f t="shared" si="12"/>
        <v/>
      </c>
      <c r="AN991" s="181"/>
      <c r="AO991" s="190" t="s">
        <v>3175</v>
      </c>
      <c r="AP991" s="176">
        <v>11.965</v>
      </c>
      <c r="AQ991" s="176">
        <v>11.975</v>
      </c>
      <c r="AR991" s="176">
        <v>11.999999999999998</v>
      </c>
      <c r="AS991" s="176">
        <v>12.004999999999999</v>
      </c>
      <c r="AT991" s="173"/>
      <c r="AU991" s="173">
        <v>465</v>
      </c>
      <c r="AV991" s="149"/>
      <c r="AW991" s="142" t="s">
        <v>123</v>
      </c>
      <c r="AY991" s="212"/>
      <c r="AZ991" s="196"/>
      <c r="BA991" s="196"/>
    </row>
    <row r="992" spans="2:53" s="142" customFormat="1" ht="21" customHeight="1" x14ac:dyDescent="0.25">
      <c r="B992" s="173" t="str">
        <f t="shared" si="13"/>
        <v>RM-304/1D-2.99X772</v>
      </c>
      <c r="C992" s="173" t="s">
        <v>48</v>
      </c>
      <c r="D992" s="173" t="s">
        <v>48</v>
      </c>
      <c r="E992" s="190" t="s">
        <v>3176</v>
      </c>
      <c r="F992" s="190" t="s">
        <v>3177</v>
      </c>
      <c r="G992" s="173">
        <v>304</v>
      </c>
      <c r="H992" s="173" t="s">
        <v>127</v>
      </c>
      <c r="I992" s="174">
        <v>2.99</v>
      </c>
      <c r="J992" s="174"/>
      <c r="K992" s="174"/>
      <c r="L992" s="174"/>
      <c r="M992" s="191">
        <v>772</v>
      </c>
      <c r="N992" s="176">
        <v>12.015000000000001</v>
      </c>
      <c r="O992" s="176"/>
      <c r="P992" s="177"/>
      <c r="Q992" s="178"/>
      <c r="R992" s="179"/>
      <c r="S992" s="179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80" t="s">
        <v>3164</v>
      </c>
      <c r="AE992" s="173" t="s">
        <v>69</v>
      </c>
      <c r="AF992" s="181" t="s">
        <v>142</v>
      </c>
      <c r="AG992" s="192" t="s">
        <v>2878</v>
      </c>
      <c r="AH992" s="198"/>
      <c r="AI992" s="181">
        <v>44950</v>
      </c>
      <c r="AJ992" s="181"/>
      <c r="AK992" s="181">
        <f ca="1">TODAY()</f>
        <v>44958</v>
      </c>
      <c r="AL992" s="173">
        <f t="shared" ca="1" si="11"/>
        <v>8</v>
      </c>
      <c r="AM992" s="173" t="str">
        <f t="shared" si="12"/>
        <v/>
      </c>
      <c r="AN992" s="181"/>
      <c r="AO992" s="190" t="s">
        <v>3175</v>
      </c>
      <c r="AP992" s="176">
        <v>12.015000000000001</v>
      </c>
      <c r="AQ992" s="176">
        <v>12.025</v>
      </c>
      <c r="AR992" s="176">
        <v>12.049999999999999</v>
      </c>
      <c r="AS992" s="176">
        <v>12.055</v>
      </c>
      <c r="AT992" s="173"/>
      <c r="AU992" s="173">
        <v>465</v>
      </c>
      <c r="AV992" s="149"/>
      <c r="AW992" s="142" t="s">
        <v>123</v>
      </c>
      <c r="AY992" s="212"/>
      <c r="AZ992" s="196"/>
      <c r="BA992" s="196"/>
    </row>
    <row r="993" spans="2:53" s="142" customFormat="1" ht="21" customHeight="1" x14ac:dyDescent="0.25">
      <c r="B993" s="173" t="str">
        <f t="shared" si="13"/>
        <v>RM-304L/1D-3.80X770</v>
      </c>
      <c r="C993" s="173" t="s">
        <v>48</v>
      </c>
      <c r="D993" s="173" t="s">
        <v>48</v>
      </c>
      <c r="E993" s="190" t="s">
        <v>3178</v>
      </c>
      <c r="F993" s="190" t="s">
        <v>3179</v>
      </c>
      <c r="G993" s="173" t="s">
        <v>182</v>
      </c>
      <c r="H993" s="173" t="s">
        <v>127</v>
      </c>
      <c r="I993" s="174">
        <v>3.8</v>
      </c>
      <c r="J993" s="174"/>
      <c r="K993" s="174"/>
      <c r="L993" s="174"/>
      <c r="M993" s="191">
        <v>770</v>
      </c>
      <c r="N993" s="176">
        <v>9.1950000000000003</v>
      </c>
      <c r="O993" s="176"/>
      <c r="P993" s="177"/>
      <c r="Q993" s="178"/>
      <c r="R993" s="179"/>
      <c r="S993" s="179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80" t="s">
        <v>2877</v>
      </c>
      <c r="AE993" s="173" t="s">
        <v>69</v>
      </c>
      <c r="AF993" s="181" t="s">
        <v>142</v>
      </c>
      <c r="AG993" s="192" t="s">
        <v>2878</v>
      </c>
      <c r="AH993" s="198"/>
      <c r="AI993" s="181">
        <v>44950</v>
      </c>
      <c r="AJ993" s="181"/>
      <c r="AK993" s="181">
        <f ca="1">TODAY()</f>
        <v>44958</v>
      </c>
      <c r="AL993" s="173">
        <f t="shared" ca="1" si="11"/>
        <v>8</v>
      </c>
      <c r="AM993" s="173" t="str">
        <f t="shared" si="12"/>
        <v/>
      </c>
      <c r="AN993" s="181"/>
      <c r="AO993" s="190" t="s">
        <v>3180</v>
      </c>
      <c r="AP993" s="176">
        <v>9.1950000000000003</v>
      </c>
      <c r="AQ993" s="176">
        <v>9.2050000000000001</v>
      </c>
      <c r="AR993" s="176">
        <v>9.2299999999999986</v>
      </c>
      <c r="AS993" s="176">
        <v>9.2349999999999994</v>
      </c>
      <c r="AT993" s="173"/>
      <c r="AU993" s="173">
        <v>465</v>
      </c>
      <c r="AV993" s="149"/>
      <c r="AW993" s="142" t="s">
        <v>123</v>
      </c>
      <c r="AY993" s="212"/>
      <c r="AZ993" s="196"/>
      <c r="BA993" s="196"/>
    </row>
    <row r="994" spans="2:53" s="142" customFormat="1" ht="21" customHeight="1" x14ac:dyDescent="0.25">
      <c r="B994" s="173" t="str">
        <f t="shared" si="13"/>
        <v>RM-304L/1D-3.79X773</v>
      </c>
      <c r="C994" s="173" t="s">
        <v>48</v>
      </c>
      <c r="D994" s="173" t="s">
        <v>48</v>
      </c>
      <c r="E994" s="190" t="s">
        <v>3181</v>
      </c>
      <c r="F994" s="190" t="s">
        <v>3182</v>
      </c>
      <c r="G994" s="173" t="s">
        <v>182</v>
      </c>
      <c r="H994" s="173" t="s">
        <v>127</v>
      </c>
      <c r="I994" s="174">
        <v>3.79</v>
      </c>
      <c r="J994" s="174"/>
      <c r="K994" s="174"/>
      <c r="L994" s="174"/>
      <c r="M994" s="191">
        <v>773</v>
      </c>
      <c r="N994" s="176">
        <v>9.1999999999999993</v>
      </c>
      <c r="O994" s="176"/>
      <c r="P994" s="177"/>
      <c r="Q994" s="178"/>
      <c r="R994" s="179"/>
      <c r="S994" s="179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80" t="s">
        <v>2877</v>
      </c>
      <c r="AE994" s="173" t="s">
        <v>69</v>
      </c>
      <c r="AF994" s="181" t="s">
        <v>142</v>
      </c>
      <c r="AG994" s="192" t="s">
        <v>2878</v>
      </c>
      <c r="AH994" s="198"/>
      <c r="AI994" s="181">
        <v>44950</v>
      </c>
      <c r="AJ994" s="181"/>
      <c r="AK994" s="181">
        <f ca="1">TODAY()</f>
        <v>44958</v>
      </c>
      <c r="AL994" s="173">
        <f t="shared" ca="1" si="11"/>
        <v>8</v>
      </c>
      <c r="AM994" s="173" t="str">
        <f t="shared" si="12"/>
        <v/>
      </c>
      <c r="AN994" s="181"/>
      <c r="AO994" s="190" t="s">
        <v>3180</v>
      </c>
      <c r="AP994" s="176">
        <v>9.1999999999999993</v>
      </c>
      <c r="AQ994" s="176">
        <v>9.2099999999999991</v>
      </c>
      <c r="AR994" s="176">
        <v>9.2349999999999977</v>
      </c>
      <c r="AS994" s="176">
        <v>9.2399999999999984</v>
      </c>
      <c r="AT994" s="173"/>
      <c r="AU994" s="173">
        <v>465</v>
      </c>
      <c r="AV994" s="149"/>
      <c r="AW994" s="142" t="s">
        <v>123</v>
      </c>
      <c r="AY994" s="212"/>
      <c r="AZ994" s="196"/>
      <c r="BA994" s="196"/>
    </row>
    <row r="995" spans="2:53" s="142" customFormat="1" ht="21" customHeight="1" x14ac:dyDescent="0.25">
      <c r="B995" s="173" t="str">
        <f t="shared" si="13"/>
        <v>RM-304L/1D-4.00X635</v>
      </c>
      <c r="C995" s="173" t="s">
        <v>48</v>
      </c>
      <c r="D995" s="173" t="s">
        <v>48</v>
      </c>
      <c r="E995" s="190" t="s">
        <v>3183</v>
      </c>
      <c r="F995" s="190" t="s">
        <v>3184</v>
      </c>
      <c r="G995" s="173" t="s">
        <v>182</v>
      </c>
      <c r="H995" s="173" t="s">
        <v>127</v>
      </c>
      <c r="I995" s="174">
        <v>4</v>
      </c>
      <c r="J995" s="174"/>
      <c r="K995" s="174"/>
      <c r="L995" s="174"/>
      <c r="M995" s="191">
        <v>635</v>
      </c>
      <c r="N995" s="176">
        <v>8.0649999999999995</v>
      </c>
      <c r="O995" s="176"/>
      <c r="P995" s="177"/>
      <c r="Q995" s="178"/>
      <c r="R995" s="179"/>
      <c r="S995" s="179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80" t="s">
        <v>2877</v>
      </c>
      <c r="AE995" s="173" t="s">
        <v>69</v>
      </c>
      <c r="AF995" s="181" t="s">
        <v>142</v>
      </c>
      <c r="AG995" s="192" t="s">
        <v>2878</v>
      </c>
      <c r="AH995" s="198"/>
      <c r="AI995" s="181">
        <v>44950</v>
      </c>
      <c r="AJ995" s="181"/>
      <c r="AK995" s="181">
        <f ca="1">TODAY()</f>
        <v>44958</v>
      </c>
      <c r="AL995" s="173">
        <f t="shared" ca="1" si="11"/>
        <v>8</v>
      </c>
      <c r="AM995" s="173" t="str">
        <f t="shared" si="12"/>
        <v/>
      </c>
      <c r="AN995" s="181"/>
      <c r="AO995" s="190" t="s">
        <v>3185</v>
      </c>
      <c r="AP995" s="176">
        <v>8.0649999999999995</v>
      </c>
      <c r="AQ995" s="176">
        <v>8.0749999999999993</v>
      </c>
      <c r="AR995" s="176">
        <v>8.0999999999999979</v>
      </c>
      <c r="AS995" s="176">
        <v>8.1049999999999986</v>
      </c>
      <c r="AT995" s="173"/>
      <c r="AU995" s="173">
        <v>465</v>
      </c>
      <c r="AV995" s="149"/>
      <c r="AW995" s="142" t="s">
        <v>123</v>
      </c>
      <c r="AY995" s="212"/>
      <c r="AZ995" s="196"/>
      <c r="BA995" s="196"/>
    </row>
    <row r="996" spans="2:53" s="142" customFormat="1" ht="21" customHeight="1" x14ac:dyDescent="0.25">
      <c r="B996" s="173" t="str">
        <f t="shared" si="13"/>
        <v>RM-304L/1D-3.99X637</v>
      </c>
      <c r="C996" s="173" t="s">
        <v>48</v>
      </c>
      <c r="D996" s="173" t="s">
        <v>48</v>
      </c>
      <c r="E996" s="190" t="s">
        <v>3186</v>
      </c>
      <c r="F996" s="190" t="s">
        <v>3187</v>
      </c>
      <c r="G996" s="173" t="s">
        <v>182</v>
      </c>
      <c r="H996" s="173" t="s">
        <v>127</v>
      </c>
      <c r="I996" s="174">
        <v>3.99</v>
      </c>
      <c r="J996" s="174"/>
      <c r="K996" s="174"/>
      <c r="L996" s="174"/>
      <c r="M996" s="191">
        <v>637</v>
      </c>
      <c r="N996" s="176">
        <v>8.0950000000000006</v>
      </c>
      <c r="O996" s="176"/>
      <c r="P996" s="177"/>
      <c r="Q996" s="178"/>
      <c r="R996" s="179"/>
      <c r="S996" s="179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80" t="s">
        <v>2877</v>
      </c>
      <c r="AE996" s="173" t="s">
        <v>69</v>
      </c>
      <c r="AF996" s="181" t="s">
        <v>142</v>
      </c>
      <c r="AG996" s="192" t="s">
        <v>2878</v>
      </c>
      <c r="AH996" s="198"/>
      <c r="AI996" s="181">
        <v>44950</v>
      </c>
      <c r="AJ996" s="181"/>
      <c r="AK996" s="181">
        <f ca="1">TODAY()</f>
        <v>44958</v>
      </c>
      <c r="AL996" s="173">
        <f t="shared" ca="1" si="11"/>
        <v>8</v>
      </c>
      <c r="AM996" s="173" t="str">
        <f t="shared" si="12"/>
        <v/>
      </c>
      <c r="AN996" s="181"/>
      <c r="AO996" s="190" t="s">
        <v>3185</v>
      </c>
      <c r="AP996" s="176">
        <v>8.0950000000000006</v>
      </c>
      <c r="AQ996" s="176">
        <v>8.1050000000000004</v>
      </c>
      <c r="AR996" s="176">
        <v>8.129999999999999</v>
      </c>
      <c r="AS996" s="176">
        <v>8.1349999999999998</v>
      </c>
      <c r="AT996" s="173"/>
      <c r="AU996" s="173">
        <v>465</v>
      </c>
      <c r="AV996" s="149"/>
      <c r="AW996" s="142" t="s">
        <v>123</v>
      </c>
      <c r="AY996" s="212"/>
      <c r="AZ996" s="196"/>
      <c r="BA996" s="196"/>
    </row>
    <row r="997" spans="2:53" s="142" customFormat="1" ht="21" customHeight="1" x14ac:dyDescent="0.25">
      <c r="B997" s="173" t="str">
        <f t="shared" si="13"/>
        <v>RM-304/1D-3.79X768</v>
      </c>
      <c r="C997" s="173" t="s">
        <v>48</v>
      </c>
      <c r="D997" s="173" t="s">
        <v>48</v>
      </c>
      <c r="E997" s="190" t="s">
        <v>3188</v>
      </c>
      <c r="F997" s="190" t="s">
        <v>3189</v>
      </c>
      <c r="G997" s="173">
        <v>304</v>
      </c>
      <c r="H997" s="173" t="s">
        <v>127</v>
      </c>
      <c r="I997" s="174">
        <v>3.79</v>
      </c>
      <c r="J997" s="174"/>
      <c r="K997" s="174"/>
      <c r="L997" s="174"/>
      <c r="M997" s="191">
        <v>768</v>
      </c>
      <c r="N997" s="176">
        <v>10.25</v>
      </c>
      <c r="O997" s="176"/>
      <c r="P997" s="177"/>
      <c r="Q997" s="178"/>
      <c r="R997" s="179"/>
      <c r="S997" s="179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80" t="s">
        <v>2877</v>
      </c>
      <c r="AE997" s="173" t="s">
        <v>69</v>
      </c>
      <c r="AF997" s="181" t="s">
        <v>142</v>
      </c>
      <c r="AG997" s="192" t="s">
        <v>2878</v>
      </c>
      <c r="AH997" s="198"/>
      <c r="AI997" s="181">
        <v>44950</v>
      </c>
      <c r="AJ997" s="181"/>
      <c r="AK997" s="181">
        <f ca="1">TODAY()</f>
        <v>44958</v>
      </c>
      <c r="AL997" s="173">
        <f t="shared" ca="1" si="11"/>
        <v>8</v>
      </c>
      <c r="AM997" s="173" t="str">
        <f t="shared" si="12"/>
        <v/>
      </c>
      <c r="AN997" s="181"/>
      <c r="AO997" s="190" t="s">
        <v>3190</v>
      </c>
      <c r="AP997" s="176">
        <v>10.25</v>
      </c>
      <c r="AQ997" s="176">
        <v>10.26</v>
      </c>
      <c r="AR997" s="176">
        <v>10.284999999999998</v>
      </c>
      <c r="AS997" s="176">
        <v>10.29</v>
      </c>
      <c r="AT997" s="173"/>
      <c r="AU997" s="173">
        <v>465</v>
      </c>
      <c r="AV997" s="149"/>
      <c r="AW997" s="142" t="s">
        <v>123</v>
      </c>
      <c r="AY997" s="212"/>
      <c r="AZ997" s="196"/>
      <c r="BA997" s="196"/>
    </row>
    <row r="998" spans="2:53" s="142" customFormat="1" ht="21" customHeight="1" x14ac:dyDescent="0.25">
      <c r="B998" s="173" t="str">
        <f t="shared" si="13"/>
        <v>RM-304/1D-3.79X763</v>
      </c>
      <c r="C998" s="173" t="s">
        <v>48</v>
      </c>
      <c r="D998" s="173" t="s">
        <v>48</v>
      </c>
      <c r="E998" s="190" t="s">
        <v>3191</v>
      </c>
      <c r="F998" s="190" t="s">
        <v>3192</v>
      </c>
      <c r="G998" s="173">
        <v>304</v>
      </c>
      <c r="H998" s="173" t="s">
        <v>127</v>
      </c>
      <c r="I998" s="174">
        <v>3.79</v>
      </c>
      <c r="J998" s="174"/>
      <c r="K998" s="174"/>
      <c r="L998" s="174"/>
      <c r="M998" s="191">
        <v>763</v>
      </c>
      <c r="N998" s="176">
        <v>10.244999999999999</v>
      </c>
      <c r="O998" s="176"/>
      <c r="P998" s="177"/>
      <c r="Q998" s="178"/>
      <c r="R998" s="179"/>
      <c r="S998" s="179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80" t="s">
        <v>2877</v>
      </c>
      <c r="AE998" s="173" t="s">
        <v>69</v>
      </c>
      <c r="AF998" s="181" t="s">
        <v>142</v>
      </c>
      <c r="AG998" s="192" t="s">
        <v>2878</v>
      </c>
      <c r="AH998" s="198"/>
      <c r="AI998" s="181">
        <v>44950</v>
      </c>
      <c r="AJ998" s="181"/>
      <c r="AK998" s="181">
        <f ca="1">TODAY()</f>
        <v>44958</v>
      </c>
      <c r="AL998" s="173">
        <f t="shared" ca="1" si="11"/>
        <v>8</v>
      </c>
      <c r="AM998" s="173" t="str">
        <f t="shared" si="12"/>
        <v/>
      </c>
      <c r="AN998" s="181"/>
      <c r="AO998" s="190" t="s">
        <v>3190</v>
      </c>
      <c r="AP998" s="176">
        <v>10.244999999999999</v>
      </c>
      <c r="AQ998" s="176">
        <v>10.254999999999999</v>
      </c>
      <c r="AR998" s="176">
        <v>10.279999999999998</v>
      </c>
      <c r="AS998" s="176">
        <v>10.284999999999998</v>
      </c>
      <c r="AT998" s="173"/>
      <c r="AU998" s="173">
        <v>465</v>
      </c>
      <c r="AV998" s="149"/>
      <c r="AW998" s="142" t="s">
        <v>123</v>
      </c>
      <c r="AY998" s="212"/>
      <c r="AZ998" s="196"/>
      <c r="BA998" s="196"/>
    </row>
    <row r="999" spans="2:53" s="142" customFormat="1" ht="21" customHeight="1" x14ac:dyDescent="0.25">
      <c r="B999" s="173" t="str">
        <f t="shared" si="13"/>
        <v>RM-304/1D-2.87X768</v>
      </c>
      <c r="C999" s="173" t="s">
        <v>48</v>
      </c>
      <c r="D999" s="173" t="s">
        <v>48</v>
      </c>
      <c r="E999" s="190" t="s">
        <v>3193</v>
      </c>
      <c r="F999" s="190" t="s">
        <v>3194</v>
      </c>
      <c r="G999" s="173">
        <v>304</v>
      </c>
      <c r="H999" s="173" t="s">
        <v>127</v>
      </c>
      <c r="I999" s="174">
        <v>2.87</v>
      </c>
      <c r="J999" s="174"/>
      <c r="K999" s="174"/>
      <c r="L999" s="174"/>
      <c r="M999" s="191">
        <v>768</v>
      </c>
      <c r="N999" s="176">
        <v>8.4149999999999991</v>
      </c>
      <c r="O999" s="176"/>
      <c r="P999" s="177"/>
      <c r="Q999" s="178"/>
      <c r="R999" s="179"/>
      <c r="S999" s="179"/>
      <c r="T999" s="177"/>
      <c r="U999" s="177"/>
      <c r="V999" s="177"/>
      <c r="W999" s="177"/>
      <c r="X999" s="177"/>
      <c r="Y999" s="177"/>
      <c r="Z999" s="177"/>
      <c r="AA999" s="177"/>
      <c r="AB999" s="177"/>
      <c r="AC999" s="177"/>
      <c r="AD999" s="180" t="s">
        <v>2877</v>
      </c>
      <c r="AE999" s="173" t="s">
        <v>69</v>
      </c>
      <c r="AF999" s="181" t="s">
        <v>142</v>
      </c>
      <c r="AG999" s="192" t="s">
        <v>2878</v>
      </c>
      <c r="AH999" s="198"/>
      <c r="AI999" s="181">
        <v>44950</v>
      </c>
      <c r="AJ999" s="181"/>
      <c r="AK999" s="181">
        <f ca="1">TODAY()</f>
        <v>44958</v>
      </c>
      <c r="AL999" s="173">
        <f t="shared" ca="1" si="11"/>
        <v>8</v>
      </c>
      <c r="AM999" s="173" t="str">
        <f t="shared" si="12"/>
        <v/>
      </c>
      <c r="AN999" s="181"/>
      <c r="AO999" s="190" t="s">
        <v>3195</v>
      </c>
      <c r="AP999" s="176">
        <v>8.4149999999999991</v>
      </c>
      <c r="AQ999" s="176">
        <v>8.4249999999999989</v>
      </c>
      <c r="AR999" s="176">
        <v>8.4499999999999975</v>
      </c>
      <c r="AS999" s="176">
        <v>8.4549999999999983</v>
      </c>
      <c r="AT999" s="173"/>
      <c r="AU999" s="173">
        <v>465</v>
      </c>
      <c r="AV999" s="149"/>
      <c r="AW999" s="142" t="s">
        <v>123</v>
      </c>
      <c r="AY999" s="212"/>
      <c r="AZ999" s="196"/>
      <c r="BA999" s="196"/>
    </row>
    <row r="1000" spans="2:53" s="142" customFormat="1" ht="21" customHeight="1" x14ac:dyDescent="0.25">
      <c r="B1000" s="173" t="str">
        <f t="shared" si="13"/>
        <v>RM-304/1D-2.87X768</v>
      </c>
      <c r="C1000" s="173" t="s">
        <v>48</v>
      </c>
      <c r="D1000" s="173" t="s">
        <v>48</v>
      </c>
      <c r="E1000" s="190" t="s">
        <v>3196</v>
      </c>
      <c r="F1000" s="190" t="s">
        <v>3197</v>
      </c>
      <c r="G1000" s="173">
        <v>304</v>
      </c>
      <c r="H1000" s="173" t="s">
        <v>127</v>
      </c>
      <c r="I1000" s="174">
        <v>2.87</v>
      </c>
      <c r="J1000" s="174"/>
      <c r="K1000" s="174"/>
      <c r="L1000" s="174"/>
      <c r="M1000" s="191">
        <v>768</v>
      </c>
      <c r="N1000" s="176">
        <v>8.42</v>
      </c>
      <c r="O1000" s="176"/>
      <c r="P1000" s="177"/>
      <c r="Q1000" s="178"/>
      <c r="R1000" s="179"/>
      <c r="S1000" s="179"/>
      <c r="T1000" s="177"/>
      <c r="U1000" s="177"/>
      <c r="V1000" s="177"/>
      <c r="W1000" s="177"/>
      <c r="X1000" s="177"/>
      <c r="Y1000" s="177"/>
      <c r="Z1000" s="177"/>
      <c r="AA1000" s="177"/>
      <c r="AB1000" s="177"/>
      <c r="AC1000" s="177"/>
      <c r="AD1000" s="180" t="s">
        <v>2877</v>
      </c>
      <c r="AE1000" s="173" t="s">
        <v>69</v>
      </c>
      <c r="AF1000" s="181" t="s">
        <v>142</v>
      </c>
      <c r="AG1000" s="192" t="s">
        <v>2878</v>
      </c>
      <c r="AH1000" s="198"/>
      <c r="AI1000" s="181">
        <v>44950</v>
      </c>
      <c r="AJ1000" s="181"/>
      <c r="AK1000" s="181">
        <f ca="1">TODAY()</f>
        <v>44958</v>
      </c>
      <c r="AL1000" s="173">
        <f t="shared" ca="1" si="11"/>
        <v>8</v>
      </c>
      <c r="AM1000" s="173" t="str">
        <f t="shared" si="12"/>
        <v/>
      </c>
      <c r="AN1000" s="181"/>
      <c r="AO1000" s="190" t="s">
        <v>3195</v>
      </c>
      <c r="AP1000" s="176">
        <v>8.42</v>
      </c>
      <c r="AQ1000" s="176">
        <v>8.43</v>
      </c>
      <c r="AR1000" s="176">
        <v>8.4549999999999983</v>
      </c>
      <c r="AS1000" s="176">
        <v>8.4599999999999991</v>
      </c>
      <c r="AT1000" s="173"/>
      <c r="AU1000" s="173">
        <v>465</v>
      </c>
      <c r="AV1000" s="149"/>
      <c r="AW1000" s="142" t="s">
        <v>123</v>
      </c>
      <c r="AY1000" s="212"/>
      <c r="AZ1000" s="196"/>
      <c r="BA1000" s="196"/>
    </row>
    <row r="1001" spans="2:53" s="142" customFormat="1" ht="21" customHeight="1" x14ac:dyDescent="0.25">
      <c r="B1001" s="173" t="str">
        <f t="shared" si="13"/>
        <v>RM-304/1D-3.44X763</v>
      </c>
      <c r="C1001" s="173" t="s">
        <v>48</v>
      </c>
      <c r="D1001" s="173" t="s">
        <v>48</v>
      </c>
      <c r="E1001" s="190" t="s">
        <v>3198</v>
      </c>
      <c r="F1001" s="190" t="s">
        <v>3199</v>
      </c>
      <c r="G1001" s="173">
        <v>304</v>
      </c>
      <c r="H1001" s="173" t="s">
        <v>127</v>
      </c>
      <c r="I1001" s="174">
        <v>3.44</v>
      </c>
      <c r="J1001" s="174"/>
      <c r="K1001" s="174"/>
      <c r="L1001" s="174"/>
      <c r="M1001" s="191">
        <v>763</v>
      </c>
      <c r="N1001" s="176">
        <v>8.15</v>
      </c>
      <c r="O1001" s="176"/>
      <c r="P1001" s="177"/>
      <c r="Q1001" s="178"/>
      <c r="R1001" s="179"/>
      <c r="S1001" s="179"/>
      <c r="T1001" s="177"/>
      <c r="U1001" s="177"/>
      <c r="V1001" s="177"/>
      <c r="W1001" s="177"/>
      <c r="X1001" s="177"/>
      <c r="Y1001" s="177"/>
      <c r="Z1001" s="177"/>
      <c r="AA1001" s="177"/>
      <c r="AB1001" s="177"/>
      <c r="AC1001" s="177"/>
      <c r="AD1001" s="180" t="s">
        <v>3164</v>
      </c>
      <c r="AE1001" s="173" t="s">
        <v>69</v>
      </c>
      <c r="AF1001" s="181" t="s">
        <v>142</v>
      </c>
      <c r="AG1001" s="192" t="s">
        <v>2878</v>
      </c>
      <c r="AH1001" s="198"/>
      <c r="AI1001" s="181">
        <v>44950</v>
      </c>
      <c r="AJ1001" s="181"/>
      <c r="AK1001" s="181">
        <f ca="1">TODAY()</f>
        <v>44958</v>
      </c>
      <c r="AL1001" s="173">
        <f t="shared" ca="1" si="11"/>
        <v>8</v>
      </c>
      <c r="AM1001" s="173" t="str">
        <f t="shared" si="12"/>
        <v/>
      </c>
      <c r="AN1001" s="181"/>
      <c r="AO1001" s="190" t="s">
        <v>3200</v>
      </c>
      <c r="AP1001" s="176">
        <v>8.15</v>
      </c>
      <c r="AQ1001" s="176">
        <v>8.16</v>
      </c>
      <c r="AR1001" s="176">
        <v>8.1849999999999987</v>
      </c>
      <c r="AS1001" s="176">
        <v>8.19</v>
      </c>
      <c r="AT1001" s="173"/>
      <c r="AU1001" s="173">
        <v>465</v>
      </c>
      <c r="AV1001" s="149"/>
      <c r="AW1001" s="142" t="s">
        <v>123</v>
      </c>
      <c r="AY1001" s="212"/>
      <c r="AZ1001" s="196"/>
      <c r="BA1001" s="196"/>
    </row>
    <row r="1002" spans="2:53" s="142" customFormat="1" ht="21" customHeight="1" x14ac:dyDescent="0.25">
      <c r="B1002" s="173" t="str">
        <f t="shared" si="13"/>
        <v>RM-304/1D-3.44X766</v>
      </c>
      <c r="C1002" s="173" t="s">
        <v>48</v>
      </c>
      <c r="D1002" s="173" t="s">
        <v>48</v>
      </c>
      <c r="E1002" s="190" t="s">
        <v>3201</v>
      </c>
      <c r="F1002" s="190" t="s">
        <v>3202</v>
      </c>
      <c r="G1002" s="173">
        <v>304</v>
      </c>
      <c r="H1002" s="173" t="s">
        <v>127</v>
      </c>
      <c r="I1002" s="174">
        <v>3.44</v>
      </c>
      <c r="J1002" s="174"/>
      <c r="K1002" s="174"/>
      <c r="L1002" s="174"/>
      <c r="M1002" s="191">
        <v>766</v>
      </c>
      <c r="N1002" s="176">
        <v>8.2449999999999992</v>
      </c>
      <c r="O1002" s="176"/>
      <c r="P1002" s="177"/>
      <c r="Q1002" s="178"/>
      <c r="R1002" s="179"/>
      <c r="S1002" s="179"/>
      <c r="T1002" s="177"/>
      <c r="U1002" s="177"/>
      <c r="V1002" s="177"/>
      <c r="W1002" s="177"/>
      <c r="X1002" s="177"/>
      <c r="Y1002" s="177"/>
      <c r="Z1002" s="177"/>
      <c r="AA1002" s="177"/>
      <c r="AB1002" s="177"/>
      <c r="AC1002" s="177"/>
      <c r="AD1002" s="180" t="s">
        <v>2877</v>
      </c>
      <c r="AE1002" s="173" t="s">
        <v>69</v>
      </c>
      <c r="AF1002" s="181" t="s">
        <v>142</v>
      </c>
      <c r="AG1002" s="192" t="s">
        <v>2878</v>
      </c>
      <c r="AH1002" s="198"/>
      <c r="AI1002" s="181">
        <v>44950</v>
      </c>
      <c r="AJ1002" s="181"/>
      <c r="AK1002" s="181">
        <f ca="1">TODAY()</f>
        <v>44958</v>
      </c>
      <c r="AL1002" s="173">
        <f t="shared" ca="1" si="11"/>
        <v>8</v>
      </c>
      <c r="AM1002" s="173" t="str">
        <f t="shared" si="12"/>
        <v/>
      </c>
      <c r="AN1002" s="181"/>
      <c r="AO1002" s="190" t="s">
        <v>3200</v>
      </c>
      <c r="AP1002" s="176">
        <v>8.2449999999999992</v>
      </c>
      <c r="AQ1002" s="176">
        <v>8.254999999999999</v>
      </c>
      <c r="AR1002" s="176">
        <v>8.2799999999999976</v>
      </c>
      <c r="AS1002" s="176">
        <v>8.2849999999999984</v>
      </c>
      <c r="AT1002" s="173"/>
      <c r="AU1002" s="173">
        <v>465</v>
      </c>
      <c r="AV1002" s="149"/>
      <c r="AW1002" s="142" t="s">
        <v>123</v>
      </c>
      <c r="AY1002" s="212"/>
      <c r="AZ1002" s="196"/>
      <c r="BA1002" s="196"/>
    </row>
    <row r="1003" spans="2:53" s="142" customFormat="1" ht="21" customHeight="1" x14ac:dyDescent="0.25">
      <c r="B1003" s="173" t="str">
        <f t="shared" si="13"/>
        <v>RM-304/1D-3.80X767</v>
      </c>
      <c r="C1003" s="173" t="s">
        <v>48</v>
      </c>
      <c r="D1003" s="173" t="s">
        <v>48</v>
      </c>
      <c r="E1003" s="190" t="s">
        <v>3203</v>
      </c>
      <c r="F1003" s="190" t="s">
        <v>3204</v>
      </c>
      <c r="G1003" s="173">
        <v>304</v>
      </c>
      <c r="H1003" s="173" t="s">
        <v>127</v>
      </c>
      <c r="I1003" s="174">
        <v>3.8</v>
      </c>
      <c r="J1003" s="174"/>
      <c r="K1003" s="174"/>
      <c r="L1003" s="174"/>
      <c r="M1003" s="191">
        <v>767</v>
      </c>
      <c r="N1003" s="176">
        <v>10.36</v>
      </c>
      <c r="O1003" s="176"/>
      <c r="P1003" s="177"/>
      <c r="Q1003" s="178"/>
      <c r="R1003" s="179"/>
      <c r="S1003" s="179"/>
      <c r="T1003" s="177"/>
      <c r="U1003" s="177"/>
      <c r="V1003" s="177"/>
      <c r="W1003" s="177"/>
      <c r="X1003" s="177"/>
      <c r="Y1003" s="177"/>
      <c r="Z1003" s="177"/>
      <c r="AA1003" s="177"/>
      <c r="AB1003" s="177"/>
      <c r="AC1003" s="177"/>
      <c r="AD1003" s="180" t="s">
        <v>2877</v>
      </c>
      <c r="AE1003" s="173" t="s">
        <v>69</v>
      </c>
      <c r="AF1003" s="181" t="s">
        <v>142</v>
      </c>
      <c r="AG1003" s="192" t="s">
        <v>2878</v>
      </c>
      <c r="AH1003" s="198"/>
      <c r="AI1003" s="181">
        <v>44950</v>
      </c>
      <c r="AJ1003" s="181"/>
      <c r="AK1003" s="181">
        <f ca="1">TODAY()</f>
        <v>44958</v>
      </c>
      <c r="AL1003" s="173">
        <f t="shared" ca="1" si="11"/>
        <v>8</v>
      </c>
      <c r="AM1003" s="173" t="str">
        <f t="shared" si="12"/>
        <v/>
      </c>
      <c r="AN1003" s="181"/>
      <c r="AO1003" s="190" t="s">
        <v>3205</v>
      </c>
      <c r="AP1003" s="176">
        <v>10.36</v>
      </c>
      <c r="AQ1003" s="176">
        <v>10.37</v>
      </c>
      <c r="AR1003" s="176">
        <v>10.394999999999998</v>
      </c>
      <c r="AS1003" s="176">
        <v>10.399999999999999</v>
      </c>
      <c r="AT1003" s="173"/>
      <c r="AU1003" s="173">
        <v>465</v>
      </c>
      <c r="AV1003" s="149"/>
      <c r="AW1003" s="142" t="s">
        <v>123</v>
      </c>
      <c r="AY1003" s="212"/>
      <c r="AZ1003" s="196"/>
      <c r="BA1003" s="196"/>
    </row>
    <row r="1004" spans="2:53" s="142" customFormat="1" ht="21" customHeight="1" x14ac:dyDescent="0.25">
      <c r="B1004" s="173" t="str">
        <f t="shared" si="13"/>
        <v>RM-304/1D-3.80X766</v>
      </c>
      <c r="C1004" s="173" t="s">
        <v>48</v>
      </c>
      <c r="D1004" s="173" t="s">
        <v>48</v>
      </c>
      <c r="E1004" s="190" t="s">
        <v>3206</v>
      </c>
      <c r="F1004" s="190" t="s">
        <v>3207</v>
      </c>
      <c r="G1004" s="173">
        <v>304</v>
      </c>
      <c r="H1004" s="173" t="s">
        <v>127</v>
      </c>
      <c r="I1004" s="174">
        <v>3.8</v>
      </c>
      <c r="J1004" s="174"/>
      <c r="K1004" s="174"/>
      <c r="L1004" s="174"/>
      <c r="M1004" s="191">
        <v>766</v>
      </c>
      <c r="N1004" s="176">
        <v>10.345000000000001</v>
      </c>
      <c r="O1004" s="176"/>
      <c r="P1004" s="177"/>
      <c r="Q1004" s="178"/>
      <c r="R1004" s="179"/>
      <c r="S1004" s="179"/>
      <c r="T1004" s="177"/>
      <c r="U1004" s="177"/>
      <c r="V1004" s="177"/>
      <c r="W1004" s="177"/>
      <c r="X1004" s="177"/>
      <c r="Y1004" s="177"/>
      <c r="Z1004" s="177"/>
      <c r="AA1004" s="177"/>
      <c r="AB1004" s="177"/>
      <c r="AC1004" s="177"/>
      <c r="AD1004" s="180" t="s">
        <v>2877</v>
      </c>
      <c r="AE1004" s="173" t="s">
        <v>69</v>
      </c>
      <c r="AF1004" s="181" t="s">
        <v>142</v>
      </c>
      <c r="AG1004" s="192" t="s">
        <v>2878</v>
      </c>
      <c r="AH1004" s="198"/>
      <c r="AI1004" s="181">
        <v>44950</v>
      </c>
      <c r="AJ1004" s="181"/>
      <c r="AK1004" s="181">
        <f ca="1">TODAY()</f>
        <v>44958</v>
      </c>
      <c r="AL1004" s="173">
        <f t="shared" ca="1" si="11"/>
        <v>8</v>
      </c>
      <c r="AM1004" s="173" t="str">
        <f t="shared" si="12"/>
        <v/>
      </c>
      <c r="AN1004" s="181"/>
      <c r="AO1004" s="190" t="s">
        <v>3205</v>
      </c>
      <c r="AP1004" s="176">
        <v>10.345000000000001</v>
      </c>
      <c r="AQ1004" s="176">
        <v>10.355</v>
      </c>
      <c r="AR1004" s="176">
        <v>10.379999999999999</v>
      </c>
      <c r="AS1004" s="176">
        <v>10.385</v>
      </c>
      <c r="AT1004" s="173"/>
      <c r="AU1004" s="173">
        <v>465</v>
      </c>
      <c r="AV1004" s="149"/>
      <c r="AW1004" s="142" t="s">
        <v>123</v>
      </c>
      <c r="AY1004" s="212"/>
      <c r="AZ1004" s="196"/>
      <c r="BA1004" s="196"/>
    </row>
    <row r="1005" spans="2:53" s="142" customFormat="1" ht="21" customHeight="1" x14ac:dyDescent="0.25">
      <c r="B1005" s="173" t="str">
        <f t="shared" si="13"/>
        <v>RM-304/1D-3.80X766</v>
      </c>
      <c r="C1005" s="173" t="s">
        <v>48</v>
      </c>
      <c r="D1005" s="173" t="s">
        <v>48</v>
      </c>
      <c r="E1005" s="190" t="s">
        <v>3208</v>
      </c>
      <c r="F1005" s="190" t="s">
        <v>3209</v>
      </c>
      <c r="G1005" s="173">
        <v>304</v>
      </c>
      <c r="H1005" s="173" t="s">
        <v>127</v>
      </c>
      <c r="I1005" s="174">
        <v>3.8</v>
      </c>
      <c r="J1005" s="174"/>
      <c r="K1005" s="174"/>
      <c r="L1005" s="174"/>
      <c r="M1005" s="191">
        <v>766</v>
      </c>
      <c r="N1005" s="176">
        <v>10.285</v>
      </c>
      <c r="O1005" s="176"/>
      <c r="P1005" s="177"/>
      <c r="Q1005" s="178"/>
      <c r="R1005" s="179"/>
      <c r="S1005" s="179"/>
      <c r="T1005" s="177"/>
      <c r="U1005" s="177"/>
      <c r="V1005" s="177"/>
      <c r="W1005" s="177"/>
      <c r="X1005" s="177"/>
      <c r="Y1005" s="177"/>
      <c r="Z1005" s="177"/>
      <c r="AA1005" s="177"/>
      <c r="AB1005" s="177"/>
      <c r="AC1005" s="177"/>
      <c r="AD1005" s="180" t="s">
        <v>2877</v>
      </c>
      <c r="AE1005" s="173" t="s">
        <v>69</v>
      </c>
      <c r="AF1005" s="181" t="s">
        <v>142</v>
      </c>
      <c r="AG1005" s="192" t="s">
        <v>2878</v>
      </c>
      <c r="AH1005" s="198"/>
      <c r="AI1005" s="181">
        <v>44950</v>
      </c>
      <c r="AJ1005" s="181"/>
      <c r="AK1005" s="181">
        <f ca="1">TODAY()</f>
        <v>44958</v>
      </c>
      <c r="AL1005" s="173">
        <f t="shared" ca="1" si="11"/>
        <v>8</v>
      </c>
      <c r="AM1005" s="173" t="str">
        <f t="shared" si="12"/>
        <v/>
      </c>
      <c r="AN1005" s="181"/>
      <c r="AO1005" s="190" t="s">
        <v>3210</v>
      </c>
      <c r="AP1005" s="176">
        <v>10.285</v>
      </c>
      <c r="AQ1005" s="176">
        <v>10.295</v>
      </c>
      <c r="AR1005" s="176">
        <v>10.319999999999999</v>
      </c>
      <c r="AS1005" s="176">
        <v>10.324999999999999</v>
      </c>
      <c r="AT1005" s="173"/>
      <c r="AU1005" s="173">
        <v>465</v>
      </c>
      <c r="AV1005" s="149"/>
      <c r="AW1005" s="142" t="s">
        <v>123</v>
      </c>
      <c r="AY1005" s="212"/>
      <c r="AZ1005" s="196"/>
      <c r="BA1005" s="196"/>
    </row>
    <row r="1006" spans="2:53" s="142" customFormat="1" ht="21" customHeight="1" x14ac:dyDescent="0.25">
      <c r="B1006" s="173" t="str">
        <f t="shared" si="13"/>
        <v>RM-304/1D-3.80X769</v>
      </c>
      <c r="C1006" s="173" t="s">
        <v>48</v>
      </c>
      <c r="D1006" s="173" t="s">
        <v>48</v>
      </c>
      <c r="E1006" s="190" t="s">
        <v>3211</v>
      </c>
      <c r="F1006" s="190" t="s">
        <v>3212</v>
      </c>
      <c r="G1006" s="173">
        <v>304</v>
      </c>
      <c r="H1006" s="173" t="s">
        <v>127</v>
      </c>
      <c r="I1006" s="174">
        <v>3.8</v>
      </c>
      <c r="J1006" s="174"/>
      <c r="K1006" s="174"/>
      <c r="L1006" s="174"/>
      <c r="M1006" s="191">
        <v>769</v>
      </c>
      <c r="N1006" s="176">
        <v>10.34</v>
      </c>
      <c r="O1006" s="176"/>
      <c r="P1006" s="177"/>
      <c r="Q1006" s="178"/>
      <c r="R1006" s="179"/>
      <c r="S1006" s="179"/>
      <c r="T1006" s="177"/>
      <c r="U1006" s="177"/>
      <c r="V1006" s="177"/>
      <c r="W1006" s="177"/>
      <c r="X1006" s="177"/>
      <c r="Y1006" s="177"/>
      <c r="Z1006" s="177"/>
      <c r="AA1006" s="177"/>
      <c r="AB1006" s="177"/>
      <c r="AC1006" s="177"/>
      <c r="AD1006" s="180" t="s">
        <v>2877</v>
      </c>
      <c r="AE1006" s="173" t="s">
        <v>69</v>
      </c>
      <c r="AF1006" s="181" t="s">
        <v>142</v>
      </c>
      <c r="AG1006" s="192" t="s">
        <v>2878</v>
      </c>
      <c r="AH1006" s="198"/>
      <c r="AI1006" s="181">
        <v>44950</v>
      </c>
      <c r="AJ1006" s="181"/>
      <c r="AK1006" s="181">
        <f ca="1">TODAY()</f>
        <v>44958</v>
      </c>
      <c r="AL1006" s="173">
        <f t="shared" ca="1" si="11"/>
        <v>8</v>
      </c>
      <c r="AM1006" s="173" t="str">
        <f t="shared" si="12"/>
        <v/>
      </c>
      <c r="AN1006" s="181"/>
      <c r="AO1006" s="190" t="s">
        <v>3210</v>
      </c>
      <c r="AP1006" s="176">
        <v>10.34</v>
      </c>
      <c r="AQ1006" s="176">
        <v>10.35</v>
      </c>
      <c r="AR1006" s="176">
        <v>10.374999999999998</v>
      </c>
      <c r="AS1006" s="176">
        <v>10.379999999999999</v>
      </c>
      <c r="AT1006" s="173"/>
      <c r="AU1006" s="173">
        <v>465</v>
      </c>
      <c r="AV1006" s="149"/>
      <c r="AW1006" s="142" t="s">
        <v>123</v>
      </c>
      <c r="AY1006" s="212"/>
      <c r="AZ1006" s="196"/>
      <c r="BA1006" s="196"/>
    </row>
    <row r="1007" spans="2:53" s="142" customFormat="1" ht="21" customHeight="1" x14ac:dyDescent="0.25">
      <c r="B1007" s="173" t="str">
        <f t="shared" si="13"/>
        <v>RM-304/1D-3.48X769</v>
      </c>
      <c r="C1007" s="173" t="s">
        <v>48</v>
      </c>
      <c r="D1007" s="173" t="s">
        <v>48</v>
      </c>
      <c r="E1007" s="190" t="s">
        <v>3213</v>
      </c>
      <c r="F1007" s="190" t="s">
        <v>3214</v>
      </c>
      <c r="G1007" s="173">
        <v>304</v>
      </c>
      <c r="H1007" s="173" t="s">
        <v>127</v>
      </c>
      <c r="I1007" s="174">
        <v>3.48</v>
      </c>
      <c r="J1007" s="174"/>
      <c r="K1007" s="174"/>
      <c r="L1007" s="174"/>
      <c r="M1007" s="191">
        <v>769</v>
      </c>
      <c r="N1007" s="176">
        <v>8.0150000000000006</v>
      </c>
      <c r="O1007" s="176"/>
      <c r="P1007" s="177"/>
      <c r="Q1007" s="178"/>
      <c r="R1007" s="179"/>
      <c r="S1007" s="179"/>
      <c r="T1007" s="177"/>
      <c r="U1007" s="177"/>
      <c r="V1007" s="177"/>
      <c r="W1007" s="177"/>
      <c r="X1007" s="177"/>
      <c r="Y1007" s="177"/>
      <c r="Z1007" s="177"/>
      <c r="AA1007" s="177"/>
      <c r="AB1007" s="177"/>
      <c r="AC1007" s="177"/>
      <c r="AD1007" s="180" t="s">
        <v>3164</v>
      </c>
      <c r="AE1007" s="173" t="s">
        <v>69</v>
      </c>
      <c r="AF1007" s="181" t="s">
        <v>142</v>
      </c>
      <c r="AG1007" s="192" t="s">
        <v>2878</v>
      </c>
      <c r="AH1007" s="198"/>
      <c r="AI1007" s="181">
        <v>44950</v>
      </c>
      <c r="AJ1007" s="181"/>
      <c r="AK1007" s="181">
        <f ca="1">TODAY()</f>
        <v>44958</v>
      </c>
      <c r="AL1007" s="173">
        <f t="shared" ca="1" si="11"/>
        <v>8</v>
      </c>
      <c r="AM1007" s="173" t="str">
        <f t="shared" si="12"/>
        <v/>
      </c>
      <c r="AN1007" s="181"/>
      <c r="AO1007" s="190" t="s">
        <v>3215</v>
      </c>
      <c r="AP1007" s="176">
        <v>8.0150000000000006</v>
      </c>
      <c r="AQ1007" s="176">
        <v>8.0250000000000004</v>
      </c>
      <c r="AR1007" s="176">
        <v>8.0499999999999989</v>
      </c>
      <c r="AS1007" s="176">
        <v>8.0549999999999997</v>
      </c>
      <c r="AT1007" s="173"/>
      <c r="AU1007" s="173">
        <v>465</v>
      </c>
      <c r="AV1007" s="149"/>
      <c r="AW1007" s="142" t="s">
        <v>123</v>
      </c>
      <c r="AY1007" s="212"/>
      <c r="AZ1007" s="196"/>
      <c r="BA1007" s="196"/>
    </row>
    <row r="1008" spans="2:53" s="142" customFormat="1" ht="21" customHeight="1" x14ac:dyDescent="0.25">
      <c r="B1008" s="173" t="str">
        <f t="shared" si="13"/>
        <v>RM-304/1D-3.48X769</v>
      </c>
      <c r="C1008" s="173" t="s">
        <v>48</v>
      </c>
      <c r="D1008" s="173" t="s">
        <v>48</v>
      </c>
      <c r="E1008" s="190" t="s">
        <v>3216</v>
      </c>
      <c r="F1008" s="190" t="s">
        <v>3217</v>
      </c>
      <c r="G1008" s="173">
        <v>304</v>
      </c>
      <c r="H1008" s="173" t="s">
        <v>127</v>
      </c>
      <c r="I1008" s="174">
        <v>3.48</v>
      </c>
      <c r="J1008" s="174"/>
      <c r="K1008" s="174"/>
      <c r="L1008" s="174"/>
      <c r="M1008" s="191">
        <v>769</v>
      </c>
      <c r="N1008" s="176">
        <v>8.0150000000000006</v>
      </c>
      <c r="O1008" s="176"/>
      <c r="P1008" s="177"/>
      <c r="Q1008" s="178"/>
      <c r="R1008" s="179"/>
      <c r="S1008" s="179"/>
      <c r="T1008" s="177"/>
      <c r="U1008" s="177"/>
      <c r="V1008" s="177"/>
      <c r="W1008" s="177"/>
      <c r="X1008" s="177"/>
      <c r="Y1008" s="177"/>
      <c r="Z1008" s="177"/>
      <c r="AA1008" s="177"/>
      <c r="AB1008" s="177"/>
      <c r="AC1008" s="177"/>
      <c r="AD1008" s="180" t="s">
        <v>2877</v>
      </c>
      <c r="AE1008" s="173" t="s">
        <v>69</v>
      </c>
      <c r="AF1008" s="181" t="s">
        <v>142</v>
      </c>
      <c r="AG1008" s="192" t="s">
        <v>2878</v>
      </c>
      <c r="AH1008" s="198"/>
      <c r="AI1008" s="181">
        <v>44950</v>
      </c>
      <c r="AJ1008" s="181"/>
      <c r="AK1008" s="181">
        <f ca="1">TODAY()</f>
        <v>44958</v>
      </c>
      <c r="AL1008" s="173">
        <f t="shared" ca="1" si="11"/>
        <v>8</v>
      </c>
      <c r="AM1008" s="173" t="str">
        <f t="shared" si="12"/>
        <v/>
      </c>
      <c r="AN1008" s="181"/>
      <c r="AO1008" s="190" t="s">
        <v>3215</v>
      </c>
      <c r="AP1008" s="176">
        <v>8.0150000000000006</v>
      </c>
      <c r="AQ1008" s="176">
        <v>8.0250000000000004</v>
      </c>
      <c r="AR1008" s="176">
        <v>8.0499999999999989</v>
      </c>
      <c r="AS1008" s="176">
        <v>8.0549999999999997</v>
      </c>
      <c r="AT1008" s="173"/>
      <c r="AU1008" s="173">
        <v>465</v>
      </c>
      <c r="AV1008" s="149"/>
      <c r="AW1008" s="142" t="s">
        <v>123</v>
      </c>
      <c r="AY1008" s="212"/>
      <c r="AZ1008" s="196"/>
      <c r="BA1008" s="196"/>
    </row>
    <row r="1009" spans="2:53" s="142" customFormat="1" ht="21" customHeight="1" x14ac:dyDescent="0.25">
      <c r="B1009" s="173" t="str">
        <f t="shared" si="13"/>
        <v>RM-304/1D-3.77X771</v>
      </c>
      <c r="C1009" s="173" t="s">
        <v>48</v>
      </c>
      <c r="D1009" s="173" t="s">
        <v>48</v>
      </c>
      <c r="E1009" s="190" t="s">
        <v>3218</v>
      </c>
      <c r="F1009" s="190" t="s">
        <v>3219</v>
      </c>
      <c r="G1009" s="173">
        <v>304</v>
      </c>
      <c r="H1009" s="173" t="s">
        <v>127</v>
      </c>
      <c r="I1009" s="174">
        <v>3.77</v>
      </c>
      <c r="J1009" s="174"/>
      <c r="K1009" s="174"/>
      <c r="L1009" s="174"/>
      <c r="M1009" s="191">
        <v>771</v>
      </c>
      <c r="N1009" s="176">
        <v>10.4</v>
      </c>
      <c r="O1009" s="176"/>
      <c r="P1009" s="177"/>
      <c r="Q1009" s="178"/>
      <c r="R1009" s="179"/>
      <c r="S1009" s="179"/>
      <c r="T1009" s="177"/>
      <c r="U1009" s="177"/>
      <c r="V1009" s="177"/>
      <c r="W1009" s="177"/>
      <c r="X1009" s="177"/>
      <c r="Y1009" s="177"/>
      <c r="Z1009" s="177"/>
      <c r="AA1009" s="177"/>
      <c r="AB1009" s="177"/>
      <c r="AC1009" s="177"/>
      <c r="AD1009" s="180" t="s">
        <v>2877</v>
      </c>
      <c r="AE1009" s="173" t="s">
        <v>69</v>
      </c>
      <c r="AF1009" s="181" t="s">
        <v>142</v>
      </c>
      <c r="AG1009" s="192" t="s">
        <v>2878</v>
      </c>
      <c r="AH1009" s="198"/>
      <c r="AI1009" s="181">
        <v>44950</v>
      </c>
      <c r="AJ1009" s="181"/>
      <c r="AK1009" s="181">
        <f ca="1">TODAY()</f>
        <v>44958</v>
      </c>
      <c r="AL1009" s="173">
        <f t="shared" ca="1" si="11"/>
        <v>8</v>
      </c>
      <c r="AM1009" s="173" t="str">
        <f t="shared" si="12"/>
        <v/>
      </c>
      <c r="AN1009" s="181"/>
      <c r="AO1009" s="190" t="s">
        <v>3220</v>
      </c>
      <c r="AP1009" s="176">
        <v>10.4</v>
      </c>
      <c r="AQ1009" s="176">
        <v>10.41</v>
      </c>
      <c r="AR1009" s="176">
        <v>10.434999999999999</v>
      </c>
      <c r="AS1009" s="176">
        <v>10.44</v>
      </c>
      <c r="AT1009" s="173"/>
      <c r="AU1009" s="173">
        <v>465</v>
      </c>
      <c r="AV1009" s="149"/>
      <c r="AW1009" s="142" t="s">
        <v>123</v>
      </c>
      <c r="AY1009" s="212"/>
      <c r="AZ1009" s="196"/>
      <c r="BA1009" s="196"/>
    </row>
    <row r="1010" spans="2:53" s="142" customFormat="1" ht="21" customHeight="1" x14ac:dyDescent="0.25">
      <c r="B1010" s="173" t="str">
        <f t="shared" si="13"/>
        <v>RM-304/1D-3.77X766</v>
      </c>
      <c r="C1010" s="173" t="s">
        <v>48</v>
      </c>
      <c r="D1010" s="173" t="s">
        <v>48</v>
      </c>
      <c r="E1010" s="190" t="s">
        <v>3221</v>
      </c>
      <c r="F1010" s="190" t="s">
        <v>3222</v>
      </c>
      <c r="G1010" s="173">
        <v>304</v>
      </c>
      <c r="H1010" s="173" t="s">
        <v>127</v>
      </c>
      <c r="I1010" s="174">
        <v>3.77</v>
      </c>
      <c r="J1010" s="174"/>
      <c r="K1010" s="174"/>
      <c r="L1010" s="174"/>
      <c r="M1010" s="191">
        <v>766</v>
      </c>
      <c r="N1010" s="176">
        <v>10.3</v>
      </c>
      <c r="O1010" s="176"/>
      <c r="P1010" s="177"/>
      <c r="Q1010" s="178"/>
      <c r="R1010" s="179"/>
      <c r="S1010" s="179"/>
      <c r="T1010" s="177"/>
      <c r="U1010" s="177"/>
      <c r="V1010" s="177"/>
      <c r="W1010" s="177"/>
      <c r="X1010" s="177"/>
      <c r="Y1010" s="177"/>
      <c r="Z1010" s="177"/>
      <c r="AA1010" s="177"/>
      <c r="AB1010" s="177"/>
      <c r="AC1010" s="177"/>
      <c r="AD1010" s="180" t="s">
        <v>2877</v>
      </c>
      <c r="AE1010" s="173" t="s">
        <v>69</v>
      </c>
      <c r="AF1010" s="181" t="s">
        <v>142</v>
      </c>
      <c r="AG1010" s="192" t="s">
        <v>2878</v>
      </c>
      <c r="AH1010" s="198"/>
      <c r="AI1010" s="181">
        <v>44950</v>
      </c>
      <c r="AJ1010" s="181"/>
      <c r="AK1010" s="181">
        <f ca="1">TODAY()</f>
        <v>44958</v>
      </c>
      <c r="AL1010" s="173">
        <f t="shared" ca="1" si="11"/>
        <v>8</v>
      </c>
      <c r="AM1010" s="173" t="str">
        <f t="shared" si="12"/>
        <v/>
      </c>
      <c r="AN1010" s="181"/>
      <c r="AO1010" s="190" t="s">
        <v>3220</v>
      </c>
      <c r="AP1010" s="176">
        <v>10.3</v>
      </c>
      <c r="AQ1010" s="176">
        <v>10.31</v>
      </c>
      <c r="AR1010" s="176">
        <v>10.334999999999999</v>
      </c>
      <c r="AS1010" s="176">
        <v>10.34</v>
      </c>
      <c r="AT1010" s="173"/>
      <c r="AU1010" s="173">
        <v>465</v>
      </c>
      <c r="AV1010" s="149"/>
      <c r="AW1010" s="142" t="s">
        <v>123</v>
      </c>
      <c r="AY1010" s="212"/>
      <c r="AZ1010" s="196"/>
      <c r="BA1010" s="196"/>
    </row>
    <row r="1011" spans="2:53" s="142" customFormat="1" ht="21" customHeight="1" x14ac:dyDescent="0.25">
      <c r="B1011" s="173" t="str">
        <f t="shared" si="13"/>
        <v>RM-304/1D-3.48X767</v>
      </c>
      <c r="C1011" s="173" t="s">
        <v>48</v>
      </c>
      <c r="D1011" s="173" t="s">
        <v>48</v>
      </c>
      <c r="E1011" s="190" t="s">
        <v>3223</v>
      </c>
      <c r="F1011" s="190" t="s">
        <v>3224</v>
      </c>
      <c r="G1011" s="173">
        <v>304</v>
      </c>
      <c r="H1011" s="173" t="s">
        <v>127</v>
      </c>
      <c r="I1011" s="174">
        <v>3.48</v>
      </c>
      <c r="J1011" s="174"/>
      <c r="K1011" s="174"/>
      <c r="L1011" s="174"/>
      <c r="M1011" s="191">
        <v>767</v>
      </c>
      <c r="N1011" s="176">
        <v>9.6</v>
      </c>
      <c r="O1011" s="176"/>
      <c r="P1011" s="177"/>
      <c r="Q1011" s="178"/>
      <c r="R1011" s="179"/>
      <c r="S1011" s="179"/>
      <c r="T1011" s="177"/>
      <c r="U1011" s="177"/>
      <c r="V1011" s="177"/>
      <c r="W1011" s="177"/>
      <c r="X1011" s="177"/>
      <c r="Y1011" s="177"/>
      <c r="Z1011" s="177"/>
      <c r="AA1011" s="177"/>
      <c r="AB1011" s="177"/>
      <c r="AC1011" s="177"/>
      <c r="AD1011" s="180" t="s">
        <v>2877</v>
      </c>
      <c r="AE1011" s="173" t="s">
        <v>69</v>
      </c>
      <c r="AF1011" s="181" t="s">
        <v>142</v>
      </c>
      <c r="AG1011" s="192" t="s">
        <v>2878</v>
      </c>
      <c r="AH1011" s="198"/>
      <c r="AI1011" s="181">
        <v>44950</v>
      </c>
      <c r="AJ1011" s="181"/>
      <c r="AK1011" s="181">
        <f ca="1">TODAY()</f>
        <v>44958</v>
      </c>
      <c r="AL1011" s="173">
        <f t="shared" ca="1" si="11"/>
        <v>8</v>
      </c>
      <c r="AM1011" s="173" t="str">
        <f t="shared" si="12"/>
        <v/>
      </c>
      <c r="AN1011" s="181"/>
      <c r="AO1011" s="190" t="s">
        <v>3225</v>
      </c>
      <c r="AP1011" s="176">
        <v>9.6</v>
      </c>
      <c r="AQ1011" s="176">
        <v>9.61</v>
      </c>
      <c r="AR1011" s="176">
        <v>9.634999999999998</v>
      </c>
      <c r="AS1011" s="176">
        <v>9.6399999999999988</v>
      </c>
      <c r="AT1011" s="173"/>
      <c r="AU1011" s="173">
        <v>465</v>
      </c>
      <c r="AV1011" s="149"/>
      <c r="AW1011" s="142" t="s">
        <v>123</v>
      </c>
      <c r="AY1011" s="212"/>
      <c r="AZ1011" s="196"/>
      <c r="BA1011" s="196"/>
    </row>
    <row r="1012" spans="2:53" s="142" customFormat="1" ht="21" customHeight="1" x14ac:dyDescent="0.25">
      <c r="B1012" s="173" t="str">
        <f t="shared" si="13"/>
        <v>RM-304/1D-3.48X768</v>
      </c>
      <c r="C1012" s="173" t="s">
        <v>48</v>
      </c>
      <c r="D1012" s="173" t="s">
        <v>48</v>
      </c>
      <c r="E1012" s="190" t="s">
        <v>3226</v>
      </c>
      <c r="F1012" s="190" t="s">
        <v>3227</v>
      </c>
      <c r="G1012" s="173">
        <v>304</v>
      </c>
      <c r="H1012" s="173" t="s">
        <v>127</v>
      </c>
      <c r="I1012" s="174">
        <v>3.48</v>
      </c>
      <c r="J1012" s="174"/>
      <c r="K1012" s="174"/>
      <c r="L1012" s="174"/>
      <c r="M1012" s="191">
        <v>768</v>
      </c>
      <c r="N1012" s="176">
        <v>9.6300000000000008</v>
      </c>
      <c r="O1012" s="176"/>
      <c r="P1012" s="177"/>
      <c r="Q1012" s="178"/>
      <c r="R1012" s="179"/>
      <c r="S1012" s="179"/>
      <c r="T1012" s="177"/>
      <c r="U1012" s="177"/>
      <c r="V1012" s="177"/>
      <c r="W1012" s="177"/>
      <c r="X1012" s="177"/>
      <c r="Y1012" s="177"/>
      <c r="Z1012" s="177"/>
      <c r="AA1012" s="177"/>
      <c r="AB1012" s="177"/>
      <c r="AC1012" s="177"/>
      <c r="AD1012" s="180" t="s">
        <v>2877</v>
      </c>
      <c r="AE1012" s="173" t="s">
        <v>69</v>
      </c>
      <c r="AF1012" s="181" t="s">
        <v>142</v>
      </c>
      <c r="AG1012" s="192" t="s">
        <v>2878</v>
      </c>
      <c r="AH1012" s="198"/>
      <c r="AI1012" s="181">
        <v>44950</v>
      </c>
      <c r="AJ1012" s="181"/>
      <c r="AK1012" s="181">
        <f ca="1">TODAY()</f>
        <v>44958</v>
      </c>
      <c r="AL1012" s="173">
        <f t="shared" ref="AL1012:AL1075" ca="1" si="14">IF(AI1012&lt;&gt;0,AK1012-AI1012,0)</f>
        <v>8</v>
      </c>
      <c r="AM1012" s="173" t="str">
        <f t="shared" ref="AM1012:AM1075" si="15">IF(ISNUMBER(X1012)=TRUE,AK1012-X1012,IF(X1012="","",(AK1012)-(MID(RIGHT(X1012,10),4,2)&amp;"/"&amp;LEFT((RIGHT(X1012,10)),2)&amp;"/"&amp;RIGHT(X1012,4))))</f>
        <v/>
      </c>
      <c r="AN1012" s="181"/>
      <c r="AO1012" s="190" t="s">
        <v>3225</v>
      </c>
      <c r="AP1012" s="176">
        <v>9.6300000000000008</v>
      </c>
      <c r="AQ1012" s="176">
        <v>9.64</v>
      </c>
      <c r="AR1012" s="176">
        <v>9.6649999999999991</v>
      </c>
      <c r="AS1012" s="176">
        <v>9.67</v>
      </c>
      <c r="AT1012" s="173"/>
      <c r="AU1012" s="173">
        <v>465</v>
      </c>
      <c r="AV1012" s="149"/>
      <c r="AW1012" s="142" t="s">
        <v>123</v>
      </c>
      <c r="AY1012" s="212"/>
      <c r="AZ1012" s="196"/>
      <c r="BA1012" s="196"/>
    </row>
    <row r="1013" spans="2:53" s="142" customFormat="1" ht="21" customHeight="1" x14ac:dyDescent="0.25">
      <c r="B1013" s="173" t="str">
        <f t="shared" si="13"/>
        <v>RM-304L/1D-3.79X768</v>
      </c>
      <c r="C1013" s="173" t="s">
        <v>48</v>
      </c>
      <c r="D1013" s="173" t="s">
        <v>48</v>
      </c>
      <c r="E1013" s="190" t="s">
        <v>3228</v>
      </c>
      <c r="F1013" s="190" t="s">
        <v>3229</v>
      </c>
      <c r="G1013" s="173" t="s">
        <v>182</v>
      </c>
      <c r="H1013" s="173" t="s">
        <v>127</v>
      </c>
      <c r="I1013" s="174">
        <v>3.79</v>
      </c>
      <c r="J1013" s="174"/>
      <c r="K1013" s="174"/>
      <c r="L1013" s="174"/>
      <c r="M1013" s="191">
        <v>768</v>
      </c>
      <c r="N1013" s="176">
        <v>10.24</v>
      </c>
      <c r="O1013" s="176"/>
      <c r="P1013" s="177"/>
      <c r="Q1013" s="178"/>
      <c r="R1013" s="179"/>
      <c r="S1013" s="179"/>
      <c r="T1013" s="177"/>
      <c r="U1013" s="177"/>
      <c r="V1013" s="177"/>
      <c r="W1013" s="177"/>
      <c r="X1013" s="177"/>
      <c r="Y1013" s="177"/>
      <c r="Z1013" s="177"/>
      <c r="AA1013" s="177"/>
      <c r="AB1013" s="177"/>
      <c r="AC1013" s="177"/>
      <c r="AD1013" s="180" t="s">
        <v>2877</v>
      </c>
      <c r="AE1013" s="173" t="s">
        <v>69</v>
      </c>
      <c r="AF1013" s="181" t="s">
        <v>142</v>
      </c>
      <c r="AG1013" s="192" t="s">
        <v>2878</v>
      </c>
      <c r="AH1013" s="198"/>
      <c r="AI1013" s="181">
        <v>44950</v>
      </c>
      <c r="AJ1013" s="181"/>
      <c r="AK1013" s="181">
        <f ca="1">TODAY()</f>
        <v>44958</v>
      </c>
      <c r="AL1013" s="173">
        <f t="shared" ca="1" si="14"/>
        <v>8</v>
      </c>
      <c r="AM1013" s="173" t="str">
        <f t="shared" si="15"/>
        <v/>
      </c>
      <c r="AN1013" s="181"/>
      <c r="AO1013" s="190" t="s">
        <v>3230</v>
      </c>
      <c r="AP1013" s="176">
        <v>10.24</v>
      </c>
      <c r="AQ1013" s="176">
        <v>10.25</v>
      </c>
      <c r="AR1013" s="176">
        <v>10.274999999999999</v>
      </c>
      <c r="AS1013" s="176">
        <v>10.28</v>
      </c>
      <c r="AT1013" s="173"/>
      <c r="AU1013" s="173">
        <v>465</v>
      </c>
      <c r="AV1013" s="149"/>
      <c r="AW1013" s="142" t="s">
        <v>123</v>
      </c>
      <c r="AY1013" s="212"/>
      <c r="AZ1013" s="196"/>
      <c r="BA1013" s="196"/>
    </row>
    <row r="1014" spans="2:53" s="142" customFormat="1" ht="21" customHeight="1" x14ac:dyDescent="0.25">
      <c r="B1014" s="173" t="str">
        <f t="shared" si="13"/>
        <v>RM-304L/1D-3.79X767</v>
      </c>
      <c r="C1014" s="173" t="s">
        <v>48</v>
      </c>
      <c r="D1014" s="173" t="s">
        <v>48</v>
      </c>
      <c r="E1014" s="190" t="s">
        <v>3231</v>
      </c>
      <c r="F1014" s="190" t="s">
        <v>3232</v>
      </c>
      <c r="G1014" s="173" t="s">
        <v>182</v>
      </c>
      <c r="H1014" s="173" t="s">
        <v>127</v>
      </c>
      <c r="I1014" s="174">
        <v>3.79</v>
      </c>
      <c r="J1014" s="174"/>
      <c r="K1014" s="174"/>
      <c r="L1014" s="174"/>
      <c r="M1014" s="191">
        <v>767</v>
      </c>
      <c r="N1014" s="176">
        <v>10.195</v>
      </c>
      <c r="O1014" s="176"/>
      <c r="P1014" s="177"/>
      <c r="Q1014" s="178"/>
      <c r="R1014" s="179"/>
      <c r="S1014" s="179"/>
      <c r="T1014" s="177"/>
      <c r="U1014" s="177"/>
      <c r="V1014" s="177"/>
      <c r="W1014" s="177"/>
      <c r="X1014" s="177"/>
      <c r="Y1014" s="177"/>
      <c r="Z1014" s="177"/>
      <c r="AA1014" s="177"/>
      <c r="AB1014" s="177"/>
      <c r="AC1014" s="177"/>
      <c r="AD1014" s="180" t="s">
        <v>2877</v>
      </c>
      <c r="AE1014" s="173" t="s">
        <v>69</v>
      </c>
      <c r="AF1014" s="181" t="s">
        <v>142</v>
      </c>
      <c r="AG1014" s="192" t="s">
        <v>2878</v>
      </c>
      <c r="AH1014" s="198"/>
      <c r="AI1014" s="181">
        <v>44950</v>
      </c>
      <c r="AJ1014" s="181"/>
      <c r="AK1014" s="181">
        <f ca="1">TODAY()</f>
        <v>44958</v>
      </c>
      <c r="AL1014" s="173">
        <f t="shared" ca="1" si="14"/>
        <v>8</v>
      </c>
      <c r="AM1014" s="173" t="str">
        <f t="shared" si="15"/>
        <v/>
      </c>
      <c r="AN1014" s="181"/>
      <c r="AO1014" s="190" t="s">
        <v>3230</v>
      </c>
      <c r="AP1014" s="176">
        <v>10.195</v>
      </c>
      <c r="AQ1014" s="176">
        <v>10.205</v>
      </c>
      <c r="AR1014" s="176">
        <v>10.229999999999999</v>
      </c>
      <c r="AS1014" s="176">
        <v>10.234999999999999</v>
      </c>
      <c r="AT1014" s="173"/>
      <c r="AU1014" s="173">
        <v>465</v>
      </c>
      <c r="AV1014" s="149"/>
      <c r="AW1014" s="142" t="s">
        <v>123</v>
      </c>
      <c r="AY1014" s="212"/>
      <c r="AZ1014" s="196"/>
      <c r="BA1014" s="196"/>
    </row>
    <row r="1015" spans="2:53" s="142" customFormat="1" ht="21" customHeight="1" x14ac:dyDescent="0.25">
      <c r="B1015" s="173" t="str">
        <f t="shared" si="13"/>
        <v>RM-304L/1D-3.79X767</v>
      </c>
      <c r="C1015" s="173" t="s">
        <v>48</v>
      </c>
      <c r="D1015" s="173" t="s">
        <v>48</v>
      </c>
      <c r="E1015" s="190" t="s">
        <v>3233</v>
      </c>
      <c r="F1015" s="190" t="s">
        <v>3234</v>
      </c>
      <c r="G1015" s="173" t="s">
        <v>182</v>
      </c>
      <c r="H1015" s="173" t="s">
        <v>127</v>
      </c>
      <c r="I1015" s="174">
        <v>3.79</v>
      </c>
      <c r="J1015" s="174"/>
      <c r="K1015" s="174"/>
      <c r="L1015" s="174"/>
      <c r="M1015" s="191">
        <v>767</v>
      </c>
      <c r="N1015" s="176">
        <v>10.130000000000001</v>
      </c>
      <c r="O1015" s="176"/>
      <c r="P1015" s="177"/>
      <c r="Q1015" s="178"/>
      <c r="R1015" s="179"/>
      <c r="S1015" s="179"/>
      <c r="T1015" s="177"/>
      <c r="U1015" s="177"/>
      <c r="V1015" s="177"/>
      <c r="W1015" s="177"/>
      <c r="X1015" s="177"/>
      <c r="Y1015" s="177"/>
      <c r="Z1015" s="177"/>
      <c r="AA1015" s="177"/>
      <c r="AB1015" s="177"/>
      <c r="AC1015" s="177"/>
      <c r="AD1015" s="180" t="s">
        <v>2877</v>
      </c>
      <c r="AE1015" s="173" t="s">
        <v>69</v>
      </c>
      <c r="AF1015" s="181" t="s">
        <v>142</v>
      </c>
      <c r="AG1015" s="192" t="s">
        <v>2878</v>
      </c>
      <c r="AH1015" s="198"/>
      <c r="AI1015" s="181">
        <v>44950</v>
      </c>
      <c r="AJ1015" s="181"/>
      <c r="AK1015" s="181">
        <f ca="1">TODAY()</f>
        <v>44958</v>
      </c>
      <c r="AL1015" s="173">
        <f t="shared" ca="1" si="14"/>
        <v>8</v>
      </c>
      <c r="AM1015" s="173" t="str">
        <f t="shared" si="15"/>
        <v/>
      </c>
      <c r="AN1015" s="181"/>
      <c r="AO1015" s="190" t="s">
        <v>3235</v>
      </c>
      <c r="AP1015" s="176">
        <v>10.130000000000001</v>
      </c>
      <c r="AQ1015" s="176">
        <v>10.14</v>
      </c>
      <c r="AR1015" s="176">
        <v>10.164999999999999</v>
      </c>
      <c r="AS1015" s="176">
        <v>10.17</v>
      </c>
      <c r="AT1015" s="173"/>
      <c r="AU1015" s="173">
        <v>465</v>
      </c>
      <c r="AV1015" s="149"/>
      <c r="AW1015" s="142" t="s">
        <v>123</v>
      </c>
      <c r="AY1015" s="212"/>
      <c r="AZ1015" s="196"/>
      <c r="BA1015" s="196"/>
    </row>
    <row r="1016" spans="2:53" s="142" customFormat="1" ht="21" customHeight="1" x14ac:dyDescent="0.25">
      <c r="B1016" s="173" t="str">
        <f t="shared" si="13"/>
        <v>RM-304L/1D-3.79X767</v>
      </c>
      <c r="C1016" s="173" t="s">
        <v>48</v>
      </c>
      <c r="D1016" s="173" t="s">
        <v>48</v>
      </c>
      <c r="E1016" s="190" t="s">
        <v>3236</v>
      </c>
      <c r="F1016" s="190" t="s">
        <v>3237</v>
      </c>
      <c r="G1016" s="173" t="s">
        <v>182</v>
      </c>
      <c r="H1016" s="173" t="s">
        <v>127</v>
      </c>
      <c r="I1016" s="174">
        <v>3.79</v>
      </c>
      <c r="J1016" s="174"/>
      <c r="K1016" s="174"/>
      <c r="L1016" s="174"/>
      <c r="M1016" s="191">
        <v>767</v>
      </c>
      <c r="N1016" s="176">
        <v>10.195</v>
      </c>
      <c r="O1016" s="176"/>
      <c r="P1016" s="177"/>
      <c r="Q1016" s="178"/>
      <c r="R1016" s="179"/>
      <c r="S1016" s="179"/>
      <c r="T1016" s="177"/>
      <c r="U1016" s="177"/>
      <c r="V1016" s="177"/>
      <c r="W1016" s="177"/>
      <c r="X1016" s="177"/>
      <c r="Y1016" s="177"/>
      <c r="Z1016" s="177"/>
      <c r="AA1016" s="177"/>
      <c r="AB1016" s="177"/>
      <c r="AC1016" s="177"/>
      <c r="AD1016" s="180" t="s">
        <v>2877</v>
      </c>
      <c r="AE1016" s="173" t="s">
        <v>69</v>
      </c>
      <c r="AF1016" s="181" t="s">
        <v>142</v>
      </c>
      <c r="AG1016" s="192" t="s">
        <v>2878</v>
      </c>
      <c r="AH1016" s="198"/>
      <c r="AI1016" s="181">
        <v>44950</v>
      </c>
      <c r="AJ1016" s="181"/>
      <c r="AK1016" s="181">
        <f ca="1">TODAY()</f>
        <v>44958</v>
      </c>
      <c r="AL1016" s="173">
        <f t="shared" ca="1" si="14"/>
        <v>8</v>
      </c>
      <c r="AM1016" s="173" t="str">
        <f t="shared" si="15"/>
        <v/>
      </c>
      <c r="AN1016" s="181"/>
      <c r="AO1016" s="190" t="s">
        <v>3235</v>
      </c>
      <c r="AP1016" s="176">
        <v>10.195</v>
      </c>
      <c r="AQ1016" s="176">
        <v>10.205</v>
      </c>
      <c r="AR1016" s="176">
        <v>10.229999999999999</v>
      </c>
      <c r="AS1016" s="176">
        <v>10.234999999999999</v>
      </c>
      <c r="AT1016" s="173"/>
      <c r="AU1016" s="173">
        <v>465</v>
      </c>
      <c r="AV1016" s="149"/>
      <c r="AW1016" s="142" t="s">
        <v>123</v>
      </c>
      <c r="AY1016" s="212"/>
      <c r="AZ1016" s="196"/>
      <c r="BA1016" s="196"/>
    </row>
    <row r="1017" spans="2:53" s="142" customFormat="1" ht="21" customHeight="1" x14ac:dyDescent="0.25">
      <c r="B1017" s="173" t="str">
        <f t="shared" si="13"/>
        <v>RM-304/1D-3.77X771</v>
      </c>
      <c r="C1017" s="173" t="s">
        <v>48</v>
      </c>
      <c r="D1017" s="173" t="s">
        <v>48</v>
      </c>
      <c r="E1017" s="190" t="s">
        <v>3238</v>
      </c>
      <c r="F1017" s="190" t="s">
        <v>3239</v>
      </c>
      <c r="G1017" s="173">
        <v>304</v>
      </c>
      <c r="H1017" s="173" t="s">
        <v>127</v>
      </c>
      <c r="I1017" s="174">
        <v>3.77</v>
      </c>
      <c r="J1017" s="174"/>
      <c r="K1017" s="174"/>
      <c r="L1017" s="174"/>
      <c r="M1017" s="191">
        <v>771</v>
      </c>
      <c r="N1017" s="176">
        <v>12.19</v>
      </c>
      <c r="O1017" s="176"/>
      <c r="P1017" s="177"/>
      <c r="Q1017" s="178"/>
      <c r="R1017" s="179"/>
      <c r="S1017" s="179"/>
      <c r="T1017" s="177"/>
      <c r="U1017" s="177"/>
      <c r="V1017" s="177"/>
      <c r="W1017" s="177"/>
      <c r="X1017" s="177"/>
      <c r="Y1017" s="177"/>
      <c r="Z1017" s="177"/>
      <c r="AA1017" s="177"/>
      <c r="AB1017" s="177"/>
      <c r="AC1017" s="177"/>
      <c r="AD1017" s="180" t="s">
        <v>2877</v>
      </c>
      <c r="AE1017" s="173" t="s">
        <v>69</v>
      </c>
      <c r="AF1017" s="181" t="s">
        <v>142</v>
      </c>
      <c r="AG1017" s="192" t="s">
        <v>2878</v>
      </c>
      <c r="AH1017" s="198"/>
      <c r="AI1017" s="181">
        <v>44950</v>
      </c>
      <c r="AJ1017" s="181"/>
      <c r="AK1017" s="181">
        <f ca="1">TODAY()</f>
        <v>44958</v>
      </c>
      <c r="AL1017" s="173">
        <f t="shared" ca="1" si="14"/>
        <v>8</v>
      </c>
      <c r="AM1017" s="173" t="str">
        <f t="shared" si="15"/>
        <v/>
      </c>
      <c r="AN1017" s="181"/>
      <c r="AO1017" s="190" t="s">
        <v>3240</v>
      </c>
      <c r="AP1017" s="176">
        <v>12.19</v>
      </c>
      <c r="AQ1017" s="176">
        <v>12.2</v>
      </c>
      <c r="AR1017" s="176">
        <v>12.224999999999998</v>
      </c>
      <c r="AS1017" s="176">
        <v>12.229999999999999</v>
      </c>
      <c r="AT1017" s="173"/>
      <c r="AU1017" s="173">
        <v>465</v>
      </c>
      <c r="AV1017" s="149"/>
      <c r="AW1017" s="142" t="s">
        <v>123</v>
      </c>
      <c r="AY1017" s="212"/>
      <c r="AZ1017" s="196"/>
      <c r="BA1017" s="196"/>
    </row>
    <row r="1018" spans="2:53" s="142" customFormat="1" ht="21" customHeight="1" x14ac:dyDescent="0.25">
      <c r="B1018" s="173" t="str">
        <f t="shared" si="13"/>
        <v>RM-304/1D-3.77X768</v>
      </c>
      <c r="C1018" s="173" t="s">
        <v>48</v>
      </c>
      <c r="D1018" s="173" t="s">
        <v>48</v>
      </c>
      <c r="E1018" s="190" t="s">
        <v>3241</v>
      </c>
      <c r="F1018" s="190" t="s">
        <v>3242</v>
      </c>
      <c r="G1018" s="173">
        <v>304</v>
      </c>
      <c r="H1018" s="173" t="s">
        <v>127</v>
      </c>
      <c r="I1018" s="174">
        <v>3.77</v>
      </c>
      <c r="J1018" s="174"/>
      <c r="K1018" s="174"/>
      <c r="L1018" s="174"/>
      <c r="M1018" s="191">
        <v>768</v>
      </c>
      <c r="N1018" s="176">
        <v>12.07</v>
      </c>
      <c r="O1018" s="176"/>
      <c r="P1018" s="177"/>
      <c r="Q1018" s="178"/>
      <c r="R1018" s="179"/>
      <c r="S1018" s="179"/>
      <c r="T1018" s="177"/>
      <c r="U1018" s="177"/>
      <c r="V1018" s="177"/>
      <c r="W1018" s="177"/>
      <c r="X1018" s="177"/>
      <c r="Y1018" s="177"/>
      <c r="Z1018" s="177"/>
      <c r="AA1018" s="177"/>
      <c r="AB1018" s="177"/>
      <c r="AC1018" s="177"/>
      <c r="AD1018" s="180" t="s">
        <v>2877</v>
      </c>
      <c r="AE1018" s="173" t="s">
        <v>69</v>
      </c>
      <c r="AF1018" s="181" t="s">
        <v>142</v>
      </c>
      <c r="AG1018" s="192" t="s">
        <v>2878</v>
      </c>
      <c r="AH1018" s="198"/>
      <c r="AI1018" s="181">
        <v>44950</v>
      </c>
      <c r="AJ1018" s="181"/>
      <c r="AK1018" s="181">
        <f ca="1">TODAY()</f>
        <v>44958</v>
      </c>
      <c r="AL1018" s="173">
        <f t="shared" ca="1" si="14"/>
        <v>8</v>
      </c>
      <c r="AM1018" s="173" t="str">
        <f t="shared" si="15"/>
        <v/>
      </c>
      <c r="AN1018" s="181"/>
      <c r="AO1018" s="190" t="s">
        <v>3240</v>
      </c>
      <c r="AP1018" s="176">
        <v>12.07</v>
      </c>
      <c r="AQ1018" s="176">
        <v>12.08</v>
      </c>
      <c r="AR1018" s="176">
        <v>12.104999999999999</v>
      </c>
      <c r="AS1018" s="176">
        <v>12.11</v>
      </c>
      <c r="AT1018" s="173"/>
      <c r="AU1018" s="173">
        <v>465</v>
      </c>
      <c r="AV1018" s="149"/>
      <c r="AW1018" s="142" t="s">
        <v>123</v>
      </c>
      <c r="AY1018" s="212"/>
      <c r="AZ1018" s="196"/>
      <c r="BA1018" s="196"/>
    </row>
    <row r="1019" spans="2:53" s="142" customFormat="1" ht="21" customHeight="1" x14ac:dyDescent="0.25">
      <c r="B1019" s="173" t="str">
        <f t="shared" si="13"/>
        <v>RM-304/1D-3.78X764</v>
      </c>
      <c r="C1019" s="173" t="s">
        <v>48</v>
      </c>
      <c r="D1019" s="173" t="s">
        <v>48</v>
      </c>
      <c r="E1019" s="190" t="s">
        <v>3243</v>
      </c>
      <c r="F1019" s="190" t="s">
        <v>3244</v>
      </c>
      <c r="G1019" s="173">
        <v>304</v>
      </c>
      <c r="H1019" s="173" t="s">
        <v>127</v>
      </c>
      <c r="I1019" s="174">
        <v>3.78</v>
      </c>
      <c r="J1019" s="174"/>
      <c r="K1019" s="174"/>
      <c r="L1019" s="174"/>
      <c r="M1019" s="191">
        <v>764</v>
      </c>
      <c r="N1019" s="176">
        <v>10.395</v>
      </c>
      <c r="O1019" s="176"/>
      <c r="P1019" s="177"/>
      <c r="Q1019" s="178"/>
      <c r="R1019" s="179"/>
      <c r="S1019" s="179"/>
      <c r="T1019" s="177"/>
      <c r="U1019" s="177"/>
      <c r="V1019" s="177"/>
      <c r="W1019" s="177"/>
      <c r="X1019" s="177"/>
      <c r="Y1019" s="177"/>
      <c r="Z1019" s="177"/>
      <c r="AA1019" s="177"/>
      <c r="AB1019" s="177"/>
      <c r="AC1019" s="177"/>
      <c r="AD1019" s="180" t="s">
        <v>2877</v>
      </c>
      <c r="AE1019" s="173" t="s">
        <v>69</v>
      </c>
      <c r="AF1019" s="181" t="s">
        <v>142</v>
      </c>
      <c r="AG1019" s="192" t="s">
        <v>2878</v>
      </c>
      <c r="AH1019" s="198"/>
      <c r="AI1019" s="181">
        <v>44950</v>
      </c>
      <c r="AJ1019" s="181"/>
      <c r="AK1019" s="181">
        <f ca="1">TODAY()</f>
        <v>44958</v>
      </c>
      <c r="AL1019" s="173">
        <f t="shared" ca="1" si="14"/>
        <v>8</v>
      </c>
      <c r="AM1019" s="173" t="str">
        <f t="shared" si="15"/>
        <v/>
      </c>
      <c r="AN1019" s="181"/>
      <c r="AO1019" s="190" t="s">
        <v>3245</v>
      </c>
      <c r="AP1019" s="176">
        <v>10.395</v>
      </c>
      <c r="AQ1019" s="176">
        <v>10.404999999999999</v>
      </c>
      <c r="AR1019" s="176">
        <v>10.429999999999998</v>
      </c>
      <c r="AS1019" s="176">
        <v>10.434999999999999</v>
      </c>
      <c r="AT1019" s="173"/>
      <c r="AU1019" s="173">
        <v>465</v>
      </c>
      <c r="AV1019" s="149"/>
      <c r="AW1019" s="142" t="s">
        <v>123</v>
      </c>
      <c r="AY1019" s="212"/>
      <c r="AZ1019" s="196"/>
      <c r="BA1019" s="196"/>
    </row>
    <row r="1020" spans="2:53" s="142" customFormat="1" ht="21" customHeight="1" x14ac:dyDescent="0.25">
      <c r="B1020" s="173" t="str">
        <f t="shared" si="13"/>
        <v>RM-304/1D-3.78X767</v>
      </c>
      <c r="C1020" s="173" t="s">
        <v>48</v>
      </c>
      <c r="D1020" s="173" t="s">
        <v>48</v>
      </c>
      <c r="E1020" s="190" t="s">
        <v>3246</v>
      </c>
      <c r="F1020" s="190" t="s">
        <v>3247</v>
      </c>
      <c r="G1020" s="173">
        <v>304</v>
      </c>
      <c r="H1020" s="173" t="s">
        <v>127</v>
      </c>
      <c r="I1020" s="174">
        <v>3.78</v>
      </c>
      <c r="J1020" s="174"/>
      <c r="K1020" s="174"/>
      <c r="L1020" s="174"/>
      <c r="M1020" s="191">
        <v>767</v>
      </c>
      <c r="N1020" s="176">
        <v>10.465</v>
      </c>
      <c r="O1020" s="176"/>
      <c r="P1020" s="177"/>
      <c r="Q1020" s="178"/>
      <c r="R1020" s="179"/>
      <c r="S1020" s="179"/>
      <c r="T1020" s="177"/>
      <c r="U1020" s="177"/>
      <c r="V1020" s="177"/>
      <c r="W1020" s="177"/>
      <c r="X1020" s="177"/>
      <c r="Y1020" s="177"/>
      <c r="Z1020" s="177"/>
      <c r="AA1020" s="177"/>
      <c r="AB1020" s="177"/>
      <c r="AC1020" s="177"/>
      <c r="AD1020" s="180" t="s">
        <v>2877</v>
      </c>
      <c r="AE1020" s="173" t="s">
        <v>69</v>
      </c>
      <c r="AF1020" s="181" t="s">
        <v>142</v>
      </c>
      <c r="AG1020" s="192" t="s">
        <v>2878</v>
      </c>
      <c r="AH1020" s="198"/>
      <c r="AI1020" s="181">
        <v>44950</v>
      </c>
      <c r="AJ1020" s="181"/>
      <c r="AK1020" s="181">
        <f ca="1">TODAY()</f>
        <v>44958</v>
      </c>
      <c r="AL1020" s="173">
        <f t="shared" ca="1" si="14"/>
        <v>8</v>
      </c>
      <c r="AM1020" s="173" t="str">
        <f t="shared" si="15"/>
        <v/>
      </c>
      <c r="AN1020" s="181"/>
      <c r="AO1020" s="190" t="s">
        <v>3245</v>
      </c>
      <c r="AP1020" s="176">
        <v>10.465</v>
      </c>
      <c r="AQ1020" s="176">
        <v>10.475</v>
      </c>
      <c r="AR1020" s="176">
        <v>10.499999999999998</v>
      </c>
      <c r="AS1020" s="176">
        <v>10.504999999999999</v>
      </c>
      <c r="AT1020" s="173"/>
      <c r="AU1020" s="173">
        <v>465</v>
      </c>
      <c r="AV1020" s="149"/>
      <c r="AW1020" s="142" t="s">
        <v>123</v>
      </c>
      <c r="AY1020" s="212"/>
      <c r="AZ1020" s="196"/>
      <c r="BA1020" s="196"/>
    </row>
    <row r="1021" spans="2:53" s="142" customFormat="1" ht="21" customHeight="1" x14ac:dyDescent="0.25">
      <c r="B1021" s="173" t="str">
        <f t="shared" si="13"/>
        <v>RM-304L/1D-3.78X767</v>
      </c>
      <c r="C1021" s="173" t="s">
        <v>48</v>
      </c>
      <c r="D1021" s="173" t="s">
        <v>48</v>
      </c>
      <c r="E1021" s="190" t="s">
        <v>3248</v>
      </c>
      <c r="F1021" s="190" t="s">
        <v>3249</v>
      </c>
      <c r="G1021" s="173" t="s">
        <v>182</v>
      </c>
      <c r="H1021" s="173" t="s">
        <v>127</v>
      </c>
      <c r="I1021" s="174">
        <v>3.78</v>
      </c>
      <c r="J1021" s="174"/>
      <c r="K1021" s="174"/>
      <c r="L1021" s="174"/>
      <c r="M1021" s="191">
        <v>767</v>
      </c>
      <c r="N1021" s="176">
        <v>10.39</v>
      </c>
      <c r="O1021" s="176"/>
      <c r="P1021" s="177"/>
      <c r="Q1021" s="178"/>
      <c r="R1021" s="179"/>
      <c r="S1021" s="179"/>
      <c r="T1021" s="177"/>
      <c r="U1021" s="177"/>
      <c r="V1021" s="177"/>
      <c r="W1021" s="177"/>
      <c r="X1021" s="177"/>
      <c r="Y1021" s="177"/>
      <c r="Z1021" s="177"/>
      <c r="AA1021" s="177"/>
      <c r="AB1021" s="177"/>
      <c r="AC1021" s="177"/>
      <c r="AD1021" s="180" t="s">
        <v>2877</v>
      </c>
      <c r="AE1021" s="173" t="s">
        <v>69</v>
      </c>
      <c r="AF1021" s="181" t="s">
        <v>142</v>
      </c>
      <c r="AG1021" s="192" t="s">
        <v>2878</v>
      </c>
      <c r="AH1021" s="198"/>
      <c r="AI1021" s="181">
        <v>44950</v>
      </c>
      <c r="AJ1021" s="181"/>
      <c r="AK1021" s="181">
        <f ca="1">TODAY()</f>
        <v>44958</v>
      </c>
      <c r="AL1021" s="173">
        <f t="shared" ca="1" si="14"/>
        <v>8</v>
      </c>
      <c r="AM1021" s="173" t="str">
        <f t="shared" si="15"/>
        <v/>
      </c>
      <c r="AN1021" s="181"/>
      <c r="AO1021" s="190" t="s">
        <v>3250</v>
      </c>
      <c r="AP1021" s="176">
        <v>10.39</v>
      </c>
      <c r="AQ1021" s="176">
        <v>10.4</v>
      </c>
      <c r="AR1021" s="176">
        <v>10.424999999999999</v>
      </c>
      <c r="AS1021" s="176">
        <v>10.43</v>
      </c>
      <c r="AT1021" s="173"/>
      <c r="AU1021" s="173">
        <v>465</v>
      </c>
      <c r="AV1021" s="149"/>
      <c r="AW1021" s="142" t="s">
        <v>123</v>
      </c>
      <c r="AY1021" s="212"/>
      <c r="AZ1021" s="196"/>
      <c r="BA1021" s="196"/>
    </row>
    <row r="1022" spans="2:53" s="142" customFormat="1" ht="21" customHeight="1" x14ac:dyDescent="0.25">
      <c r="B1022" s="173" t="str">
        <f t="shared" ref="B1022:B1085" si="16">IF(C1022="HOLD RM","HOLD RM",IF(C1022="BAL","WIP",IF(C1022="HOLD SLT","HOLD SLT",IF(C1022="MILL","RM",IF(C1022="RE SLT","WIP",IF(C1022="RM","RM",IF(C1022="RM BAL","RM",IF(C1022="RM SLT","RM",IF(C1022="RR","WIP",IF(C1022="SKP","WIP",IF(C1022="SLT","WIP",IF(C1022="CTL","WIP",IF(C1022="RM SLT RUST","RM SLT RUST",0)))))))))))))&amp;"-"&amp;G1022&amp;"/"&amp;IF(H1022="2B","2B",IF(H1022="NO.1","1D",IF(H1022="FH","FH",0)))&amp;"-"&amp;IF(J1022="",(TEXT(I1022,"0.00")),TEXT(J1022,"0.00"))&amp;"X"&amp;M1022</f>
        <v>RM-304L/1D-3.78X768</v>
      </c>
      <c r="C1022" s="173" t="s">
        <v>48</v>
      </c>
      <c r="D1022" s="173" t="s">
        <v>48</v>
      </c>
      <c r="E1022" s="190" t="s">
        <v>3251</v>
      </c>
      <c r="F1022" s="190" t="s">
        <v>3252</v>
      </c>
      <c r="G1022" s="173" t="s">
        <v>182</v>
      </c>
      <c r="H1022" s="173" t="s">
        <v>127</v>
      </c>
      <c r="I1022" s="174">
        <v>3.78</v>
      </c>
      <c r="J1022" s="174"/>
      <c r="K1022" s="174"/>
      <c r="L1022" s="174"/>
      <c r="M1022" s="191">
        <v>768</v>
      </c>
      <c r="N1022" s="176">
        <v>10.4</v>
      </c>
      <c r="O1022" s="176"/>
      <c r="P1022" s="177"/>
      <c r="Q1022" s="178"/>
      <c r="R1022" s="179"/>
      <c r="S1022" s="179"/>
      <c r="T1022" s="177"/>
      <c r="U1022" s="177"/>
      <c r="V1022" s="177"/>
      <c r="W1022" s="177"/>
      <c r="X1022" s="177"/>
      <c r="Y1022" s="177"/>
      <c r="Z1022" s="177"/>
      <c r="AA1022" s="177"/>
      <c r="AB1022" s="177"/>
      <c r="AC1022" s="177"/>
      <c r="AD1022" s="180" t="s">
        <v>2877</v>
      </c>
      <c r="AE1022" s="173" t="s">
        <v>69</v>
      </c>
      <c r="AF1022" s="181" t="s">
        <v>142</v>
      </c>
      <c r="AG1022" s="192" t="s">
        <v>2878</v>
      </c>
      <c r="AH1022" s="198"/>
      <c r="AI1022" s="181">
        <v>44950</v>
      </c>
      <c r="AJ1022" s="181"/>
      <c r="AK1022" s="181">
        <f ca="1">TODAY()</f>
        <v>44958</v>
      </c>
      <c r="AL1022" s="173">
        <f t="shared" ca="1" si="14"/>
        <v>8</v>
      </c>
      <c r="AM1022" s="173" t="str">
        <f t="shared" si="15"/>
        <v/>
      </c>
      <c r="AN1022" s="181"/>
      <c r="AO1022" s="190" t="s">
        <v>3250</v>
      </c>
      <c r="AP1022" s="176">
        <v>10.4</v>
      </c>
      <c r="AQ1022" s="176">
        <v>10.41</v>
      </c>
      <c r="AR1022" s="176">
        <v>10.434999999999999</v>
      </c>
      <c r="AS1022" s="176">
        <v>10.44</v>
      </c>
      <c r="AT1022" s="173"/>
      <c r="AU1022" s="173">
        <v>465</v>
      </c>
      <c r="AV1022" s="149"/>
      <c r="AW1022" s="142" t="s">
        <v>123</v>
      </c>
      <c r="AY1022" s="212"/>
      <c r="AZ1022" s="196"/>
      <c r="BA1022" s="196"/>
    </row>
    <row r="1023" spans="2:53" s="142" customFormat="1" ht="21" customHeight="1" x14ac:dyDescent="0.25">
      <c r="B1023" s="173" t="str">
        <f t="shared" si="16"/>
        <v>RM-304L/1D-3.78X767</v>
      </c>
      <c r="C1023" s="173" t="s">
        <v>48</v>
      </c>
      <c r="D1023" s="173" t="s">
        <v>48</v>
      </c>
      <c r="E1023" s="190" t="s">
        <v>3253</v>
      </c>
      <c r="F1023" s="190" t="s">
        <v>3254</v>
      </c>
      <c r="G1023" s="173" t="s">
        <v>182</v>
      </c>
      <c r="H1023" s="173" t="s">
        <v>127</v>
      </c>
      <c r="I1023" s="174">
        <v>3.78</v>
      </c>
      <c r="J1023" s="174"/>
      <c r="K1023" s="174"/>
      <c r="L1023" s="174"/>
      <c r="M1023" s="191">
        <v>767</v>
      </c>
      <c r="N1023" s="176">
        <v>11.605</v>
      </c>
      <c r="O1023" s="176"/>
      <c r="P1023" s="177"/>
      <c r="Q1023" s="178"/>
      <c r="R1023" s="179"/>
      <c r="S1023" s="179"/>
      <c r="T1023" s="177"/>
      <c r="U1023" s="177"/>
      <c r="V1023" s="177"/>
      <c r="W1023" s="177"/>
      <c r="X1023" s="177"/>
      <c r="Y1023" s="177"/>
      <c r="Z1023" s="177"/>
      <c r="AA1023" s="177"/>
      <c r="AB1023" s="177"/>
      <c r="AC1023" s="177"/>
      <c r="AD1023" s="180" t="s">
        <v>2877</v>
      </c>
      <c r="AE1023" s="173" t="s">
        <v>69</v>
      </c>
      <c r="AF1023" s="181" t="s">
        <v>142</v>
      </c>
      <c r="AG1023" s="192" t="s">
        <v>2878</v>
      </c>
      <c r="AH1023" s="198"/>
      <c r="AI1023" s="181">
        <v>44950</v>
      </c>
      <c r="AJ1023" s="181"/>
      <c r="AK1023" s="181">
        <f ca="1">TODAY()</f>
        <v>44958</v>
      </c>
      <c r="AL1023" s="173">
        <f t="shared" ca="1" si="14"/>
        <v>8</v>
      </c>
      <c r="AM1023" s="173" t="str">
        <f t="shared" si="15"/>
        <v/>
      </c>
      <c r="AN1023" s="181"/>
      <c r="AO1023" s="190" t="s">
        <v>3255</v>
      </c>
      <c r="AP1023" s="176">
        <v>11.605</v>
      </c>
      <c r="AQ1023" s="176">
        <v>11.615</v>
      </c>
      <c r="AR1023" s="176">
        <v>11.639999999999999</v>
      </c>
      <c r="AS1023" s="176">
        <v>11.645</v>
      </c>
      <c r="AT1023" s="173"/>
      <c r="AU1023" s="173">
        <v>465</v>
      </c>
      <c r="AV1023" s="149"/>
      <c r="AW1023" s="142" t="s">
        <v>123</v>
      </c>
      <c r="AY1023" s="212"/>
      <c r="AZ1023" s="196"/>
      <c r="BA1023" s="196"/>
    </row>
    <row r="1024" spans="2:53" s="142" customFormat="1" ht="21" customHeight="1" x14ac:dyDescent="0.25">
      <c r="B1024" s="173" t="str">
        <f t="shared" si="16"/>
        <v>RM-304L/1D-3.78X768</v>
      </c>
      <c r="C1024" s="173" t="s">
        <v>48</v>
      </c>
      <c r="D1024" s="173" t="s">
        <v>48</v>
      </c>
      <c r="E1024" s="190" t="s">
        <v>3256</v>
      </c>
      <c r="F1024" s="190" t="s">
        <v>3257</v>
      </c>
      <c r="G1024" s="173" t="s">
        <v>182</v>
      </c>
      <c r="H1024" s="173" t="s">
        <v>127</v>
      </c>
      <c r="I1024" s="174">
        <v>3.78</v>
      </c>
      <c r="J1024" s="174"/>
      <c r="K1024" s="174"/>
      <c r="L1024" s="174"/>
      <c r="M1024" s="191">
        <v>768</v>
      </c>
      <c r="N1024" s="176">
        <v>11.645</v>
      </c>
      <c r="O1024" s="176"/>
      <c r="P1024" s="177"/>
      <c r="Q1024" s="178"/>
      <c r="R1024" s="179"/>
      <c r="S1024" s="179"/>
      <c r="T1024" s="177"/>
      <c r="U1024" s="177"/>
      <c r="V1024" s="177"/>
      <c r="W1024" s="177"/>
      <c r="X1024" s="177"/>
      <c r="Y1024" s="177"/>
      <c r="Z1024" s="177"/>
      <c r="AA1024" s="177"/>
      <c r="AB1024" s="177"/>
      <c r="AC1024" s="177"/>
      <c r="AD1024" s="180" t="s">
        <v>2877</v>
      </c>
      <c r="AE1024" s="173" t="s">
        <v>69</v>
      </c>
      <c r="AF1024" s="181" t="s">
        <v>142</v>
      </c>
      <c r="AG1024" s="192" t="s">
        <v>2878</v>
      </c>
      <c r="AH1024" s="198"/>
      <c r="AI1024" s="181">
        <v>44950</v>
      </c>
      <c r="AJ1024" s="181"/>
      <c r="AK1024" s="181">
        <f ca="1">TODAY()</f>
        <v>44958</v>
      </c>
      <c r="AL1024" s="173">
        <f t="shared" ca="1" si="14"/>
        <v>8</v>
      </c>
      <c r="AM1024" s="173" t="str">
        <f t="shared" si="15"/>
        <v/>
      </c>
      <c r="AN1024" s="181"/>
      <c r="AO1024" s="190" t="s">
        <v>3255</v>
      </c>
      <c r="AP1024" s="176">
        <v>11.645</v>
      </c>
      <c r="AQ1024" s="176">
        <v>11.654999999999999</v>
      </c>
      <c r="AR1024" s="176">
        <v>11.679999999999998</v>
      </c>
      <c r="AS1024" s="176">
        <v>11.684999999999999</v>
      </c>
      <c r="AT1024" s="173"/>
      <c r="AU1024" s="173">
        <v>465</v>
      </c>
      <c r="AV1024" s="149"/>
      <c r="AW1024" s="142" t="s">
        <v>123</v>
      </c>
      <c r="AY1024" s="212"/>
      <c r="AZ1024" s="196"/>
      <c r="BA1024" s="196"/>
    </row>
    <row r="1025" spans="2:53" s="142" customFormat="1" ht="21" customHeight="1" x14ac:dyDescent="0.25">
      <c r="B1025" s="173" t="str">
        <f t="shared" si="16"/>
        <v>RM-304/1D-3.78X773</v>
      </c>
      <c r="C1025" s="173" t="s">
        <v>48</v>
      </c>
      <c r="D1025" s="173" t="s">
        <v>48</v>
      </c>
      <c r="E1025" s="190" t="s">
        <v>3258</v>
      </c>
      <c r="F1025" s="190" t="s">
        <v>3259</v>
      </c>
      <c r="G1025" s="173">
        <v>304</v>
      </c>
      <c r="H1025" s="173" t="s">
        <v>127</v>
      </c>
      <c r="I1025" s="174">
        <v>3.78</v>
      </c>
      <c r="J1025" s="174"/>
      <c r="K1025" s="174"/>
      <c r="L1025" s="174"/>
      <c r="M1025" s="191">
        <v>773</v>
      </c>
      <c r="N1025" s="176">
        <v>12.005000000000001</v>
      </c>
      <c r="O1025" s="176"/>
      <c r="P1025" s="177"/>
      <c r="Q1025" s="178"/>
      <c r="R1025" s="179"/>
      <c r="S1025" s="179"/>
      <c r="T1025" s="177"/>
      <c r="U1025" s="177"/>
      <c r="V1025" s="177"/>
      <c r="W1025" s="177"/>
      <c r="X1025" s="177"/>
      <c r="Y1025" s="177"/>
      <c r="Z1025" s="177"/>
      <c r="AA1025" s="177"/>
      <c r="AB1025" s="177"/>
      <c r="AC1025" s="177"/>
      <c r="AD1025" s="180" t="s">
        <v>2877</v>
      </c>
      <c r="AE1025" s="173" t="s">
        <v>69</v>
      </c>
      <c r="AF1025" s="181" t="s">
        <v>142</v>
      </c>
      <c r="AG1025" s="192" t="s">
        <v>2878</v>
      </c>
      <c r="AH1025" s="198"/>
      <c r="AI1025" s="181">
        <v>44950</v>
      </c>
      <c r="AJ1025" s="181"/>
      <c r="AK1025" s="181">
        <f ca="1">TODAY()</f>
        <v>44958</v>
      </c>
      <c r="AL1025" s="173">
        <f t="shared" ca="1" si="14"/>
        <v>8</v>
      </c>
      <c r="AM1025" s="173" t="str">
        <f t="shared" si="15"/>
        <v/>
      </c>
      <c r="AN1025" s="181"/>
      <c r="AO1025" s="190" t="s">
        <v>3260</v>
      </c>
      <c r="AP1025" s="176">
        <v>12.005000000000001</v>
      </c>
      <c r="AQ1025" s="176">
        <v>12.015000000000001</v>
      </c>
      <c r="AR1025" s="176">
        <v>12.04</v>
      </c>
      <c r="AS1025" s="176">
        <v>12.045</v>
      </c>
      <c r="AT1025" s="173"/>
      <c r="AU1025" s="173">
        <v>465</v>
      </c>
      <c r="AV1025" s="149"/>
      <c r="AW1025" s="142" t="s">
        <v>123</v>
      </c>
      <c r="AY1025" s="212"/>
      <c r="AZ1025" s="196"/>
      <c r="BA1025" s="196"/>
    </row>
    <row r="1026" spans="2:53" s="142" customFormat="1" ht="21" customHeight="1" x14ac:dyDescent="0.25">
      <c r="B1026" s="173" t="str">
        <f t="shared" si="16"/>
        <v>RM-304/1D-3.78X771</v>
      </c>
      <c r="C1026" s="173" t="s">
        <v>48</v>
      </c>
      <c r="D1026" s="173" t="s">
        <v>48</v>
      </c>
      <c r="E1026" s="190" t="s">
        <v>3261</v>
      </c>
      <c r="F1026" s="190" t="s">
        <v>3262</v>
      </c>
      <c r="G1026" s="173">
        <v>304</v>
      </c>
      <c r="H1026" s="173" t="s">
        <v>127</v>
      </c>
      <c r="I1026" s="174">
        <v>3.78</v>
      </c>
      <c r="J1026" s="174"/>
      <c r="K1026" s="174"/>
      <c r="L1026" s="174"/>
      <c r="M1026" s="191">
        <v>771</v>
      </c>
      <c r="N1026" s="176">
        <v>11.95</v>
      </c>
      <c r="O1026" s="176"/>
      <c r="P1026" s="177"/>
      <c r="Q1026" s="178"/>
      <c r="R1026" s="179"/>
      <c r="S1026" s="179"/>
      <c r="T1026" s="177"/>
      <c r="U1026" s="177"/>
      <c r="V1026" s="177"/>
      <c r="W1026" s="177"/>
      <c r="X1026" s="177"/>
      <c r="Y1026" s="177"/>
      <c r="Z1026" s="177"/>
      <c r="AA1026" s="177"/>
      <c r="AB1026" s="177"/>
      <c r="AC1026" s="177"/>
      <c r="AD1026" s="180" t="s">
        <v>2877</v>
      </c>
      <c r="AE1026" s="173" t="s">
        <v>69</v>
      </c>
      <c r="AF1026" s="181" t="s">
        <v>142</v>
      </c>
      <c r="AG1026" s="192" t="s">
        <v>2878</v>
      </c>
      <c r="AH1026" s="198"/>
      <c r="AI1026" s="181">
        <v>44950</v>
      </c>
      <c r="AJ1026" s="181"/>
      <c r="AK1026" s="181">
        <f ca="1">TODAY()</f>
        <v>44958</v>
      </c>
      <c r="AL1026" s="173">
        <f t="shared" ca="1" si="14"/>
        <v>8</v>
      </c>
      <c r="AM1026" s="173" t="str">
        <f t="shared" si="15"/>
        <v/>
      </c>
      <c r="AN1026" s="181"/>
      <c r="AO1026" s="190" t="s">
        <v>3260</v>
      </c>
      <c r="AP1026" s="176">
        <v>11.95</v>
      </c>
      <c r="AQ1026" s="176">
        <v>11.959999999999999</v>
      </c>
      <c r="AR1026" s="176">
        <v>11.984999999999998</v>
      </c>
      <c r="AS1026" s="176">
        <v>11.989999999999998</v>
      </c>
      <c r="AT1026" s="173"/>
      <c r="AU1026" s="173">
        <v>465</v>
      </c>
      <c r="AV1026" s="149"/>
      <c r="AW1026" s="142" t="s">
        <v>123</v>
      </c>
      <c r="AY1026" s="212"/>
      <c r="AZ1026" s="196"/>
      <c r="BA1026" s="196"/>
    </row>
    <row r="1027" spans="2:53" s="142" customFormat="1" ht="21" customHeight="1" x14ac:dyDescent="0.25">
      <c r="B1027" s="173" t="str">
        <f t="shared" si="16"/>
        <v>RM-304/1D-3.78X762</v>
      </c>
      <c r="C1027" s="173" t="s">
        <v>48</v>
      </c>
      <c r="D1027" s="173" t="s">
        <v>48</v>
      </c>
      <c r="E1027" s="190" t="s">
        <v>3263</v>
      </c>
      <c r="F1027" s="190" t="s">
        <v>3264</v>
      </c>
      <c r="G1027" s="173">
        <v>304</v>
      </c>
      <c r="H1027" s="173" t="s">
        <v>127</v>
      </c>
      <c r="I1027" s="174">
        <v>3.78</v>
      </c>
      <c r="J1027" s="174"/>
      <c r="K1027" s="174"/>
      <c r="L1027" s="174"/>
      <c r="M1027" s="191">
        <v>762</v>
      </c>
      <c r="N1027" s="176">
        <v>10.31</v>
      </c>
      <c r="O1027" s="176"/>
      <c r="P1027" s="177"/>
      <c r="Q1027" s="178"/>
      <c r="R1027" s="179"/>
      <c r="S1027" s="179"/>
      <c r="T1027" s="177"/>
      <c r="U1027" s="177"/>
      <c r="V1027" s="177"/>
      <c r="W1027" s="177"/>
      <c r="X1027" s="177"/>
      <c r="Y1027" s="177"/>
      <c r="Z1027" s="177"/>
      <c r="AA1027" s="177"/>
      <c r="AB1027" s="177"/>
      <c r="AC1027" s="177"/>
      <c r="AD1027" s="180" t="s">
        <v>2877</v>
      </c>
      <c r="AE1027" s="173" t="s">
        <v>69</v>
      </c>
      <c r="AF1027" s="181" t="s">
        <v>142</v>
      </c>
      <c r="AG1027" s="192" t="s">
        <v>2878</v>
      </c>
      <c r="AH1027" s="198"/>
      <c r="AI1027" s="181">
        <v>44950</v>
      </c>
      <c r="AJ1027" s="181"/>
      <c r="AK1027" s="181">
        <f ca="1">TODAY()</f>
        <v>44958</v>
      </c>
      <c r="AL1027" s="173">
        <f t="shared" ca="1" si="14"/>
        <v>8</v>
      </c>
      <c r="AM1027" s="173" t="str">
        <f t="shared" si="15"/>
        <v/>
      </c>
      <c r="AN1027" s="181"/>
      <c r="AO1027" s="190" t="s">
        <v>3265</v>
      </c>
      <c r="AP1027" s="176">
        <v>10.31</v>
      </c>
      <c r="AQ1027" s="176">
        <v>10.32</v>
      </c>
      <c r="AR1027" s="176">
        <v>10.344999999999999</v>
      </c>
      <c r="AS1027" s="176">
        <v>10.35</v>
      </c>
      <c r="AT1027" s="173"/>
      <c r="AU1027" s="173">
        <v>465</v>
      </c>
      <c r="AV1027" s="149"/>
      <c r="AW1027" s="142" t="s">
        <v>123</v>
      </c>
      <c r="AY1027" s="212"/>
      <c r="AZ1027" s="196"/>
      <c r="BA1027" s="196"/>
    </row>
    <row r="1028" spans="2:53" s="142" customFormat="1" ht="21" customHeight="1" x14ac:dyDescent="0.25">
      <c r="B1028" s="173" t="str">
        <f t="shared" si="16"/>
        <v>RM-304/1D-3.78X770</v>
      </c>
      <c r="C1028" s="173" t="s">
        <v>48</v>
      </c>
      <c r="D1028" s="173" t="s">
        <v>48</v>
      </c>
      <c r="E1028" s="190" t="s">
        <v>3266</v>
      </c>
      <c r="F1028" s="190" t="s">
        <v>3267</v>
      </c>
      <c r="G1028" s="173">
        <v>304</v>
      </c>
      <c r="H1028" s="173" t="s">
        <v>127</v>
      </c>
      <c r="I1028" s="174">
        <v>3.78</v>
      </c>
      <c r="J1028" s="174"/>
      <c r="K1028" s="174"/>
      <c r="L1028" s="174"/>
      <c r="M1028" s="191">
        <v>770</v>
      </c>
      <c r="N1028" s="176">
        <v>10.44</v>
      </c>
      <c r="O1028" s="176"/>
      <c r="P1028" s="177"/>
      <c r="Q1028" s="178"/>
      <c r="R1028" s="179"/>
      <c r="S1028" s="179"/>
      <c r="T1028" s="177"/>
      <c r="U1028" s="177"/>
      <c r="V1028" s="177"/>
      <c r="W1028" s="177"/>
      <c r="X1028" s="177"/>
      <c r="Y1028" s="177"/>
      <c r="Z1028" s="177"/>
      <c r="AA1028" s="177"/>
      <c r="AB1028" s="177"/>
      <c r="AC1028" s="177"/>
      <c r="AD1028" s="180" t="s">
        <v>2877</v>
      </c>
      <c r="AE1028" s="173" t="s">
        <v>69</v>
      </c>
      <c r="AF1028" s="181" t="s">
        <v>142</v>
      </c>
      <c r="AG1028" s="192" t="s">
        <v>2878</v>
      </c>
      <c r="AH1028" s="198"/>
      <c r="AI1028" s="181">
        <v>44950</v>
      </c>
      <c r="AJ1028" s="181"/>
      <c r="AK1028" s="181">
        <f ca="1">TODAY()</f>
        <v>44958</v>
      </c>
      <c r="AL1028" s="173">
        <f t="shared" ca="1" si="14"/>
        <v>8</v>
      </c>
      <c r="AM1028" s="173" t="str">
        <f t="shared" si="15"/>
        <v/>
      </c>
      <c r="AN1028" s="181"/>
      <c r="AO1028" s="190" t="s">
        <v>3265</v>
      </c>
      <c r="AP1028" s="176">
        <v>10.44</v>
      </c>
      <c r="AQ1028" s="176">
        <v>10.45</v>
      </c>
      <c r="AR1028" s="176">
        <v>10.474999999999998</v>
      </c>
      <c r="AS1028" s="176">
        <v>10.479999999999999</v>
      </c>
      <c r="AT1028" s="173"/>
      <c r="AU1028" s="173">
        <v>465</v>
      </c>
      <c r="AV1028" s="149"/>
      <c r="AW1028" s="142" t="s">
        <v>123</v>
      </c>
      <c r="AY1028" s="212"/>
      <c r="AZ1028" s="196"/>
      <c r="BA1028" s="196"/>
    </row>
    <row r="1029" spans="2:53" s="142" customFormat="1" ht="21" customHeight="1" x14ac:dyDescent="0.25">
      <c r="B1029" s="173" t="str">
        <f t="shared" si="16"/>
        <v>RM-304/1D-3.44X768</v>
      </c>
      <c r="C1029" s="173" t="s">
        <v>48</v>
      </c>
      <c r="D1029" s="173" t="s">
        <v>48</v>
      </c>
      <c r="E1029" s="190" t="s">
        <v>3268</v>
      </c>
      <c r="F1029" s="190" t="s">
        <v>3269</v>
      </c>
      <c r="G1029" s="173">
        <v>304</v>
      </c>
      <c r="H1029" s="173" t="s">
        <v>127</v>
      </c>
      <c r="I1029" s="174">
        <v>3.44</v>
      </c>
      <c r="J1029" s="174"/>
      <c r="K1029" s="174"/>
      <c r="L1029" s="174"/>
      <c r="M1029" s="191">
        <v>768</v>
      </c>
      <c r="N1029" s="176">
        <v>9.2100000000000009</v>
      </c>
      <c r="O1029" s="176"/>
      <c r="P1029" s="177"/>
      <c r="Q1029" s="178"/>
      <c r="R1029" s="179"/>
      <c r="S1029" s="179"/>
      <c r="T1029" s="177"/>
      <c r="U1029" s="177"/>
      <c r="V1029" s="177"/>
      <c r="W1029" s="177"/>
      <c r="X1029" s="177"/>
      <c r="Y1029" s="177"/>
      <c r="Z1029" s="177"/>
      <c r="AA1029" s="177"/>
      <c r="AB1029" s="177"/>
      <c r="AC1029" s="177"/>
      <c r="AD1029" s="180" t="s">
        <v>2877</v>
      </c>
      <c r="AE1029" s="173" t="s">
        <v>69</v>
      </c>
      <c r="AF1029" s="181" t="s">
        <v>142</v>
      </c>
      <c r="AG1029" s="192" t="s">
        <v>2878</v>
      </c>
      <c r="AH1029" s="198"/>
      <c r="AI1029" s="181">
        <v>44950</v>
      </c>
      <c r="AJ1029" s="181"/>
      <c r="AK1029" s="181">
        <f ca="1">TODAY()</f>
        <v>44958</v>
      </c>
      <c r="AL1029" s="173">
        <f t="shared" ca="1" si="14"/>
        <v>8</v>
      </c>
      <c r="AM1029" s="173" t="str">
        <f t="shared" si="15"/>
        <v/>
      </c>
      <c r="AN1029" s="181"/>
      <c r="AO1029" s="190" t="s">
        <v>3270</v>
      </c>
      <c r="AP1029" s="176">
        <v>9.2100000000000009</v>
      </c>
      <c r="AQ1029" s="176">
        <v>9.2200000000000006</v>
      </c>
      <c r="AR1029" s="176">
        <v>9.2449999999999992</v>
      </c>
      <c r="AS1029" s="176">
        <v>9.25</v>
      </c>
      <c r="AT1029" s="173"/>
      <c r="AU1029" s="173">
        <v>465</v>
      </c>
      <c r="AV1029" s="149"/>
      <c r="AW1029" s="142" t="s">
        <v>123</v>
      </c>
      <c r="AY1029" s="212"/>
      <c r="AZ1029" s="196"/>
      <c r="BA1029" s="196"/>
    </row>
    <row r="1030" spans="2:53" s="142" customFormat="1" ht="21" customHeight="1" x14ac:dyDescent="0.25">
      <c r="B1030" s="173" t="str">
        <f t="shared" si="16"/>
        <v>RM-304/1D-3.44X769</v>
      </c>
      <c r="C1030" s="173" t="s">
        <v>48</v>
      </c>
      <c r="D1030" s="173" t="s">
        <v>48</v>
      </c>
      <c r="E1030" s="190" t="s">
        <v>3271</v>
      </c>
      <c r="F1030" s="190" t="s">
        <v>3272</v>
      </c>
      <c r="G1030" s="173">
        <v>304</v>
      </c>
      <c r="H1030" s="173" t="s">
        <v>127</v>
      </c>
      <c r="I1030" s="174">
        <v>3.44</v>
      </c>
      <c r="J1030" s="174"/>
      <c r="K1030" s="174"/>
      <c r="L1030" s="174"/>
      <c r="M1030" s="191">
        <v>769</v>
      </c>
      <c r="N1030" s="176">
        <v>9.23</v>
      </c>
      <c r="O1030" s="176"/>
      <c r="P1030" s="177"/>
      <c r="Q1030" s="178"/>
      <c r="R1030" s="179"/>
      <c r="S1030" s="179"/>
      <c r="T1030" s="177"/>
      <c r="U1030" s="177"/>
      <c r="V1030" s="177"/>
      <c r="W1030" s="177"/>
      <c r="X1030" s="177"/>
      <c r="Y1030" s="177"/>
      <c r="Z1030" s="177"/>
      <c r="AA1030" s="177"/>
      <c r="AB1030" s="177"/>
      <c r="AC1030" s="177"/>
      <c r="AD1030" s="180" t="s">
        <v>2877</v>
      </c>
      <c r="AE1030" s="173" t="s">
        <v>69</v>
      </c>
      <c r="AF1030" s="181" t="s">
        <v>142</v>
      </c>
      <c r="AG1030" s="192" t="s">
        <v>2878</v>
      </c>
      <c r="AH1030" s="198"/>
      <c r="AI1030" s="181">
        <v>44950</v>
      </c>
      <c r="AJ1030" s="181"/>
      <c r="AK1030" s="181">
        <f ca="1">TODAY()</f>
        <v>44958</v>
      </c>
      <c r="AL1030" s="173">
        <f t="shared" ca="1" si="14"/>
        <v>8</v>
      </c>
      <c r="AM1030" s="173" t="str">
        <f t="shared" si="15"/>
        <v/>
      </c>
      <c r="AN1030" s="181"/>
      <c r="AO1030" s="190" t="s">
        <v>3270</v>
      </c>
      <c r="AP1030" s="176">
        <v>9.23</v>
      </c>
      <c r="AQ1030" s="176">
        <v>9.24</v>
      </c>
      <c r="AR1030" s="176">
        <v>9.2649999999999988</v>
      </c>
      <c r="AS1030" s="176">
        <v>9.27</v>
      </c>
      <c r="AT1030" s="173"/>
      <c r="AU1030" s="173">
        <v>465</v>
      </c>
      <c r="AV1030" s="149"/>
      <c r="AW1030" s="142" t="s">
        <v>123</v>
      </c>
      <c r="AY1030" s="212"/>
      <c r="AZ1030" s="196"/>
      <c r="BA1030" s="196"/>
    </row>
    <row r="1031" spans="2:53" s="142" customFormat="1" ht="21" customHeight="1" x14ac:dyDescent="0.25">
      <c r="B1031" s="173" t="str">
        <f t="shared" si="16"/>
        <v>RM-304/1D-3.41X772</v>
      </c>
      <c r="C1031" s="173" t="s">
        <v>48</v>
      </c>
      <c r="D1031" s="173" t="s">
        <v>48</v>
      </c>
      <c r="E1031" s="190" t="s">
        <v>3273</v>
      </c>
      <c r="F1031" s="190" t="s">
        <v>3274</v>
      </c>
      <c r="G1031" s="173">
        <v>304</v>
      </c>
      <c r="H1031" s="173" t="s">
        <v>127</v>
      </c>
      <c r="I1031" s="174">
        <v>3.41</v>
      </c>
      <c r="J1031" s="174"/>
      <c r="K1031" s="174"/>
      <c r="L1031" s="174"/>
      <c r="M1031" s="191">
        <v>772</v>
      </c>
      <c r="N1031" s="176">
        <v>8.24</v>
      </c>
      <c r="O1031" s="176"/>
      <c r="P1031" s="177"/>
      <c r="Q1031" s="178"/>
      <c r="R1031" s="179"/>
      <c r="S1031" s="179"/>
      <c r="T1031" s="177"/>
      <c r="U1031" s="177"/>
      <c r="V1031" s="177"/>
      <c r="W1031" s="177"/>
      <c r="X1031" s="177"/>
      <c r="Y1031" s="177"/>
      <c r="Z1031" s="177"/>
      <c r="AA1031" s="177"/>
      <c r="AB1031" s="177"/>
      <c r="AC1031" s="177"/>
      <c r="AD1031" s="180" t="s">
        <v>2877</v>
      </c>
      <c r="AE1031" s="173" t="s">
        <v>69</v>
      </c>
      <c r="AF1031" s="181" t="s">
        <v>142</v>
      </c>
      <c r="AG1031" s="192" t="s">
        <v>2878</v>
      </c>
      <c r="AH1031" s="198"/>
      <c r="AI1031" s="181">
        <v>44950</v>
      </c>
      <c r="AJ1031" s="181"/>
      <c r="AK1031" s="181">
        <f ca="1">TODAY()</f>
        <v>44958</v>
      </c>
      <c r="AL1031" s="173">
        <f t="shared" ca="1" si="14"/>
        <v>8</v>
      </c>
      <c r="AM1031" s="173" t="str">
        <f t="shared" si="15"/>
        <v/>
      </c>
      <c r="AN1031" s="181"/>
      <c r="AO1031" s="190" t="s">
        <v>3275</v>
      </c>
      <c r="AP1031" s="176">
        <v>8.24</v>
      </c>
      <c r="AQ1031" s="176">
        <v>8.25</v>
      </c>
      <c r="AR1031" s="176">
        <v>8.2749999999999986</v>
      </c>
      <c r="AS1031" s="176">
        <v>8.2799999999999994</v>
      </c>
      <c r="AT1031" s="173"/>
      <c r="AU1031" s="173">
        <v>465</v>
      </c>
      <c r="AV1031" s="149"/>
      <c r="AW1031" s="142" t="s">
        <v>123</v>
      </c>
      <c r="AY1031" s="212"/>
      <c r="AZ1031" s="196"/>
      <c r="BA1031" s="196"/>
    </row>
    <row r="1032" spans="2:53" s="142" customFormat="1" ht="21" customHeight="1" x14ac:dyDescent="0.25">
      <c r="B1032" s="173" t="str">
        <f t="shared" si="16"/>
        <v>RM-304/1D-3.41X775</v>
      </c>
      <c r="C1032" s="173" t="s">
        <v>48</v>
      </c>
      <c r="D1032" s="173" t="s">
        <v>48</v>
      </c>
      <c r="E1032" s="190" t="s">
        <v>3276</v>
      </c>
      <c r="F1032" s="190" t="s">
        <v>3277</v>
      </c>
      <c r="G1032" s="173">
        <v>304</v>
      </c>
      <c r="H1032" s="173" t="s">
        <v>127</v>
      </c>
      <c r="I1032" s="174">
        <v>3.41</v>
      </c>
      <c r="J1032" s="174"/>
      <c r="K1032" s="174"/>
      <c r="L1032" s="174"/>
      <c r="M1032" s="191">
        <v>775</v>
      </c>
      <c r="N1032" s="176">
        <v>8.24</v>
      </c>
      <c r="O1032" s="176"/>
      <c r="P1032" s="177"/>
      <c r="Q1032" s="178"/>
      <c r="R1032" s="179"/>
      <c r="S1032" s="179"/>
      <c r="T1032" s="177"/>
      <c r="U1032" s="177"/>
      <c r="V1032" s="177"/>
      <c r="W1032" s="177"/>
      <c r="X1032" s="177"/>
      <c r="Y1032" s="177"/>
      <c r="Z1032" s="177"/>
      <c r="AA1032" s="177"/>
      <c r="AB1032" s="177"/>
      <c r="AC1032" s="177"/>
      <c r="AD1032" s="180" t="s">
        <v>2877</v>
      </c>
      <c r="AE1032" s="173" t="s">
        <v>69</v>
      </c>
      <c r="AF1032" s="181" t="s">
        <v>142</v>
      </c>
      <c r="AG1032" s="192" t="s">
        <v>2878</v>
      </c>
      <c r="AH1032" s="198"/>
      <c r="AI1032" s="181">
        <v>44950</v>
      </c>
      <c r="AJ1032" s="181"/>
      <c r="AK1032" s="181">
        <f ca="1">TODAY()</f>
        <v>44958</v>
      </c>
      <c r="AL1032" s="173">
        <f t="shared" ca="1" si="14"/>
        <v>8</v>
      </c>
      <c r="AM1032" s="173" t="str">
        <f t="shared" si="15"/>
        <v/>
      </c>
      <c r="AN1032" s="181"/>
      <c r="AO1032" s="190" t="s">
        <v>3275</v>
      </c>
      <c r="AP1032" s="176">
        <v>8.24</v>
      </c>
      <c r="AQ1032" s="176">
        <v>8.25</v>
      </c>
      <c r="AR1032" s="176">
        <v>8.2749999999999986</v>
      </c>
      <c r="AS1032" s="176">
        <v>8.2799999999999994</v>
      </c>
      <c r="AT1032" s="173"/>
      <c r="AU1032" s="173">
        <v>465</v>
      </c>
      <c r="AV1032" s="149"/>
      <c r="AW1032" s="142" t="s">
        <v>123</v>
      </c>
      <c r="AY1032" s="212"/>
      <c r="AZ1032" s="196"/>
      <c r="BA1032" s="196"/>
    </row>
    <row r="1033" spans="2:53" s="142" customFormat="1" ht="21" customHeight="1" x14ac:dyDescent="0.25">
      <c r="B1033" s="173" t="str">
        <f t="shared" si="16"/>
        <v>RM-304/1D-3.80X770</v>
      </c>
      <c r="C1033" s="173" t="s">
        <v>48</v>
      </c>
      <c r="D1033" s="173" t="s">
        <v>48</v>
      </c>
      <c r="E1033" s="190" t="s">
        <v>3278</v>
      </c>
      <c r="F1033" s="190" t="s">
        <v>3279</v>
      </c>
      <c r="G1033" s="173">
        <v>304</v>
      </c>
      <c r="H1033" s="173" t="s">
        <v>127</v>
      </c>
      <c r="I1033" s="174">
        <v>3.8</v>
      </c>
      <c r="J1033" s="174"/>
      <c r="K1033" s="174"/>
      <c r="L1033" s="174"/>
      <c r="M1033" s="191">
        <v>770</v>
      </c>
      <c r="N1033" s="176">
        <v>12.22</v>
      </c>
      <c r="O1033" s="176"/>
      <c r="P1033" s="177"/>
      <c r="Q1033" s="178"/>
      <c r="R1033" s="179"/>
      <c r="S1033" s="179"/>
      <c r="T1033" s="177"/>
      <c r="U1033" s="177"/>
      <c r="V1033" s="177"/>
      <c r="W1033" s="177"/>
      <c r="X1033" s="177"/>
      <c r="Y1033" s="177"/>
      <c r="Z1033" s="177"/>
      <c r="AA1033" s="177"/>
      <c r="AB1033" s="177"/>
      <c r="AC1033" s="177"/>
      <c r="AD1033" s="180" t="s">
        <v>3164</v>
      </c>
      <c r="AE1033" s="173" t="s">
        <v>69</v>
      </c>
      <c r="AF1033" s="181" t="s">
        <v>142</v>
      </c>
      <c r="AG1033" s="192" t="s">
        <v>2878</v>
      </c>
      <c r="AH1033" s="198"/>
      <c r="AI1033" s="181">
        <v>44950</v>
      </c>
      <c r="AJ1033" s="181"/>
      <c r="AK1033" s="181">
        <f ca="1">TODAY()</f>
        <v>44958</v>
      </c>
      <c r="AL1033" s="173">
        <f t="shared" ca="1" si="14"/>
        <v>8</v>
      </c>
      <c r="AM1033" s="173" t="str">
        <f t="shared" si="15"/>
        <v/>
      </c>
      <c r="AN1033" s="181"/>
      <c r="AO1033" s="190" t="s">
        <v>3280</v>
      </c>
      <c r="AP1033" s="176">
        <v>12.22</v>
      </c>
      <c r="AQ1033" s="176">
        <v>12.23</v>
      </c>
      <c r="AR1033" s="176">
        <v>12.254999999999999</v>
      </c>
      <c r="AS1033" s="176">
        <v>12.26</v>
      </c>
      <c r="AT1033" s="173"/>
      <c r="AU1033" s="173">
        <v>465</v>
      </c>
      <c r="AV1033" s="149"/>
      <c r="AW1033" s="142" t="s">
        <v>123</v>
      </c>
      <c r="AY1033" s="212"/>
      <c r="AZ1033" s="196"/>
      <c r="BA1033" s="196"/>
    </row>
    <row r="1034" spans="2:53" s="142" customFormat="1" ht="21" customHeight="1" x14ac:dyDescent="0.25">
      <c r="B1034" s="173" t="str">
        <f t="shared" si="16"/>
        <v>RM-304/1D-3.80X768</v>
      </c>
      <c r="C1034" s="173" t="s">
        <v>13</v>
      </c>
      <c r="D1034" s="173" t="s">
        <v>13</v>
      </c>
      <c r="E1034" s="190" t="s">
        <v>3281</v>
      </c>
      <c r="F1034" s="190" t="s">
        <v>3282</v>
      </c>
      <c r="G1034" s="173">
        <v>304</v>
      </c>
      <c r="H1034" s="173" t="s">
        <v>127</v>
      </c>
      <c r="I1034" s="174">
        <v>3.8</v>
      </c>
      <c r="J1034" s="174"/>
      <c r="K1034" s="174"/>
      <c r="L1034" s="174"/>
      <c r="M1034" s="191">
        <v>768</v>
      </c>
      <c r="N1034" s="176">
        <v>12.164999999999999</v>
      </c>
      <c r="O1034" s="176"/>
      <c r="P1034" s="177"/>
      <c r="Q1034" s="178"/>
      <c r="R1034" s="179"/>
      <c r="S1034" s="179"/>
      <c r="T1034" s="177">
        <v>44956</v>
      </c>
      <c r="U1034" s="177"/>
      <c r="V1034" s="177"/>
      <c r="W1034" s="177"/>
      <c r="X1034" s="177"/>
      <c r="Y1034" s="177"/>
      <c r="Z1034" s="177"/>
      <c r="AA1034" s="177"/>
      <c r="AB1034" s="177"/>
      <c r="AC1034" s="177"/>
      <c r="AD1034" s="180" t="s">
        <v>3164</v>
      </c>
      <c r="AE1034" s="173" t="s">
        <v>69</v>
      </c>
      <c r="AF1034" s="181" t="s">
        <v>142</v>
      </c>
      <c r="AG1034" s="192" t="s">
        <v>2878</v>
      </c>
      <c r="AH1034" s="198"/>
      <c r="AI1034" s="181">
        <v>44950</v>
      </c>
      <c r="AJ1034" s="181"/>
      <c r="AK1034" s="181">
        <f ca="1">TODAY()</f>
        <v>44958</v>
      </c>
      <c r="AL1034" s="173">
        <f t="shared" ca="1" si="14"/>
        <v>8</v>
      </c>
      <c r="AM1034" s="173" t="str">
        <f t="shared" si="15"/>
        <v/>
      </c>
      <c r="AN1034" s="181"/>
      <c r="AO1034" s="190" t="s">
        <v>3280</v>
      </c>
      <c r="AP1034" s="176">
        <v>12.164999999999999</v>
      </c>
      <c r="AQ1034" s="176">
        <v>12.174999999999999</v>
      </c>
      <c r="AR1034" s="176">
        <v>12.199999999999998</v>
      </c>
      <c r="AS1034" s="176">
        <v>12.204999999999998</v>
      </c>
      <c r="AT1034" s="173"/>
      <c r="AU1034" s="173">
        <v>465</v>
      </c>
      <c r="AV1034" s="149"/>
      <c r="AW1034" s="142" t="s">
        <v>123</v>
      </c>
      <c r="AY1034" s="212"/>
      <c r="AZ1034" s="196"/>
      <c r="BA1034" s="196"/>
    </row>
    <row r="1035" spans="2:53" s="142" customFormat="1" ht="21" customHeight="1" x14ac:dyDescent="0.25">
      <c r="B1035" s="173" t="str">
        <f t="shared" si="16"/>
        <v>RM-304/1D-3.80X768</v>
      </c>
      <c r="C1035" s="173" t="s">
        <v>48</v>
      </c>
      <c r="D1035" s="173" t="s">
        <v>48</v>
      </c>
      <c r="E1035" s="190" t="s">
        <v>3283</v>
      </c>
      <c r="F1035" s="190" t="s">
        <v>3284</v>
      </c>
      <c r="G1035" s="173">
        <v>304</v>
      </c>
      <c r="H1035" s="173" t="s">
        <v>127</v>
      </c>
      <c r="I1035" s="174">
        <v>3.8</v>
      </c>
      <c r="J1035" s="174"/>
      <c r="K1035" s="174"/>
      <c r="L1035" s="174"/>
      <c r="M1035" s="191">
        <v>768</v>
      </c>
      <c r="N1035" s="176">
        <v>10.115</v>
      </c>
      <c r="O1035" s="176"/>
      <c r="P1035" s="177"/>
      <c r="Q1035" s="178"/>
      <c r="R1035" s="179"/>
      <c r="S1035" s="179"/>
      <c r="T1035" s="177"/>
      <c r="U1035" s="177"/>
      <c r="V1035" s="177"/>
      <c r="W1035" s="177"/>
      <c r="X1035" s="177"/>
      <c r="Y1035" s="177"/>
      <c r="Z1035" s="177"/>
      <c r="AA1035" s="177"/>
      <c r="AB1035" s="177"/>
      <c r="AC1035" s="177"/>
      <c r="AD1035" s="180" t="s">
        <v>2877</v>
      </c>
      <c r="AE1035" s="173" t="s">
        <v>69</v>
      </c>
      <c r="AF1035" s="181" t="s">
        <v>142</v>
      </c>
      <c r="AG1035" s="192" t="s">
        <v>2878</v>
      </c>
      <c r="AH1035" s="198"/>
      <c r="AI1035" s="181">
        <v>44950</v>
      </c>
      <c r="AJ1035" s="181"/>
      <c r="AK1035" s="181">
        <f ca="1">TODAY()</f>
        <v>44958</v>
      </c>
      <c r="AL1035" s="173">
        <f t="shared" ca="1" si="14"/>
        <v>8</v>
      </c>
      <c r="AM1035" s="173" t="str">
        <f t="shared" si="15"/>
        <v/>
      </c>
      <c r="AN1035" s="181"/>
      <c r="AO1035" s="190" t="s">
        <v>3285</v>
      </c>
      <c r="AP1035" s="176">
        <v>10.115</v>
      </c>
      <c r="AQ1035" s="176">
        <v>10.125</v>
      </c>
      <c r="AR1035" s="176">
        <v>10.149999999999999</v>
      </c>
      <c r="AS1035" s="176">
        <v>10.154999999999999</v>
      </c>
      <c r="AT1035" s="173"/>
      <c r="AU1035" s="173">
        <v>465</v>
      </c>
      <c r="AV1035" s="149"/>
      <c r="AW1035" s="142" t="s">
        <v>123</v>
      </c>
      <c r="AY1035" s="212"/>
      <c r="AZ1035" s="196"/>
      <c r="BA1035" s="196"/>
    </row>
    <row r="1036" spans="2:53" s="142" customFormat="1" ht="21" customHeight="1" x14ac:dyDescent="0.25">
      <c r="B1036" s="173" t="str">
        <f t="shared" si="16"/>
        <v>RM-304/1D-3.80X767</v>
      </c>
      <c r="C1036" s="173" t="s">
        <v>48</v>
      </c>
      <c r="D1036" s="173" t="s">
        <v>48</v>
      </c>
      <c r="E1036" s="190" t="s">
        <v>3286</v>
      </c>
      <c r="F1036" s="190" t="s">
        <v>3287</v>
      </c>
      <c r="G1036" s="173">
        <v>304</v>
      </c>
      <c r="H1036" s="173" t="s">
        <v>127</v>
      </c>
      <c r="I1036" s="174">
        <v>3.8</v>
      </c>
      <c r="J1036" s="174"/>
      <c r="K1036" s="174"/>
      <c r="L1036" s="174"/>
      <c r="M1036" s="191">
        <v>767</v>
      </c>
      <c r="N1036" s="176">
        <v>10.145</v>
      </c>
      <c r="O1036" s="176"/>
      <c r="P1036" s="177"/>
      <c r="Q1036" s="178"/>
      <c r="R1036" s="179"/>
      <c r="S1036" s="179"/>
      <c r="T1036" s="177"/>
      <c r="U1036" s="177"/>
      <c r="V1036" s="177"/>
      <c r="W1036" s="177"/>
      <c r="X1036" s="177"/>
      <c r="Y1036" s="177"/>
      <c r="Z1036" s="177"/>
      <c r="AA1036" s="177"/>
      <c r="AB1036" s="177"/>
      <c r="AC1036" s="177"/>
      <c r="AD1036" s="180" t="s">
        <v>2877</v>
      </c>
      <c r="AE1036" s="173" t="s">
        <v>69</v>
      </c>
      <c r="AF1036" s="181" t="s">
        <v>142</v>
      </c>
      <c r="AG1036" s="192" t="s">
        <v>2878</v>
      </c>
      <c r="AH1036" s="198"/>
      <c r="AI1036" s="181">
        <v>44950</v>
      </c>
      <c r="AJ1036" s="181"/>
      <c r="AK1036" s="181">
        <f ca="1">TODAY()</f>
        <v>44958</v>
      </c>
      <c r="AL1036" s="173">
        <f t="shared" ca="1" si="14"/>
        <v>8</v>
      </c>
      <c r="AM1036" s="173" t="str">
        <f t="shared" si="15"/>
        <v/>
      </c>
      <c r="AN1036" s="181"/>
      <c r="AO1036" s="190" t="s">
        <v>3285</v>
      </c>
      <c r="AP1036" s="176">
        <v>10.145</v>
      </c>
      <c r="AQ1036" s="176">
        <v>10.154999999999999</v>
      </c>
      <c r="AR1036" s="176">
        <v>10.179999999999998</v>
      </c>
      <c r="AS1036" s="176">
        <v>10.184999999999999</v>
      </c>
      <c r="AT1036" s="173"/>
      <c r="AU1036" s="173">
        <v>465</v>
      </c>
      <c r="AV1036" s="149"/>
      <c r="AW1036" s="142" t="s">
        <v>123</v>
      </c>
      <c r="AY1036" s="212"/>
      <c r="AZ1036" s="196"/>
      <c r="BA1036" s="196"/>
    </row>
    <row r="1037" spans="2:53" s="142" customFormat="1" ht="21" customHeight="1" x14ac:dyDescent="0.25">
      <c r="B1037" s="173" t="str">
        <f t="shared" si="16"/>
        <v>RM-304/1D-3.78X772</v>
      </c>
      <c r="C1037" s="173" t="s">
        <v>48</v>
      </c>
      <c r="D1037" s="173" t="s">
        <v>48</v>
      </c>
      <c r="E1037" s="190" t="s">
        <v>3288</v>
      </c>
      <c r="F1037" s="190" t="s">
        <v>3289</v>
      </c>
      <c r="G1037" s="173">
        <v>304</v>
      </c>
      <c r="H1037" s="173" t="s">
        <v>127</v>
      </c>
      <c r="I1037" s="174">
        <v>3.78</v>
      </c>
      <c r="J1037" s="174"/>
      <c r="K1037" s="174"/>
      <c r="L1037" s="174"/>
      <c r="M1037" s="191">
        <v>772</v>
      </c>
      <c r="N1037" s="176">
        <v>12.025</v>
      </c>
      <c r="O1037" s="176"/>
      <c r="P1037" s="177"/>
      <c r="Q1037" s="178"/>
      <c r="R1037" s="179"/>
      <c r="S1037" s="179"/>
      <c r="T1037" s="177"/>
      <c r="U1037" s="177"/>
      <c r="V1037" s="177"/>
      <c r="W1037" s="177"/>
      <c r="X1037" s="177"/>
      <c r="Y1037" s="177"/>
      <c r="Z1037" s="177"/>
      <c r="AA1037" s="177"/>
      <c r="AB1037" s="177"/>
      <c r="AC1037" s="177"/>
      <c r="AD1037" s="180" t="s">
        <v>2877</v>
      </c>
      <c r="AE1037" s="173" t="s">
        <v>69</v>
      </c>
      <c r="AF1037" s="181" t="s">
        <v>142</v>
      </c>
      <c r="AG1037" s="192" t="s">
        <v>2878</v>
      </c>
      <c r="AH1037" s="198"/>
      <c r="AI1037" s="181">
        <v>44950</v>
      </c>
      <c r="AJ1037" s="181"/>
      <c r="AK1037" s="181">
        <f ca="1">TODAY()</f>
        <v>44958</v>
      </c>
      <c r="AL1037" s="173">
        <f t="shared" ca="1" si="14"/>
        <v>8</v>
      </c>
      <c r="AM1037" s="173" t="str">
        <f t="shared" si="15"/>
        <v/>
      </c>
      <c r="AN1037" s="181"/>
      <c r="AO1037" s="190" t="s">
        <v>3290</v>
      </c>
      <c r="AP1037" s="176">
        <v>12.025</v>
      </c>
      <c r="AQ1037" s="176">
        <v>12.035</v>
      </c>
      <c r="AR1037" s="176">
        <v>12.059999999999999</v>
      </c>
      <c r="AS1037" s="176">
        <v>12.065</v>
      </c>
      <c r="AT1037" s="173"/>
      <c r="AU1037" s="173">
        <v>465</v>
      </c>
      <c r="AV1037" s="149"/>
      <c r="AW1037" s="142" t="s">
        <v>123</v>
      </c>
      <c r="AY1037" s="212"/>
      <c r="AZ1037" s="196"/>
      <c r="BA1037" s="196"/>
    </row>
    <row r="1038" spans="2:53" s="142" customFormat="1" ht="21" customHeight="1" x14ac:dyDescent="0.25">
      <c r="B1038" s="173" t="str">
        <f t="shared" si="16"/>
        <v>RM-304/1D-3.78X772</v>
      </c>
      <c r="C1038" s="173" t="s">
        <v>48</v>
      </c>
      <c r="D1038" s="173" t="s">
        <v>48</v>
      </c>
      <c r="E1038" s="190" t="s">
        <v>3291</v>
      </c>
      <c r="F1038" s="190" t="s">
        <v>3292</v>
      </c>
      <c r="G1038" s="173">
        <v>304</v>
      </c>
      <c r="H1038" s="173" t="s">
        <v>127</v>
      </c>
      <c r="I1038" s="174">
        <v>3.78</v>
      </c>
      <c r="J1038" s="174"/>
      <c r="K1038" s="174"/>
      <c r="L1038" s="174"/>
      <c r="M1038" s="191">
        <v>772</v>
      </c>
      <c r="N1038" s="176">
        <v>11.975</v>
      </c>
      <c r="O1038" s="176"/>
      <c r="P1038" s="177"/>
      <c r="Q1038" s="178"/>
      <c r="R1038" s="179"/>
      <c r="S1038" s="179"/>
      <c r="T1038" s="177"/>
      <c r="U1038" s="177"/>
      <c r="V1038" s="177"/>
      <c r="W1038" s="177"/>
      <c r="X1038" s="177"/>
      <c r="Y1038" s="177"/>
      <c r="Z1038" s="177"/>
      <c r="AA1038" s="177"/>
      <c r="AB1038" s="177"/>
      <c r="AC1038" s="177"/>
      <c r="AD1038" s="180" t="s">
        <v>2877</v>
      </c>
      <c r="AE1038" s="173" t="s">
        <v>69</v>
      </c>
      <c r="AF1038" s="181" t="s">
        <v>142</v>
      </c>
      <c r="AG1038" s="192" t="s">
        <v>2878</v>
      </c>
      <c r="AH1038" s="198"/>
      <c r="AI1038" s="181">
        <v>44950</v>
      </c>
      <c r="AJ1038" s="181"/>
      <c r="AK1038" s="181">
        <f ca="1">TODAY()</f>
        <v>44958</v>
      </c>
      <c r="AL1038" s="173">
        <f t="shared" ca="1" si="14"/>
        <v>8</v>
      </c>
      <c r="AM1038" s="173" t="str">
        <f t="shared" si="15"/>
        <v/>
      </c>
      <c r="AN1038" s="181"/>
      <c r="AO1038" s="190" t="s">
        <v>3290</v>
      </c>
      <c r="AP1038" s="176">
        <v>11.975</v>
      </c>
      <c r="AQ1038" s="176">
        <v>11.984999999999999</v>
      </c>
      <c r="AR1038" s="176">
        <v>12.009999999999998</v>
      </c>
      <c r="AS1038" s="176">
        <v>12.014999999999999</v>
      </c>
      <c r="AT1038" s="173"/>
      <c r="AU1038" s="173">
        <v>465</v>
      </c>
      <c r="AV1038" s="149"/>
      <c r="AW1038" s="142" t="s">
        <v>123</v>
      </c>
      <c r="AY1038" s="212"/>
      <c r="AZ1038" s="196"/>
      <c r="BA1038" s="196"/>
    </row>
    <row r="1039" spans="2:53" s="142" customFormat="1" ht="21" customHeight="1" x14ac:dyDescent="0.25">
      <c r="B1039" s="173" t="str">
        <f t="shared" si="16"/>
        <v>RM-304/1D-3.47X764</v>
      </c>
      <c r="C1039" s="173" t="s">
        <v>48</v>
      </c>
      <c r="D1039" s="173" t="s">
        <v>48</v>
      </c>
      <c r="E1039" s="190" t="s">
        <v>3293</v>
      </c>
      <c r="F1039" s="190" t="s">
        <v>3294</v>
      </c>
      <c r="G1039" s="173">
        <v>304</v>
      </c>
      <c r="H1039" s="173" t="s">
        <v>127</v>
      </c>
      <c r="I1039" s="174">
        <v>3.47</v>
      </c>
      <c r="J1039" s="174"/>
      <c r="K1039" s="174"/>
      <c r="L1039" s="174"/>
      <c r="M1039" s="191">
        <v>764</v>
      </c>
      <c r="N1039" s="176">
        <v>12.035</v>
      </c>
      <c r="O1039" s="176"/>
      <c r="P1039" s="177"/>
      <c r="Q1039" s="178"/>
      <c r="R1039" s="179"/>
      <c r="S1039" s="179"/>
      <c r="T1039" s="177"/>
      <c r="U1039" s="177"/>
      <c r="V1039" s="177"/>
      <c r="W1039" s="177"/>
      <c r="X1039" s="177"/>
      <c r="Y1039" s="177"/>
      <c r="Z1039" s="177"/>
      <c r="AA1039" s="177"/>
      <c r="AB1039" s="177"/>
      <c r="AC1039" s="177"/>
      <c r="AD1039" s="180" t="s">
        <v>2877</v>
      </c>
      <c r="AE1039" s="173" t="s">
        <v>69</v>
      </c>
      <c r="AF1039" s="181" t="s">
        <v>142</v>
      </c>
      <c r="AG1039" s="192" t="s">
        <v>2878</v>
      </c>
      <c r="AH1039" s="198"/>
      <c r="AI1039" s="181">
        <v>44950</v>
      </c>
      <c r="AJ1039" s="181"/>
      <c r="AK1039" s="181">
        <f ca="1">TODAY()</f>
        <v>44958</v>
      </c>
      <c r="AL1039" s="173">
        <f t="shared" ca="1" si="14"/>
        <v>8</v>
      </c>
      <c r="AM1039" s="173" t="str">
        <f t="shared" si="15"/>
        <v/>
      </c>
      <c r="AN1039" s="181"/>
      <c r="AO1039" s="190" t="s">
        <v>3295</v>
      </c>
      <c r="AP1039" s="176">
        <v>12.035</v>
      </c>
      <c r="AQ1039" s="176">
        <v>12.045</v>
      </c>
      <c r="AR1039" s="176">
        <v>12.069999999999999</v>
      </c>
      <c r="AS1039" s="176">
        <v>12.074999999999999</v>
      </c>
      <c r="AT1039" s="173"/>
      <c r="AU1039" s="173">
        <v>465</v>
      </c>
      <c r="AV1039" s="149"/>
      <c r="AW1039" s="142" t="s">
        <v>123</v>
      </c>
      <c r="AY1039" s="212"/>
      <c r="AZ1039" s="196"/>
      <c r="BA1039" s="196"/>
    </row>
    <row r="1040" spans="2:53" s="142" customFormat="1" ht="21" customHeight="1" x14ac:dyDescent="0.25">
      <c r="B1040" s="173" t="str">
        <f t="shared" si="16"/>
        <v>RM-304/1D-3.48X764</v>
      </c>
      <c r="C1040" s="173" t="s">
        <v>48</v>
      </c>
      <c r="D1040" s="173" t="s">
        <v>48</v>
      </c>
      <c r="E1040" s="190" t="s">
        <v>3296</v>
      </c>
      <c r="F1040" s="190" t="s">
        <v>3297</v>
      </c>
      <c r="G1040" s="173">
        <v>304</v>
      </c>
      <c r="H1040" s="173" t="s">
        <v>127</v>
      </c>
      <c r="I1040" s="174">
        <v>3.48</v>
      </c>
      <c r="J1040" s="174"/>
      <c r="K1040" s="174"/>
      <c r="L1040" s="174"/>
      <c r="M1040" s="191">
        <v>764</v>
      </c>
      <c r="N1040" s="176">
        <v>11.98</v>
      </c>
      <c r="O1040" s="176"/>
      <c r="P1040" s="177"/>
      <c r="Q1040" s="178"/>
      <c r="R1040" s="179"/>
      <c r="S1040" s="179"/>
      <c r="T1040" s="177"/>
      <c r="U1040" s="177"/>
      <c r="V1040" s="177"/>
      <c r="W1040" s="177"/>
      <c r="X1040" s="177"/>
      <c r="Y1040" s="177"/>
      <c r="Z1040" s="177"/>
      <c r="AA1040" s="177"/>
      <c r="AB1040" s="177"/>
      <c r="AC1040" s="177"/>
      <c r="AD1040" s="180" t="s">
        <v>2877</v>
      </c>
      <c r="AE1040" s="173" t="s">
        <v>69</v>
      </c>
      <c r="AF1040" s="181" t="s">
        <v>142</v>
      </c>
      <c r="AG1040" s="192" t="s">
        <v>2878</v>
      </c>
      <c r="AH1040" s="198"/>
      <c r="AI1040" s="181">
        <v>44950</v>
      </c>
      <c r="AJ1040" s="181"/>
      <c r="AK1040" s="181">
        <f ca="1">TODAY()</f>
        <v>44958</v>
      </c>
      <c r="AL1040" s="173">
        <f t="shared" ca="1" si="14"/>
        <v>8</v>
      </c>
      <c r="AM1040" s="173" t="str">
        <f t="shared" si="15"/>
        <v/>
      </c>
      <c r="AN1040" s="181"/>
      <c r="AO1040" s="190" t="s">
        <v>3295</v>
      </c>
      <c r="AP1040" s="176">
        <v>11.98</v>
      </c>
      <c r="AQ1040" s="176">
        <v>11.99</v>
      </c>
      <c r="AR1040" s="176">
        <v>12.014999999999999</v>
      </c>
      <c r="AS1040" s="176">
        <v>12.02</v>
      </c>
      <c r="AT1040" s="173"/>
      <c r="AU1040" s="173">
        <v>465</v>
      </c>
      <c r="AV1040" s="149"/>
      <c r="AW1040" s="142" t="s">
        <v>123</v>
      </c>
      <c r="AY1040" s="212"/>
      <c r="AZ1040" s="196"/>
      <c r="BA1040" s="196"/>
    </row>
    <row r="1041" spans="2:53" s="142" customFormat="1" ht="21" customHeight="1" x14ac:dyDescent="0.25">
      <c r="B1041" s="173" t="str">
        <f t="shared" si="16"/>
        <v>RM-304/1D-3.77X769</v>
      </c>
      <c r="C1041" s="173" t="s">
        <v>48</v>
      </c>
      <c r="D1041" s="173" t="s">
        <v>48</v>
      </c>
      <c r="E1041" s="190" t="s">
        <v>3298</v>
      </c>
      <c r="F1041" s="190" t="s">
        <v>3299</v>
      </c>
      <c r="G1041" s="173">
        <v>304</v>
      </c>
      <c r="H1041" s="173" t="s">
        <v>127</v>
      </c>
      <c r="I1041" s="174">
        <v>3.77</v>
      </c>
      <c r="J1041" s="174"/>
      <c r="K1041" s="174"/>
      <c r="L1041" s="174"/>
      <c r="M1041" s="191">
        <v>769</v>
      </c>
      <c r="N1041" s="176">
        <v>11.7</v>
      </c>
      <c r="O1041" s="176"/>
      <c r="P1041" s="177"/>
      <c r="Q1041" s="178"/>
      <c r="R1041" s="179"/>
      <c r="S1041" s="179"/>
      <c r="T1041" s="177"/>
      <c r="U1041" s="177"/>
      <c r="V1041" s="177"/>
      <c r="W1041" s="177"/>
      <c r="X1041" s="177"/>
      <c r="Y1041" s="177"/>
      <c r="Z1041" s="177"/>
      <c r="AA1041" s="177"/>
      <c r="AB1041" s="177"/>
      <c r="AC1041" s="177"/>
      <c r="AD1041" s="180" t="s">
        <v>2877</v>
      </c>
      <c r="AE1041" s="173" t="s">
        <v>69</v>
      </c>
      <c r="AF1041" s="181" t="s">
        <v>142</v>
      </c>
      <c r="AG1041" s="192" t="s">
        <v>2878</v>
      </c>
      <c r="AH1041" s="198"/>
      <c r="AI1041" s="181">
        <v>44950</v>
      </c>
      <c r="AJ1041" s="181"/>
      <c r="AK1041" s="181">
        <f ca="1">TODAY()</f>
        <v>44958</v>
      </c>
      <c r="AL1041" s="173">
        <f t="shared" ca="1" si="14"/>
        <v>8</v>
      </c>
      <c r="AM1041" s="173" t="str">
        <f t="shared" si="15"/>
        <v/>
      </c>
      <c r="AN1041" s="181"/>
      <c r="AO1041" s="190" t="s">
        <v>3300</v>
      </c>
      <c r="AP1041" s="176">
        <v>11.7</v>
      </c>
      <c r="AQ1041" s="176">
        <v>11.709999999999999</v>
      </c>
      <c r="AR1041" s="176">
        <v>11.734999999999998</v>
      </c>
      <c r="AS1041" s="176">
        <v>11.739999999999998</v>
      </c>
      <c r="AT1041" s="173"/>
      <c r="AU1041" s="173">
        <v>465</v>
      </c>
      <c r="AV1041" s="149"/>
      <c r="AW1041" s="142" t="s">
        <v>123</v>
      </c>
      <c r="AY1041" s="212"/>
      <c r="AZ1041" s="196"/>
      <c r="BA1041" s="196"/>
    </row>
    <row r="1042" spans="2:53" s="142" customFormat="1" ht="21" customHeight="1" x14ac:dyDescent="0.25">
      <c r="B1042" s="173" t="str">
        <f t="shared" si="16"/>
        <v>RM-304/1D-3.77X770</v>
      </c>
      <c r="C1042" s="173" t="s">
        <v>48</v>
      </c>
      <c r="D1042" s="173" t="s">
        <v>48</v>
      </c>
      <c r="E1042" s="190" t="s">
        <v>3301</v>
      </c>
      <c r="F1042" s="190" t="s">
        <v>3302</v>
      </c>
      <c r="G1042" s="173">
        <v>304</v>
      </c>
      <c r="H1042" s="173" t="s">
        <v>127</v>
      </c>
      <c r="I1042" s="174">
        <v>3.77</v>
      </c>
      <c r="J1042" s="174"/>
      <c r="K1042" s="174"/>
      <c r="L1042" s="174"/>
      <c r="M1042" s="191">
        <v>770</v>
      </c>
      <c r="N1042" s="176">
        <v>11.635</v>
      </c>
      <c r="O1042" s="176"/>
      <c r="P1042" s="177"/>
      <c r="Q1042" s="178"/>
      <c r="R1042" s="179"/>
      <c r="S1042" s="179"/>
      <c r="T1042" s="177"/>
      <c r="U1042" s="177"/>
      <c r="V1042" s="177"/>
      <c r="W1042" s="177"/>
      <c r="X1042" s="177"/>
      <c r="Y1042" s="177"/>
      <c r="Z1042" s="177"/>
      <c r="AA1042" s="177"/>
      <c r="AB1042" s="177"/>
      <c r="AC1042" s="177"/>
      <c r="AD1042" s="180" t="s">
        <v>2877</v>
      </c>
      <c r="AE1042" s="173" t="s">
        <v>69</v>
      </c>
      <c r="AF1042" s="181" t="s">
        <v>142</v>
      </c>
      <c r="AG1042" s="192" t="s">
        <v>2878</v>
      </c>
      <c r="AH1042" s="198"/>
      <c r="AI1042" s="181">
        <v>44950</v>
      </c>
      <c r="AJ1042" s="181"/>
      <c r="AK1042" s="181">
        <f ca="1">TODAY()</f>
        <v>44958</v>
      </c>
      <c r="AL1042" s="173">
        <f t="shared" ca="1" si="14"/>
        <v>8</v>
      </c>
      <c r="AM1042" s="173" t="str">
        <f t="shared" si="15"/>
        <v/>
      </c>
      <c r="AN1042" s="181"/>
      <c r="AO1042" s="190" t="s">
        <v>3300</v>
      </c>
      <c r="AP1042" s="176">
        <v>11.635</v>
      </c>
      <c r="AQ1042" s="176">
        <v>11.645</v>
      </c>
      <c r="AR1042" s="176">
        <v>11.669999999999998</v>
      </c>
      <c r="AS1042" s="176">
        <v>11.674999999999999</v>
      </c>
      <c r="AT1042" s="173"/>
      <c r="AU1042" s="173">
        <v>465</v>
      </c>
      <c r="AV1042" s="149"/>
      <c r="AW1042" s="142" t="s">
        <v>123</v>
      </c>
      <c r="AY1042" s="212"/>
      <c r="AZ1042" s="196"/>
      <c r="BA1042" s="196"/>
    </row>
    <row r="1043" spans="2:53" s="142" customFormat="1" ht="21" customHeight="1" x14ac:dyDescent="0.25">
      <c r="B1043" s="173" t="str">
        <f t="shared" si="16"/>
        <v>RM-304/1D-3.79X771</v>
      </c>
      <c r="C1043" s="173" t="s">
        <v>48</v>
      </c>
      <c r="D1043" s="173" t="s">
        <v>48</v>
      </c>
      <c r="E1043" s="190" t="s">
        <v>3303</v>
      </c>
      <c r="F1043" s="190" t="s">
        <v>3304</v>
      </c>
      <c r="G1043" s="173">
        <v>304</v>
      </c>
      <c r="H1043" s="173" t="s">
        <v>127</v>
      </c>
      <c r="I1043" s="174">
        <v>3.79</v>
      </c>
      <c r="J1043" s="174"/>
      <c r="K1043" s="174"/>
      <c r="L1043" s="174"/>
      <c r="M1043" s="191">
        <v>771</v>
      </c>
      <c r="N1043" s="176">
        <v>12.154999999999999</v>
      </c>
      <c r="O1043" s="176"/>
      <c r="P1043" s="177"/>
      <c r="Q1043" s="178"/>
      <c r="R1043" s="179"/>
      <c r="S1043" s="179"/>
      <c r="T1043" s="177"/>
      <c r="U1043" s="177"/>
      <c r="V1043" s="177"/>
      <c r="W1043" s="177"/>
      <c r="X1043" s="177"/>
      <c r="Y1043" s="177"/>
      <c r="Z1043" s="177"/>
      <c r="AA1043" s="177"/>
      <c r="AB1043" s="177"/>
      <c r="AC1043" s="177"/>
      <c r="AD1043" s="180" t="s">
        <v>2877</v>
      </c>
      <c r="AE1043" s="173" t="s">
        <v>69</v>
      </c>
      <c r="AF1043" s="181" t="s">
        <v>142</v>
      </c>
      <c r="AG1043" s="192" t="s">
        <v>2878</v>
      </c>
      <c r="AH1043" s="198"/>
      <c r="AI1043" s="181">
        <v>44950</v>
      </c>
      <c r="AJ1043" s="181"/>
      <c r="AK1043" s="181">
        <f ca="1">TODAY()</f>
        <v>44958</v>
      </c>
      <c r="AL1043" s="173">
        <f t="shared" ca="1" si="14"/>
        <v>8</v>
      </c>
      <c r="AM1043" s="173" t="str">
        <f t="shared" si="15"/>
        <v/>
      </c>
      <c r="AN1043" s="181"/>
      <c r="AO1043" s="190" t="s">
        <v>3305</v>
      </c>
      <c r="AP1043" s="176">
        <v>12.154999999999999</v>
      </c>
      <c r="AQ1043" s="176">
        <v>12.164999999999999</v>
      </c>
      <c r="AR1043" s="176">
        <v>12.189999999999998</v>
      </c>
      <c r="AS1043" s="176">
        <v>12.194999999999999</v>
      </c>
      <c r="AT1043" s="173"/>
      <c r="AU1043" s="173">
        <v>465</v>
      </c>
      <c r="AV1043" s="149"/>
      <c r="AW1043" s="142" t="s">
        <v>123</v>
      </c>
      <c r="AY1043" s="212"/>
      <c r="AZ1043" s="196"/>
      <c r="BA1043" s="196"/>
    </row>
    <row r="1044" spans="2:53" s="142" customFormat="1" ht="21" customHeight="1" x14ac:dyDescent="0.25">
      <c r="B1044" s="173" t="str">
        <f t="shared" si="16"/>
        <v>RM-304/1D-3.79X771</v>
      </c>
      <c r="C1044" s="173" t="s">
        <v>48</v>
      </c>
      <c r="D1044" s="173" t="s">
        <v>48</v>
      </c>
      <c r="E1044" s="190" t="s">
        <v>3306</v>
      </c>
      <c r="F1044" s="190" t="s">
        <v>3307</v>
      </c>
      <c r="G1044" s="173">
        <v>304</v>
      </c>
      <c r="H1044" s="173" t="s">
        <v>127</v>
      </c>
      <c r="I1044" s="174">
        <v>3.79</v>
      </c>
      <c r="J1044" s="174"/>
      <c r="K1044" s="174"/>
      <c r="L1044" s="174"/>
      <c r="M1044" s="191">
        <v>771</v>
      </c>
      <c r="N1044" s="176">
        <v>12.175000000000001</v>
      </c>
      <c r="O1044" s="176"/>
      <c r="P1044" s="177"/>
      <c r="Q1044" s="178"/>
      <c r="R1044" s="179"/>
      <c r="S1044" s="179"/>
      <c r="T1044" s="177"/>
      <c r="U1044" s="177"/>
      <c r="V1044" s="177"/>
      <c r="W1044" s="177"/>
      <c r="X1044" s="177"/>
      <c r="Y1044" s="177"/>
      <c r="Z1044" s="177"/>
      <c r="AA1044" s="177"/>
      <c r="AB1044" s="177"/>
      <c r="AC1044" s="177"/>
      <c r="AD1044" s="180" t="s">
        <v>2877</v>
      </c>
      <c r="AE1044" s="173" t="s">
        <v>69</v>
      </c>
      <c r="AF1044" s="181" t="s">
        <v>142</v>
      </c>
      <c r="AG1044" s="192" t="s">
        <v>2878</v>
      </c>
      <c r="AH1044" s="198"/>
      <c r="AI1044" s="181">
        <v>44950</v>
      </c>
      <c r="AJ1044" s="181"/>
      <c r="AK1044" s="181">
        <f ca="1">TODAY()</f>
        <v>44958</v>
      </c>
      <c r="AL1044" s="173">
        <f t="shared" ca="1" si="14"/>
        <v>8</v>
      </c>
      <c r="AM1044" s="173" t="str">
        <f t="shared" si="15"/>
        <v/>
      </c>
      <c r="AN1044" s="181"/>
      <c r="AO1044" s="190" t="s">
        <v>3305</v>
      </c>
      <c r="AP1044" s="176">
        <v>12.175000000000001</v>
      </c>
      <c r="AQ1044" s="176">
        <v>12.185</v>
      </c>
      <c r="AR1044" s="176">
        <v>12.209999999999999</v>
      </c>
      <c r="AS1044" s="176">
        <v>12.215</v>
      </c>
      <c r="AT1044" s="173"/>
      <c r="AU1044" s="173">
        <v>465</v>
      </c>
      <c r="AV1044" s="149"/>
      <c r="AW1044" s="142" t="s">
        <v>123</v>
      </c>
      <c r="AY1044" s="212"/>
      <c r="AZ1044" s="196"/>
      <c r="BA1044" s="196"/>
    </row>
    <row r="1045" spans="2:53" s="142" customFormat="1" ht="21" customHeight="1" x14ac:dyDescent="0.25">
      <c r="B1045" s="173" t="str">
        <f t="shared" si="16"/>
        <v>RM-304/1D-3.79X765</v>
      </c>
      <c r="C1045" s="173" t="s">
        <v>48</v>
      </c>
      <c r="D1045" s="173" t="s">
        <v>48</v>
      </c>
      <c r="E1045" s="190" t="s">
        <v>3308</v>
      </c>
      <c r="F1045" s="190" t="s">
        <v>3309</v>
      </c>
      <c r="G1045" s="173">
        <v>304</v>
      </c>
      <c r="H1045" s="173" t="s">
        <v>127</v>
      </c>
      <c r="I1045" s="174">
        <v>3.79</v>
      </c>
      <c r="J1045" s="174"/>
      <c r="K1045" s="174"/>
      <c r="L1045" s="174"/>
      <c r="M1045" s="191">
        <v>765</v>
      </c>
      <c r="N1045" s="176">
        <v>10.005000000000001</v>
      </c>
      <c r="O1045" s="176"/>
      <c r="P1045" s="177"/>
      <c r="Q1045" s="178"/>
      <c r="R1045" s="179"/>
      <c r="S1045" s="179"/>
      <c r="T1045" s="177"/>
      <c r="U1045" s="177"/>
      <c r="V1045" s="177"/>
      <c r="W1045" s="177"/>
      <c r="X1045" s="177"/>
      <c r="Y1045" s="177"/>
      <c r="Z1045" s="177"/>
      <c r="AA1045" s="177"/>
      <c r="AB1045" s="177"/>
      <c r="AC1045" s="177"/>
      <c r="AD1045" s="180" t="s">
        <v>2877</v>
      </c>
      <c r="AE1045" s="173" t="s">
        <v>69</v>
      </c>
      <c r="AF1045" s="181" t="s">
        <v>142</v>
      </c>
      <c r="AG1045" s="192" t="s">
        <v>2878</v>
      </c>
      <c r="AH1045" s="198"/>
      <c r="AI1045" s="181">
        <v>44950</v>
      </c>
      <c r="AJ1045" s="181"/>
      <c r="AK1045" s="181">
        <f ca="1">TODAY()</f>
        <v>44958</v>
      </c>
      <c r="AL1045" s="173">
        <f t="shared" ca="1" si="14"/>
        <v>8</v>
      </c>
      <c r="AM1045" s="173" t="str">
        <f t="shared" si="15"/>
        <v/>
      </c>
      <c r="AN1045" s="181"/>
      <c r="AO1045" s="190" t="s">
        <v>3310</v>
      </c>
      <c r="AP1045" s="176">
        <v>10.005000000000001</v>
      </c>
      <c r="AQ1045" s="176">
        <v>10.015000000000001</v>
      </c>
      <c r="AR1045" s="176">
        <v>10.039999999999999</v>
      </c>
      <c r="AS1045" s="176">
        <v>10.045</v>
      </c>
      <c r="AT1045" s="173"/>
      <c r="AU1045" s="173">
        <v>465</v>
      </c>
      <c r="AV1045" s="149"/>
      <c r="AW1045" s="142" t="s">
        <v>123</v>
      </c>
      <c r="AY1045" s="212"/>
      <c r="AZ1045" s="196"/>
      <c r="BA1045" s="196"/>
    </row>
    <row r="1046" spans="2:53" s="142" customFormat="1" ht="21" customHeight="1" x14ac:dyDescent="0.25">
      <c r="B1046" s="173" t="str">
        <f t="shared" si="16"/>
        <v>RM-304/1D-3.79X765</v>
      </c>
      <c r="C1046" s="173" t="s">
        <v>48</v>
      </c>
      <c r="D1046" s="173" t="s">
        <v>48</v>
      </c>
      <c r="E1046" s="190" t="s">
        <v>3311</v>
      </c>
      <c r="F1046" s="190" t="s">
        <v>3312</v>
      </c>
      <c r="G1046" s="173">
        <v>304</v>
      </c>
      <c r="H1046" s="173" t="s">
        <v>127</v>
      </c>
      <c r="I1046" s="174">
        <v>3.79</v>
      </c>
      <c r="J1046" s="174"/>
      <c r="K1046" s="174"/>
      <c r="L1046" s="174"/>
      <c r="M1046" s="191">
        <v>765</v>
      </c>
      <c r="N1046" s="176">
        <v>9.98</v>
      </c>
      <c r="O1046" s="176"/>
      <c r="P1046" s="177"/>
      <c r="Q1046" s="178"/>
      <c r="R1046" s="179"/>
      <c r="S1046" s="179"/>
      <c r="T1046" s="177"/>
      <c r="U1046" s="177"/>
      <c r="V1046" s="177"/>
      <c r="W1046" s="177"/>
      <c r="X1046" s="177"/>
      <c r="Y1046" s="177"/>
      <c r="Z1046" s="177"/>
      <c r="AA1046" s="177"/>
      <c r="AB1046" s="177"/>
      <c r="AC1046" s="177"/>
      <c r="AD1046" s="180" t="s">
        <v>2877</v>
      </c>
      <c r="AE1046" s="173" t="s">
        <v>69</v>
      </c>
      <c r="AF1046" s="181" t="s">
        <v>142</v>
      </c>
      <c r="AG1046" s="192" t="s">
        <v>2878</v>
      </c>
      <c r="AH1046" s="198"/>
      <c r="AI1046" s="181">
        <v>44950</v>
      </c>
      <c r="AJ1046" s="181"/>
      <c r="AK1046" s="181">
        <f ca="1">TODAY()</f>
        <v>44958</v>
      </c>
      <c r="AL1046" s="173">
        <f t="shared" ca="1" si="14"/>
        <v>8</v>
      </c>
      <c r="AM1046" s="173" t="str">
        <f t="shared" si="15"/>
        <v/>
      </c>
      <c r="AN1046" s="181"/>
      <c r="AO1046" s="190" t="s">
        <v>3310</v>
      </c>
      <c r="AP1046" s="176">
        <v>9.98</v>
      </c>
      <c r="AQ1046" s="176">
        <v>9.99</v>
      </c>
      <c r="AR1046" s="176">
        <v>10.014999999999999</v>
      </c>
      <c r="AS1046" s="176">
        <v>10.02</v>
      </c>
      <c r="AT1046" s="173"/>
      <c r="AU1046" s="173">
        <v>465</v>
      </c>
      <c r="AV1046" s="149"/>
      <c r="AW1046" s="142" t="s">
        <v>123</v>
      </c>
      <c r="AY1046" s="212"/>
      <c r="AZ1046" s="196"/>
      <c r="BA1046" s="196"/>
    </row>
    <row r="1047" spans="2:53" s="142" customFormat="1" ht="21" customHeight="1" x14ac:dyDescent="0.25">
      <c r="B1047" s="173" t="str">
        <f t="shared" si="16"/>
        <v>RM-304/1D-3.80X770</v>
      </c>
      <c r="C1047" s="173" t="s">
        <v>48</v>
      </c>
      <c r="D1047" s="173" t="s">
        <v>48</v>
      </c>
      <c r="E1047" s="190" t="s">
        <v>3313</v>
      </c>
      <c r="F1047" s="190" t="s">
        <v>3314</v>
      </c>
      <c r="G1047" s="173">
        <v>304</v>
      </c>
      <c r="H1047" s="173" t="s">
        <v>127</v>
      </c>
      <c r="I1047" s="174">
        <v>3.8</v>
      </c>
      <c r="J1047" s="174"/>
      <c r="K1047" s="174"/>
      <c r="L1047" s="174"/>
      <c r="M1047" s="191">
        <v>770</v>
      </c>
      <c r="N1047" s="176">
        <v>12.09</v>
      </c>
      <c r="O1047" s="176"/>
      <c r="P1047" s="177"/>
      <c r="Q1047" s="178"/>
      <c r="R1047" s="179"/>
      <c r="S1047" s="179"/>
      <c r="T1047" s="177"/>
      <c r="U1047" s="177"/>
      <c r="V1047" s="177"/>
      <c r="W1047" s="177"/>
      <c r="X1047" s="177"/>
      <c r="Y1047" s="177"/>
      <c r="Z1047" s="177"/>
      <c r="AA1047" s="177"/>
      <c r="AB1047" s="177"/>
      <c r="AC1047" s="177"/>
      <c r="AD1047" s="180" t="s">
        <v>2877</v>
      </c>
      <c r="AE1047" s="173" t="s">
        <v>69</v>
      </c>
      <c r="AF1047" s="181" t="s">
        <v>142</v>
      </c>
      <c r="AG1047" s="192" t="s">
        <v>2878</v>
      </c>
      <c r="AH1047" s="198"/>
      <c r="AI1047" s="181">
        <v>44950</v>
      </c>
      <c r="AJ1047" s="181"/>
      <c r="AK1047" s="181">
        <f ca="1">TODAY()</f>
        <v>44958</v>
      </c>
      <c r="AL1047" s="173">
        <f t="shared" ca="1" si="14"/>
        <v>8</v>
      </c>
      <c r="AM1047" s="173" t="str">
        <f t="shared" si="15"/>
        <v/>
      </c>
      <c r="AN1047" s="181"/>
      <c r="AO1047" s="190" t="s">
        <v>3315</v>
      </c>
      <c r="AP1047" s="176">
        <v>12.09</v>
      </c>
      <c r="AQ1047" s="176">
        <v>12.1</v>
      </c>
      <c r="AR1047" s="176">
        <v>12.124999999999998</v>
      </c>
      <c r="AS1047" s="176">
        <v>12.129999999999999</v>
      </c>
      <c r="AT1047" s="173"/>
      <c r="AU1047" s="173">
        <v>465</v>
      </c>
      <c r="AV1047" s="149"/>
      <c r="AW1047" s="142" t="s">
        <v>123</v>
      </c>
      <c r="AY1047" s="212"/>
      <c r="AZ1047" s="196"/>
      <c r="BA1047" s="196"/>
    </row>
    <row r="1048" spans="2:53" s="142" customFormat="1" ht="21" customHeight="1" x14ac:dyDescent="0.25">
      <c r="B1048" s="173" t="str">
        <f t="shared" si="16"/>
        <v>RM-304/1D-3.81X770</v>
      </c>
      <c r="C1048" s="173" t="s">
        <v>48</v>
      </c>
      <c r="D1048" s="173" t="s">
        <v>48</v>
      </c>
      <c r="E1048" s="190" t="s">
        <v>3316</v>
      </c>
      <c r="F1048" s="190" t="s">
        <v>3317</v>
      </c>
      <c r="G1048" s="173">
        <v>304</v>
      </c>
      <c r="H1048" s="173" t="s">
        <v>127</v>
      </c>
      <c r="I1048" s="174">
        <v>3.81</v>
      </c>
      <c r="J1048" s="174"/>
      <c r="K1048" s="174"/>
      <c r="L1048" s="174"/>
      <c r="M1048" s="191">
        <v>770</v>
      </c>
      <c r="N1048" s="176">
        <v>12.135</v>
      </c>
      <c r="O1048" s="176"/>
      <c r="P1048" s="177"/>
      <c r="Q1048" s="178"/>
      <c r="R1048" s="179"/>
      <c r="S1048" s="179"/>
      <c r="T1048" s="177"/>
      <c r="U1048" s="177"/>
      <c r="V1048" s="177"/>
      <c r="W1048" s="177"/>
      <c r="X1048" s="177"/>
      <c r="Y1048" s="177"/>
      <c r="Z1048" s="177"/>
      <c r="AA1048" s="177"/>
      <c r="AB1048" s="177"/>
      <c r="AC1048" s="177"/>
      <c r="AD1048" s="180" t="s">
        <v>2877</v>
      </c>
      <c r="AE1048" s="173" t="s">
        <v>69</v>
      </c>
      <c r="AF1048" s="181" t="s">
        <v>142</v>
      </c>
      <c r="AG1048" s="192" t="s">
        <v>2878</v>
      </c>
      <c r="AH1048" s="198"/>
      <c r="AI1048" s="181">
        <v>44950</v>
      </c>
      <c r="AJ1048" s="181"/>
      <c r="AK1048" s="181">
        <f ca="1">TODAY()</f>
        <v>44958</v>
      </c>
      <c r="AL1048" s="173">
        <f t="shared" ca="1" si="14"/>
        <v>8</v>
      </c>
      <c r="AM1048" s="173" t="str">
        <f t="shared" si="15"/>
        <v/>
      </c>
      <c r="AN1048" s="181"/>
      <c r="AO1048" s="190" t="s">
        <v>3315</v>
      </c>
      <c r="AP1048" s="176">
        <v>12.135</v>
      </c>
      <c r="AQ1048" s="176">
        <v>12.145</v>
      </c>
      <c r="AR1048" s="176">
        <v>12.169999999999998</v>
      </c>
      <c r="AS1048" s="176">
        <v>12.174999999999999</v>
      </c>
      <c r="AT1048" s="173"/>
      <c r="AU1048" s="173">
        <v>465</v>
      </c>
      <c r="AV1048" s="149"/>
      <c r="AW1048" s="142" t="s">
        <v>123</v>
      </c>
      <c r="AY1048" s="212"/>
      <c r="AZ1048" s="196"/>
      <c r="BA1048" s="196"/>
    </row>
    <row r="1049" spans="2:53" s="142" customFormat="1" ht="21" customHeight="1" x14ac:dyDescent="0.25">
      <c r="B1049" s="173" t="str">
        <f t="shared" si="16"/>
        <v>RM-304/1D-3.79X772</v>
      </c>
      <c r="C1049" s="173" t="s">
        <v>48</v>
      </c>
      <c r="D1049" s="173" t="s">
        <v>48</v>
      </c>
      <c r="E1049" s="190" t="s">
        <v>3318</v>
      </c>
      <c r="F1049" s="190" t="s">
        <v>3319</v>
      </c>
      <c r="G1049" s="173">
        <v>304</v>
      </c>
      <c r="H1049" s="173" t="s">
        <v>127</v>
      </c>
      <c r="I1049" s="174">
        <v>3.79</v>
      </c>
      <c r="J1049" s="174"/>
      <c r="K1049" s="174"/>
      <c r="L1049" s="174"/>
      <c r="M1049" s="191">
        <v>772</v>
      </c>
      <c r="N1049" s="176">
        <v>12.095000000000001</v>
      </c>
      <c r="O1049" s="176"/>
      <c r="P1049" s="177"/>
      <c r="Q1049" s="178"/>
      <c r="R1049" s="179"/>
      <c r="S1049" s="179"/>
      <c r="T1049" s="177"/>
      <c r="U1049" s="177"/>
      <c r="V1049" s="177"/>
      <c r="W1049" s="177"/>
      <c r="X1049" s="177"/>
      <c r="Y1049" s="177"/>
      <c r="Z1049" s="177"/>
      <c r="AA1049" s="177"/>
      <c r="AB1049" s="177"/>
      <c r="AC1049" s="177"/>
      <c r="AD1049" s="180" t="s">
        <v>2877</v>
      </c>
      <c r="AE1049" s="173" t="s">
        <v>69</v>
      </c>
      <c r="AF1049" s="181" t="s">
        <v>142</v>
      </c>
      <c r="AG1049" s="192" t="s">
        <v>2878</v>
      </c>
      <c r="AH1049" s="198"/>
      <c r="AI1049" s="181">
        <v>44950</v>
      </c>
      <c r="AJ1049" s="181"/>
      <c r="AK1049" s="181">
        <f ca="1">TODAY()</f>
        <v>44958</v>
      </c>
      <c r="AL1049" s="173">
        <f t="shared" ca="1" si="14"/>
        <v>8</v>
      </c>
      <c r="AM1049" s="173" t="str">
        <f t="shared" si="15"/>
        <v/>
      </c>
      <c r="AN1049" s="181"/>
      <c r="AO1049" s="190" t="s">
        <v>3320</v>
      </c>
      <c r="AP1049" s="176">
        <v>12.095000000000001</v>
      </c>
      <c r="AQ1049" s="176">
        <v>12.105</v>
      </c>
      <c r="AR1049" s="176">
        <v>12.129999999999999</v>
      </c>
      <c r="AS1049" s="176">
        <v>12.135</v>
      </c>
      <c r="AT1049" s="173"/>
      <c r="AU1049" s="173">
        <v>465</v>
      </c>
      <c r="AV1049" s="149"/>
      <c r="AW1049" s="142" t="s">
        <v>123</v>
      </c>
      <c r="AY1049" s="212"/>
      <c r="AZ1049" s="196"/>
      <c r="BA1049" s="196"/>
    </row>
    <row r="1050" spans="2:53" s="142" customFormat="1" ht="21" customHeight="1" x14ac:dyDescent="0.25">
      <c r="B1050" s="173" t="str">
        <f t="shared" si="16"/>
        <v>RM-304/1D-3.80X773</v>
      </c>
      <c r="C1050" s="173" t="s">
        <v>48</v>
      </c>
      <c r="D1050" s="173" t="s">
        <v>48</v>
      </c>
      <c r="E1050" s="190" t="s">
        <v>3321</v>
      </c>
      <c r="F1050" s="190" t="s">
        <v>3322</v>
      </c>
      <c r="G1050" s="173">
        <v>304</v>
      </c>
      <c r="H1050" s="173" t="s">
        <v>127</v>
      </c>
      <c r="I1050" s="174">
        <v>3.8</v>
      </c>
      <c r="J1050" s="174"/>
      <c r="K1050" s="174"/>
      <c r="L1050" s="174"/>
      <c r="M1050" s="191">
        <v>773</v>
      </c>
      <c r="N1050" s="176">
        <v>12.15</v>
      </c>
      <c r="O1050" s="176"/>
      <c r="P1050" s="177"/>
      <c r="Q1050" s="178"/>
      <c r="R1050" s="179"/>
      <c r="S1050" s="179"/>
      <c r="T1050" s="177"/>
      <c r="U1050" s="177"/>
      <c r="V1050" s="177"/>
      <c r="W1050" s="177"/>
      <c r="X1050" s="177"/>
      <c r="Y1050" s="177"/>
      <c r="Z1050" s="177"/>
      <c r="AA1050" s="177"/>
      <c r="AB1050" s="177"/>
      <c r="AC1050" s="177"/>
      <c r="AD1050" s="180" t="s">
        <v>2877</v>
      </c>
      <c r="AE1050" s="173" t="s">
        <v>69</v>
      </c>
      <c r="AF1050" s="181" t="s">
        <v>142</v>
      </c>
      <c r="AG1050" s="192" t="s">
        <v>2878</v>
      </c>
      <c r="AH1050" s="198"/>
      <c r="AI1050" s="181">
        <v>44950</v>
      </c>
      <c r="AJ1050" s="181"/>
      <c r="AK1050" s="181">
        <f ca="1">TODAY()</f>
        <v>44958</v>
      </c>
      <c r="AL1050" s="173">
        <f t="shared" ca="1" si="14"/>
        <v>8</v>
      </c>
      <c r="AM1050" s="173" t="str">
        <f t="shared" si="15"/>
        <v/>
      </c>
      <c r="AN1050" s="181"/>
      <c r="AO1050" s="190" t="s">
        <v>3320</v>
      </c>
      <c r="AP1050" s="176">
        <v>12.15</v>
      </c>
      <c r="AQ1050" s="176">
        <v>12.16</v>
      </c>
      <c r="AR1050" s="176">
        <v>12.184999999999999</v>
      </c>
      <c r="AS1050" s="176">
        <v>12.19</v>
      </c>
      <c r="AT1050" s="173"/>
      <c r="AU1050" s="173">
        <v>465</v>
      </c>
      <c r="AV1050" s="149"/>
      <c r="AW1050" s="142" t="s">
        <v>123</v>
      </c>
      <c r="AY1050" s="212"/>
      <c r="AZ1050" s="196"/>
      <c r="BA1050" s="196"/>
    </row>
    <row r="1051" spans="2:53" s="142" customFormat="1" ht="21" customHeight="1" x14ac:dyDescent="0.25">
      <c r="B1051" s="173" t="str">
        <f t="shared" si="16"/>
        <v>RM-304/1D-3.77X768</v>
      </c>
      <c r="C1051" s="173" t="s">
        <v>48</v>
      </c>
      <c r="D1051" s="173" t="s">
        <v>48</v>
      </c>
      <c r="E1051" s="190" t="s">
        <v>3323</v>
      </c>
      <c r="F1051" s="190" t="s">
        <v>3324</v>
      </c>
      <c r="G1051" s="173">
        <v>304</v>
      </c>
      <c r="H1051" s="173" t="s">
        <v>127</v>
      </c>
      <c r="I1051" s="174">
        <v>3.77</v>
      </c>
      <c r="J1051" s="174"/>
      <c r="K1051" s="174"/>
      <c r="L1051" s="174"/>
      <c r="M1051" s="191">
        <v>768</v>
      </c>
      <c r="N1051" s="176">
        <v>12.04</v>
      </c>
      <c r="O1051" s="176"/>
      <c r="P1051" s="177"/>
      <c r="Q1051" s="178"/>
      <c r="R1051" s="179"/>
      <c r="S1051" s="179"/>
      <c r="T1051" s="177"/>
      <c r="U1051" s="177"/>
      <c r="V1051" s="177"/>
      <c r="W1051" s="177"/>
      <c r="X1051" s="177"/>
      <c r="Y1051" s="177"/>
      <c r="Z1051" s="177"/>
      <c r="AA1051" s="177"/>
      <c r="AB1051" s="177"/>
      <c r="AC1051" s="177"/>
      <c r="AD1051" s="180" t="s">
        <v>2877</v>
      </c>
      <c r="AE1051" s="173" t="s">
        <v>69</v>
      </c>
      <c r="AF1051" s="181" t="s">
        <v>142</v>
      </c>
      <c r="AG1051" s="192" t="s">
        <v>2878</v>
      </c>
      <c r="AH1051" s="198"/>
      <c r="AI1051" s="181">
        <v>44950</v>
      </c>
      <c r="AJ1051" s="181"/>
      <c r="AK1051" s="181">
        <f ca="1">TODAY()</f>
        <v>44958</v>
      </c>
      <c r="AL1051" s="173">
        <f t="shared" ca="1" si="14"/>
        <v>8</v>
      </c>
      <c r="AM1051" s="173" t="str">
        <f t="shared" si="15"/>
        <v/>
      </c>
      <c r="AN1051" s="181"/>
      <c r="AO1051" s="190" t="s">
        <v>3325</v>
      </c>
      <c r="AP1051" s="176">
        <v>12.04</v>
      </c>
      <c r="AQ1051" s="176">
        <v>12.049999999999999</v>
      </c>
      <c r="AR1051" s="176">
        <v>12.074999999999998</v>
      </c>
      <c r="AS1051" s="176">
        <v>12.079999999999998</v>
      </c>
      <c r="AT1051" s="173"/>
      <c r="AU1051" s="173">
        <v>465</v>
      </c>
      <c r="AV1051" s="149"/>
      <c r="AW1051" s="142" t="s">
        <v>123</v>
      </c>
      <c r="AY1051" s="212"/>
      <c r="AZ1051" s="196"/>
      <c r="BA1051" s="196"/>
    </row>
    <row r="1052" spans="2:53" s="142" customFormat="1" ht="21" customHeight="1" x14ac:dyDescent="0.25">
      <c r="B1052" s="173" t="str">
        <f t="shared" si="16"/>
        <v>RM-304/1D-3.77X767</v>
      </c>
      <c r="C1052" s="173" t="s">
        <v>48</v>
      </c>
      <c r="D1052" s="173" t="s">
        <v>48</v>
      </c>
      <c r="E1052" s="190" t="s">
        <v>3326</v>
      </c>
      <c r="F1052" s="190" t="s">
        <v>3327</v>
      </c>
      <c r="G1052" s="173">
        <v>304</v>
      </c>
      <c r="H1052" s="173" t="s">
        <v>127</v>
      </c>
      <c r="I1052" s="174">
        <v>3.77</v>
      </c>
      <c r="J1052" s="174"/>
      <c r="K1052" s="174"/>
      <c r="L1052" s="174"/>
      <c r="M1052" s="191">
        <v>767</v>
      </c>
      <c r="N1052" s="176">
        <v>11.955</v>
      </c>
      <c r="O1052" s="176"/>
      <c r="P1052" s="177"/>
      <c r="Q1052" s="178"/>
      <c r="R1052" s="179"/>
      <c r="S1052" s="179"/>
      <c r="T1052" s="177"/>
      <c r="U1052" s="177"/>
      <c r="V1052" s="177"/>
      <c r="W1052" s="177"/>
      <c r="X1052" s="177"/>
      <c r="Y1052" s="177"/>
      <c r="Z1052" s="177"/>
      <c r="AA1052" s="177"/>
      <c r="AB1052" s="177"/>
      <c r="AC1052" s="177"/>
      <c r="AD1052" s="180" t="s">
        <v>2877</v>
      </c>
      <c r="AE1052" s="173" t="s">
        <v>69</v>
      </c>
      <c r="AF1052" s="181" t="s">
        <v>142</v>
      </c>
      <c r="AG1052" s="192" t="s">
        <v>2878</v>
      </c>
      <c r="AH1052" s="198"/>
      <c r="AI1052" s="181">
        <v>44950</v>
      </c>
      <c r="AJ1052" s="181"/>
      <c r="AK1052" s="181">
        <f ca="1">TODAY()</f>
        <v>44958</v>
      </c>
      <c r="AL1052" s="173">
        <f t="shared" ca="1" si="14"/>
        <v>8</v>
      </c>
      <c r="AM1052" s="173" t="str">
        <f t="shared" si="15"/>
        <v/>
      </c>
      <c r="AN1052" s="181"/>
      <c r="AO1052" s="190" t="s">
        <v>3325</v>
      </c>
      <c r="AP1052" s="176">
        <v>11.955</v>
      </c>
      <c r="AQ1052" s="176">
        <v>11.965</v>
      </c>
      <c r="AR1052" s="176">
        <v>11.989999999999998</v>
      </c>
      <c r="AS1052" s="176">
        <v>11.994999999999999</v>
      </c>
      <c r="AT1052" s="173"/>
      <c r="AU1052" s="173">
        <v>465</v>
      </c>
      <c r="AV1052" s="149"/>
      <c r="AW1052" s="142" t="s">
        <v>123</v>
      </c>
      <c r="AY1052" s="212"/>
      <c r="AZ1052" s="196"/>
      <c r="BA1052" s="196"/>
    </row>
    <row r="1053" spans="2:53" s="142" customFormat="1" ht="21" customHeight="1" x14ac:dyDescent="0.25">
      <c r="B1053" s="173" t="str">
        <f t="shared" si="16"/>
        <v>RM-304L/1D-3.79X766</v>
      </c>
      <c r="C1053" s="173" t="s">
        <v>48</v>
      </c>
      <c r="D1053" s="173" t="s">
        <v>48</v>
      </c>
      <c r="E1053" s="190" t="s">
        <v>3328</v>
      </c>
      <c r="F1053" s="190" t="s">
        <v>3329</v>
      </c>
      <c r="G1053" s="173" t="s">
        <v>182</v>
      </c>
      <c r="H1053" s="173" t="s">
        <v>127</v>
      </c>
      <c r="I1053" s="174">
        <v>3.79</v>
      </c>
      <c r="J1053" s="174"/>
      <c r="K1053" s="174"/>
      <c r="L1053" s="174"/>
      <c r="M1053" s="191">
        <v>766</v>
      </c>
      <c r="N1053" s="176">
        <v>10.25</v>
      </c>
      <c r="O1053" s="176"/>
      <c r="P1053" s="177"/>
      <c r="Q1053" s="178"/>
      <c r="R1053" s="179"/>
      <c r="S1053" s="179"/>
      <c r="T1053" s="177"/>
      <c r="U1053" s="177"/>
      <c r="V1053" s="177"/>
      <c r="W1053" s="177"/>
      <c r="X1053" s="177"/>
      <c r="Y1053" s="177"/>
      <c r="Z1053" s="177"/>
      <c r="AA1053" s="177"/>
      <c r="AB1053" s="177"/>
      <c r="AC1053" s="177"/>
      <c r="AD1053" s="180" t="s">
        <v>2877</v>
      </c>
      <c r="AE1053" s="173" t="s">
        <v>69</v>
      </c>
      <c r="AF1053" s="181" t="s">
        <v>142</v>
      </c>
      <c r="AG1053" s="192" t="s">
        <v>2878</v>
      </c>
      <c r="AH1053" s="198"/>
      <c r="AI1053" s="181">
        <v>44950</v>
      </c>
      <c r="AJ1053" s="181"/>
      <c r="AK1053" s="181">
        <f ca="1">TODAY()</f>
        <v>44958</v>
      </c>
      <c r="AL1053" s="173">
        <f t="shared" ca="1" si="14"/>
        <v>8</v>
      </c>
      <c r="AM1053" s="173" t="str">
        <f t="shared" si="15"/>
        <v/>
      </c>
      <c r="AN1053" s="181"/>
      <c r="AO1053" s="190" t="s">
        <v>3330</v>
      </c>
      <c r="AP1053" s="176">
        <v>10.25</v>
      </c>
      <c r="AQ1053" s="176">
        <v>10.26</v>
      </c>
      <c r="AR1053" s="176">
        <v>10.284999999999998</v>
      </c>
      <c r="AS1053" s="176">
        <v>10.29</v>
      </c>
      <c r="AT1053" s="173"/>
      <c r="AU1053" s="173">
        <v>465</v>
      </c>
      <c r="AV1053" s="149"/>
      <c r="AW1053" s="142" t="s">
        <v>123</v>
      </c>
      <c r="AY1053" s="212"/>
      <c r="AZ1053" s="196"/>
      <c r="BA1053" s="196"/>
    </row>
    <row r="1054" spans="2:53" s="142" customFormat="1" ht="21" customHeight="1" x14ac:dyDescent="0.25">
      <c r="B1054" s="173" t="str">
        <f t="shared" si="16"/>
        <v>RM-304L/1D-3.80X766</v>
      </c>
      <c r="C1054" s="173" t="s">
        <v>48</v>
      </c>
      <c r="D1054" s="173" t="s">
        <v>48</v>
      </c>
      <c r="E1054" s="190" t="s">
        <v>3331</v>
      </c>
      <c r="F1054" s="190" t="s">
        <v>3332</v>
      </c>
      <c r="G1054" s="173" t="s">
        <v>182</v>
      </c>
      <c r="H1054" s="173" t="s">
        <v>127</v>
      </c>
      <c r="I1054" s="174">
        <v>3.8</v>
      </c>
      <c r="J1054" s="174"/>
      <c r="K1054" s="174"/>
      <c r="L1054" s="174"/>
      <c r="M1054" s="191">
        <v>766</v>
      </c>
      <c r="N1054" s="176">
        <v>10.199999999999999</v>
      </c>
      <c r="O1054" s="176"/>
      <c r="P1054" s="177"/>
      <c r="Q1054" s="178"/>
      <c r="R1054" s="179"/>
      <c r="S1054" s="179"/>
      <c r="T1054" s="177"/>
      <c r="U1054" s="177"/>
      <c r="V1054" s="177"/>
      <c r="W1054" s="177"/>
      <c r="X1054" s="177"/>
      <c r="Y1054" s="177"/>
      <c r="Z1054" s="177"/>
      <c r="AA1054" s="177"/>
      <c r="AB1054" s="177"/>
      <c r="AC1054" s="177"/>
      <c r="AD1054" s="180" t="s">
        <v>2877</v>
      </c>
      <c r="AE1054" s="173" t="s">
        <v>69</v>
      </c>
      <c r="AF1054" s="181" t="s">
        <v>142</v>
      </c>
      <c r="AG1054" s="192" t="s">
        <v>2878</v>
      </c>
      <c r="AH1054" s="198"/>
      <c r="AI1054" s="181">
        <v>44950</v>
      </c>
      <c r="AJ1054" s="181"/>
      <c r="AK1054" s="181">
        <f ca="1">TODAY()</f>
        <v>44958</v>
      </c>
      <c r="AL1054" s="173">
        <f t="shared" ca="1" si="14"/>
        <v>8</v>
      </c>
      <c r="AM1054" s="173" t="str">
        <f t="shared" si="15"/>
        <v/>
      </c>
      <c r="AN1054" s="181"/>
      <c r="AO1054" s="190" t="s">
        <v>3330</v>
      </c>
      <c r="AP1054" s="176">
        <v>10.199999999999999</v>
      </c>
      <c r="AQ1054" s="176">
        <v>10.209999999999999</v>
      </c>
      <c r="AR1054" s="176">
        <v>10.234999999999998</v>
      </c>
      <c r="AS1054" s="176">
        <v>10.239999999999998</v>
      </c>
      <c r="AT1054" s="173"/>
      <c r="AU1054" s="173">
        <v>465</v>
      </c>
      <c r="AV1054" s="149"/>
      <c r="AW1054" s="142" t="s">
        <v>123</v>
      </c>
      <c r="AY1054" s="212"/>
      <c r="AZ1054" s="196"/>
      <c r="BA1054" s="196"/>
    </row>
    <row r="1055" spans="2:53" s="142" customFormat="1" ht="21" customHeight="1" x14ac:dyDescent="0.25">
      <c r="B1055" s="173" t="str">
        <f t="shared" si="16"/>
        <v>RM-304/1D-3.78X774</v>
      </c>
      <c r="C1055" s="173" t="s">
        <v>48</v>
      </c>
      <c r="D1055" s="173" t="s">
        <v>48</v>
      </c>
      <c r="E1055" s="190" t="s">
        <v>3333</v>
      </c>
      <c r="F1055" s="190" t="s">
        <v>3334</v>
      </c>
      <c r="G1055" s="173">
        <v>304</v>
      </c>
      <c r="H1055" s="173" t="s">
        <v>127</v>
      </c>
      <c r="I1055" s="174">
        <v>3.78</v>
      </c>
      <c r="J1055" s="174"/>
      <c r="K1055" s="174"/>
      <c r="L1055" s="174"/>
      <c r="M1055" s="191">
        <v>774</v>
      </c>
      <c r="N1055" s="176">
        <v>12.045</v>
      </c>
      <c r="O1055" s="176"/>
      <c r="P1055" s="177"/>
      <c r="Q1055" s="178"/>
      <c r="R1055" s="179"/>
      <c r="S1055" s="179"/>
      <c r="T1055" s="177"/>
      <c r="U1055" s="177"/>
      <c r="V1055" s="177"/>
      <c r="W1055" s="177"/>
      <c r="X1055" s="177"/>
      <c r="Y1055" s="177"/>
      <c r="Z1055" s="177"/>
      <c r="AA1055" s="177"/>
      <c r="AB1055" s="177"/>
      <c r="AC1055" s="177"/>
      <c r="AD1055" s="180" t="s">
        <v>2877</v>
      </c>
      <c r="AE1055" s="173" t="s">
        <v>69</v>
      </c>
      <c r="AF1055" s="181" t="s">
        <v>142</v>
      </c>
      <c r="AG1055" s="192" t="s">
        <v>2878</v>
      </c>
      <c r="AH1055" s="198"/>
      <c r="AI1055" s="181">
        <v>44950</v>
      </c>
      <c r="AJ1055" s="181"/>
      <c r="AK1055" s="181">
        <f ca="1">TODAY()</f>
        <v>44958</v>
      </c>
      <c r="AL1055" s="173">
        <f t="shared" ca="1" si="14"/>
        <v>8</v>
      </c>
      <c r="AM1055" s="173" t="str">
        <f t="shared" si="15"/>
        <v/>
      </c>
      <c r="AN1055" s="181"/>
      <c r="AO1055" s="190" t="s">
        <v>3335</v>
      </c>
      <c r="AP1055" s="176">
        <v>12.045</v>
      </c>
      <c r="AQ1055" s="176">
        <v>12.055</v>
      </c>
      <c r="AR1055" s="176">
        <v>12.079999999999998</v>
      </c>
      <c r="AS1055" s="176">
        <v>12.084999999999999</v>
      </c>
      <c r="AT1055" s="173"/>
      <c r="AU1055" s="173">
        <v>465</v>
      </c>
      <c r="AV1055" s="149"/>
      <c r="AW1055" s="142" t="s">
        <v>123</v>
      </c>
      <c r="AY1055" s="212"/>
      <c r="AZ1055" s="196"/>
      <c r="BA1055" s="196"/>
    </row>
    <row r="1056" spans="2:53" s="142" customFormat="1" ht="21" customHeight="1" x14ac:dyDescent="0.25">
      <c r="B1056" s="173" t="str">
        <f t="shared" si="16"/>
        <v>RM-304/1D-3.78X768</v>
      </c>
      <c r="C1056" s="173" t="s">
        <v>48</v>
      </c>
      <c r="D1056" s="173" t="s">
        <v>48</v>
      </c>
      <c r="E1056" s="190" t="s">
        <v>3336</v>
      </c>
      <c r="F1056" s="190" t="s">
        <v>3337</v>
      </c>
      <c r="G1056" s="173">
        <v>304</v>
      </c>
      <c r="H1056" s="173" t="s">
        <v>127</v>
      </c>
      <c r="I1056" s="174">
        <v>3.78</v>
      </c>
      <c r="J1056" s="174"/>
      <c r="K1056" s="174"/>
      <c r="L1056" s="174"/>
      <c r="M1056" s="191">
        <v>768</v>
      </c>
      <c r="N1056" s="176">
        <v>11.94</v>
      </c>
      <c r="O1056" s="176"/>
      <c r="P1056" s="177"/>
      <c r="Q1056" s="178"/>
      <c r="R1056" s="179"/>
      <c r="S1056" s="179"/>
      <c r="T1056" s="177"/>
      <c r="U1056" s="177"/>
      <c r="V1056" s="177"/>
      <c r="W1056" s="177"/>
      <c r="X1056" s="177"/>
      <c r="Y1056" s="177"/>
      <c r="Z1056" s="177"/>
      <c r="AA1056" s="177"/>
      <c r="AB1056" s="177"/>
      <c r="AC1056" s="177"/>
      <c r="AD1056" s="180" t="s">
        <v>2877</v>
      </c>
      <c r="AE1056" s="173" t="s">
        <v>69</v>
      </c>
      <c r="AF1056" s="181" t="s">
        <v>142</v>
      </c>
      <c r="AG1056" s="192" t="s">
        <v>2878</v>
      </c>
      <c r="AH1056" s="198"/>
      <c r="AI1056" s="181">
        <v>44950</v>
      </c>
      <c r="AJ1056" s="181"/>
      <c r="AK1056" s="181">
        <f ca="1">TODAY()</f>
        <v>44958</v>
      </c>
      <c r="AL1056" s="173">
        <f t="shared" ca="1" si="14"/>
        <v>8</v>
      </c>
      <c r="AM1056" s="173" t="str">
        <f t="shared" si="15"/>
        <v/>
      </c>
      <c r="AN1056" s="181"/>
      <c r="AO1056" s="190" t="s">
        <v>3335</v>
      </c>
      <c r="AP1056" s="176">
        <v>11.94</v>
      </c>
      <c r="AQ1056" s="176">
        <v>11.95</v>
      </c>
      <c r="AR1056" s="176">
        <v>11.974999999999998</v>
      </c>
      <c r="AS1056" s="176">
        <v>11.979999999999999</v>
      </c>
      <c r="AT1056" s="173"/>
      <c r="AU1056" s="173">
        <v>465</v>
      </c>
      <c r="AV1056" s="149"/>
      <c r="AW1056" s="142" t="s">
        <v>123</v>
      </c>
      <c r="AY1056" s="212"/>
      <c r="AZ1056" s="196"/>
      <c r="BA1056" s="196"/>
    </row>
    <row r="1057" spans="2:53" s="142" customFormat="1" ht="21" customHeight="1" x14ac:dyDescent="0.25">
      <c r="B1057" s="173" t="str">
        <f t="shared" si="16"/>
        <v>RM-304/1D-3.79X767</v>
      </c>
      <c r="C1057" s="173" t="s">
        <v>48</v>
      </c>
      <c r="D1057" s="173" t="s">
        <v>48</v>
      </c>
      <c r="E1057" s="190" t="s">
        <v>3338</v>
      </c>
      <c r="F1057" s="190" t="s">
        <v>3339</v>
      </c>
      <c r="G1057" s="173">
        <v>304</v>
      </c>
      <c r="H1057" s="173" t="s">
        <v>127</v>
      </c>
      <c r="I1057" s="174">
        <v>3.79</v>
      </c>
      <c r="J1057" s="174"/>
      <c r="K1057" s="174"/>
      <c r="L1057" s="174"/>
      <c r="M1057" s="191">
        <v>767</v>
      </c>
      <c r="N1057" s="176">
        <v>11.955</v>
      </c>
      <c r="O1057" s="176"/>
      <c r="P1057" s="177"/>
      <c r="Q1057" s="178"/>
      <c r="R1057" s="179"/>
      <c r="S1057" s="179"/>
      <c r="T1057" s="177"/>
      <c r="U1057" s="177"/>
      <c r="V1057" s="177"/>
      <c r="W1057" s="177"/>
      <c r="X1057" s="177"/>
      <c r="Y1057" s="177"/>
      <c r="Z1057" s="177"/>
      <c r="AA1057" s="177"/>
      <c r="AB1057" s="177"/>
      <c r="AC1057" s="177"/>
      <c r="AD1057" s="180" t="s">
        <v>2877</v>
      </c>
      <c r="AE1057" s="173" t="s">
        <v>69</v>
      </c>
      <c r="AF1057" s="181" t="s">
        <v>142</v>
      </c>
      <c r="AG1057" s="192" t="s">
        <v>2878</v>
      </c>
      <c r="AH1057" s="198"/>
      <c r="AI1057" s="181">
        <v>44950</v>
      </c>
      <c r="AJ1057" s="181"/>
      <c r="AK1057" s="181">
        <f ca="1">TODAY()</f>
        <v>44958</v>
      </c>
      <c r="AL1057" s="173">
        <f t="shared" ca="1" si="14"/>
        <v>8</v>
      </c>
      <c r="AM1057" s="173" t="str">
        <f t="shared" si="15"/>
        <v/>
      </c>
      <c r="AN1057" s="181"/>
      <c r="AO1057" s="190" t="s">
        <v>3340</v>
      </c>
      <c r="AP1057" s="176">
        <v>11.955</v>
      </c>
      <c r="AQ1057" s="176">
        <v>11.965</v>
      </c>
      <c r="AR1057" s="176">
        <v>11.989999999999998</v>
      </c>
      <c r="AS1057" s="176">
        <v>11.994999999999999</v>
      </c>
      <c r="AT1057" s="173"/>
      <c r="AU1057" s="173">
        <v>465</v>
      </c>
      <c r="AV1057" s="149"/>
      <c r="AW1057" s="142" t="s">
        <v>123</v>
      </c>
      <c r="AY1057" s="212"/>
      <c r="AZ1057" s="196"/>
      <c r="BA1057" s="196"/>
    </row>
    <row r="1058" spans="2:53" s="142" customFormat="1" ht="21" customHeight="1" x14ac:dyDescent="0.25">
      <c r="B1058" s="173" t="str">
        <f t="shared" si="16"/>
        <v>RM-304/1D-3.81X767</v>
      </c>
      <c r="C1058" s="173" t="s">
        <v>48</v>
      </c>
      <c r="D1058" s="173" t="s">
        <v>48</v>
      </c>
      <c r="E1058" s="190" t="s">
        <v>3341</v>
      </c>
      <c r="F1058" s="190" t="s">
        <v>3342</v>
      </c>
      <c r="G1058" s="173">
        <v>304</v>
      </c>
      <c r="H1058" s="173" t="s">
        <v>127</v>
      </c>
      <c r="I1058" s="174">
        <v>3.81</v>
      </c>
      <c r="J1058" s="174"/>
      <c r="K1058" s="174"/>
      <c r="L1058" s="174"/>
      <c r="M1058" s="191">
        <v>767</v>
      </c>
      <c r="N1058" s="176">
        <v>11.925000000000001</v>
      </c>
      <c r="O1058" s="176"/>
      <c r="P1058" s="177"/>
      <c r="Q1058" s="178"/>
      <c r="R1058" s="179"/>
      <c r="S1058" s="179"/>
      <c r="T1058" s="177"/>
      <c r="U1058" s="177"/>
      <c r="V1058" s="177"/>
      <c r="W1058" s="177"/>
      <c r="X1058" s="177"/>
      <c r="Y1058" s="177"/>
      <c r="Z1058" s="177"/>
      <c r="AA1058" s="177"/>
      <c r="AB1058" s="177"/>
      <c r="AC1058" s="177"/>
      <c r="AD1058" s="180" t="s">
        <v>2877</v>
      </c>
      <c r="AE1058" s="173" t="s">
        <v>69</v>
      </c>
      <c r="AF1058" s="181" t="s">
        <v>142</v>
      </c>
      <c r="AG1058" s="192" t="s">
        <v>2878</v>
      </c>
      <c r="AH1058" s="198"/>
      <c r="AI1058" s="181">
        <v>44950</v>
      </c>
      <c r="AJ1058" s="181"/>
      <c r="AK1058" s="181">
        <f ca="1">TODAY()</f>
        <v>44958</v>
      </c>
      <c r="AL1058" s="173">
        <f t="shared" ca="1" si="14"/>
        <v>8</v>
      </c>
      <c r="AM1058" s="173" t="str">
        <f t="shared" si="15"/>
        <v/>
      </c>
      <c r="AN1058" s="181"/>
      <c r="AO1058" s="190" t="s">
        <v>3340</v>
      </c>
      <c r="AP1058" s="176">
        <v>11.925000000000001</v>
      </c>
      <c r="AQ1058" s="176">
        <v>11.935</v>
      </c>
      <c r="AR1058" s="176">
        <v>11.959999999999999</v>
      </c>
      <c r="AS1058" s="176">
        <v>11.965</v>
      </c>
      <c r="AT1058" s="173"/>
      <c r="AU1058" s="173">
        <v>465</v>
      </c>
      <c r="AV1058" s="149"/>
      <c r="AW1058" s="142" t="s">
        <v>123</v>
      </c>
      <c r="AY1058" s="212"/>
      <c r="AZ1058" s="196"/>
      <c r="BA1058" s="196"/>
    </row>
    <row r="1059" spans="2:53" s="142" customFormat="1" ht="21" customHeight="1" x14ac:dyDescent="0.25">
      <c r="B1059" s="173" t="str">
        <f t="shared" si="16"/>
        <v>RM-304/1D-3.79X765</v>
      </c>
      <c r="C1059" s="173" t="s">
        <v>48</v>
      </c>
      <c r="D1059" s="173" t="s">
        <v>48</v>
      </c>
      <c r="E1059" s="190" t="s">
        <v>3343</v>
      </c>
      <c r="F1059" s="190" t="s">
        <v>3344</v>
      </c>
      <c r="G1059" s="173">
        <v>304</v>
      </c>
      <c r="H1059" s="173" t="s">
        <v>127</v>
      </c>
      <c r="I1059" s="174">
        <v>3.79</v>
      </c>
      <c r="J1059" s="174"/>
      <c r="K1059" s="174"/>
      <c r="L1059" s="174"/>
      <c r="M1059" s="191">
        <v>765</v>
      </c>
      <c r="N1059" s="176">
        <v>10.095000000000001</v>
      </c>
      <c r="O1059" s="176"/>
      <c r="P1059" s="177"/>
      <c r="Q1059" s="178"/>
      <c r="R1059" s="179"/>
      <c r="S1059" s="179"/>
      <c r="T1059" s="177"/>
      <c r="U1059" s="177"/>
      <c r="V1059" s="177"/>
      <c r="W1059" s="177"/>
      <c r="X1059" s="177"/>
      <c r="Y1059" s="177"/>
      <c r="Z1059" s="177"/>
      <c r="AA1059" s="177"/>
      <c r="AB1059" s="177"/>
      <c r="AC1059" s="177"/>
      <c r="AD1059" s="180" t="s">
        <v>2877</v>
      </c>
      <c r="AE1059" s="173" t="s">
        <v>69</v>
      </c>
      <c r="AF1059" s="181" t="s">
        <v>142</v>
      </c>
      <c r="AG1059" s="192" t="s">
        <v>2878</v>
      </c>
      <c r="AH1059" s="198"/>
      <c r="AI1059" s="181">
        <v>44950</v>
      </c>
      <c r="AJ1059" s="181"/>
      <c r="AK1059" s="181">
        <f ca="1">TODAY()</f>
        <v>44958</v>
      </c>
      <c r="AL1059" s="173">
        <f t="shared" ca="1" si="14"/>
        <v>8</v>
      </c>
      <c r="AM1059" s="173" t="str">
        <f t="shared" si="15"/>
        <v/>
      </c>
      <c r="AN1059" s="181"/>
      <c r="AO1059" s="190" t="s">
        <v>3345</v>
      </c>
      <c r="AP1059" s="176">
        <v>10.095000000000001</v>
      </c>
      <c r="AQ1059" s="176">
        <v>10.105</v>
      </c>
      <c r="AR1059" s="176">
        <v>10.129999999999999</v>
      </c>
      <c r="AS1059" s="176">
        <v>10.135</v>
      </c>
      <c r="AT1059" s="173"/>
      <c r="AU1059" s="173">
        <v>465</v>
      </c>
      <c r="AV1059" s="149"/>
      <c r="AW1059" s="142" t="s">
        <v>123</v>
      </c>
      <c r="AY1059" s="212"/>
      <c r="AZ1059" s="196"/>
      <c r="BA1059" s="196"/>
    </row>
    <row r="1060" spans="2:53" s="142" customFormat="1" ht="21" customHeight="1" x14ac:dyDescent="0.25">
      <c r="B1060" s="173" t="str">
        <f t="shared" si="16"/>
        <v>RM-304/1D-3.80X764</v>
      </c>
      <c r="C1060" s="173" t="s">
        <v>48</v>
      </c>
      <c r="D1060" s="173" t="s">
        <v>48</v>
      </c>
      <c r="E1060" s="190" t="s">
        <v>3346</v>
      </c>
      <c r="F1060" s="190" t="s">
        <v>3347</v>
      </c>
      <c r="G1060" s="173">
        <v>304</v>
      </c>
      <c r="H1060" s="173" t="s">
        <v>127</v>
      </c>
      <c r="I1060" s="174">
        <v>3.8</v>
      </c>
      <c r="J1060" s="174"/>
      <c r="K1060" s="174"/>
      <c r="L1060" s="174"/>
      <c r="M1060" s="191">
        <v>764</v>
      </c>
      <c r="N1060" s="176">
        <v>10.09</v>
      </c>
      <c r="O1060" s="176"/>
      <c r="P1060" s="177"/>
      <c r="Q1060" s="178"/>
      <c r="R1060" s="179"/>
      <c r="S1060" s="179"/>
      <c r="T1060" s="177"/>
      <c r="U1060" s="177"/>
      <c r="V1060" s="177"/>
      <c r="W1060" s="177"/>
      <c r="X1060" s="177"/>
      <c r="Y1060" s="177"/>
      <c r="Z1060" s="177"/>
      <c r="AA1060" s="177"/>
      <c r="AB1060" s="177"/>
      <c r="AC1060" s="177"/>
      <c r="AD1060" s="180" t="s">
        <v>2877</v>
      </c>
      <c r="AE1060" s="173" t="s">
        <v>69</v>
      </c>
      <c r="AF1060" s="181" t="s">
        <v>142</v>
      </c>
      <c r="AG1060" s="192" t="s">
        <v>2878</v>
      </c>
      <c r="AH1060" s="198"/>
      <c r="AI1060" s="181">
        <v>44950</v>
      </c>
      <c r="AJ1060" s="181"/>
      <c r="AK1060" s="181">
        <f ca="1">TODAY()</f>
        <v>44958</v>
      </c>
      <c r="AL1060" s="173">
        <f t="shared" ca="1" si="14"/>
        <v>8</v>
      </c>
      <c r="AM1060" s="173" t="str">
        <f t="shared" si="15"/>
        <v/>
      </c>
      <c r="AN1060" s="181"/>
      <c r="AO1060" s="190" t="s">
        <v>3345</v>
      </c>
      <c r="AP1060" s="176">
        <v>10.09</v>
      </c>
      <c r="AQ1060" s="176">
        <v>10.1</v>
      </c>
      <c r="AR1060" s="176">
        <v>10.124999999999998</v>
      </c>
      <c r="AS1060" s="176">
        <v>10.129999999999999</v>
      </c>
      <c r="AT1060" s="173"/>
      <c r="AU1060" s="173">
        <v>465</v>
      </c>
      <c r="AV1060" s="149"/>
      <c r="AW1060" s="142" t="s">
        <v>123</v>
      </c>
      <c r="AY1060" s="212"/>
      <c r="AZ1060" s="196"/>
      <c r="BA1060" s="196"/>
    </row>
    <row r="1061" spans="2:53" s="142" customFormat="1" ht="21" customHeight="1" x14ac:dyDescent="0.25">
      <c r="B1061" s="173" t="str">
        <f t="shared" si="16"/>
        <v>RM-304/1D-3.80X767</v>
      </c>
      <c r="C1061" s="173" t="s">
        <v>48</v>
      </c>
      <c r="D1061" s="173" t="s">
        <v>48</v>
      </c>
      <c r="E1061" s="190" t="s">
        <v>3348</v>
      </c>
      <c r="F1061" s="190" t="s">
        <v>3349</v>
      </c>
      <c r="G1061" s="173">
        <v>304</v>
      </c>
      <c r="H1061" s="173" t="s">
        <v>127</v>
      </c>
      <c r="I1061" s="174">
        <v>3.8</v>
      </c>
      <c r="J1061" s="174"/>
      <c r="K1061" s="174"/>
      <c r="L1061" s="174"/>
      <c r="M1061" s="191">
        <v>767</v>
      </c>
      <c r="N1061" s="176">
        <v>10.29</v>
      </c>
      <c r="O1061" s="176"/>
      <c r="P1061" s="177"/>
      <c r="Q1061" s="178"/>
      <c r="R1061" s="179"/>
      <c r="S1061" s="179"/>
      <c r="T1061" s="177"/>
      <c r="U1061" s="177"/>
      <c r="V1061" s="177"/>
      <c r="W1061" s="177"/>
      <c r="X1061" s="177"/>
      <c r="Y1061" s="177"/>
      <c r="Z1061" s="177"/>
      <c r="AA1061" s="177"/>
      <c r="AB1061" s="177"/>
      <c r="AC1061" s="177"/>
      <c r="AD1061" s="180" t="s">
        <v>2877</v>
      </c>
      <c r="AE1061" s="173" t="s">
        <v>69</v>
      </c>
      <c r="AF1061" s="181" t="s">
        <v>142</v>
      </c>
      <c r="AG1061" s="192" t="s">
        <v>2878</v>
      </c>
      <c r="AH1061" s="198"/>
      <c r="AI1061" s="181">
        <v>44950</v>
      </c>
      <c r="AJ1061" s="181"/>
      <c r="AK1061" s="181">
        <f ca="1">TODAY()</f>
        <v>44958</v>
      </c>
      <c r="AL1061" s="173">
        <f t="shared" ca="1" si="14"/>
        <v>8</v>
      </c>
      <c r="AM1061" s="173" t="str">
        <f t="shared" si="15"/>
        <v/>
      </c>
      <c r="AN1061" s="181"/>
      <c r="AO1061" s="190" t="s">
        <v>3350</v>
      </c>
      <c r="AP1061" s="176">
        <v>10.29</v>
      </c>
      <c r="AQ1061" s="176">
        <v>10.299999999999999</v>
      </c>
      <c r="AR1061" s="176">
        <v>10.324999999999998</v>
      </c>
      <c r="AS1061" s="176">
        <v>10.329999999999998</v>
      </c>
      <c r="AT1061" s="173"/>
      <c r="AU1061" s="173">
        <v>465</v>
      </c>
      <c r="AV1061" s="149"/>
      <c r="AW1061" s="142" t="s">
        <v>123</v>
      </c>
      <c r="AY1061" s="212"/>
      <c r="AZ1061" s="196"/>
      <c r="BA1061" s="196"/>
    </row>
    <row r="1062" spans="2:53" s="142" customFormat="1" ht="21" customHeight="1" x14ac:dyDescent="0.25">
      <c r="B1062" s="173" t="str">
        <f t="shared" si="16"/>
        <v>RM-304/1D-3.80X768</v>
      </c>
      <c r="C1062" s="173" t="s">
        <v>48</v>
      </c>
      <c r="D1062" s="173" t="s">
        <v>48</v>
      </c>
      <c r="E1062" s="190" t="s">
        <v>3351</v>
      </c>
      <c r="F1062" s="190" t="s">
        <v>3352</v>
      </c>
      <c r="G1062" s="173">
        <v>304</v>
      </c>
      <c r="H1062" s="173" t="s">
        <v>127</v>
      </c>
      <c r="I1062" s="174">
        <v>3.8</v>
      </c>
      <c r="J1062" s="174"/>
      <c r="K1062" s="174"/>
      <c r="L1062" s="174"/>
      <c r="M1062" s="191">
        <v>768</v>
      </c>
      <c r="N1062" s="176">
        <v>10.275</v>
      </c>
      <c r="O1062" s="176"/>
      <c r="P1062" s="177"/>
      <c r="Q1062" s="178"/>
      <c r="R1062" s="179"/>
      <c r="S1062" s="179"/>
      <c r="T1062" s="177"/>
      <c r="U1062" s="177"/>
      <c r="V1062" s="177"/>
      <c r="W1062" s="177"/>
      <c r="X1062" s="177"/>
      <c r="Y1062" s="177"/>
      <c r="Z1062" s="177"/>
      <c r="AA1062" s="177"/>
      <c r="AB1062" s="177"/>
      <c r="AC1062" s="177"/>
      <c r="AD1062" s="180" t="s">
        <v>2877</v>
      </c>
      <c r="AE1062" s="173" t="s">
        <v>69</v>
      </c>
      <c r="AF1062" s="181" t="s">
        <v>142</v>
      </c>
      <c r="AG1062" s="192" t="s">
        <v>2878</v>
      </c>
      <c r="AH1062" s="198"/>
      <c r="AI1062" s="181">
        <v>44950</v>
      </c>
      <c r="AJ1062" s="181"/>
      <c r="AK1062" s="181">
        <f ca="1">TODAY()</f>
        <v>44958</v>
      </c>
      <c r="AL1062" s="173">
        <f t="shared" ca="1" si="14"/>
        <v>8</v>
      </c>
      <c r="AM1062" s="173" t="str">
        <f t="shared" si="15"/>
        <v/>
      </c>
      <c r="AN1062" s="181"/>
      <c r="AO1062" s="190" t="s">
        <v>3350</v>
      </c>
      <c r="AP1062" s="176">
        <v>10.275</v>
      </c>
      <c r="AQ1062" s="176">
        <v>10.285</v>
      </c>
      <c r="AR1062" s="176">
        <v>10.309999999999999</v>
      </c>
      <c r="AS1062" s="176">
        <v>10.315</v>
      </c>
      <c r="AT1062" s="173"/>
      <c r="AU1062" s="173">
        <v>465</v>
      </c>
      <c r="AV1062" s="149"/>
      <c r="AW1062" s="142" t="s">
        <v>123</v>
      </c>
      <c r="AY1062" s="212"/>
      <c r="AZ1062" s="196"/>
      <c r="BA1062" s="196"/>
    </row>
    <row r="1063" spans="2:53" s="142" customFormat="1" ht="21" customHeight="1" x14ac:dyDescent="0.25">
      <c r="B1063" s="173" t="str">
        <f t="shared" si="16"/>
        <v>RM-304/1D-2.89X773</v>
      </c>
      <c r="C1063" s="173" t="s">
        <v>48</v>
      </c>
      <c r="D1063" s="173" t="s">
        <v>48</v>
      </c>
      <c r="E1063" s="190" t="s">
        <v>3353</v>
      </c>
      <c r="F1063" s="190" t="s">
        <v>3354</v>
      </c>
      <c r="G1063" s="173">
        <v>304</v>
      </c>
      <c r="H1063" s="173" t="s">
        <v>127</v>
      </c>
      <c r="I1063" s="174">
        <v>2.89</v>
      </c>
      <c r="J1063" s="174"/>
      <c r="K1063" s="174"/>
      <c r="L1063" s="174"/>
      <c r="M1063" s="191">
        <v>773</v>
      </c>
      <c r="N1063" s="176">
        <v>9.01</v>
      </c>
      <c r="O1063" s="176"/>
      <c r="P1063" s="177"/>
      <c r="Q1063" s="178"/>
      <c r="R1063" s="179"/>
      <c r="S1063" s="179"/>
      <c r="T1063" s="177"/>
      <c r="U1063" s="177"/>
      <c r="V1063" s="177"/>
      <c r="W1063" s="177"/>
      <c r="X1063" s="177"/>
      <c r="Y1063" s="177"/>
      <c r="Z1063" s="177"/>
      <c r="AA1063" s="177"/>
      <c r="AB1063" s="177"/>
      <c r="AC1063" s="177"/>
      <c r="AD1063" s="180" t="s">
        <v>2877</v>
      </c>
      <c r="AE1063" s="173" t="s">
        <v>69</v>
      </c>
      <c r="AF1063" s="181" t="s">
        <v>142</v>
      </c>
      <c r="AG1063" s="192" t="s">
        <v>2878</v>
      </c>
      <c r="AH1063" s="198"/>
      <c r="AI1063" s="181">
        <v>44950</v>
      </c>
      <c r="AJ1063" s="181"/>
      <c r="AK1063" s="181">
        <f ca="1">TODAY()</f>
        <v>44958</v>
      </c>
      <c r="AL1063" s="173">
        <f t="shared" ca="1" si="14"/>
        <v>8</v>
      </c>
      <c r="AM1063" s="173" t="str">
        <f t="shared" si="15"/>
        <v/>
      </c>
      <c r="AN1063" s="181"/>
      <c r="AO1063" s="190" t="s">
        <v>3355</v>
      </c>
      <c r="AP1063" s="176">
        <v>9.01</v>
      </c>
      <c r="AQ1063" s="176">
        <v>9.02</v>
      </c>
      <c r="AR1063" s="176">
        <v>9.0449999999999982</v>
      </c>
      <c r="AS1063" s="176">
        <v>9.0499999999999989</v>
      </c>
      <c r="AT1063" s="173"/>
      <c r="AU1063" s="173">
        <v>465</v>
      </c>
      <c r="AV1063" s="149"/>
      <c r="AW1063" s="142" t="s">
        <v>123</v>
      </c>
      <c r="AY1063" s="212"/>
      <c r="AZ1063" s="196"/>
      <c r="BA1063" s="196"/>
    </row>
    <row r="1064" spans="2:53" s="142" customFormat="1" ht="21" customHeight="1" x14ac:dyDescent="0.25">
      <c r="B1064" s="173" t="str">
        <f t="shared" si="16"/>
        <v>RM-304/1D-2.89X771</v>
      </c>
      <c r="C1064" s="173" t="s">
        <v>48</v>
      </c>
      <c r="D1064" s="173" t="s">
        <v>48</v>
      </c>
      <c r="E1064" s="190" t="s">
        <v>3356</v>
      </c>
      <c r="F1064" s="190" t="s">
        <v>3357</v>
      </c>
      <c r="G1064" s="173">
        <v>304</v>
      </c>
      <c r="H1064" s="173" t="s">
        <v>127</v>
      </c>
      <c r="I1064" s="174">
        <v>2.89</v>
      </c>
      <c r="J1064" s="174"/>
      <c r="K1064" s="174"/>
      <c r="L1064" s="174"/>
      <c r="M1064" s="191">
        <v>771</v>
      </c>
      <c r="N1064" s="176">
        <v>8.9450000000000003</v>
      </c>
      <c r="O1064" s="176"/>
      <c r="P1064" s="177"/>
      <c r="Q1064" s="178"/>
      <c r="R1064" s="179"/>
      <c r="S1064" s="179"/>
      <c r="T1064" s="177"/>
      <c r="U1064" s="177"/>
      <c r="V1064" s="177"/>
      <c r="W1064" s="177"/>
      <c r="X1064" s="177"/>
      <c r="Y1064" s="177"/>
      <c r="Z1064" s="177"/>
      <c r="AA1064" s="177"/>
      <c r="AB1064" s="177"/>
      <c r="AC1064" s="177"/>
      <c r="AD1064" s="180" t="s">
        <v>2877</v>
      </c>
      <c r="AE1064" s="173" t="s">
        <v>69</v>
      </c>
      <c r="AF1064" s="181" t="s">
        <v>142</v>
      </c>
      <c r="AG1064" s="192" t="s">
        <v>2878</v>
      </c>
      <c r="AH1064" s="198"/>
      <c r="AI1064" s="181">
        <v>44950</v>
      </c>
      <c r="AJ1064" s="181"/>
      <c r="AK1064" s="181">
        <f ca="1">TODAY()</f>
        <v>44958</v>
      </c>
      <c r="AL1064" s="173">
        <f t="shared" ca="1" si="14"/>
        <v>8</v>
      </c>
      <c r="AM1064" s="173" t="str">
        <f t="shared" si="15"/>
        <v/>
      </c>
      <c r="AN1064" s="181"/>
      <c r="AO1064" s="190" t="s">
        <v>3355</v>
      </c>
      <c r="AP1064" s="176">
        <v>8.9450000000000003</v>
      </c>
      <c r="AQ1064" s="176">
        <v>8.9550000000000001</v>
      </c>
      <c r="AR1064" s="176">
        <v>8.9799999999999986</v>
      </c>
      <c r="AS1064" s="176">
        <v>8.9849999999999994</v>
      </c>
      <c r="AT1064" s="173"/>
      <c r="AU1064" s="173">
        <v>465</v>
      </c>
      <c r="AV1064" s="149"/>
      <c r="AW1064" s="142" t="s">
        <v>123</v>
      </c>
      <c r="AY1064" s="212"/>
      <c r="AZ1064" s="196"/>
      <c r="BA1064" s="196"/>
    </row>
    <row r="1065" spans="2:53" s="142" customFormat="1" ht="21" customHeight="1" x14ac:dyDescent="0.25">
      <c r="B1065" s="173" t="str">
        <f t="shared" si="16"/>
        <v>RM-304/1D-3.44X769</v>
      </c>
      <c r="C1065" s="173" t="s">
        <v>48</v>
      </c>
      <c r="D1065" s="173" t="s">
        <v>48</v>
      </c>
      <c r="E1065" s="190" t="s">
        <v>3358</v>
      </c>
      <c r="F1065" s="190" t="s">
        <v>3359</v>
      </c>
      <c r="G1065" s="173">
        <v>304</v>
      </c>
      <c r="H1065" s="173" t="s">
        <v>127</v>
      </c>
      <c r="I1065" s="174">
        <v>3.44</v>
      </c>
      <c r="J1065" s="174"/>
      <c r="K1065" s="174"/>
      <c r="L1065" s="174"/>
      <c r="M1065" s="191">
        <v>769</v>
      </c>
      <c r="N1065" s="176">
        <v>9.65</v>
      </c>
      <c r="O1065" s="176"/>
      <c r="P1065" s="177"/>
      <c r="Q1065" s="178"/>
      <c r="R1065" s="179"/>
      <c r="S1065" s="179"/>
      <c r="T1065" s="177"/>
      <c r="U1065" s="177"/>
      <c r="V1065" s="177"/>
      <c r="W1065" s="177"/>
      <c r="X1065" s="177"/>
      <c r="Y1065" s="177"/>
      <c r="Z1065" s="177"/>
      <c r="AA1065" s="177"/>
      <c r="AB1065" s="177"/>
      <c r="AC1065" s="177"/>
      <c r="AD1065" s="180" t="s">
        <v>2877</v>
      </c>
      <c r="AE1065" s="173" t="s">
        <v>69</v>
      </c>
      <c r="AF1065" s="181" t="s">
        <v>142</v>
      </c>
      <c r="AG1065" s="192" t="s">
        <v>2878</v>
      </c>
      <c r="AH1065" s="198"/>
      <c r="AI1065" s="181">
        <v>44950</v>
      </c>
      <c r="AJ1065" s="181"/>
      <c r="AK1065" s="181">
        <f ca="1">TODAY()</f>
        <v>44958</v>
      </c>
      <c r="AL1065" s="173">
        <f t="shared" ca="1" si="14"/>
        <v>8</v>
      </c>
      <c r="AM1065" s="173" t="str">
        <f t="shared" si="15"/>
        <v/>
      </c>
      <c r="AN1065" s="181"/>
      <c r="AO1065" s="190" t="s">
        <v>3360</v>
      </c>
      <c r="AP1065" s="176">
        <v>9.65</v>
      </c>
      <c r="AQ1065" s="176">
        <v>9.66</v>
      </c>
      <c r="AR1065" s="176">
        <v>9.6849999999999987</v>
      </c>
      <c r="AS1065" s="176">
        <v>9.69</v>
      </c>
      <c r="AT1065" s="173"/>
      <c r="AU1065" s="173">
        <v>465</v>
      </c>
      <c r="AV1065" s="149"/>
      <c r="AW1065" s="142" t="s">
        <v>123</v>
      </c>
      <c r="AY1065" s="212"/>
      <c r="AZ1065" s="196"/>
      <c r="BA1065" s="196"/>
    </row>
    <row r="1066" spans="2:53" s="142" customFormat="1" ht="21" customHeight="1" x14ac:dyDescent="0.25">
      <c r="B1066" s="173" t="str">
        <f t="shared" si="16"/>
        <v>RM-304/1D-3.43X773</v>
      </c>
      <c r="C1066" s="173" t="s">
        <v>48</v>
      </c>
      <c r="D1066" s="173" t="s">
        <v>48</v>
      </c>
      <c r="E1066" s="190" t="s">
        <v>3361</v>
      </c>
      <c r="F1066" s="190" t="s">
        <v>3362</v>
      </c>
      <c r="G1066" s="173">
        <v>304</v>
      </c>
      <c r="H1066" s="173" t="s">
        <v>127</v>
      </c>
      <c r="I1066" s="174">
        <v>3.43</v>
      </c>
      <c r="J1066" s="174"/>
      <c r="K1066" s="174"/>
      <c r="L1066" s="174"/>
      <c r="M1066" s="191">
        <v>773</v>
      </c>
      <c r="N1066" s="176">
        <v>9.7050000000000001</v>
      </c>
      <c r="O1066" s="176"/>
      <c r="P1066" s="177"/>
      <c r="Q1066" s="178"/>
      <c r="R1066" s="179"/>
      <c r="S1066" s="179"/>
      <c r="T1066" s="177"/>
      <c r="U1066" s="177"/>
      <c r="V1066" s="177"/>
      <c r="W1066" s="177"/>
      <c r="X1066" s="177"/>
      <c r="Y1066" s="177"/>
      <c r="Z1066" s="177"/>
      <c r="AA1066" s="177"/>
      <c r="AB1066" s="177"/>
      <c r="AC1066" s="177"/>
      <c r="AD1066" s="180" t="s">
        <v>2877</v>
      </c>
      <c r="AE1066" s="173" t="s">
        <v>69</v>
      </c>
      <c r="AF1066" s="181" t="s">
        <v>142</v>
      </c>
      <c r="AG1066" s="192" t="s">
        <v>2878</v>
      </c>
      <c r="AH1066" s="198"/>
      <c r="AI1066" s="181">
        <v>44950</v>
      </c>
      <c r="AJ1066" s="181"/>
      <c r="AK1066" s="181">
        <f ca="1">TODAY()</f>
        <v>44958</v>
      </c>
      <c r="AL1066" s="173">
        <f t="shared" ca="1" si="14"/>
        <v>8</v>
      </c>
      <c r="AM1066" s="173" t="str">
        <f t="shared" si="15"/>
        <v/>
      </c>
      <c r="AN1066" s="181"/>
      <c r="AO1066" s="190" t="s">
        <v>3360</v>
      </c>
      <c r="AP1066" s="176">
        <v>9.7050000000000001</v>
      </c>
      <c r="AQ1066" s="176">
        <v>9.7149999999999999</v>
      </c>
      <c r="AR1066" s="176">
        <v>9.7399999999999984</v>
      </c>
      <c r="AS1066" s="176">
        <v>9.7449999999999992</v>
      </c>
      <c r="AT1066" s="173"/>
      <c r="AU1066" s="173">
        <v>465</v>
      </c>
      <c r="AV1066" s="149"/>
      <c r="AW1066" s="142" t="s">
        <v>123</v>
      </c>
      <c r="AY1066" s="212"/>
      <c r="AZ1066" s="196"/>
      <c r="BA1066" s="196"/>
    </row>
    <row r="1067" spans="2:53" s="142" customFormat="1" ht="21" customHeight="1" x14ac:dyDescent="0.25">
      <c r="B1067" s="173" t="str">
        <f t="shared" si="16"/>
        <v>RM-304/1D-2.90X772</v>
      </c>
      <c r="C1067" s="173" t="s">
        <v>48</v>
      </c>
      <c r="D1067" s="173" t="s">
        <v>48</v>
      </c>
      <c r="E1067" s="190" t="s">
        <v>3363</v>
      </c>
      <c r="F1067" s="190" t="s">
        <v>3364</v>
      </c>
      <c r="G1067" s="173">
        <v>304</v>
      </c>
      <c r="H1067" s="173" t="s">
        <v>127</v>
      </c>
      <c r="I1067" s="174">
        <v>2.9</v>
      </c>
      <c r="J1067" s="174"/>
      <c r="K1067" s="174"/>
      <c r="L1067" s="174"/>
      <c r="M1067" s="191">
        <v>772</v>
      </c>
      <c r="N1067" s="176">
        <v>9.3249999999999993</v>
      </c>
      <c r="O1067" s="176"/>
      <c r="P1067" s="177"/>
      <c r="Q1067" s="178"/>
      <c r="R1067" s="179"/>
      <c r="S1067" s="179"/>
      <c r="T1067" s="177"/>
      <c r="U1067" s="177"/>
      <c r="V1067" s="177"/>
      <c r="W1067" s="177"/>
      <c r="X1067" s="177"/>
      <c r="Y1067" s="177"/>
      <c r="Z1067" s="177"/>
      <c r="AA1067" s="177"/>
      <c r="AB1067" s="177"/>
      <c r="AC1067" s="177"/>
      <c r="AD1067" s="180" t="s">
        <v>2877</v>
      </c>
      <c r="AE1067" s="173" t="s">
        <v>69</v>
      </c>
      <c r="AF1067" s="181" t="s">
        <v>142</v>
      </c>
      <c r="AG1067" s="192" t="s">
        <v>2878</v>
      </c>
      <c r="AH1067" s="198"/>
      <c r="AI1067" s="181">
        <v>44950</v>
      </c>
      <c r="AJ1067" s="181"/>
      <c r="AK1067" s="181">
        <f ca="1">TODAY()</f>
        <v>44958</v>
      </c>
      <c r="AL1067" s="173">
        <f t="shared" ca="1" si="14"/>
        <v>8</v>
      </c>
      <c r="AM1067" s="173" t="str">
        <f t="shared" si="15"/>
        <v/>
      </c>
      <c r="AN1067" s="181"/>
      <c r="AO1067" s="190" t="s">
        <v>3365</v>
      </c>
      <c r="AP1067" s="176">
        <v>9.3249999999999993</v>
      </c>
      <c r="AQ1067" s="176">
        <v>9.3349999999999991</v>
      </c>
      <c r="AR1067" s="176">
        <v>9.3599999999999977</v>
      </c>
      <c r="AS1067" s="176">
        <v>9.3649999999999984</v>
      </c>
      <c r="AT1067" s="173"/>
      <c r="AU1067" s="173">
        <v>465</v>
      </c>
      <c r="AV1067" s="149"/>
      <c r="AW1067" s="142" t="s">
        <v>123</v>
      </c>
      <c r="AY1067" s="212"/>
      <c r="AZ1067" s="196"/>
      <c r="BA1067" s="196"/>
    </row>
    <row r="1068" spans="2:53" s="142" customFormat="1" ht="21" customHeight="1" x14ac:dyDescent="0.25">
      <c r="B1068" s="173" t="str">
        <f t="shared" si="16"/>
        <v>RM-304/1D-2.90X770</v>
      </c>
      <c r="C1068" s="173" t="s">
        <v>48</v>
      </c>
      <c r="D1068" s="173" t="s">
        <v>48</v>
      </c>
      <c r="E1068" s="190" t="s">
        <v>3366</v>
      </c>
      <c r="F1068" s="190" t="s">
        <v>3367</v>
      </c>
      <c r="G1068" s="173">
        <v>304</v>
      </c>
      <c r="H1068" s="173" t="s">
        <v>127</v>
      </c>
      <c r="I1068" s="174">
        <v>2.9</v>
      </c>
      <c r="J1068" s="174"/>
      <c r="K1068" s="174"/>
      <c r="L1068" s="174"/>
      <c r="M1068" s="191">
        <v>770</v>
      </c>
      <c r="N1068" s="176">
        <v>9.2850000000000001</v>
      </c>
      <c r="O1068" s="176"/>
      <c r="P1068" s="177"/>
      <c r="Q1068" s="178"/>
      <c r="R1068" s="179"/>
      <c r="S1068" s="179"/>
      <c r="T1068" s="177"/>
      <c r="U1068" s="177"/>
      <c r="V1068" s="177"/>
      <c r="W1068" s="177"/>
      <c r="X1068" s="177"/>
      <c r="Y1068" s="177"/>
      <c r="Z1068" s="177"/>
      <c r="AA1068" s="177"/>
      <c r="AB1068" s="177"/>
      <c r="AC1068" s="177"/>
      <c r="AD1068" s="180" t="s">
        <v>2877</v>
      </c>
      <c r="AE1068" s="173" t="s">
        <v>69</v>
      </c>
      <c r="AF1068" s="181" t="s">
        <v>142</v>
      </c>
      <c r="AG1068" s="192" t="s">
        <v>2878</v>
      </c>
      <c r="AH1068" s="198"/>
      <c r="AI1068" s="181">
        <v>44950</v>
      </c>
      <c r="AJ1068" s="181"/>
      <c r="AK1068" s="181">
        <f ca="1">TODAY()</f>
        <v>44958</v>
      </c>
      <c r="AL1068" s="173">
        <f t="shared" ca="1" si="14"/>
        <v>8</v>
      </c>
      <c r="AM1068" s="173" t="str">
        <f t="shared" si="15"/>
        <v/>
      </c>
      <c r="AN1068" s="181"/>
      <c r="AO1068" s="190" t="s">
        <v>3365</v>
      </c>
      <c r="AP1068" s="176">
        <v>9.2850000000000001</v>
      </c>
      <c r="AQ1068" s="176">
        <v>9.2949999999999999</v>
      </c>
      <c r="AR1068" s="176">
        <v>9.3199999999999985</v>
      </c>
      <c r="AS1068" s="176">
        <v>9.3249999999999993</v>
      </c>
      <c r="AT1068" s="173"/>
      <c r="AU1068" s="173">
        <v>465</v>
      </c>
      <c r="AV1068" s="149"/>
      <c r="AW1068" s="142" t="s">
        <v>123</v>
      </c>
      <c r="AY1068" s="212"/>
      <c r="AZ1068" s="196"/>
      <c r="BA1068" s="196"/>
    </row>
    <row r="1069" spans="2:53" s="142" customFormat="1" ht="21" customHeight="1" x14ac:dyDescent="0.25">
      <c r="B1069" s="173" t="str">
        <f t="shared" si="16"/>
        <v>RM-304L/1D-3.81X765</v>
      </c>
      <c r="C1069" s="173" t="s">
        <v>48</v>
      </c>
      <c r="D1069" s="173" t="s">
        <v>48</v>
      </c>
      <c r="E1069" s="190" t="s">
        <v>3368</v>
      </c>
      <c r="F1069" s="190" t="s">
        <v>3369</v>
      </c>
      <c r="G1069" s="173" t="s">
        <v>182</v>
      </c>
      <c r="H1069" s="173" t="s">
        <v>127</v>
      </c>
      <c r="I1069" s="174">
        <v>3.81</v>
      </c>
      <c r="J1069" s="174"/>
      <c r="K1069" s="174"/>
      <c r="L1069" s="174"/>
      <c r="M1069" s="191">
        <v>765</v>
      </c>
      <c r="N1069" s="176">
        <v>10.215</v>
      </c>
      <c r="O1069" s="176"/>
      <c r="P1069" s="177"/>
      <c r="Q1069" s="178"/>
      <c r="R1069" s="179"/>
      <c r="S1069" s="179"/>
      <c r="T1069" s="177"/>
      <c r="U1069" s="177"/>
      <c r="V1069" s="177"/>
      <c r="W1069" s="177"/>
      <c r="X1069" s="177"/>
      <c r="Y1069" s="177"/>
      <c r="Z1069" s="177"/>
      <c r="AA1069" s="177"/>
      <c r="AB1069" s="177"/>
      <c r="AC1069" s="177"/>
      <c r="AD1069" s="180" t="s">
        <v>2877</v>
      </c>
      <c r="AE1069" s="173" t="s">
        <v>69</v>
      </c>
      <c r="AF1069" s="181" t="s">
        <v>142</v>
      </c>
      <c r="AG1069" s="192" t="s">
        <v>2878</v>
      </c>
      <c r="AH1069" s="198"/>
      <c r="AI1069" s="181">
        <v>44950</v>
      </c>
      <c r="AJ1069" s="181"/>
      <c r="AK1069" s="181">
        <f ca="1">TODAY()</f>
        <v>44958</v>
      </c>
      <c r="AL1069" s="173">
        <f t="shared" ca="1" si="14"/>
        <v>8</v>
      </c>
      <c r="AM1069" s="173" t="str">
        <f t="shared" si="15"/>
        <v/>
      </c>
      <c r="AN1069" s="181"/>
      <c r="AO1069" s="190" t="s">
        <v>3370</v>
      </c>
      <c r="AP1069" s="176">
        <v>10.215</v>
      </c>
      <c r="AQ1069" s="176">
        <v>10.225</v>
      </c>
      <c r="AR1069" s="176">
        <v>10.249999999999998</v>
      </c>
      <c r="AS1069" s="176">
        <v>10.254999999999999</v>
      </c>
      <c r="AT1069" s="173"/>
      <c r="AU1069" s="173">
        <v>465</v>
      </c>
      <c r="AV1069" s="149"/>
      <c r="AW1069" s="142" t="s">
        <v>123</v>
      </c>
      <c r="AY1069" s="212"/>
      <c r="AZ1069" s="196"/>
      <c r="BA1069" s="196"/>
    </row>
    <row r="1070" spans="2:53" s="142" customFormat="1" ht="21" customHeight="1" x14ac:dyDescent="0.25">
      <c r="B1070" s="173" t="str">
        <f t="shared" si="16"/>
        <v>RM-304L/1D-3.78X766</v>
      </c>
      <c r="C1070" s="173" t="s">
        <v>48</v>
      </c>
      <c r="D1070" s="173" t="s">
        <v>48</v>
      </c>
      <c r="E1070" s="190" t="s">
        <v>3371</v>
      </c>
      <c r="F1070" s="190" t="s">
        <v>3372</v>
      </c>
      <c r="G1070" s="173" t="s">
        <v>182</v>
      </c>
      <c r="H1070" s="173" t="s">
        <v>127</v>
      </c>
      <c r="I1070" s="174">
        <v>3.78</v>
      </c>
      <c r="J1070" s="174"/>
      <c r="K1070" s="174"/>
      <c r="L1070" s="174"/>
      <c r="M1070" s="191">
        <v>766</v>
      </c>
      <c r="N1070" s="176">
        <v>10.175000000000001</v>
      </c>
      <c r="O1070" s="176"/>
      <c r="P1070" s="177"/>
      <c r="Q1070" s="178"/>
      <c r="R1070" s="179"/>
      <c r="S1070" s="179"/>
      <c r="T1070" s="177"/>
      <c r="U1070" s="177"/>
      <c r="V1070" s="177"/>
      <c r="W1070" s="177"/>
      <c r="X1070" s="177"/>
      <c r="Y1070" s="177"/>
      <c r="Z1070" s="177"/>
      <c r="AA1070" s="177"/>
      <c r="AB1070" s="177"/>
      <c r="AC1070" s="177"/>
      <c r="AD1070" s="180" t="s">
        <v>2877</v>
      </c>
      <c r="AE1070" s="173" t="s">
        <v>69</v>
      </c>
      <c r="AF1070" s="181" t="s">
        <v>142</v>
      </c>
      <c r="AG1070" s="192" t="s">
        <v>2878</v>
      </c>
      <c r="AH1070" s="198"/>
      <c r="AI1070" s="181">
        <v>44950</v>
      </c>
      <c r="AJ1070" s="181"/>
      <c r="AK1070" s="181">
        <f ca="1">TODAY()</f>
        <v>44958</v>
      </c>
      <c r="AL1070" s="173">
        <f t="shared" ca="1" si="14"/>
        <v>8</v>
      </c>
      <c r="AM1070" s="173" t="str">
        <f t="shared" si="15"/>
        <v/>
      </c>
      <c r="AN1070" s="181"/>
      <c r="AO1070" s="190" t="s">
        <v>3370</v>
      </c>
      <c r="AP1070" s="176">
        <v>10.175000000000001</v>
      </c>
      <c r="AQ1070" s="176">
        <v>10.185</v>
      </c>
      <c r="AR1070" s="176">
        <v>10.209999999999999</v>
      </c>
      <c r="AS1070" s="176">
        <v>10.215</v>
      </c>
      <c r="AT1070" s="173"/>
      <c r="AU1070" s="173">
        <v>465</v>
      </c>
      <c r="AV1070" s="149"/>
      <c r="AW1070" s="142" t="s">
        <v>123</v>
      </c>
      <c r="AY1070" s="212"/>
      <c r="AZ1070" s="196"/>
      <c r="BA1070" s="196"/>
    </row>
    <row r="1071" spans="2:53" s="142" customFormat="1" ht="21" customHeight="1" x14ac:dyDescent="0.25">
      <c r="B1071" s="173" t="str">
        <f t="shared" si="16"/>
        <v>RM-304/1D-3.78X767</v>
      </c>
      <c r="C1071" s="173" t="s">
        <v>48</v>
      </c>
      <c r="D1071" s="173" t="s">
        <v>48</v>
      </c>
      <c r="E1071" s="190" t="s">
        <v>3373</v>
      </c>
      <c r="F1071" s="190" t="s">
        <v>3374</v>
      </c>
      <c r="G1071" s="173">
        <v>304</v>
      </c>
      <c r="H1071" s="173" t="s">
        <v>127</v>
      </c>
      <c r="I1071" s="174">
        <v>3.78</v>
      </c>
      <c r="J1071" s="174"/>
      <c r="K1071" s="174"/>
      <c r="L1071" s="174"/>
      <c r="M1071" s="191">
        <v>767</v>
      </c>
      <c r="N1071" s="176">
        <v>9.9749999999999996</v>
      </c>
      <c r="O1071" s="176"/>
      <c r="P1071" s="177"/>
      <c r="Q1071" s="178"/>
      <c r="R1071" s="179"/>
      <c r="S1071" s="179"/>
      <c r="T1071" s="177"/>
      <c r="U1071" s="177"/>
      <c r="V1071" s="177"/>
      <c r="W1071" s="177"/>
      <c r="X1071" s="177"/>
      <c r="Y1071" s="177"/>
      <c r="Z1071" s="177"/>
      <c r="AA1071" s="177"/>
      <c r="AB1071" s="177"/>
      <c r="AC1071" s="177"/>
      <c r="AD1071" s="180" t="s">
        <v>2877</v>
      </c>
      <c r="AE1071" s="173" t="s">
        <v>69</v>
      </c>
      <c r="AF1071" s="181" t="s">
        <v>142</v>
      </c>
      <c r="AG1071" s="192" t="s">
        <v>2878</v>
      </c>
      <c r="AH1071" s="198"/>
      <c r="AI1071" s="181">
        <v>44950</v>
      </c>
      <c r="AJ1071" s="181"/>
      <c r="AK1071" s="181">
        <f ca="1">TODAY()</f>
        <v>44958</v>
      </c>
      <c r="AL1071" s="173">
        <f t="shared" ca="1" si="14"/>
        <v>8</v>
      </c>
      <c r="AM1071" s="173" t="str">
        <f t="shared" si="15"/>
        <v/>
      </c>
      <c r="AN1071" s="181"/>
      <c r="AO1071" s="190" t="s">
        <v>3375</v>
      </c>
      <c r="AP1071" s="176">
        <v>9.9749999999999996</v>
      </c>
      <c r="AQ1071" s="176">
        <v>9.9849999999999994</v>
      </c>
      <c r="AR1071" s="176">
        <v>10.009999999999998</v>
      </c>
      <c r="AS1071" s="176">
        <v>10.014999999999999</v>
      </c>
      <c r="AT1071" s="173"/>
      <c r="AU1071" s="173">
        <v>465</v>
      </c>
      <c r="AV1071" s="149"/>
      <c r="AW1071" s="142" t="s">
        <v>123</v>
      </c>
      <c r="AY1071" s="212"/>
      <c r="AZ1071" s="196"/>
      <c r="BA1071" s="196"/>
    </row>
    <row r="1072" spans="2:53" s="142" customFormat="1" ht="21" customHeight="1" x14ac:dyDescent="0.25">
      <c r="B1072" s="173" t="str">
        <f t="shared" si="16"/>
        <v>RM-304/1D-3.78X766</v>
      </c>
      <c r="C1072" s="173" t="s">
        <v>48</v>
      </c>
      <c r="D1072" s="173" t="s">
        <v>48</v>
      </c>
      <c r="E1072" s="190" t="s">
        <v>3376</v>
      </c>
      <c r="F1072" s="190" t="s">
        <v>3377</v>
      </c>
      <c r="G1072" s="173">
        <v>304</v>
      </c>
      <c r="H1072" s="173" t="s">
        <v>127</v>
      </c>
      <c r="I1072" s="174">
        <v>3.78</v>
      </c>
      <c r="J1072" s="174"/>
      <c r="K1072" s="174"/>
      <c r="L1072" s="174"/>
      <c r="M1072" s="191">
        <v>766</v>
      </c>
      <c r="N1072" s="176">
        <v>9.9649999999999999</v>
      </c>
      <c r="O1072" s="176"/>
      <c r="P1072" s="177"/>
      <c r="Q1072" s="178"/>
      <c r="R1072" s="179"/>
      <c r="S1072" s="179"/>
      <c r="T1072" s="177"/>
      <c r="U1072" s="177"/>
      <c r="V1072" s="177"/>
      <c r="W1072" s="177"/>
      <c r="X1072" s="177"/>
      <c r="Y1072" s="177"/>
      <c r="Z1072" s="177"/>
      <c r="AA1072" s="177"/>
      <c r="AB1072" s="177"/>
      <c r="AC1072" s="177"/>
      <c r="AD1072" s="180" t="s">
        <v>2877</v>
      </c>
      <c r="AE1072" s="173" t="s">
        <v>69</v>
      </c>
      <c r="AF1072" s="181" t="s">
        <v>142</v>
      </c>
      <c r="AG1072" s="192" t="s">
        <v>2878</v>
      </c>
      <c r="AH1072" s="198"/>
      <c r="AI1072" s="181">
        <v>44950</v>
      </c>
      <c r="AJ1072" s="181"/>
      <c r="AK1072" s="181">
        <f ca="1">TODAY()</f>
        <v>44958</v>
      </c>
      <c r="AL1072" s="173">
        <f t="shared" ca="1" si="14"/>
        <v>8</v>
      </c>
      <c r="AM1072" s="173" t="str">
        <f t="shared" si="15"/>
        <v/>
      </c>
      <c r="AN1072" s="181"/>
      <c r="AO1072" s="190" t="s">
        <v>3375</v>
      </c>
      <c r="AP1072" s="176">
        <v>9.9649999999999999</v>
      </c>
      <c r="AQ1072" s="176">
        <v>9.9749999999999996</v>
      </c>
      <c r="AR1072" s="176">
        <v>9.9999999999999982</v>
      </c>
      <c r="AS1072" s="176">
        <v>10.004999999999999</v>
      </c>
      <c r="AT1072" s="173"/>
      <c r="AU1072" s="173">
        <v>465</v>
      </c>
      <c r="AV1072" s="149"/>
      <c r="AW1072" s="142" t="s">
        <v>123</v>
      </c>
      <c r="AY1072" s="212"/>
      <c r="AZ1072" s="196"/>
      <c r="BA1072" s="196"/>
    </row>
    <row r="1073" spans="2:53" s="142" customFormat="1" ht="21" customHeight="1" x14ac:dyDescent="0.25">
      <c r="B1073" s="173" t="str">
        <f t="shared" si="16"/>
        <v>RM-304/1D-3.78X766</v>
      </c>
      <c r="C1073" s="173" t="s">
        <v>48</v>
      </c>
      <c r="D1073" s="173" t="s">
        <v>48</v>
      </c>
      <c r="E1073" s="190" t="s">
        <v>3378</v>
      </c>
      <c r="F1073" s="190" t="s">
        <v>3379</v>
      </c>
      <c r="G1073" s="173">
        <v>304</v>
      </c>
      <c r="H1073" s="173" t="s">
        <v>127</v>
      </c>
      <c r="I1073" s="174">
        <v>3.78</v>
      </c>
      <c r="J1073" s="174"/>
      <c r="K1073" s="174"/>
      <c r="L1073" s="174"/>
      <c r="M1073" s="191">
        <v>766</v>
      </c>
      <c r="N1073" s="176">
        <v>10.01</v>
      </c>
      <c r="O1073" s="176"/>
      <c r="P1073" s="177"/>
      <c r="Q1073" s="178"/>
      <c r="R1073" s="179"/>
      <c r="S1073" s="179"/>
      <c r="T1073" s="177"/>
      <c r="U1073" s="177"/>
      <c r="V1073" s="177"/>
      <c r="W1073" s="177"/>
      <c r="X1073" s="177"/>
      <c r="Y1073" s="177"/>
      <c r="Z1073" s="177"/>
      <c r="AA1073" s="177"/>
      <c r="AB1073" s="177"/>
      <c r="AC1073" s="177"/>
      <c r="AD1073" s="180" t="s">
        <v>2877</v>
      </c>
      <c r="AE1073" s="173" t="s">
        <v>69</v>
      </c>
      <c r="AF1073" s="181" t="s">
        <v>142</v>
      </c>
      <c r="AG1073" s="192" t="s">
        <v>2878</v>
      </c>
      <c r="AH1073" s="198"/>
      <c r="AI1073" s="181">
        <v>44950</v>
      </c>
      <c r="AJ1073" s="181"/>
      <c r="AK1073" s="181">
        <f ca="1">TODAY()</f>
        <v>44958</v>
      </c>
      <c r="AL1073" s="173">
        <f t="shared" ca="1" si="14"/>
        <v>8</v>
      </c>
      <c r="AM1073" s="173" t="str">
        <f t="shared" si="15"/>
        <v/>
      </c>
      <c r="AN1073" s="181"/>
      <c r="AO1073" s="190" t="s">
        <v>3380</v>
      </c>
      <c r="AP1073" s="176">
        <v>10.01</v>
      </c>
      <c r="AQ1073" s="176">
        <v>10.02</v>
      </c>
      <c r="AR1073" s="176">
        <v>10.044999999999998</v>
      </c>
      <c r="AS1073" s="176">
        <v>10.049999999999999</v>
      </c>
      <c r="AT1073" s="173"/>
      <c r="AU1073" s="173">
        <v>465</v>
      </c>
      <c r="AV1073" s="149"/>
      <c r="AW1073" s="142" t="s">
        <v>123</v>
      </c>
      <c r="AY1073" s="212"/>
      <c r="AZ1073" s="196"/>
      <c r="BA1073" s="196"/>
    </row>
    <row r="1074" spans="2:53" s="142" customFormat="1" ht="21" customHeight="1" x14ac:dyDescent="0.25">
      <c r="B1074" s="173" t="str">
        <f t="shared" si="16"/>
        <v>RM-304/1D-3.79X765</v>
      </c>
      <c r="C1074" s="173" t="s">
        <v>48</v>
      </c>
      <c r="D1074" s="173" t="s">
        <v>48</v>
      </c>
      <c r="E1074" s="190" t="s">
        <v>3381</v>
      </c>
      <c r="F1074" s="190" t="s">
        <v>3382</v>
      </c>
      <c r="G1074" s="173">
        <v>304</v>
      </c>
      <c r="H1074" s="173" t="s">
        <v>127</v>
      </c>
      <c r="I1074" s="174">
        <v>3.79</v>
      </c>
      <c r="J1074" s="174"/>
      <c r="K1074" s="174"/>
      <c r="L1074" s="174"/>
      <c r="M1074" s="191">
        <v>765</v>
      </c>
      <c r="N1074" s="176">
        <v>9.9849999999999994</v>
      </c>
      <c r="O1074" s="176"/>
      <c r="P1074" s="177"/>
      <c r="Q1074" s="178"/>
      <c r="R1074" s="179"/>
      <c r="S1074" s="179"/>
      <c r="T1074" s="177"/>
      <c r="U1074" s="177"/>
      <c r="V1074" s="177"/>
      <c r="W1074" s="177"/>
      <c r="X1074" s="177"/>
      <c r="Y1074" s="177"/>
      <c r="Z1074" s="177"/>
      <c r="AA1074" s="177"/>
      <c r="AB1074" s="177"/>
      <c r="AC1074" s="177"/>
      <c r="AD1074" s="180" t="s">
        <v>2877</v>
      </c>
      <c r="AE1074" s="173" t="s">
        <v>69</v>
      </c>
      <c r="AF1074" s="181" t="s">
        <v>142</v>
      </c>
      <c r="AG1074" s="192" t="s">
        <v>2878</v>
      </c>
      <c r="AH1074" s="198"/>
      <c r="AI1074" s="181">
        <v>44950</v>
      </c>
      <c r="AJ1074" s="181"/>
      <c r="AK1074" s="181">
        <f ca="1">TODAY()</f>
        <v>44958</v>
      </c>
      <c r="AL1074" s="173">
        <f t="shared" ca="1" si="14"/>
        <v>8</v>
      </c>
      <c r="AM1074" s="173" t="str">
        <f t="shared" si="15"/>
        <v/>
      </c>
      <c r="AN1074" s="181"/>
      <c r="AO1074" s="190" t="s">
        <v>3380</v>
      </c>
      <c r="AP1074" s="176">
        <v>9.9849999999999994</v>
      </c>
      <c r="AQ1074" s="176">
        <v>9.9949999999999992</v>
      </c>
      <c r="AR1074" s="176">
        <v>10.019999999999998</v>
      </c>
      <c r="AS1074" s="176">
        <v>10.024999999999999</v>
      </c>
      <c r="AT1074" s="173"/>
      <c r="AU1074" s="173">
        <v>465</v>
      </c>
      <c r="AV1074" s="149"/>
      <c r="AW1074" s="142" t="s">
        <v>123</v>
      </c>
      <c r="AY1074" s="212"/>
      <c r="AZ1074" s="196"/>
      <c r="BA1074" s="196"/>
    </row>
    <row r="1075" spans="2:53" s="142" customFormat="1" ht="21" customHeight="1" x14ac:dyDescent="0.25">
      <c r="B1075" s="173" t="str">
        <f t="shared" si="16"/>
        <v>RM-304L/1D-3.45X776</v>
      </c>
      <c r="C1075" s="173" t="s">
        <v>48</v>
      </c>
      <c r="D1075" s="173" t="s">
        <v>48</v>
      </c>
      <c r="E1075" s="190" t="s">
        <v>3383</v>
      </c>
      <c r="F1075" s="190" t="s">
        <v>3384</v>
      </c>
      <c r="G1075" s="173" t="s">
        <v>182</v>
      </c>
      <c r="H1075" s="173" t="s">
        <v>127</v>
      </c>
      <c r="I1075" s="174">
        <v>3.45</v>
      </c>
      <c r="J1075" s="174"/>
      <c r="K1075" s="174"/>
      <c r="L1075" s="174"/>
      <c r="M1075" s="191">
        <v>776</v>
      </c>
      <c r="N1075" s="176">
        <v>10.47</v>
      </c>
      <c r="O1075" s="176"/>
      <c r="P1075" s="177"/>
      <c r="Q1075" s="178"/>
      <c r="R1075" s="179"/>
      <c r="S1075" s="179"/>
      <c r="T1075" s="177"/>
      <c r="U1075" s="177"/>
      <c r="V1075" s="177"/>
      <c r="W1075" s="177"/>
      <c r="X1075" s="177"/>
      <c r="Y1075" s="177"/>
      <c r="Z1075" s="177"/>
      <c r="AA1075" s="177"/>
      <c r="AB1075" s="177"/>
      <c r="AC1075" s="177"/>
      <c r="AD1075" s="180" t="s">
        <v>2877</v>
      </c>
      <c r="AE1075" s="173" t="s">
        <v>69</v>
      </c>
      <c r="AF1075" s="181" t="s">
        <v>142</v>
      </c>
      <c r="AG1075" s="192" t="s">
        <v>2878</v>
      </c>
      <c r="AH1075" s="198"/>
      <c r="AI1075" s="181">
        <v>44950</v>
      </c>
      <c r="AJ1075" s="181"/>
      <c r="AK1075" s="181">
        <f ca="1">TODAY()</f>
        <v>44958</v>
      </c>
      <c r="AL1075" s="173">
        <f t="shared" ca="1" si="14"/>
        <v>8</v>
      </c>
      <c r="AM1075" s="173" t="str">
        <f t="shared" si="15"/>
        <v/>
      </c>
      <c r="AN1075" s="181"/>
      <c r="AO1075" s="190" t="s">
        <v>3385</v>
      </c>
      <c r="AP1075" s="176">
        <v>10.47</v>
      </c>
      <c r="AQ1075" s="176">
        <v>10.48</v>
      </c>
      <c r="AR1075" s="176">
        <v>10.504999999999999</v>
      </c>
      <c r="AS1075" s="176">
        <v>10.51</v>
      </c>
      <c r="AT1075" s="173"/>
      <c r="AU1075" s="173">
        <v>465</v>
      </c>
      <c r="AV1075" s="149"/>
      <c r="AW1075" s="142" t="s">
        <v>123</v>
      </c>
      <c r="AY1075" s="212"/>
      <c r="AZ1075" s="196"/>
      <c r="BA1075" s="196"/>
    </row>
    <row r="1076" spans="2:53" s="142" customFormat="1" ht="21" customHeight="1" x14ac:dyDescent="0.25">
      <c r="B1076" s="173" t="str">
        <f t="shared" si="16"/>
        <v>RM-304L/1D-3.46X776</v>
      </c>
      <c r="C1076" s="173" t="s">
        <v>48</v>
      </c>
      <c r="D1076" s="173" t="s">
        <v>48</v>
      </c>
      <c r="E1076" s="190" t="s">
        <v>3386</v>
      </c>
      <c r="F1076" s="190" t="s">
        <v>3387</v>
      </c>
      <c r="G1076" s="173" t="s">
        <v>182</v>
      </c>
      <c r="H1076" s="173" t="s">
        <v>127</v>
      </c>
      <c r="I1076" s="174">
        <v>3.46</v>
      </c>
      <c r="J1076" s="174"/>
      <c r="K1076" s="174"/>
      <c r="L1076" s="174"/>
      <c r="M1076" s="191">
        <v>776</v>
      </c>
      <c r="N1076" s="176">
        <v>10.545</v>
      </c>
      <c r="O1076" s="176"/>
      <c r="P1076" s="177"/>
      <c r="Q1076" s="178"/>
      <c r="R1076" s="179"/>
      <c r="S1076" s="179"/>
      <c r="T1076" s="177"/>
      <c r="U1076" s="177"/>
      <c r="V1076" s="177"/>
      <c r="W1076" s="177"/>
      <c r="X1076" s="177"/>
      <c r="Y1076" s="177"/>
      <c r="Z1076" s="177"/>
      <c r="AA1076" s="177"/>
      <c r="AB1076" s="177"/>
      <c r="AC1076" s="177"/>
      <c r="AD1076" s="180" t="s">
        <v>2877</v>
      </c>
      <c r="AE1076" s="173" t="s">
        <v>69</v>
      </c>
      <c r="AF1076" s="181" t="s">
        <v>142</v>
      </c>
      <c r="AG1076" s="192" t="s">
        <v>2878</v>
      </c>
      <c r="AH1076" s="198"/>
      <c r="AI1076" s="181">
        <v>44950</v>
      </c>
      <c r="AJ1076" s="181"/>
      <c r="AK1076" s="181">
        <f ca="1">TODAY()</f>
        <v>44958</v>
      </c>
      <c r="AL1076" s="173">
        <f t="shared" ref="AL1076:AL1139" ca="1" si="17">IF(AI1076&lt;&gt;0,AK1076-AI1076,0)</f>
        <v>8</v>
      </c>
      <c r="AM1076" s="173" t="str">
        <f t="shared" ref="AM1076:AM1139" si="18">IF(ISNUMBER(X1076)=TRUE,AK1076-X1076,IF(X1076="","",(AK1076)-(MID(RIGHT(X1076,10),4,2)&amp;"/"&amp;LEFT((RIGHT(X1076,10)),2)&amp;"/"&amp;RIGHT(X1076,4))))</f>
        <v/>
      </c>
      <c r="AN1076" s="181"/>
      <c r="AO1076" s="190" t="s">
        <v>3385</v>
      </c>
      <c r="AP1076" s="176">
        <v>10.545</v>
      </c>
      <c r="AQ1076" s="176">
        <v>10.555</v>
      </c>
      <c r="AR1076" s="176">
        <v>10.579999999999998</v>
      </c>
      <c r="AS1076" s="176">
        <v>10.584999999999999</v>
      </c>
      <c r="AT1076" s="173"/>
      <c r="AU1076" s="173">
        <v>465</v>
      </c>
      <c r="AV1076" s="149"/>
      <c r="AW1076" s="142" t="s">
        <v>123</v>
      </c>
      <c r="AY1076" s="212"/>
      <c r="AZ1076" s="196"/>
      <c r="BA1076" s="196"/>
    </row>
    <row r="1077" spans="2:53" s="142" customFormat="1" ht="21" customHeight="1" x14ac:dyDescent="0.25">
      <c r="B1077" s="173" t="str">
        <f t="shared" si="16"/>
        <v>RM-304/1D-3.79X771</v>
      </c>
      <c r="C1077" s="173" t="s">
        <v>48</v>
      </c>
      <c r="D1077" s="173" t="s">
        <v>48</v>
      </c>
      <c r="E1077" s="190" t="s">
        <v>3388</v>
      </c>
      <c r="F1077" s="190" t="s">
        <v>3389</v>
      </c>
      <c r="G1077" s="173">
        <v>304</v>
      </c>
      <c r="H1077" s="173" t="s">
        <v>127</v>
      </c>
      <c r="I1077" s="174">
        <v>3.79</v>
      </c>
      <c r="J1077" s="174"/>
      <c r="K1077" s="174"/>
      <c r="L1077" s="174"/>
      <c r="M1077" s="191">
        <v>771</v>
      </c>
      <c r="N1077" s="176">
        <v>12.065</v>
      </c>
      <c r="O1077" s="176"/>
      <c r="P1077" s="177"/>
      <c r="Q1077" s="178"/>
      <c r="R1077" s="179"/>
      <c r="S1077" s="179"/>
      <c r="T1077" s="177"/>
      <c r="U1077" s="177"/>
      <c r="V1077" s="177"/>
      <c r="W1077" s="177"/>
      <c r="X1077" s="177"/>
      <c r="Y1077" s="177"/>
      <c r="Z1077" s="177"/>
      <c r="AA1077" s="177"/>
      <c r="AB1077" s="177"/>
      <c r="AC1077" s="177"/>
      <c r="AD1077" s="180" t="s">
        <v>2877</v>
      </c>
      <c r="AE1077" s="173" t="s">
        <v>69</v>
      </c>
      <c r="AF1077" s="181" t="s">
        <v>142</v>
      </c>
      <c r="AG1077" s="192" t="s">
        <v>2878</v>
      </c>
      <c r="AH1077" s="198"/>
      <c r="AI1077" s="181">
        <v>44950</v>
      </c>
      <c r="AJ1077" s="181"/>
      <c r="AK1077" s="181">
        <f ca="1">TODAY()</f>
        <v>44958</v>
      </c>
      <c r="AL1077" s="173">
        <f t="shared" ca="1" si="17"/>
        <v>8</v>
      </c>
      <c r="AM1077" s="173" t="str">
        <f t="shared" si="18"/>
        <v/>
      </c>
      <c r="AN1077" s="181"/>
      <c r="AO1077" s="190" t="s">
        <v>3390</v>
      </c>
      <c r="AP1077" s="176">
        <v>12.065</v>
      </c>
      <c r="AQ1077" s="176">
        <v>12.074999999999999</v>
      </c>
      <c r="AR1077" s="176">
        <v>12.099999999999998</v>
      </c>
      <c r="AS1077" s="176">
        <v>12.104999999999999</v>
      </c>
      <c r="AT1077" s="173"/>
      <c r="AU1077" s="173">
        <v>465</v>
      </c>
      <c r="AV1077" s="149"/>
      <c r="AW1077" s="142" t="s">
        <v>123</v>
      </c>
      <c r="AY1077" s="212"/>
      <c r="AZ1077" s="196"/>
      <c r="BA1077" s="196"/>
    </row>
    <row r="1078" spans="2:53" s="142" customFormat="1" ht="21" customHeight="1" x14ac:dyDescent="0.25">
      <c r="B1078" s="173" t="str">
        <f t="shared" si="16"/>
        <v>RM-304/1D-3.78X770</v>
      </c>
      <c r="C1078" s="173" t="s">
        <v>48</v>
      </c>
      <c r="D1078" s="173" t="s">
        <v>48</v>
      </c>
      <c r="E1078" s="190" t="s">
        <v>3391</v>
      </c>
      <c r="F1078" s="190" t="s">
        <v>3392</v>
      </c>
      <c r="G1078" s="173">
        <v>304</v>
      </c>
      <c r="H1078" s="173" t="s">
        <v>127</v>
      </c>
      <c r="I1078" s="174">
        <v>3.78</v>
      </c>
      <c r="J1078" s="174"/>
      <c r="K1078" s="174"/>
      <c r="L1078" s="174"/>
      <c r="M1078" s="191">
        <v>770</v>
      </c>
      <c r="N1078" s="176">
        <v>12.04</v>
      </c>
      <c r="O1078" s="176"/>
      <c r="P1078" s="177"/>
      <c r="Q1078" s="178"/>
      <c r="R1078" s="179"/>
      <c r="S1078" s="179"/>
      <c r="T1078" s="177"/>
      <c r="U1078" s="177"/>
      <c r="V1078" s="177"/>
      <c r="W1078" s="177"/>
      <c r="X1078" s="177"/>
      <c r="Y1078" s="177"/>
      <c r="Z1078" s="177"/>
      <c r="AA1078" s="177"/>
      <c r="AB1078" s="177"/>
      <c r="AC1078" s="177"/>
      <c r="AD1078" s="180" t="s">
        <v>2877</v>
      </c>
      <c r="AE1078" s="173" t="s">
        <v>69</v>
      </c>
      <c r="AF1078" s="181" t="s">
        <v>142</v>
      </c>
      <c r="AG1078" s="192" t="s">
        <v>2878</v>
      </c>
      <c r="AH1078" s="198"/>
      <c r="AI1078" s="181">
        <v>44950</v>
      </c>
      <c r="AJ1078" s="181"/>
      <c r="AK1078" s="181">
        <f ca="1">TODAY()</f>
        <v>44958</v>
      </c>
      <c r="AL1078" s="173">
        <f t="shared" ca="1" si="17"/>
        <v>8</v>
      </c>
      <c r="AM1078" s="173" t="str">
        <f t="shared" si="18"/>
        <v/>
      </c>
      <c r="AN1078" s="181"/>
      <c r="AO1078" s="190" t="s">
        <v>3390</v>
      </c>
      <c r="AP1078" s="176">
        <v>12.04</v>
      </c>
      <c r="AQ1078" s="176">
        <v>12.049999999999999</v>
      </c>
      <c r="AR1078" s="176">
        <v>12.074999999999998</v>
      </c>
      <c r="AS1078" s="176">
        <v>12.079999999999998</v>
      </c>
      <c r="AT1078" s="173"/>
      <c r="AU1078" s="173">
        <v>465</v>
      </c>
      <c r="AV1078" s="149"/>
      <c r="AW1078" s="142" t="s">
        <v>123</v>
      </c>
      <c r="AY1078" s="212"/>
      <c r="AZ1078" s="196"/>
      <c r="BA1078" s="196"/>
    </row>
    <row r="1079" spans="2:53" s="142" customFormat="1" ht="21" customHeight="1" x14ac:dyDescent="0.25">
      <c r="B1079" s="173" t="str">
        <f t="shared" si="16"/>
        <v>RM-304/1D-2.89X773</v>
      </c>
      <c r="C1079" s="173" t="s">
        <v>48</v>
      </c>
      <c r="D1079" s="173" t="s">
        <v>48</v>
      </c>
      <c r="E1079" s="190" t="s">
        <v>3393</v>
      </c>
      <c r="F1079" s="190" t="s">
        <v>3394</v>
      </c>
      <c r="G1079" s="173">
        <v>304</v>
      </c>
      <c r="H1079" s="173" t="s">
        <v>127</v>
      </c>
      <c r="I1079" s="174">
        <v>2.89</v>
      </c>
      <c r="J1079" s="174"/>
      <c r="K1079" s="174"/>
      <c r="L1079" s="174"/>
      <c r="M1079" s="191">
        <v>773</v>
      </c>
      <c r="N1079" s="176">
        <v>8.8849999999999998</v>
      </c>
      <c r="O1079" s="176"/>
      <c r="P1079" s="177"/>
      <c r="Q1079" s="178"/>
      <c r="R1079" s="179"/>
      <c r="S1079" s="179"/>
      <c r="T1079" s="177"/>
      <c r="U1079" s="177"/>
      <c r="V1079" s="177"/>
      <c r="W1079" s="177"/>
      <c r="X1079" s="177"/>
      <c r="Y1079" s="177"/>
      <c r="Z1079" s="177"/>
      <c r="AA1079" s="177"/>
      <c r="AB1079" s="177"/>
      <c r="AC1079" s="177"/>
      <c r="AD1079" s="180" t="s">
        <v>2877</v>
      </c>
      <c r="AE1079" s="173" t="s">
        <v>69</v>
      </c>
      <c r="AF1079" s="181" t="s">
        <v>142</v>
      </c>
      <c r="AG1079" s="192" t="s">
        <v>2878</v>
      </c>
      <c r="AH1079" s="198"/>
      <c r="AI1079" s="181">
        <v>44950</v>
      </c>
      <c r="AJ1079" s="181"/>
      <c r="AK1079" s="181">
        <f ca="1">TODAY()</f>
        <v>44958</v>
      </c>
      <c r="AL1079" s="173">
        <f t="shared" ca="1" si="17"/>
        <v>8</v>
      </c>
      <c r="AM1079" s="173" t="str">
        <f t="shared" si="18"/>
        <v/>
      </c>
      <c r="AN1079" s="181"/>
      <c r="AO1079" s="190" t="s">
        <v>3395</v>
      </c>
      <c r="AP1079" s="176">
        <v>8.8849999999999998</v>
      </c>
      <c r="AQ1079" s="176">
        <v>8.8949999999999996</v>
      </c>
      <c r="AR1079" s="176">
        <v>8.9199999999999982</v>
      </c>
      <c r="AS1079" s="176">
        <v>8.9249999999999989</v>
      </c>
      <c r="AT1079" s="173"/>
      <c r="AU1079" s="173">
        <v>465</v>
      </c>
      <c r="AV1079" s="149"/>
      <c r="AW1079" s="142" t="s">
        <v>123</v>
      </c>
      <c r="AY1079" s="212"/>
      <c r="AZ1079" s="196"/>
      <c r="BA1079" s="196"/>
    </row>
    <row r="1080" spans="2:53" s="142" customFormat="1" ht="21" customHeight="1" x14ac:dyDescent="0.25">
      <c r="B1080" s="173" t="str">
        <f t="shared" si="16"/>
        <v>RM-304/1D-2.90X774</v>
      </c>
      <c r="C1080" s="173" t="s">
        <v>48</v>
      </c>
      <c r="D1080" s="173" t="s">
        <v>48</v>
      </c>
      <c r="E1080" s="190" t="s">
        <v>3396</v>
      </c>
      <c r="F1080" s="190" t="s">
        <v>3397</v>
      </c>
      <c r="G1080" s="173">
        <v>304</v>
      </c>
      <c r="H1080" s="173" t="s">
        <v>127</v>
      </c>
      <c r="I1080" s="174">
        <v>2.9</v>
      </c>
      <c r="J1080" s="174"/>
      <c r="K1080" s="174"/>
      <c r="L1080" s="174"/>
      <c r="M1080" s="191">
        <v>774</v>
      </c>
      <c r="N1080" s="176">
        <v>8.875</v>
      </c>
      <c r="O1080" s="176"/>
      <c r="P1080" s="177"/>
      <c r="Q1080" s="178"/>
      <c r="R1080" s="179"/>
      <c r="S1080" s="179"/>
      <c r="T1080" s="177"/>
      <c r="U1080" s="177"/>
      <c r="V1080" s="177"/>
      <c r="W1080" s="177"/>
      <c r="X1080" s="177"/>
      <c r="Y1080" s="177"/>
      <c r="Z1080" s="177"/>
      <c r="AA1080" s="177"/>
      <c r="AB1080" s="177"/>
      <c r="AC1080" s="177"/>
      <c r="AD1080" s="180" t="s">
        <v>2877</v>
      </c>
      <c r="AE1080" s="173" t="s">
        <v>69</v>
      </c>
      <c r="AF1080" s="181" t="s">
        <v>142</v>
      </c>
      <c r="AG1080" s="192" t="s">
        <v>2878</v>
      </c>
      <c r="AH1080" s="198"/>
      <c r="AI1080" s="181">
        <v>44950</v>
      </c>
      <c r="AJ1080" s="181"/>
      <c r="AK1080" s="181">
        <f ca="1">TODAY()</f>
        <v>44958</v>
      </c>
      <c r="AL1080" s="173">
        <f t="shared" ca="1" si="17"/>
        <v>8</v>
      </c>
      <c r="AM1080" s="173" t="str">
        <f t="shared" si="18"/>
        <v/>
      </c>
      <c r="AN1080" s="181"/>
      <c r="AO1080" s="190" t="s">
        <v>3395</v>
      </c>
      <c r="AP1080" s="176">
        <v>8.875</v>
      </c>
      <c r="AQ1080" s="176">
        <v>8.8849999999999998</v>
      </c>
      <c r="AR1080" s="176">
        <v>8.9099999999999984</v>
      </c>
      <c r="AS1080" s="176">
        <v>8.9149999999999991</v>
      </c>
      <c r="AT1080" s="173"/>
      <c r="AU1080" s="173">
        <v>465</v>
      </c>
      <c r="AV1080" s="149"/>
      <c r="AW1080" s="142" t="s">
        <v>123</v>
      </c>
      <c r="AY1080" s="212"/>
      <c r="AZ1080" s="196"/>
      <c r="BA1080" s="196"/>
    </row>
    <row r="1081" spans="2:53" s="142" customFormat="1" ht="21" customHeight="1" x14ac:dyDescent="0.25">
      <c r="B1081" s="173" t="str">
        <f t="shared" si="16"/>
        <v>RM-304L/1D-3.80X766</v>
      </c>
      <c r="C1081" s="173" t="s">
        <v>48</v>
      </c>
      <c r="D1081" s="173" t="s">
        <v>48</v>
      </c>
      <c r="E1081" s="190" t="s">
        <v>3398</v>
      </c>
      <c r="F1081" s="190" t="s">
        <v>3399</v>
      </c>
      <c r="G1081" s="173" t="s">
        <v>182</v>
      </c>
      <c r="H1081" s="173" t="s">
        <v>127</v>
      </c>
      <c r="I1081" s="174">
        <v>3.8</v>
      </c>
      <c r="J1081" s="174"/>
      <c r="K1081" s="174"/>
      <c r="L1081" s="174"/>
      <c r="M1081" s="191">
        <v>766</v>
      </c>
      <c r="N1081" s="176">
        <v>10.324999999999999</v>
      </c>
      <c r="O1081" s="176"/>
      <c r="P1081" s="177"/>
      <c r="Q1081" s="178"/>
      <c r="R1081" s="179"/>
      <c r="S1081" s="179"/>
      <c r="T1081" s="177"/>
      <c r="U1081" s="177"/>
      <c r="V1081" s="177"/>
      <c r="W1081" s="177"/>
      <c r="X1081" s="177"/>
      <c r="Y1081" s="177"/>
      <c r="Z1081" s="177"/>
      <c r="AA1081" s="177"/>
      <c r="AB1081" s="177"/>
      <c r="AC1081" s="177"/>
      <c r="AD1081" s="180" t="s">
        <v>2877</v>
      </c>
      <c r="AE1081" s="173" t="s">
        <v>69</v>
      </c>
      <c r="AF1081" s="181" t="s">
        <v>142</v>
      </c>
      <c r="AG1081" s="192" t="s">
        <v>2878</v>
      </c>
      <c r="AH1081" s="198"/>
      <c r="AI1081" s="181">
        <v>44950</v>
      </c>
      <c r="AJ1081" s="181"/>
      <c r="AK1081" s="181">
        <f ca="1">TODAY()</f>
        <v>44958</v>
      </c>
      <c r="AL1081" s="173">
        <f t="shared" ca="1" si="17"/>
        <v>8</v>
      </c>
      <c r="AM1081" s="173" t="str">
        <f t="shared" si="18"/>
        <v/>
      </c>
      <c r="AN1081" s="181"/>
      <c r="AO1081" s="190" t="s">
        <v>3400</v>
      </c>
      <c r="AP1081" s="176">
        <v>10.324999999999999</v>
      </c>
      <c r="AQ1081" s="176">
        <v>10.334999999999999</v>
      </c>
      <c r="AR1081" s="176">
        <v>10.359999999999998</v>
      </c>
      <c r="AS1081" s="176">
        <v>10.364999999999998</v>
      </c>
      <c r="AT1081" s="173"/>
      <c r="AU1081" s="173">
        <v>465</v>
      </c>
      <c r="AV1081" s="149"/>
      <c r="AW1081" s="142" t="s">
        <v>123</v>
      </c>
      <c r="AY1081" s="212"/>
      <c r="AZ1081" s="196"/>
      <c r="BA1081" s="196"/>
    </row>
    <row r="1082" spans="2:53" s="142" customFormat="1" ht="21" customHeight="1" x14ac:dyDescent="0.25">
      <c r="B1082" s="173" t="str">
        <f t="shared" si="16"/>
        <v>RM-304L/1D-3.81X766</v>
      </c>
      <c r="C1082" s="173" t="s">
        <v>48</v>
      </c>
      <c r="D1082" s="173" t="s">
        <v>48</v>
      </c>
      <c r="E1082" s="190" t="s">
        <v>3401</v>
      </c>
      <c r="F1082" s="190" t="s">
        <v>3402</v>
      </c>
      <c r="G1082" s="173" t="s">
        <v>182</v>
      </c>
      <c r="H1082" s="173" t="s">
        <v>127</v>
      </c>
      <c r="I1082" s="174">
        <v>3.81</v>
      </c>
      <c r="J1082" s="174"/>
      <c r="K1082" s="174"/>
      <c r="L1082" s="174"/>
      <c r="M1082" s="191">
        <v>766</v>
      </c>
      <c r="N1082" s="176">
        <v>10.355</v>
      </c>
      <c r="O1082" s="176"/>
      <c r="P1082" s="177"/>
      <c r="Q1082" s="178"/>
      <c r="R1082" s="179"/>
      <c r="S1082" s="179"/>
      <c r="T1082" s="177"/>
      <c r="U1082" s="177"/>
      <c r="V1082" s="177"/>
      <c r="W1082" s="177"/>
      <c r="X1082" s="177"/>
      <c r="Y1082" s="177"/>
      <c r="Z1082" s="177"/>
      <c r="AA1082" s="177"/>
      <c r="AB1082" s="177"/>
      <c r="AC1082" s="177"/>
      <c r="AD1082" s="180" t="s">
        <v>2877</v>
      </c>
      <c r="AE1082" s="173" t="s">
        <v>69</v>
      </c>
      <c r="AF1082" s="181" t="s">
        <v>142</v>
      </c>
      <c r="AG1082" s="192" t="s">
        <v>2878</v>
      </c>
      <c r="AH1082" s="198"/>
      <c r="AI1082" s="181">
        <v>44950</v>
      </c>
      <c r="AJ1082" s="181"/>
      <c r="AK1082" s="181">
        <f ca="1">TODAY()</f>
        <v>44958</v>
      </c>
      <c r="AL1082" s="173">
        <f t="shared" ca="1" si="17"/>
        <v>8</v>
      </c>
      <c r="AM1082" s="173" t="str">
        <f t="shared" si="18"/>
        <v/>
      </c>
      <c r="AN1082" s="181"/>
      <c r="AO1082" s="190" t="s">
        <v>3400</v>
      </c>
      <c r="AP1082" s="176">
        <v>10.355</v>
      </c>
      <c r="AQ1082" s="176">
        <v>10.365</v>
      </c>
      <c r="AR1082" s="176">
        <v>10.389999999999999</v>
      </c>
      <c r="AS1082" s="176">
        <v>10.395</v>
      </c>
      <c r="AT1082" s="173"/>
      <c r="AU1082" s="173">
        <v>465</v>
      </c>
      <c r="AV1082" s="149"/>
      <c r="AW1082" s="142" t="s">
        <v>123</v>
      </c>
      <c r="AY1082" s="212"/>
      <c r="AZ1082" s="196"/>
      <c r="BA1082" s="196"/>
    </row>
    <row r="1083" spans="2:53" s="142" customFormat="1" ht="21" customHeight="1" x14ac:dyDescent="0.25">
      <c r="B1083" s="173" t="str">
        <f t="shared" si="16"/>
        <v>RM-304L/1D-2.89X776</v>
      </c>
      <c r="C1083" s="173" t="s">
        <v>48</v>
      </c>
      <c r="D1083" s="173" t="s">
        <v>48</v>
      </c>
      <c r="E1083" s="190" t="s">
        <v>3403</v>
      </c>
      <c r="F1083" s="190" t="s">
        <v>3404</v>
      </c>
      <c r="G1083" s="173" t="s">
        <v>182</v>
      </c>
      <c r="H1083" s="173" t="s">
        <v>127</v>
      </c>
      <c r="I1083" s="174">
        <v>2.89</v>
      </c>
      <c r="J1083" s="174"/>
      <c r="K1083" s="174"/>
      <c r="L1083" s="174"/>
      <c r="M1083" s="191">
        <v>776</v>
      </c>
      <c r="N1083" s="176">
        <v>7.2</v>
      </c>
      <c r="O1083" s="176"/>
      <c r="P1083" s="177"/>
      <c r="Q1083" s="178"/>
      <c r="R1083" s="179"/>
      <c r="S1083" s="179"/>
      <c r="T1083" s="177"/>
      <c r="U1083" s="177"/>
      <c r="V1083" s="177"/>
      <c r="W1083" s="177"/>
      <c r="X1083" s="177"/>
      <c r="Y1083" s="177"/>
      <c r="Z1083" s="177"/>
      <c r="AA1083" s="177"/>
      <c r="AB1083" s="177"/>
      <c r="AC1083" s="177"/>
      <c r="AD1083" s="180" t="s">
        <v>2877</v>
      </c>
      <c r="AE1083" s="173" t="s">
        <v>69</v>
      </c>
      <c r="AF1083" s="181" t="s">
        <v>142</v>
      </c>
      <c r="AG1083" s="192" t="s">
        <v>2878</v>
      </c>
      <c r="AH1083" s="198"/>
      <c r="AI1083" s="181">
        <v>44950</v>
      </c>
      <c r="AJ1083" s="181"/>
      <c r="AK1083" s="181">
        <f ca="1">TODAY()</f>
        <v>44958</v>
      </c>
      <c r="AL1083" s="173">
        <f t="shared" ca="1" si="17"/>
        <v>8</v>
      </c>
      <c r="AM1083" s="173" t="str">
        <f t="shared" si="18"/>
        <v/>
      </c>
      <c r="AN1083" s="181"/>
      <c r="AO1083" s="190" t="s">
        <v>3405</v>
      </c>
      <c r="AP1083" s="176">
        <v>7.2</v>
      </c>
      <c r="AQ1083" s="176">
        <v>7.21</v>
      </c>
      <c r="AR1083" s="176">
        <v>7.2350000000000003</v>
      </c>
      <c r="AS1083" s="176">
        <v>7.24</v>
      </c>
      <c r="AT1083" s="173"/>
      <c r="AU1083" s="173">
        <v>465</v>
      </c>
      <c r="AV1083" s="149"/>
      <c r="AW1083" s="142" t="s">
        <v>123</v>
      </c>
      <c r="AY1083" s="212"/>
      <c r="AZ1083" s="196"/>
      <c r="BA1083" s="196"/>
    </row>
    <row r="1084" spans="2:53" s="142" customFormat="1" ht="21" customHeight="1" x14ac:dyDescent="0.25">
      <c r="B1084" s="173" t="str">
        <f t="shared" si="16"/>
        <v>RM-304L/1D-2.90X776</v>
      </c>
      <c r="C1084" s="173" t="s">
        <v>48</v>
      </c>
      <c r="D1084" s="173" t="s">
        <v>48</v>
      </c>
      <c r="E1084" s="190" t="s">
        <v>3406</v>
      </c>
      <c r="F1084" s="190" t="s">
        <v>3407</v>
      </c>
      <c r="G1084" s="173" t="s">
        <v>182</v>
      </c>
      <c r="H1084" s="173" t="s">
        <v>127</v>
      </c>
      <c r="I1084" s="174">
        <v>2.9</v>
      </c>
      <c r="J1084" s="174"/>
      <c r="K1084" s="174"/>
      <c r="L1084" s="174"/>
      <c r="M1084" s="191">
        <v>776</v>
      </c>
      <c r="N1084" s="176">
        <v>7.2249999999999996</v>
      </c>
      <c r="O1084" s="176"/>
      <c r="P1084" s="177"/>
      <c r="Q1084" s="178"/>
      <c r="R1084" s="179"/>
      <c r="S1084" s="179"/>
      <c r="T1084" s="177"/>
      <c r="U1084" s="177"/>
      <c r="V1084" s="177"/>
      <c r="W1084" s="177"/>
      <c r="X1084" s="177"/>
      <c r="Y1084" s="177"/>
      <c r="Z1084" s="177"/>
      <c r="AA1084" s="177"/>
      <c r="AB1084" s="177"/>
      <c r="AC1084" s="177"/>
      <c r="AD1084" s="180" t="s">
        <v>2877</v>
      </c>
      <c r="AE1084" s="173" t="s">
        <v>69</v>
      </c>
      <c r="AF1084" s="181" t="s">
        <v>142</v>
      </c>
      <c r="AG1084" s="192" t="s">
        <v>2878</v>
      </c>
      <c r="AH1084" s="198"/>
      <c r="AI1084" s="181">
        <v>44950</v>
      </c>
      <c r="AJ1084" s="181"/>
      <c r="AK1084" s="181">
        <f ca="1">TODAY()</f>
        <v>44958</v>
      </c>
      <c r="AL1084" s="173">
        <f t="shared" ca="1" si="17"/>
        <v>8</v>
      </c>
      <c r="AM1084" s="173" t="str">
        <f t="shared" si="18"/>
        <v/>
      </c>
      <c r="AN1084" s="181"/>
      <c r="AO1084" s="190" t="s">
        <v>3405</v>
      </c>
      <c r="AP1084" s="176">
        <v>7.2249999999999996</v>
      </c>
      <c r="AQ1084" s="176">
        <v>7.2349999999999994</v>
      </c>
      <c r="AR1084" s="176">
        <v>7.26</v>
      </c>
      <c r="AS1084" s="176">
        <v>7.2649999999999997</v>
      </c>
      <c r="AT1084" s="173"/>
      <c r="AU1084" s="173">
        <v>465</v>
      </c>
      <c r="AV1084" s="149"/>
      <c r="AW1084" s="142" t="s">
        <v>123</v>
      </c>
      <c r="AY1084" s="212"/>
      <c r="AZ1084" s="196"/>
      <c r="BA1084" s="196"/>
    </row>
    <row r="1085" spans="2:53" s="142" customFormat="1" ht="21" customHeight="1" x14ac:dyDescent="0.25">
      <c r="B1085" s="173" t="str">
        <f t="shared" si="16"/>
        <v>RM-304/1D-3.44X766</v>
      </c>
      <c r="C1085" s="173" t="s">
        <v>48</v>
      </c>
      <c r="D1085" s="173" t="s">
        <v>48</v>
      </c>
      <c r="E1085" s="190" t="s">
        <v>3408</v>
      </c>
      <c r="F1085" s="190" t="s">
        <v>3409</v>
      </c>
      <c r="G1085" s="173">
        <v>304</v>
      </c>
      <c r="H1085" s="173" t="s">
        <v>127</v>
      </c>
      <c r="I1085" s="174">
        <v>3.44</v>
      </c>
      <c r="J1085" s="174"/>
      <c r="K1085" s="174"/>
      <c r="L1085" s="174"/>
      <c r="M1085" s="191">
        <v>766</v>
      </c>
      <c r="N1085" s="176">
        <v>11.765000000000001</v>
      </c>
      <c r="O1085" s="176"/>
      <c r="P1085" s="177"/>
      <c r="Q1085" s="178"/>
      <c r="R1085" s="179"/>
      <c r="S1085" s="179"/>
      <c r="T1085" s="177"/>
      <c r="U1085" s="177"/>
      <c r="V1085" s="177"/>
      <c r="W1085" s="177"/>
      <c r="X1085" s="177"/>
      <c r="Y1085" s="177"/>
      <c r="Z1085" s="177"/>
      <c r="AA1085" s="177"/>
      <c r="AB1085" s="177"/>
      <c r="AC1085" s="177"/>
      <c r="AD1085" s="180" t="s">
        <v>3164</v>
      </c>
      <c r="AE1085" s="173" t="s">
        <v>69</v>
      </c>
      <c r="AF1085" s="181" t="s">
        <v>142</v>
      </c>
      <c r="AG1085" s="192" t="s">
        <v>2878</v>
      </c>
      <c r="AH1085" s="198"/>
      <c r="AI1085" s="181">
        <v>44950</v>
      </c>
      <c r="AJ1085" s="181"/>
      <c r="AK1085" s="181">
        <f ca="1">TODAY()</f>
        <v>44958</v>
      </c>
      <c r="AL1085" s="173">
        <f t="shared" ca="1" si="17"/>
        <v>8</v>
      </c>
      <c r="AM1085" s="173" t="str">
        <f t="shared" si="18"/>
        <v/>
      </c>
      <c r="AN1085" s="181"/>
      <c r="AO1085" s="190" t="s">
        <v>3410</v>
      </c>
      <c r="AP1085" s="176">
        <v>11.765000000000001</v>
      </c>
      <c r="AQ1085" s="176">
        <v>11.775</v>
      </c>
      <c r="AR1085" s="176">
        <v>11.799999999999999</v>
      </c>
      <c r="AS1085" s="176">
        <v>11.805</v>
      </c>
      <c r="AT1085" s="173"/>
      <c r="AU1085" s="173">
        <v>465</v>
      </c>
      <c r="AV1085" s="149"/>
      <c r="AW1085" s="142" t="s">
        <v>123</v>
      </c>
      <c r="AY1085" s="212"/>
      <c r="AZ1085" s="196"/>
      <c r="BA1085" s="196"/>
    </row>
    <row r="1086" spans="2:53" s="142" customFormat="1" ht="21" customHeight="1" x14ac:dyDescent="0.25">
      <c r="B1086" s="173" t="str">
        <f t="shared" ref="B1086:B1149" si="19">IF(C1086="HOLD RM","HOLD RM",IF(C1086="BAL","WIP",IF(C1086="HOLD SLT","HOLD SLT",IF(C1086="MILL","RM",IF(C1086="RE SLT","WIP",IF(C1086="RM","RM",IF(C1086="RM BAL","RM",IF(C1086="RM SLT","RM",IF(C1086="RR","WIP",IF(C1086="SKP","WIP",IF(C1086="SLT","WIP",IF(C1086="CTL","WIP",IF(C1086="RM SLT RUST","RM SLT RUST",0)))))))))))))&amp;"-"&amp;G1086&amp;"/"&amp;IF(H1086="2B","2B",IF(H1086="NO.1","1D",IF(H1086="FH","FH",0)))&amp;"-"&amp;IF(J1086="",(TEXT(I1086,"0.00")),TEXT(J1086,"0.00"))&amp;"X"&amp;M1086</f>
        <v>RM-304/1D-3.44X765</v>
      </c>
      <c r="C1086" s="173" t="s">
        <v>48</v>
      </c>
      <c r="D1086" s="173" t="s">
        <v>48</v>
      </c>
      <c r="E1086" s="190" t="s">
        <v>3411</v>
      </c>
      <c r="F1086" s="190" t="s">
        <v>3412</v>
      </c>
      <c r="G1086" s="173">
        <v>304</v>
      </c>
      <c r="H1086" s="173" t="s">
        <v>127</v>
      </c>
      <c r="I1086" s="174">
        <v>3.44</v>
      </c>
      <c r="J1086" s="174"/>
      <c r="K1086" s="174"/>
      <c r="L1086" s="174"/>
      <c r="M1086" s="191">
        <v>765</v>
      </c>
      <c r="N1086" s="176">
        <v>11.744999999999999</v>
      </c>
      <c r="O1086" s="176"/>
      <c r="P1086" s="177"/>
      <c r="Q1086" s="178"/>
      <c r="R1086" s="179"/>
      <c r="S1086" s="179"/>
      <c r="T1086" s="177"/>
      <c r="U1086" s="177"/>
      <c r="V1086" s="177"/>
      <c r="W1086" s="177"/>
      <c r="X1086" s="177"/>
      <c r="Y1086" s="177"/>
      <c r="Z1086" s="177"/>
      <c r="AA1086" s="177"/>
      <c r="AB1086" s="177"/>
      <c r="AC1086" s="177"/>
      <c r="AD1086" s="180" t="s">
        <v>2877</v>
      </c>
      <c r="AE1086" s="173" t="s">
        <v>69</v>
      </c>
      <c r="AF1086" s="181" t="s">
        <v>142</v>
      </c>
      <c r="AG1086" s="192" t="s">
        <v>2878</v>
      </c>
      <c r="AH1086" s="198"/>
      <c r="AI1086" s="181">
        <v>44950</v>
      </c>
      <c r="AJ1086" s="181"/>
      <c r="AK1086" s="181">
        <f ca="1">TODAY()</f>
        <v>44958</v>
      </c>
      <c r="AL1086" s="173">
        <f t="shared" ca="1" si="17"/>
        <v>8</v>
      </c>
      <c r="AM1086" s="173" t="str">
        <f t="shared" si="18"/>
        <v/>
      </c>
      <c r="AN1086" s="181"/>
      <c r="AO1086" s="190" t="s">
        <v>3410</v>
      </c>
      <c r="AP1086" s="176">
        <v>11.744999999999999</v>
      </c>
      <c r="AQ1086" s="176">
        <v>11.754999999999999</v>
      </c>
      <c r="AR1086" s="176">
        <v>11.779999999999998</v>
      </c>
      <c r="AS1086" s="176">
        <v>11.784999999999998</v>
      </c>
      <c r="AT1086" s="173"/>
      <c r="AU1086" s="173">
        <v>465</v>
      </c>
      <c r="AV1086" s="149"/>
      <c r="AW1086" s="142" t="s">
        <v>123</v>
      </c>
      <c r="AY1086" s="212"/>
      <c r="AZ1086" s="196"/>
      <c r="BA1086" s="196"/>
    </row>
    <row r="1087" spans="2:53" s="142" customFormat="1" ht="21" customHeight="1" x14ac:dyDescent="0.25">
      <c r="B1087" s="173" t="str">
        <f t="shared" si="19"/>
        <v>RM-304/1D-2.89X769</v>
      </c>
      <c r="C1087" s="173" t="s">
        <v>48</v>
      </c>
      <c r="D1087" s="173" t="s">
        <v>48</v>
      </c>
      <c r="E1087" s="190" t="s">
        <v>3413</v>
      </c>
      <c r="F1087" s="190" t="s">
        <v>3414</v>
      </c>
      <c r="G1087" s="173">
        <v>304</v>
      </c>
      <c r="H1087" s="173" t="s">
        <v>127</v>
      </c>
      <c r="I1087" s="174">
        <v>2.89</v>
      </c>
      <c r="J1087" s="174"/>
      <c r="K1087" s="174"/>
      <c r="L1087" s="174"/>
      <c r="M1087" s="191">
        <v>769</v>
      </c>
      <c r="N1087" s="176">
        <v>8.57</v>
      </c>
      <c r="O1087" s="176"/>
      <c r="P1087" s="177"/>
      <c r="Q1087" s="178"/>
      <c r="R1087" s="179"/>
      <c r="S1087" s="179"/>
      <c r="T1087" s="177"/>
      <c r="U1087" s="177"/>
      <c r="V1087" s="177"/>
      <c r="W1087" s="177"/>
      <c r="X1087" s="177"/>
      <c r="Y1087" s="177"/>
      <c r="Z1087" s="177"/>
      <c r="AA1087" s="177"/>
      <c r="AB1087" s="177"/>
      <c r="AC1087" s="177"/>
      <c r="AD1087" s="180" t="s">
        <v>2877</v>
      </c>
      <c r="AE1087" s="173" t="s">
        <v>69</v>
      </c>
      <c r="AF1087" s="181" t="s">
        <v>142</v>
      </c>
      <c r="AG1087" s="192" t="s">
        <v>2878</v>
      </c>
      <c r="AH1087" s="198"/>
      <c r="AI1087" s="181">
        <v>44950</v>
      </c>
      <c r="AJ1087" s="181"/>
      <c r="AK1087" s="181">
        <f ca="1">TODAY()</f>
        <v>44958</v>
      </c>
      <c r="AL1087" s="173">
        <f t="shared" ca="1" si="17"/>
        <v>8</v>
      </c>
      <c r="AM1087" s="173" t="str">
        <f t="shared" si="18"/>
        <v/>
      </c>
      <c r="AN1087" s="181"/>
      <c r="AO1087" s="190" t="s">
        <v>3415</v>
      </c>
      <c r="AP1087" s="176">
        <v>8.57</v>
      </c>
      <c r="AQ1087" s="176">
        <v>8.58</v>
      </c>
      <c r="AR1087" s="176">
        <v>8.6049999999999986</v>
      </c>
      <c r="AS1087" s="176">
        <v>8.61</v>
      </c>
      <c r="AT1087" s="173"/>
      <c r="AU1087" s="173">
        <v>465</v>
      </c>
      <c r="AV1087" s="149"/>
      <c r="AW1087" s="142" t="s">
        <v>123</v>
      </c>
      <c r="AY1087" s="212"/>
      <c r="AZ1087" s="196"/>
      <c r="BA1087" s="196"/>
    </row>
    <row r="1088" spans="2:53" s="142" customFormat="1" ht="21" customHeight="1" x14ac:dyDescent="0.25">
      <c r="B1088" s="173" t="str">
        <f t="shared" si="19"/>
        <v>RM-304/1D-2.90X767</v>
      </c>
      <c r="C1088" s="173" t="s">
        <v>48</v>
      </c>
      <c r="D1088" s="173" t="s">
        <v>48</v>
      </c>
      <c r="E1088" s="190" t="s">
        <v>3416</v>
      </c>
      <c r="F1088" s="190" t="s">
        <v>3417</v>
      </c>
      <c r="G1088" s="173">
        <v>304</v>
      </c>
      <c r="H1088" s="173" t="s">
        <v>127</v>
      </c>
      <c r="I1088" s="174">
        <v>2.9</v>
      </c>
      <c r="J1088" s="174"/>
      <c r="K1088" s="174"/>
      <c r="L1088" s="174"/>
      <c r="M1088" s="191">
        <v>767</v>
      </c>
      <c r="N1088" s="176">
        <v>8.52</v>
      </c>
      <c r="O1088" s="176"/>
      <c r="P1088" s="177"/>
      <c r="Q1088" s="178"/>
      <c r="R1088" s="179"/>
      <c r="S1088" s="179"/>
      <c r="T1088" s="177"/>
      <c r="U1088" s="177"/>
      <c r="V1088" s="177"/>
      <c r="W1088" s="177"/>
      <c r="X1088" s="177"/>
      <c r="Y1088" s="177"/>
      <c r="Z1088" s="177"/>
      <c r="AA1088" s="177"/>
      <c r="AB1088" s="177"/>
      <c r="AC1088" s="177"/>
      <c r="AD1088" s="180" t="s">
        <v>2877</v>
      </c>
      <c r="AE1088" s="173" t="s">
        <v>69</v>
      </c>
      <c r="AF1088" s="181" t="s">
        <v>142</v>
      </c>
      <c r="AG1088" s="192" t="s">
        <v>2878</v>
      </c>
      <c r="AH1088" s="198"/>
      <c r="AI1088" s="181">
        <v>44950</v>
      </c>
      <c r="AJ1088" s="181"/>
      <c r="AK1088" s="181">
        <f ca="1">TODAY()</f>
        <v>44958</v>
      </c>
      <c r="AL1088" s="173">
        <f t="shared" ca="1" si="17"/>
        <v>8</v>
      </c>
      <c r="AM1088" s="173" t="str">
        <f t="shared" si="18"/>
        <v/>
      </c>
      <c r="AN1088" s="181"/>
      <c r="AO1088" s="190" t="s">
        <v>3415</v>
      </c>
      <c r="AP1088" s="176">
        <v>8.52</v>
      </c>
      <c r="AQ1088" s="176">
        <v>8.5299999999999994</v>
      </c>
      <c r="AR1088" s="176">
        <v>8.5549999999999979</v>
      </c>
      <c r="AS1088" s="176">
        <v>8.5599999999999987</v>
      </c>
      <c r="AT1088" s="173"/>
      <c r="AU1088" s="173">
        <v>465</v>
      </c>
      <c r="AV1088" s="149"/>
      <c r="AW1088" s="142" t="s">
        <v>123</v>
      </c>
      <c r="AY1088" s="212"/>
      <c r="AZ1088" s="196"/>
      <c r="BA1088" s="196"/>
    </row>
    <row r="1089" spans="2:53" s="142" customFormat="1" ht="21" customHeight="1" x14ac:dyDescent="0.25">
      <c r="B1089" s="173" t="str">
        <f t="shared" si="19"/>
        <v>RM-304/1D-2.89X766</v>
      </c>
      <c r="C1089" s="173" t="s">
        <v>48</v>
      </c>
      <c r="D1089" s="173" t="s">
        <v>48</v>
      </c>
      <c r="E1089" s="190" t="s">
        <v>3418</v>
      </c>
      <c r="F1089" s="190" t="s">
        <v>3419</v>
      </c>
      <c r="G1089" s="173">
        <v>304</v>
      </c>
      <c r="H1089" s="173" t="s">
        <v>127</v>
      </c>
      <c r="I1089" s="174">
        <v>2.89</v>
      </c>
      <c r="J1089" s="174"/>
      <c r="K1089" s="174"/>
      <c r="L1089" s="174"/>
      <c r="M1089" s="191">
        <v>766</v>
      </c>
      <c r="N1089" s="176">
        <v>8.68</v>
      </c>
      <c r="O1089" s="176"/>
      <c r="P1089" s="177"/>
      <c r="Q1089" s="178"/>
      <c r="R1089" s="179"/>
      <c r="S1089" s="179"/>
      <c r="T1089" s="177"/>
      <c r="U1089" s="177"/>
      <c r="V1089" s="177"/>
      <c r="W1089" s="177"/>
      <c r="X1089" s="177"/>
      <c r="Y1089" s="177"/>
      <c r="Z1089" s="177"/>
      <c r="AA1089" s="177"/>
      <c r="AB1089" s="177"/>
      <c r="AC1089" s="177"/>
      <c r="AD1089" s="180" t="s">
        <v>2877</v>
      </c>
      <c r="AE1089" s="173" t="s">
        <v>69</v>
      </c>
      <c r="AF1089" s="181" t="s">
        <v>142</v>
      </c>
      <c r="AG1089" s="192" t="s">
        <v>2878</v>
      </c>
      <c r="AH1089" s="198"/>
      <c r="AI1089" s="181">
        <v>44950</v>
      </c>
      <c r="AJ1089" s="181"/>
      <c r="AK1089" s="181">
        <f ca="1">TODAY()</f>
        <v>44958</v>
      </c>
      <c r="AL1089" s="173">
        <f t="shared" ca="1" si="17"/>
        <v>8</v>
      </c>
      <c r="AM1089" s="173" t="str">
        <f t="shared" si="18"/>
        <v/>
      </c>
      <c r="AN1089" s="181"/>
      <c r="AO1089" s="190" t="s">
        <v>3420</v>
      </c>
      <c r="AP1089" s="176">
        <v>8.68</v>
      </c>
      <c r="AQ1089" s="176">
        <v>8.69</v>
      </c>
      <c r="AR1089" s="176">
        <v>8.7149999999999981</v>
      </c>
      <c r="AS1089" s="176">
        <v>8.7199999999999989</v>
      </c>
      <c r="AT1089" s="173"/>
      <c r="AU1089" s="173">
        <v>465</v>
      </c>
      <c r="AV1089" s="149"/>
      <c r="AW1089" s="142" t="s">
        <v>123</v>
      </c>
      <c r="AY1089" s="212"/>
      <c r="AZ1089" s="196"/>
      <c r="BA1089" s="196"/>
    </row>
    <row r="1090" spans="2:53" s="142" customFormat="1" ht="21" customHeight="1" x14ac:dyDescent="0.25">
      <c r="B1090" s="173" t="str">
        <f t="shared" si="19"/>
        <v>RM-304/1D-2.89X767</v>
      </c>
      <c r="C1090" s="173" t="s">
        <v>48</v>
      </c>
      <c r="D1090" s="173" t="s">
        <v>48</v>
      </c>
      <c r="E1090" s="190" t="s">
        <v>3421</v>
      </c>
      <c r="F1090" s="190" t="s">
        <v>3422</v>
      </c>
      <c r="G1090" s="173">
        <v>304</v>
      </c>
      <c r="H1090" s="173" t="s">
        <v>127</v>
      </c>
      <c r="I1090" s="174">
        <v>2.89</v>
      </c>
      <c r="J1090" s="174"/>
      <c r="K1090" s="174"/>
      <c r="L1090" s="174"/>
      <c r="M1090" s="191">
        <v>767</v>
      </c>
      <c r="N1090" s="176">
        <v>8.6150000000000002</v>
      </c>
      <c r="O1090" s="176"/>
      <c r="P1090" s="177"/>
      <c r="Q1090" s="178"/>
      <c r="R1090" s="179"/>
      <c r="S1090" s="179"/>
      <c r="T1090" s="177"/>
      <c r="U1090" s="177"/>
      <c r="V1090" s="177"/>
      <c r="W1090" s="177"/>
      <c r="X1090" s="177"/>
      <c r="Y1090" s="177"/>
      <c r="Z1090" s="177"/>
      <c r="AA1090" s="177"/>
      <c r="AB1090" s="177"/>
      <c r="AC1090" s="177"/>
      <c r="AD1090" s="180" t="s">
        <v>2877</v>
      </c>
      <c r="AE1090" s="173" t="s">
        <v>69</v>
      </c>
      <c r="AF1090" s="181" t="s">
        <v>142</v>
      </c>
      <c r="AG1090" s="192" t="s">
        <v>2878</v>
      </c>
      <c r="AH1090" s="198"/>
      <c r="AI1090" s="181">
        <v>44950</v>
      </c>
      <c r="AJ1090" s="181"/>
      <c r="AK1090" s="181">
        <f ca="1">TODAY()</f>
        <v>44958</v>
      </c>
      <c r="AL1090" s="173">
        <f t="shared" ca="1" si="17"/>
        <v>8</v>
      </c>
      <c r="AM1090" s="173" t="str">
        <f t="shared" si="18"/>
        <v/>
      </c>
      <c r="AN1090" s="181"/>
      <c r="AO1090" s="190" t="s">
        <v>3420</v>
      </c>
      <c r="AP1090" s="176">
        <v>8.6150000000000002</v>
      </c>
      <c r="AQ1090" s="176">
        <v>8.625</v>
      </c>
      <c r="AR1090" s="176">
        <v>8.6499999999999986</v>
      </c>
      <c r="AS1090" s="176">
        <v>8.6549999999999994</v>
      </c>
      <c r="AT1090" s="173"/>
      <c r="AU1090" s="173">
        <v>465</v>
      </c>
      <c r="AV1090" s="149"/>
      <c r="AW1090" s="142" t="s">
        <v>123</v>
      </c>
      <c r="AY1090" s="212"/>
      <c r="AZ1090" s="196"/>
      <c r="BA1090" s="196"/>
    </row>
    <row r="1091" spans="2:53" s="142" customFormat="1" ht="21" customHeight="1" x14ac:dyDescent="0.25">
      <c r="B1091" s="173" t="str">
        <f t="shared" si="19"/>
        <v>RM-304/1D-3.81X771</v>
      </c>
      <c r="C1091" s="173" t="s">
        <v>48</v>
      </c>
      <c r="D1091" s="173" t="s">
        <v>48</v>
      </c>
      <c r="E1091" s="190" t="s">
        <v>3423</v>
      </c>
      <c r="F1091" s="190" t="s">
        <v>3424</v>
      </c>
      <c r="G1091" s="173">
        <v>304</v>
      </c>
      <c r="H1091" s="173" t="s">
        <v>127</v>
      </c>
      <c r="I1091" s="174">
        <v>3.81</v>
      </c>
      <c r="J1091" s="174"/>
      <c r="K1091" s="174"/>
      <c r="L1091" s="174"/>
      <c r="M1091" s="191">
        <v>771</v>
      </c>
      <c r="N1091" s="176">
        <v>12.15</v>
      </c>
      <c r="O1091" s="176"/>
      <c r="P1091" s="177"/>
      <c r="Q1091" s="178"/>
      <c r="R1091" s="179"/>
      <c r="S1091" s="179"/>
      <c r="T1091" s="177"/>
      <c r="U1091" s="177"/>
      <c r="V1091" s="177"/>
      <c r="W1091" s="177"/>
      <c r="X1091" s="177"/>
      <c r="Y1091" s="177"/>
      <c r="Z1091" s="177"/>
      <c r="AA1091" s="177"/>
      <c r="AB1091" s="177"/>
      <c r="AC1091" s="177"/>
      <c r="AD1091" s="180" t="s">
        <v>2877</v>
      </c>
      <c r="AE1091" s="173" t="s">
        <v>69</v>
      </c>
      <c r="AF1091" s="181" t="s">
        <v>142</v>
      </c>
      <c r="AG1091" s="192" t="s">
        <v>2878</v>
      </c>
      <c r="AH1091" s="198"/>
      <c r="AI1091" s="181">
        <v>44950</v>
      </c>
      <c r="AJ1091" s="181"/>
      <c r="AK1091" s="181">
        <f ca="1">TODAY()</f>
        <v>44958</v>
      </c>
      <c r="AL1091" s="173">
        <f t="shared" ca="1" si="17"/>
        <v>8</v>
      </c>
      <c r="AM1091" s="173" t="str">
        <f t="shared" si="18"/>
        <v/>
      </c>
      <c r="AN1091" s="181"/>
      <c r="AO1091" s="190" t="s">
        <v>3425</v>
      </c>
      <c r="AP1091" s="176">
        <v>12.15</v>
      </c>
      <c r="AQ1091" s="176">
        <v>12.16</v>
      </c>
      <c r="AR1091" s="176">
        <v>12.184999999999999</v>
      </c>
      <c r="AS1091" s="176">
        <v>12.19</v>
      </c>
      <c r="AT1091" s="173"/>
      <c r="AU1091" s="173">
        <v>465</v>
      </c>
      <c r="AV1091" s="149"/>
      <c r="AW1091" s="142" t="s">
        <v>123</v>
      </c>
      <c r="AY1091" s="212"/>
      <c r="AZ1091" s="196"/>
      <c r="BA1091" s="196"/>
    </row>
    <row r="1092" spans="2:53" s="142" customFormat="1" ht="21" customHeight="1" x14ac:dyDescent="0.25">
      <c r="B1092" s="173" t="str">
        <f t="shared" si="19"/>
        <v>RM-304/1D-3.79X772</v>
      </c>
      <c r="C1092" s="173" t="s">
        <v>48</v>
      </c>
      <c r="D1092" s="173" t="s">
        <v>48</v>
      </c>
      <c r="E1092" s="190" t="s">
        <v>3426</v>
      </c>
      <c r="F1092" s="190" t="s">
        <v>3427</v>
      </c>
      <c r="G1092" s="173">
        <v>304</v>
      </c>
      <c r="H1092" s="173" t="s">
        <v>127</v>
      </c>
      <c r="I1092" s="174">
        <v>3.79</v>
      </c>
      <c r="J1092" s="174"/>
      <c r="K1092" s="174"/>
      <c r="L1092" s="174"/>
      <c r="M1092" s="191">
        <v>772</v>
      </c>
      <c r="N1092" s="176">
        <v>12.095000000000001</v>
      </c>
      <c r="O1092" s="176"/>
      <c r="P1092" s="177"/>
      <c r="Q1092" s="178"/>
      <c r="R1092" s="179"/>
      <c r="S1092" s="179"/>
      <c r="T1092" s="177"/>
      <c r="U1092" s="177"/>
      <c r="V1092" s="177"/>
      <c r="W1092" s="177"/>
      <c r="X1092" s="177"/>
      <c r="Y1092" s="177"/>
      <c r="Z1092" s="177"/>
      <c r="AA1092" s="177"/>
      <c r="AB1092" s="177"/>
      <c r="AC1092" s="177"/>
      <c r="AD1092" s="180" t="s">
        <v>2877</v>
      </c>
      <c r="AE1092" s="173" t="s">
        <v>69</v>
      </c>
      <c r="AF1092" s="181" t="s">
        <v>142</v>
      </c>
      <c r="AG1092" s="192" t="s">
        <v>2878</v>
      </c>
      <c r="AH1092" s="198"/>
      <c r="AI1092" s="181">
        <v>44950</v>
      </c>
      <c r="AJ1092" s="181"/>
      <c r="AK1092" s="181">
        <f ca="1">TODAY()</f>
        <v>44958</v>
      </c>
      <c r="AL1092" s="173">
        <f t="shared" ca="1" si="17"/>
        <v>8</v>
      </c>
      <c r="AM1092" s="173" t="str">
        <f t="shared" si="18"/>
        <v/>
      </c>
      <c r="AN1092" s="181"/>
      <c r="AO1092" s="190" t="s">
        <v>3425</v>
      </c>
      <c r="AP1092" s="176">
        <v>12.095000000000001</v>
      </c>
      <c r="AQ1092" s="176">
        <v>12.105</v>
      </c>
      <c r="AR1092" s="176">
        <v>12.129999999999999</v>
      </c>
      <c r="AS1092" s="176">
        <v>12.135</v>
      </c>
      <c r="AT1092" s="173"/>
      <c r="AU1092" s="173">
        <v>465</v>
      </c>
      <c r="AV1092" s="149"/>
      <c r="AW1092" s="142" t="s">
        <v>123</v>
      </c>
      <c r="AY1092" s="212"/>
      <c r="AZ1092" s="196"/>
      <c r="BA1092" s="196"/>
    </row>
    <row r="1093" spans="2:53" s="142" customFormat="1" ht="21" customHeight="1" x14ac:dyDescent="0.25">
      <c r="B1093" s="173" t="str">
        <f t="shared" si="19"/>
        <v>RM-304L/1D-3.80X770</v>
      </c>
      <c r="C1093" s="173" t="s">
        <v>48</v>
      </c>
      <c r="D1093" s="173" t="s">
        <v>48</v>
      </c>
      <c r="E1093" s="190" t="s">
        <v>3428</v>
      </c>
      <c r="F1093" s="190" t="s">
        <v>3429</v>
      </c>
      <c r="G1093" s="173" t="s">
        <v>182</v>
      </c>
      <c r="H1093" s="173" t="s">
        <v>127</v>
      </c>
      <c r="I1093" s="174">
        <v>3.8</v>
      </c>
      <c r="J1093" s="174"/>
      <c r="K1093" s="174"/>
      <c r="L1093" s="174"/>
      <c r="M1093" s="191">
        <v>770</v>
      </c>
      <c r="N1093" s="176">
        <v>11.975</v>
      </c>
      <c r="O1093" s="176"/>
      <c r="P1093" s="177"/>
      <c r="Q1093" s="178"/>
      <c r="R1093" s="179"/>
      <c r="S1093" s="179"/>
      <c r="T1093" s="177"/>
      <c r="U1093" s="177"/>
      <c r="V1093" s="177"/>
      <c r="W1093" s="177"/>
      <c r="X1093" s="177"/>
      <c r="Y1093" s="177"/>
      <c r="Z1093" s="177"/>
      <c r="AA1093" s="177"/>
      <c r="AB1093" s="177"/>
      <c r="AC1093" s="177"/>
      <c r="AD1093" s="180" t="s">
        <v>2877</v>
      </c>
      <c r="AE1093" s="173" t="s">
        <v>69</v>
      </c>
      <c r="AF1093" s="181" t="s">
        <v>142</v>
      </c>
      <c r="AG1093" s="192" t="s">
        <v>2878</v>
      </c>
      <c r="AH1093" s="198"/>
      <c r="AI1093" s="181">
        <v>44950</v>
      </c>
      <c r="AJ1093" s="181"/>
      <c r="AK1093" s="181">
        <f ca="1">TODAY()</f>
        <v>44958</v>
      </c>
      <c r="AL1093" s="173">
        <f t="shared" ca="1" si="17"/>
        <v>8</v>
      </c>
      <c r="AM1093" s="173" t="str">
        <f t="shared" si="18"/>
        <v/>
      </c>
      <c r="AN1093" s="181"/>
      <c r="AO1093" s="190" t="s">
        <v>3430</v>
      </c>
      <c r="AP1093" s="176">
        <v>11.975</v>
      </c>
      <c r="AQ1093" s="176">
        <v>11.984999999999999</v>
      </c>
      <c r="AR1093" s="176">
        <v>12.009999999999998</v>
      </c>
      <c r="AS1093" s="176">
        <v>12.014999999999999</v>
      </c>
      <c r="AT1093" s="173"/>
      <c r="AU1093" s="173">
        <v>465</v>
      </c>
      <c r="AV1093" s="149"/>
      <c r="AW1093" s="142" t="s">
        <v>123</v>
      </c>
      <c r="AY1093" s="212"/>
      <c r="AZ1093" s="196"/>
      <c r="BA1093" s="196"/>
    </row>
    <row r="1094" spans="2:53" s="142" customFormat="1" ht="21" customHeight="1" x14ac:dyDescent="0.25">
      <c r="B1094" s="173" t="str">
        <f t="shared" si="19"/>
        <v>RM-304L/1D-3.80X772</v>
      </c>
      <c r="C1094" s="173" t="s">
        <v>48</v>
      </c>
      <c r="D1094" s="173" t="s">
        <v>48</v>
      </c>
      <c r="E1094" s="190" t="s">
        <v>3431</v>
      </c>
      <c r="F1094" s="190" t="s">
        <v>3432</v>
      </c>
      <c r="G1094" s="173" t="s">
        <v>182</v>
      </c>
      <c r="H1094" s="173" t="s">
        <v>127</v>
      </c>
      <c r="I1094" s="174">
        <v>3.8</v>
      </c>
      <c r="J1094" s="174"/>
      <c r="K1094" s="174"/>
      <c r="L1094" s="174"/>
      <c r="M1094" s="191">
        <v>772</v>
      </c>
      <c r="N1094" s="176">
        <v>12</v>
      </c>
      <c r="O1094" s="176"/>
      <c r="P1094" s="177"/>
      <c r="Q1094" s="178"/>
      <c r="R1094" s="179"/>
      <c r="S1094" s="179"/>
      <c r="T1094" s="177"/>
      <c r="U1094" s="177"/>
      <c r="V1094" s="177"/>
      <c r="W1094" s="177"/>
      <c r="X1094" s="177"/>
      <c r="Y1094" s="177"/>
      <c r="Z1094" s="177"/>
      <c r="AA1094" s="177"/>
      <c r="AB1094" s="177"/>
      <c r="AC1094" s="177"/>
      <c r="AD1094" s="180" t="s">
        <v>2877</v>
      </c>
      <c r="AE1094" s="173" t="s">
        <v>69</v>
      </c>
      <c r="AF1094" s="181" t="s">
        <v>142</v>
      </c>
      <c r="AG1094" s="192" t="s">
        <v>2878</v>
      </c>
      <c r="AH1094" s="198"/>
      <c r="AI1094" s="181">
        <v>44950</v>
      </c>
      <c r="AJ1094" s="181"/>
      <c r="AK1094" s="181">
        <f ca="1">TODAY()</f>
        <v>44958</v>
      </c>
      <c r="AL1094" s="173">
        <f t="shared" ca="1" si="17"/>
        <v>8</v>
      </c>
      <c r="AM1094" s="173" t="str">
        <f t="shared" si="18"/>
        <v/>
      </c>
      <c r="AN1094" s="181"/>
      <c r="AO1094" s="190" t="s">
        <v>3430</v>
      </c>
      <c r="AP1094" s="176">
        <v>12</v>
      </c>
      <c r="AQ1094" s="176">
        <v>12.01</v>
      </c>
      <c r="AR1094" s="176">
        <v>12.034999999999998</v>
      </c>
      <c r="AS1094" s="176">
        <v>12.04</v>
      </c>
      <c r="AT1094" s="173"/>
      <c r="AU1094" s="173">
        <v>465</v>
      </c>
      <c r="AV1094" s="149"/>
      <c r="AW1094" s="142" t="s">
        <v>123</v>
      </c>
      <c r="AY1094" s="212"/>
      <c r="AZ1094" s="196"/>
      <c r="BA1094" s="196"/>
    </row>
    <row r="1095" spans="2:53" s="142" customFormat="1" ht="21" customHeight="1" x14ac:dyDescent="0.25">
      <c r="B1095" s="173" t="str">
        <f t="shared" si="19"/>
        <v>RM-304L/1D-3.81X770</v>
      </c>
      <c r="C1095" s="173" t="s">
        <v>48</v>
      </c>
      <c r="D1095" s="173" t="s">
        <v>48</v>
      </c>
      <c r="E1095" s="190" t="s">
        <v>3433</v>
      </c>
      <c r="F1095" s="190" t="s">
        <v>3434</v>
      </c>
      <c r="G1095" s="173" t="s">
        <v>182</v>
      </c>
      <c r="H1095" s="173" t="s">
        <v>127</v>
      </c>
      <c r="I1095" s="174">
        <v>3.81</v>
      </c>
      <c r="J1095" s="174"/>
      <c r="K1095" s="174"/>
      <c r="L1095" s="174"/>
      <c r="M1095" s="191">
        <v>770</v>
      </c>
      <c r="N1095" s="176">
        <v>11.914999999999999</v>
      </c>
      <c r="O1095" s="176"/>
      <c r="P1095" s="177"/>
      <c r="Q1095" s="178"/>
      <c r="R1095" s="179"/>
      <c r="S1095" s="179"/>
      <c r="T1095" s="177"/>
      <c r="U1095" s="177"/>
      <c r="V1095" s="177"/>
      <c r="W1095" s="177"/>
      <c r="X1095" s="177"/>
      <c r="Y1095" s="177"/>
      <c r="Z1095" s="177"/>
      <c r="AA1095" s="177"/>
      <c r="AB1095" s="177"/>
      <c r="AC1095" s="177"/>
      <c r="AD1095" s="180" t="s">
        <v>2877</v>
      </c>
      <c r="AE1095" s="173" t="s">
        <v>69</v>
      </c>
      <c r="AF1095" s="181" t="s">
        <v>142</v>
      </c>
      <c r="AG1095" s="192" t="s">
        <v>2878</v>
      </c>
      <c r="AH1095" s="198"/>
      <c r="AI1095" s="181">
        <v>44950</v>
      </c>
      <c r="AJ1095" s="181"/>
      <c r="AK1095" s="181">
        <f ca="1">TODAY()</f>
        <v>44958</v>
      </c>
      <c r="AL1095" s="173">
        <f t="shared" ca="1" si="17"/>
        <v>8</v>
      </c>
      <c r="AM1095" s="173" t="str">
        <f t="shared" si="18"/>
        <v/>
      </c>
      <c r="AN1095" s="181"/>
      <c r="AO1095" s="190" t="s">
        <v>3435</v>
      </c>
      <c r="AP1095" s="176">
        <v>11.914999999999999</v>
      </c>
      <c r="AQ1095" s="176">
        <v>11.924999999999999</v>
      </c>
      <c r="AR1095" s="176">
        <v>11.949999999999998</v>
      </c>
      <c r="AS1095" s="176">
        <v>11.954999999999998</v>
      </c>
      <c r="AT1095" s="173"/>
      <c r="AU1095" s="173">
        <v>465</v>
      </c>
      <c r="AV1095" s="149"/>
      <c r="AW1095" s="142" t="s">
        <v>123</v>
      </c>
      <c r="AY1095" s="212"/>
      <c r="AZ1095" s="196"/>
      <c r="BA1095" s="196"/>
    </row>
    <row r="1096" spans="2:53" s="142" customFormat="1" ht="21" customHeight="1" x14ac:dyDescent="0.25">
      <c r="B1096" s="173" t="str">
        <f t="shared" si="19"/>
        <v>RM-304L/1D-3.81X772</v>
      </c>
      <c r="C1096" s="173" t="s">
        <v>48</v>
      </c>
      <c r="D1096" s="173" t="s">
        <v>48</v>
      </c>
      <c r="E1096" s="190" t="s">
        <v>3436</v>
      </c>
      <c r="F1096" s="190" t="s">
        <v>3437</v>
      </c>
      <c r="G1096" s="173" t="s">
        <v>182</v>
      </c>
      <c r="H1096" s="173" t="s">
        <v>127</v>
      </c>
      <c r="I1096" s="174">
        <v>3.81</v>
      </c>
      <c r="J1096" s="174"/>
      <c r="K1096" s="174"/>
      <c r="L1096" s="174"/>
      <c r="M1096" s="191">
        <v>772</v>
      </c>
      <c r="N1096" s="176">
        <v>11.93</v>
      </c>
      <c r="O1096" s="176"/>
      <c r="P1096" s="177"/>
      <c r="Q1096" s="178"/>
      <c r="R1096" s="179"/>
      <c r="S1096" s="179"/>
      <c r="T1096" s="177"/>
      <c r="U1096" s="177"/>
      <c r="V1096" s="177"/>
      <c r="W1096" s="177"/>
      <c r="X1096" s="177"/>
      <c r="Y1096" s="177"/>
      <c r="Z1096" s="177"/>
      <c r="AA1096" s="177"/>
      <c r="AB1096" s="177"/>
      <c r="AC1096" s="177"/>
      <c r="AD1096" s="180" t="s">
        <v>2877</v>
      </c>
      <c r="AE1096" s="173" t="s">
        <v>69</v>
      </c>
      <c r="AF1096" s="181" t="s">
        <v>142</v>
      </c>
      <c r="AG1096" s="192" t="s">
        <v>2878</v>
      </c>
      <c r="AH1096" s="198"/>
      <c r="AI1096" s="181">
        <v>44950</v>
      </c>
      <c r="AJ1096" s="181"/>
      <c r="AK1096" s="181">
        <f ca="1">TODAY()</f>
        <v>44958</v>
      </c>
      <c r="AL1096" s="173">
        <f t="shared" ca="1" si="17"/>
        <v>8</v>
      </c>
      <c r="AM1096" s="173" t="str">
        <f t="shared" si="18"/>
        <v/>
      </c>
      <c r="AN1096" s="181"/>
      <c r="AO1096" s="190" t="s">
        <v>3435</v>
      </c>
      <c r="AP1096" s="176">
        <v>11.93</v>
      </c>
      <c r="AQ1096" s="176">
        <v>11.94</v>
      </c>
      <c r="AR1096" s="176">
        <v>11.964999999999998</v>
      </c>
      <c r="AS1096" s="176">
        <v>11.969999999999999</v>
      </c>
      <c r="AT1096" s="173"/>
      <c r="AU1096" s="173">
        <v>465</v>
      </c>
      <c r="AV1096" s="149"/>
      <c r="AW1096" s="142" t="s">
        <v>123</v>
      </c>
      <c r="AY1096" s="212"/>
      <c r="AZ1096" s="196"/>
      <c r="BA1096" s="196"/>
    </row>
    <row r="1097" spans="2:53" s="142" customFormat="1" ht="21" customHeight="1" x14ac:dyDescent="0.25">
      <c r="B1097" s="173" t="str">
        <f t="shared" si="19"/>
        <v>RM-304L/1D-2.90X767</v>
      </c>
      <c r="C1097" s="173" t="s">
        <v>48</v>
      </c>
      <c r="D1097" s="173" t="s">
        <v>48</v>
      </c>
      <c r="E1097" s="190" t="s">
        <v>3438</v>
      </c>
      <c r="F1097" s="190" t="s">
        <v>3439</v>
      </c>
      <c r="G1097" s="173" t="s">
        <v>182</v>
      </c>
      <c r="H1097" s="173" t="s">
        <v>127</v>
      </c>
      <c r="I1097" s="174">
        <v>2.9</v>
      </c>
      <c r="J1097" s="174"/>
      <c r="K1097" s="174"/>
      <c r="L1097" s="174"/>
      <c r="M1097" s="191">
        <v>767</v>
      </c>
      <c r="N1097" s="176">
        <v>9.0850000000000009</v>
      </c>
      <c r="O1097" s="176"/>
      <c r="P1097" s="177"/>
      <c r="Q1097" s="178"/>
      <c r="R1097" s="179"/>
      <c r="S1097" s="179"/>
      <c r="T1097" s="177"/>
      <c r="U1097" s="177"/>
      <c r="V1097" s="177"/>
      <c r="W1097" s="177"/>
      <c r="X1097" s="177"/>
      <c r="Y1097" s="177"/>
      <c r="Z1097" s="177"/>
      <c r="AA1097" s="177"/>
      <c r="AB1097" s="177"/>
      <c r="AC1097" s="177"/>
      <c r="AD1097" s="180" t="s">
        <v>2877</v>
      </c>
      <c r="AE1097" s="173" t="s">
        <v>69</v>
      </c>
      <c r="AF1097" s="181" t="s">
        <v>142</v>
      </c>
      <c r="AG1097" s="192" t="s">
        <v>2878</v>
      </c>
      <c r="AH1097" s="198"/>
      <c r="AI1097" s="181">
        <v>44950</v>
      </c>
      <c r="AJ1097" s="181"/>
      <c r="AK1097" s="181">
        <f ca="1">TODAY()</f>
        <v>44958</v>
      </c>
      <c r="AL1097" s="173">
        <f t="shared" ca="1" si="17"/>
        <v>8</v>
      </c>
      <c r="AM1097" s="173" t="str">
        <f t="shared" si="18"/>
        <v/>
      </c>
      <c r="AN1097" s="181"/>
      <c r="AO1097" s="190" t="s">
        <v>3440</v>
      </c>
      <c r="AP1097" s="176">
        <v>9.0850000000000009</v>
      </c>
      <c r="AQ1097" s="176">
        <v>9.0950000000000006</v>
      </c>
      <c r="AR1097" s="176">
        <v>9.1199999999999992</v>
      </c>
      <c r="AS1097" s="176">
        <v>9.125</v>
      </c>
      <c r="AT1097" s="173"/>
      <c r="AU1097" s="173">
        <v>465</v>
      </c>
      <c r="AV1097" s="149"/>
      <c r="AW1097" s="142" t="s">
        <v>123</v>
      </c>
      <c r="AY1097" s="212"/>
      <c r="AZ1097" s="196"/>
      <c r="BA1097" s="196"/>
    </row>
    <row r="1098" spans="2:53" s="142" customFormat="1" ht="21" customHeight="1" x14ac:dyDescent="0.25">
      <c r="B1098" s="173" t="str">
        <f t="shared" si="19"/>
        <v>RM-304L/1D-2.90X769</v>
      </c>
      <c r="C1098" s="173" t="s">
        <v>48</v>
      </c>
      <c r="D1098" s="173" t="s">
        <v>48</v>
      </c>
      <c r="E1098" s="190" t="s">
        <v>3441</v>
      </c>
      <c r="F1098" s="190" t="s">
        <v>3442</v>
      </c>
      <c r="G1098" s="173" t="s">
        <v>182</v>
      </c>
      <c r="H1098" s="173" t="s">
        <v>127</v>
      </c>
      <c r="I1098" s="174">
        <v>2.9</v>
      </c>
      <c r="J1098" s="174"/>
      <c r="K1098" s="174"/>
      <c r="L1098" s="174"/>
      <c r="M1098" s="191">
        <v>769</v>
      </c>
      <c r="N1098" s="176">
        <v>9.0950000000000006</v>
      </c>
      <c r="O1098" s="176"/>
      <c r="P1098" s="177"/>
      <c r="Q1098" s="178"/>
      <c r="R1098" s="179"/>
      <c r="S1098" s="179"/>
      <c r="T1098" s="177"/>
      <c r="U1098" s="177"/>
      <c r="V1098" s="177"/>
      <c r="W1098" s="177"/>
      <c r="X1098" s="177"/>
      <c r="Y1098" s="177"/>
      <c r="Z1098" s="177"/>
      <c r="AA1098" s="177"/>
      <c r="AB1098" s="177"/>
      <c r="AC1098" s="177"/>
      <c r="AD1098" s="180" t="s">
        <v>2877</v>
      </c>
      <c r="AE1098" s="173" t="s">
        <v>69</v>
      </c>
      <c r="AF1098" s="181" t="s">
        <v>142</v>
      </c>
      <c r="AG1098" s="192" t="s">
        <v>2878</v>
      </c>
      <c r="AH1098" s="198"/>
      <c r="AI1098" s="181">
        <v>44950</v>
      </c>
      <c r="AJ1098" s="181"/>
      <c r="AK1098" s="181">
        <f ca="1">TODAY()</f>
        <v>44958</v>
      </c>
      <c r="AL1098" s="173">
        <f t="shared" ca="1" si="17"/>
        <v>8</v>
      </c>
      <c r="AM1098" s="173" t="str">
        <f t="shared" si="18"/>
        <v/>
      </c>
      <c r="AN1098" s="181"/>
      <c r="AO1098" s="190" t="s">
        <v>3440</v>
      </c>
      <c r="AP1098" s="176">
        <v>9.0950000000000006</v>
      </c>
      <c r="AQ1098" s="176">
        <v>9.1050000000000004</v>
      </c>
      <c r="AR1098" s="176">
        <v>9.129999999999999</v>
      </c>
      <c r="AS1098" s="176">
        <v>9.1349999999999998</v>
      </c>
      <c r="AT1098" s="173"/>
      <c r="AU1098" s="173">
        <v>465</v>
      </c>
      <c r="AV1098" s="149"/>
      <c r="AW1098" s="142" t="s">
        <v>123</v>
      </c>
      <c r="AY1098" s="212"/>
      <c r="AZ1098" s="196"/>
      <c r="BA1098" s="196"/>
    </row>
    <row r="1099" spans="2:53" s="142" customFormat="1" ht="21" customHeight="1" x14ac:dyDescent="0.25">
      <c r="B1099" s="173" t="str">
        <f t="shared" si="19"/>
        <v>RM-304L/1D-3.78X770</v>
      </c>
      <c r="C1099" s="173" t="s">
        <v>48</v>
      </c>
      <c r="D1099" s="173" t="s">
        <v>48</v>
      </c>
      <c r="E1099" s="190" t="s">
        <v>3443</v>
      </c>
      <c r="F1099" s="190" t="s">
        <v>3444</v>
      </c>
      <c r="G1099" s="173" t="s">
        <v>182</v>
      </c>
      <c r="H1099" s="173" t="s">
        <v>127</v>
      </c>
      <c r="I1099" s="174">
        <v>3.78</v>
      </c>
      <c r="J1099" s="174"/>
      <c r="K1099" s="174"/>
      <c r="L1099" s="174"/>
      <c r="M1099" s="191">
        <v>770</v>
      </c>
      <c r="N1099" s="176">
        <v>11.59</v>
      </c>
      <c r="O1099" s="176"/>
      <c r="P1099" s="177"/>
      <c r="Q1099" s="178"/>
      <c r="R1099" s="179"/>
      <c r="S1099" s="179"/>
      <c r="T1099" s="177"/>
      <c r="U1099" s="177"/>
      <c r="V1099" s="177"/>
      <c r="W1099" s="177"/>
      <c r="X1099" s="177"/>
      <c r="Y1099" s="177"/>
      <c r="Z1099" s="177"/>
      <c r="AA1099" s="177"/>
      <c r="AB1099" s="177"/>
      <c r="AC1099" s="177"/>
      <c r="AD1099" s="180" t="s">
        <v>2877</v>
      </c>
      <c r="AE1099" s="173" t="s">
        <v>69</v>
      </c>
      <c r="AF1099" s="181" t="s">
        <v>142</v>
      </c>
      <c r="AG1099" s="192" t="s">
        <v>2878</v>
      </c>
      <c r="AH1099" s="198"/>
      <c r="AI1099" s="181">
        <v>44950</v>
      </c>
      <c r="AJ1099" s="181"/>
      <c r="AK1099" s="181">
        <f ca="1">TODAY()</f>
        <v>44958</v>
      </c>
      <c r="AL1099" s="173">
        <f t="shared" ca="1" si="17"/>
        <v>8</v>
      </c>
      <c r="AM1099" s="173" t="str">
        <f t="shared" si="18"/>
        <v/>
      </c>
      <c r="AN1099" s="181"/>
      <c r="AO1099" s="190" t="s">
        <v>3445</v>
      </c>
      <c r="AP1099" s="176">
        <v>11.59</v>
      </c>
      <c r="AQ1099" s="176">
        <v>11.6</v>
      </c>
      <c r="AR1099" s="176">
        <v>11.624999999999998</v>
      </c>
      <c r="AS1099" s="176">
        <v>11.629999999999999</v>
      </c>
      <c r="AT1099" s="173"/>
      <c r="AU1099" s="173">
        <v>465</v>
      </c>
      <c r="AV1099" s="149"/>
      <c r="AW1099" s="142" t="s">
        <v>123</v>
      </c>
      <c r="AY1099" s="212"/>
      <c r="AZ1099" s="196"/>
      <c r="BA1099" s="196"/>
    </row>
    <row r="1100" spans="2:53" s="142" customFormat="1" ht="21" customHeight="1" x14ac:dyDescent="0.25">
      <c r="B1100" s="173" t="str">
        <f t="shared" si="19"/>
        <v>RM-304L/1D-3.77X772</v>
      </c>
      <c r="C1100" s="173" t="s">
        <v>48</v>
      </c>
      <c r="D1100" s="173" t="s">
        <v>48</v>
      </c>
      <c r="E1100" s="190" t="s">
        <v>3446</v>
      </c>
      <c r="F1100" s="190" t="s">
        <v>3447</v>
      </c>
      <c r="G1100" s="173" t="s">
        <v>182</v>
      </c>
      <c r="H1100" s="173" t="s">
        <v>127</v>
      </c>
      <c r="I1100" s="174">
        <v>3.77</v>
      </c>
      <c r="J1100" s="174"/>
      <c r="K1100" s="174"/>
      <c r="L1100" s="174"/>
      <c r="M1100" s="191">
        <v>772</v>
      </c>
      <c r="N1100" s="176">
        <v>11.595000000000001</v>
      </c>
      <c r="O1100" s="176"/>
      <c r="P1100" s="177"/>
      <c r="Q1100" s="178"/>
      <c r="R1100" s="179"/>
      <c r="S1100" s="179"/>
      <c r="T1100" s="177"/>
      <c r="U1100" s="177"/>
      <c r="V1100" s="177"/>
      <c r="W1100" s="177"/>
      <c r="X1100" s="177"/>
      <c r="Y1100" s="177"/>
      <c r="Z1100" s="177"/>
      <c r="AA1100" s="177"/>
      <c r="AB1100" s="177"/>
      <c r="AC1100" s="177"/>
      <c r="AD1100" s="180" t="s">
        <v>2877</v>
      </c>
      <c r="AE1100" s="173" t="s">
        <v>69</v>
      </c>
      <c r="AF1100" s="181" t="s">
        <v>142</v>
      </c>
      <c r="AG1100" s="192" t="s">
        <v>2878</v>
      </c>
      <c r="AH1100" s="198"/>
      <c r="AI1100" s="181">
        <v>44950</v>
      </c>
      <c r="AJ1100" s="181"/>
      <c r="AK1100" s="181">
        <f ca="1">TODAY()</f>
        <v>44958</v>
      </c>
      <c r="AL1100" s="173">
        <f t="shared" ca="1" si="17"/>
        <v>8</v>
      </c>
      <c r="AM1100" s="173" t="str">
        <f t="shared" si="18"/>
        <v/>
      </c>
      <c r="AN1100" s="181"/>
      <c r="AO1100" s="190" t="s">
        <v>3445</v>
      </c>
      <c r="AP1100" s="176">
        <v>11.595000000000001</v>
      </c>
      <c r="AQ1100" s="176">
        <v>11.605</v>
      </c>
      <c r="AR1100" s="176">
        <v>11.629999999999999</v>
      </c>
      <c r="AS1100" s="176">
        <v>11.635</v>
      </c>
      <c r="AT1100" s="173"/>
      <c r="AU1100" s="173">
        <v>465</v>
      </c>
      <c r="AV1100" s="149"/>
      <c r="AW1100" s="142" t="s">
        <v>123</v>
      </c>
      <c r="AY1100" s="212"/>
      <c r="AZ1100" s="196"/>
      <c r="BA1100" s="196"/>
    </row>
    <row r="1101" spans="2:53" s="142" customFormat="1" ht="21" customHeight="1" x14ac:dyDescent="0.25">
      <c r="B1101" s="173" t="str">
        <f t="shared" si="19"/>
        <v>RM-304L/1D-3.80X777</v>
      </c>
      <c r="C1101" s="173" t="s">
        <v>48</v>
      </c>
      <c r="D1101" s="173" t="s">
        <v>48</v>
      </c>
      <c r="E1101" s="190" t="s">
        <v>3448</v>
      </c>
      <c r="F1101" s="190" t="s">
        <v>3449</v>
      </c>
      <c r="G1101" s="173" t="s">
        <v>182</v>
      </c>
      <c r="H1101" s="173" t="s">
        <v>127</v>
      </c>
      <c r="I1101" s="174">
        <v>3.8</v>
      </c>
      <c r="J1101" s="174"/>
      <c r="K1101" s="174"/>
      <c r="L1101" s="174"/>
      <c r="M1101" s="191">
        <v>777</v>
      </c>
      <c r="N1101" s="176">
        <v>11.945</v>
      </c>
      <c r="O1101" s="176"/>
      <c r="P1101" s="177"/>
      <c r="Q1101" s="178"/>
      <c r="R1101" s="179"/>
      <c r="S1101" s="179"/>
      <c r="T1101" s="177"/>
      <c r="U1101" s="177"/>
      <c r="V1101" s="177"/>
      <c r="W1101" s="177"/>
      <c r="X1101" s="177"/>
      <c r="Y1101" s="177"/>
      <c r="Z1101" s="177"/>
      <c r="AA1101" s="177"/>
      <c r="AB1101" s="177"/>
      <c r="AC1101" s="177"/>
      <c r="AD1101" s="180" t="s">
        <v>2877</v>
      </c>
      <c r="AE1101" s="173" t="s">
        <v>69</v>
      </c>
      <c r="AF1101" s="181" t="s">
        <v>142</v>
      </c>
      <c r="AG1101" s="192" t="s">
        <v>2878</v>
      </c>
      <c r="AH1101" s="198"/>
      <c r="AI1101" s="181">
        <v>44950</v>
      </c>
      <c r="AJ1101" s="181"/>
      <c r="AK1101" s="181">
        <f ca="1">TODAY()</f>
        <v>44958</v>
      </c>
      <c r="AL1101" s="173">
        <f t="shared" ca="1" si="17"/>
        <v>8</v>
      </c>
      <c r="AM1101" s="173" t="str">
        <f t="shared" si="18"/>
        <v/>
      </c>
      <c r="AN1101" s="181"/>
      <c r="AO1101" s="190" t="s">
        <v>3450</v>
      </c>
      <c r="AP1101" s="176">
        <v>11.945</v>
      </c>
      <c r="AQ1101" s="176">
        <v>11.955</v>
      </c>
      <c r="AR1101" s="176">
        <v>11.979999999999999</v>
      </c>
      <c r="AS1101" s="176">
        <v>11.984999999999999</v>
      </c>
      <c r="AT1101" s="173"/>
      <c r="AU1101" s="173">
        <v>465</v>
      </c>
      <c r="AV1101" s="149"/>
      <c r="AW1101" s="142" t="s">
        <v>123</v>
      </c>
      <c r="AY1101" s="212"/>
      <c r="AZ1101" s="196"/>
      <c r="BA1101" s="196"/>
    </row>
    <row r="1102" spans="2:53" s="142" customFormat="1" ht="21" customHeight="1" x14ac:dyDescent="0.25">
      <c r="B1102" s="173" t="str">
        <f t="shared" si="19"/>
        <v>RM-304L/1D-3.79X777</v>
      </c>
      <c r="C1102" s="173" t="s">
        <v>48</v>
      </c>
      <c r="D1102" s="173" t="s">
        <v>48</v>
      </c>
      <c r="E1102" s="190" t="s">
        <v>3451</v>
      </c>
      <c r="F1102" s="190" t="s">
        <v>3452</v>
      </c>
      <c r="G1102" s="173" t="s">
        <v>182</v>
      </c>
      <c r="H1102" s="173" t="s">
        <v>127</v>
      </c>
      <c r="I1102" s="174">
        <v>3.79</v>
      </c>
      <c r="J1102" s="174"/>
      <c r="K1102" s="174"/>
      <c r="L1102" s="174"/>
      <c r="M1102" s="191">
        <v>777</v>
      </c>
      <c r="N1102" s="176">
        <v>11.914999999999999</v>
      </c>
      <c r="O1102" s="176"/>
      <c r="P1102" s="177"/>
      <c r="Q1102" s="178"/>
      <c r="R1102" s="179"/>
      <c r="S1102" s="179"/>
      <c r="T1102" s="177"/>
      <c r="U1102" s="177"/>
      <c r="V1102" s="177"/>
      <c r="W1102" s="177"/>
      <c r="X1102" s="177"/>
      <c r="Y1102" s="177"/>
      <c r="Z1102" s="177"/>
      <c r="AA1102" s="177"/>
      <c r="AB1102" s="177"/>
      <c r="AC1102" s="177"/>
      <c r="AD1102" s="180" t="s">
        <v>2877</v>
      </c>
      <c r="AE1102" s="173" t="s">
        <v>69</v>
      </c>
      <c r="AF1102" s="181" t="s">
        <v>142</v>
      </c>
      <c r="AG1102" s="192" t="s">
        <v>2878</v>
      </c>
      <c r="AH1102" s="198"/>
      <c r="AI1102" s="181">
        <v>44950</v>
      </c>
      <c r="AJ1102" s="181"/>
      <c r="AK1102" s="181">
        <f ca="1">TODAY()</f>
        <v>44958</v>
      </c>
      <c r="AL1102" s="173">
        <f t="shared" ca="1" si="17"/>
        <v>8</v>
      </c>
      <c r="AM1102" s="173" t="str">
        <f t="shared" si="18"/>
        <v/>
      </c>
      <c r="AN1102" s="181"/>
      <c r="AO1102" s="190" t="s">
        <v>3450</v>
      </c>
      <c r="AP1102" s="176">
        <v>11.914999999999999</v>
      </c>
      <c r="AQ1102" s="176">
        <v>11.924999999999999</v>
      </c>
      <c r="AR1102" s="176">
        <v>11.949999999999998</v>
      </c>
      <c r="AS1102" s="176">
        <v>11.954999999999998</v>
      </c>
      <c r="AT1102" s="173"/>
      <c r="AU1102" s="173">
        <v>465</v>
      </c>
      <c r="AV1102" s="149"/>
      <c r="AW1102" s="142" t="s">
        <v>123</v>
      </c>
      <c r="AY1102" s="212"/>
      <c r="AZ1102" s="196"/>
      <c r="BA1102" s="196"/>
    </row>
    <row r="1103" spans="2:53" s="142" customFormat="1" ht="21" customHeight="1" x14ac:dyDescent="0.25">
      <c r="B1103" s="173" t="str">
        <f t="shared" si="19"/>
        <v>RM-304L/1D-3.79X770</v>
      </c>
      <c r="C1103" s="173" t="s">
        <v>48</v>
      </c>
      <c r="D1103" s="173" t="s">
        <v>48</v>
      </c>
      <c r="E1103" s="190" t="s">
        <v>3453</v>
      </c>
      <c r="F1103" s="190" t="s">
        <v>3454</v>
      </c>
      <c r="G1103" s="173" t="s">
        <v>182</v>
      </c>
      <c r="H1103" s="173" t="s">
        <v>127</v>
      </c>
      <c r="I1103" s="174">
        <v>3.79</v>
      </c>
      <c r="J1103" s="174"/>
      <c r="K1103" s="174"/>
      <c r="L1103" s="174"/>
      <c r="M1103" s="191">
        <v>770</v>
      </c>
      <c r="N1103" s="176">
        <v>11.914999999999999</v>
      </c>
      <c r="O1103" s="176"/>
      <c r="P1103" s="177"/>
      <c r="Q1103" s="178"/>
      <c r="R1103" s="179"/>
      <c r="S1103" s="179"/>
      <c r="T1103" s="177"/>
      <c r="U1103" s="177"/>
      <c r="V1103" s="177"/>
      <c r="W1103" s="177"/>
      <c r="X1103" s="177"/>
      <c r="Y1103" s="177"/>
      <c r="Z1103" s="177"/>
      <c r="AA1103" s="177"/>
      <c r="AB1103" s="177"/>
      <c r="AC1103" s="177"/>
      <c r="AD1103" s="180" t="s">
        <v>2877</v>
      </c>
      <c r="AE1103" s="173" t="s">
        <v>69</v>
      </c>
      <c r="AF1103" s="181" t="s">
        <v>142</v>
      </c>
      <c r="AG1103" s="192" t="s">
        <v>2878</v>
      </c>
      <c r="AH1103" s="198"/>
      <c r="AI1103" s="181">
        <v>44950</v>
      </c>
      <c r="AJ1103" s="181"/>
      <c r="AK1103" s="181">
        <f ca="1">TODAY()</f>
        <v>44958</v>
      </c>
      <c r="AL1103" s="173">
        <f t="shared" ca="1" si="17"/>
        <v>8</v>
      </c>
      <c r="AM1103" s="173" t="str">
        <f t="shared" si="18"/>
        <v/>
      </c>
      <c r="AN1103" s="181"/>
      <c r="AO1103" s="190" t="s">
        <v>3455</v>
      </c>
      <c r="AP1103" s="176">
        <v>11.914999999999999</v>
      </c>
      <c r="AQ1103" s="176">
        <v>11.924999999999999</v>
      </c>
      <c r="AR1103" s="176">
        <v>11.949999999999998</v>
      </c>
      <c r="AS1103" s="176">
        <v>11.954999999999998</v>
      </c>
      <c r="AT1103" s="173"/>
      <c r="AU1103" s="173">
        <v>465</v>
      </c>
      <c r="AV1103" s="149"/>
      <c r="AW1103" s="142" t="s">
        <v>123</v>
      </c>
      <c r="AY1103" s="212"/>
      <c r="AZ1103" s="196"/>
      <c r="BA1103" s="196"/>
    </row>
    <row r="1104" spans="2:53" s="142" customFormat="1" ht="21" customHeight="1" x14ac:dyDescent="0.25">
      <c r="B1104" s="173" t="str">
        <f t="shared" si="19"/>
        <v>RM-304L/1D-3.79X771</v>
      </c>
      <c r="C1104" s="173" t="s">
        <v>48</v>
      </c>
      <c r="D1104" s="173" t="s">
        <v>48</v>
      </c>
      <c r="E1104" s="190" t="s">
        <v>3456</v>
      </c>
      <c r="F1104" s="190" t="s">
        <v>3457</v>
      </c>
      <c r="G1104" s="173" t="s">
        <v>182</v>
      </c>
      <c r="H1104" s="173" t="s">
        <v>127</v>
      </c>
      <c r="I1104" s="174">
        <v>3.79</v>
      </c>
      <c r="J1104" s="174"/>
      <c r="K1104" s="174"/>
      <c r="L1104" s="174"/>
      <c r="M1104" s="191">
        <v>771</v>
      </c>
      <c r="N1104" s="176">
        <v>11.98</v>
      </c>
      <c r="O1104" s="176"/>
      <c r="P1104" s="177"/>
      <c r="Q1104" s="178"/>
      <c r="R1104" s="179"/>
      <c r="S1104" s="179"/>
      <c r="T1104" s="177"/>
      <c r="U1104" s="177"/>
      <c r="V1104" s="177"/>
      <c r="W1104" s="177"/>
      <c r="X1104" s="177"/>
      <c r="Y1104" s="177"/>
      <c r="Z1104" s="177"/>
      <c r="AA1104" s="177"/>
      <c r="AB1104" s="177"/>
      <c r="AC1104" s="177"/>
      <c r="AD1104" s="180" t="s">
        <v>2877</v>
      </c>
      <c r="AE1104" s="173" t="s">
        <v>69</v>
      </c>
      <c r="AF1104" s="181" t="s">
        <v>142</v>
      </c>
      <c r="AG1104" s="192" t="s">
        <v>2878</v>
      </c>
      <c r="AH1104" s="198"/>
      <c r="AI1104" s="181">
        <v>44950</v>
      </c>
      <c r="AJ1104" s="181"/>
      <c r="AK1104" s="181">
        <f ca="1">TODAY()</f>
        <v>44958</v>
      </c>
      <c r="AL1104" s="173">
        <f t="shared" ca="1" si="17"/>
        <v>8</v>
      </c>
      <c r="AM1104" s="173" t="str">
        <f t="shared" si="18"/>
        <v/>
      </c>
      <c r="AN1104" s="181"/>
      <c r="AO1104" s="190" t="s">
        <v>3455</v>
      </c>
      <c r="AP1104" s="176">
        <v>11.98</v>
      </c>
      <c r="AQ1104" s="176">
        <v>11.99</v>
      </c>
      <c r="AR1104" s="176">
        <v>12.014999999999999</v>
      </c>
      <c r="AS1104" s="176">
        <v>12.02</v>
      </c>
      <c r="AT1104" s="173"/>
      <c r="AU1104" s="173">
        <v>465</v>
      </c>
      <c r="AV1104" s="149"/>
      <c r="AW1104" s="142" t="s">
        <v>123</v>
      </c>
      <c r="AY1104" s="212"/>
      <c r="AZ1104" s="196"/>
      <c r="BA1104" s="196"/>
    </row>
    <row r="1105" spans="2:53" s="142" customFormat="1" ht="21" customHeight="1" x14ac:dyDescent="0.25">
      <c r="B1105" s="173" t="str">
        <f t="shared" si="19"/>
        <v>RM-304L/1D-3.80X770</v>
      </c>
      <c r="C1105" s="173" t="s">
        <v>48</v>
      </c>
      <c r="D1105" s="173" t="s">
        <v>48</v>
      </c>
      <c r="E1105" s="190" t="s">
        <v>3458</v>
      </c>
      <c r="F1105" s="190" t="s">
        <v>3459</v>
      </c>
      <c r="G1105" s="173" t="s">
        <v>182</v>
      </c>
      <c r="H1105" s="173" t="s">
        <v>127</v>
      </c>
      <c r="I1105" s="174">
        <v>3.8</v>
      </c>
      <c r="J1105" s="174"/>
      <c r="K1105" s="174"/>
      <c r="L1105" s="174"/>
      <c r="M1105" s="191">
        <v>770</v>
      </c>
      <c r="N1105" s="176">
        <v>11.925000000000001</v>
      </c>
      <c r="O1105" s="176"/>
      <c r="P1105" s="177"/>
      <c r="Q1105" s="178"/>
      <c r="R1105" s="179"/>
      <c r="S1105" s="179"/>
      <c r="T1105" s="177"/>
      <c r="U1105" s="177"/>
      <c r="V1105" s="177"/>
      <c r="W1105" s="177"/>
      <c r="X1105" s="177"/>
      <c r="Y1105" s="177"/>
      <c r="Z1105" s="177"/>
      <c r="AA1105" s="177"/>
      <c r="AB1105" s="177"/>
      <c r="AC1105" s="177"/>
      <c r="AD1105" s="180" t="s">
        <v>2877</v>
      </c>
      <c r="AE1105" s="173" t="s">
        <v>69</v>
      </c>
      <c r="AF1105" s="181" t="s">
        <v>142</v>
      </c>
      <c r="AG1105" s="192" t="s">
        <v>2878</v>
      </c>
      <c r="AH1105" s="198"/>
      <c r="AI1105" s="181">
        <v>44950</v>
      </c>
      <c r="AJ1105" s="181"/>
      <c r="AK1105" s="181">
        <f ca="1">TODAY()</f>
        <v>44958</v>
      </c>
      <c r="AL1105" s="173">
        <f t="shared" ca="1" si="17"/>
        <v>8</v>
      </c>
      <c r="AM1105" s="173" t="str">
        <f t="shared" si="18"/>
        <v/>
      </c>
      <c r="AN1105" s="181"/>
      <c r="AO1105" s="190" t="s">
        <v>3460</v>
      </c>
      <c r="AP1105" s="176">
        <v>11.925000000000001</v>
      </c>
      <c r="AQ1105" s="176">
        <v>11.935</v>
      </c>
      <c r="AR1105" s="176">
        <v>11.959999999999999</v>
      </c>
      <c r="AS1105" s="176">
        <v>11.965</v>
      </c>
      <c r="AT1105" s="173"/>
      <c r="AU1105" s="173">
        <v>465</v>
      </c>
      <c r="AV1105" s="149"/>
      <c r="AW1105" s="142" t="s">
        <v>123</v>
      </c>
      <c r="AY1105" s="212"/>
      <c r="AZ1105" s="196"/>
      <c r="BA1105" s="196"/>
    </row>
    <row r="1106" spans="2:53" s="142" customFormat="1" ht="21" customHeight="1" x14ac:dyDescent="0.25">
      <c r="B1106" s="173" t="str">
        <f t="shared" si="19"/>
        <v>RM-304L/1D-3.79X771</v>
      </c>
      <c r="C1106" s="173" t="s">
        <v>48</v>
      </c>
      <c r="D1106" s="173" t="s">
        <v>48</v>
      </c>
      <c r="E1106" s="190" t="s">
        <v>3461</v>
      </c>
      <c r="F1106" s="190" t="s">
        <v>3462</v>
      </c>
      <c r="G1106" s="173" t="s">
        <v>182</v>
      </c>
      <c r="H1106" s="173" t="s">
        <v>127</v>
      </c>
      <c r="I1106" s="174">
        <v>3.79</v>
      </c>
      <c r="J1106" s="174"/>
      <c r="K1106" s="174"/>
      <c r="L1106" s="174"/>
      <c r="M1106" s="191">
        <v>771</v>
      </c>
      <c r="N1106" s="176">
        <v>11.935</v>
      </c>
      <c r="O1106" s="176"/>
      <c r="P1106" s="177"/>
      <c r="Q1106" s="178"/>
      <c r="R1106" s="179"/>
      <c r="S1106" s="179"/>
      <c r="T1106" s="177"/>
      <c r="U1106" s="177"/>
      <c r="V1106" s="177"/>
      <c r="W1106" s="177"/>
      <c r="X1106" s="177"/>
      <c r="Y1106" s="177"/>
      <c r="Z1106" s="177"/>
      <c r="AA1106" s="177"/>
      <c r="AB1106" s="177"/>
      <c r="AC1106" s="177"/>
      <c r="AD1106" s="180" t="s">
        <v>2877</v>
      </c>
      <c r="AE1106" s="173" t="s">
        <v>69</v>
      </c>
      <c r="AF1106" s="181" t="s">
        <v>142</v>
      </c>
      <c r="AG1106" s="192" t="s">
        <v>2878</v>
      </c>
      <c r="AH1106" s="198"/>
      <c r="AI1106" s="181">
        <v>44950</v>
      </c>
      <c r="AJ1106" s="181"/>
      <c r="AK1106" s="181">
        <f ca="1">TODAY()</f>
        <v>44958</v>
      </c>
      <c r="AL1106" s="173">
        <f t="shared" ca="1" si="17"/>
        <v>8</v>
      </c>
      <c r="AM1106" s="173" t="str">
        <f t="shared" si="18"/>
        <v/>
      </c>
      <c r="AN1106" s="181"/>
      <c r="AO1106" s="190" t="s">
        <v>3460</v>
      </c>
      <c r="AP1106" s="176">
        <v>11.935</v>
      </c>
      <c r="AQ1106" s="176">
        <v>11.945</v>
      </c>
      <c r="AR1106" s="176">
        <v>11.969999999999999</v>
      </c>
      <c r="AS1106" s="176">
        <v>11.975</v>
      </c>
      <c r="AT1106" s="173"/>
      <c r="AU1106" s="173">
        <v>465</v>
      </c>
      <c r="AV1106" s="149"/>
      <c r="AW1106" s="142" t="s">
        <v>123</v>
      </c>
      <c r="AY1106" s="212"/>
      <c r="AZ1106" s="196"/>
      <c r="BA1106" s="196"/>
    </row>
    <row r="1107" spans="2:53" s="142" customFormat="1" ht="21" customHeight="1" x14ac:dyDescent="0.25">
      <c r="B1107" s="173" t="str">
        <f t="shared" si="19"/>
        <v>RM-304L/1D-3.79X770</v>
      </c>
      <c r="C1107" s="173" t="s">
        <v>48</v>
      </c>
      <c r="D1107" s="173" t="s">
        <v>48</v>
      </c>
      <c r="E1107" s="190" t="s">
        <v>3463</v>
      </c>
      <c r="F1107" s="190" t="s">
        <v>3464</v>
      </c>
      <c r="G1107" s="173" t="s">
        <v>182</v>
      </c>
      <c r="H1107" s="173" t="s">
        <v>127</v>
      </c>
      <c r="I1107" s="174">
        <v>3.79</v>
      </c>
      <c r="J1107" s="174"/>
      <c r="K1107" s="174"/>
      <c r="L1107" s="174"/>
      <c r="M1107" s="191">
        <v>770</v>
      </c>
      <c r="N1107" s="176">
        <v>10.38</v>
      </c>
      <c r="O1107" s="176"/>
      <c r="P1107" s="177"/>
      <c r="Q1107" s="178"/>
      <c r="R1107" s="179"/>
      <c r="S1107" s="179"/>
      <c r="T1107" s="177"/>
      <c r="U1107" s="177"/>
      <c r="V1107" s="177"/>
      <c r="W1107" s="177"/>
      <c r="X1107" s="177"/>
      <c r="Y1107" s="177"/>
      <c r="Z1107" s="177"/>
      <c r="AA1107" s="177"/>
      <c r="AB1107" s="177"/>
      <c r="AC1107" s="177"/>
      <c r="AD1107" s="180" t="s">
        <v>2877</v>
      </c>
      <c r="AE1107" s="173" t="s">
        <v>69</v>
      </c>
      <c r="AF1107" s="181" t="s">
        <v>142</v>
      </c>
      <c r="AG1107" s="192" t="s">
        <v>2878</v>
      </c>
      <c r="AH1107" s="198"/>
      <c r="AI1107" s="181">
        <v>44950</v>
      </c>
      <c r="AJ1107" s="181"/>
      <c r="AK1107" s="181">
        <f ca="1">TODAY()</f>
        <v>44958</v>
      </c>
      <c r="AL1107" s="173">
        <f t="shared" ca="1" si="17"/>
        <v>8</v>
      </c>
      <c r="AM1107" s="173" t="str">
        <f t="shared" si="18"/>
        <v/>
      </c>
      <c r="AN1107" s="181"/>
      <c r="AO1107" s="190" t="s">
        <v>3465</v>
      </c>
      <c r="AP1107" s="176">
        <v>10.38</v>
      </c>
      <c r="AQ1107" s="176">
        <v>10.39</v>
      </c>
      <c r="AR1107" s="176">
        <v>10.414999999999999</v>
      </c>
      <c r="AS1107" s="176">
        <v>10.42</v>
      </c>
      <c r="AT1107" s="173"/>
      <c r="AU1107" s="173">
        <v>465</v>
      </c>
      <c r="AV1107" s="149"/>
      <c r="AW1107" s="142" t="s">
        <v>123</v>
      </c>
      <c r="AY1107" s="212"/>
      <c r="AZ1107" s="196"/>
      <c r="BA1107" s="196"/>
    </row>
    <row r="1108" spans="2:53" s="142" customFormat="1" ht="21" customHeight="1" x14ac:dyDescent="0.25">
      <c r="B1108" s="173" t="str">
        <f t="shared" si="19"/>
        <v>RM-304L/1D-3.79X770</v>
      </c>
      <c r="C1108" s="173" t="s">
        <v>48</v>
      </c>
      <c r="D1108" s="173" t="s">
        <v>48</v>
      </c>
      <c r="E1108" s="190" t="s">
        <v>3466</v>
      </c>
      <c r="F1108" s="190" t="s">
        <v>3467</v>
      </c>
      <c r="G1108" s="173" t="s">
        <v>182</v>
      </c>
      <c r="H1108" s="173" t="s">
        <v>127</v>
      </c>
      <c r="I1108" s="174">
        <v>3.79</v>
      </c>
      <c r="J1108" s="174"/>
      <c r="K1108" s="174"/>
      <c r="L1108" s="174"/>
      <c r="M1108" s="191">
        <v>770</v>
      </c>
      <c r="N1108" s="176">
        <v>10.395</v>
      </c>
      <c r="O1108" s="176"/>
      <c r="P1108" s="177"/>
      <c r="Q1108" s="178"/>
      <c r="R1108" s="179"/>
      <c r="S1108" s="179"/>
      <c r="T1108" s="177"/>
      <c r="U1108" s="177"/>
      <c r="V1108" s="177"/>
      <c r="W1108" s="177"/>
      <c r="X1108" s="177"/>
      <c r="Y1108" s="177"/>
      <c r="Z1108" s="177"/>
      <c r="AA1108" s="177"/>
      <c r="AB1108" s="177"/>
      <c r="AC1108" s="177"/>
      <c r="AD1108" s="180" t="s">
        <v>2877</v>
      </c>
      <c r="AE1108" s="173" t="s">
        <v>69</v>
      </c>
      <c r="AF1108" s="181" t="s">
        <v>142</v>
      </c>
      <c r="AG1108" s="192" t="s">
        <v>2878</v>
      </c>
      <c r="AH1108" s="198"/>
      <c r="AI1108" s="181">
        <v>44950</v>
      </c>
      <c r="AJ1108" s="181"/>
      <c r="AK1108" s="181">
        <f ca="1">TODAY()</f>
        <v>44958</v>
      </c>
      <c r="AL1108" s="173">
        <f t="shared" ca="1" si="17"/>
        <v>8</v>
      </c>
      <c r="AM1108" s="173" t="str">
        <f t="shared" si="18"/>
        <v/>
      </c>
      <c r="AN1108" s="181"/>
      <c r="AO1108" s="190" t="s">
        <v>3465</v>
      </c>
      <c r="AP1108" s="176">
        <v>10.395</v>
      </c>
      <c r="AQ1108" s="176">
        <v>10.404999999999999</v>
      </c>
      <c r="AR1108" s="176">
        <v>10.429999999999998</v>
      </c>
      <c r="AS1108" s="176">
        <v>10.434999999999999</v>
      </c>
      <c r="AT1108" s="173"/>
      <c r="AU1108" s="173">
        <v>465</v>
      </c>
      <c r="AV1108" s="149"/>
      <c r="AW1108" s="142" t="s">
        <v>123</v>
      </c>
      <c r="AY1108" s="212"/>
      <c r="AZ1108" s="196"/>
      <c r="BA1108" s="196"/>
    </row>
    <row r="1109" spans="2:53" s="142" customFormat="1" ht="21" customHeight="1" x14ac:dyDescent="0.25">
      <c r="B1109" s="173" t="str">
        <f t="shared" si="19"/>
        <v>RM-304/1D-3.79X770</v>
      </c>
      <c r="C1109" s="173" t="s">
        <v>48</v>
      </c>
      <c r="D1109" s="173" t="s">
        <v>48</v>
      </c>
      <c r="E1109" s="190" t="s">
        <v>3468</v>
      </c>
      <c r="F1109" s="190" t="s">
        <v>3469</v>
      </c>
      <c r="G1109" s="173">
        <v>304</v>
      </c>
      <c r="H1109" s="173" t="s">
        <v>127</v>
      </c>
      <c r="I1109" s="174">
        <v>3.79</v>
      </c>
      <c r="J1109" s="174"/>
      <c r="K1109" s="174"/>
      <c r="L1109" s="174"/>
      <c r="M1109" s="191">
        <v>770</v>
      </c>
      <c r="N1109" s="176">
        <v>10.395</v>
      </c>
      <c r="O1109" s="176"/>
      <c r="P1109" s="177"/>
      <c r="Q1109" s="178"/>
      <c r="R1109" s="179"/>
      <c r="S1109" s="179"/>
      <c r="T1109" s="177"/>
      <c r="U1109" s="177"/>
      <c r="V1109" s="177"/>
      <c r="W1109" s="177"/>
      <c r="X1109" s="177"/>
      <c r="Y1109" s="177"/>
      <c r="Z1109" s="177"/>
      <c r="AA1109" s="177"/>
      <c r="AB1109" s="177"/>
      <c r="AC1109" s="177"/>
      <c r="AD1109" s="180" t="s">
        <v>2877</v>
      </c>
      <c r="AE1109" s="173" t="s">
        <v>69</v>
      </c>
      <c r="AF1109" s="181" t="s">
        <v>142</v>
      </c>
      <c r="AG1109" s="192" t="s">
        <v>2878</v>
      </c>
      <c r="AH1109" s="198"/>
      <c r="AI1109" s="181">
        <v>44950</v>
      </c>
      <c r="AJ1109" s="181"/>
      <c r="AK1109" s="181">
        <f ca="1">TODAY()</f>
        <v>44958</v>
      </c>
      <c r="AL1109" s="173">
        <f t="shared" ca="1" si="17"/>
        <v>8</v>
      </c>
      <c r="AM1109" s="173" t="str">
        <f t="shared" si="18"/>
        <v/>
      </c>
      <c r="AN1109" s="181"/>
      <c r="AO1109" s="190" t="s">
        <v>3470</v>
      </c>
      <c r="AP1109" s="176">
        <v>10.395</v>
      </c>
      <c r="AQ1109" s="176">
        <v>10.404999999999999</v>
      </c>
      <c r="AR1109" s="176">
        <v>10.429999999999998</v>
      </c>
      <c r="AS1109" s="176">
        <v>10.434999999999999</v>
      </c>
      <c r="AT1109" s="173"/>
      <c r="AU1109" s="173">
        <v>465</v>
      </c>
      <c r="AV1109" s="149"/>
      <c r="AW1109" s="142" t="s">
        <v>123</v>
      </c>
      <c r="AY1109" s="212"/>
      <c r="AZ1109" s="196"/>
      <c r="BA1109" s="196"/>
    </row>
    <row r="1110" spans="2:53" s="142" customFormat="1" ht="21" customHeight="1" x14ac:dyDescent="0.25">
      <c r="B1110" s="173" t="str">
        <f t="shared" si="19"/>
        <v>RM-304/1D-3.79X772</v>
      </c>
      <c r="C1110" s="173" t="s">
        <v>48</v>
      </c>
      <c r="D1110" s="173" t="s">
        <v>48</v>
      </c>
      <c r="E1110" s="190" t="s">
        <v>3471</v>
      </c>
      <c r="F1110" s="190" t="s">
        <v>3472</v>
      </c>
      <c r="G1110" s="173">
        <v>304</v>
      </c>
      <c r="H1110" s="173" t="s">
        <v>127</v>
      </c>
      <c r="I1110" s="174">
        <v>3.79</v>
      </c>
      <c r="J1110" s="174"/>
      <c r="K1110" s="174"/>
      <c r="L1110" s="174"/>
      <c r="M1110" s="191">
        <v>772</v>
      </c>
      <c r="N1110" s="176">
        <v>10.43</v>
      </c>
      <c r="O1110" s="176"/>
      <c r="P1110" s="177"/>
      <c r="Q1110" s="178"/>
      <c r="R1110" s="179"/>
      <c r="S1110" s="179"/>
      <c r="T1110" s="177"/>
      <c r="U1110" s="177"/>
      <c r="V1110" s="177"/>
      <c r="W1110" s="177"/>
      <c r="X1110" s="177"/>
      <c r="Y1110" s="177"/>
      <c r="Z1110" s="177"/>
      <c r="AA1110" s="177"/>
      <c r="AB1110" s="177"/>
      <c r="AC1110" s="177"/>
      <c r="AD1110" s="180" t="s">
        <v>2877</v>
      </c>
      <c r="AE1110" s="173" t="s">
        <v>69</v>
      </c>
      <c r="AF1110" s="181" t="s">
        <v>142</v>
      </c>
      <c r="AG1110" s="192" t="s">
        <v>2878</v>
      </c>
      <c r="AH1110" s="198"/>
      <c r="AI1110" s="181">
        <v>44950</v>
      </c>
      <c r="AJ1110" s="181"/>
      <c r="AK1110" s="181">
        <f ca="1">TODAY()</f>
        <v>44958</v>
      </c>
      <c r="AL1110" s="173">
        <f t="shared" ca="1" si="17"/>
        <v>8</v>
      </c>
      <c r="AM1110" s="173" t="str">
        <f t="shared" si="18"/>
        <v/>
      </c>
      <c r="AN1110" s="181"/>
      <c r="AO1110" s="190" t="s">
        <v>3470</v>
      </c>
      <c r="AP1110" s="176">
        <v>10.43</v>
      </c>
      <c r="AQ1110" s="176">
        <v>10.44</v>
      </c>
      <c r="AR1110" s="176">
        <v>10.464999999999998</v>
      </c>
      <c r="AS1110" s="176">
        <v>10.469999999999999</v>
      </c>
      <c r="AT1110" s="173"/>
      <c r="AU1110" s="173">
        <v>465</v>
      </c>
      <c r="AV1110" s="149"/>
      <c r="AW1110" s="142" t="s">
        <v>123</v>
      </c>
      <c r="AY1110" s="212"/>
      <c r="AZ1110" s="196"/>
      <c r="BA1110" s="196"/>
    </row>
    <row r="1111" spans="2:53" s="142" customFormat="1" ht="21" customHeight="1" x14ac:dyDescent="0.25">
      <c r="B1111" s="173" t="str">
        <f t="shared" si="19"/>
        <v>RM-304L/1D-3.79X770</v>
      </c>
      <c r="C1111" s="173" t="s">
        <v>48</v>
      </c>
      <c r="D1111" s="173" t="s">
        <v>48</v>
      </c>
      <c r="E1111" s="190" t="s">
        <v>3473</v>
      </c>
      <c r="F1111" s="190" t="s">
        <v>3474</v>
      </c>
      <c r="G1111" s="173" t="s">
        <v>182</v>
      </c>
      <c r="H1111" s="173" t="s">
        <v>127</v>
      </c>
      <c r="I1111" s="174">
        <v>3.79</v>
      </c>
      <c r="J1111" s="174"/>
      <c r="K1111" s="174"/>
      <c r="L1111" s="174"/>
      <c r="M1111" s="191">
        <v>770</v>
      </c>
      <c r="N1111" s="176">
        <v>9.18</v>
      </c>
      <c r="O1111" s="176"/>
      <c r="P1111" s="177"/>
      <c r="Q1111" s="178"/>
      <c r="R1111" s="179"/>
      <c r="S1111" s="179"/>
      <c r="T1111" s="177"/>
      <c r="U1111" s="177"/>
      <c r="V1111" s="177"/>
      <c r="W1111" s="177"/>
      <c r="X1111" s="177"/>
      <c r="Y1111" s="177"/>
      <c r="Z1111" s="177"/>
      <c r="AA1111" s="177"/>
      <c r="AB1111" s="177"/>
      <c r="AC1111" s="177"/>
      <c r="AD1111" s="180" t="s">
        <v>2877</v>
      </c>
      <c r="AE1111" s="173" t="s">
        <v>69</v>
      </c>
      <c r="AF1111" s="181" t="s">
        <v>142</v>
      </c>
      <c r="AG1111" s="192" t="s">
        <v>2878</v>
      </c>
      <c r="AH1111" s="198"/>
      <c r="AI1111" s="181">
        <v>44950</v>
      </c>
      <c r="AJ1111" s="181"/>
      <c r="AK1111" s="181">
        <f ca="1">TODAY()</f>
        <v>44958</v>
      </c>
      <c r="AL1111" s="173">
        <f t="shared" ca="1" si="17"/>
        <v>8</v>
      </c>
      <c r="AM1111" s="173" t="str">
        <f t="shared" si="18"/>
        <v/>
      </c>
      <c r="AN1111" s="181"/>
      <c r="AO1111" s="190" t="s">
        <v>3475</v>
      </c>
      <c r="AP1111" s="176">
        <v>9.18</v>
      </c>
      <c r="AQ1111" s="176">
        <v>9.19</v>
      </c>
      <c r="AR1111" s="176">
        <v>9.2149999999999981</v>
      </c>
      <c r="AS1111" s="176">
        <v>9.2199999999999989</v>
      </c>
      <c r="AT1111" s="173"/>
      <c r="AU1111" s="173">
        <v>465</v>
      </c>
      <c r="AV1111" s="149"/>
      <c r="AW1111" s="142" t="s">
        <v>123</v>
      </c>
      <c r="AY1111" s="212"/>
      <c r="AZ1111" s="196"/>
      <c r="BA1111" s="196"/>
    </row>
    <row r="1112" spans="2:53" s="142" customFormat="1" ht="21" customHeight="1" x14ac:dyDescent="0.25">
      <c r="B1112" s="173" t="str">
        <f t="shared" si="19"/>
        <v>RM-304L/1D-3.78X772</v>
      </c>
      <c r="C1112" s="173" t="s">
        <v>48</v>
      </c>
      <c r="D1112" s="173" t="s">
        <v>48</v>
      </c>
      <c r="E1112" s="190" t="s">
        <v>3476</v>
      </c>
      <c r="F1112" s="190" t="s">
        <v>3477</v>
      </c>
      <c r="G1112" s="173" t="s">
        <v>182</v>
      </c>
      <c r="H1112" s="173" t="s">
        <v>127</v>
      </c>
      <c r="I1112" s="174">
        <v>3.78</v>
      </c>
      <c r="J1112" s="174"/>
      <c r="K1112" s="174"/>
      <c r="L1112" s="174"/>
      <c r="M1112" s="191">
        <v>772</v>
      </c>
      <c r="N1112" s="176">
        <v>9.19</v>
      </c>
      <c r="O1112" s="176"/>
      <c r="P1112" s="177"/>
      <c r="Q1112" s="178"/>
      <c r="R1112" s="179"/>
      <c r="S1112" s="179"/>
      <c r="T1112" s="177"/>
      <c r="U1112" s="177"/>
      <c r="V1112" s="177"/>
      <c r="W1112" s="177"/>
      <c r="X1112" s="177"/>
      <c r="Y1112" s="177"/>
      <c r="Z1112" s="177"/>
      <c r="AA1112" s="177"/>
      <c r="AB1112" s="177"/>
      <c r="AC1112" s="177"/>
      <c r="AD1112" s="180" t="s">
        <v>2877</v>
      </c>
      <c r="AE1112" s="173" t="s">
        <v>69</v>
      </c>
      <c r="AF1112" s="181" t="s">
        <v>142</v>
      </c>
      <c r="AG1112" s="192" t="s">
        <v>2878</v>
      </c>
      <c r="AH1112" s="198"/>
      <c r="AI1112" s="181">
        <v>44950</v>
      </c>
      <c r="AJ1112" s="181"/>
      <c r="AK1112" s="181">
        <f ca="1">TODAY()</f>
        <v>44958</v>
      </c>
      <c r="AL1112" s="173">
        <f t="shared" ca="1" si="17"/>
        <v>8</v>
      </c>
      <c r="AM1112" s="173" t="str">
        <f t="shared" si="18"/>
        <v/>
      </c>
      <c r="AN1112" s="181"/>
      <c r="AO1112" s="190" t="s">
        <v>3475</v>
      </c>
      <c r="AP1112" s="176">
        <v>9.19</v>
      </c>
      <c r="AQ1112" s="176">
        <v>9.1999999999999993</v>
      </c>
      <c r="AR1112" s="176">
        <v>9.2249999999999979</v>
      </c>
      <c r="AS1112" s="176">
        <v>9.2299999999999986</v>
      </c>
      <c r="AT1112" s="173"/>
      <c r="AU1112" s="173">
        <v>465</v>
      </c>
      <c r="AV1112" s="149"/>
      <c r="AW1112" s="142" t="s">
        <v>123</v>
      </c>
      <c r="AY1112" s="212"/>
      <c r="AZ1112" s="196"/>
      <c r="BA1112" s="196"/>
    </row>
    <row r="1113" spans="2:53" s="142" customFormat="1" ht="21" customHeight="1" x14ac:dyDescent="0.25">
      <c r="B1113" s="173" t="str">
        <f t="shared" si="19"/>
        <v>RM-304L/1D-3.85X770</v>
      </c>
      <c r="C1113" s="173" t="s">
        <v>48</v>
      </c>
      <c r="D1113" s="173" t="s">
        <v>48</v>
      </c>
      <c r="E1113" s="190" t="s">
        <v>3478</v>
      </c>
      <c r="F1113" s="190" t="s">
        <v>3479</v>
      </c>
      <c r="G1113" s="173" t="s">
        <v>182</v>
      </c>
      <c r="H1113" s="173" t="s">
        <v>127</v>
      </c>
      <c r="I1113" s="174">
        <v>3.85</v>
      </c>
      <c r="J1113" s="174"/>
      <c r="K1113" s="174"/>
      <c r="L1113" s="174"/>
      <c r="M1113" s="191">
        <v>770</v>
      </c>
      <c r="N1113" s="176">
        <v>10.32</v>
      </c>
      <c r="O1113" s="176"/>
      <c r="P1113" s="177"/>
      <c r="Q1113" s="178"/>
      <c r="R1113" s="179"/>
      <c r="S1113" s="179"/>
      <c r="T1113" s="177"/>
      <c r="U1113" s="177"/>
      <c r="V1113" s="177"/>
      <c r="W1113" s="177"/>
      <c r="X1113" s="177"/>
      <c r="Y1113" s="177"/>
      <c r="Z1113" s="177"/>
      <c r="AA1113" s="177"/>
      <c r="AB1113" s="177"/>
      <c r="AC1113" s="177"/>
      <c r="AD1113" s="180" t="s">
        <v>2877</v>
      </c>
      <c r="AE1113" s="173" t="s">
        <v>69</v>
      </c>
      <c r="AF1113" s="181" t="s">
        <v>142</v>
      </c>
      <c r="AG1113" s="192" t="s">
        <v>2878</v>
      </c>
      <c r="AH1113" s="198"/>
      <c r="AI1113" s="181">
        <v>44950</v>
      </c>
      <c r="AJ1113" s="181"/>
      <c r="AK1113" s="181">
        <f ca="1">TODAY()</f>
        <v>44958</v>
      </c>
      <c r="AL1113" s="173">
        <f t="shared" ca="1" si="17"/>
        <v>8</v>
      </c>
      <c r="AM1113" s="173" t="str">
        <f t="shared" si="18"/>
        <v/>
      </c>
      <c r="AN1113" s="181"/>
      <c r="AO1113" s="190" t="s">
        <v>3480</v>
      </c>
      <c r="AP1113" s="176">
        <v>10.32</v>
      </c>
      <c r="AQ1113" s="176">
        <v>10.33</v>
      </c>
      <c r="AR1113" s="176">
        <v>10.354999999999999</v>
      </c>
      <c r="AS1113" s="176">
        <v>10.36</v>
      </c>
      <c r="AT1113" s="173"/>
      <c r="AU1113" s="173">
        <v>465</v>
      </c>
      <c r="AV1113" s="149"/>
      <c r="AW1113" s="142" t="s">
        <v>123</v>
      </c>
      <c r="AY1113" s="212"/>
      <c r="AZ1113" s="196"/>
      <c r="BA1113" s="196"/>
    </row>
    <row r="1114" spans="2:53" s="142" customFormat="1" ht="21" customHeight="1" x14ac:dyDescent="0.25">
      <c r="B1114" s="173" t="str">
        <f t="shared" si="19"/>
        <v>RM-304L/1D-3.85X773</v>
      </c>
      <c r="C1114" s="173" t="s">
        <v>48</v>
      </c>
      <c r="D1114" s="173" t="s">
        <v>48</v>
      </c>
      <c r="E1114" s="190" t="s">
        <v>3481</v>
      </c>
      <c r="F1114" s="190" t="s">
        <v>3482</v>
      </c>
      <c r="G1114" s="173" t="s">
        <v>182</v>
      </c>
      <c r="H1114" s="173" t="s">
        <v>127</v>
      </c>
      <c r="I1114" s="174">
        <v>3.85</v>
      </c>
      <c r="J1114" s="174"/>
      <c r="K1114" s="174"/>
      <c r="L1114" s="174"/>
      <c r="M1114" s="191">
        <v>773</v>
      </c>
      <c r="N1114" s="176">
        <v>10.36</v>
      </c>
      <c r="O1114" s="176"/>
      <c r="P1114" s="177"/>
      <c r="Q1114" s="178"/>
      <c r="R1114" s="179"/>
      <c r="S1114" s="179"/>
      <c r="T1114" s="177"/>
      <c r="U1114" s="177"/>
      <c r="V1114" s="177"/>
      <c r="W1114" s="177"/>
      <c r="X1114" s="177"/>
      <c r="Y1114" s="177"/>
      <c r="Z1114" s="177"/>
      <c r="AA1114" s="177"/>
      <c r="AB1114" s="177"/>
      <c r="AC1114" s="177"/>
      <c r="AD1114" s="180" t="s">
        <v>2877</v>
      </c>
      <c r="AE1114" s="173" t="s">
        <v>69</v>
      </c>
      <c r="AF1114" s="181" t="s">
        <v>142</v>
      </c>
      <c r="AG1114" s="192" t="s">
        <v>2878</v>
      </c>
      <c r="AH1114" s="198"/>
      <c r="AI1114" s="181">
        <v>44950</v>
      </c>
      <c r="AJ1114" s="181"/>
      <c r="AK1114" s="181">
        <f ca="1">TODAY()</f>
        <v>44958</v>
      </c>
      <c r="AL1114" s="173">
        <f t="shared" ca="1" si="17"/>
        <v>8</v>
      </c>
      <c r="AM1114" s="173" t="str">
        <f t="shared" si="18"/>
        <v/>
      </c>
      <c r="AN1114" s="181"/>
      <c r="AO1114" s="190" t="s">
        <v>3480</v>
      </c>
      <c r="AP1114" s="176">
        <v>10.36</v>
      </c>
      <c r="AQ1114" s="176">
        <v>10.37</v>
      </c>
      <c r="AR1114" s="176">
        <v>10.394999999999998</v>
      </c>
      <c r="AS1114" s="176">
        <v>10.399999999999999</v>
      </c>
      <c r="AT1114" s="173"/>
      <c r="AU1114" s="173">
        <v>465</v>
      </c>
      <c r="AV1114" s="149"/>
      <c r="AW1114" s="142" t="s">
        <v>123</v>
      </c>
      <c r="AY1114" s="212"/>
      <c r="AZ1114" s="196"/>
      <c r="BA1114" s="196"/>
    </row>
    <row r="1115" spans="2:53" s="142" customFormat="1" ht="21" customHeight="1" x14ac:dyDescent="0.25">
      <c r="B1115" s="173" t="str">
        <f t="shared" si="19"/>
        <v>RM-304L/1D-3.78X770</v>
      </c>
      <c r="C1115" s="173" t="s">
        <v>48</v>
      </c>
      <c r="D1115" s="173" t="s">
        <v>48</v>
      </c>
      <c r="E1115" s="190" t="s">
        <v>3483</v>
      </c>
      <c r="F1115" s="190" t="s">
        <v>3484</v>
      </c>
      <c r="G1115" s="173" t="s">
        <v>182</v>
      </c>
      <c r="H1115" s="173" t="s">
        <v>127</v>
      </c>
      <c r="I1115" s="174">
        <v>3.78</v>
      </c>
      <c r="J1115" s="174"/>
      <c r="K1115" s="174"/>
      <c r="L1115" s="174"/>
      <c r="M1115" s="191">
        <v>770</v>
      </c>
      <c r="N1115" s="176">
        <v>10.41</v>
      </c>
      <c r="O1115" s="176"/>
      <c r="P1115" s="177"/>
      <c r="Q1115" s="178"/>
      <c r="R1115" s="179"/>
      <c r="S1115" s="179"/>
      <c r="T1115" s="177"/>
      <c r="U1115" s="177"/>
      <c r="V1115" s="177"/>
      <c r="W1115" s="177"/>
      <c r="X1115" s="177"/>
      <c r="Y1115" s="177"/>
      <c r="Z1115" s="177"/>
      <c r="AA1115" s="177"/>
      <c r="AB1115" s="177"/>
      <c r="AC1115" s="177"/>
      <c r="AD1115" s="180" t="s">
        <v>2877</v>
      </c>
      <c r="AE1115" s="173" t="s">
        <v>69</v>
      </c>
      <c r="AF1115" s="181" t="s">
        <v>142</v>
      </c>
      <c r="AG1115" s="192" t="s">
        <v>2878</v>
      </c>
      <c r="AH1115" s="198"/>
      <c r="AI1115" s="181">
        <v>44950</v>
      </c>
      <c r="AJ1115" s="181"/>
      <c r="AK1115" s="181">
        <f ca="1">TODAY()</f>
        <v>44958</v>
      </c>
      <c r="AL1115" s="173">
        <f t="shared" ca="1" si="17"/>
        <v>8</v>
      </c>
      <c r="AM1115" s="173" t="str">
        <f t="shared" si="18"/>
        <v/>
      </c>
      <c r="AN1115" s="181"/>
      <c r="AO1115" s="190" t="s">
        <v>3485</v>
      </c>
      <c r="AP1115" s="176">
        <v>10.41</v>
      </c>
      <c r="AQ1115" s="176">
        <v>10.42</v>
      </c>
      <c r="AR1115" s="176">
        <v>10.444999999999999</v>
      </c>
      <c r="AS1115" s="176">
        <v>10.45</v>
      </c>
      <c r="AT1115" s="173"/>
      <c r="AU1115" s="173">
        <v>465</v>
      </c>
      <c r="AV1115" s="149"/>
      <c r="AW1115" s="142" t="s">
        <v>123</v>
      </c>
      <c r="AY1115" s="212"/>
      <c r="AZ1115" s="196"/>
      <c r="BA1115" s="196"/>
    </row>
    <row r="1116" spans="2:53" s="142" customFormat="1" ht="21" customHeight="1" x14ac:dyDescent="0.25">
      <c r="B1116" s="173" t="str">
        <f t="shared" si="19"/>
        <v>RM-304L/1D-3.78X774</v>
      </c>
      <c r="C1116" s="173" t="s">
        <v>48</v>
      </c>
      <c r="D1116" s="173" t="s">
        <v>48</v>
      </c>
      <c r="E1116" s="190" t="s">
        <v>3486</v>
      </c>
      <c r="F1116" s="190" t="s">
        <v>3487</v>
      </c>
      <c r="G1116" s="173" t="s">
        <v>182</v>
      </c>
      <c r="H1116" s="173" t="s">
        <v>127</v>
      </c>
      <c r="I1116" s="174">
        <v>3.78</v>
      </c>
      <c r="J1116" s="174"/>
      <c r="K1116" s="174"/>
      <c r="L1116" s="174"/>
      <c r="M1116" s="191">
        <v>774</v>
      </c>
      <c r="N1116" s="176">
        <v>10.484999999999999</v>
      </c>
      <c r="O1116" s="176"/>
      <c r="P1116" s="177"/>
      <c r="Q1116" s="178"/>
      <c r="R1116" s="179"/>
      <c r="S1116" s="179"/>
      <c r="T1116" s="177"/>
      <c r="U1116" s="177"/>
      <c r="V1116" s="177"/>
      <c r="W1116" s="177"/>
      <c r="X1116" s="177"/>
      <c r="Y1116" s="177"/>
      <c r="Z1116" s="177"/>
      <c r="AA1116" s="177"/>
      <c r="AB1116" s="177"/>
      <c r="AC1116" s="177"/>
      <c r="AD1116" s="180" t="s">
        <v>2877</v>
      </c>
      <c r="AE1116" s="173" t="s">
        <v>69</v>
      </c>
      <c r="AF1116" s="181" t="s">
        <v>142</v>
      </c>
      <c r="AG1116" s="192" t="s">
        <v>2878</v>
      </c>
      <c r="AH1116" s="198"/>
      <c r="AI1116" s="181">
        <v>44950</v>
      </c>
      <c r="AJ1116" s="181"/>
      <c r="AK1116" s="181">
        <f ca="1">TODAY()</f>
        <v>44958</v>
      </c>
      <c r="AL1116" s="173">
        <f t="shared" ca="1" si="17"/>
        <v>8</v>
      </c>
      <c r="AM1116" s="173" t="str">
        <f t="shared" si="18"/>
        <v/>
      </c>
      <c r="AN1116" s="181"/>
      <c r="AO1116" s="190" t="s">
        <v>3485</v>
      </c>
      <c r="AP1116" s="176">
        <v>10.484999999999999</v>
      </c>
      <c r="AQ1116" s="176">
        <v>10.494999999999999</v>
      </c>
      <c r="AR1116" s="176">
        <v>10.519999999999998</v>
      </c>
      <c r="AS1116" s="176">
        <v>10.524999999999999</v>
      </c>
      <c r="AT1116" s="173"/>
      <c r="AU1116" s="173">
        <v>465</v>
      </c>
      <c r="AV1116" s="149"/>
      <c r="AW1116" s="142" t="s">
        <v>123</v>
      </c>
      <c r="AY1116" s="212"/>
      <c r="AZ1116" s="196"/>
      <c r="BA1116" s="196"/>
    </row>
    <row r="1117" spans="2:53" s="142" customFormat="1" ht="21" customHeight="1" x14ac:dyDescent="0.25">
      <c r="B1117" s="173" t="str">
        <f t="shared" si="19"/>
        <v>RM-304/1D-3.41X769</v>
      </c>
      <c r="C1117" s="173" t="s">
        <v>48</v>
      </c>
      <c r="D1117" s="173" t="s">
        <v>48</v>
      </c>
      <c r="E1117" s="190" t="s">
        <v>3488</v>
      </c>
      <c r="F1117" s="190" t="s">
        <v>3489</v>
      </c>
      <c r="G1117" s="173">
        <v>304</v>
      </c>
      <c r="H1117" s="173" t="s">
        <v>127</v>
      </c>
      <c r="I1117" s="174">
        <v>3.41</v>
      </c>
      <c r="J1117" s="174"/>
      <c r="K1117" s="174"/>
      <c r="L1117" s="174"/>
      <c r="M1117" s="191">
        <v>769</v>
      </c>
      <c r="N1117" s="176">
        <v>7.99</v>
      </c>
      <c r="O1117" s="176"/>
      <c r="P1117" s="177"/>
      <c r="Q1117" s="178"/>
      <c r="R1117" s="179"/>
      <c r="S1117" s="179"/>
      <c r="T1117" s="177"/>
      <c r="U1117" s="177"/>
      <c r="V1117" s="177"/>
      <c r="W1117" s="177"/>
      <c r="X1117" s="177"/>
      <c r="Y1117" s="177"/>
      <c r="Z1117" s="177"/>
      <c r="AA1117" s="177"/>
      <c r="AB1117" s="177"/>
      <c r="AC1117" s="177"/>
      <c r="AD1117" s="180" t="s">
        <v>2877</v>
      </c>
      <c r="AE1117" s="173" t="s">
        <v>69</v>
      </c>
      <c r="AF1117" s="181" t="s">
        <v>142</v>
      </c>
      <c r="AG1117" s="192" t="s">
        <v>2878</v>
      </c>
      <c r="AH1117" s="198"/>
      <c r="AI1117" s="181">
        <v>44950</v>
      </c>
      <c r="AJ1117" s="181"/>
      <c r="AK1117" s="181">
        <f ca="1">TODAY()</f>
        <v>44958</v>
      </c>
      <c r="AL1117" s="173">
        <f t="shared" ca="1" si="17"/>
        <v>8</v>
      </c>
      <c r="AM1117" s="173" t="str">
        <f t="shared" si="18"/>
        <v/>
      </c>
      <c r="AN1117" s="181"/>
      <c r="AO1117" s="190" t="s">
        <v>3490</v>
      </c>
      <c r="AP1117" s="176">
        <v>7.99</v>
      </c>
      <c r="AQ1117" s="176">
        <v>8</v>
      </c>
      <c r="AR1117" s="176">
        <v>8.0249999999999986</v>
      </c>
      <c r="AS1117" s="176">
        <v>8.0299999999999994</v>
      </c>
      <c r="AT1117" s="173"/>
      <c r="AU1117" s="173">
        <v>465</v>
      </c>
      <c r="AV1117" s="149"/>
      <c r="AW1117" s="142" t="s">
        <v>123</v>
      </c>
      <c r="AY1117" s="212"/>
      <c r="AZ1117" s="196"/>
      <c r="BA1117" s="196"/>
    </row>
    <row r="1118" spans="2:53" s="142" customFormat="1" ht="21" customHeight="1" x14ac:dyDescent="0.25">
      <c r="B1118" s="173" t="str">
        <f t="shared" si="19"/>
        <v>RM-304/1D-3.41X769</v>
      </c>
      <c r="C1118" s="173" t="s">
        <v>48</v>
      </c>
      <c r="D1118" s="173" t="s">
        <v>48</v>
      </c>
      <c r="E1118" s="190" t="s">
        <v>3491</v>
      </c>
      <c r="F1118" s="190" t="s">
        <v>3492</v>
      </c>
      <c r="G1118" s="173">
        <v>304</v>
      </c>
      <c r="H1118" s="173" t="s">
        <v>127</v>
      </c>
      <c r="I1118" s="174">
        <v>3.41</v>
      </c>
      <c r="J1118" s="174"/>
      <c r="K1118" s="174"/>
      <c r="L1118" s="174"/>
      <c r="M1118" s="191">
        <v>769</v>
      </c>
      <c r="N1118" s="176">
        <v>7.9749999999999996</v>
      </c>
      <c r="O1118" s="176"/>
      <c r="P1118" s="177"/>
      <c r="Q1118" s="178"/>
      <c r="R1118" s="179"/>
      <c r="S1118" s="179"/>
      <c r="T1118" s="177"/>
      <c r="U1118" s="177"/>
      <c r="V1118" s="177"/>
      <c r="W1118" s="177"/>
      <c r="X1118" s="177"/>
      <c r="Y1118" s="177"/>
      <c r="Z1118" s="177"/>
      <c r="AA1118" s="177"/>
      <c r="AB1118" s="177"/>
      <c r="AC1118" s="177"/>
      <c r="AD1118" s="180" t="s">
        <v>2877</v>
      </c>
      <c r="AE1118" s="173" t="s">
        <v>69</v>
      </c>
      <c r="AF1118" s="181" t="s">
        <v>142</v>
      </c>
      <c r="AG1118" s="192" t="s">
        <v>2878</v>
      </c>
      <c r="AH1118" s="198"/>
      <c r="AI1118" s="181">
        <v>44950</v>
      </c>
      <c r="AJ1118" s="181"/>
      <c r="AK1118" s="181">
        <f ca="1">TODAY()</f>
        <v>44958</v>
      </c>
      <c r="AL1118" s="173">
        <f t="shared" ca="1" si="17"/>
        <v>8</v>
      </c>
      <c r="AM1118" s="173" t="str">
        <f t="shared" si="18"/>
        <v/>
      </c>
      <c r="AN1118" s="181"/>
      <c r="AO1118" s="190" t="s">
        <v>3490</v>
      </c>
      <c r="AP1118" s="176">
        <v>7.9749999999999996</v>
      </c>
      <c r="AQ1118" s="176">
        <v>7.9849999999999994</v>
      </c>
      <c r="AR1118" s="176">
        <v>8.009999999999998</v>
      </c>
      <c r="AS1118" s="176">
        <v>8.0149999999999988</v>
      </c>
      <c r="AT1118" s="173"/>
      <c r="AU1118" s="173">
        <v>465</v>
      </c>
      <c r="AV1118" s="149"/>
      <c r="AW1118" s="142" t="s">
        <v>123</v>
      </c>
      <c r="AY1118" s="212"/>
      <c r="AZ1118" s="196"/>
      <c r="BA1118" s="196"/>
    </row>
    <row r="1119" spans="2:53" s="142" customFormat="1" ht="21" customHeight="1" x14ac:dyDescent="0.25">
      <c r="B1119" s="173" t="str">
        <f t="shared" si="19"/>
        <v>RM-304L/1D-3.50X770</v>
      </c>
      <c r="C1119" s="173" t="s">
        <v>48</v>
      </c>
      <c r="D1119" s="173" t="s">
        <v>48</v>
      </c>
      <c r="E1119" s="190" t="s">
        <v>3493</v>
      </c>
      <c r="F1119" s="190" t="s">
        <v>3494</v>
      </c>
      <c r="G1119" s="173" t="s">
        <v>182</v>
      </c>
      <c r="H1119" s="173" t="s">
        <v>127</v>
      </c>
      <c r="I1119" s="174">
        <v>3.5</v>
      </c>
      <c r="J1119" s="174"/>
      <c r="K1119" s="174"/>
      <c r="L1119" s="174"/>
      <c r="M1119" s="191">
        <v>770</v>
      </c>
      <c r="N1119" s="176">
        <v>10.455</v>
      </c>
      <c r="O1119" s="176"/>
      <c r="P1119" s="177"/>
      <c r="Q1119" s="178"/>
      <c r="R1119" s="179"/>
      <c r="S1119" s="179"/>
      <c r="T1119" s="177"/>
      <c r="U1119" s="177"/>
      <c r="V1119" s="177"/>
      <c r="W1119" s="177"/>
      <c r="X1119" s="177"/>
      <c r="Y1119" s="177"/>
      <c r="Z1119" s="177"/>
      <c r="AA1119" s="177"/>
      <c r="AB1119" s="177"/>
      <c r="AC1119" s="177"/>
      <c r="AD1119" s="180" t="s">
        <v>2877</v>
      </c>
      <c r="AE1119" s="173" t="s">
        <v>69</v>
      </c>
      <c r="AF1119" s="181" t="s">
        <v>142</v>
      </c>
      <c r="AG1119" s="192" t="s">
        <v>2878</v>
      </c>
      <c r="AH1119" s="198"/>
      <c r="AI1119" s="181">
        <v>44950</v>
      </c>
      <c r="AJ1119" s="181"/>
      <c r="AK1119" s="181">
        <f ca="1">TODAY()</f>
        <v>44958</v>
      </c>
      <c r="AL1119" s="173">
        <f t="shared" ca="1" si="17"/>
        <v>8</v>
      </c>
      <c r="AM1119" s="173" t="str">
        <f t="shared" si="18"/>
        <v/>
      </c>
      <c r="AN1119" s="181"/>
      <c r="AO1119" s="190" t="s">
        <v>3495</v>
      </c>
      <c r="AP1119" s="176">
        <v>10.455</v>
      </c>
      <c r="AQ1119" s="176">
        <v>10.465</v>
      </c>
      <c r="AR1119" s="176">
        <v>10.489999999999998</v>
      </c>
      <c r="AS1119" s="176">
        <v>10.494999999999999</v>
      </c>
      <c r="AT1119" s="173"/>
      <c r="AU1119" s="173">
        <v>465</v>
      </c>
      <c r="AV1119" s="149"/>
      <c r="AW1119" s="142" t="s">
        <v>123</v>
      </c>
      <c r="AY1119" s="212"/>
      <c r="AZ1119" s="196"/>
      <c r="BA1119" s="196"/>
    </row>
    <row r="1120" spans="2:53" s="142" customFormat="1" ht="21" customHeight="1" x14ac:dyDescent="0.25">
      <c r="B1120" s="173" t="str">
        <f t="shared" si="19"/>
        <v>RM-304L/1D-3.50X768</v>
      </c>
      <c r="C1120" s="173" t="s">
        <v>48</v>
      </c>
      <c r="D1120" s="173" t="s">
        <v>48</v>
      </c>
      <c r="E1120" s="190" t="s">
        <v>3496</v>
      </c>
      <c r="F1120" s="190" t="s">
        <v>3497</v>
      </c>
      <c r="G1120" s="173" t="s">
        <v>182</v>
      </c>
      <c r="H1120" s="173" t="s">
        <v>127</v>
      </c>
      <c r="I1120" s="174">
        <v>3.5</v>
      </c>
      <c r="J1120" s="174"/>
      <c r="K1120" s="174"/>
      <c r="L1120" s="174"/>
      <c r="M1120" s="191">
        <v>768</v>
      </c>
      <c r="N1120" s="176">
        <v>10.494999999999999</v>
      </c>
      <c r="O1120" s="176"/>
      <c r="P1120" s="177"/>
      <c r="Q1120" s="178"/>
      <c r="R1120" s="179"/>
      <c r="S1120" s="179"/>
      <c r="T1120" s="177"/>
      <c r="U1120" s="177"/>
      <c r="V1120" s="177"/>
      <c r="W1120" s="177"/>
      <c r="X1120" s="177"/>
      <c r="Y1120" s="177"/>
      <c r="Z1120" s="177"/>
      <c r="AA1120" s="177"/>
      <c r="AB1120" s="177"/>
      <c r="AC1120" s="177"/>
      <c r="AD1120" s="180" t="s">
        <v>3164</v>
      </c>
      <c r="AE1120" s="173" t="s">
        <v>69</v>
      </c>
      <c r="AF1120" s="181" t="s">
        <v>142</v>
      </c>
      <c r="AG1120" s="192" t="s">
        <v>2878</v>
      </c>
      <c r="AH1120" s="198"/>
      <c r="AI1120" s="181">
        <v>44950</v>
      </c>
      <c r="AJ1120" s="181"/>
      <c r="AK1120" s="181">
        <f ca="1">TODAY()</f>
        <v>44958</v>
      </c>
      <c r="AL1120" s="173">
        <f t="shared" ca="1" si="17"/>
        <v>8</v>
      </c>
      <c r="AM1120" s="173" t="str">
        <f t="shared" si="18"/>
        <v/>
      </c>
      <c r="AN1120" s="181"/>
      <c r="AO1120" s="190" t="s">
        <v>3495</v>
      </c>
      <c r="AP1120" s="176">
        <v>10.494999999999999</v>
      </c>
      <c r="AQ1120" s="176">
        <v>10.504999999999999</v>
      </c>
      <c r="AR1120" s="176">
        <v>10.529999999999998</v>
      </c>
      <c r="AS1120" s="176">
        <v>10.534999999999998</v>
      </c>
      <c r="AT1120" s="173"/>
      <c r="AU1120" s="173">
        <v>465</v>
      </c>
      <c r="AV1120" s="149"/>
      <c r="AW1120" s="142" t="s">
        <v>123</v>
      </c>
      <c r="AY1120" s="212"/>
      <c r="AZ1120" s="196"/>
      <c r="BA1120" s="196"/>
    </row>
    <row r="1121" spans="2:53" s="142" customFormat="1" ht="21" customHeight="1" x14ac:dyDescent="0.25">
      <c r="B1121" s="173" t="str">
        <f t="shared" si="19"/>
        <v>RM-304L/1D-3.48X770</v>
      </c>
      <c r="C1121" s="173" t="s">
        <v>48</v>
      </c>
      <c r="D1121" s="173" t="s">
        <v>48</v>
      </c>
      <c r="E1121" s="190" t="s">
        <v>3498</v>
      </c>
      <c r="F1121" s="190" t="s">
        <v>3499</v>
      </c>
      <c r="G1121" s="173" t="s">
        <v>182</v>
      </c>
      <c r="H1121" s="173" t="s">
        <v>127</v>
      </c>
      <c r="I1121" s="174">
        <v>3.48</v>
      </c>
      <c r="J1121" s="174"/>
      <c r="K1121" s="174"/>
      <c r="L1121" s="174"/>
      <c r="M1121" s="191">
        <v>770</v>
      </c>
      <c r="N1121" s="176">
        <v>10.414999999999999</v>
      </c>
      <c r="O1121" s="176"/>
      <c r="P1121" s="177"/>
      <c r="Q1121" s="178"/>
      <c r="R1121" s="179"/>
      <c r="S1121" s="179"/>
      <c r="T1121" s="177"/>
      <c r="U1121" s="177"/>
      <c r="V1121" s="177"/>
      <c r="W1121" s="177"/>
      <c r="X1121" s="177"/>
      <c r="Y1121" s="177"/>
      <c r="Z1121" s="177"/>
      <c r="AA1121" s="177"/>
      <c r="AB1121" s="177"/>
      <c r="AC1121" s="177"/>
      <c r="AD1121" s="180" t="s">
        <v>2877</v>
      </c>
      <c r="AE1121" s="173" t="s">
        <v>69</v>
      </c>
      <c r="AF1121" s="181" t="s">
        <v>142</v>
      </c>
      <c r="AG1121" s="192" t="s">
        <v>2878</v>
      </c>
      <c r="AH1121" s="198"/>
      <c r="AI1121" s="181">
        <v>44950</v>
      </c>
      <c r="AJ1121" s="181"/>
      <c r="AK1121" s="181">
        <f ca="1">TODAY()</f>
        <v>44958</v>
      </c>
      <c r="AL1121" s="173">
        <f t="shared" ca="1" si="17"/>
        <v>8</v>
      </c>
      <c r="AM1121" s="173" t="str">
        <f t="shared" si="18"/>
        <v/>
      </c>
      <c r="AN1121" s="181"/>
      <c r="AO1121" s="190" t="s">
        <v>3500</v>
      </c>
      <c r="AP1121" s="176">
        <v>10.414999999999999</v>
      </c>
      <c r="AQ1121" s="176">
        <v>10.424999999999999</v>
      </c>
      <c r="AR1121" s="176">
        <v>10.449999999999998</v>
      </c>
      <c r="AS1121" s="176">
        <v>10.454999999999998</v>
      </c>
      <c r="AT1121" s="173"/>
      <c r="AU1121" s="173">
        <v>465</v>
      </c>
      <c r="AV1121" s="149"/>
      <c r="AW1121" s="142" t="s">
        <v>123</v>
      </c>
      <c r="AY1121" s="212"/>
      <c r="AZ1121" s="196"/>
      <c r="BA1121" s="196"/>
    </row>
    <row r="1122" spans="2:53" s="142" customFormat="1" ht="21" customHeight="1" x14ac:dyDescent="0.25">
      <c r="B1122" s="173" t="str">
        <f t="shared" si="19"/>
        <v>RM-304L/1D-3.48X769</v>
      </c>
      <c r="C1122" s="173" t="s">
        <v>48</v>
      </c>
      <c r="D1122" s="173" t="s">
        <v>48</v>
      </c>
      <c r="E1122" s="190" t="s">
        <v>3501</v>
      </c>
      <c r="F1122" s="190" t="s">
        <v>3502</v>
      </c>
      <c r="G1122" s="173" t="s">
        <v>182</v>
      </c>
      <c r="H1122" s="173" t="s">
        <v>127</v>
      </c>
      <c r="I1122" s="174">
        <v>3.48</v>
      </c>
      <c r="J1122" s="174"/>
      <c r="K1122" s="174"/>
      <c r="L1122" s="174"/>
      <c r="M1122" s="191">
        <v>769</v>
      </c>
      <c r="N1122" s="176">
        <v>10.465</v>
      </c>
      <c r="O1122" s="176"/>
      <c r="P1122" s="177"/>
      <c r="Q1122" s="178"/>
      <c r="R1122" s="179"/>
      <c r="S1122" s="179"/>
      <c r="T1122" s="177"/>
      <c r="U1122" s="177"/>
      <c r="V1122" s="177"/>
      <c r="W1122" s="177"/>
      <c r="X1122" s="177"/>
      <c r="Y1122" s="177"/>
      <c r="Z1122" s="177"/>
      <c r="AA1122" s="177"/>
      <c r="AB1122" s="177"/>
      <c r="AC1122" s="177"/>
      <c r="AD1122" s="180" t="s">
        <v>2877</v>
      </c>
      <c r="AE1122" s="173" t="s">
        <v>69</v>
      </c>
      <c r="AF1122" s="181" t="s">
        <v>142</v>
      </c>
      <c r="AG1122" s="192" t="s">
        <v>2878</v>
      </c>
      <c r="AH1122" s="198"/>
      <c r="AI1122" s="181">
        <v>44950</v>
      </c>
      <c r="AJ1122" s="181"/>
      <c r="AK1122" s="181">
        <f ca="1">TODAY()</f>
        <v>44958</v>
      </c>
      <c r="AL1122" s="173">
        <f t="shared" ca="1" si="17"/>
        <v>8</v>
      </c>
      <c r="AM1122" s="173" t="str">
        <f t="shared" si="18"/>
        <v/>
      </c>
      <c r="AN1122" s="181"/>
      <c r="AO1122" s="190" t="s">
        <v>3500</v>
      </c>
      <c r="AP1122" s="176">
        <v>10.465</v>
      </c>
      <c r="AQ1122" s="176">
        <v>10.475</v>
      </c>
      <c r="AR1122" s="176">
        <v>10.499999999999998</v>
      </c>
      <c r="AS1122" s="176">
        <v>10.504999999999999</v>
      </c>
      <c r="AT1122" s="173"/>
      <c r="AU1122" s="173">
        <v>465</v>
      </c>
      <c r="AV1122" s="149"/>
      <c r="AW1122" s="142" t="s">
        <v>123</v>
      </c>
      <c r="AY1122" s="212"/>
      <c r="AZ1122" s="196"/>
      <c r="BA1122" s="196"/>
    </row>
    <row r="1123" spans="2:53" s="142" customFormat="1" ht="21" customHeight="1" x14ac:dyDescent="0.25">
      <c r="B1123" s="173" t="str">
        <f t="shared" si="19"/>
        <v>RM-304L/1D-3.50X770</v>
      </c>
      <c r="C1123" s="173" t="s">
        <v>48</v>
      </c>
      <c r="D1123" s="173" t="s">
        <v>48</v>
      </c>
      <c r="E1123" s="190" t="s">
        <v>3503</v>
      </c>
      <c r="F1123" s="190" t="s">
        <v>3504</v>
      </c>
      <c r="G1123" s="173" t="s">
        <v>182</v>
      </c>
      <c r="H1123" s="173" t="s">
        <v>127</v>
      </c>
      <c r="I1123" s="174">
        <v>3.5</v>
      </c>
      <c r="J1123" s="174"/>
      <c r="K1123" s="174"/>
      <c r="L1123" s="174"/>
      <c r="M1123" s="191">
        <v>770</v>
      </c>
      <c r="N1123" s="176">
        <v>10.37</v>
      </c>
      <c r="O1123" s="176"/>
      <c r="P1123" s="177"/>
      <c r="Q1123" s="178"/>
      <c r="R1123" s="179"/>
      <c r="S1123" s="179"/>
      <c r="T1123" s="177"/>
      <c r="U1123" s="177"/>
      <c r="V1123" s="177"/>
      <c r="W1123" s="177"/>
      <c r="X1123" s="177"/>
      <c r="Y1123" s="177"/>
      <c r="Z1123" s="177"/>
      <c r="AA1123" s="177"/>
      <c r="AB1123" s="177"/>
      <c r="AC1123" s="177"/>
      <c r="AD1123" s="180" t="s">
        <v>2877</v>
      </c>
      <c r="AE1123" s="173" t="s">
        <v>69</v>
      </c>
      <c r="AF1123" s="181" t="s">
        <v>142</v>
      </c>
      <c r="AG1123" s="192" t="s">
        <v>2878</v>
      </c>
      <c r="AH1123" s="198"/>
      <c r="AI1123" s="181">
        <v>44950</v>
      </c>
      <c r="AJ1123" s="181"/>
      <c r="AK1123" s="181">
        <f ca="1">TODAY()</f>
        <v>44958</v>
      </c>
      <c r="AL1123" s="173">
        <f t="shared" ca="1" si="17"/>
        <v>8</v>
      </c>
      <c r="AM1123" s="173" t="str">
        <f t="shared" si="18"/>
        <v/>
      </c>
      <c r="AN1123" s="181"/>
      <c r="AO1123" s="190" t="s">
        <v>3505</v>
      </c>
      <c r="AP1123" s="176">
        <v>10.37</v>
      </c>
      <c r="AQ1123" s="176">
        <v>10.379999999999999</v>
      </c>
      <c r="AR1123" s="176">
        <v>10.404999999999998</v>
      </c>
      <c r="AS1123" s="176">
        <v>10.409999999999998</v>
      </c>
      <c r="AT1123" s="173"/>
      <c r="AU1123" s="173">
        <v>465</v>
      </c>
      <c r="AV1123" s="149"/>
      <c r="AW1123" s="142" t="s">
        <v>123</v>
      </c>
      <c r="AY1123" s="212"/>
      <c r="AZ1123" s="196"/>
      <c r="BA1123" s="196"/>
    </row>
    <row r="1124" spans="2:53" s="142" customFormat="1" ht="21" customHeight="1" x14ac:dyDescent="0.25">
      <c r="B1124" s="173" t="str">
        <f t="shared" si="19"/>
        <v>RM-304L/1D-3.49X768</v>
      </c>
      <c r="C1124" s="173" t="s">
        <v>48</v>
      </c>
      <c r="D1124" s="173" t="s">
        <v>48</v>
      </c>
      <c r="E1124" s="190" t="s">
        <v>3506</v>
      </c>
      <c r="F1124" s="190" t="s">
        <v>3507</v>
      </c>
      <c r="G1124" s="173" t="s">
        <v>182</v>
      </c>
      <c r="H1124" s="173" t="s">
        <v>127</v>
      </c>
      <c r="I1124" s="174">
        <v>3.49</v>
      </c>
      <c r="J1124" s="174"/>
      <c r="K1124" s="174"/>
      <c r="L1124" s="174"/>
      <c r="M1124" s="191">
        <v>768</v>
      </c>
      <c r="N1124" s="176">
        <v>10.36</v>
      </c>
      <c r="O1124" s="176"/>
      <c r="P1124" s="177"/>
      <c r="Q1124" s="178"/>
      <c r="R1124" s="179"/>
      <c r="S1124" s="179"/>
      <c r="T1124" s="177"/>
      <c r="U1124" s="177"/>
      <c r="V1124" s="177"/>
      <c r="W1124" s="177"/>
      <c r="X1124" s="177"/>
      <c r="Y1124" s="177"/>
      <c r="Z1124" s="177"/>
      <c r="AA1124" s="177"/>
      <c r="AB1124" s="177"/>
      <c r="AC1124" s="177"/>
      <c r="AD1124" s="180" t="s">
        <v>2877</v>
      </c>
      <c r="AE1124" s="173" t="s">
        <v>69</v>
      </c>
      <c r="AF1124" s="181" t="s">
        <v>142</v>
      </c>
      <c r="AG1124" s="192" t="s">
        <v>2878</v>
      </c>
      <c r="AH1124" s="198"/>
      <c r="AI1124" s="181">
        <v>44950</v>
      </c>
      <c r="AJ1124" s="181"/>
      <c r="AK1124" s="181">
        <f ca="1">TODAY()</f>
        <v>44958</v>
      </c>
      <c r="AL1124" s="173">
        <f t="shared" ca="1" si="17"/>
        <v>8</v>
      </c>
      <c r="AM1124" s="173" t="str">
        <f t="shared" si="18"/>
        <v/>
      </c>
      <c r="AN1124" s="181"/>
      <c r="AO1124" s="190" t="s">
        <v>3505</v>
      </c>
      <c r="AP1124" s="176">
        <v>10.36</v>
      </c>
      <c r="AQ1124" s="176">
        <v>10.37</v>
      </c>
      <c r="AR1124" s="176">
        <v>10.394999999999998</v>
      </c>
      <c r="AS1124" s="176">
        <v>10.399999999999999</v>
      </c>
      <c r="AT1124" s="173"/>
      <c r="AU1124" s="173">
        <v>465</v>
      </c>
      <c r="AV1124" s="149"/>
      <c r="AW1124" s="142" t="s">
        <v>123</v>
      </c>
      <c r="AY1124" s="212"/>
      <c r="AZ1124" s="196"/>
      <c r="BA1124" s="196"/>
    </row>
    <row r="1125" spans="2:53" s="142" customFormat="1" ht="21" customHeight="1" x14ac:dyDescent="0.25">
      <c r="B1125" s="173" t="str">
        <f t="shared" si="19"/>
        <v>RM-304/1D-2.91X771</v>
      </c>
      <c r="C1125" s="173" t="s">
        <v>48</v>
      </c>
      <c r="D1125" s="173" t="s">
        <v>48</v>
      </c>
      <c r="E1125" s="190" t="s">
        <v>3508</v>
      </c>
      <c r="F1125" s="190" t="s">
        <v>3509</v>
      </c>
      <c r="G1125" s="173">
        <v>304</v>
      </c>
      <c r="H1125" s="173" t="s">
        <v>127</v>
      </c>
      <c r="I1125" s="174">
        <v>2.91</v>
      </c>
      <c r="J1125" s="174"/>
      <c r="K1125" s="174"/>
      <c r="L1125" s="174"/>
      <c r="M1125" s="191">
        <v>771</v>
      </c>
      <c r="N1125" s="176">
        <v>8.1300000000000008</v>
      </c>
      <c r="O1125" s="176"/>
      <c r="P1125" s="177"/>
      <c r="Q1125" s="178"/>
      <c r="R1125" s="179"/>
      <c r="S1125" s="179"/>
      <c r="T1125" s="177"/>
      <c r="U1125" s="177"/>
      <c r="V1125" s="177"/>
      <c r="W1125" s="177"/>
      <c r="X1125" s="177"/>
      <c r="Y1125" s="177"/>
      <c r="Z1125" s="177"/>
      <c r="AA1125" s="177"/>
      <c r="AB1125" s="177"/>
      <c r="AC1125" s="177"/>
      <c r="AD1125" s="180" t="s">
        <v>3164</v>
      </c>
      <c r="AE1125" s="173" t="s">
        <v>69</v>
      </c>
      <c r="AF1125" s="181" t="s">
        <v>142</v>
      </c>
      <c r="AG1125" s="192" t="s">
        <v>2878</v>
      </c>
      <c r="AH1125" s="198"/>
      <c r="AI1125" s="181">
        <v>44950</v>
      </c>
      <c r="AJ1125" s="181"/>
      <c r="AK1125" s="181">
        <f ca="1">TODAY()</f>
        <v>44958</v>
      </c>
      <c r="AL1125" s="173">
        <f t="shared" ca="1" si="17"/>
        <v>8</v>
      </c>
      <c r="AM1125" s="173" t="str">
        <f t="shared" si="18"/>
        <v/>
      </c>
      <c r="AN1125" s="181"/>
      <c r="AO1125" s="190" t="s">
        <v>3510</v>
      </c>
      <c r="AP1125" s="176">
        <v>8.1300000000000008</v>
      </c>
      <c r="AQ1125" s="176">
        <v>8.14</v>
      </c>
      <c r="AR1125" s="176">
        <v>8.1649999999999991</v>
      </c>
      <c r="AS1125" s="176">
        <v>8.17</v>
      </c>
      <c r="AT1125" s="173"/>
      <c r="AU1125" s="173">
        <v>465</v>
      </c>
      <c r="AV1125" s="149"/>
      <c r="AW1125" s="142" t="s">
        <v>123</v>
      </c>
      <c r="AY1125" s="212"/>
      <c r="AZ1125" s="196"/>
      <c r="BA1125" s="196"/>
    </row>
    <row r="1126" spans="2:53" s="142" customFormat="1" ht="21" customHeight="1" x14ac:dyDescent="0.25">
      <c r="B1126" s="173" t="str">
        <f t="shared" si="19"/>
        <v>RM-304/1D-2.90X770</v>
      </c>
      <c r="C1126" s="173" t="s">
        <v>48</v>
      </c>
      <c r="D1126" s="173" t="s">
        <v>48</v>
      </c>
      <c r="E1126" s="190" t="s">
        <v>3511</v>
      </c>
      <c r="F1126" s="190" t="s">
        <v>3512</v>
      </c>
      <c r="G1126" s="173">
        <v>304</v>
      </c>
      <c r="H1126" s="173" t="s">
        <v>127</v>
      </c>
      <c r="I1126" s="174">
        <v>2.9</v>
      </c>
      <c r="J1126" s="174"/>
      <c r="K1126" s="174"/>
      <c r="L1126" s="174"/>
      <c r="M1126" s="191">
        <v>770</v>
      </c>
      <c r="N1126" s="176">
        <v>8.0950000000000006</v>
      </c>
      <c r="O1126" s="176"/>
      <c r="P1126" s="177"/>
      <c r="Q1126" s="178"/>
      <c r="R1126" s="179"/>
      <c r="S1126" s="179"/>
      <c r="T1126" s="177"/>
      <c r="U1126" s="177"/>
      <c r="V1126" s="177"/>
      <c r="W1126" s="177"/>
      <c r="X1126" s="177"/>
      <c r="Y1126" s="177"/>
      <c r="Z1126" s="177"/>
      <c r="AA1126" s="177"/>
      <c r="AB1126" s="177"/>
      <c r="AC1126" s="177"/>
      <c r="AD1126" s="180" t="s">
        <v>3164</v>
      </c>
      <c r="AE1126" s="173" t="s">
        <v>69</v>
      </c>
      <c r="AF1126" s="181" t="s">
        <v>142</v>
      </c>
      <c r="AG1126" s="192" t="s">
        <v>2878</v>
      </c>
      <c r="AH1126" s="198"/>
      <c r="AI1126" s="181">
        <v>44950</v>
      </c>
      <c r="AJ1126" s="181"/>
      <c r="AK1126" s="181">
        <f ca="1">TODAY()</f>
        <v>44958</v>
      </c>
      <c r="AL1126" s="173">
        <f t="shared" ca="1" si="17"/>
        <v>8</v>
      </c>
      <c r="AM1126" s="173" t="str">
        <f t="shared" si="18"/>
        <v/>
      </c>
      <c r="AN1126" s="181"/>
      <c r="AO1126" s="190" t="s">
        <v>3510</v>
      </c>
      <c r="AP1126" s="176">
        <v>8.0950000000000006</v>
      </c>
      <c r="AQ1126" s="176">
        <v>8.1050000000000004</v>
      </c>
      <c r="AR1126" s="176">
        <v>8.129999999999999</v>
      </c>
      <c r="AS1126" s="176">
        <v>8.1349999999999998</v>
      </c>
      <c r="AT1126" s="173"/>
      <c r="AU1126" s="173">
        <v>465</v>
      </c>
      <c r="AV1126" s="149"/>
      <c r="AW1126" s="142" t="s">
        <v>123</v>
      </c>
      <c r="AY1126" s="212"/>
      <c r="AZ1126" s="196"/>
      <c r="BA1126" s="196"/>
    </row>
    <row r="1127" spans="2:53" s="142" customFormat="1" ht="21" customHeight="1" x14ac:dyDescent="0.25">
      <c r="B1127" s="173" t="str">
        <f t="shared" si="19"/>
        <v>RM-304/1D-3.02X770</v>
      </c>
      <c r="C1127" s="173" t="s">
        <v>48</v>
      </c>
      <c r="D1127" s="173" t="s">
        <v>48</v>
      </c>
      <c r="E1127" s="190" t="s">
        <v>3513</v>
      </c>
      <c r="F1127" s="190" t="s">
        <v>3514</v>
      </c>
      <c r="G1127" s="173">
        <v>304</v>
      </c>
      <c r="H1127" s="173" t="s">
        <v>127</v>
      </c>
      <c r="I1127" s="174">
        <v>3.02</v>
      </c>
      <c r="J1127" s="174"/>
      <c r="K1127" s="174"/>
      <c r="L1127" s="174"/>
      <c r="M1127" s="191">
        <v>770</v>
      </c>
      <c r="N1127" s="176">
        <v>11.93</v>
      </c>
      <c r="O1127" s="176"/>
      <c r="P1127" s="177"/>
      <c r="Q1127" s="178"/>
      <c r="R1127" s="179"/>
      <c r="S1127" s="179"/>
      <c r="T1127" s="177"/>
      <c r="U1127" s="177"/>
      <c r="V1127" s="177"/>
      <c r="W1127" s="177"/>
      <c r="X1127" s="177"/>
      <c r="Y1127" s="177"/>
      <c r="Z1127" s="177"/>
      <c r="AA1127" s="177"/>
      <c r="AB1127" s="177"/>
      <c r="AC1127" s="177"/>
      <c r="AD1127" s="180" t="s">
        <v>3164</v>
      </c>
      <c r="AE1127" s="173" t="s">
        <v>69</v>
      </c>
      <c r="AF1127" s="181" t="s">
        <v>142</v>
      </c>
      <c r="AG1127" s="192" t="s">
        <v>2878</v>
      </c>
      <c r="AH1127" s="198"/>
      <c r="AI1127" s="181">
        <v>44950</v>
      </c>
      <c r="AJ1127" s="181"/>
      <c r="AK1127" s="181">
        <f ca="1">TODAY()</f>
        <v>44958</v>
      </c>
      <c r="AL1127" s="173">
        <f t="shared" ca="1" si="17"/>
        <v>8</v>
      </c>
      <c r="AM1127" s="173" t="str">
        <f t="shared" si="18"/>
        <v/>
      </c>
      <c r="AN1127" s="181"/>
      <c r="AO1127" s="190" t="s">
        <v>3515</v>
      </c>
      <c r="AP1127" s="176">
        <v>11.93</v>
      </c>
      <c r="AQ1127" s="176">
        <v>11.94</v>
      </c>
      <c r="AR1127" s="176">
        <v>11.964999999999998</v>
      </c>
      <c r="AS1127" s="176">
        <v>11.969999999999999</v>
      </c>
      <c r="AT1127" s="173"/>
      <c r="AU1127" s="173">
        <v>465</v>
      </c>
      <c r="AV1127" s="149"/>
      <c r="AW1127" s="142" t="s">
        <v>123</v>
      </c>
      <c r="AY1127" s="212"/>
      <c r="AZ1127" s="196"/>
      <c r="BA1127" s="196"/>
    </row>
    <row r="1128" spans="2:53" s="142" customFormat="1" ht="21" customHeight="1" x14ac:dyDescent="0.25">
      <c r="B1128" s="173" t="str">
        <f t="shared" si="19"/>
        <v>RM-304/1D-3.02X768</v>
      </c>
      <c r="C1128" s="173" t="s">
        <v>48</v>
      </c>
      <c r="D1128" s="173" t="s">
        <v>48</v>
      </c>
      <c r="E1128" s="190" t="s">
        <v>3516</v>
      </c>
      <c r="F1128" s="190" t="s">
        <v>3517</v>
      </c>
      <c r="G1128" s="173">
        <v>304</v>
      </c>
      <c r="H1128" s="173" t="s">
        <v>127</v>
      </c>
      <c r="I1128" s="174">
        <v>3.02</v>
      </c>
      <c r="J1128" s="174"/>
      <c r="K1128" s="174"/>
      <c r="L1128" s="174"/>
      <c r="M1128" s="191">
        <v>768</v>
      </c>
      <c r="N1128" s="176">
        <v>11.91</v>
      </c>
      <c r="O1128" s="176"/>
      <c r="P1128" s="177"/>
      <c r="Q1128" s="178"/>
      <c r="R1128" s="179"/>
      <c r="S1128" s="179"/>
      <c r="T1128" s="177"/>
      <c r="U1128" s="177"/>
      <c r="V1128" s="177"/>
      <c r="W1128" s="177"/>
      <c r="X1128" s="177"/>
      <c r="Y1128" s="177"/>
      <c r="Z1128" s="177"/>
      <c r="AA1128" s="177"/>
      <c r="AB1128" s="177"/>
      <c r="AC1128" s="177"/>
      <c r="AD1128" s="180" t="s">
        <v>2877</v>
      </c>
      <c r="AE1128" s="173" t="s">
        <v>69</v>
      </c>
      <c r="AF1128" s="181" t="s">
        <v>142</v>
      </c>
      <c r="AG1128" s="192" t="s">
        <v>2878</v>
      </c>
      <c r="AH1128" s="198"/>
      <c r="AI1128" s="181">
        <v>44950</v>
      </c>
      <c r="AJ1128" s="181"/>
      <c r="AK1128" s="181">
        <f ca="1">TODAY()</f>
        <v>44958</v>
      </c>
      <c r="AL1128" s="173">
        <f t="shared" ca="1" si="17"/>
        <v>8</v>
      </c>
      <c r="AM1128" s="173" t="str">
        <f t="shared" si="18"/>
        <v/>
      </c>
      <c r="AN1128" s="181"/>
      <c r="AO1128" s="190" t="s">
        <v>3515</v>
      </c>
      <c r="AP1128" s="176">
        <v>11.91</v>
      </c>
      <c r="AQ1128" s="176">
        <v>11.92</v>
      </c>
      <c r="AR1128" s="176">
        <v>11.944999999999999</v>
      </c>
      <c r="AS1128" s="176">
        <v>11.95</v>
      </c>
      <c r="AT1128" s="173"/>
      <c r="AU1128" s="173">
        <v>465</v>
      </c>
      <c r="AV1128" s="149"/>
      <c r="AW1128" s="142" t="s">
        <v>123</v>
      </c>
      <c r="AY1128" s="212"/>
      <c r="AZ1128" s="196"/>
      <c r="BA1128" s="196"/>
    </row>
    <row r="1129" spans="2:53" s="142" customFormat="1" ht="21" customHeight="1" x14ac:dyDescent="0.25">
      <c r="B1129" s="173" t="str">
        <f t="shared" si="19"/>
        <v>RM-304/1D-3.01X770</v>
      </c>
      <c r="C1129" s="173" t="s">
        <v>48</v>
      </c>
      <c r="D1129" s="173" t="s">
        <v>48</v>
      </c>
      <c r="E1129" s="190" t="s">
        <v>3518</v>
      </c>
      <c r="F1129" s="190" t="s">
        <v>3519</v>
      </c>
      <c r="G1129" s="173">
        <v>304</v>
      </c>
      <c r="H1129" s="173" t="s">
        <v>127</v>
      </c>
      <c r="I1129" s="174">
        <v>3.01</v>
      </c>
      <c r="J1129" s="174"/>
      <c r="K1129" s="174"/>
      <c r="L1129" s="174"/>
      <c r="M1129" s="191">
        <v>770</v>
      </c>
      <c r="N1129" s="176">
        <v>11.895</v>
      </c>
      <c r="O1129" s="176"/>
      <c r="P1129" s="177"/>
      <c r="Q1129" s="178"/>
      <c r="R1129" s="179"/>
      <c r="S1129" s="179"/>
      <c r="T1129" s="177"/>
      <c r="U1129" s="177"/>
      <c r="V1129" s="177"/>
      <c r="W1129" s="177"/>
      <c r="X1129" s="177"/>
      <c r="Y1129" s="177"/>
      <c r="Z1129" s="177"/>
      <c r="AA1129" s="177"/>
      <c r="AB1129" s="177"/>
      <c r="AC1129" s="177"/>
      <c r="AD1129" s="180" t="s">
        <v>2877</v>
      </c>
      <c r="AE1129" s="173" t="s">
        <v>69</v>
      </c>
      <c r="AF1129" s="181" t="s">
        <v>142</v>
      </c>
      <c r="AG1129" s="192" t="s">
        <v>2878</v>
      </c>
      <c r="AH1129" s="198"/>
      <c r="AI1129" s="181">
        <v>44950</v>
      </c>
      <c r="AJ1129" s="181"/>
      <c r="AK1129" s="181">
        <f ca="1">TODAY()</f>
        <v>44958</v>
      </c>
      <c r="AL1129" s="173">
        <f t="shared" ca="1" si="17"/>
        <v>8</v>
      </c>
      <c r="AM1129" s="173" t="str">
        <f t="shared" si="18"/>
        <v/>
      </c>
      <c r="AN1129" s="181"/>
      <c r="AO1129" s="190" t="s">
        <v>3520</v>
      </c>
      <c r="AP1129" s="176">
        <v>11.895</v>
      </c>
      <c r="AQ1129" s="176">
        <v>11.904999999999999</v>
      </c>
      <c r="AR1129" s="176">
        <v>11.929999999999998</v>
      </c>
      <c r="AS1129" s="176">
        <v>11.934999999999999</v>
      </c>
      <c r="AT1129" s="173"/>
      <c r="AU1129" s="173">
        <v>465</v>
      </c>
      <c r="AV1129" s="149"/>
      <c r="AW1129" s="142" t="s">
        <v>123</v>
      </c>
      <c r="AY1129" s="212"/>
      <c r="AZ1129" s="196"/>
      <c r="BA1129" s="196"/>
    </row>
    <row r="1130" spans="2:53" s="142" customFormat="1" ht="21" customHeight="1" x14ac:dyDescent="0.25">
      <c r="B1130" s="173" t="str">
        <f t="shared" si="19"/>
        <v>RM-304/1D-3.01X766</v>
      </c>
      <c r="C1130" s="173" t="s">
        <v>48</v>
      </c>
      <c r="D1130" s="173" t="s">
        <v>48</v>
      </c>
      <c r="E1130" s="190" t="s">
        <v>3521</v>
      </c>
      <c r="F1130" s="190" t="s">
        <v>3522</v>
      </c>
      <c r="G1130" s="173">
        <v>304</v>
      </c>
      <c r="H1130" s="173" t="s">
        <v>127</v>
      </c>
      <c r="I1130" s="174">
        <v>3.01</v>
      </c>
      <c r="J1130" s="174"/>
      <c r="K1130" s="174"/>
      <c r="L1130" s="174"/>
      <c r="M1130" s="191">
        <v>766</v>
      </c>
      <c r="N1130" s="176">
        <v>11.83</v>
      </c>
      <c r="O1130" s="176"/>
      <c r="P1130" s="177"/>
      <c r="Q1130" s="178"/>
      <c r="R1130" s="179"/>
      <c r="S1130" s="179"/>
      <c r="T1130" s="177"/>
      <c r="U1130" s="177"/>
      <c r="V1130" s="177"/>
      <c r="W1130" s="177"/>
      <c r="X1130" s="177"/>
      <c r="Y1130" s="177"/>
      <c r="Z1130" s="177"/>
      <c r="AA1130" s="177"/>
      <c r="AB1130" s="177"/>
      <c r="AC1130" s="177"/>
      <c r="AD1130" s="180" t="s">
        <v>2877</v>
      </c>
      <c r="AE1130" s="173" t="s">
        <v>69</v>
      </c>
      <c r="AF1130" s="181" t="s">
        <v>142</v>
      </c>
      <c r="AG1130" s="192" t="s">
        <v>2878</v>
      </c>
      <c r="AH1130" s="198"/>
      <c r="AI1130" s="181">
        <v>44950</v>
      </c>
      <c r="AJ1130" s="181"/>
      <c r="AK1130" s="181">
        <f ca="1">TODAY()</f>
        <v>44958</v>
      </c>
      <c r="AL1130" s="173">
        <f t="shared" ca="1" si="17"/>
        <v>8</v>
      </c>
      <c r="AM1130" s="173" t="str">
        <f t="shared" si="18"/>
        <v/>
      </c>
      <c r="AN1130" s="181"/>
      <c r="AO1130" s="190" t="s">
        <v>3520</v>
      </c>
      <c r="AP1130" s="176">
        <v>11.83</v>
      </c>
      <c r="AQ1130" s="176">
        <v>11.84</v>
      </c>
      <c r="AR1130" s="176">
        <v>11.864999999999998</v>
      </c>
      <c r="AS1130" s="176">
        <v>11.87</v>
      </c>
      <c r="AT1130" s="173"/>
      <c r="AU1130" s="173">
        <v>465</v>
      </c>
      <c r="AV1130" s="149"/>
      <c r="AW1130" s="142" t="s">
        <v>123</v>
      </c>
      <c r="AY1130" s="212"/>
      <c r="AZ1130" s="196"/>
      <c r="BA1130" s="196"/>
    </row>
    <row r="1131" spans="2:53" s="142" customFormat="1" ht="21" customHeight="1" x14ac:dyDescent="0.25">
      <c r="B1131" s="173" t="str">
        <f t="shared" si="19"/>
        <v>RM-304L/1D-3.79X770</v>
      </c>
      <c r="C1131" s="173" t="s">
        <v>48</v>
      </c>
      <c r="D1131" s="173" t="s">
        <v>48</v>
      </c>
      <c r="E1131" s="190" t="s">
        <v>3523</v>
      </c>
      <c r="F1131" s="190" t="s">
        <v>3524</v>
      </c>
      <c r="G1131" s="173" t="s">
        <v>182</v>
      </c>
      <c r="H1131" s="173" t="s">
        <v>127</v>
      </c>
      <c r="I1131" s="174">
        <v>3.79</v>
      </c>
      <c r="J1131" s="174"/>
      <c r="K1131" s="174"/>
      <c r="L1131" s="174"/>
      <c r="M1131" s="191">
        <v>770</v>
      </c>
      <c r="N1131" s="176">
        <v>10.324999999999999</v>
      </c>
      <c r="O1131" s="176"/>
      <c r="P1131" s="177"/>
      <c r="Q1131" s="178"/>
      <c r="R1131" s="179"/>
      <c r="S1131" s="179"/>
      <c r="T1131" s="177"/>
      <c r="U1131" s="177"/>
      <c r="V1131" s="177"/>
      <c r="W1131" s="177"/>
      <c r="X1131" s="177"/>
      <c r="Y1131" s="177"/>
      <c r="Z1131" s="177"/>
      <c r="AA1131" s="177"/>
      <c r="AB1131" s="177"/>
      <c r="AC1131" s="177"/>
      <c r="AD1131" s="180" t="s">
        <v>2877</v>
      </c>
      <c r="AE1131" s="173" t="s">
        <v>69</v>
      </c>
      <c r="AF1131" s="181" t="s">
        <v>142</v>
      </c>
      <c r="AG1131" s="192" t="s">
        <v>2878</v>
      </c>
      <c r="AH1131" s="198"/>
      <c r="AI1131" s="181">
        <v>44950</v>
      </c>
      <c r="AJ1131" s="181"/>
      <c r="AK1131" s="181">
        <f ca="1">TODAY()</f>
        <v>44958</v>
      </c>
      <c r="AL1131" s="173">
        <f t="shared" ca="1" si="17"/>
        <v>8</v>
      </c>
      <c r="AM1131" s="173" t="str">
        <f t="shared" si="18"/>
        <v/>
      </c>
      <c r="AN1131" s="181"/>
      <c r="AO1131" s="190" t="s">
        <v>3525</v>
      </c>
      <c r="AP1131" s="176">
        <v>10.324999999999999</v>
      </c>
      <c r="AQ1131" s="176">
        <v>10.334999999999999</v>
      </c>
      <c r="AR1131" s="176">
        <v>10.359999999999998</v>
      </c>
      <c r="AS1131" s="176">
        <v>10.364999999999998</v>
      </c>
      <c r="AT1131" s="173"/>
      <c r="AU1131" s="173">
        <v>465</v>
      </c>
      <c r="AV1131" s="149"/>
      <c r="AW1131" s="142" t="s">
        <v>123</v>
      </c>
      <c r="AY1131" s="212"/>
      <c r="AZ1131" s="196"/>
      <c r="BA1131" s="196"/>
    </row>
    <row r="1132" spans="2:53" s="142" customFormat="1" ht="21" customHeight="1" x14ac:dyDescent="0.25">
      <c r="B1132" s="173" t="str">
        <f t="shared" si="19"/>
        <v>RM-304L/1D-3.79X767</v>
      </c>
      <c r="C1132" s="173" t="s">
        <v>48</v>
      </c>
      <c r="D1132" s="173" t="s">
        <v>48</v>
      </c>
      <c r="E1132" s="190" t="s">
        <v>3526</v>
      </c>
      <c r="F1132" s="190" t="s">
        <v>3527</v>
      </c>
      <c r="G1132" s="173" t="s">
        <v>182</v>
      </c>
      <c r="H1132" s="173" t="s">
        <v>127</v>
      </c>
      <c r="I1132" s="174">
        <v>3.79</v>
      </c>
      <c r="J1132" s="174"/>
      <c r="K1132" s="174"/>
      <c r="L1132" s="174"/>
      <c r="M1132" s="191">
        <v>767</v>
      </c>
      <c r="N1132" s="176">
        <v>10.28</v>
      </c>
      <c r="O1132" s="176"/>
      <c r="P1132" s="177"/>
      <c r="Q1132" s="178"/>
      <c r="R1132" s="179"/>
      <c r="S1132" s="179"/>
      <c r="T1132" s="177"/>
      <c r="U1132" s="177"/>
      <c r="V1132" s="177"/>
      <c r="W1132" s="177"/>
      <c r="X1132" s="177"/>
      <c r="Y1132" s="177"/>
      <c r="Z1132" s="177"/>
      <c r="AA1132" s="177"/>
      <c r="AB1132" s="177"/>
      <c r="AC1132" s="177"/>
      <c r="AD1132" s="180" t="s">
        <v>2877</v>
      </c>
      <c r="AE1132" s="173" t="s">
        <v>69</v>
      </c>
      <c r="AF1132" s="181" t="s">
        <v>142</v>
      </c>
      <c r="AG1132" s="192" t="s">
        <v>2878</v>
      </c>
      <c r="AH1132" s="198"/>
      <c r="AI1132" s="181">
        <v>44950</v>
      </c>
      <c r="AJ1132" s="181"/>
      <c r="AK1132" s="181">
        <f ca="1">TODAY()</f>
        <v>44958</v>
      </c>
      <c r="AL1132" s="173">
        <f t="shared" ca="1" si="17"/>
        <v>8</v>
      </c>
      <c r="AM1132" s="173" t="str">
        <f t="shared" si="18"/>
        <v/>
      </c>
      <c r="AN1132" s="181"/>
      <c r="AO1132" s="190" t="s">
        <v>3525</v>
      </c>
      <c r="AP1132" s="176">
        <v>10.28</v>
      </c>
      <c r="AQ1132" s="176">
        <v>10.29</v>
      </c>
      <c r="AR1132" s="176">
        <v>10.314999999999998</v>
      </c>
      <c r="AS1132" s="176">
        <v>10.319999999999999</v>
      </c>
      <c r="AT1132" s="173"/>
      <c r="AU1132" s="173">
        <v>465</v>
      </c>
      <c r="AV1132" s="149"/>
      <c r="AW1132" s="142" t="s">
        <v>123</v>
      </c>
      <c r="AY1132" s="212"/>
      <c r="AZ1132" s="196"/>
      <c r="BA1132" s="196"/>
    </row>
    <row r="1133" spans="2:53" s="142" customFormat="1" ht="21" customHeight="1" x14ac:dyDescent="0.25">
      <c r="B1133" s="173" t="str">
        <f t="shared" si="19"/>
        <v>RM-304L/1D-2.99X770</v>
      </c>
      <c r="C1133" s="173" t="s">
        <v>48</v>
      </c>
      <c r="D1133" s="173" t="s">
        <v>48</v>
      </c>
      <c r="E1133" s="190" t="s">
        <v>3528</v>
      </c>
      <c r="F1133" s="190" t="s">
        <v>3529</v>
      </c>
      <c r="G1133" s="173" t="s">
        <v>182</v>
      </c>
      <c r="H1133" s="173" t="s">
        <v>127</v>
      </c>
      <c r="I1133" s="174">
        <v>2.99</v>
      </c>
      <c r="J1133" s="174"/>
      <c r="K1133" s="174"/>
      <c r="L1133" s="174"/>
      <c r="M1133" s="191">
        <v>770</v>
      </c>
      <c r="N1133" s="176">
        <v>8.8249999999999993</v>
      </c>
      <c r="O1133" s="176"/>
      <c r="P1133" s="177"/>
      <c r="Q1133" s="178"/>
      <c r="R1133" s="179"/>
      <c r="S1133" s="179"/>
      <c r="T1133" s="177"/>
      <c r="U1133" s="177"/>
      <c r="V1133" s="177"/>
      <c r="W1133" s="177"/>
      <c r="X1133" s="177"/>
      <c r="Y1133" s="177"/>
      <c r="Z1133" s="177"/>
      <c r="AA1133" s="177"/>
      <c r="AB1133" s="177"/>
      <c r="AC1133" s="177"/>
      <c r="AD1133" s="180" t="s">
        <v>2877</v>
      </c>
      <c r="AE1133" s="173" t="s">
        <v>69</v>
      </c>
      <c r="AF1133" s="181" t="s">
        <v>142</v>
      </c>
      <c r="AG1133" s="192" t="s">
        <v>2878</v>
      </c>
      <c r="AH1133" s="198"/>
      <c r="AI1133" s="181">
        <v>44950</v>
      </c>
      <c r="AJ1133" s="181"/>
      <c r="AK1133" s="181">
        <f ca="1">TODAY()</f>
        <v>44958</v>
      </c>
      <c r="AL1133" s="173">
        <f t="shared" ca="1" si="17"/>
        <v>8</v>
      </c>
      <c r="AM1133" s="173" t="str">
        <f t="shared" si="18"/>
        <v/>
      </c>
      <c r="AN1133" s="181"/>
      <c r="AO1133" s="190" t="s">
        <v>3530</v>
      </c>
      <c r="AP1133" s="176">
        <v>8.8249999999999993</v>
      </c>
      <c r="AQ1133" s="176">
        <v>8.8349999999999991</v>
      </c>
      <c r="AR1133" s="176">
        <v>8.8599999999999977</v>
      </c>
      <c r="AS1133" s="176">
        <v>8.8649999999999984</v>
      </c>
      <c r="AT1133" s="173"/>
      <c r="AU1133" s="173">
        <v>465</v>
      </c>
      <c r="AV1133" s="149"/>
      <c r="AW1133" s="142" t="s">
        <v>123</v>
      </c>
      <c r="AY1133" s="212"/>
      <c r="AZ1133" s="196"/>
      <c r="BA1133" s="196"/>
    </row>
    <row r="1134" spans="2:53" s="142" customFormat="1" ht="21" customHeight="1" x14ac:dyDescent="0.25">
      <c r="B1134" s="173" t="str">
        <f t="shared" si="19"/>
        <v>RM-304L/1D-3.00X771</v>
      </c>
      <c r="C1134" s="173" t="s">
        <v>48</v>
      </c>
      <c r="D1134" s="173" t="s">
        <v>48</v>
      </c>
      <c r="E1134" s="190" t="s">
        <v>3531</v>
      </c>
      <c r="F1134" s="190" t="s">
        <v>3532</v>
      </c>
      <c r="G1134" s="173" t="s">
        <v>182</v>
      </c>
      <c r="H1134" s="173" t="s">
        <v>127</v>
      </c>
      <c r="I1134" s="174">
        <v>3</v>
      </c>
      <c r="J1134" s="174"/>
      <c r="K1134" s="174"/>
      <c r="L1134" s="174"/>
      <c r="M1134" s="191">
        <v>771</v>
      </c>
      <c r="N1134" s="176">
        <v>8.86</v>
      </c>
      <c r="O1134" s="176"/>
      <c r="P1134" s="177"/>
      <c r="Q1134" s="178"/>
      <c r="R1134" s="179"/>
      <c r="S1134" s="179"/>
      <c r="T1134" s="177"/>
      <c r="U1134" s="177"/>
      <c r="V1134" s="177"/>
      <c r="W1134" s="177"/>
      <c r="X1134" s="177"/>
      <c r="Y1134" s="177"/>
      <c r="Z1134" s="177"/>
      <c r="AA1134" s="177"/>
      <c r="AB1134" s="177"/>
      <c r="AC1134" s="177"/>
      <c r="AD1134" s="180" t="s">
        <v>2877</v>
      </c>
      <c r="AE1134" s="173" t="s">
        <v>69</v>
      </c>
      <c r="AF1134" s="181" t="s">
        <v>142</v>
      </c>
      <c r="AG1134" s="192" t="s">
        <v>2878</v>
      </c>
      <c r="AH1134" s="198"/>
      <c r="AI1134" s="181">
        <v>44950</v>
      </c>
      <c r="AJ1134" s="181"/>
      <c r="AK1134" s="181">
        <f ca="1">TODAY()</f>
        <v>44958</v>
      </c>
      <c r="AL1134" s="173">
        <f t="shared" ca="1" si="17"/>
        <v>8</v>
      </c>
      <c r="AM1134" s="173" t="str">
        <f t="shared" si="18"/>
        <v/>
      </c>
      <c r="AN1134" s="181"/>
      <c r="AO1134" s="190" t="s">
        <v>3530</v>
      </c>
      <c r="AP1134" s="176">
        <v>8.86</v>
      </c>
      <c r="AQ1134" s="176">
        <v>8.8699999999999992</v>
      </c>
      <c r="AR1134" s="176">
        <v>8.8949999999999978</v>
      </c>
      <c r="AS1134" s="176">
        <v>8.8999999999999986</v>
      </c>
      <c r="AT1134" s="173"/>
      <c r="AU1134" s="173">
        <v>465</v>
      </c>
      <c r="AV1134" s="149"/>
      <c r="AW1134" s="142" t="s">
        <v>123</v>
      </c>
      <c r="AY1134" s="212"/>
      <c r="AZ1134" s="196"/>
      <c r="BA1134" s="196"/>
    </row>
    <row r="1135" spans="2:53" s="142" customFormat="1" ht="21" customHeight="1" x14ac:dyDescent="0.25">
      <c r="B1135" s="173" t="str">
        <f t="shared" si="19"/>
        <v>RM-304/1D-3.79X770</v>
      </c>
      <c r="C1135" s="173" t="s">
        <v>48</v>
      </c>
      <c r="D1135" s="173" t="s">
        <v>48</v>
      </c>
      <c r="E1135" s="190" t="s">
        <v>3533</v>
      </c>
      <c r="F1135" s="190" t="s">
        <v>3534</v>
      </c>
      <c r="G1135" s="173">
        <v>304</v>
      </c>
      <c r="H1135" s="173" t="s">
        <v>127</v>
      </c>
      <c r="I1135" s="174">
        <v>3.79</v>
      </c>
      <c r="J1135" s="174"/>
      <c r="K1135" s="174"/>
      <c r="L1135" s="174"/>
      <c r="M1135" s="191">
        <v>770</v>
      </c>
      <c r="N1135" s="176">
        <v>9.08</v>
      </c>
      <c r="O1135" s="176"/>
      <c r="P1135" s="177"/>
      <c r="Q1135" s="178"/>
      <c r="R1135" s="179"/>
      <c r="S1135" s="179"/>
      <c r="T1135" s="177"/>
      <c r="U1135" s="177"/>
      <c r="V1135" s="177"/>
      <c r="W1135" s="177"/>
      <c r="X1135" s="177"/>
      <c r="Y1135" s="177"/>
      <c r="Z1135" s="177"/>
      <c r="AA1135" s="177"/>
      <c r="AB1135" s="177"/>
      <c r="AC1135" s="177"/>
      <c r="AD1135" s="180" t="s">
        <v>2877</v>
      </c>
      <c r="AE1135" s="173" t="s">
        <v>69</v>
      </c>
      <c r="AF1135" s="181" t="s">
        <v>142</v>
      </c>
      <c r="AG1135" s="192" t="s">
        <v>2878</v>
      </c>
      <c r="AH1135" s="198"/>
      <c r="AI1135" s="181">
        <v>44950</v>
      </c>
      <c r="AJ1135" s="181"/>
      <c r="AK1135" s="181">
        <f ca="1">TODAY()</f>
        <v>44958</v>
      </c>
      <c r="AL1135" s="173">
        <f t="shared" ca="1" si="17"/>
        <v>8</v>
      </c>
      <c r="AM1135" s="173" t="str">
        <f t="shared" si="18"/>
        <v/>
      </c>
      <c r="AN1135" s="181"/>
      <c r="AO1135" s="190" t="s">
        <v>3535</v>
      </c>
      <c r="AP1135" s="176">
        <v>9.08</v>
      </c>
      <c r="AQ1135" s="176">
        <v>9.09</v>
      </c>
      <c r="AR1135" s="176">
        <v>9.1149999999999984</v>
      </c>
      <c r="AS1135" s="176">
        <v>9.1199999999999992</v>
      </c>
      <c r="AT1135" s="173"/>
      <c r="AU1135" s="173">
        <v>465</v>
      </c>
      <c r="AV1135" s="149"/>
      <c r="AW1135" s="142" t="s">
        <v>123</v>
      </c>
      <c r="AY1135" s="212"/>
      <c r="AZ1135" s="196"/>
      <c r="BA1135" s="196"/>
    </row>
    <row r="1136" spans="2:53" s="142" customFormat="1" ht="21" customHeight="1" x14ac:dyDescent="0.25">
      <c r="B1136" s="173" t="str">
        <f t="shared" si="19"/>
        <v>RM-304/1D-3.80X772</v>
      </c>
      <c r="C1136" s="173" t="s">
        <v>48</v>
      </c>
      <c r="D1136" s="173" t="s">
        <v>48</v>
      </c>
      <c r="E1136" s="190" t="s">
        <v>3536</v>
      </c>
      <c r="F1136" s="190" t="s">
        <v>3537</v>
      </c>
      <c r="G1136" s="173">
        <v>304</v>
      </c>
      <c r="H1136" s="173" t="s">
        <v>127</v>
      </c>
      <c r="I1136" s="174">
        <v>3.8</v>
      </c>
      <c r="J1136" s="174"/>
      <c r="K1136" s="174"/>
      <c r="L1136" s="174"/>
      <c r="M1136" s="191">
        <v>772</v>
      </c>
      <c r="N1136" s="176">
        <v>9.0950000000000006</v>
      </c>
      <c r="O1136" s="176"/>
      <c r="P1136" s="177"/>
      <c r="Q1136" s="178"/>
      <c r="R1136" s="179"/>
      <c r="S1136" s="179"/>
      <c r="T1136" s="177"/>
      <c r="U1136" s="177"/>
      <c r="V1136" s="177"/>
      <c r="W1136" s="177"/>
      <c r="X1136" s="177"/>
      <c r="Y1136" s="177"/>
      <c r="Z1136" s="177"/>
      <c r="AA1136" s="177"/>
      <c r="AB1136" s="177"/>
      <c r="AC1136" s="177"/>
      <c r="AD1136" s="180" t="s">
        <v>2877</v>
      </c>
      <c r="AE1136" s="173" t="s">
        <v>69</v>
      </c>
      <c r="AF1136" s="181" t="s">
        <v>142</v>
      </c>
      <c r="AG1136" s="192" t="s">
        <v>2878</v>
      </c>
      <c r="AH1136" s="198"/>
      <c r="AI1136" s="181">
        <v>44950</v>
      </c>
      <c r="AJ1136" s="181"/>
      <c r="AK1136" s="181">
        <f ca="1">TODAY()</f>
        <v>44958</v>
      </c>
      <c r="AL1136" s="173">
        <f t="shared" ca="1" si="17"/>
        <v>8</v>
      </c>
      <c r="AM1136" s="173" t="str">
        <f t="shared" si="18"/>
        <v/>
      </c>
      <c r="AN1136" s="181"/>
      <c r="AO1136" s="190" t="s">
        <v>3535</v>
      </c>
      <c r="AP1136" s="176">
        <v>9.0950000000000006</v>
      </c>
      <c r="AQ1136" s="176">
        <v>9.1050000000000004</v>
      </c>
      <c r="AR1136" s="176">
        <v>9.129999999999999</v>
      </c>
      <c r="AS1136" s="176">
        <v>9.1349999999999998</v>
      </c>
      <c r="AT1136" s="173"/>
      <c r="AU1136" s="173">
        <v>465</v>
      </c>
      <c r="AV1136" s="149"/>
      <c r="AW1136" s="142" t="s">
        <v>123</v>
      </c>
      <c r="AY1136" s="212"/>
      <c r="AZ1136" s="196"/>
      <c r="BA1136" s="196"/>
    </row>
    <row r="1137" spans="2:53" s="142" customFormat="1" ht="21" customHeight="1" x14ac:dyDescent="0.25">
      <c r="B1137" s="173" t="str">
        <f t="shared" si="19"/>
        <v>RM-304L/1D-3.49X770</v>
      </c>
      <c r="C1137" s="173" t="s">
        <v>48</v>
      </c>
      <c r="D1137" s="173" t="s">
        <v>48</v>
      </c>
      <c r="E1137" s="190" t="s">
        <v>3538</v>
      </c>
      <c r="F1137" s="190" t="s">
        <v>3539</v>
      </c>
      <c r="G1137" s="173" t="s">
        <v>182</v>
      </c>
      <c r="H1137" s="173" t="s">
        <v>127</v>
      </c>
      <c r="I1137" s="174">
        <v>3.49</v>
      </c>
      <c r="J1137" s="174"/>
      <c r="K1137" s="174"/>
      <c r="L1137" s="174"/>
      <c r="M1137" s="191">
        <v>770</v>
      </c>
      <c r="N1137" s="176">
        <v>10.255000000000001</v>
      </c>
      <c r="O1137" s="176"/>
      <c r="P1137" s="177"/>
      <c r="Q1137" s="178"/>
      <c r="R1137" s="179"/>
      <c r="S1137" s="179"/>
      <c r="T1137" s="177"/>
      <c r="U1137" s="177"/>
      <c r="V1137" s="177"/>
      <c r="W1137" s="177"/>
      <c r="X1137" s="177"/>
      <c r="Y1137" s="177"/>
      <c r="Z1137" s="177"/>
      <c r="AA1137" s="177"/>
      <c r="AB1137" s="177"/>
      <c r="AC1137" s="177"/>
      <c r="AD1137" s="180" t="s">
        <v>2877</v>
      </c>
      <c r="AE1137" s="173" t="s">
        <v>69</v>
      </c>
      <c r="AF1137" s="181" t="s">
        <v>142</v>
      </c>
      <c r="AG1137" s="192" t="s">
        <v>2878</v>
      </c>
      <c r="AH1137" s="198"/>
      <c r="AI1137" s="181">
        <v>44950</v>
      </c>
      <c r="AJ1137" s="181"/>
      <c r="AK1137" s="181">
        <f ca="1">TODAY()</f>
        <v>44958</v>
      </c>
      <c r="AL1137" s="173">
        <f t="shared" ca="1" si="17"/>
        <v>8</v>
      </c>
      <c r="AM1137" s="173" t="str">
        <f t="shared" si="18"/>
        <v/>
      </c>
      <c r="AN1137" s="181"/>
      <c r="AO1137" s="190" t="s">
        <v>3540</v>
      </c>
      <c r="AP1137" s="176">
        <v>10.255000000000001</v>
      </c>
      <c r="AQ1137" s="176">
        <v>10.265000000000001</v>
      </c>
      <c r="AR1137" s="176">
        <v>10.29</v>
      </c>
      <c r="AS1137" s="176">
        <v>10.295</v>
      </c>
      <c r="AT1137" s="173"/>
      <c r="AU1137" s="173">
        <v>465</v>
      </c>
      <c r="AV1137" s="149"/>
      <c r="AW1137" s="142" t="s">
        <v>123</v>
      </c>
      <c r="AY1137" s="212"/>
      <c r="AZ1137" s="196"/>
      <c r="BA1137" s="196"/>
    </row>
    <row r="1138" spans="2:53" s="142" customFormat="1" ht="21" customHeight="1" x14ac:dyDescent="0.25">
      <c r="B1138" s="173" t="str">
        <f t="shared" si="19"/>
        <v>RM-304L/1D-3.49X768</v>
      </c>
      <c r="C1138" s="173" t="s">
        <v>48</v>
      </c>
      <c r="D1138" s="173" t="s">
        <v>48</v>
      </c>
      <c r="E1138" s="190" t="s">
        <v>3541</v>
      </c>
      <c r="F1138" s="190" t="s">
        <v>3542</v>
      </c>
      <c r="G1138" s="173" t="s">
        <v>182</v>
      </c>
      <c r="H1138" s="173" t="s">
        <v>127</v>
      </c>
      <c r="I1138" s="174">
        <v>3.49</v>
      </c>
      <c r="J1138" s="174"/>
      <c r="K1138" s="174"/>
      <c r="L1138" s="174"/>
      <c r="M1138" s="191">
        <v>768</v>
      </c>
      <c r="N1138" s="176">
        <v>10.205</v>
      </c>
      <c r="O1138" s="176"/>
      <c r="P1138" s="177"/>
      <c r="Q1138" s="178"/>
      <c r="R1138" s="179"/>
      <c r="S1138" s="179"/>
      <c r="T1138" s="177"/>
      <c r="U1138" s="177"/>
      <c r="V1138" s="177"/>
      <c r="W1138" s="177"/>
      <c r="X1138" s="177"/>
      <c r="Y1138" s="177"/>
      <c r="Z1138" s="177"/>
      <c r="AA1138" s="177"/>
      <c r="AB1138" s="177"/>
      <c r="AC1138" s="177"/>
      <c r="AD1138" s="180" t="s">
        <v>2877</v>
      </c>
      <c r="AE1138" s="173" t="s">
        <v>69</v>
      </c>
      <c r="AF1138" s="181" t="s">
        <v>142</v>
      </c>
      <c r="AG1138" s="192" t="s">
        <v>2878</v>
      </c>
      <c r="AH1138" s="198"/>
      <c r="AI1138" s="181">
        <v>44950</v>
      </c>
      <c r="AJ1138" s="181"/>
      <c r="AK1138" s="181">
        <f ca="1">TODAY()</f>
        <v>44958</v>
      </c>
      <c r="AL1138" s="173">
        <f t="shared" ca="1" si="17"/>
        <v>8</v>
      </c>
      <c r="AM1138" s="173" t="str">
        <f t="shared" si="18"/>
        <v/>
      </c>
      <c r="AN1138" s="181"/>
      <c r="AO1138" s="190" t="s">
        <v>3540</v>
      </c>
      <c r="AP1138" s="176">
        <v>10.205</v>
      </c>
      <c r="AQ1138" s="176">
        <v>10.215</v>
      </c>
      <c r="AR1138" s="176">
        <v>10.239999999999998</v>
      </c>
      <c r="AS1138" s="176">
        <v>10.244999999999999</v>
      </c>
      <c r="AT1138" s="173"/>
      <c r="AU1138" s="173">
        <v>465</v>
      </c>
      <c r="AV1138" s="149"/>
      <c r="AW1138" s="142" t="s">
        <v>123</v>
      </c>
      <c r="AY1138" s="212"/>
      <c r="AZ1138" s="196"/>
      <c r="BA1138" s="196"/>
    </row>
    <row r="1139" spans="2:53" s="142" customFormat="1" ht="21" customHeight="1" x14ac:dyDescent="0.25">
      <c r="B1139" s="173" t="str">
        <f t="shared" si="19"/>
        <v>RM-304/1D-2.98X771</v>
      </c>
      <c r="C1139" s="173" t="s">
        <v>48</v>
      </c>
      <c r="D1139" s="173" t="s">
        <v>48</v>
      </c>
      <c r="E1139" s="190" t="s">
        <v>3543</v>
      </c>
      <c r="F1139" s="190" t="s">
        <v>3544</v>
      </c>
      <c r="G1139" s="173">
        <v>304</v>
      </c>
      <c r="H1139" s="173" t="s">
        <v>127</v>
      </c>
      <c r="I1139" s="174">
        <v>2.98</v>
      </c>
      <c r="J1139" s="174"/>
      <c r="K1139" s="174"/>
      <c r="L1139" s="174"/>
      <c r="M1139" s="191">
        <v>771</v>
      </c>
      <c r="N1139" s="176">
        <v>11.63</v>
      </c>
      <c r="O1139" s="176"/>
      <c r="P1139" s="177"/>
      <c r="Q1139" s="178"/>
      <c r="R1139" s="179"/>
      <c r="S1139" s="179"/>
      <c r="T1139" s="177"/>
      <c r="U1139" s="177"/>
      <c r="V1139" s="177"/>
      <c r="W1139" s="177"/>
      <c r="X1139" s="177"/>
      <c r="Y1139" s="177"/>
      <c r="Z1139" s="177"/>
      <c r="AA1139" s="177"/>
      <c r="AB1139" s="177"/>
      <c r="AC1139" s="177"/>
      <c r="AD1139" s="180" t="s">
        <v>2877</v>
      </c>
      <c r="AE1139" s="173" t="s">
        <v>69</v>
      </c>
      <c r="AF1139" s="181" t="s">
        <v>142</v>
      </c>
      <c r="AG1139" s="192" t="s">
        <v>2878</v>
      </c>
      <c r="AH1139" s="198"/>
      <c r="AI1139" s="181">
        <v>44950</v>
      </c>
      <c r="AJ1139" s="181"/>
      <c r="AK1139" s="181">
        <f ca="1">TODAY()</f>
        <v>44958</v>
      </c>
      <c r="AL1139" s="173">
        <f t="shared" ca="1" si="17"/>
        <v>8</v>
      </c>
      <c r="AM1139" s="173" t="str">
        <f t="shared" si="18"/>
        <v/>
      </c>
      <c r="AN1139" s="181"/>
      <c r="AO1139" s="190" t="s">
        <v>3545</v>
      </c>
      <c r="AP1139" s="176">
        <v>11.63</v>
      </c>
      <c r="AQ1139" s="176">
        <v>11.64</v>
      </c>
      <c r="AR1139" s="176">
        <v>11.664999999999999</v>
      </c>
      <c r="AS1139" s="176">
        <v>11.67</v>
      </c>
      <c r="AT1139" s="173"/>
      <c r="AU1139" s="173">
        <v>465</v>
      </c>
      <c r="AV1139" s="149"/>
      <c r="AW1139" s="142" t="s">
        <v>123</v>
      </c>
      <c r="AY1139" s="212"/>
      <c r="AZ1139" s="196"/>
      <c r="BA1139" s="196"/>
    </row>
    <row r="1140" spans="2:53" s="142" customFormat="1" ht="21" customHeight="1" x14ac:dyDescent="0.25">
      <c r="B1140" s="173" t="str">
        <f t="shared" si="19"/>
        <v>RM-304/1D-2.99X771</v>
      </c>
      <c r="C1140" s="173" t="s">
        <v>48</v>
      </c>
      <c r="D1140" s="173" t="s">
        <v>48</v>
      </c>
      <c r="E1140" s="190" t="s">
        <v>3546</v>
      </c>
      <c r="F1140" s="190" t="s">
        <v>3547</v>
      </c>
      <c r="G1140" s="173">
        <v>304</v>
      </c>
      <c r="H1140" s="173" t="s">
        <v>127</v>
      </c>
      <c r="I1140" s="174">
        <v>2.99</v>
      </c>
      <c r="J1140" s="174"/>
      <c r="K1140" s="174"/>
      <c r="L1140" s="174"/>
      <c r="M1140" s="191">
        <v>771</v>
      </c>
      <c r="N1140" s="176">
        <v>11.625</v>
      </c>
      <c r="O1140" s="176"/>
      <c r="P1140" s="177"/>
      <c r="Q1140" s="178"/>
      <c r="R1140" s="179"/>
      <c r="S1140" s="179"/>
      <c r="T1140" s="177"/>
      <c r="U1140" s="177"/>
      <c r="V1140" s="177"/>
      <c r="W1140" s="177"/>
      <c r="X1140" s="177"/>
      <c r="Y1140" s="177"/>
      <c r="Z1140" s="177"/>
      <c r="AA1140" s="177"/>
      <c r="AB1140" s="177"/>
      <c r="AC1140" s="177"/>
      <c r="AD1140" s="180" t="s">
        <v>2877</v>
      </c>
      <c r="AE1140" s="173" t="s">
        <v>69</v>
      </c>
      <c r="AF1140" s="181" t="s">
        <v>142</v>
      </c>
      <c r="AG1140" s="192" t="s">
        <v>2878</v>
      </c>
      <c r="AH1140" s="198"/>
      <c r="AI1140" s="181">
        <v>44950</v>
      </c>
      <c r="AJ1140" s="181"/>
      <c r="AK1140" s="181">
        <f ca="1">TODAY()</f>
        <v>44958</v>
      </c>
      <c r="AL1140" s="173">
        <f t="shared" ref="AL1140:AL1203" ca="1" si="20">IF(AI1140&lt;&gt;0,AK1140-AI1140,0)</f>
        <v>8</v>
      </c>
      <c r="AM1140" s="173" t="str">
        <f t="shared" ref="AM1140:AM1203" si="21">IF(ISNUMBER(X1140)=TRUE,AK1140-X1140,IF(X1140="","",(AK1140)-(MID(RIGHT(X1140,10),4,2)&amp;"/"&amp;LEFT((RIGHT(X1140,10)),2)&amp;"/"&amp;RIGHT(X1140,4))))</f>
        <v/>
      </c>
      <c r="AN1140" s="181"/>
      <c r="AO1140" s="190" t="s">
        <v>3545</v>
      </c>
      <c r="AP1140" s="176">
        <v>11.625</v>
      </c>
      <c r="AQ1140" s="176">
        <v>11.635</v>
      </c>
      <c r="AR1140" s="176">
        <v>11.659999999999998</v>
      </c>
      <c r="AS1140" s="176">
        <v>11.664999999999999</v>
      </c>
      <c r="AT1140" s="173"/>
      <c r="AU1140" s="173">
        <v>465</v>
      </c>
      <c r="AV1140" s="149"/>
      <c r="AW1140" s="142" t="s">
        <v>123</v>
      </c>
      <c r="AY1140" s="212"/>
      <c r="AZ1140" s="196"/>
      <c r="BA1140" s="196"/>
    </row>
    <row r="1141" spans="2:53" s="142" customFormat="1" ht="21" customHeight="1" x14ac:dyDescent="0.25">
      <c r="B1141" s="173" t="str">
        <f t="shared" si="19"/>
        <v>RM-304/1D-2.98X770</v>
      </c>
      <c r="C1141" s="173" t="s">
        <v>48</v>
      </c>
      <c r="D1141" s="173" t="s">
        <v>48</v>
      </c>
      <c r="E1141" s="190" t="s">
        <v>3548</v>
      </c>
      <c r="F1141" s="190" t="s">
        <v>3549</v>
      </c>
      <c r="G1141" s="173">
        <v>304</v>
      </c>
      <c r="H1141" s="173" t="s">
        <v>127</v>
      </c>
      <c r="I1141" s="174">
        <v>2.98</v>
      </c>
      <c r="J1141" s="174"/>
      <c r="K1141" s="174"/>
      <c r="L1141" s="174"/>
      <c r="M1141" s="191">
        <v>770</v>
      </c>
      <c r="N1141" s="176">
        <v>11.645</v>
      </c>
      <c r="O1141" s="176"/>
      <c r="P1141" s="177"/>
      <c r="Q1141" s="178"/>
      <c r="R1141" s="179"/>
      <c r="S1141" s="179"/>
      <c r="T1141" s="177"/>
      <c r="U1141" s="177"/>
      <c r="V1141" s="177"/>
      <c r="W1141" s="177"/>
      <c r="X1141" s="177"/>
      <c r="Y1141" s="177"/>
      <c r="Z1141" s="177"/>
      <c r="AA1141" s="177"/>
      <c r="AB1141" s="177"/>
      <c r="AC1141" s="177"/>
      <c r="AD1141" s="180" t="s">
        <v>2877</v>
      </c>
      <c r="AE1141" s="173" t="s">
        <v>69</v>
      </c>
      <c r="AF1141" s="181" t="s">
        <v>142</v>
      </c>
      <c r="AG1141" s="192" t="s">
        <v>2878</v>
      </c>
      <c r="AH1141" s="198"/>
      <c r="AI1141" s="181">
        <v>44950</v>
      </c>
      <c r="AJ1141" s="181"/>
      <c r="AK1141" s="181">
        <f ca="1">TODAY()</f>
        <v>44958</v>
      </c>
      <c r="AL1141" s="173">
        <f t="shared" ca="1" si="20"/>
        <v>8</v>
      </c>
      <c r="AM1141" s="173" t="str">
        <f t="shared" si="21"/>
        <v/>
      </c>
      <c r="AN1141" s="181"/>
      <c r="AO1141" s="190" t="s">
        <v>3550</v>
      </c>
      <c r="AP1141" s="176">
        <v>11.645</v>
      </c>
      <c r="AQ1141" s="176">
        <v>11.654999999999999</v>
      </c>
      <c r="AR1141" s="176">
        <v>11.679999999999998</v>
      </c>
      <c r="AS1141" s="176">
        <v>11.684999999999999</v>
      </c>
      <c r="AT1141" s="173"/>
      <c r="AU1141" s="173">
        <v>465</v>
      </c>
      <c r="AV1141" s="149"/>
      <c r="AW1141" s="142" t="s">
        <v>123</v>
      </c>
      <c r="AY1141" s="212"/>
      <c r="AZ1141" s="196"/>
      <c r="BA1141" s="196"/>
    </row>
    <row r="1142" spans="2:53" s="142" customFormat="1" ht="21" customHeight="1" x14ac:dyDescent="0.25">
      <c r="B1142" s="173" t="str">
        <f t="shared" si="19"/>
        <v>RM-304/1D-2.98X770</v>
      </c>
      <c r="C1142" s="173" t="s">
        <v>48</v>
      </c>
      <c r="D1142" s="173" t="s">
        <v>48</v>
      </c>
      <c r="E1142" s="190" t="s">
        <v>3551</v>
      </c>
      <c r="F1142" s="190" t="s">
        <v>3552</v>
      </c>
      <c r="G1142" s="173">
        <v>304</v>
      </c>
      <c r="H1142" s="173" t="s">
        <v>127</v>
      </c>
      <c r="I1142" s="174">
        <v>2.98</v>
      </c>
      <c r="J1142" s="174"/>
      <c r="K1142" s="174"/>
      <c r="L1142" s="174"/>
      <c r="M1142" s="191">
        <v>770</v>
      </c>
      <c r="N1142" s="176">
        <v>11.62</v>
      </c>
      <c r="O1142" s="176"/>
      <c r="P1142" s="177"/>
      <c r="Q1142" s="178"/>
      <c r="R1142" s="179"/>
      <c r="S1142" s="179"/>
      <c r="T1142" s="177"/>
      <c r="U1142" s="177"/>
      <c r="V1142" s="177"/>
      <c r="W1142" s="177"/>
      <c r="X1142" s="177"/>
      <c r="Y1142" s="177"/>
      <c r="Z1142" s="177"/>
      <c r="AA1142" s="177"/>
      <c r="AB1142" s="177"/>
      <c r="AC1142" s="177"/>
      <c r="AD1142" s="180" t="s">
        <v>2877</v>
      </c>
      <c r="AE1142" s="173" t="s">
        <v>69</v>
      </c>
      <c r="AF1142" s="181" t="s">
        <v>142</v>
      </c>
      <c r="AG1142" s="192" t="s">
        <v>2878</v>
      </c>
      <c r="AH1142" s="198"/>
      <c r="AI1142" s="181">
        <v>44950</v>
      </c>
      <c r="AJ1142" s="181"/>
      <c r="AK1142" s="181">
        <f ca="1">TODAY()</f>
        <v>44958</v>
      </c>
      <c r="AL1142" s="173">
        <f t="shared" ca="1" si="20"/>
        <v>8</v>
      </c>
      <c r="AM1142" s="173" t="str">
        <f t="shared" si="21"/>
        <v/>
      </c>
      <c r="AN1142" s="181"/>
      <c r="AO1142" s="190" t="s">
        <v>3550</v>
      </c>
      <c r="AP1142" s="176">
        <v>11.62</v>
      </c>
      <c r="AQ1142" s="176">
        <v>11.629999999999999</v>
      </c>
      <c r="AR1142" s="176">
        <v>11.654999999999998</v>
      </c>
      <c r="AS1142" s="176">
        <v>11.659999999999998</v>
      </c>
      <c r="AT1142" s="173"/>
      <c r="AU1142" s="173">
        <v>465</v>
      </c>
      <c r="AV1142" s="149"/>
      <c r="AW1142" s="142" t="s">
        <v>123</v>
      </c>
      <c r="AY1142" s="212"/>
      <c r="AZ1142" s="196"/>
      <c r="BA1142" s="196"/>
    </row>
    <row r="1143" spans="2:53" s="142" customFormat="1" ht="21" customHeight="1" x14ac:dyDescent="0.25">
      <c r="B1143" s="173" t="str">
        <f t="shared" si="19"/>
        <v>RM-304L/1D-2.89X770</v>
      </c>
      <c r="C1143" s="173" t="s">
        <v>48</v>
      </c>
      <c r="D1143" s="173" t="s">
        <v>48</v>
      </c>
      <c r="E1143" s="190" t="s">
        <v>3553</v>
      </c>
      <c r="F1143" s="190" t="s">
        <v>3554</v>
      </c>
      <c r="G1143" s="173" t="s">
        <v>182</v>
      </c>
      <c r="H1143" s="173" t="s">
        <v>127</v>
      </c>
      <c r="I1143" s="174">
        <v>2.89</v>
      </c>
      <c r="J1143" s="174"/>
      <c r="K1143" s="174"/>
      <c r="L1143" s="174"/>
      <c r="M1143" s="191">
        <v>770</v>
      </c>
      <c r="N1143" s="176">
        <v>10.205</v>
      </c>
      <c r="O1143" s="176"/>
      <c r="P1143" s="177"/>
      <c r="Q1143" s="178"/>
      <c r="R1143" s="179"/>
      <c r="S1143" s="179"/>
      <c r="T1143" s="177"/>
      <c r="U1143" s="177"/>
      <c r="V1143" s="177"/>
      <c r="W1143" s="177"/>
      <c r="X1143" s="177"/>
      <c r="Y1143" s="177"/>
      <c r="Z1143" s="177"/>
      <c r="AA1143" s="177"/>
      <c r="AB1143" s="177"/>
      <c r="AC1143" s="177"/>
      <c r="AD1143" s="180" t="s">
        <v>2877</v>
      </c>
      <c r="AE1143" s="173" t="s">
        <v>69</v>
      </c>
      <c r="AF1143" s="181" t="s">
        <v>142</v>
      </c>
      <c r="AG1143" s="192" t="s">
        <v>2878</v>
      </c>
      <c r="AH1143" s="198"/>
      <c r="AI1143" s="181">
        <v>44950</v>
      </c>
      <c r="AJ1143" s="181"/>
      <c r="AK1143" s="181">
        <f ca="1">TODAY()</f>
        <v>44958</v>
      </c>
      <c r="AL1143" s="173">
        <f t="shared" ca="1" si="20"/>
        <v>8</v>
      </c>
      <c r="AM1143" s="173" t="str">
        <f t="shared" si="21"/>
        <v/>
      </c>
      <c r="AN1143" s="181"/>
      <c r="AO1143" s="190" t="s">
        <v>3555</v>
      </c>
      <c r="AP1143" s="176">
        <v>10.205</v>
      </c>
      <c r="AQ1143" s="176">
        <v>10.215</v>
      </c>
      <c r="AR1143" s="176">
        <v>10.239999999999998</v>
      </c>
      <c r="AS1143" s="176">
        <v>10.244999999999999</v>
      </c>
      <c r="AT1143" s="173"/>
      <c r="AU1143" s="173">
        <v>465</v>
      </c>
      <c r="AV1143" s="149"/>
      <c r="AW1143" s="142" t="s">
        <v>123</v>
      </c>
      <c r="AY1143" s="212"/>
      <c r="AZ1143" s="196"/>
      <c r="BA1143" s="196"/>
    </row>
    <row r="1144" spans="2:53" s="142" customFormat="1" ht="21" customHeight="1" x14ac:dyDescent="0.25">
      <c r="B1144" s="173" t="str">
        <f t="shared" si="19"/>
        <v>RM-304L/1D-2.89X768</v>
      </c>
      <c r="C1144" s="173" t="s">
        <v>48</v>
      </c>
      <c r="D1144" s="173" t="s">
        <v>48</v>
      </c>
      <c r="E1144" s="190" t="s">
        <v>3556</v>
      </c>
      <c r="F1144" s="190" t="s">
        <v>3557</v>
      </c>
      <c r="G1144" s="173" t="s">
        <v>182</v>
      </c>
      <c r="H1144" s="173" t="s">
        <v>127</v>
      </c>
      <c r="I1144" s="174">
        <v>2.89</v>
      </c>
      <c r="J1144" s="174"/>
      <c r="K1144" s="174"/>
      <c r="L1144" s="174"/>
      <c r="M1144" s="191">
        <v>768</v>
      </c>
      <c r="N1144" s="176">
        <v>10.17</v>
      </c>
      <c r="O1144" s="176"/>
      <c r="P1144" s="177"/>
      <c r="Q1144" s="178"/>
      <c r="R1144" s="179"/>
      <c r="S1144" s="179"/>
      <c r="T1144" s="177"/>
      <c r="U1144" s="177"/>
      <c r="V1144" s="177"/>
      <c r="W1144" s="177"/>
      <c r="X1144" s="177"/>
      <c r="Y1144" s="177"/>
      <c r="Z1144" s="177"/>
      <c r="AA1144" s="177"/>
      <c r="AB1144" s="177"/>
      <c r="AC1144" s="177"/>
      <c r="AD1144" s="180" t="s">
        <v>2877</v>
      </c>
      <c r="AE1144" s="173" t="s">
        <v>69</v>
      </c>
      <c r="AF1144" s="181" t="s">
        <v>142</v>
      </c>
      <c r="AG1144" s="192" t="s">
        <v>2878</v>
      </c>
      <c r="AH1144" s="198"/>
      <c r="AI1144" s="181">
        <v>44950</v>
      </c>
      <c r="AJ1144" s="181"/>
      <c r="AK1144" s="181">
        <f ca="1">TODAY()</f>
        <v>44958</v>
      </c>
      <c r="AL1144" s="173">
        <f t="shared" ca="1" si="20"/>
        <v>8</v>
      </c>
      <c r="AM1144" s="173" t="str">
        <f t="shared" si="21"/>
        <v/>
      </c>
      <c r="AN1144" s="181"/>
      <c r="AO1144" s="190" t="s">
        <v>3555</v>
      </c>
      <c r="AP1144" s="176">
        <v>10.17</v>
      </c>
      <c r="AQ1144" s="176">
        <v>10.18</v>
      </c>
      <c r="AR1144" s="176">
        <v>10.204999999999998</v>
      </c>
      <c r="AS1144" s="176">
        <v>10.209999999999999</v>
      </c>
      <c r="AT1144" s="173"/>
      <c r="AU1144" s="173">
        <v>465</v>
      </c>
      <c r="AV1144" s="149"/>
      <c r="AW1144" s="142" t="s">
        <v>123</v>
      </c>
      <c r="AY1144" s="212"/>
      <c r="AZ1144" s="196"/>
      <c r="BA1144" s="196"/>
    </row>
    <row r="1145" spans="2:53" s="142" customFormat="1" ht="21" customHeight="1" x14ac:dyDescent="0.25">
      <c r="B1145" s="173" t="str">
        <f t="shared" si="19"/>
        <v>RM-304/1D-3.01X770</v>
      </c>
      <c r="C1145" s="173" t="s">
        <v>48</v>
      </c>
      <c r="D1145" s="173" t="s">
        <v>48</v>
      </c>
      <c r="E1145" s="190" t="s">
        <v>3558</v>
      </c>
      <c r="F1145" s="190" t="s">
        <v>3559</v>
      </c>
      <c r="G1145" s="173">
        <v>304</v>
      </c>
      <c r="H1145" s="173" t="s">
        <v>127</v>
      </c>
      <c r="I1145" s="174">
        <v>3.01</v>
      </c>
      <c r="J1145" s="174"/>
      <c r="K1145" s="174"/>
      <c r="L1145" s="174"/>
      <c r="M1145" s="191">
        <v>770</v>
      </c>
      <c r="N1145" s="176">
        <v>11.635</v>
      </c>
      <c r="O1145" s="176"/>
      <c r="P1145" s="177"/>
      <c r="Q1145" s="178"/>
      <c r="R1145" s="179"/>
      <c r="S1145" s="179"/>
      <c r="T1145" s="177"/>
      <c r="U1145" s="177"/>
      <c r="V1145" s="177"/>
      <c r="W1145" s="177"/>
      <c r="X1145" s="177"/>
      <c r="Y1145" s="177"/>
      <c r="Z1145" s="177"/>
      <c r="AA1145" s="177"/>
      <c r="AB1145" s="177"/>
      <c r="AC1145" s="177"/>
      <c r="AD1145" s="180" t="s">
        <v>2877</v>
      </c>
      <c r="AE1145" s="173" t="s">
        <v>69</v>
      </c>
      <c r="AF1145" s="181" t="s">
        <v>142</v>
      </c>
      <c r="AG1145" s="192" t="s">
        <v>2878</v>
      </c>
      <c r="AH1145" s="198"/>
      <c r="AI1145" s="181">
        <v>44950</v>
      </c>
      <c r="AJ1145" s="181"/>
      <c r="AK1145" s="181">
        <f ca="1">TODAY()</f>
        <v>44958</v>
      </c>
      <c r="AL1145" s="173">
        <f t="shared" ca="1" si="20"/>
        <v>8</v>
      </c>
      <c r="AM1145" s="173" t="str">
        <f t="shared" si="21"/>
        <v/>
      </c>
      <c r="AN1145" s="181"/>
      <c r="AO1145" s="190" t="s">
        <v>3560</v>
      </c>
      <c r="AP1145" s="176">
        <v>11.635</v>
      </c>
      <c r="AQ1145" s="176">
        <v>11.645</v>
      </c>
      <c r="AR1145" s="176">
        <v>11.669999999999998</v>
      </c>
      <c r="AS1145" s="176">
        <v>11.674999999999999</v>
      </c>
      <c r="AT1145" s="173"/>
      <c r="AU1145" s="173">
        <v>465</v>
      </c>
      <c r="AV1145" s="149"/>
      <c r="AW1145" s="142" t="s">
        <v>123</v>
      </c>
      <c r="AY1145" s="212"/>
      <c r="AZ1145" s="196"/>
      <c r="BA1145" s="196"/>
    </row>
    <row r="1146" spans="2:53" s="142" customFormat="1" ht="21" customHeight="1" x14ac:dyDescent="0.25">
      <c r="B1146" s="173" t="str">
        <f t="shared" si="19"/>
        <v>RM-304/1D-3.01X773</v>
      </c>
      <c r="C1146" s="173" t="s">
        <v>48</v>
      </c>
      <c r="D1146" s="173" t="s">
        <v>48</v>
      </c>
      <c r="E1146" s="190" t="s">
        <v>3561</v>
      </c>
      <c r="F1146" s="190" t="s">
        <v>3562</v>
      </c>
      <c r="G1146" s="173">
        <v>304</v>
      </c>
      <c r="H1146" s="173" t="s">
        <v>127</v>
      </c>
      <c r="I1146" s="174">
        <v>3.01</v>
      </c>
      <c r="J1146" s="174"/>
      <c r="K1146" s="174"/>
      <c r="L1146" s="174"/>
      <c r="M1146" s="191">
        <v>773</v>
      </c>
      <c r="N1146" s="176">
        <v>11.475</v>
      </c>
      <c r="O1146" s="176"/>
      <c r="P1146" s="177"/>
      <c r="Q1146" s="178"/>
      <c r="R1146" s="179"/>
      <c r="S1146" s="179"/>
      <c r="T1146" s="177"/>
      <c r="U1146" s="177"/>
      <c r="V1146" s="177"/>
      <c r="W1146" s="177"/>
      <c r="X1146" s="177"/>
      <c r="Y1146" s="177"/>
      <c r="Z1146" s="177"/>
      <c r="AA1146" s="177"/>
      <c r="AB1146" s="177"/>
      <c r="AC1146" s="177"/>
      <c r="AD1146" s="180" t="s">
        <v>2877</v>
      </c>
      <c r="AE1146" s="173" t="s">
        <v>69</v>
      </c>
      <c r="AF1146" s="181" t="s">
        <v>142</v>
      </c>
      <c r="AG1146" s="192" t="s">
        <v>2878</v>
      </c>
      <c r="AH1146" s="198"/>
      <c r="AI1146" s="181">
        <v>44950</v>
      </c>
      <c r="AJ1146" s="181"/>
      <c r="AK1146" s="181">
        <f ca="1">TODAY()</f>
        <v>44958</v>
      </c>
      <c r="AL1146" s="173">
        <f t="shared" ca="1" si="20"/>
        <v>8</v>
      </c>
      <c r="AM1146" s="173" t="str">
        <f t="shared" si="21"/>
        <v/>
      </c>
      <c r="AN1146" s="181"/>
      <c r="AO1146" s="190" t="s">
        <v>3560</v>
      </c>
      <c r="AP1146" s="176">
        <v>11.475</v>
      </c>
      <c r="AQ1146" s="176">
        <v>11.484999999999999</v>
      </c>
      <c r="AR1146" s="176">
        <v>11.509999999999998</v>
      </c>
      <c r="AS1146" s="176">
        <v>11.514999999999999</v>
      </c>
      <c r="AT1146" s="173"/>
      <c r="AU1146" s="173">
        <v>465</v>
      </c>
      <c r="AV1146" s="149"/>
      <c r="AW1146" s="142" t="s">
        <v>123</v>
      </c>
      <c r="AY1146" s="212"/>
      <c r="AZ1146" s="196"/>
      <c r="BA1146" s="196"/>
    </row>
    <row r="1147" spans="2:53" s="142" customFormat="1" ht="21" customHeight="1" x14ac:dyDescent="0.25">
      <c r="B1147" s="173" t="str">
        <f t="shared" si="19"/>
        <v>RM-304/1D-3.77X770</v>
      </c>
      <c r="C1147" s="173" t="s">
        <v>48</v>
      </c>
      <c r="D1147" s="173" t="s">
        <v>48</v>
      </c>
      <c r="E1147" s="190" t="s">
        <v>3563</v>
      </c>
      <c r="F1147" s="190" t="s">
        <v>3564</v>
      </c>
      <c r="G1147" s="173">
        <v>304</v>
      </c>
      <c r="H1147" s="173" t="s">
        <v>127</v>
      </c>
      <c r="I1147" s="174">
        <v>3.77</v>
      </c>
      <c r="J1147" s="174"/>
      <c r="K1147" s="174"/>
      <c r="L1147" s="174"/>
      <c r="M1147" s="191">
        <v>770</v>
      </c>
      <c r="N1147" s="176">
        <v>9.1950000000000003</v>
      </c>
      <c r="O1147" s="176"/>
      <c r="P1147" s="177"/>
      <c r="Q1147" s="178"/>
      <c r="R1147" s="179"/>
      <c r="S1147" s="179"/>
      <c r="T1147" s="177"/>
      <c r="U1147" s="177"/>
      <c r="V1147" s="177"/>
      <c r="W1147" s="177"/>
      <c r="X1147" s="177"/>
      <c r="Y1147" s="177"/>
      <c r="Z1147" s="177"/>
      <c r="AA1147" s="177"/>
      <c r="AB1147" s="177"/>
      <c r="AC1147" s="177"/>
      <c r="AD1147" s="180" t="s">
        <v>2877</v>
      </c>
      <c r="AE1147" s="173" t="s">
        <v>69</v>
      </c>
      <c r="AF1147" s="181" t="s">
        <v>142</v>
      </c>
      <c r="AG1147" s="192" t="s">
        <v>2878</v>
      </c>
      <c r="AH1147" s="198"/>
      <c r="AI1147" s="181">
        <v>44950</v>
      </c>
      <c r="AJ1147" s="181"/>
      <c r="AK1147" s="181">
        <f ca="1">TODAY()</f>
        <v>44958</v>
      </c>
      <c r="AL1147" s="173">
        <f t="shared" ca="1" si="20"/>
        <v>8</v>
      </c>
      <c r="AM1147" s="173" t="str">
        <f t="shared" si="21"/>
        <v/>
      </c>
      <c r="AN1147" s="181"/>
      <c r="AO1147" s="190" t="s">
        <v>3565</v>
      </c>
      <c r="AP1147" s="176">
        <v>9.1950000000000003</v>
      </c>
      <c r="AQ1147" s="176">
        <v>9.2050000000000001</v>
      </c>
      <c r="AR1147" s="176">
        <v>9.2299999999999986</v>
      </c>
      <c r="AS1147" s="176">
        <v>9.2349999999999994</v>
      </c>
      <c r="AT1147" s="173"/>
      <c r="AU1147" s="173">
        <v>465</v>
      </c>
      <c r="AV1147" s="149"/>
      <c r="AW1147" s="142" t="s">
        <v>123</v>
      </c>
      <c r="AY1147" s="212"/>
      <c r="AZ1147" s="196"/>
      <c r="BA1147" s="196"/>
    </row>
    <row r="1148" spans="2:53" s="142" customFormat="1" ht="21" customHeight="1" x14ac:dyDescent="0.25">
      <c r="B1148" s="173" t="str">
        <f t="shared" si="19"/>
        <v>RM-304/1D-3.78X771</v>
      </c>
      <c r="C1148" s="173" t="s">
        <v>48</v>
      </c>
      <c r="D1148" s="173" t="s">
        <v>48</v>
      </c>
      <c r="E1148" s="190" t="s">
        <v>3566</v>
      </c>
      <c r="F1148" s="190" t="s">
        <v>3567</v>
      </c>
      <c r="G1148" s="173">
        <v>304</v>
      </c>
      <c r="H1148" s="173" t="s">
        <v>127</v>
      </c>
      <c r="I1148" s="174">
        <v>3.78</v>
      </c>
      <c r="J1148" s="174"/>
      <c r="K1148" s="174"/>
      <c r="L1148" s="174"/>
      <c r="M1148" s="191">
        <v>771</v>
      </c>
      <c r="N1148" s="176">
        <v>9.2100000000000009</v>
      </c>
      <c r="O1148" s="176"/>
      <c r="P1148" s="177"/>
      <c r="Q1148" s="178"/>
      <c r="R1148" s="179"/>
      <c r="S1148" s="179"/>
      <c r="T1148" s="177"/>
      <c r="U1148" s="177"/>
      <c r="V1148" s="177"/>
      <c r="W1148" s="177"/>
      <c r="X1148" s="177"/>
      <c r="Y1148" s="177"/>
      <c r="Z1148" s="177"/>
      <c r="AA1148" s="177"/>
      <c r="AB1148" s="177"/>
      <c r="AC1148" s="177"/>
      <c r="AD1148" s="180" t="s">
        <v>2877</v>
      </c>
      <c r="AE1148" s="173" t="s">
        <v>69</v>
      </c>
      <c r="AF1148" s="181" t="s">
        <v>142</v>
      </c>
      <c r="AG1148" s="192" t="s">
        <v>2878</v>
      </c>
      <c r="AH1148" s="198"/>
      <c r="AI1148" s="181">
        <v>44950</v>
      </c>
      <c r="AJ1148" s="181"/>
      <c r="AK1148" s="181">
        <f ca="1">TODAY()</f>
        <v>44958</v>
      </c>
      <c r="AL1148" s="173">
        <f t="shared" ca="1" si="20"/>
        <v>8</v>
      </c>
      <c r="AM1148" s="173" t="str">
        <f t="shared" si="21"/>
        <v/>
      </c>
      <c r="AN1148" s="181"/>
      <c r="AO1148" s="190" t="s">
        <v>3565</v>
      </c>
      <c r="AP1148" s="176">
        <v>9.2100000000000009</v>
      </c>
      <c r="AQ1148" s="176">
        <v>9.2200000000000006</v>
      </c>
      <c r="AR1148" s="176">
        <v>9.2449999999999992</v>
      </c>
      <c r="AS1148" s="176">
        <v>9.25</v>
      </c>
      <c r="AT1148" s="173"/>
      <c r="AU1148" s="173">
        <v>465</v>
      </c>
      <c r="AV1148" s="149"/>
      <c r="AW1148" s="142" t="s">
        <v>123</v>
      </c>
      <c r="AY1148" s="212"/>
      <c r="AZ1148" s="196"/>
      <c r="BA1148" s="196"/>
    </row>
    <row r="1149" spans="2:53" s="142" customFormat="1" ht="21" customHeight="1" x14ac:dyDescent="0.25">
      <c r="B1149" s="173" t="str">
        <f t="shared" si="19"/>
        <v>RM-304L/1D-2.89X770</v>
      </c>
      <c r="C1149" s="173" t="s">
        <v>48</v>
      </c>
      <c r="D1149" s="173" t="s">
        <v>48</v>
      </c>
      <c r="E1149" s="190" t="s">
        <v>3568</v>
      </c>
      <c r="F1149" s="190" t="s">
        <v>3569</v>
      </c>
      <c r="G1149" s="173" t="s">
        <v>182</v>
      </c>
      <c r="H1149" s="173" t="s">
        <v>127</v>
      </c>
      <c r="I1149" s="174">
        <v>2.89</v>
      </c>
      <c r="J1149" s="174"/>
      <c r="K1149" s="174"/>
      <c r="L1149" s="174"/>
      <c r="M1149" s="191">
        <v>770</v>
      </c>
      <c r="N1149" s="176">
        <v>9.7949999999999999</v>
      </c>
      <c r="O1149" s="176"/>
      <c r="P1149" s="177"/>
      <c r="Q1149" s="178"/>
      <c r="R1149" s="179"/>
      <c r="S1149" s="179"/>
      <c r="T1149" s="177"/>
      <c r="U1149" s="177"/>
      <c r="V1149" s="177"/>
      <c r="W1149" s="177"/>
      <c r="X1149" s="177"/>
      <c r="Y1149" s="177"/>
      <c r="Z1149" s="177"/>
      <c r="AA1149" s="177"/>
      <c r="AB1149" s="177"/>
      <c r="AC1149" s="177"/>
      <c r="AD1149" s="180" t="s">
        <v>2877</v>
      </c>
      <c r="AE1149" s="173" t="s">
        <v>69</v>
      </c>
      <c r="AF1149" s="181" t="s">
        <v>142</v>
      </c>
      <c r="AG1149" s="192" t="s">
        <v>2878</v>
      </c>
      <c r="AH1149" s="198"/>
      <c r="AI1149" s="181">
        <v>44950</v>
      </c>
      <c r="AJ1149" s="181"/>
      <c r="AK1149" s="181">
        <f ca="1">TODAY()</f>
        <v>44958</v>
      </c>
      <c r="AL1149" s="173">
        <f t="shared" ca="1" si="20"/>
        <v>8</v>
      </c>
      <c r="AM1149" s="173" t="str">
        <f t="shared" si="21"/>
        <v/>
      </c>
      <c r="AN1149" s="181"/>
      <c r="AO1149" s="190" t="s">
        <v>3570</v>
      </c>
      <c r="AP1149" s="176">
        <v>9.7949999999999999</v>
      </c>
      <c r="AQ1149" s="176">
        <v>9.8049999999999997</v>
      </c>
      <c r="AR1149" s="176">
        <v>9.8299999999999983</v>
      </c>
      <c r="AS1149" s="176">
        <v>9.8349999999999991</v>
      </c>
      <c r="AT1149" s="173"/>
      <c r="AU1149" s="173">
        <v>465</v>
      </c>
      <c r="AV1149" s="149"/>
      <c r="AW1149" s="142" t="s">
        <v>123</v>
      </c>
      <c r="AY1149" s="212"/>
      <c r="AZ1149" s="196"/>
      <c r="BA1149" s="196"/>
    </row>
    <row r="1150" spans="2:53" s="142" customFormat="1" ht="21" customHeight="1" x14ac:dyDescent="0.25">
      <c r="B1150" s="173" t="str">
        <f t="shared" ref="B1150:B1213" si="22">IF(C1150="HOLD RM","HOLD RM",IF(C1150="BAL","WIP",IF(C1150="HOLD SLT","HOLD SLT",IF(C1150="MILL","RM",IF(C1150="RE SLT","WIP",IF(C1150="RM","RM",IF(C1150="RM BAL","RM",IF(C1150="RM SLT","RM",IF(C1150="RR","WIP",IF(C1150="SKP","WIP",IF(C1150="SLT","WIP",IF(C1150="CTL","WIP",IF(C1150="RM SLT RUST","RM SLT RUST",0)))))))))))))&amp;"-"&amp;G1150&amp;"/"&amp;IF(H1150="2B","2B",IF(H1150="NO.1","1D",IF(H1150="FH","FH",0)))&amp;"-"&amp;IF(J1150="",(TEXT(I1150,"0.00")),TEXT(J1150,"0.00"))&amp;"X"&amp;M1150</f>
        <v>RM-304L/1D-2.88X771</v>
      </c>
      <c r="C1150" s="173" t="s">
        <v>48</v>
      </c>
      <c r="D1150" s="173" t="s">
        <v>48</v>
      </c>
      <c r="E1150" s="190" t="s">
        <v>3571</v>
      </c>
      <c r="F1150" s="190" t="s">
        <v>3572</v>
      </c>
      <c r="G1150" s="173" t="s">
        <v>182</v>
      </c>
      <c r="H1150" s="173" t="s">
        <v>127</v>
      </c>
      <c r="I1150" s="174">
        <v>2.88</v>
      </c>
      <c r="J1150" s="174"/>
      <c r="K1150" s="174"/>
      <c r="L1150" s="174"/>
      <c r="M1150" s="191">
        <v>771</v>
      </c>
      <c r="N1150" s="176">
        <v>9.8350000000000009</v>
      </c>
      <c r="O1150" s="176"/>
      <c r="P1150" s="177"/>
      <c r="Q1150" s="178"/>
      <c r="R1150" s="179"/>
      <c r="S1150" s="179"/>
      <c r="T1150" s="177"/>
      <c r="U1150" s="177"/>
      <c r="V1150" s="177"/>
      <c r="W1150" s="177"/>
      <c r="X1150" s="177"/>
      <c r="Y1150" s="177"/>
      <c r="Z1150" s="177"/>
      <c r="AA1150" s="177"/>
      <c r="AB1150" s="177"/>
      <c r="AC1150" s="177"/>
      <c r="AD1150" s="180" t="s">
        <v>2877</v>
      </c>
      <c r="AE1150" s="173" t="s">
        <v>69</v>
      </c>
      <c r="AF1150" s="181" t="s">
        <v>142</v>
      </c>
      <c r="AG1150" s="192" t="s">
        <v>2878</v>
      </c>
      <c r="AH1150" s="198"/>
      <c r="AI1150" s="181">
        <v>44950</v>
      </c>
      <c r="AJ1150" s="181"/>
      <c r="AK1150" s="181">
        <f ca="1">TODAY()</f>
        <v>44958</v>
      </c>
      <c r="AL1150" s="173">
        <f t="shared" ca="1" si="20"/>
        <v>8</v>
      </c>
      <c r="AM1150" s="173" t="str">
        <f t="shared" si="21"/>
        <v/>
      </c>
      <c r="AN1150" s="181"/>
      <c r="AO1150" s="190" t="s">
        <v>3570</v>
      </c>
      <c r="AP1150" s="176">
        <v>9.8350000000000009</v>
      </c>
      <c r="AQ1150" s="176">
        <v>9.8450000000000006</v>
      </c>
      <c r="AR1150" s="176">
        <v>9.8699999999999992</v>
      </c>
      <c r="AS1150" s="176">
        <v>9.875</v>
      </c>
      <c r="AT1150" s="173"/>
      <c r="AU1150" s="173">
        <v>465</v>
      </c>
      <c r="AV1150" s="149"/>
      <c r="AW1150" s="142" t="s">
        <v>123</v>
      </c>
      <c r="AY1150" s="212"/>
      <c r="AZ1150" s="196"/>
      <c r="BA1150" s="196"/>
    </row>
    <row r="1151" spans="2:53" s="142" customFormat="1" ht="21" customHeight="1" x14ac:dyDescent="0.25">
      <c r="B1151" s="173" t="str">
        <f t="shared" si="22"/>
        <v>RM-304L/1D-3.79X770</v>
      </c>
      <c r="C1151" s="173" t="s">
        <v>48</v>
      </c>
      <c r="D1151" s="173" t="s">
        <v>48</v>
      </c>
      <c r="E1151" s="190" t="s">
        <v>3573</v>
      </c>
      <c r="F1151" s="190" t="s">
        <v>3574</v>
      </c>
      <c r="G1151" s="173" t="s">
        <v>182</v>
      </c>
      <c r="H1151" s="173" t="s">
        <v>127</v>
      </c>
      <c r="I1151" s="174">
        <v>3.79</v>
      </c>
      <c r="J1151" s="174"/>
      <c r="K1151" s="174"/>
      <c r="L1151" s="174"/>
      <c r="M1151" s="191">
        <v>770</v>
      </c>
      <c r="N1151" s="176">
        <v>10.225</v>
      </c>
      <c r="O1151" s="176"/>
      <c r="P1151" s="177"/>
      <c r="Q1151" s="178"/>
      <c r="R1151" s="179"/>
      <c r="S1151" s="179"/>
      <c r="T1151" s="177"/>
      <c r="U1151" s="177"/>
      <c r="V1151" s="177"/>
      <c r="W1151" s="177"/>
      <c r="X1151" s="177"/>
      <c r="Y1151" s="177"/>
      <c r="Z1151" s="177"/>
      <c r="AA1151" s="177"/>
      <c r="AB1151" s="177"/>
      <c r="AC1151" s="177"/>
      <c r="AD1151" s="180" t="s">
        <v>2877</v>
      </c>
      <c r="AE1151" s="173" t="s">
        <v>69</v>
      </c>
      <c r="AF1151" s="181" t="s">
        <v>142</v>
      </c>
      <c r="AG1151" s="192" t="s">
        <v>2878</v>
      </c>
      <c r="AH1151" s="198"/>
      <c r="AI1151" s="181">
        <v>44950</v>
      </c>
      <c r="AJ1151" s="181"/>
      <c r="AK1151" s="181">
        <f ca="1">TODAY()</f>
        <v>44958</v>
      </c>
      <c r="AL1151" s="173">
        <f t="shared" ca="1" si="20"/>
        <v>8</v>
      </c>
      <c r="AM1151" s="173" t="str">
        <f t="shared" si="21"/>
        <v/>
      </c>
      <c r="AN1151" s="181"/>
      <c r="AO1151" s="190" t="s">
        <v>3575</v>
      </c>
      <c r="AP1151" s="176">
        <v>10.225</v>
      </c>
      <c r="AQ1151" s="176">
        <v>10.234999999999999</v>
      </c>
      <c r="AR1151" s="176">
        <v>10.259999999999998</v>
      </c>
      <c r="AS1151" s="176">
        <v>10.264999999999999</v>
      </c>
      <c r="AT1151" s="173"/>
      <c r="AU1151" s="173">
        <v>465</v>
      </c>
      <c r="AV1151" s="149"/>
      <c r="AW1151" s="142" t="s">
        <v>123</v>
      </c>
      <c r="AY1151" s="212"/>
      <c r="AZ1151" s="196"/>
      <c r="BA1151" s="196"/>
    </row>
    <row r="1152" spans="2:53" s="142" customFormat="1" ht="21" customHeight="1" x14ac:dyDescent="0.25">
      <c r="B1152" s="173" t="str">
        <f t="shared" si="22"/>
        <v>RM-304L/1D-3.79X774</v>
      </c>
      <c r="C1152" s="173" t="s">
        <v>48</v>
      </c>
      <c r="D1152" s="173" t="s">
        <v>48</v>
      </c>
      <c r="E1152" s="190" t="s">
        <v>3576</v>
      </c>
      <c r="F1152" s="190" t="s">
        <v>3577</v>
      </c>
      <c r="G1152" s="173" t="s">
        <v>182</v>
      </c>
      <c r="H1152" s="173" t="s">
        <v>127</v>
      </c>
      <c r="I1152" s="174">
        <v>3.79</v>
      </c>
      <c r="J1152" s="174"/>
      <c r="K1152" s="174"/>
      <c r="L1152" s="174"/>
      <c r="M1152" s="191">
        <v>774</v>
      </c>
      <c r="N1152" s="176">
        <v>10.26</v>
      </c>
      <c r="O1152" s="176"/>
      <c r="P1152" s="177"/>
      <c r="Q1152" s="178"/>
      <c r="R1152" s="179"/>
      <c r="S1152" s="179"/>
      <c r="T1152" s="177"/>
      <c r="U1152" s="177"/>
      <c r="V1152" s="177"/>
      <c r="W1152" s="177"/>
      <c r="X1152" s="177"/>
      <c r="Y1152" s="177"/>
      <c r="Z1152" s="177"/>
      <c r="AA1152" s="177"/>
      <c r="AB1152" s="177"/>
      <c r="AC1152" s="177"/>
      <c r="AD1152" s="180" t="s">
        <v>2877</v>
      </c>
      <c r="AE1152" s="173" t="s">
        <v>69</v>
      </c>
      <c r="AF1152" s="181" t="s">
        <v>142</v>
      </c>
      <c r="AG1152" s="192" t="s">
        <v>2878</v>
      </c>
      <c r="AH1152" s="198"/>
      <c r="AI1152" s="181">
        <v>44950</v>
      </c>
      <c r="AJ1152" s="181"/>
      <c r="AK1152" s="181">
        <f ca="1">TODAY()</f>
        <v>44958</v>
      </c>
      <c r="AL1152" s="173">
        <f t="shared" ca="1" si="20"/>
        <v>8</v>
      </c>
      <c r="AM1152" s="173" t="str">
        <f t="shared" si="21"/>
        <v/>
      </c>
      <c r="AN1152" s="181"/>
      <c r="AO1152" s="190" t="s">
        <v>3575</v>
      </c>
      <c r="AP1152" s="176">
        <v>10.26</v>
      </c>
      <c r="AQ1152" s="176">
        <v>10.27</v>
      </c>
      <c r="AR1152" s="176">
        <v>10.294999999999998</v>
      </c>
      <c r="AS1152" s="176">
        <v>10.299999999999999</v>
      </c>
      <c r="AT1152" s="173"/>
      <c r="AU1152" s="173">
        <v>465</v>
      </c>
      <c r="AV1152" s="149"/>
      <c r="AW1152" s="142" t="s">
        <v>123</v>
      </c>
      <c r="AY1152" s="212"/>
      <c r="AZ1152" s="196"/>
      <c r="BA1152" s="196"/>
    </row>
    <row r="1153" spans="2:53" s="142" customFormat="1" ht="21" customHeight="1" x14ac:dyDescent="0.25">
      <c r="B1153" s="173" t="str">
        <f t="shared" si="22"/>
        <v>RM-304L/1D-2.89X770</v>
      </c>
      <c r="C1153" s="173" t="s">
        <v>48</v>
      </c>
      <c r="D1153" s="173" t="s">
        <v>48</v>
      </c>
      <c r="E1153" s="190" t="s">
        <v>3578</v>
      </c>
      <c r="F1153" s="190" t="s">
        <v>3579</v>
      </c>
      <c r="G1153" s="173" t="s">
        <v>182</v>
      </c>
      <c r="H1153" s="173" t="s">
        <v>127</v>
      </c>
      <c r="I1153" s="174">
        <v>2.89</v>
      </c>
      <c r="J1153" s="174"/>
      <c r="K1153" s="174"/>
      <c r="L1153" s="174"/>
      <c r="M1153" s="191">
        <v>770</v>
      </c>
      <c r="N1153" s="176">
        <v>9.8949999999999996</v>
      </c>
      <c r="O1153" s="176"/>
      <c r="P1153" s="177"/>
      <c r="Q1153" s="178"/>
      <c r="R1153" s="179"/>
      <c r="S1153" s="179"/>
      <c r="T1153" s="177"/>
      <c r="U1153" s="177"/>
      <c r="V1153" s="177"/>
      <c r="W1153" s="177"/>
      <c r="X1153" s="177"/>
      <c r="Y1153" s="177"/>
      <c r="Z1153" s="177"/>
      <c r="AA1153" s="177"/>
      <c r="AB1153" s="177"/>
      <c r="AC1153" s="177"/>
      <c r="AD1153" s="180" t="s">
        <v>2877</v>
      </c>
      <c r="AE1153" s="173" t="s">
        <v>69</v>
      </c>
      <c r="AF1153" s="181" t="s">
        <v>142</v>
      </c>
      <c r="AG1153" s="192" t="s">
        <v>2878</v>
      </c>
      <c r="AH1153" s="198"/>
      <c r="AI1153" s="181">
        <v>44950</v>
      </c>
      <c r="AJ1153" s="181"/>
      <c r="AK1153" s="181">
        <f ca="1">TODAY()</f>
        <v>44958</v>
      </c>
      <c r="AL1153" s="173">
        <f t="shared" ca="1" si="20"/>
        <v>8</v>
      </c>
      <c r="AM1153" s="173" t="str">
        <f t="shared" si="21"/>
        <v/>
      </c>
      <c r="AN1153" s="181"/>
      <c r="AO1153" s="190" t="s">
        <v>3580</v>
      </c>
      <c r="AP1153" s="176">
        <v>9.8949999999999996</v>
      </c>
      <c r="AQ1153" s="176">
        <v>9.9049999999999994</v>
      </c>
      <c r="AR1153" s="176">
        <v>9.9299999999999979</v>
      </c>
      <c r="AS1153" s="176">
        <v>9.9349999999999987</v>
      </c>
      <c r="AT1153" s="173"/>
      <c r="AU1153" s="173">
        <v>465</v>
      </c>
      <c r="AV1153" s="149"/>
      <c r="AW1153" s="142" t="s">
        <v>123</v>
      </c>
      <c r="AY1153" s="212"/>
      <c r="AZ1153" s="196"/>
      <c r="BA1153" s="196"/>
    </row>
    <row r="1154" spans="2:53" s="142" customFormat="1" ht="21" customHeight="1" x14ac:dyDescent="0.25">
      <c r="B1154" s="173" t="str">
        <f t="shared" si="22"/>
        <v>RM-304L/1D-2.89X772</v>
      </c>
      <c r="C1154" s="173" t="s">
        <v>48</v>
      </c>
      <c r="D1154" s="173" t="s">
        <v>48</v>
      </c>
      <c r="E1154" s="190" t="s">
        <v>3581</v>
      </c>
      <c r="F1154" s="190" t="s">
        <v>3582</v>
      </c>
      <c r="G1154" s="173" t="s">
        <v>182</v>
      </c>
      <c r="H1154" s="173" t="s">
        <v>127</v>
      </c>
      <c r="I1154" s="174">
        <v>2.89</v>
      </c>
      <c r="J1154" s="174"/>
      <c r="K1154" s="174"/>
      <c r="L1154" s="174"/>
      <c r="M1154" s="191">
        <v>772</v>
      </c>
      <c r="N1154" s="176">
        <v>9.9649999999999999</v>
      </c>
      <c r="O1154" s="176"/>
      <c r="P1154" s="177"/>
      <c r="Q1154" s="178"/>
      <c r="R1154" s="179"/>
      <c r="S1154" s="179"/>
      <c r="T1154" s="177"/>
      <c r="U1154" s="177"/>
      <c r="V1154" s="177"/>
      <c r="W1154" s="177"/>
      <c r="X1154" s="177"/>
      <c r="Y1154" s="177"/>
      <c r="Z1154" s="177"/>
      <c r="AA1154" s="177"/>
      <c r="AB1154" s="177"/>
      <c r="AC1154" s="177"/>
      <c r="AD1154" s="180" t="s">
        <v>2877</v>
      </c>
      <c r="AE1154" s="173" t="s">
        <v>69</v>
      </c>
      <c r="AF1154" s="181" t="s">
        <v>142</v>
      </c>
      <c r="AG1154" s="192" t="s">
        <v>2878</v>
      </c>
      <c r="AH1154" s="198"/>
      <c r="AI1154" s="181">
        <v>44950</v>
      </c>
      <c r="AJ1154" s="181"/>
      <c r="AK1154" s="181">
        <f ca="1">TODAY()</f>
        <v>44958</v>
      </c>
      <c r="AL1154" s="173">
        <f t="shared" ca="1" si="20"/>
        <v>8</v>
      </c>
      <c r="AM1154" s="173" t="str">
        <f t="shared" si="21"/>
        <v/>
      </c>
      <c r="AN1154" s="181"/>
      <c r="AO1154" s="190" t="s">
        <v>3580</v>
      </c>
      <c r="AP1154" s="176">
        <v>9.9649999999999999</v>
      </c>
      <c r="AQ1154" s="176">
        <v>9.9749999999999996</v>
      </c>
      <c r="AR1154" s="176">
        <v>9.9999999999999982</v>
      </c>
      <c r="AS1154" s="176">
        <v>10.004999999999999</v>
      </c>
      <c r="AT1154" s="173"/>
      <c r="AU1154" s="173">
        <v>465</v>
      </c>
      <c r="AV1154" s="149"/>
      <c r="AW1154" s="142" t="s">
        <v>123</v>
      </c>
      <c r="AY1154" s="212"/>
      <c r="AZ1154" s="196"/>
      <c r="BA1154" s="196"/>
    </row>
    <row r="1155" spans="2:53" s="142" customFormat="1" ht="21" customHeight="1" x14ac:dyDescent="0.25">
      <c r="B1155" s="173" t="str">
        <f t="shared" si="22"/>
        <v>RM-304/1D-3.80X770</v>
      </c>
      <c r="C1155" s="173" t="s">
        <v>48</v>
      </c>
      <c r="D1155" s="173" t="s">
        <v>48</v>
      </c>
      <c r="E1155" s="190" t="s">
        <v>3583</v>
      </c>
      <c r="F1155" s="190" t="s">
        <v>3584</v>
      </c>
      <c r="G1155" s="173">
        <v>304</v>
      </c>
      <c r="H1155" s="173" t="s">
        <v>127</v>
      </c>
      <c r="I1155" s="174">
        <v>3.8</v>
      </c>
      <c r="J1155" s="174"/>
      <c r="K1155" s="174"/>
      <c r="L1155" s="174"/>
      <c r="M1155" s="191">
        <v>770</v>
      </c>
      <c r="N1155" s="176">
        <v>10.234999999999999</v>
      </c>
      <c r="O1155" s="176"/>
      <c r="P1155" s="177"/>
      <c r="Q1155" s="178"/>
      <c r="R1155" s="179"/>
      <c r="S1155" s="179"/>
      <c r="T1155" s="177"/>
      <c r="U1155" s="177"/>
      <c r="V1155" s="177"/>
      <c r="W1155" s="177"/>
      <c r="X1155" s="177"/>
      <c r="Y1155" s="177"/>
      <c r="Z1155" s="177"/>
      <c r="AA1155" s="177"/>
      <c r="AB1155" s="177"/>
      <c r="AC1155" s="177"/>
      <c r="AD1155" s="180" t="s">
        <v>2877</v>
      </c>
      <c r="AE1155" s="173" t="s">
        <v>69</v>
      </c>
      <c r="AF1155" s="181" t="s">
        <v>142</v>
      </c>
      <c r="AG1155" s="192" t="s">
        <v>2878</v>
      </c>
      <c r="AH1155" s="198"/>
      <c r="AI1155" s="181">
        <v>44950</v>
      </c>
      <c r="AJ1155" s="181"/>
      <c r="AK1155" s="181">
        <f ca="1">TODAY()</f>
        <v>44958</v>
      </c>
      <c r="AL1155" s="173">
        <f t="shared" ca="1" si="20"/>
        <v>8</v>
      </c>
      <c r="AM1155" s="173" t="str">
        <f t="shared" si="21"/>
        <v/>
      </c>
      <c r="AN1155" s="181"/>
      <c r="AO1155" s="190" t="s">
        <v>3585</v>
      </c>
      <c r="AP1155" s="176">
        <v>10.234999999999999</v>
      </c>
      <c r="AQ1155" s="176">
        <v>10.244999999999999</v>
      </c>
      <c r="AR1155" s="176">
        <v>10.269999999999998</v>
      </c>
      <c r="AS1155" s="176">
        <v>10.274999999999999</v>
      </c>
      <c r="AT1155" s="173"/>
      <c r="AU1155" s="173">
        <v>465</v>
      </c>
      <c r="AV1155" s="149"/>
      <c r="AW1155" s="142" t="s">
        <v>123</v>
      </c>
      <c r="AY1155" s="212"/>
      <c r="AZ1155" s="196"/>
      <c r="BA1155" s="196"/>
    </row>
    <row r="1156" spans="2:53" s="142" customFormat="1" ht="21" customHeight="1" x14ac:dyDescent="0.25">
      <c r="B1156" s="173" t="str">
        <f t="shared" si="22"/>
        <v>RM-304/1D-3.81X768</v>
      </c>
      <c r="C1156" s="173" t="s">
        <v>48</v>
      </c>
      <c r="D1156" s="173" t="s">
        <v>48</v>
      </c>
      <c r="E1156" s="190" t="s">
        <v>3586</v>
      </c>
      <c r="F1156" s="190" t="s">
        <v>3587</v>
      </c>
      <c r="G1156" s="173">
        <v>304</v>
      </c>
      <c r="H1156" s="173" t="s">
        <v>127</v>
      </c>
      <c r="I1156" s="174">
        <v>3.81</v>
      </c>
      <c r="J1156" s="174"/>
      <c r="K1156" s="174"/>
      <c r="L1156" s="174"/>
      <c r="M1156" s="191">
        <v>768</v>
      </c>
      <c r="N1156" s="176">
        <v>9.4700000000000006</v>
      </c>
      <c r="O1156" s="176"/>
      <c r="P1156" s="177"/>
      <c r="Q1156" s="178"/>
      <c r="R1156" s="179"/>
      <c r="S1156" s="179"/>
      <c r="T1156" s="177"/>
      <c r="U1156" s="177"/>
      <c r="V1156" s="177"/>
      <c r="W1156" s="177"/>
      <c r="X1156" s="177"/>
      <c r="Y1156" s="177"/>
      <c r="Z1156" s="177"/>
      <c r="AA1156" s="177"/>
      <c r="AB1156" s="177"/>
      <c r="AC1156" s="177"/>
      <c r="AD1156" s="180" t="s">
        <v>2877</v>
      </c>
      <c r="AE1156" s="173" t="s">
        <v>69</v>
      </c>
      <c r="AF1156" s="181" t="s">
        <v>142</v>
      </c>
      <c r="AG1156" s="192" t="s">
        <v>2878</v>
      </c>
      <c r="AH1156" s="198"/>
      <c r="AI1156" s="181">
        <v>44950</v>
      </c>
      <c r="AJ1156" s="181"/>
      <c r="AK1156" s="181">
        <f ca="1">TODAY()</f>
        <v>44958</v>
      </c>
      <c r="AL1156" s="173">
        <f t="shared" ca="1" si="20"/>
        <v>8</v>
      </c>
      <c r="AM1156" s="173" t="str">
        <f t="shared" si="21"/>
        <v/>
      </c>
      <c r="AN1156" s="181"/>
      <c r="AO1156" s="190" t="s">
        <v>3585</v>
      </c>
      <c r="AP1156" s="176">
        <v>9.4700000000000006</v>
      </c>
      <c r="AQ1156" s="176">
        <v>9.48</v>
      </c>
      <c r="AR1156" s="176">
        <v>9.504999999999999</v>
      </c>
      <c r="AS1156" s="176">
        <v>9.51</v>
      </c>
      <c r="AT1156" s="173"/>
      <c r="AU1156" s="173">
        <v>465</v>
      </c>
      <c r="AV1156" s="149"/>
      <c r="AW1156" s="142" t="s">
        <v>123</v>
      </c>
      <c r="AY1156" s="212"/>
      <c r="AZ1156" s="196"/>
      <c r="BA1156" s="196"/>
    </row>
    <row r="1157" spans="2:53" s="142" customFormat="1" ht="21" customHeight="1" x14ac:dyDescent="0.25">
      <c r="B1157" s="173" t="str">
        <f t="shared" si="22"/>
        <v>RM-304L/1D-3.78X770</v>
      </c>
      <c r="C1157" s="173" t="s">
        <v>48</v>
      </c>
      <c r="D1157" s="173" t="s">
        <v>48</v>
      </c>
      <c r="E1157" s="190" t="s">
        <v>3588</v>
      </c>
      <c r="F1157" s="190" t="s">
        <v>3589</v>
      </c>
      <c r="G1157" s="173" t="s">
        <v>182</v>
      </c>
      <c r="H1157" s="173" t="s">
        <v>127</v>
      </c>
      <c r="I1157" s="174">
        <v>3.78</v>
      </c>
      <c r="J1157" s="174"/>
      <c r="K1157" s="174"/>
      <c r="L1157" s="174"/>
      <c r="M1157" s="191">
        <v>770</v>
      </c>
      <c r="N1157" s="176">
        <v>10.5</v>
      </c>
      <c r="O1157" s="176"/>
      <c r="P1157" s="177"/>
      <c r="Q1157" s="178"/>
      <c r="R1157" s="179"/>
      <c r="S1157" s="179"/>
      <c r="T1157" s="177"/>
      <c r="U1157" s="177"/>
      <c r="V1157" s="177"/>
      <c r="W1157" s="177"/>
      <c r="X1157" s="177"/>
      <c r="Y1157" s="177"/>
      <c r="Z1157" s="177"/>
      <c r="AA1157" s="177"/>
      <c r="AB1157" s="177"/>
      <c r="AC1157" s="177"/>
      <c r="AD1157" s="180" t="s">
        <v>2877</v>
      </c>
      <c r="AE1157" s="173" t="s">
        <v>69</v>
      </c>
      <c r="AF1157" s="181" t="s">
        <v>142</v>
      </c>
      <c r="AG1157" s="192" t="s">
        <v>2878</v>
      </c>
      <c r="AH1157" s="198"/>
      <c r="AI1157" s="181">
        <v>44950</v>
      </c>
      <c r="AJ1157" s="181"/>
      <c r="AK1157" s="181">
        <f ca="1">TODAY()</f>
        <v>44958</v>
      </c>
      <c r="AL1157" s="173">
        <f t="shared" ca="1" si="20"/>
        <v>8</v>
      </c>
      <c r="AM1157" s="173" t="str">
        <f t="shared" si="21"/>
        <v/>
      </c>
      <c r="AN1157" s="181"/>
      <c r="AO1157" s="190" t="s">
        <v>3590</v>
      </c>
      <c r="AP1157" s="176">
        <v>10.5</v>
      </c>
      <c r="AQ1157" s="176">
        <v>10.51</v>
      </c>
      <c r="AR1157" s="176">
        <v>10.534999999999998</v>
      </c>
      <c r="AS1157" s="176">
        <v>10.54</v>
      </c>
      <c r="AT1157" s="173"/>
      <c r="AU1157" s="173">
        <v>465</v>
      </c>
      <c r="AV1157" s="149"/>
      <c r="AW1157" s="142" t="s">
        <v>123</v>
      </c>
      <c r="AY1157" s="212"/>
      <c r="AZ1157" s="196"/>
      <c r="BA1157" s="196"/>
    </row>
    <row r="1158" spans="2:53" s="142" customFormat="1" ht="21" customHeight="1" x14ac:dyDescent="0.25">
      <c r="B1158" s="173" t="str">
        <f t="shared" si="22"/>
        <v>RM-304L/1D-3.79X768</v>
      </c>
      <c r="C1158" s="173" t="s">
        <v>48</v>
      </c>
      <c r="D1158" s="173" t="s">
        <v>48</v>
      </c>
      <c r="E1158" s="190" t="s">
        <v>3591</v>
      </c>
      <c r="F1158" s="190" t="s">
        <v>3592</v>
      </c>
      <c r="G1158" s="173" t="s">
        <v>182</v>
      </c>
      <c r="H1158" s="173" t="s">
        <v>127</v>
      </c>
      <c r="I1158" s="174">
        <v>3.79</v>
      </c>
      <c r="J1158" s="174"/>
      <c r="K1158" s="174"/>
      <c r="L1158" s="174"/>
      <c r="M1158" s="191">
        <v>768</v>
      </c>
      <c r="N1158" s="176">
        <v>10.435</v>
      </c>
      <c r="O1158" s="176"/>
      <c r="P1158" s="177"/>
      <c r="Q1158" s="178"/>
      <c r="R1158" s="179"/>
      <c r="S1158" s="179"/>
      <c r="T1158" s="177"/>
      <c r="U1158" s="177"/>
      <c r="V1158" s="177"/>
      <c r="W1158" s="177"/>
      <c r="X1158" s="177"/>
      <c r="Y1158" s="177"/>
      <c r="Z1158" s="177"/>
      <c r="AA1158" s="177"/>
      <c r="AB1158" s="177"/>
      <c r="AC1158" s="177"/>
      <c r="AD1158" s="180" t="s">
        <v>2877</v>
      </c>
      <c r="AE1158" s="173" t="s">
        <v>69</v>
      </c>
      <c r="AF1158" s="181" t="s">
        <v>142</v>
      </c>
      <c r="AG1158" s="192" t="s">
        <v>2878</v>
      </c>
      <c r="AH1158" s="198"/>
      <c r="AI1158" s="181">
        <v>44950</v>
      </c>
      <c r="AJ1158" s="181"/>
      <c r="AK1158" s="181">
        <f ca="1">TODAY()</f>
        <v>44958</v>
      </c>
      <c r="AL1158" s="173">
        <f t="shared" ca="1" si="20"/>
        <v>8</v>
      </c>
      <c r="AM1158" s="173" t="str">
        <f t="shared" si="21"/>
        <v/>
      </c>
      <c r="AN1158" s="181"/>
      <c r="AO1158" s="190" t="s">
        <v>3590</v>
      </c>
      <c r="AP1158" s="176">
        <v>10.435</v>
      </c>
      <c r="AQ1158" s="176">
        <v>10.445</v>
      </c>
      <c r="AR1158" s="176">
        <v>10.469999999999999</v>
      </c>
      <c r="AS1158" s="176">
        <v>10.475</v>
      </c>
      <c r="AT1158" s="173"/>
      <c r="AU1158" s="173">
        <v>465</v>
      </c>
      <c r="AV1158" s="149"/>
      <c r="AW1158" s="142" t="s">
        <v>123</v>
      </c>
      <c r="AY1158" s="212"/>
      <c r="AZ1158" s="196"/>
      <c r="BA1158" s="196"/>
    </row>
    <row r="1159" spans="2:53" s="142" customFormat="1" ht="21" customHeight="1" x14ac:dyDescent="0.25">
      <c r="B1159" s="173" t="str">
        <f t="shared" si="22"/>
        <v>RM-304L/1D-3.46X770</v>
      </c>
      <c r="C1159" s="173" t="s">
        <v>48</v>
      </c>
      <c r="D1159" s="173" t="s">
        <v>48</v>
      </c>
      <c r="E1159" s="190" t="s">
        <v>3593</v>
      </c>
      <c r="F1159" s="190" t="s">
        <v>3594</v>
      </c>
      <c r="G1159" s="173" t="s">
        <v>182</v>
      </c>
      <c r="H1159" s="173" t="s">
        <v>127</v>
      </c>
      <c r="I1159" s="174">
        <v>3.46</v>
      </c>
      <c r="J1159" s="174"/>
      <c r="K1159" s="174"/>
      <c r="L1159" s="174"/>
      <c r="M1159" s="191">
        <v>770</v>
      </c>
      <c r="N1159" s="176">
        <v>9.9250000000000007</v>
      </c>
      <c r="O1159" s="176"/>
      <c r="P1159" s="177"/>
      <c r="Q1159" s="178"/>
      <c r="R1159" s="179"/>
      <c r="S1159" s="179"/>
      <c r="T1159" s="177"/>
      <c r="U1159" s="177"/>
      <c r="V1159" s="177"/>
      <c r="W1159" s="177"/>
      <c r="X1159" s="177"/>
      <c r="Y1159" s="177"/>
      <c r="Z1159" s="177"/>
      <c r="AA1159" s="177"/>
      <c r="AB1159" s="177"/>
      <c r="AC1159" s="177"/>
      <c r="AD1159" s="180" t="s">
        <v>2877</v>
      </c>
      <c r="AE1159" s="173" t="s">
        <v>69</v>
      </c>
      <c r="AF1159" s="181" t="s">
        <v>142</v>
      </c>
      <c r="AG1159" s="192" t="s">
        <v>2878</v>
      </c>
      <c r="AH1159" s="198"/>
      <c r="AI1159" s="181">
        <v>44950</v>
      </c>
      <c r="AJ1159" s="181"/>
      <c r="AK1159" s="181">
        <f ca="1">TODAY()</f>
        <v>44958</v>
      </c>
      <c r="AL1159" s="173">
        <f t="shared" ca="1" si="20"/>
        <v>8</v>
      </c>
      <c r="AM1159" s="173" t="str">
        <f t="shared" si="21"/>
        <v/>
      </c>
      <c r="AN1159" s="181"/>
      <c r="AO1159" s="190" t="s">
        <v>3595</v>
      </c>
      <c r="AP1159" s="176">
        <v>9.9250000000000007</v>
      </c>
      <c r="AQ1159" s="176">
        <v>9.9350000000000005</v>
      </c>
      <c r="AR1159" s="176">
        <v>9.9599999999999991</v>
      </c>
      <c r="AS1159" s="176">
        <v>9.9649999999999999</v>
      </c>
      <c r="AT1159" s="173"/>
      <c r="AU1159" s="173">
        <v>465</v>
      </c>
      <c r="AV1159" s="149"/>
      <c r="AW1159" s="142" t="s">
        <v>123</v>
      </c>
      <c r="AY1159" s="212"/>
      <c r="AZ1159" s="196"/>
      <c r="BA1159" s="196"/>
    </row>
    <row r="1160" spans="2:53" s="142" customFormat="1" ht="21" customHeight="1" x14ac:dyDescent="0.25">
      <c r="B1160" s="173" t="str">
        <f t="shared" si="22"/>
        <v>RM-304L/1D-3.46X770</v>
      </c>
      <c r="C1160" s="173" t="s">
        <v>48</v>
      </c>
      <c r="D1160" s="173" t="s">
        <v>48</v>
      </c>
      <c r="E1160" s="190" t="s">
        <v>3596</v>
      </c>
      <c r="F1160" s="190" t="s">
        <v>3597</v>
      </c>
      <c r="G1160" s="173" t="s">
        <v>182</v>
      </c>
      <c r="H1160" s="173" t="s">
        <v>127</v>
      </c>
      <c r="I1160" s="174">
        <v>3.46</v>
      </c>
      <c r="J1160" s="174"/>
      <c r="K1160" s="174"/>
      <c r="L1160" s="174"/>
      <c r="M1160" s="191">
        <v>770</v>
      </c>
      <c r="N1160" s="176">
        <v>9.0850000000000009</v>
      </c>
      <c r="O1160" s="176"/>
      <c r="P1160" s="177"/>
      <c r="Q1160" s="178"/>
      <c r="R1160" s="179"/>
      <c r="S1160" s="179"/>
      <c r="T1160" s="177"/>
      <c r="U1160" s="177"/>
      <c r="V1160" s="177"/>
      <c r="W1160" s="177"/>
      <c r="X1160" s="177"/>
      <c r="Y1160" s="177"/>
      <c r="Z1160" s="177"/>
      <c r="AA1160" s="177"/>
      <c r="AB1160" s="177"/>
      <c r="AC1160" s="177"/>
      <c r="AD1160" s="180" t="s">
        <v>3164</v>
      </c>
      <c r="AE1160" s="173" t="s">
        <v>69</v>
      </c>
      <c r="AF1160" s="181" t="s">
        <v>142</v>
      </c>
      <c r="AG1160" s="192" t="s">
        <v>2878</v>
      </c>
      <c r="AH1160" s="198"/>
      <c r="AI1160" s="181">
        <v>44950</v>
      </c>
      <c r="AJ1160" s="181"/>
      <c r="AK1160" s="181">
        <f ca="1">TODAY()</f>
        <v>44958</v>
      </c>
      <c r="AL1160" s="173">
        <f t="shared" ca="1" si="20"/>
        <v>8</v>
      </c>
      <c r="AM1160" s="173" t="str">
        <f t="shared" si="21"/>
        <v/>
      </c>
      <c r="AN1160" s="181"/>
      <c r="AO1160" s="190" t="s">
        <v>3595</v>
      </c>
      <c r="AP1160" s="176">
        <v>9.0850000000000009</v>
      </c>
      <c r="AQ1160" s="176">
        <v>9.0950000000000006</v>
      </c>
      <c r="AR1160" s="176">
        <v>9.1199999999999992</v>
      </c>
      <c r="AS1160" s="176">
        <v>9.125</v>
      </c>
      <c r="AT1160" s="173"/>
      <c r="AU1160" s="173">
        <v>465</v>
      </c>
      <c r="AV1160" s="149"/>
      <c r="AW1160" s="142" t="s">
        <v>123</v>
      </c>
      <c r="AY1160" s="212"/>
      <c r="AZ1160" s="196"/>
      <c r="BA1160" s="196"/>
    </row>
    <row r="1161" spans="2:53" s="142" customFormat="1" ht="21" customHeight="1" x14ac:dyDescent="0.25">
      <c r="B1161" s="173" t="str">
        <f t="shared" si="22"/>
        <v>RM-304L/1D-2.99X770</v>
      </c>
      <c r="C1161" s="173" t="s">
        <v>48</v>
      </c>
      <c r="D1161" s="173" t="s">
        <v>48</v>
      </c>
      <c r="E1161" s="190" t="s">
        <v>3598</v>
      </c>
      <c r="F1161" s="190" t="s">
        <v>3599</v>
      </c>
      <c r="G1161" s="173" t="s">
        <v>182</v>
      </c>
      <c r="H1161" s="173" t="s">
        <v>127</v>
      </c>
      <c r="I1161" s="174">
        <v>2.99</v>
      </c>
      <c r="J1161" s="174"/>
      <c r="K1161" s="174"/>
      <c r="L1161" s="174"/>
      <c r="M1161" s="191">
        <v>770</v>
      </c>
      <c r="N1161" s="176">
        <v>8.4949999999999992</v>
      </c>
      <c r="O1161" s="176"/>
      <c r="P1161" s="177"/>
      <c r="Q1161" s="178"/>
      <c r="R1161" s="179"/>
      <c r="S1161" s="179"/>
      <c r="T1161" s="177"/>
      <c r="U1161" s="177"/>
      <c r="V1161" s="177"/>
      <c r="W1161" s="177"/>
      <c r="X1161" s="177"/>
      <c r="Y1161" s="177"/>
      <c r="Z1161" s="177"/>
      <c r="AA1161" s="177"/>
      <c r="AB1161" s="177"/>
      <c r="AC1161" s="177"/>
      <c r="AD1161" s="180" t="s">
        <v>2877</v>
      </c>
      <c r="AE1161" s="173" t="s">
        <v>69</v>
      </c>
      <c r="AF1161" s="181" t="s">
        <v>142</v>
      </c>
      <c r="AG1161" s="192" t="s">
        <v>2878</v>
      </c>
      <c r="AH1161" s="198"/>
      <c r="AI1161" s="181">
        <v>44950</v>
      </c>
      <c r="AJ1161" s="181"/>
      <c r="AK1161" s="181">
        <f ca="1">TODAY()</f>
        <v>44958</v>
      </c>
      <c r="AL1161" s="173">
        <f t="shared" ca="1" si="20"/>
        <v>8</v>
      </c>
      <c r="AM1161" s="173" t="str">
        <f t="shared" si="21"/>
        <v/>
      </c>
      <c r="AN1161" s="181"/>
      <c r="AO1161" s="190" t="s">
        <v>3600</v>
      </c>
      <c r="AP1161" s="176">
        <v>8.4949999999999992</v>
      </c>
      <c r="AQ1161" s="176">
        <v>8.504999999999999</v>
      </c>
      <c r="AR1161" s="176">
        <v>8.5299999999999976</v>
      </c>
      <c r="AS1161" s="176">
        <v>8.5349999999999984</v>
      </c>
      <c r="AT1161" s="173"/>
      <c r="AU1161" s="173">
        <v>465</v>
      </c>
      <c r="AV1161" s="149"/>
      <c r="AW1161" s="142" t="s">
        <v>123</v>
      </c>
      <c r="AY1161" s="212"/>
      <c r="AZ1161" s="196"/>
      <c r="BA1161" s="196"/>
    </row>
    <row r="1162" spans="2:53" s="142" customFormat="1" ht="21" customHeight="1" x14ac:dyDescent="0.25">
      <c r="B1162" s="173" t="str">
        <f t="shared" si="22"/>
        <v>RM-304L/1D-2.99X769</v>
      </c>
      <c r="C1162" s="173" t="s">
        <v>48</v>
      </c>
      <c r="D1162" s="173" t="s">
        <v>48</v>
      </c>
      <c r="E1162" s="190" t="s">
        <v>3601</v>
      </c>
      <c r="F1162" s="190" t="s">
        <v>3602</v>
      </c>
      <c r="G1162" s="173" t="s">
        <v>182</v>
      </c>
      <c r="H1162" s="173" t="s">
        <v>127</v>
      </c>
      <c r="I1162" s="174">
        <v>2.99</v>
      </c>
      <c r="J1162" s="174"/>
      <c r="K1162" s="174"/>
      <c r="L1162" s="174"/>
      <c r="M1162" s="191">
        <v>769</v>
      </c>
      <c r="N1162" s="176">
        <v>8.1649999999999991</v>
      </c>
      <c r="O1162" s="176"/>
      <c r="P1162" s="177"/>
      <c r="Q1162" s="178"/>
      <c r="R1162" s="179"/>
      <c r="S1162" s="179"/>
      <c r="T1162" s="177"/>
      <c r="U1162" s="177"/>
      <c r="V1162" s="177"/>
      <c r="W1162" s="177"/>
      <c r="X1162" s="177"/>
      <c r="Y1162" s="177"/>
      <c r="Z1162" s="177"/>
      <c r="AA1162" s="177"/>
      <c r="AB1162" s="177"/>
      <c r="AC1162" s="177"/>
      <c r="AD1162" s="180" t="s">
        <v>3164</v>
      </c>
      <c r="AE1162" s="173" t="s">
        <v>69</v>
      </c>
      <c r="AF1162" s="181" t="s">
        <v>142</v>
      </c>
      <c r="AG1162" s="192" t="s">
        <v>2878</v>
      </c>
      <c r="AH1162" s="198"/>
      <c r="AI1162" s="181">
        <v>44950</v>
      </c>
      <c r="AJ1162" s="181"/>
      <c r="AK1162" s="181">
        <f ca="1">TODAY()</f>
        <v>44958</v>
      </c>
      <c r="AL1162" s="173">
        <f t="shared" ca="1" si="20"/>
        <v>8</v>
      </c>
      <c r="AM1162" s="173" t="str">
        <f t="shared" si="21"/>
        <v/>
      </c>
      <c r="AN1162" s="181"/>
      <c r="AO1162" s="190" t="s">
        <v>3600</v>
      </c>
      <c r="AP1162" s="176">
        <v>8.1649999999999991</v>
      </c>
      <c r="AQ1162" s="176">
        <v>8.1749999999999989</v>
      </c>
      <c r="AR1162" s="176">
        <v>8.1999999999999975</v>
      </c>
      <c r="AS1162" s="176">
        <v>8.2049999999999983</v>
      </c>
      <c r="AT1162" s="173"/>
      <c r="AU1162" s="173">
        <v>465</v>
      </c>
      <c r="AV1162" s="149"/>
      <c r="AW1162" s="142" t="s">
        <v>123</v>
      </c>
      <c r="AY1162" s="212"/>
      <c r="AZ1162" s="196"/>
      <c r="BA1162" s="196"/>
    </row>
    <row r="1163" spans="2:53" s="142" customFormat="1" ht="21" customHeight="1" x14ac:dyDescent="0.25">
      <c r="B1163" s="173" t="str">
        <f t="shared" si="22"/>
        <v>RM-316L/1D-2.80X643</v>
      </c>
      <c r="C1163" s="173" t="s">
        <v>48</v>
      </c>
      <c r="D1163" s="173" t="s">
        <v>48</v>
      </c>
      <c r="E1163" s="190" t="s">
        <v>3603</v>
      </c>
      <c r="F1163" s="190" t="s">
        <v>3604</v>
      </c>
      <c r="G1163" s="173" t="s">
        <v>135</v>
      </c>
      <c r="H1163" s="173" t="s">
        <v>127</v>
      </c>
      <c r="I1163" s="174">
        <v>2.8</v>
      </c>
      <c r="J1163" s="174"/>
      <c r="K1163" s="174"/>
      <c r="L1163" s="174"/>
      <c r="M1163" s="191">
        <v>643</v>
      </c>
      <c r="N1163" s="176">
        <v>10.835000000000001</v>
      </c>
      <c r="O1163" s="176"/>
      <c r="P1163" s="177"/>
      <c r="Q1163" s="178"/>
      <c r="R1163" s="179"/>
      <c r="S1163" s="179"/>
      <c r="T1163" s="177"/>
      <c r="U1163" s="177"/>
      <c r="V1163" s="177"/>
      <c r="W1163" s="177"/>
      <c r="X1163" s="177"/>
      <c r="Y1163" s="177"/>
      <c r="Z1163" s="177"/>
      <c r="AA1163" s="177"/>
      <c r="AB1163" s="177"/>
      <c r="AC1163" s="177"/>
      <c r="AD1163" s="180" t="s">
        <v>2877</v>
      </c>
      <c r="AE1163" s="173" t="s">
        <v>69</v>
      </c>
      <c r="AF1163" s="181" t="s">
        <v>142</v>
      </c>
      <c r="AG1163" s="192" t="s">
        <v>3605</v>
      </c>
      <c r="AH1163" s="198"/>
      <c r="AI1163" s="181">
        <v>44950</v>
      </c>
      <c r="AJ1163" s="181"/>
      <c r="AK1163" s="181">
        <f ca="1">TODAY()</f>
        <v>44958</v>
      </c>
      <c r="AL1163" s="173">
        <f t="shared" ca="1" si="20"/>
        <v>8</v>
      </c>
      <c r="AM1163" s="173" t="str">
        <f t="shared" si="21"/>
        <v/>
      </c>
      <c r="AN1163" s="181"/>
      <c r="AO1163" s="190" t="s">
        <v>3606</v>
      </c>
      <c r="AP1163" s="176">
        <v>10.835000000000001</v>
      </c>
      <c r="AQ1163" s="176">
        <v>10.845000000000001</v>
      </c>
      <c r="AR1163" s="176">
        <v>10.87</v>
      </c>
      <c r="AS1163" s="176">
        <v>10.875</v>
      </c>
      <c r="AT1163" s="173"/>
      <c r="AU1163" s="173">
        <v>465</v>
      </c>
      <c r="AV1163" s="149"/>
      <c r="AW1163" s="142" t="s">
        <v>123</v>
      </c>
      <c r="AY1163" s="212"/>
      <c r="AZ1163" s="196"/>
      <c r="BA1163" s="196"/>
    </row>
    <row r="1164" spans="2:53" s="142" customFormat="1" ht="21" customHeight="1" x14ac:dyDescent="0.25">
      <c r="B1164" s="173" t="str">
        <f t="shared" si="22"/>
        <v>RM-316L/1D-2.80X643</v>
      </c>
      <c r="C1164" s="173" t="s">
        <v>48</v>
      </c>
      <c r="D1164" s="173" t="s">
        <v>48</v>
      </c>
      <c r="E1164" s="190" t="s">
        <v>3607</v>
      </c>
      <c r="F1164" s="190" t="s">
        <v>3608</v>
      </c>
      <c r="G1164" s="173" t="s">
        <v>135</v>
      </c>
      <c r="H1164" s="173" t="s">
        <v>127</v>
      </c>
      <c r="I1164" s="174">
        <v>2.8</v>
      </c>
      <c r="J1164" s="174"/>
      <c r="K1164" s="174"/>
      <c r="L1164" s="174"/>
      <c r="M1164" s="191">
        <v>643</v>
      </c>
      <c r="N1164" s="176">
        <v>10.865</v>
      </c>
      <c r="O1164" s="176"/>
      <c r="P1164" s="177"/>
      <c r="Q1164" s="178"/>
      <c r="R1164" s="179"/>
      <c r="S1164" s="179"/>
      <c r="T1164" s="177"/>
      <c r="U1164" s="177"/>
      <c r="V1164" s="177"/>
      <c r="W1164" s="177"/>
      <c r="X1164" s="177"/>
      <c r="Y1164" s="177"/>
      <c r="Z1164" s="177"/>
      <c r="AA1164" s="177"/>
      <c r="AB1164" s="177"/>
      <c r="AC1164" s="177"/>
      <c r="AD1164" s="180" t="s">
        <v>2877</v>
      </c>
      <c r="AE1164" s="173" t="s">
        <v>69</v>
      </c>
      <c r="AF1164" s="181" t="s">
        <v>142</v>
      </c>
      <c r="AG1164" s="192" t="s">
        <v>3605</v>
      </c>
      <c r="AH1164" s="198"/>
      <c r="AI1164" s="181">
        <v>44950</v>
      </c>
      <c r="AJ1164" s="181"/>
      <c r="AK1164" s="181">
        <f ca="1">TODAY()</f>
        <v>44958</v>
      </c>
      <c r="AL1164" s="173">
        <f t="shared" ca="1" si="20"/>
        <v>8</v>
      </c>
      <c r="AM1164" s="173" t="str">
        <f t="shared" si="21"/>
        <v/>
      </c>
      <c r="AN1164" s="181"/>
      <c r="AO1164" s="190" t="s">
        <v>3606</v>
      </c>
      <c r="AP1164" s="176">
        <v>10.865</v>
      </c>
      <c r="AQ1164" s="176">
        <v>10.875</v>
      </c>
      <c r="AR1164" s="176">
        <v>10.899999999999999</v>
      </c>
      <c r="AS1164" s="176">
        <v>10.904999999999999</v>
      </c>
      <c r="AT1164" s="173"/>
      <c r="AU1164" s="173">
        <v>465</v>
      </c>
      <c r="AV1164" s="149"/>
      <c r="AW1164" s="142" t="s">
        <v>123</v>
      </c>
      <c r="AY1164" s="212"/>
      <c r="AZ1164" s="196"/>
      <c r="BA1164" s="196"/>
    </row>
    <row r="1165" spans="2:53" s="142" customFormat="1" ht="21" customHeight="1" x14ac:dyDescent="0.25">
      <c r="B1165" s="173" t="str">
        <f t="shared" si="22"/>
        <v>RM-316L/1D-3.96X643</v>
      </c>
      <c r="C1165" s="173" t="s">
        <v>48</v>
      </c>
      <c r="D1165" s="173" t="s">
        <v>48</v>
      </c>
      <c r="E1165" s="190" t="s">
        <v>3609</v>
      </c>
      <c r="F1165" s="190" t="s">
        <v>3610</v>
      </c>
      <c r="G1165" s="173" t="s">
        <v>135</v>
      </c>
      <c r="H1165" s="173" t="s">
        <v>127</v>
      </c>
      <c r="I1165" s="174">
        <v>3.96</v>
      </c>
      <c r="J1165" s="174"/>
      <c r="K1165" s="174"/>
      <c r="L1165" s="174"/>
      <c r="M1165" s="191">
        <v>643</v>
      </c>
      <c r="N1165" s="176">
        <v>9.9149999999999991</v>
      </c>
      <c r="O1165" s="176"/>
      <c r="P1165" s="177"/>
      <c r="Q1165" s="178"/>
      <c r="R1165" s="179"/>
      <c r="S1165" s="179"/>
      <c r="T1165" s="177"/>
      <c r="U1165" s="177"/>
      <c r="V1165" s="177"/>
      <c r="W1165" s="177"/>
      <c r="X1165" s="177"/>
      <c r="Y1165" s="177"/>
      <c r="Z1165" s="177"/>
      <c r="AA1165" s="177"/>
      <c r="AB1165" s="177"/>
      <c r="AC1165" s="177"/>
      <c r="AD1165" s="180" t="s">
        <v>2877</v>
      </c>
      <c r="AE1165" s="173" t="s">
        <v>69</v>
      </c>
      <c r="AF1165" s="181" t="s">
        <v>142</v>
      </c>
      <c r="AG1165" s="192" t="s">
        <v>3605</v>
      </c>
      <c r="AH1165" s="198"/>
      <c r="AI1165" s="181">
        <v>44950</v>
      </c>
      <c r="AJ1165" s="181"/>
      <c r="AK1165" s="181">
        <f ca="1">TODAY()</f>
        <v>44958</v>
      </c>
      <c r="AL1165" s="173">
        <f t="shared" ca="1" si="20"/>
        <v>8</v>
      </c>
      <c r="AM1165" s="173" t="str">
        <f t="shared" si="21"/>
        <v/>
      </c>
      <c r="AN1165" s="181"/>
      <c r="AO1165" s="190" t="s">
        <v>3611</v>
      </c>
      <c r="AP1165" s="176">
        <v>9.9149999999999991</v>
      </c>
      <c r="AQ1165" s="176">
        <v>9.9249999999999989</v>
      </c>
      <c r="AR1165" s="176">
        <v>9.9499999999999975</v>
      </c>
      <c r="AS1165" s="176">
        <v>9.9549999999999983</v>
      </c>
      <c r="AT1165" s="173"/>
      <c r="AU1165" s="173">
        <v>465</v>
      </c>
      <c r="AV1165" s="149"/>
      <c r="AW1165" s="142" t="s">
        <v>123</v>
      </c>
      <c r="AY1165" s="212"/>
      <c r="AZ1165" s="196"/>
      <c r="BA1165" s="196"/>
    </row>
    <row r="1166" spans="2:53" s="142" customFormat="1" ht="21" customHeight="1" x14ac:dyDescent="0.25">
      <c r="B1166" s="173" t="str">
        <f t="shared" si="22"/>
        <v>RM-316L/1D-3.96X643</v>
      </c>
      <c r="C1166" s="173" t="s">
        <v>48</v>
      </c>
      <c r="D1166" s="173" t="s">
        <v>48</v>
      </c>
      <c r="E1166" s="190" t="s">
        <v>3612</v>
      </c>
      <c r="F1166" s="190" t="s">
        <v>3613</v>
      </c>
      <c r="G1166" s="173" t="s">
        <v>135</v>
      </c>
      <c r="H1166" s="173" t="s">
        <v>127</v>
      </c>
      <c r="I1166" s="174">
        <v>3.96</v>
      </c>
      <c r="J1166" s="174"/>
      <c r="K1166" s="174"/>
      <c r="L1166" s="174"/>
      <c r="M1166" s="191">
        <v>643</v>
      </c>
      <c r="N1166" s="176">
        <v>9.8800000000000008</v>
      </c>
      <c r="O1166" s="176"/>
      <c r="P1166" s="177"/>
      <c r="Q1166" s="178"/>
      <c r="R1166" s="179"/>
      <c r="S1166" s="179"/>
      <c r="T1166" s="177"/>
      <c r="U1166" s="177"/>
      <c r="V1166" s="177"/>
      <c r="W1166" s="177"/>
      <c r="X1166" s="177"/>
      <c r="Y1166" s="177"/>
      <c r="Z1166" s="177"/>
      <c r="AA1166" s="177"/>
      <c r="AB1166" s="177"/>
      <c r="AC1166" s="177"/>
      <c r="AD1166" s="180" t="s">
        <v>2877</v>
      </c>
      <c r="AE1166" s="173" t="s">
        <v>69</v>
      </c>
      <c r="AF1166" s="181" t="s">
        <v>142</v>
      </c>
      <c r="AG1166" s="192" t="s">
        <v>3605</v>
      </c>
      <c r="AH1166" s="198"/>
      <c r="AI1166" s="181">
        <v>44950</v>
      </c>
      <c r="AJ1166" s="181"/>
      <c r="AK1166" s="181">
        <f ca="1">TODAY()</f>
        <v>44958</v>
      </c>
      <c r="AL1166" s="173">
        <f t="shared" ca="1" si="20"/>
        <v>8</v>
      </c>
      <c r="AM1166" s="173" t="str">
        <f t="shared" si="21"/>
        <v/>
      </c>
      <c r="AN1166" s="181"/>
      <c r="AO1166" s="190" t="s">
        <v>3611</v>
      </c>
      <c r="AP1166" s="176">
        <v>9.8800000000000008</v>
      </c>
      <c r="AQ1166" s="176">
        <v>9.89</v>
      </c>
      <c r="AR1166" s="176">
        <v>9.9149999999999991</v>
      </c>
      <c r="AS1166" s="176">
        <v>9.92</v>
      </c>
      <c r="AT1166" s="173"/>
      <c r="AU1166" s="173">
        <v>465</v>
      </c>
      <c r="AV1166" s="149"/>
      <c r="AW1166" s="142" t="s">
        <v>123</v>
      </c>
      <c r="AY1166" s="212"/>
      <c r="AZ1166" s="196"/>
      <c r="BA1166" s="196"/>
    </row>
    <row r="1167" spans="2:53" s="142" customFormat="1" ht="21" customHeight="1" x14ac:dyDescent="0.25">
      <c r="B1167" s="173" t="str">
        <f t="shared" si="22"/>
        <v>RM-316L/1D-3.93X770</v>
      </c>
      <c r="C1167" s="173" t="s">
        <v>48</v>
      </c>
      <c r="D1167" s="173" t="s">
        <v>48</v>
      </c>
      <c r="E1167" s="190" t="s">
        <v>3614</v>
      </c>
      <c r="F1167" s="190" t="s">
        <v>3615</v>
      </c>
      <c r="G1167" s="173" t="s">
        <v>135</v>
      </c>
      <c r="H1167" s="173" t="s">
        <v>127</v>
      </c>
      <c r="I1167" s="174">
        <v>3.93</v>
      </c>
      <c r="J1167" s="174"/>
      <c r="K1167" s="174"/>
      <c r="L1167" s="174"/>
      <c r="M1167" s="191">
        <v>770</v>
      </c>
      <c r="N1167" s="176">
        <v>10.14</v>
      </c>
      <c r="O1167" s="176"/>
      <c r="P1167" s="177"/>
      <c r="Q1167" s="178"/>
      <c r="R1167" s="179"/>
      <c r="S1167" s="179"/>
      <c r="T1167" s="177"/>
      <c r="U1167" s="177"/>
      <c r="V1167" s="177"/>
      <c r="W1167" s="177"/>
      <c r="X1167" s="177"/>
      <c r="Y1167" s="177"/>
      <c r="Z1167" s="177"/>
      <c r="AA1167" s="177"/>
      <c r="AB1167" s="177"/>
      <c r="AC1167" s="177"/>
      <c r="AD1167" s="180" t="s">
        <v>3616</v>
      </c>
      <c r="AE1167" s="173" t="s">
        <v>69</v>
      </c>
      <c r="AF1167" s="181" t="s">
        <v>142</v>
      </c>
      <c r="AG1167" s="192" t="s">
        <v>3605</v>
      </c>
      <c r="AH1167" s="198"/>
      <c r="AI1167" s="181">
        <v>44950</v>
      </c>
      <c r="AJ1167" s="181"/>
      <c r="AK1167" s="181">
        <f ca="1">TODAY()</f>
        <v>44958</v>
      </c>
      <c r="AL1167" s="173">
        <f t="shared" ca="1" si="20"/>
        <v>8</v>
      </c>
      <c r="AM1167" s="173" t="str">
        <f t="shared" si="21"/>
        <v/>
      </c>
      <c r="AN1167" s="181"/>
      <c r="AO1167" s="190" t="s">
        <v>3617</v>
      </c>
      <c r="AP1167" s="176">
        <v>10.14</v>
      </c>
      <c r="AQ1167" s="176">
        <v>10.15</v>
      </c>
      <c r="AR1167" s="176">
        <v>10.174999999999999</v>
      </c>
      <c r="AS1167" s="176">
        <v>10.18</v>
      </c>
      <c r="AT1167" s="173"/>
      <c r="AU1167" s="173">
        <v>465</v>
      </c>
      <c r="AV1167" s="149"/>
      <c r="AW1167" s="142" t="s">
        <v>123</v>
      </c>
      <c r="AY1167" s="212"/>
      <c r="AZ1167" s="196"/>
      <c r="BA1167" s="196"/>
    </row>
    <row r="1168" spans="2:53" s="142" customFormat="1" ht="21" customHeight="1" x14ac:dyDescent="0.25">
      <c r="B1168" s="173" t="str">
        <f t="shared" si="22"/>
        <v>RM-316L/1D-3.93X773</v>
      </c>
      <c r="C1168" s="173" t="s">
        <v>48</v>
      </c>
      <c r="D1168" s="173" t="s">
        <v>48</v>
      </c>
      <c r="E1168" s="190" t="s">
        <v>3618</v>
      </c>
      <c r="F1168" s="190" t="s">
        <v>3619</v>
      </c>
      <c r="G1168" s="173" t="s">
        <v>135</v>
      </c>
      <c r="H1168" s="173" t="s">
        <v>127</v>
      </c>
      <c r="I1168" s="174">
        <v>3.93</v>
      </c>
      <c r="J1168" s="174"/>
      <c r="K1168" s="174"/>
      <c r="L1168" s="174"/>
      <c r="M1168" s="191">
        <v>773</v>
      </c>
      <c r="N1168" s="176">
        <v>10.164999999999999</v>
      </c>
      <c r="O1168" s="176"/>
      <c r="P1168" s="177"/>
      <c r="Q1168" s="178"/>
      <c r="R1168" s="179"/>
      <c r="S1168" s="179"/>
      <c r="T1168" s="177"/>
      <c r="U1168" s="177"/>
      <c r="V1168" s="177"/>
      <c r="W1168" s="177"/>
      <c r="X1168" s="177"/>
      <c r="Y1168" s="177"/>
      <c r="Z1168" s="177"/>
      <c r="AA1168" s="177"/>
      <c r="AB1168" s="177"/>
      <c r="AC1168" s="177"/>
      <c r="AD1168" s="180" t="s">
        <v>3616</v>
      </c>
      <c r="AE1168" s="173" t="s">
        <v>69</v>
      </c>
      <c r="AF1168" s="181" t="s">
        <v>142</v>
      </c>
      <c r="AG1168" s="192" t="s">
        <v>3605</v>
      </c>
      <c r="AH1168" s="198"/>
      <c r="AI1168" s="181">
        <v>44950</v>
      </c>
      <c r="AJ1168" s="181"/>
      <c r="AK1168" s="181">
        <f ca="1">TODAY()</f>
        <v>44958</v>
      </c>
      <c r="AL1168" s="173">
        <f t="shared" ca="1" si="20"/>
        <v>8</v>
      </c>
      <c r="AM1168" s="173" t="str">
        <f t="shared" si="21"/>
        <v/>
      </c>
      <c r="AN1168" s="181"/>
      <c r="AO1168" s="190" t="s">
        <v>3617</v>
      </c>
      <c r="AP1168" s="176">
        <v>10.164999999999999</v>
      </c>
      <c r="AQ1168" s="176">
        <v>10.174999999999999</v>
      </c>
      <c r="AR1168" s="176">
        <v>10.199999999999998</v>
      </c>
      <c r="AS1168" s="176">
        <v>10.204999999999998</v>
      </c>
      <c r="AT1168" s="173"/>
      <c r="AU1168" s="173">
        <v>465</v>
      </c>
      <c r="AV1168" s="149"/>
      <c r="AW1168" s="142" t="s">
        <v>123</v>
      </c>
      <c r="AY1168" s="212"/>
      <c r="AZ1168" s="196"/>
      <c r="BA1168" s="196"/>
    </row>
    <row r="1169" spans="2:53" s="142" customFormat="1" ht="21" customHeight="1" x14ac:dyDescent="0.25">
      <c r="B1169" s="173" t="str">
        <f t="shared" si="22"/>
        <v>RM-316L/1D-3.92X770</v>
      </c>
      <c r="C1169" s="173" t="s">
        <v>48</v>
      </c>
      <c r="D1169" s="173" t="s">
        <v>48</v>
      </c>
      <c r="E1169" s="190" t="s">
        <v>3620</v>
      </c>
      <c r="F1169" s="190" t="s">
        <v>3621</v>
      </c>
      <c r="G1169" s="173" t="s">
        <v>135</v>
      </c>
      <c r="H1169" s="173" t="s">
        <v>127</v>
      </c>
      <c r="I1169" s="174">
        <v>3.92</v>
      </c>
      <c r="J1169" s="174"/>
      <c r="K1169" s="174"/>
      <c r="L1169" s="174"/>
      <c r="M1169" s="191">
        <v>770</v>
      </c>
      <c r="N1169" s="176">
        <v>10.6</v>
      </c>
      <c r="O1169" s="176"/>
      <c r="P1169" s="177"/>
      <c r="Q1169" s="178"/>
      <c r="R1169" s="179"/>
      <c r="S1169" s="179"/>
      <c r="T1169" s="177"/>
      <c r="U1169" s="177"/>
      <c r="V1169" s="177"/>
      <c r="W1169" s="177"/>
      <c r="X1169" s="177"/>
      <c r="Y1169" s="177"/>
      <c r="Z1169" s="177"/>
      <c r="AA1169" s="177"/>
      <c r="AB1169" s="177"/>
      <c r="AC1169" s="177"/>
      <c r="AD1169" s="180" t="s">
        <v>3616</v>
      </c>
      <c r="AE1169" s="173" t="s">
        <v>69</v>
      </c>
      <c r="AF1169" s="181" t="s">
        <v>142</v>
      </c>
      <c r="AG1169" s="192" t="s">
        <v>3605</v>
      </c>
      <c r="AH1169" s="198"/>
      <c r="AI1169" s="181">
        <v>44950</v>
      </c>
      <c r="AJ1169" s="181"/>
      <c r="AK1169" s="181">
        <f ca="1">TODAY()</f>
        <v>44958</v>
      </c>
      <c r="AL1169" s="173">
        <f t="shared" ca="1" si="20"/>
        <v>8</v>
      </c>
      <c r="AM1169" s="173" t="str">
        <f t="shared" si="21"/>
        <v/>
      </c>
      <c r="AN1169" s="181"/>
      <c r="AO1169" s="190" t="s">
        <v>3622</v>
      </c>
      <c r="AP1169" s="176">
        <v>10.6</v>
      </c>
      <c r="AQ1169" s="176">
        <v>10.61</v>
      </c>
      <c r="AR1169" s="176">
        <v>10.634999999999998</v>
      </c>
      <c r="AS1169" s="176">
        <v>10.639999999999999</v>
      </c>
      <c r="AT1169" s="173"/>
      <c r="AU1169" s="173">
        <v>465</v>
      </c>
      <c r="AV1169" s="149"/>
      <c r="AW1169" s="142" t="s">
        <v>123</v>
      </c>
      <c r="AY1169" s="212"/>
      <c r="AZ1169" s="196"/>
      <c r="BA1169" s="196"/>
    </row>
    <row r="1170" spans="2:53" s="142" customFormat="1" ht="21" customHeight="1" x14ac:dyDescent="0.25">
      <c r="B1170" s="173" t="str">
        <f t="shared" si="22"/>
        <v>RM-316L/1D-3.92X773</v>
      </c>
      <c r="C1170" s="173" t="s">
        <v>48</v>
      </c>
      <c r="D1170" s="173" t="s">
        <v>48</v>
      </c>
      <c r="E1170" s="190" t="s">
        <v>3623</v>
      </c>
      <c r="F1170" s="190" t="s">
        <v>3624</v>
      </c>
      <c r="G1170" s="173" t="s">
        <v>135</v>
      </c>
      <c r="H1170" s="173" t="s">
        <v>127</v>
      </c>
      <c r="I1170" s="174">
        <v>3.92</v>
      </c>
      <c r="J1170" s="174"/>
      <c r="K1170" s="174"/>
      <c r="L1170" s="174"/>
      <c r="M1170" s="191">
        <v>773</v>
      </c>
      <c r="N1170" s="176">
        <v>10.64</v>
      </c>
      <c r="O1170" s="176"/>
      <c r="P1170" s="177"/>
      <c r="Q1170" s="178"/>
      <c r="R1170" s="179"/>
      <c r="S1170" s="179"/>
      <c r="T1170" s="177"/>
      <c r="U1170" s="177"/>
      <c r="V1170" s="177"/>
      <c r="W1170" s="177"/>
      <c r="X1170" s="177"/>
      <c r="Y1170" s="177"/>
      <c r="Z1170" s="177"/>
      <c r="AA1170" s="177"/>
      <c r="AB1170" s="177"/>
      <c r="AC1170" s="177"/>
      <c r="AD1170" s="180" t="s">
        <v>3616</v>
      </c>
      <c r="AE1170" s="173" t="s">
        <v>69</v>
      </c>
      <c r="AF1170" s="181" t="s">
        <v>142</v>
      </c>
      <c r="AG1170" s="192" t="s">
        <v>3605</v>
      </c>
      <c r="AH1170" s="198"/>
      <c r="AI1170" s="181">
        <v>44950</v>
      </c>
      <c r="AJ1170" s="181"/>
      <c r="AK1170" s="181">
        <f ca="1">TODAY()</f>
        <v>44958</v>
      </c>
      <c r="AL1170" s="173">
        <f t="shared" ca="1" si="20"/>
        <v>8</v>
      </c>
      <c r="AM1170" s="173" t="str">
        <f t="shared" si="21"/>
        <v/>
      </c>
      <c r="AN1170" s="181"/>
      <c r="AO1170" s="190" t="s">
        <v>3622</v>
      </c>
      <c r="AP1170" s="176">
        <v>10.64</v>
      </c>
      <c r="AQ1170" s="176">
        <v>10.65</v>
      </c>
      <c r="AR1170" s="176">
        <v>10.674999999999999</v>
      </c>
      <c r="AS1170" s="176">
        <v>10.68</v>
      </c>
      <c r="AT1170" s="173"/>
      <c r="AU1170" s="173">
        <v>465</v>
      </c>
      <c r="AV1170" s="149"/>
      <c r="AW1170" s="142" t="s">
        <v>123</v>
      </c>
      <c r="AY1170" s="212"/>
      <c r="AZ1170" s="196"/>
      <c r="BA1170" s="196"/>
    </row>
    <row r="1171" spans="2:53" s="142" customFormat="1" ht="21" customHeight="1" x14ac:dyDescent="0.25">
      <c r="B1171" s="173" t="str">
        <f t="shared" si="22"/>
        <v>RM-316L/1D-3.48X768</v>
      </c>
      <c r="C1171" s="173" t="s">
        <v>48</v>
      </c>
      <c r="D1171" s="173" t="s">
        <v>48</v>
      </c>
      <c r="E1171" s="190" t="s">
        <v>3625</v>
      </c>
      <c r="F1171" s="190" t="s">
        <v>3626</v>
      </c>
      <c r="G1171" s="173" t="s">
        <v>135</v>
      </c>
      <c r="H1171" s="173" t="s">
        <v>127</v>
      </c>
      <c r="I1171" s="174">
        <v>3.48</v>
      </c>
      <c r="J1171" s="174"/>
      <c r="K1171" s="174"/>
      <c r="L1171" s="174"/>
      <c r="M1171" s="191">
        <v>768</v>
      </c>
      <c r="N1171" s="176">
        <v>10.02</v>
      </c>
      <c r="O1171" s="176"/>
      <c r="P1171" s="177"/>
      <c r="Q1171" s="178"/>
      <c r="R1171" s="179"/>
      <c r="S1171" s="179"/>
      <c r="T1171" s="177"/>
      <c r="U1171" s="177"/>
      <c r="V1171" s="177"/>
      <c r="W1171" s="177"/>
      <c r="X1171" s="177"/>
      <c r="Y1171" s="177"/>
      <c r="Z1171" s="177"/>
      <c r="AA1171" s="177"/>
      <c r="AB1171" s="177"/>
      <c r="AC1171" s="177"/>
      <c r="AD1171" s="180" t="s">
        <v>3616</v>
      </c>
      <c r="AE1171" s="173" t="s">
        <v>69</v>
      </c>
      <c r="AF1171" s="181" t="s">
        <v>142</v>
      </c>
      <c r="AG1171" s="192" t="s">
        <v>3605</v>
      </c>
      <c r="AH1171" s="198"/>
      <c r="AI1171" s="181">
        <v>44950</v>
      </c>
      <c r="AJ1171" s="181"/>
      <c r="AK1171" s="181">
        <f ca="1">TODAY()</f>
        <v>44958</v>
      </c>
      <c r="AL1171" s="173">
        <f t="shared" ca="1" si="20"/>
        <v>8</v>
      </c>
      <c r="AM1171" s="173" t="str">
        <f t="shared" si="21"/>
        <v/>
      </c>
      <c r="AN1171" s="181"/>
      <c r="AO1171" s="190" t="s">
        <v>3627</v>
      </c>
      <c r="AP1171" s="176">
        <v>10.02</v>
      </c>
      <c r="AQ1171" s="176">
        <v>10.029999999999999</v>
      </c>
      <c r="AR1171" s="176">
        <v>10.054999999999998</v>
      </c>
      <c r="AS1171" s="176">
        <v>10.059999999999999</v>
      </c>
      <c r="AT1171" s="173"/>
      <c r="AU1171" s="173">
        <v>465</v>
      </c>
      <c r="AV1171" s="149"/>
      <c r="AW1171" s="142" t="s">
        <v>123</v>
      </c>
      <c r="AY1171" s="212"/>
      <c r="AZ1171" s="196"/>
      <c r="BA1171" s="196"/>
    </row>
    <row r="1172" spans="2:53" s="142" customFormat="1" ht="21" customHeight="1" x14ac:dyDescent="0.25">
      <c r="B1172" s="173" t="str">
        <f t="shared" si="22"/>
        <v>RM-316L/1D-3.48X768</v>
      </c>
      <c r="C1172" s="173" t="s">
        <v>48</v>
      </c>
      <c r="D1172" s="173" t="s">
        <v>48</v>
      </c>
      <c r="E1172" s="190" t="s">
        <v>3628</v>
      </c>
      <c r="F1172" s="190" t="s">
        <v>3629</v>
      </c>
      <c r="G1172" s="173" t="s">
        <v>135</v>
      </c>
      <c r="H1172" s="173" t="s">
        <v>127</v>
      </c>
      <c r="I1172" s="174">
        <v>3.48</v>
      </c>
      <c r="J1172" s="174"/>
      <c r="K1172" s="174"/>
      <c r="L1172" s="174"/>
      <c r="M1172" s="191">
        <v>768</v>
      </c>
      <c r="N1172" s="176">
        <v>10.01</v>
      </c>
      <c r="O1172" s="176"/>
      <c r="P1172" s="177"/>
      <c r="Q1172" s="178"/>
      <c r="R1172" s="179"/>
      <c r="S1172" s="179"/>
      <c r="T1172" s="177"/>
      <c r="U1172" s="177"/>
      <c r="V1172" s="177"/>
      <c r="W1172" s="177"/>
      <c r="X1172" s="177"/>
      <c r="Y1172" s="177"/>
      <c r="Z1172" s="177"/>
      <c r="AA1172" s="177"/>
      <c r="AB1172" s="177"/>
      <c r="AC1172" s="177"/>
      <c r="AD1172" s="180" t="s">
        <v>3616</v>
      </c>
      <c r="AE1172" s="173" t="s">
        <v>69</v>
      </c>
      <c r="AF1172" s="181" t="s">
        <v>142</v>
      </c>
      <c r="AG1172" s="192" t="s">
        <v>3605</v>
      </c>
      <c r="AH1172" s="198"/>
      <c r="AI1172" s="181">
        <v>44950</v>
      </c>
      <c r="AJ1172" s="181"/>
      <c r="AK1172" s="181">
        <f ca="1">TODAY()</f>
        <v>44958</v>
      </c>
      <c r="AL1172" s="173">
        <f t="shared" ca="1" si="20"/>
        <v>8</v>
      </c>
      <c r="AM1172" s="173" t="str">
        <f t="shared" si="21"/>
        <v/>
      </c>
      <c r="AN1172" s="181"/>
      <c r="AO1172" s="190" t="s">
        <v>3627</v>
      </c>
      <c r="AP1172" s="176">
        <v>10.01</v>
      </c>
      <c r="AQ1172" s="176">
        <v>10.02</v>
      </c>
      <c r="AR1172" s="176">
        <v>10.044999999999998</v>
      </c>
      <c r="AS1172" s="176">
        <v>10.049999999999999</v>
      </c>
      <c r="AT1172" s="173"/>
      <c r="AU1172" s="173">
        <v>465</v>
      </c>
      <c r="AV1172" s="149"/>
      <c r="AW1172" s="142" t="s">
        <v>123</v>
      </c>
      <c r="AY1172" s="212"/>
      <c r="AZ1172" s="196"/>
      <c r="BA1172" s="196"/>
    </row>
    <row r="1173" spans="2:53" s="142" customFormat="1" ht="21" customHeight="1" x14ac:dyDescent="0.25">
      <c r="B1173" s="173" t="str">
        <f t="shared" si="22"/>
        <v>RM-J3/1D-2.20X620</v>
      </c>
      <c r="C1173" s="173" t="s">
        <v>48</v>
      </c>
      <c r="D1173" s="173" t="s">
        <v>48</v>
      </c>
      <c r="E1173" s="190" t="s">
        <v>3630</v>
      </c>
      <c r="F1173" s="190" t="s">
        <v>3631</v>
      </c>
      <c r="G1173" s="173" t="s">
        <v>34</v>
      </c>
      <c r="H1173" s="173" t="s">
        <v>127</v>
      </c>
      <c r="I1173" s="174">
        <v>2.2000000000000002</v>
      </c>
      <c r="J1173" s="174"/>
      <c r="K1173" s="174"/>
      <c r="L1173" s="174"/>
      <c r="M1173" s="191">
        <v>620</v>
      </c>
      <c r="N1173" s="176">
        <v>10.07</v>
      </c>
      <c r="O1173" s="176"/>
      <c r="P1173" s="177"/>
      <c r="Q1173" s="178"/>
      <c r="R1173" s="179"/>
      <c r="S1173" s="179"/>
      <c r="T1173" s="177"/>
      <c r="U1173" s="177"/>
      <c r="V1173" s="177"/>
      <c r="W1173" s="177"/>
      <c r="X1173" s="177"/>
      <c r="Y1173" s="177"/>
      <c r="Z1173" s="177"/>
      <c r="AA1173" s="177"/>
      <c r="AB1173" s="177"/>
      <c r="AC1173" s="177"/>
      <c r="AD1173" s="180"/>
      <c r="AE1173" s="173" t="s">
        <v>69</v>
      </c>
      <c r="AF1173" s="181" t="s">
        <v>119</v>
      </c>
      <c r="AG1173" s="192" t="s">
        <v>3632</v>
      </c>
      <c r="AH1173" s="198">
        <v>45287</v>
      </c>
      <c r="AI1173" s="181">
        <v>44951</v>
      </c>
      <c r="AJ1173" s="181"/>
      <c r="AK1173" s="181">
        <f ca="1">TODAY()</f>
        <v>44958</v>
      </c>
      <c r="AL1173" s="173">
        <f t="shared" ca="1" si="20"/>
        <v>7</v>
      </c>
      <c r="AM1173" s="173" t="str">
        <f t="shared" si="21"/>
        <v/>
      </c>
      <c r="AN1173" s="181" t="s">
        <v>3633</v>
      </c>
      <c r="AO1173" s="190" t="s">
        <v>3634</v>
      </c>
      <c r="AP1173" s="176">
        <v>10.07</v>
      </c>
      <c r="AQ1173" s="176">
        <v>10.09</v>
      </c>
      <c r="AR1173" s="176">
        <v>10.114999999999998</v>
      </c>
      <c r="AS1173" s="176">
        <v>10.119999999999999</v>
      </c>
      <c r="AT1173" s="173"/>
      <c r="AU1173" s="173">
        <v>466</v>
      </c>
      <c r="AV1173" s="149"/>
      <c r="AW1173" s="142" t="s">
        <v>123</v>
      </c>
      <c r="AY1173" s="212"/>
      <c r="AZ1173" s="196"/>
      <c r="BA1173" s="196"/>
    </row>
    <row r="1174" spans="2:53" s="142" customFormat="1" ht="21" customHeight="1" x14ac:dyDescent="0.25">
      <c r="B1174" s="173" t="str">
        <f t="shared" si="22"/>
        <v>RM-J3/1D-2.20X620</v>
      </c>
      <c r="C1174" s="173" t="s">
        <v>48</v>
      </c>
      <c r="D1174" s="173" t="s">
        <v>48</v>
      </c>
      <c r="E1174" s="190" t="s">
        <v>3635</v>
      </c>
      <c r="F1174" s="190" t="s">
        <v>3636</v>
      </c>
      <c r="G1174" s="173" t="s">
        <v>34</v>
      </c>
      <c r="H1174" s="173" t="s">
        <v>127</v>
      </c>
      <c r="I1174" s="174">
        <v>2.2000000000000002</v>
      </c>
      <c r="J1174" s="174"/>
      <c r="K1174" s="174"/>
      <c r="L1174" s="174"/>
      <c r="M1174" s="191">
        <v>620</v>
      </c>
      <c r="N1174" s="176">
        <v>10.08</v>
      </c>
      <c r="O1174" s="176"/>
      <c r="P1174" s="177"/>
      <c r="Q1174" s="178"/>
      <c r="R1174" s="179"/>
      <c r="S1174" s="179"/>
      <c r="T1174" s="177"/>
      <c r="U1174" s="177"/>
      <c r="V1174" s="177"/>
      <c r="W1174" s="177"/>
      <c r="X1174" s="177"/>
      <c r="Y1174" s="177"/>
      <c r="Z1174" s="177"/>
      <c r="AA1174" s="177"/>
      <c r="AB1174" s="177"/>
      <c r="AC1174" s="177"/>
      <c r="AD1174" s="180"/>
      <c r="AE1174" s="173" t="s">
        <v>69</v>
      </c>
      <c r="AF1174" s="181" t="s">
        <v>119</v>
      </c>
      <c r="AG1174" s="192" t="s">
        <v>3632</v>
      </c>
      <c r="AH1174" s="198">
        <v>45287</v>
      </c>
      <c r="AI1174" s="181">
        <v>44951</v>
      </c>
      <c r="AJ1174" s="181"/>
      <c r="AK1174" s="181">
        <f ca="1">TODAY()</f>
        <v>44958</v>
      </c>
      <c r="AL1174" s="173">
        <f t="shared" ca="1" si="20"/>
        <v>7</v>
      </c>
      <c r="AM1174" s="173" t="str">
        <f t="shared" si="21"/>
        <v/>
      </c>
      <c r="AN1174" s="181" t="s">
        <v>3637</v>
      </c>
      <c r="AO1174" s="190" t="s">
        <v>3634</v>
      </c>
      <c r="AP1174" s="176">
        <v>10.08</v>
      </c>
      <c r="AQ1174" s="176">
        <v>10.1</v>
      </c>
      <c r="AR1174" s="176">
        <v>10.124999999999998</v>
      </c>
      <c r="AS1174" s="176">
        <v>10.129999999999999</v>
      </c>
      <c r="AT1174" s="173"/>
      <c r="AU1174" s="173">
        <v>466</v>
      </c>
      <c r="AV1174" s="149"/>
      <c r="AW1174" s="142" t="s">
        <v>123</v>
      </c>
      <c r="AY1174" s="212"/>
      <c r="AZ1174" s="196"/>
      <c r="BA1174" s="196"/>
    </row>
    <row r="1175" spans="2:53" s="142" customFormat="1" ht="21" customHeight="1" x14ac:dyDescent="0.25">
      <c r="B1175" s="173" t="str">
        <f t="shared" si="22"/>
        <v>RM-J3/1D-2.20X620</v>
      </c>
      <c r="C1175" s="173" t="s">
        <v>48</v>
      </c>
      <c r="D1175" s="173" t="s">
        <v>48</v>
      </c>
      <c r="E1175" s="190" t="s">
        <v>3638</v>
      </c>
      <c r="F1175" s="190" t="s">
        <v>3639</v>
      </c>
      <c r="G1175" s="173" t="s">
        <v>34</v>
      </c>
      <c r="H1175" s="173" t="s">
        <v>127</v>
      </c>
      <c r="I1175" s="174">
        <v>2.2000000000000002</v>
      </c>
      <c r="J1175" s="174"/>
      <c r="K1175" s="174"/>
      <c r="L1175" s="174"/>
      <c r="M1175" s="191">
        <v>620</v>
      </c>
      <c r="N1175" s="176">
        <v>10.01</v>
      </c>
      <c r="O1175" s="176"/>
      <c r="P1175" s="177"/>
      <c r="Q1175" s="178"/>
      <c r="R1175" s="179"/>
      <c r="S1175" s="179"/>
      <c r="T1175" s="177"/>
      <c r="U1175" s="177"/>
      <c r="V1175" s="177"/>
      <c r="W1175" s="177"/>
      <c r="X1175" s="177"/>
      <c r="Y1175" s="177"/>
      <c r="Z1175" s="177"/>
      <c r="AA1175" s="177"/>
      <c r="AB1175" s="177"/>
      <c r="AC1175" s="177"/>
      <c r="AD1175" s="180"/>
      <c r="AE1175" s="173" t="s">
        <v>69</v>
      </c>
      <c r="AF1175" s="181" t="s">
        <v>119</v>
      </c>
      <c r="AG1175" s="192" t="s">
        <v>3632</v>
      </c>
      <c r="AH1175" s="198">
        <v>45287</v>
      </c>
      <c r="AI1175" s="181">
        <v>44951</v>
      </c>
      <c r="AJ1175" s="181"/>
      <c r="AK1175" s="181">
        <f ca="1">TODAY()</f>
        <v>44958</v>
      </c>
      <c r="AL1175" s="173">
        <f t="shared" ca="1" si="20"/>
        <v>7</v>
      </c>
      <c r="AM1175" s="173" t="str">
        <f t="shared" si="21"/>
        <v/>
      </c>
      <c r="AN1175" s="181" t="s">
        <v>3640</v>
      </c>
      <c r="AO1175" s="190" t="s">
        <v>3641</v>
      </c>
      <c r="AP1175" s="176">
        <v>10.01</v>
      </c>
      <c r="AQ1175" s="176">
        <v>10.029999999999999</v>
      </c>
      <c r="AR1175" s="176">
        <v>10.054999999999998</v>
      </c>
      <c r="AS1175" s="176">
        <v>10.059999999999999</v>
      </c>
      <c r="AT1175" s="173"/>
      <c r="AU1175" s="173">
        <v>466</v>
      </c>
      <c r="AV1175" s="149"/>
      <c r="AW1175" s="142" t="s">
        <v>123</v>
      </c>
      <c r="AY1175" s="212"/>
      <c r="AZ1175" s="196"/>
      <c r="BA1175" s="196"/>
    </row>
    <row r="1176" spans="2:53" s="142" customFormat="1" ht="21" customHeight="1" x14ac:dyDescent="0.25">
      <c r="B1176" s="173" t="str">
        <f t="shared" si="22"/>
        <v>RM-J3/1D-2.20X620</v>
      </c>
      <c r="C1176" s="173" t="s">
        <v>48</v>
      </c>
      <c r="D1176" s="173" t="s">
        <v>48</v>
      </c>
      <c r="E1176" s="190" t="s">
        <v>3642</v>
      </c>
      <c r="F1176" s="190" t="s">
        <v>3643</v>
      </c>
      <c r="G1176" s="173" t="s">
        <v>34</v>
      </c>
      <c r="H1176" s="173" t="s">
        <v>127</v>
      </c>
      <c r="I1176" s="174">
        <v>2.2000000000000002</v>
      </c>
      <c r="J1176" s="174"/>
      <c r="K1176" s="174"/>
      <c r="L1176" s="174"/>
      <c r="M1176" s="191">
        <v>620</v>
      </c>
      <c r="N1176" s="176">
        <v>10.01</v>
      </c>
      <c r="O1176" s="176"/>
      <c r="P1176" s="177"/>
      <c r="Q1176" s="178"/>
      <c r="R1176" s="179"/>
      <c r="S1176" s="179"/>
      <c r="T1176" s="177"/>
      <c r="U1176" s="177"/>
      <c r="V1176" s="177"/>
      <c r="W1176" s="177"/>
      <c r="X1176" s="177"/>
      <c r="Y1176" s="177"/>
      <c r="Z1176" s="177"/>
      <c r="AA1176" s="177"/>
      <c r="AB1176" s="177"/>
      <c r="AC1176" s="177"/>
      <c r="AD1176" s="180"/>
      <c r="AE1176" s="173" t="s">
        <v>69</v>
      </c>
      <c r="AF1176" s="181" t="s">
        <v>119</v>
      </c>
      <c r="AG1176" s="192" t="s">
        <v>3632</v>
      </c>
      <c r="AH1176" s="198">
        <v>45287</v>
      </c>
      <c r="AI1176" s="181">
        <v>44951</v>
      </c>
      <c r="AJ1176" s="181"/>
      <c r="AK1176" s="181">
        <f ca="1">TODAY()</f>
        <v>44958</v>
      </c>
      <c r="AL1176" s="173">
        <f t="shared" ca="1" si="20"/>
        <v>7</v>
      </c>
      <c r="AM1176" s="173" t="str">
        <f t="shared" si="21"/>
        <v/>
      </c>
      <c r="AN1176" s="181" t="s">
        <v>3644</v>
      </c>
      <c r="AO1176" s="190" t="s">
        <v>3641</v>
      </c>
      <c r="AP1176" s="176">
        <v>10.01</v>
      </c>
      <c r="AQ1176" s="176">
        <v>10.029999999999999</v>
      </c>
      <c r="AR1176" s="176">
        <v>10.054999999999998</v>
      </c>
      <c r="AS1176" s="176">
        <v>10.059999999999999</v>
      </c>
      <c r="AT1176" s="173"/>
      <c r="AU1176" s="173">
        <v>466</v>
      </c>
      <c r="AV1176" s="149"/>
      <c r="AW1176" s="142" t="s">
        <v>123</v>
      </c>
      <c r="AY1176" s="212"/>
      <c r="AZ1176" s="196"/>
      <c r="BA1176" s="196"/>
    </row>
    <row r="1177" spans="2:53" s="142" customFormat="1" ht="21" customHeight="1" x14ac:dyDescent="0.25">
      <c r="B1177" s="173" t="str">
        <f t="shared" si="22"/>
        <v>RM-J3/1D-2.20X620</v>
      </c>
      <c r="C1177" s="173" t="s">
        <v>48</v>
      </c>
      <c r="D1177" s="173" t="s">
        <v>48</v>
      </c>
      <c r="E1177" s="190" t="s">
        <v>3645</v>
      </c>
      <c r="F1177" s="190" t="s">
        <v>3646</v>
      </c>
      <c r="G1177" s="173" t="s">
        <v>34</v>
      </c>
      <c r="H1177" s="173" t="s">
        <v>127</v>
      </c>
      <c r="I1177" s="174">
        <v>2.2000000000000002</v>
      </c>
      <c r="J1177" s="174"/>
      <c r="K1177" s="174"/>
      <c r="L1177" s="174"/>
      <c r="M1177" s="191">
        <v>620</v>
      </c>
      <c r="N1177" s="176">
        <v>10.038</v>
      </c>
      <c r="O1177" s="176"/>
      <c r="P1177" s="177"/>
      <c r="Q1177" s="178"/>
      <c r="R1177" s="179"/>
      <c r="S1177" s="179"/>
      <c r="T1177" s="177"/>
      <c r="U1177" s="177"/>
      <c r="V1177" s="177"/>
      <c r="W1177" s="177"/>
      <c r="X1177" s="177"/>
      <c r="Y1177" s="177"/>
      <c r="Z1177" s="177"/>
      <c r="AA1177" s="177"/>
      <c r="AB1177" s="177"/>
      <c r="AC1177" s="177"/>
      <c r="AD1177" s="180"/>
      <c r="AE1177" s="173" t="s">
        <v>69</v>
      </c>
      <c r="AF1177" s="181" t="s">
        <v>119</v>
      </c>
      <c r="AG1177" s="192" t="s">
        <v>3632</v>
      </c>
      <c r="AH1177" s="198">
        <v>45287</v>
      </c>
      <c r="AI1177" s="181">
        <v>44951</v>
      </c>
      <c r="AJ1177" s="181"/>
      <c r="AK1177" s="181">
        <f ca="1">TODAY()</f>
        <v>44958</v>
      </c>
      <c r="AL1177" s="173">
        <f t="shared" ca="1" si="20"/>
        <v>7</v>
      </c>
      <c r="AM1177" s="173" t="str">
        <f t="shared" si="21"/>
        <v/>
      </c>
      <c r="AN1177" s="181" t="s">
        <v>3647</v>
      </c>
      <c r="AO1177" s="190" t="s">
        <v>3648</v>
      </c>
      <c r="AP1177" s="176">
        <v>10.038</v>
      </c>
      <c r="AQ1177" s="176">
        <v>10.058</v>
      </c>
      <c r="AR1177" s="176">
        <v>10.082999999999998</v>
      </c>
      <c r="AS1177" s="176">
        <v>10.087999999999999</v>
      </c>
      <c r="AT1177" s="173"/>
      <c r="AU1177" s="173">
        <v>466</v>
      </c>
      <c r="AV1177" s="149"/>
      <c r="AW1177" s="142" t="s">
        <v>123</v>
      </c>
      <c r="AY1177" s="212"/>
      <c r="AZ1177" s="196"/>
      <c r="BA1177" s="196"/>
    </row>
    <row r="1178" spans="2:53" s="142" customFormat="1" ht="21" customHeight="1" x14ac:dyDescent="0.25">
      <c r="B1178" s="173" t="str">
        <f t="shared" si="22"/>
        <v>RM-J3/1D-2.20X620</v>
      </c>
      <c r="C1178" s="173" t="s">
        <v>48</v>
      </c>
      <c r="D1178" s="173" t="s">
        <v>48</v>
      </c>
      <c r="E1178" s="190" t="s">
        <v>3649</v>
      </c>
      <c r="F1178" s="190" t="s">
        <v>3650</v>
      </c>
      <c r="G1178" s="173" t="s">
        <v>34</v>
      </c>
      <c r="H1178" s="173" t="s">
        <v>127</v>
      </c>
      <c r="I1178" s="174">
        <v>2.2000000000000002</v>
      </c>
      <c r="J1178" s="174"/>
      <c r="K1178" s="174"/>
      <c r="L1178" s="174"/>
      <c r="M1178" s="191">
        <v>620</v>
      </c>
      <c r="N1178" s="176">
        <v>10.012</v>
      </c>
      <c r="O1178" s="176"/>
      <c r="P1178" s="177"/>
      <c r="Q1178" s="178"/>
      <c r="R1178" s="179"/>
      <c r="S1178" s="179"/>
      <c r="T1178" s="177"/>
      <c r="U1178" s="177"/>
      <c r="V1178" s="177"/>
      <c r="W1178" s="177"/>
      <c r="X1178" s="177"/>
      <c r="Y1178" s="177"/>
      <c r="Z1178" s="177"/>
      <c r="AA1178" s="177"/>
      <c r="AB1178" s="177"/>
      <c r="AC1178" s="177"/>
      <c r="AD1178" s="180"/>
      <c r="AE1178" s="173" t="s">
        <v>69</v>
      </c>
      <c r="AF1178" s="181" t="s">
        <v>119</v>
      </c>
      <c r="AG1178" s="192" t="s">
        <v>3632</v>
      </c>
      <c r="AH1178" s="198">
        <v>45287</v>
      </c>
      <c r="AI1178" s="181">
        <v>44951</v>
      </c>
      <c r="AJ1178" s="181"/>
      <c r="AK1178" s="181">
        <f ca="1">TODAY()</f>
        <v>44958</v>
      </c>
      <c r="AL1178" s="173">
        <f t="shared" ca="1" si="20"/>
        <v>7</v>
      </c>
      <c r="AM1178" s="173" t="str">
        <f t="shared" si="21"/>
        <v/>
      </c>
      <c r="AN1178" s="181" t="s">
        <v>3651</v>
      </c>
      <c r="AO1178" s="190" t="s">
        <v>3648</v>
      </c>
      <c r="AP1178" s="176">
        <v>10.012</v>
      </c>
      <c r="AQ1178" s="176">
        <v>10.032</v>
      </c>
      <c r="AR1178" s="176">
        <v>10.056999999999999</v>
      </c>
      <c r="AS1178" s="176">
        <v>10.061999999999999</v>
      </c>
      <c r="AT1178" s="173"/>
      <c r="AU1178" s="173">
        <v>466</v>
      </c>
      <c r="AV1178" s="149"/>
      <c r="AW1178" s="142" t="s">
        <v>123</v>
      </c>
      <c r="AY1178" s="212"/>
      <c r="AZ1178" s="196"/>
      <c r="BA1178" s="196"/>
    </row>
    <row r="1179" spans="2:53" s="142" customFormat="1" ht="21" customHeight="1" x14ac:dyDescent="0.25">
      <c r="B1179" s="173" t="str">
        <f t="shared" si="22"/>
        <v>RM-J3/1D-2.20X620</v>
      </c>
      <c r="C1179" s="173" t="s">
        <v>48</v>
      </c>
      <c r="D1179" s="173" t="s">
        <v>48</v>
      </c>
      <c r="E1179" s="190" t="s">
        <v>3652</v>
      </c>
      <c r="F1179" s="190" t="s">
        <v>3653</v>
      </c>
      <c r="G1179" s="173" t="s">
        <v>34</v>
      </c>
      <c r="H1179" s="173" t="s">
        <v>127</v>
      </c>
      <c r="I1179" s="174">
        <v>2.2000000000000002</v>
      </c>
      <c r="J1179" s="174"/>
      <c r="K1179" s="174"/>
      <c r="L1179" s="174"/>
      <c r="M1179" s="191">
        <v>620</v>
      </c>
      <c r="N1179" s="176">
        <v>10.029999999999999</v>
      </c>
      <c r="O1179" s="176"/>
      <c r="P1179" s="177"/>
      <c r="Q1179" s="178"/>
      <c r="R1179" s="179"/>
      <c r="S1179" s="179"/>
      <c r="T1179" s="177"/>
      <c r="U1179" s="177"/>
      <c r="V1179" s="177"/>
      <c r="W1179" s="177"/>
      <c r="X1179" s="177"/>
      <c r="Y1179" s="177"/>
      <c r="Z1179" s="177"/>
      <c r="AA1179" s="177"/>
      <c r="AB1179" s="177"/>
      <c r="AC1179" s="177"/>
      <c r="AD1179" s="180"/>
      <c r="AE1179" s="173" t="s">
        <v>69</v>
      </c>
      <c r="AF1179" s="181" t="s">
        <v>119</v>
      </c>
      <c r="AG1179" s="192" t="s">
        <v>3632</v>
      </c>
      <c r="AH1179" s="198">
        <v>45287</v>
      </c>
      <c r="AI1179" s="181">
        <v>44951</v>
      </c>
      <c r="AJ1179" s="181"/>
      <c r="AK1179" s="181">
        <f ca="1">TODAY()</f>
        <v>44958</v>
      </c>
      <c r="AL1179" s="173">
        <f t="shared" ca="1" si="20"/>
        <v>7</v>
      </c>
      <c r="AM1179" s="173" t="str">
        <f t="shared" si="21"/>
        <v/>
      </c>
      <c r="AN1179" s="181" t="s">
        <v>3654</v>
      </c>
      <c r="AO1179" s="190" t="s">
        <v>3655</v>
      </c>
      <c r="AP1179" s="176">
        <v>10.029999999999999</v>
      </c>
      <c r="AQ1179" s="176">
        <v>10.050000000000001</v>
      </c>
      <c r="AR1179" s="176">
        <v>10.074999999999999</v>
      </c>
      <c r="AS1179" s="176">
        <v>10.08</v>
      </c>
      <c r="AT1179" s="173"/>
      <c r="AU1179" s="173">
        <v>466</v>
      </c>
      <c r="AV1179" s="149"/>
      <c r="AW1179" s="142" t="s">
        <v>123</v>
      </c>
      <c r="AY1179" s="212"/>
      <c r="AZ1179" s="196"/>
      <c r="BA1179" s="196"/>
    </row>
    <row r="1180" spans="2:53" s="142" customFormat="1" ht="21" customHeight="1" x14ac:dyDescent="0.25">
      <c r="B1180" s="173" t="str">
        <f t="shared" si="22"/>
        <v>RM-J3/1D-2.20X620</v>
      </c>
      <c r="C1180" s="173" t="s">
        <v>48</v>
      </c>
      <c r="D1180" s="173" t="s">
        <v>48</v>
      </c>
      <c r="E1180" s="190" t="s">
        <v>3656</v>
      </c>
      <c r="F1180" s="190" t="s">
        <v>3657</v>
      </c>
      <c r="G1180" s="173" t="s">
        <v>34</v>
      </c>
      <c r="H1180" s="173" t="s">
        <v>127</v>
      </c>
      <c r="I1180" s="174">
        <v>2.2000000000000002</v>
      </c>
      <c r="J1180" s="174"/>
      <c r="K1180" s="174"/>
      <c r="L1180" s="174"/>
      <c r="M1180" s="191">
        <v>620</v>
      </c>
      <c r="N1180" s="176">
        <v>10.065</v>
      </c>
      <c r="O1180" s="176"/>
      <c r="P1180" s="177"/>
      <c r="Q1180" s="178"/>
      <c r="R1180" s="179"/>
      <c r="S1180" s="179"/>
      <c r="T1180" s="177"/>
      <c r="U1180" s="177"/>
      <c r="V1180" s="177"/>
      <c r="W1180" s="177"/>
      <c r="X1180" s="177"/>
      <c r="Y1180" s="177"/>
      <c r="Z1180" s="177"/>
      <c r="AA1180" s="177"/>
      <c r="AB1180" s="177"/>
      <c r="AC1180" s="177"/>
      <c r="AD1180" s="180"/>
      <c r="AE1180" s="173" t="s">
        <v>69</v>
      </c>
      <c r="AF1180" s="181" t="s">
        <v>119</v>
      </c>
      <c r="AG1180" s="192" t="s">
        <v>3632</v>
      </c>
      <c r="AH1180" s="198">
        <v>45287</v>
      </c>
      <c r="AI1180" s="181">
        <v>44951</v>
      </c>
      <c r="AJ1180" s="181"/>
      <c r="AK1180" s="181">
        <f ca="1">TODAY()</f>
        <v>44958</v>
      </c>
      <c r="AL1180" s="173">
        <f t="shared" ca="1" si="20"/>
        <v>7</v>
      </c>
      <c r="AM1180" s="173" t="str">
        <f t="shared" si="21"/>
        <v/>
      </c>
      <c r="AN1180" s="181" t="s">
        <v>3658</v>
      </c>
      <c r="AO1180" s="190" t="s">
        <v>3655</v>
      </c>
      <c r="AP1180" s="176">
        <v>10.065</v>
      </c>
      <c r="AQ1180" s="176">
        <v>10.085000000000001</v>
      </c>
      <c r="AR1180" s="176">
        <v>10.11</v>
      </c>
      <c r="AS1180" s="176">
        <v>10.115</v>
      </c>
      <c r="AT1180" s="173"/>
      <c r="AU1180" s="173">
        <v>466</v>
      </c>
      <c r="AV1180" s="149"/>
      <c r="AW1180" s="142" t="s">
        <v>123</v>
      </c>
      <c r="AY1180" s="212"/>
      <c r="AZ1180" s="196"/>
      <c r="BA1180" s="196"/>
    </row>
    <row r="1181" spans="2:53" s="142" customFormat="1" ht="21" customHeight="1" x14ac:dyDescent="0.25">
      <c r="B1181" s="173" t="str">
        <f t="shared" si="22"/>
        <v>RM-J3/1D-2.20X620</v>
      </c>
      <c r="C1181" s="173" t="s">
        <v>48</v>
      </c>
      <c r="D1181" s="173" t="s">
        <v>48</v>
      </c>
      <c r="E1181" s="190" t="s">
        <v>3659</v>
      </c>
      <c r="F1181" s="190" t="s">
        <v>3660</v>
      </c>
      <c r="G1181" s="173" t="s">
        <v>34</v>
      </c>
      <c r="H1181" s="173" t="s">
        <v>127</v>
      </c>
      <c r="I1181" s="174">
        <v>2.2000000000000002</v>
      </c>
      <c r="J1181" s="174"/>
      <c r="K1181" s="174"/>
      <c r="L1181" s="174"/>
      <c r="M1181" s="191">
        <v>620</v>
      </c>
      <c r="N1181" s="176">
        <v>10.029</v>
      </c>
      <c r="O1181" s="176"/>
      <c r="P1181" s="177"/>
      <c r="Q1181" s="178"/>
      <c r="R1181" s="179"/>
      <c r="S1181" s="179"/>
      <c r="T1181" s="177"/>
      <c r="U1181" s="177"/>
      <c r="V1181" s="177"/>
      <c r="W1181" s="177"/>
      <c r="X1181" s="177"/>
      <c r="Y1181" s="177"/>
      <c r="Z1181" s="177"/>
      <c r="AA1181" s="177"/>
      <c r="AB1181" s="177"/>
      <c r="AC1181" s="177"/>
      <c r="AD1181" s="180"/>
      <c r="AE1181" s="173" t="s">
        <v>69</v>
      </c>
      <c r="AF1181" s="181" t="s">
        <v>119</v>
      </c>
      <c r="AG1181" s="192" t="s">
        <v>3632</v>
      </c>
      <c r="AH1181" s="198">
        <v>45287</v>
      </c>
      <c r="AI1181" s="181">
        <v>44951</v>
      </c>
      <c r="AJ1181" s="181"/>
      <c r="AK1181" s="181">
        <f ca="1">TODAY()</f>
        <v>44958</v>
      </c>
      <c r="AL1181" s="173">
        <f t="shared" ca="1" si="20"/>
        <v>7</v>
      </c>
      <c r="AM1181" s="173" t="str">
        <f t="shared" si="21"/>
        <v/>
      </c>
      <c r="AN1181" s="181" t="s">
        <v>3661</v>
      </c>
      <c r="AO1181" s="190" t="s">
        <v>3662</v>
      </c>
      <c r="AP1181" s="176">
        <v>10.029</v>
      </c>
      <c r="AQ1181" s="176">
        <v>10.048999999999999</v>
      </c>
      <c r="AR1181" s="176">
        <v>10.073999999999998</v>
      </c>
      <c r="AS1181" s="176">
        <v>10.078999999999999</v>
      </c>
      <c r="AT1181" s="173"/>
      <c r="AU1181" s="173">
        <v>466</v>
      </c>
      <c r="AV1181" s="149"/>
      <c r="AW1181" s="142" t="s">
        <v>123</v>
      </c>
      <c r="AY1181" s="212"/>
      <c r="AZ1181" s="196"/>
      <c r="BA1181" s="196"/>
    </row>
    <row r="1182" spans="2:53" s="142" customFormat="1" ht="21" customHeight="1" x14ac:dyDescent="0.25">
      <c r="B1182" s="173" t="str">
        <f t="shared" si="22"/>
        <v>RM-J3/1D-2.20X620</v>
      </c>
      <c r="C1182" s="173" t="s">
        <v>48</v>
      </c>
      <c r="D1182" s="173" t="s">
        <v>48</v>
      </c>
      <c r="E1182" s="190" t="s">
        <v>3663</v>
      </c>
      <c r="F1182" s="190" t="s">
        <v>3664</v>
      </c>
      <c r="G1182" s="173" t="s">
        <v>34</v>
      </c>
      <c r="H1182" s="173" t="s">
        <v>127</v>
      </c>
      <c r="I1182" s="174">
        <v>2.2000000000000002</v>
      </c>
      <c r="J1182" s="174"/>
      <c r="K1182" s="174"/>
      <c r="L1182" s="174"/>
      <c r="M1182" s="191">
        <v>620</v>
      </c>
      <c r="N1182" s="176">
        <v>10.125999999999999</v>
      </c>
      <c r="O1182" s="176"/>
      <c r="P1182" s="177"/>
      <c r="Q1182" s="178"/>
      <c r="R1182" s="179"/>
      <c r="S1182" s="179"/>
      <c r="T1182" s="177"/>
      <c r="U1182" s="177"/>
      <c r="V1182" s="177"/>
      <c r="W1182" s="177"/>
      <c r="X1182" s="177"/>
      <c r="Y1182" s="177"/>
      <c r="Z1182" s="177"/>
      <c r="AA1182" s="177"/>
      <c r="AB1182" s="177"/>
      <c r="AC1182" s="177"/>
      <c r="AD1182" s="180"/>
      <c r="AE1182" s="173" t="s">
        <v>69</v>
      </c>
      <c r="AF1182" s="181" t="s">
        <v>119</v>
      </c>
      <c r="AG1182" s="192" t="s">
        <v>3632</v>
      </c>
      <c r="AH1182" s="198">
        <v>45287</v>
      </c>
      <c r="AI1182" s="181">
        <v>44951</v>
      </c>
      <c r="AJ1182" s="181"/>
      <c r="AK1182" s="181">
        <f ca="1">TODAY()</f>
        <v>44958</v>
      </c>
      <c r="AL1182" s="173">
        <f t="shared" ca="1" si="20"/>
        <v>7</v>
      </c>
      <c r="AM1182" s="173" t="str">
        <f t="shared" si="21"/>
        <v/>
      </c>
      <c r="AN1182" s="181" t="s">
        <v>3647</v>
      </c>
      <c r="AO1182" s="190" t="s">
        <v>3662</v>
      </c>
      <c r="AP1182" s="176">
        <v>10.125999999999999</v>
      </c>
      <c r="AQ1182" s="176">
        <v>10.146000000000001</v>
      </c>
      <c r="AR1182" s="176">
        <v>10.170999999999999</v>
      </c>
      <c r="AS1182" s="176">
        <v>10.176</v>
      </c>
      <c r="AT1182" s="173"/>
      <c r="AU1182" s="173">
        <v>466</v>
      </c>
      <c r="AV1182" s="149"/>
      <c r="AW1182" s="142" t="s">
        <v>123</v>
      </c>
      <c r="AY1182" s="212"/>
      <c r="AZ1182" s="196"/>
      <c r="BA1182" s="196"/>
    </row>
    <row r="1183" spans="2:53" s="142" customFormat="1" ht="21" customHeight="1" x14ac:dyDescent="0.25">
      <c r="B1183" s="173" t="str">
        <f t="shared" si="22"/>
        <v>RM-J3/1D-2.20X620</v>
      </c>
      <c r="C1183" s="173" t="s">
        <v>48</v>
      </c>
      <c r="D1183" s="173" t="s">
        <v>48</v>
      </c>
      <c r="E1183" s="190" t="s">
        <v>3665</v>
      </c>
      <c r="F1183" s="190" t="s">
        <v>3666</v>
      </c>
      <c r="G1183" s="173" t="s">
        <v>34</v>
      </c>
      <c r="H1183" s="173" t="s">
        <v>127</v>
      </c>
      <c r="I1183" s="174">
        <v>2.2000000000000002</v>
      </c>
      <c r="J1183" s="174"/>
      <c r="K1183" s="174"/>
      <c r="L1183" s="174"/>
      <c r="M1183" s="191">
        <v>620</v>
      </c>
      <c r="N1183" s="176">
        <v>9.9849999999999994</v>
      </c>
      <c r="O1183" s="176"/>
      <c r="P1183" s="177"/>
      <c r="Q1183" s="178"/>
      <c r="R1183" s="179"/>
      <c r="S1183" s="179"/>
      <c r="T1183" s="177"/>
      <c r="U1183" s="177"/>
      <c r="V1183" s="177"/>
      <c r="W1183" s="177"/>
      <c r="X1183" s="177"/>
      <c r="Y1183" s="177"/>
      <c r="Z1183" s="177"/>
      <c r="AA1183" s="177"/>
      <c r="AB1183" s="177"/>
      <c r="AC1183" s="177"/>
      <c r="AD1183" s="180"/>
      <c r="AE1183" s="173" t="s">
        <v>69</v>
      </c>
      <c r="AF1183" s="181" t="s">
        <v>119</v>
      </c>
      <c r="AG1183" s="192" t="s">
        <v>3632</v>
      </c>
      <c r="AH1183" s="198">
        <v>45287</v>
      </c>
      <c r="AI1183" s="181">
        <v>44951</v>
      </c>
      <c r="AJ1183" s="181"/>
      <c r="AK1183" s="181">
        <f ca="1">TODAY()</f>
        <v>44958</v>
      </c>
      <c r="AL1183" s="173">
        <f t="shared" ca="1" si="20"/>
        <v>7</v>
      </c>
      <c r="AM1183" s="173" t="str">
        <f t="shared" si="21"/>
        <v/>
      </c>
      <c r="AN1183" s="181" t="s">
        <v>3667</v>
      </c>
      <c r="AO1183" s="190" t="s">
        <v>3668</v>
      </c>
      <c r="AP1183" s="176">
        <v>9.9849999999999994</v>
      </c>
      <c r="AQ1183" s="176">
        <v>10.005000000000001</v>
      </c>
      <c r="AR1183" s="176">
        <v>10.029999999999999</v>
      </c>
      <c r="AS1183" s="176">
        <v>10.035</v>
      </c>
      <c r="AT1183" s="173"/>
      <c r="AU1183" s="173">
        <v>466</v>
      </c>
      <c r="AV1183" s="149"/>
      <c r="AW1183" s="142" t="s">
        <v>123</v>
      </c>
      <c r="AY1183" s="212"/>
      <c r="AZ1183" s="196"/>
      <c r="BA1183" s="196"/>
    </row>
    <row r="1184" spans="2:53" s="142" customFormat="1" ht="21" customHeight="1" x14ac:dyDescent="0.25">
      <c r="B1184" s="173" t="str">
        <f t="shared" si="22"/>
        <v>RM-J3/1D-2.20X620</v>
      </c>
      <c r="C1184" s="173" t="s">
        <v>48</v>
      </c>
      <c r="D1184" s="173" t="s">
        <v>48</v>
      </c>
      <c r="E1184" s="190" t="s">
        <v>3669</v>
      </c>
      <c r="F1184" s="190" t="s">
        <v>3670</v>
      </c>
      <c r="G1184" s="173" t="s">
        <v>34</v>
      </c>
      <c r="H1184" s="173" t="s">
        <v>127</v>
      </c>
      <c r="I1184" s="174">
        <v>2.2000000000000002</v>
      </c>
      <c r="J1184" s="174"/>
      <c r="K1184" s="174"/>
      <c r="L1184" s="174"/>
      <c r="M1184" s="191">
        <v>620</v>
      </c>
      <c r="N1184" s="176">
        <v>10.06</v>
      </c>
      <c r="O1184" s="176"/>
      <c r="P1184" s="177"/>
      <c r="Q1184" s="178"/>
      <c r="R1184" s="179"/>
      <c r="S1184" s="179"/>
      <c r="T1184" s="177"/>
      <c r="U1184" s="177"/>
      <c r="V1184" s="177"/>
      <c r="W1184" s="177"/>
      <c r="X1184" s="177"/>
      <c r="Y1184" s="177"/>
      <c r="Z1184" s="177"/>
      <c r="AA1184" s="177"/>
      <c r="AB1184" s="177"/>
      <c r="AC1184" s="177"/>
      <c r="AD1184" s="180"/>
      <c r="AE1184" s="173" t="s">
        <v>69</v>
      </c>
      <c r="AF1184" s="181" t="s">
        <v>119</v>
      </c>
      <c r="AG1184" s="192" t="s">
        <v>3632</v>
      </c>
      <c r="AH1184" s="198">
        <v>45287</v>
      </c>
      <c r="AI1184" s="181">
        <v>44951</v>
      </c>
      <c r="AJ1184" s="181"/>
      <c r="AK1184" s="181">
        <f ca="1">TODAY()</f>
        <v>44958</v>
      </c>
      <c r="AL1184" s="173">
        <f t="shared" ca="1" si="20"/>
        <v>7</v>
      </c>
      <c r="AM1184" s="173" t="str">
        <f t="shared" si="21"/>
        <v/>
      </c>
      <c r="AN1184" s="181" t="s">
        <v>3671</v>
      </c>
      <c r="AO1184" s="190" t="s">
        <v>3668</v>
      </c>
      <c r="AP1184" s="176">
        <v>10.06</v>
      </c>
      <c r="AQ1184" s="176">
        <v>10.08</v>
      </c>
      <c r="AR1184" s="176">
        <v>10.104999999999999</v>
      </c>
      <c r="AS1184" s="176">
        <v>10.11</v>
      </c>
      <c r="AT1184" s="173"/>
      <c r="AU1184" s="173">
        <v>466</v>
      </c>
      <c r="AV1184" s="149"/>
      <c r="AW1184" s="142" t="s">
        <v>123</v>
      </c>
      <c r="AY1184" s="212"/>
      <c r="AZ1184" s="196"/>
      <c r="BA1184" s="196"/>
    </row>
    <row r="1185" spans="2:53" s="142" customFormat="1" ht="21" customHeight="1" x14ac:dyDescent="0.25">
      <c r="B1185" s="173" t="str">
        <f t="shared" si="22"/>
        <v>RM-J3/1D-2.20X620</v>
      </c>
      <c r="C1185" s="173" t="s">
        <v>48</v>
      </c>
      <c r="D1185" s="173" t="s">
        <v>48</v>
      </c>
      <c r="E1185" s="190" t="s">
        <v>3672</v>
      </c>
      <c r="F1185" s="190" t="s">
        <v>3673</v>
      </c>
      <c r="G1185" s="173" t="s">
        <v>34</v>
      </c>
      <c r="H1185" s="173" t="s">
        <v>127</v>
      </c>
      <c r="I1185" s="174">
        <v>2.2000000000000002</v>
      </c>
      <c r="J1185" s="174"/>
      <c r="K1185" s="174"/>
      <c r="L1185" s="174"/>
      <c r="M1185" s="191">
        <v>620</v>
      </c>
      <c r="N1185" s="176">
        <v>10.032</v>
      </c>
      <c r="O1185" s="176"/>
      <c r="P1185" s="177"/>
      <c r="Q1185" s="178"/>
      <c r="R1185" s="179"/>
      <c r="S1185" s="179"/>
      <c r="T1185" s="177"/>
      <c r="U1185" s="177"/>
      <c r="V1185" s="177"/>
      <c r="W1185" s="177"/>
      <c r="X1185" s="177"/>
      <c r="Y1185" s="177"/>
      <c r="Z1185" s="177"/>
      <c r="AA1185" s="177"/>
      <c r="AB1185" s="177"/>
      <c r="AC1185" s="177"/>
      <c r="AD1185" s="180"/>
      <c r="AE1185" s="173" t="s">
        <v>69</v>
      </c>
      <c r="AF1185" s="181" t="s">
        <v>119</v>
      </c>
      <c r="AG1185" s="192" t="s">
        <v>3632</v>
      </c>
      <c r="AH1185" s="198">
        <v>45287</v>
      </c>
      <c r="AI1185" s="181">
        <v>44951</v>
      </c>
      <c r="AJ1185" s="181"/>
      <c r="AK1185" s="181">
        <f ca="1">TODAY()</f>
        <v>44958</v>
      </c>
      <c r="AL1185" s="173">
        <f t="shared" ca="1" si="20"/>
        <v>7</v>
      </c>
      <c r="AM1185" s="173" t="str">
        <f t="shared" si="21"/>
        <v/>
      </c>
      <c r="AN1185" s="181" t="s">
        <v>3674</v>
      </c>
      <c r="AO1185" s="190" t="s">
        <v>3675</v>
      </c>
      <c r="AP1185" s="176">
        <v>10.032</v>
      </c>
      <c r="AQ1185" s="176">
        <v>10.052</v>
      </c>
      <c r="AR1185" s="176">
        <v>10.076999999999998</v>
      </c>
      <c r="AS1185" s="176">
        <v>10.081999999999999</v>
      </c>
      <c r="AT1185" s="173"/>
      <c r="AU1185" s="173">
        <v>466</v>
      </c>
      <c r="AV1185" s="149"/>
      <c r="AW1185" s="142" t="s">
        <v>123</v>
      </c>
      <c r="AY1185" s="212"/>
      <c r="AZ1185" s="196"/>
      <c r="BA1185" s="196"/>
    </row>
    <row r="1186" spans="2:53" s="142" customFormat="1" ht="21" customHeight="1" x14ac:dyDescent="0.25">
      <c r="B1186" s="173" t="str">
        <f t="shared" si="22"/>
        <v>RM-J3/1D-2.20X620</v>
      </c>
      <c r="C1186" s="173" t="s">
        <v>48</v>
      </c>
      <c r="D1186" s="173" t="s">
        <v>48</v>
      </c>
      <c r="E1186" s="190" t="s">
        <v>3676</v>
      </c>
      <c r="F1186" s="190" t="s">
        <v>3677</v>
      </c>
      <c r="G1186" s="173" t="s">
        <v>34</v>
      </c>
      <c r="H1186" s="173" t="s">
        <v>127</v>
      </c>
      <c r="I1186" s="174">
        <v>2.2000000000000002</v>
      </c>
      <c r="J1186" s="174"/>
      <c r="K1186" s="174"/>
      <c r="L1186" s="174"/>
      <c r="M1186" s="191">
        <v>620</v>
      </c>
      <c r="N1186" s="176">
        <v>10.077999999999999</v>
      </c>
      <c r="O1186" s="176"/>
      <c r="P1186" s="177"/>
      <c r="Q1186" s="178"/>
      <c r="R1186" s="179"/>
      <c r="S1186" s="179"/>
      <c r="T1186" s="177"/>
      <c r="U1186" s="177"/>
      <c r="V1186" s="177"/>
      <c r="W1186" s="177"/>
      <c r="X1186" s="177"/>
      <c r="Y1186" s="177"/>
      <c r="Z1186" s="177"/>
      <c r="AA1186" s="177"/>
      <c r="AB1186" s="177"/>
      <c r="AC1186" s="177"/>
      <c r="AD1186" s="180"/>
      <c r="AE1186" s="173" t="s">
        <v>69</v>
      </c>
      <c r="AF1186" s="181" t="s">
        <v>119</v>
      </c>
      <c r="AG1186" s="192" t="s">
        <v>3632</v>
      </c>
      <c r="AH1186" s="198">
        <v>45287</v>
      </c>
      <c r="AI1186" s="181">
        <v>44951</v>
      </c>
      <c r="AJ1186" s="181"/>
      <c r="AK1186" s="181">
        <f ca="1">TODAY()</f>
        <v>44958</v>
      </c>
      <c r="AL1186" s="173">
        <f t="shared" ca="1" si="20"/>
        <v>7</v>
      </c>
      <c r="AM1186" s="173" t="str">
        <f t="shared" si="21"/>
        <v/>
      </c>
      <c r="AN1186" s="181" t="s">
        <v>3678</v>
      </c>
      <c r="AO1186" s="190" t="s">
        <v>3675</v>
      </c>
      <c r="AP1186" s="176">
        <v>10.077999999999999</v>
      </c>
      <c r="AQ1186" s="176">
        <v>10.098000000000001</v>
      </c>
      <c r="AR1186" s="176">
        <v>10.122999999999999</v>
      </c>
      <c r="AS1186" s="176">
        <v>10.128</v>
      </c>
      <c r="AT1186" s="173"/>
      <c r="AU1186" s="173">
        <v>466</v>
      </c>
      <c r="AV1186" s="149"/>
      <c r="AW1186" s="142" t="s">
        <v>123</v>
      </c>
      <c r="AY1186" s="212"/>
      <c r="AZ1186" s="196"/>
      <c r="BA1186" s="196"/>
    </row>
    <row r="1187" spans="2:53" s="142" customFormat="1" ht="21" customHeight="1" x14ac:dyDescent="0.25">
      <c r="B1187" s="173" t="str">
        <f t="shared" si="22"/>
        <v>RM-J3/1D-2.40X620</v>
      </c>
      <c r="C1187" s="173" t="s">
        <v>48</v>
      </c>
      <c r="D1187" s="173" t="s">
        <v>48</v>
      </c>
      <c r="E1187" s="190" t="s">
        <v>3679</v>
      </c>
      <c r="F1187" s="190" t="s">
        <v>3680</v>
      </c>
      <c r="G1187" s="173" t="s">
        <v>34</v>
      </c>
      <c r="H1187" s="173" t="s">
        <v>127</v>
      </c>
      <c r="I1187" s="174">
        <v>2.4</v>
      </c>
      <c r="J1187" s="174"/>
      <c r="K1187" s="174"/>
      <c r="L1187" s="174"/>
      <c r="M1187" s="191">
        <v>620</v>
      </c>
      <c r="N1187" s="176">
        <v>9.93</v>
      </c>
      <c r="O1187" s="176"/>
      <c r="P1187" s="177"/>
      <c r="Q1187" s="178"/>
      <c r="R1187" s="179"/>
      <c r="S1187" s="179"/>
      <c r="T1187" s="177"/>
      <c r="U1187" s="177"/>
      <c r="V1187" s="177"/>
      <c r="W1187" s="177"/>
      <c r="X1187" s="177"/>
      <c r="Y1187" s="177"/>
      <c r="Z1187" s="177"/>
      <c r="AA1187" s="177"/>
      <c r="AB1187" s="177"/>
      <c r="AC1187" s="177"/>
      <c r="AD1187" s="180"/>
      <c r="AE1187" s="173" t="s">
        <v>69</v>
      </c>
      <c r="AF1187" s="181" t="s">
        <v>119</v>
      </c>
      <c r="AG1187" s="192" t="s">
        <v>3632</v>
      </c>
      <c r="AH1187" s="198">
        <v>45287</v>
      </c>
      <c r="AI1187" s="181">
        <v>44951</v>
      </c>
      <c r="AJ1187" s="181"/>
      <c r="AK1187" s="181">
        <f ca="1">TODAY()</f>
        <v>44958</v>
      </c>
      <c r="AL1187" s="173">
        <f t="shared" ca="1" si="20"/>
        <v>7</v>
      </c>
      <c r="AM1187" s="173" t="str">
        <f t="shared" si="21"/>
        <v/>
      </c>
      <c r="AN1187" s="181" t="s">
        <v>3644</v>
      </c>
      <c r="AO1187" s="190" t="s">
        <v>3681</v>
      </c>
      <c r="AP1187" s="176">
        <v>9.93</v>
      </c>
      <c r="AQ1187" s="176">
        <v>9.9499999999999993</v>
      </c>
      <c r="AR1187" s="176">
        <v>9.9749999999999979</v>
      </c>
      <c r="AS1187" s="176">
        <v>9.9799999999999986</v>
      </c>
      <c r="AT1187" s="173"/>
      <c r="AU1187" s="173">
        <v>466</v>
      </c>
      <c r="AV1187" s="149"/>
      <c r="AW1187" s="142" t="s">
        <v>123</v>
      </c>
      <c r="AY1187" s="212"/>
      <c r="AZ1187" s="196"/>
      <c r="BA1187" s="196"/>
    </row>
    <row r="1188" spans="2:53" s="142" customFormat="1" ht="21" customHeight="1" x14ac:dyDescent="0.25">
      <c r="B1188" s="173" t="str">
        <f t="shared" si="22"/>
        <v>RM-J3/1D-2.40X620</v>
      </c>
      <c r="C1188" s="173" t="s">
        <v>48</v>
      </c>
      <c r="D1188" s="173" t="s">
        <v>48</v>
      </c>
      <c r="E1188" s="190" t="s">
        <v>3682</v>
      </c>
      <c r="F1188" s="190" t="s">
        <v>3683</v>
      </c>
      <c r="G1188" s="173" t="s">
        <v>34</v>
      </c>
      <c r="H1188" s="173" t="s">
        <v>127</v>
      </c>
      <c r="I1188" s="174">
        <v>2.4</v>
      </c>
      <c r="J1188" s="174"/>
      <c r="K1188" s="174"/>
      <c r="L1188" s="174"/>
      <c r="M1188" s="191">
        <v>620</v>
      </c>
      <c r="N1188" s="176">
        <v>9.9700000000000006</v>
      </c>
      <c r="O1188" s="176"/>
      <c r="P1188" s="177"/>
      <c r="Q1188" s="178"/>
      <c r="R1188" s="179"/>
      <c r="S1188" s="179"/>
      <c r="T1188" s="177"/>
      <c r="U1188" s="177"/>
      <c r="V1188" s="177"/>
      <c r="W1188" s="177"/>
      <c r="X1188" s="177"/>
      <c r="Y1188" s="177"/>
      <c r="Z1188" s="177"/>
      <c r="AA1188" s="177"/>
      <c r="AB1188" s="177"/>
      <c r="AC1188" s="177"/>
      <c r="AD1188" s="180"/>
      <c r="AE1188" s="173" t="s">
        <v>69</v>
      </c>
      <c r="AF1188" s="181" t="s">
        <v>119</v>
      </c>
      <c r="AG1188" s="192" t="s">
        <v>3632</v>
      </c>
      <c r="AH1188" s="198">
        <v>45287</v>
      </c>
      <c r="AI1188" s="181">
        <v>44951</v>
      </c>
      <c r="AJ1188" s="181"/>
      <c r="AK1188" s="181">
        <f ca="1">TODAY()</f>
        <v>44958</v>
      </c>
      <c r="AL1188" s="173">
        <f t="shared" ca="1" si="20"/>
        <v>7</v>
      </c>
      <c r="AM1188" s="173" t="str">
        <f t="shared" si="21"/>
        <v/>
      </c>
      <c r="AN1188" s="181" t="s">
        <v>3637</v>
      </c>
      <c r="AO1188" s="190" t="s">
        <v>3681</v>
      </c>
      <c r="AP1188" s="176">
        <v>9.9700000000000006</v>
      </c>
      <c r="AQ1188" s="176">
        <v>9.99</v>
      </c>
      <c r="AR1188" s="176">
        <v>10.014999999999999</v>
      </c>
      <c r="AS1188" s="176">
        <v>10.02</v>
      </c>
      <c r="AT1188" s="173"/>
      <c r="AU1188" s="173">
        <v>466</v>
      </c>
      <c r="AV1188" s="149"/>
      <c r="AW1188" s="142" t="s">
        <v>123</v>
      </c>
      <c r="AY1188" s="212"/>
      <c r="AZ1188" s="196"/>
      <c r="BA1188" s="196"/>
    </row>
    <row r="1189" spans="2:53" s="142" customFormat="1" ht="21" customHeight="1" x14ac:dyDescent="0.25">
      <c r="B1189" s="173" t="str">
        <f t="shared" si="22"/>
        <v>RM-J3/1D-2.40X620</v>
      </c>
      <c r="C1189" s="173" t="s">
        <v>48</v>
      </c>
      <c r="D1189" s="173" t="s">
        <v>48</v>
      </c>
      <c r="E1189" s="190" t="s">
        <v>3684</v>
      </c>
      <c r="F1189" s="190" t="s">
        <v>3685</v>
      </c>
      <c r="G1189" s="173" t="s">
        <v>34</v>
      </c>
      <c r="H1189" s="173" t="s">
        <v>127</v>
      </c>
      <c r="I1189" s="174">
        <v>2.4</v>
      </c>
      <c r="J1189" s="174"/>
      <c r="K1189" s="174"/>
      <c r="L1189" s="174"/>
      <c r="M1189" s="191">
        <v>620</v>
      </c>
      <c r="N1189" s="176">
        <v>10.071999999999999</v>
      </c>
      <c r="O1189" s="176"/>
      <c r="P1189" s="177"/>
      <c r="Q1189" s="178"/>
      <c r="R1189" s="179"/>
      <c r="S1189" s="179"/>
      <c r="T1189" s="177"/>
      <c r="U1189" s="177"/>
      <c r="V1189" s="177"/>
      <c r="W1189" s="177"/>
      <c r="X1189" s="177"/>
      <c r="Y1189" s="177"/>
      <c r="Z1189" s="177"/>
      <c r="AA1189" s="177"/>
      <c r="AB1189" s="177"/>
      <c r="AC1189" s="177"/>
      <c r="AD1189" s="180"/>
      <c r="AE1189" s="173" t="s">
        <v>69</v>
      </c>
      <c r="AF1189" s="181" t="s">
        <v>119</v>
      </c>
      <c r="AG1189" s="192" t="s">
        <v>3632</v>
      </c>
      <c r="AH1189" s="198">
        <v>45287</v>
      </c>
      <c r="AI1189" s="181">
        <v>44951</v>
      </c>
      <c r="AJ1189" s="181"/>
      <c r="AK1189" s="181">
        <f ca="1">TODAY()</f>
        <v>44958</v>
      </c>
      <c r="AL1189" s="173">
        <f t="shared" ca="1" si="20"/>
        <v>7</v>
      </c>
      <c r="AM1189" s="173" t="str">
        <f t="shared" si="21"/>
        <v/>
      </c>
      <c r="AN1189" s="181" t="s">
        <v>3686</v>
      </c>
      <c r="AO1189" s="190" t="s">
        <v>3687</v>
      </c>
      <c r="AP1189" s="176">
        <v>10.071999999999999</v>
      </c>
      <c r="AQ1189" s="176">
        <v>10.092000000000001</v>
      </c>
      <c r="AR1189" s="176">
        <v>10.116999999999999</v>
      </c>
      <c r="AS1189" s="176">
        <v>10.122</v>
      </c>
      <c r="AT1189" s="173"/>
      <c r="AU1189" s="173">
        <v>466</v>
      </c>
      <c r="AV1189" s="149"/>
      <c r="AW1189" s="142" t="s">
        <v>123</v>
      </c>
      <c r="AY1189" s="212"/>
      <c r="AZ1189" s="196"/>
      <c r="BA1189" s="196"/>
    </row>
    <row r="1190" spans="2:53" s="142" customFormat="1" ht="21" customHeight="1" x14ac:dyDescent="0.25">
      <c r="B1190" s="173" t="str">
        <f t="shared" si="22"/>
        <v>RM-J3/1D-2.40X620</v>
      </c>
      <c r="C1190" s="173" t="s">
        <v>48</v>
      </c>
      <c r="D1190" s="173" t="s">
        <v>48</v>
      </c>
      <c r="E1190" s="190" t="s">
        <v>3688</v>
      </c>
      <c r="F1190" s="190" t="s">
        <v>3689</v>
      </c>
      <c r="G1190" s="173" t="s">
        <v>34</v>
      </c>
      <c r="H1190" s="173" t="s">
        <v>127</v>
      </c>
      <c r="I1190" s="174">
        <v>2.4</v>
      </c>
      <c r="J1190" s="174"/>
      <c r="K1190" s="174"/>
      <c r="L1190" s="174"/>
      <c r="M1190" s="191">
        <v>620</v>
      </c>
      <c r="N1190" s="176">
        <v>10.153</v>
      </c>
      <c r="O1190" s="176"/>
      <c r="P1190" s="177"/>
      <c r="Q1190" s="178"/>
      <c r="R1190" s="179"/>
      <c r="S1190" s="179"/>
      <c r="T1190" s="177"/>
      <c r="U1190" s="177"/>
      <c r="V1190" s="177"/>
      <c r="W1190" s="177"/>
      <c r="X1190" s="177"/>
      <c r="Y1190" s="177"/>
      <c r="Z1190" s="177"/>
      <c r="AA1190" s="177"/>
      <c r="AB1190" s="177"/>
      <c r="AC1190" s="177"/>
      <c r="AD1190" s="180"/>
      <c r="AE1190" s="173" t="s">
        <v>69</v>
      </c>
      <c r="AF1190" s="181" t="s">
        <v>119</v>
      </c>
      <c r="AG1190" s="192" t="s">
        <v>3632</v>
      </c>
      <c r="AH1190" s="198">
        <v>45287</v>
      </c>
      <c r="AI1190" s="181">
        <v>44951</v>
      </c>
      <c r="AJ1190" s="181"/>
      <c r="AK1190" s="181">
        <f ca="1">TODAY()</f>
        <v>44958</v>
      </c>
      <c r="AL1190" s="173">
        <f t="shared" ca="1" si="20"/>
        <v>7</v>
      </c>
      <c r="AM1190" s="173" t="str">
        <f t="shared" si="21"/>
        <v/>
      </c>
      <c r="AN1190" s="181" t="s">
        <v>3674</v>
      </c>
      <c r="AO1190" s="190" t="s">
        <v>3687</v>
      </c>
      <c r="AP1190" s="176">
        <v>10.153</v>
      </c>
      <c r="AQ1190" s="176">
        <v>10.173</v>
      </c>
      <c r="AR1190" s="176">
        <v>10.197999999999999</v>
      </c>
      <c r="AS1190" s="176">
        <v>10.202999999999999</v>
      </c>
      <c r="AT1190" s="173"/>
      <c r="AU1190" s="173">
        <v>466</v>
      </c>
      <c r="AV1190" s="149"/>
      <c r="AW1190" s="142" t="s">
        <v>123</v>
      </c>
      <c r="AY1190" s="212"/>
      <c r="AZ1190" s="196"/>
      <c r="BA1190" s="196"/>
    </row>
    <row r="1191" spans="2:53" s="142" customFormat="1" ht="21" customHeight="1" x14ac:dyDescent="0.25">
      <c r="B1191" s="173" t="str">
        <f t="shared" si="22"/>
        <v>RM-J3/1D-2.40X620</v>
      </c>
      <c r="C1191" s="173" t="s">
        <v>48</v>
      </c>
      <c r="D1191" s="173" t="s">
        <v>48</v>
      </c>
      <c r="E1191" s="190" t="s">
        <v>3690</v>
      </c>
      <c r="F1191" s="190" t="s">
        <v>3691</v>
      </c>
      <c r="G1191" s="173" t="s">
        <v>34</v>
      </c>
      <c r="H1191" s="173" t="s">
        <v>127</v>
      </c>
      <c r="I1191" s="174">
        <v>2.4</v>
      </c>
      <c r="J1191" s="174"/>
      <c r="K1191" s="174"/>
      <c r="L1191" s="174"/>
      <c r="M1191" s="191">
        <v>620</v>
      </c>
      <c r="N1191" s="176">
        <v>9.98</v>
      </c>
      <c r="O1191" s="176"/>
      <c r="P1191" s="177"/>
      <c r="Q1191" s="178"/>
      <c r="R1191" s="179"/>
      <c r="S1191" s="179"/>
      <c r="T1191" s="177"/>
      <c r="U1191" s="177"/>
      <c r="V1191" s="177"/>
      <c r="W1191" s="177"/>
      <c r="X1191" s="177"/>
      <c r="Y1191" s="177"/>
      <c r="Z1191" s="177"/>
      <c r="AA1191" s="177"/>
      <c r="AB1191" s="177"/>
      <c r="AC1191" s="177"/>
      <c r="AD1191" s="180"/>
      <c r="AE1191" s="173" t="s">
        <v>69</v>
      </c>
      <c r="AF1191" s="181" t="s">
        <v>119</v>
      </c>
      <c r="AG1191" s="192" t="s">
        <v>3632</v>
      </c>
      <c r="AH1191" s="198">
        <v>45287</v>
      </c>
      <c r="AI1191" s="181">
        <v>44951</v>
      </c>
      <c r="AJ1191" s="181"/>
      <c r="AK1191" s="181">
        <f ca="1">TODAY()</f>
        <v>44958</v>
      </c>
      <c r="AL1191" s="173">
        <f t="shared" ca="1" si="20"/>
        <v>7</v>
      </c>
      <c r="AM1191" s="173" t="str">
        <f t="shared" si="21"/>
        <v/>
      </c>
      <c r="AN1191" s="181" t="s">
        <v>3678</v>
      </c>
      <c r="AO1191" s="190" t="s">
        <v>3681</v>
      </c>
      <c r="AP1191" s="176">
        <v>9.98</v>
      </c>
      <c r="AQ1191" s="176">
        <v>10</v>
      </c>
      <c r="AR1191" s="176">
        <v>10.024999999999999</v>
      </c>
      <c r="AS1191" s="176">
        <v>10.029999999999999</v>
      </c>
      <c r="AT1191" s="173"/>
      <c r="AU1191" s="173">
        <v>466</v>
      </c>
      <c r="AV1191" s="149"/>
      <c r="AW1191" s="142" t="s">
        <v>123</v>
      </c>
      <c r="AY1191" s="212"/>
      <c r="AZ1191" s="196"/>
      <c r="BA1191" s="196"/>
    </row>
    <row r="1192" spans="2:53" s="142" customFormat="1" ht="21" customHeight="1" x14ac:dyDescent="0.25">
      <c r="B1192" s="173" t="str">
        <f t="shared" si="22"/>
        <v>RM-J3/1D-2.40X620</v>
      </c>
      <c r="C1192" s="173" t="s">
        <v>48</v>
      </c>
      <c r="D1192" s="173" t="s">
        <v>48</v>
      </c>
      <c r="E1192" s="190" t="s">
        <v>3692</v>
      </c>
      <c r="F1192" s="190" t="s">
        <v>3693</v>
      </c>
      <c r="G1192" s="173" t="s">
        <v>34</v>
      </c>
      <c r="H1192" s="173" t="s">
        <v>127</v>
      </c>
      <c r="I1192" s="174">
        <v>2.4</v>
      </c>
      <c r="J1192" s="174"/>
      <c r="K1192" s="174"/>
      <c r="L1192" s="174"/>
      <c r="M1192" s="191">
        <v>620</v>
      </c>
      <c r="N1192" s="176">
        <v>9.9600000000000009</v>
      </c>
      <c r="O1192" s="176"/>
      <c r="P1192" s="177"/>
      <c r="Q1192" s="178"/>
      <c r="R1192" s="179"/>
      <c r="S1192" s="179"/>
      <c r="T1192" s="177"/>
      <c r="U1192" s="177"/>
      <c r="V1192" s="177"/>
      <c r="W1192" s="177"/>
      <c r="X1192" s="177"/>
      <c r="Y1192" s="177"/>
      <c r="Z1192" s="177"/>
      <c r="AA1192" s="177"/>
      <c r="AB1192" s="177"/>
      <c r="AC1192" s="177"/>
      <c r="AD1192" s="180"/>
      <c r="AE1192" s="173" t="s">
        <v>69</v>
      </c>
      <c r="AF1192" s="181" t="s">
        <v>119</v>
      </c>
      <c r="AG1192" s="192" t="s">
        <v>3632</v>
      </c>
      <c r="AH1192" s="198">
        <v>45287</v>
      </c>
      <c r="AI1192" s="181">
        <v>44951</v>
      </c>
      <c r="AJ1192" s="181"/>
      <c r="AK1192" s="181">
        <f ca="1">TODAY()</f>
        <v>44958</v>
      </c>
      <c r="AL1192" s="173">
        <f t="shared" ca="1" si="20"/>
        <v>7</v>
      </c>
      <c r="AM1192" s="173" t="str">
        <f t="shared" si="21"/>
        <v/>
      </c>
      <c r="AN1192" s="181" t="s">
        <v>3633</v>
      </c>
      <c r="AO1192" s="190" t="s">
        <v>3681</v>
      </c>
      <c r="AP1192" s="176">
        <v>9.9600000000000009</v>
      </c>
      <c r="AQ1192" s="176">
        <v>9.98</v>
      </c>
      <c r="AR1192" s="176">
        <v>10.004999999999999</v>
      </c>
      <c r="AS1192" s="176">
        <v>10.01</v>
      </c>
      <c r="AT1192" s="173"/>
      <c r="AU1192" s="173">
        <v>466</v>
      </c>
      <c r="AV1192" s="149"/>
      <c r="AW1192" s="142" t="s">
        <v>123</v>
      </c>
      <c r="AY1192" s="212"/>
      <c r="AZ1192" s="196"/>
      <c r="BA1192" s="196"/>
    </row>
    <row r="1193" spans="2:53" s="142" customFormat="1" ht="21" customHeight="1" x14ac:dyDescent="0.25">
      <c r="B1193" s="173" t="str">
        <f t="shared" si="22"/>
        <v>RM-J3/1D-2.40X620</v>
      </c>
      <c r="C1193" s="173" t="s">
        <v>48</v>
      </c>
      <c r="D1193" s="173" t="s">
        <v>48</v>
      </c>
      <c r="E1193" s="190" t="s">
        <v>3694</v>
      </c>
      <c r="F1193" s="190" t="s">
        <v>3695</v>
      </c>
      <c r="G1193" s="173" t="s">
        <v>34</v>
      </c>
      <c r="H1193" s="173" t="s">
        <v>127</v>
      </c>
      <c r="I1193" s="174">
        <v>2.4</v>
      </c>
      <c r="J1193" s="174"/>
      <c r="K1193" s="174"/>
      <c r="L1193" s="174"/>
      <c r="M1193" s="191">
        <v>620</v>
      </c>
      <c r="N1193" s="176">
        <v>10.045999999999999</v>
      </c>
      <c r="O1193" s="176"/>
      <c r="P1193" s="177"/>
      <c r="Q1193" s="178"/>
      <c r="R1193" s="179"/>
      <c r="S1193" s="179"/>
      <c r="T1193" s="177"/>
      <c r="U1193" s="177"/>
      <c r="V1193" s="177"/>
      <c r="W1193" s="177"/>
      <c r="X1193" s="177"/>
      <c r="Y1193" s="177"/>
      <c r="Z1193" s="177"/>
      <c r="AA1193" s="177"/>
      <c r="AB1193" s="177"/>
      <c r="AC1193" s="177"/>
      <c r="AD1193" s="180"/>
      <c r="AE1193" s="173" t="s">
        <v>69</v>
      </c>
      <c r="AF1193" s="181" t="s">
        <v>119</v>
      </c>
      <c r="AG1193" s="192" t="s">
        <v>3632</v>
      </c>
      <c r="AH1193" s="198">
        <v>45287</v>
      </c>
      <c r="AI1193" s="181">
        <v>44951</v>
      </c>
      <c r="AJ1193" s="181"/>
      <c r="AK1193" s="181">
        <f ca="1">TODAY()</f>
        <v>44958</v>
      </c>
      <c r="AL1193" s="173">
        <f t="shared" ca="1" si="20"/>
        <v>7</v>
      </c>
      <c r="AM1193" s="173" t="str">
        <f t="shared" si="21"/>
        <v/>
      </c>
      <c r="AN1193" s="181" t="s">
        <v>3696</v>
      </c>
      <c r="AO1193" s="190" t="s">
        <v>3697</v>
      </c>
      <c r="AP1193" s="176">
        <v>10.045999999999999</v>
      </c>
      <c r="AQ1193" s="176">
        <v>10.066000000000001</v>
      </c>
      <c r="AR1193" s="176">
        <v>10.090999999999999</v>
      </c>
      <c r="AS1193" s="176">
        <v>10.096</v>
      </c>
      <c r="AT1193" s="173"/>
      <c r="AU1193" s="173">
        <v>466</v>
      </c>
      <c r="AV1193" s="149"/>
      <c r="AW1193" s="142" t="s">
        <v>123</v>
      </c>
      <c r="AY1193" s="212"/>
      <c r="AZ1193" s="196"/>
      <c r="BA1193" s="196"/>
    </row>
    <row r="1194" spans="2:53" s="142" customFormat="1" ht="21" customHeight="1" x14ac:dyDescent="0.25">
      <c r="B1194" s="173" t="str">
        <f t="shared" si="22"/>
        <v>RM-J3/1D-2.40X620</v>
      </c>
      <c r="C1194" s="173" t="s">
        <v>48</v>
      </c>
      <c r="D1194" s="173" t="s">
        <v>48</v>
      </c>
      <c r="E1194" s="190" t="s">
        <v>3698</v>
      </c>
      <c r="F1194" s="190" t="s">
        <v>3699</v>
      </c>
      <c r="G1194" s="173" t="s">
        <v>34</v>
      </c>
      <c r="H1194" s="173" t="s">
        <v>127</v>
      </c>
      <c r="I1194" s="174">
        <v>2.4</v>
      </c>
      <c r="J1194" s="174"/>
      <c r="K1194" s="174"/>
      <c r="L1194" s="174"/>
      <c r="M1194" s="191">
        <v>620</v>
      </c>
      <c r="N1194" s="176">
        <v>10.034000000000001</v>
      </c>
      <c r="O1194" s="176"/>
      <c r="P1194" s="177"/>
      <c r="Q1194" s="178"/>
      <c r="R1194" s="179"/>
      <c r="S1194" s="179"/>
      <c r="T1194" s="177"/>
      <c r="U1194" s="177"/>
      <c r="V1194" s="177"/>
      <c r="W1194" s="177"/>
      <c r="X1194" s="177"/>
      <c r="Y1194" s="177"/>
      <c r="Z1194" s="177"/>
      <c r="AA1194" s="177"/>
      <c r="AB1194" s="177"/>
      <c r="AC1194" s="177"/>
      <c r="AD1194" s="180"/>
      <c r="AE1194" s="173" t="s">
        <v>69</v>
      </c>
      <c r="AF1194" s="181" t="s">
        <v>119</v>
      </c>
      <c r="AG1194" s="192" t="s">
        <v>3632</v>
      </c>
      <c r="AH1194" s="198">
        <v>45287</v>
      </c>
      <c r="AI1194" s="181">
        <v>44951</v>
      </c>
      <c r="AJ1194" s="181"/>
      <c r="AK1194" s="181">
        <f ca="1">TODAY()</f>
        <v>44958</v>
      </c>
      <c r="AL1194" s="173">
        <f t="shared" ca="1" si="20"/>
        <v>7</v>
      </c>
      <c r="AM1194" s="173" t="str">
        <f t="shared" si="21"/>
        <v/>
      </c>
      <c r="AN1194" s="181" t="s">
        <v>3700</v>
      </c>
      <c r="AO1194" s="190" t="s">
        <v>3697</v>
      </c>
      <c r="AP1194" s="176">
        <v>10.034000000000001</v>
      </c>
      <c r="AQ1194" s="176">
        <v>10.054</v>
      </c>
      <c r="AR1194" s="176">
        <v>10.078999999999999</v>
      </c>
      <c r="AS1194" s="176">
        <v>10.084</v>
      </c>
      <c r="AT1194" s="173"/>
      <c r="AU1194" s="173">
        <v>466</v>
      </c>
      <c r="AV1194" s="149"/>
      <c r="AW1194" s="142" t="s">
        <v>123</v>
      </c>
      <c r="AY1194" s="212"/>
      <c r="AZ1194" s="196"/>
      <c r="BA1194" s="196"/>
    </row>
    <row r="1195" spans="2:53" s="142" customFormat="1" ht="21" customHeight="1" x14ac:dyDescent="0.25">
      <c r="B1195" s="173" t="str">
        <f t="shared" si="22"/>
        <v>RM-J3/1D-2.40X620</v>
      </c>
      <c r="C1195" s="173" t="s">
        <v>48</v>
      </c>
      <c r="D1195" s="173" t="s">
        <v>48</v>
      </c>
      <c r="E1195" s="190" t="s">
        <v>3701</v>
      </c>
      <c r="F1195" s="190" t="s">
        <v>3702</v>
      </c>
      <c r="G1195" s="173" t="s">
        <v>34</v>
      </c>
      <c r="H1195" s="173" t="s">
        <v>127</v>
      </c>
      <c r="I1195" s="174">
        <v>2.4</v>
      </c>
      <c r="J1195" s="174"/>
      <c r="K1195" s="174"/>
      <c r="L1195" s="174"/>
      <c r="M1195" s="191">
        <v>620</v>
      </c>
      <c r="N1195" s="176">
        <v>10.039999999999999</v>
      </c>
      <c r="O1195" s="176"/>
      <c r="P1195" s="177"/>
      <c r="Q1195" s="178"/>
      <c r="R1195" s="179"/>
      <c r="S1195" s="179"/>
      <c r="T1195" s="177"/>
      <c r="U1195" s="177"/>
      <c r="V1195" s="177"/>
      <c r="W1195" s="177"/>
      <c r="X1195" s="177"/>
      <c r="Y1195" s="177"/>
      <c r="Z1195" s="177"/>
      <c r="AA1195" s="177"/>
      <c r="AB1195" s="177"/>
      <c r="AC1195" s="177"/>
      <c r="AD1195" s="180"/>
      <c r="AE1195" s="173" t="s">
        <v>69</v>
      </c>
      <c r="AF1195" s="181" t="s">
        <v>119</v>
      </c>
      <c r="AG1195" s="192" t="s">
        <v>3632</v>
      </c>
      <c r="AH1195" s="198">
        <v>45287</v>
      </c>
      <c r="AI1195" s="181">
        <v>44951</v>
      </c>
      <c r="AJ1195" s="181"/>
      <c r="AK1195" s="181">
        <f ca="1">TODAY()</f>
        <v>44958</v>
      </c>
      <c r="AL1195" s="173">
        <f t="shared" ca="1" si="20"/>
        <v>7</v>
      </c>
      <c r="AM1195" s="173" t="str">
        <f t="shared" si="21"/>
        <v/>
      </c>
      <c r="AN1195" s="181" t="s">
        <v>3703</v>
      </c>
      <c r="AO1195" s="190" t="s">
        <v>3704</v>
      </c>
      <c r="AP1195" s="176">
        <v>10.039999999999999</v>
      </c>
      <c r="AQ1195" s="176">
        <v>10.06</v>
      </c>
      <c r="AR1195" s="176">
        <v>10.084999999999999</v>
      </c>
      <c r="AS1195" s="176">
        <v>10.09</v>
      </c>
      <c r="AT1195" s="173"/>
      <c r="AU1195" s="173">
        <v>466</v>
      </c>
      <c r="AV1195" s="149"/>
      <c r="AW1195" s="142" t="s">
        <v>123</v>
      </c>
      <c r="AY1195" s="212"/>
      <c r="AZ1195" s="196"/>
      <c r="BA1195" s="196"/>
    </row>
    <row r="1196" spans="2:53" s="142" customFormat="1" ht="21" customHeight="1" x14ac:dyDescent="0.25">
      <c r="B1196" s="173" t="str">
        <f t="shared" si="22"/>
        <v>RM-J3/1D-2.40X620</v>
      </c>
      <c r="C1196" s="173" t="s">
        <v>48</v>
      </c>
      <c r="D1196" s="173" t="s">
        <v>48</v>
      </c>
      <c r="E1196" s="190" t="s">
        <v>3705</v>
      </c>
      <c r="F1196" s="190" t="s">
        <v>3706</v>
      </c>
      <c r="G1196" s="173" t="s">
        <v>34</v>
      </c>
      <c r="H1196" s="173" t="s">
        <v>127</v>
      </c>
      <c r="I1196" s="174">
        <v>2.4</v>
      </c>
      <c r="J1196" s="174"/>
      <c r="K1196" s="174"/>
      <c r="L1196" s="174"/>
      <c r="M1196" s="191">
        <v>620</v>
      </c>
      <c r="N1196" s="176">
        <v>10.015000000000001</v>
      </c>
      <c r="O1196" s="176"/>
      <c r="P1196" s="177"/>
      <c r="Q1196" s="178"/>
      <c r="R1196" s="179"/>
      <c r="S1196" s="179"/>
      <c r="T1196" s="177"/>
      <c r="U1196" s="177"/>
      <c r="V1196" s="177"/>
      <c r="W1196" s="177"/>
      <c r="X1196" s="177"/>
      <c r="Y1196" s="177"/>
      <c r="Z1196" s="177"/>
      <c r="AA1196" s="177"/>
      <c r="AB1196" s="177"/>
      <c r="AC1196" s="177"/>
      <c r="AD1196" s="180"/>
      <c r="AE1196" s="173" t="s">
        <v>69</v>
      </c>
      <c r="AF1196" s="181" t="s">
        <v>119</v>
      </c>
      <c r="AG1196" s="192" t="s">
        <v>3632</v>
      </c>
      <c r="AH1196" s="198">
        <v>45287</v>
      </c>
      <c r="AI1196" s="181">
        <v>44951</v>
      </c>
      <c r="AJ1196" s="181"/>
      <c r="AK1196" s="181">
        <f ca="1">TODAY()</f>
        <v>44958</v>
      </c>
      <c r="AL1196" s="173">
        <f t="shared" ca="1" si="20"/>
        <v>7</v>
      </c>
      <c r="AM1196" s="173" t="str">
        <f t="shared" si="21"/>
        <v/>
      </c>
      <c r="AN1196" s="181" t="s">
        <v>3700</v>
      </c>
      <c r="AO1196" s="190" t="s">
        <v>3704</v>
      </c>
      <c r="AP1196" s="176">
        <v>10.015000000000001</v>
      </c>
      <c r="AQ1196" s="176">
        <v>10.035</v>
      </c>
      <c r="AR1196" s="176">
        <v>10.059999999999999</v>
      </c>
      <c r="AS1196" s="176">
        <v>10.065</v>
      </c>
      <c r="AT1196" s="173"/>
      <c r="AU1196" s="173">
        <v>466</v>
      </c>
      <c r="AV1196" s="149"/>
      <c r="AW1196" s="142" t="s">
        <v>123</v>
      </c>
      <c r="AY1196" s="212"/>
      <c r="AZ1196" s="196"/>
      <c r="BA1196" s="196"/>
    </row>
    <row r="1197" spans="2:53" s="142" customFormat="1" ht="21" customHeight="1" x14ac:dyDescent="0.25">
      <c r="B1197" s="173" t="str">
        <f t="shared" si="22"/>
        <v>RM-J3/1D-2.40X620</v>
      </c>
      <c r="C1197" s="173" t="s">
        <v>48</v>
      </c>
      <c r="D1197" s="173" t="s">
        <v>48</v>
      </c>
      <c r="E1197" s="190" t="s">
        <v>3707</v>
      </c>
      <c r="F1197" s="190" t="s">
        <v>3708</v>
      </c>
      <c r="G1197" s="173" t="s">
        <v>34</v>
      </c>
      <c r="H1197" s="173" t="s">
        <v>127</v>
      </c>
      <c r="I1197" s="174">
        <v>2.4</v>
      </c>
      <c r="J1197" s="174"/>
      <c r="K1197" s="174"/>
      <c r="L1197" s="174"/>
      <c r="M1197" s="191">
        <v>620</v>
      </c>
      <c r="N1197" s="176">
        <v>10.08</v>
      </c>
      <c r="O1197" s="176"/>
      <c r="P1197" s="177"/>
      <c r="Q1197" s="178"/>
      <c r="R1197" s="179"/>
      <c r="S1197" s="179"/>
      <c r="T1197" s="177"/>
      <c r="U1197" s="177"/>
      <c r="V1197" s="177"/>
      <c r="W1197" s="177"/>
      <c r="X1197" s="177"/>
      <c r="Y1197" s="177"/>
      <c r="Z1197" s="177"/>
      <c r="AA1197" s="177"/>
      <c r="AB1197" s="177"/>
      <c r="AC1197" s="177"/>
      <c r="AD1197" s="180"/>
      <c r="AE1197" s="173" t="s">
        <v>69</v>
      </c>
      <c r="AF1197" s="181" t="s">
        <v>119</v>
      </c>
      <c r="AG1197" s="192" t="s">
        <v>3632</v>
      </c>
      <c r="AH1197" s="198">
        <v>45287</v>
      </c>
      <c r="AI1197" s="181">
        <v>44951</v>
      </c>
      <c r="AJ1197" s="181"/>
      <c r="AK1197" s="181">
        <f ca="1">TODAY()</f>
        <v>44958</v>
      </c>
      <c r="AL1197" s="173">
        <f t="shared" ca="1" si="20"/>
        <v>7</v>
      </c>
      <c r="AM1197" s="173" t="str">
        <f t="shared" si="21"/>
        <v/>
      </c>
      <c r="AN1197" s="181" t="s">
        <v>3709</v>
      </c>
      <c r="AO1197" s="190" t="s">
        <v>3697</v>
      </c>
      <c r="AP1197" s="176">
        <v>10.08</v>
      </c>
      <c r="AQ1197" s="176">
        <v>10.1</v>
      </c>
      <c r="AR1197" s="176">
        <v>10.124999999999998</v>
      </c>
      <c r="AS1197" s="176">
        <v>10.129999999999999</v>
      </c>
      <c r="AT1197" s="173"/>
      <c r="AU1197" s="173">
        <v>466</v>
      </c>
      <c r="AV1197" s="149"/>
      <c r="AW1197" s="142" t="s">
        <v>123</v>
      </c>
      <c r="AY1197" s="212"/>
      <c r="AZ1197" s="196"/>
      <c r="BA1197" s="196"/>
    </row>
    <row r="1198" spans="2:53" s="142" customFormat="1" ht="21" customHeight="1" x14ac:dyDescent="0.25">
      <c r="B1198" s="173" t="str">
        <f t="shared" si="22"/>
        <v>RM-J3/1D-2.40X620</v>
      </c>
      <c r="C1198" s="173" t="s">
        <v>48</v>
      </c>
      <c r="D1198" s="173" t="s">
        <v>48</v>
      </c>
      <c r="E1198" s="190" t="s">
        <v>3710</v>
      </c>
      <c r="F1198" s="190" t="s">
        <v>3711</v>
      </c>
      <c r="G1198" s="173" t="s">
        <v>34</v>
      </c>
      <c r="H1198" s="173" t="s">
        <v>127</v>
      </c>
      <c r="I1198" s="174">
        <v>2.4</v>
      </c>
      <c r="J1198" s="174"/>
      <c r="K1198" s="174"/>
      <c r="L1198" s="174"/>
      <c r="M1198" s="191">
        <v>620</v>
      </c>
      <c r="N1198" s="176">
        <v>10.06</v>
      </c>
      <c r="O1198" s="176"/>
      <c r="P1198" s="177"/>
      <c r="Q1198" s="178"/>
      <c r="R1198" s="179"/>
      <c r="S1198" s="179"/>
      <c r="T1198" s="177"/>
      <c r="U1198" s="177"/>
      <c r="V1198" s="177"/>
      <c r="W1198" s="177"/>
      <c r="X1198" s="177"/>
      <c r="Y1198" s="177"/>
      <c r="Z1198" s="177"/>
      <c r="AA1198" s="177"/>
      <c r="AB1198" s="177"/>
      <c r="AC1198" s="177"/>
      <c r="AD1198" s="180"/>
      <c r="AE1198" s="173" t="s">
        <v>69</v>
      </c>
      <c r="AF1198" s="181" t="s">
        <v>119</v>
      </c>
      <c r="AG1198" s="192" t="s">
        <v>3632</v>
      </c>
      <c r="AH1198" s="198">
        <v>45287</v>
      </c>
      <c r="AI1198" s="181">
        <v>44951</v>
      </c>
      <c r="AJ1198" s="181"/>
      <c r="AK1198" s="181">
        <f ca="1">TODAY()</f>
        <v>44958</v>
      </c>
      <c r="AL1198" s="173">
        <f t="shared" ca="1" si="20"/>
        <v>7</v>
      </c>
      <c r="AM1198" s="173" t="str">
        <f t="shared" si="21"/>
        <v/>
      </c>
      <c r="AN1198" s="181" t="s">
        <v>3661</v>
      </c>
      <c r="AO1198" s="190" t="s">
        <v>3697</v>
      </c>
      <c r="AP1198" s="176">
        <v>10.06</v>
      </c>
      <c r="AQ1198" s="176">
        <v>10.08</v>
      </c>
      <c r="AR1198" s="176">
        <v>10.104999999999999</v>
      </c>
      <c r="AS1198" s="176">
        <v>10.11</v>
      </c>
      <c r="AT1198" s="173"/>
      <c r="AU1198" s="173">
        <v>466</v>
      </c>
      <c r="AV1198" s="149"/>
      <c r="AW1198" s="142" t="s">
        <v>123</v>
      </c>
      <c r="AY1198" s="212"/>
      <c r="AZ1198" s="196"/>
      <c r="BA1198" s="196"/>
    </row>
    <row r="1199" spans="2:53" s="142" customFormat="1" ht="21" customHeight="1" x14ac:dyDescent="0.25">
      <c r="B1199" s="173" t="str">
        <f t="shared" si="22"/>
        <v>RM-J3/1D-2.40X620</v>
      </c>
      <c r="C1199" s="173" t="s">
        <v>48</v>
      </c>
      <c r="D1199" s="173" t="s">
        <v>48</v>
      </c>
      <c r="E1199" s="190" t="s">
        <v>3712</v>
      </c>
      <c r="F1199" s="190" t="s">
        <v>3713</v>
      </c>
      <c r="G1199" s="173" t="s">
        <v>34</v>
      </c>
      <c r="H1199" s="173" t="s">
        <v>127</v>
      </c>
      <c r="I1199" s="174">
        <v>2.4</v>
      </c>
      <c r="J1199" s="174"/>
      <c r="K1199" s="174"/>
      <c r="L1199" s="174"/>
      <c r="M1199" s="191">
        <v>620</v>
      </c>
      <c r="N1199" s="176">
        <v>10.045999999999999</v>
      </c>
      <c r="O1199" s="176"/>
      <c r="P1199" s="177"/>
      <c r="Q1199" s="178"/>
      <c r="R1199" s="179"/>
      <c r="S1199" s="179"/>
      <c r="T1199" s="177"/>
      <c r="U1199" s="177"/>
      <c r="V1199" s="177"/>
      <c r="W1199" s="177"/>
      <c r="X1199" s="177"/>
      <c r="Y1199" s="177"/>
      <c r="Z1199" s="177"/>
      <c r="AA1199" s="177"/>
      <c r="AB1199" s="177"/>
      <c r="AC1199" s="177"/>
      <c r="AD1199" s="180"/>
      <c r="AE1199" s="173" t="s">
        <v>69</v>
      </c>
      <c r="AF1199" s="181" t="s">
        <v>119</v>
      </c>
      <c r="AG1199" s="192" t="s">
        <v>3632</v>
      </c>
      <c r="AH1199" s="198">
        <v>45287</v>
      </c>
      <c r="AI1199" s="181">
        <v>44951</v>
      </c>
      <c r="AJ1199" s="181"/>
      <c r="AK1199" s="181">
        <f ca="1">TODAY()</f>
        <v>44958</v>
      </c>
      <c r="AL1199" s="173">
        <f t="shared" ca="1" si="20"/>
        <v>7</v>
      </c>
      <c r="AM1199" s="173" t="str">
        <f t="shared" si="21"/>
        <v/>
      </c>
      <c r="AN1199" s="181"/>
      <c r="AO1199" s="190" t="s">
        <v>3714</v>
      </c>
      <c r="AP1199" s="176">
        <v>10.045999999999999</v>
      </c>
      <c r="AQ1199" s="176">
        <v>10.066000000000001</v>
      </c>
      <c r="AR1199" s="176">
        <v>10.090999999999999</v>
      </c>
      <c r="AS1199" s="176">
        <v>10.096</v>
      </c>
      <c r="AT1199" s="173"/>
      <c r="AU1199" s="173">
        <v>466</v>
      </c>
      <c r="AV1199" s="149"/>
      <c r="AW1199" s="142" t="s">
        <v>123</v>
      </c>
      <c r="AY1199" s="212"/>
      <c r="AZ1199" s="196"/>
      <c r="BA1199" s="196"/>
    </row>
    <row r="1200" spans="2:53" s="142" customFormat="1" ht="21" customHeight="1" x14ac:dyDescent="0.25">
      <c r="B1200" s="173" t="str">
        <f t="shared" si="22"/>
        <v>RM-J3/1D-2.40X620</v>
      </c>
      <c r="C1200" s="173" t="s">
        <v>48</v>
      </c>
      <c r="D1200" s="173" t="s">
        <v>48</v>
      </c>
      <c r="E1200" s="190" t="s">
        <v>3715</v>
      </c>
      <c r="F1200" s="190" t="s">
        <v>3716</v>
      </c>
      <c r="G1200" s="173" t="s">
        <v>34</v>
      </c>
      <c r="H1200" s="173" t="s">
        <v>127</v>
      </c>
      <c r="I1200" s="174">
        <v>2.4</v>
      </c>
      <c r="J1200" s="174"/>
      <c r="K1200" s="174"/>
      <c r="L1200" s="174"/>
      <c r="M1200" s="191">
        <v>620</v>
      </c>
      <c r="N1200" s="176">
        <v>10.034000000000001</v>
      </c>
      <c r="O1200" s="176"/>
      <c r="P1200" s="177"/>
      <c r="Q1200" s="178"/>
      <c r="R1200" s="179"/>
      <c r="S1200" s="179"/>
      <c r="T1200" s="177"/>
      <c r="U1200" s="177"/>
      <c r="V1200" s="177"/>
      <c r="W1200" s="177"/>
      <c r="X1200" s="177"/>
      <c r="Y1200" s="177"/>
      <c r="Z1200" s="177"/>
      <c r="AA1200" s="177"/>
      <c r="AB1200" s="177"/>
      <c r="AC1200" s="177"/>
      <c r="AD1200" s="180"/>
      <c r="AE1200" s="173" t="s">
        <v>69</v>
      </c>
      <c r="AF1200" s="181" t="s">
        <v>119</v>
      </c>
      <c r="AG1200" s="192" t="s">
        <v>3632</v>
      </c>
      <c r="AH1200" s="198">
        <v>45287</v>
      </c>
      <c r="AI1200" s="181">
        <v>44951</v>
      </c>
      <c r="AJ1200" s="181"/>
      <c r="AK1200" s="181">
        <f ca="1">TODAY()</f>
        <v>44958</v>
      </c>
      <c r="AL1200" s="173">
        <f t="shared" ca="1" si="20"/>
        <v>7</v>
      </c>
      <c r="AM1200" s="173" t="str">
        <f t="shared" si="21"/>
        <v/>
      </c>
      <c r="AN1200" s="181" t="s">
        <v>3717</v>
      </c>
      <c r="AO1200" s="190" t="s">
        <v>3714</v>
      </c>
      <c r="AP1200" s="176">
        <v>10.034000000000001</v>
      </c>
      <c r="AQ1200" s="176">
        <v>10.054</v>
      </c>
      <c r="AR1200" s="176">
        <v>10.078999999999999</v>
      </c>
      <c r="AS1200" s="176">
        <v>10.084</v>
      </c>
      <c r="AT1200" s="173"/>
      <c r="AU1200" s="173">
        <v>466</v>
      </c>
      <c r="AV1200" s="149"/>
      <c r="AW1200" s="142" t="s">
        <v>123</v>
      </c>
      <c r="AY1200" s="212"/>
      <c r="AZ1200" s="196"/>
      <c r="BA1200" s="196"/>
    </row>
    <row r="1201" spans="2:53" s="142" customFormat="1" ht="21" customHeight="1" x14ac:dyDescent="0.25">
      <c r="B1201" s="173" t="str">
        <f t="shared" si="22"/>
        <v>RM-J3/1D-2.40X620</v>
      </c>
      <c r="C1201" s="173" t="s">
        <v>48</v>
      </c>
      <c r="D1201" s="173" t="s">
        <v>48</v>
      </c>
      <c r="E1201" s="190" t="s">
        <v>3718</v>
      </c>
      <c r="F1201" s="190" t="s">
        <v>3719</v>
      </c>
      <c r="G1201" s="173" t="s">
        <v>34</v>
      </c>
      <c r="H1201" s="173" t="s">
        <v>127</v>
      </c>
      <c r="I1201" s="174">
        <v>2.4</v>
      </c>
      <c r="J1201" s="174"/>
      <c r="K1201" s="174"/>
      <c r="L1201" s="174"/>
      <c r="M1201" s="191">
        <v>620</v>
      </c>
      <c r="N1201" s="176">
        <v>10.151999999999999</v>
      </c>
      <c r="O1201" s="176"/>
      <c r="P1201" s="177"/>
      <c r="Q1201" s="178"/>
      <c r="R1201" s="179"/>
      <c r="S1201" s="179"/>
      <c r="T1201" s="177"/>
      <c r="U1201" s="177"/>
      <c r="V1201" s="177"/>
      <c r="W1201" s="177"/>
      <c r="X1201" s="177"/>
      <c r="Y1201" s="177"/>
      <c r="Z1201" s="177"/>
      <c r="AA1201" s="177"/>
      <c r="AB1201" s="177"/>
      <c r="AC1201" s="177"/>
      <c r="AD1201" s="180"/>
      <c r="AE1201" s="173" t="s">
        <v>69</v>
      </c>
      <c r="AF1201" s="181" t="s">
        <v>119</v>
      </c>
      <c r="AG1201" s="192" t="s">
        <v>3632</v>
      </c>
      <c r="AH1201" s="198">
        <v>45287</v>
      </c>
      <c r="AI1201" s="181">
        <v>44951</v>
      </c>
      <c r="AJ1201" s="181"/>
      <c r="AK1201" s="181">
        <f ca="1">TODAY()</f>
        <v>44958</v>
      </c>
      <c r="AL1201" s="173">
        <f t="shared" ca="1" si="20"/>
        <v>7</v>
      </c>
      <c r="AM1201" s="173" t="str">
        <f t="shared" si="21"/>
        <v/>
      </c>
      <c r="AN1201" s="181">
        <v>0</v>
      </c>
      <c r="AO1201" s="190" t="s">
        <v>3720</v>
      </c>
      <c r="AP1201" s="176">
        <v>10.151999999999999</v>
      </c>
      <c r="AQ1201" s="176">
        <v>10.172000000000001</v>
      </c>
      <c r="AR1201" s="176">
        <v>10.196999999999999</v>
      </c>
      <c r="AS1201" s="176">
        <v>10.202</v>
      </c>
      <c r="AT1201" s="173"/>
      <c r="AU1201" s="173">
        <v>466</v>
      </c>
      <c r="AV1201" s="149"/>
      <c r="AW1201" s="142" t="s">
        <v>123</v>
      </c>
      <c r="AY1201" s="212"/>
      <c r="AZ1201" s="196"/>
      <c r="BA1201" s="196"/>
    </row>
    <row r="1202" spans="2:53" s="142" customFormat="1" ht="21" customHeight="1" x14ac:dyDescent="0.25">
      <c r="B1202" s="173" t="str">
        <f t="shared" si="22"/>
        <v>RM-J3/1D-2.40X620</v>
      </c>
      <c r="C1202" s="173" t="s">
        <v>48</v>
      </c>
      <c r="D1202" s="173" t="s">
        <v>48</v>
      </c>
      <c r="E1202" s="190" t="s">
        <v>3721</v>
      </c>
      <c r="F1202" s="190" t="s">
        <v>3722</v>
      </c>
      <c r="G1202" s="173" t="s">
        <v>34</v>
      </c>
      <c r="H1202" s="173" t="s">
        <v>127</v>
      </c>
      <c r="I1202" s="174">
        <v>2.4</v>
      </c>
      <c r="J1202" s="174"/>
      <c r="K1202" s="174"/>
      <c r="L1202" s="174"/>
      <c r="M1202" s="191">
        <v>620</v>
      </c>
      <c r="N1202" s="176">
        <v>10.148</v>
      </c>
      <c r="O1202" s="176"/>
      <c r="P1202" s="177"/>
      <c r="Q1202" s="178"/>
      <c r="R1202" s="179"/>
      <c r="S1202" s="179"/>
      <c r="T1202" s="177"/>
      <c r="U1202" s="177"/>
      <c r="V1202" s="177"/>
      <c r="W1202" s="177"/>
      <c r="X1202" s="177"/>
      <c r="Y1202" s="177"/>
      <c r="Z1202" s="177"/>
      <c r="AA1202" s="177"/>
      <c r="AB1202" s="177"/>
      <c r="AC1202" s="177"/>
      <c r="AD1202" s="180"/>
      <c r="AE1202" s="173" t="s">
        <v>69</v>
      </c>
      <c r="AF1202" s="181" t="s">
        <v>119</v>
      </c>
      <c r="AG1202" s="192" t="s">
        <v>3632</v>
      </c>
      <c r="AH1202" s="198">
        <v>45287</v>
      </c>
      <c r="AI1202" s="181">
        <v>44951</v>
      </c>
      <c r="AJ1202" s="181"/>
      <c r="AK1202" s="181">
        <f ca="1">TODAY()</f>
        <v>44958</v>
      </c>
      <c r="AL1202" s="173">
        <f t="shared" ca="1" si="20"/>
        <v>7</v>
      </c>
      <c r="AM1202" s="173" t="str">
        <f t="shared" si="21"/>
        <v/>
      </c>
      <c r="AN1202" s="181" t="s">
        <v>3723</v>
      </c>
      <c r="AO1202" s="190" t="s">
        <v>3720</v>
      </c>
      <c r="AP1202" s="176">
        <v>10.148</v>
      </c>
      <c r="AQ1202" s="176">
        <v>10.167999999999999</v>
      </c>
      <c r="AR1202" s="176">
        <v>10.192999999999998</v>
      </c>
      <c r="AS1202" s="176">
        <v>10.197999999999999</v>
      </c>
      <c r="AT1202" s="173"/>
      <c r="AU1202" s="173">
        <v>466</v>
      </c>
      <c r="AV1202" s="149"/>
      <c r="AW1202" s="142" t="s">
        <v>123</v>
      </c>
      <c r="AY1202" s="212"/>
      <c r="AZ1202" s="196"/>
      <c r="BA1202" s="196"/>
    </row>
    <row r="1203" spans="2:53" s="142" customFormat="1" ht="21" customHeight="1" x14ac:dyDescent="0.25">
      <c r="B1203" s="173" t="str">
        <f t="shared" si="22"/>
        <v>RM-J3/1D-2.40X620</v>
      </c>
      <c r="C1203" s="173" t="s">
        <v>48</v>
      </c>
      <c r="D1203" s="173" t="s">
        <v>48</v>
      </c>
      <c r="E1203" s="190" t="s">
        <v>3724</v>
      </c>
      <c r="F1203" s="190" t="s">
        <v>3725</v>
      </c>
      <c r="G1203" s="173" t="s">
        <v>34</v>
      </c>
      <c r="H1203" s="173" t="s">
        <v>127</v>
      </c>
      <c r="I1203" s="174">
        <v>2.4</v>
      </c>
      <c r="J1203" s="174"/>
      <c r="K1203" s="174"/>
      <c r="L1203" s="174"/>
      <c r="M1203" s="191">
        <v>620</v>
      </c>
      <c r="N1203" s="176">
        <v>10.031000000000001</v>
      </c>
      <c r="O1203" s="176"/>
      <c r="P1203" s="177"/>
      <c r="Q1203" s="178"/>
      <c r="R1203" s="179"/>
      <c r="S1203" s="179"/>
      <c r="T1203" s="177"/>
      <c r="U1203" s="177"/>
      <c r="V1203" s="177"/>
      <c r="W1203" s="177"/>
      <c r="X1203" s="177"/>
      <c r="Y1203" s="177"/>
      <c r="Z1203" s="177"/>
      <c r="AA1203" s="177"/>
      <c r="AB1203" s="177"/>
      <c r="AC1203" s="177"/>
      <c r="AD1203" s="180"/>
      <c r="AE1203" s="173" t="s">
        <v>69</v>
      </c>
      <c r="AF1203" s="181" t="s">
        <v>119</v>
      </c>
      <c r="AG1203" s="192" t="s">
        <v>3632</v>
      </c>
      <c r="AH1203" s="198">
        <v>45287</v>
      </c>
      <c r="AI1203" s="181">
        <v>44951</v>
      </c>
      <c r="AJ1203" s="181"/>
      <c r="AK1203" s="181">
        <f ca="1">TODAY()</f>
        <v>44958</v>
      </c>
      <c r="AL1203" s="173">
        <f t="shared" ca="1" si="20"/>
        <v>7</v>
      </c>
      <c r="AM1203" s="173" t="str">
        <f t="shared" si="21"/>
        <v/>
      </c>
      <c r="AN1203" s="181" t="s">
        <v>3726</v>
      </c>
      <c r="AO1203" s="190" t="s">
        <v>3704</v>
      </c>
      <c r="AP1203" s="176">
        <v>10.031000000000001</v>
      </c>
      <c r="AQ1203" s="176">
        <v>10.051</v>
      </c>
      <c r="AR1203" s="176">
        <v>10.075999999999999</v>
      </c>
      <c r="AS1203" s="176">
        <v>10.081</v>
      </c>
      <c r="AT1203" s="173"/>
      <c r="AU1203" s="173">
        <v>466</v>
      </c>
      <c r="AV1203" s="149"/>
      <c r="AW1203" s="142" t="s">
        <v>123</v>
      </c>
      <c r="AY1203" s="212"/>
      <c r="AZ1203" s="196"/>
      <c r="BA1203" s="196"/>
    </row>
    <row r="1204" spans="2:53" s="142" customFormat="1" ht="21" customHeight="1" x14ac:dyDescent="0.25">
      <c r="B1204" s="173" t="str">
        <f t="shared" si="22"/>
        <v>RM-J3/1D-2.40X620</v>
      </c>
      <c r="C1204" s="173" t="s">
        <v>48</v>
      </c>
      <c r="D1204" s="173" t="s">
        <v>48</v>
      </c>
      <c r="E1204" s="190" t="s">
        <v>3727</v>
      </c>
      <c r="F1204" s="190" t="s">
        <v>3728</v>
      </c>
      <c r="G1204" s="173" t="s">
        <v>34</v>
      </c>
      <c r="H1204" s="173" t="s">
        <v>127</v>
      </c>
      <c r="I1204" s="174">
        <v>2.4</v>
      </c>
      <c r="J1204" s="174"/>
      <c r="K1204" s="174"/>
      <c r="L1204" s="174"/>
      <c r="M1204" s="191">
        <v>620</v>
      </c>
      <c r="N1204" s="176">
        <v>10.023999999999999</v>
      </c>
      <c r="O1204" s="176"/>
      <c r="P1204" s="177"/>
      <c r="Q1204" s="178"/>
      <c r="R1204" s="179"/>
      <c r="S1204" s="179"/>
      <c r="T1204" s="177"/>
      <c r="U1204" s="177"/>
      <c r="V1204" s="177"/>
      <c r="W1204" s="177"/>
      <c r="X1204" s="177"/>
      <c r="Y1204" s="177"/>
      <c r="Z1204" s="177"/>
      <c r="AA1204" s="177"/>
      <c r="AB1204" s="177"/>
      <c r="AC1204" s="177"/>
      <c r="AD1204" s="180"/>
      <c r="AE1204" s="173" t="s">
        <v>69</v>
      </c>
      <c r="AF1204" s="181" t="s">
        <v>119</v>
      </c>
      <c r="AG1204" s="192" t="s">
        <v>3632</v>
      </c>
      <c r="AH1204" s="198">
        <v>45287</v>
      </c>
      <c r="AI1204" s="181">
        <v>44951</v>
      </c>
      <c r="AJ1204" s="181"/>
      <c r="AK1204" s="181">
        <f ca="1">TODAY()</f>
        <v>44958</v>
      </c>
      <c r="AL1204" s="173">
        <f t="shared" ref="AL1204:AL1267" ca="1" si="23">IF(AI1204&lt;&gt;0,AK1204-AI1204,0)</f>
        <v>7</v>
      </c>
      <c r="AM1204" s="173" t="str">
        <f t="shared" ref="AM1204:AM1222" si="24">IF(ISNUMBER(X1204)=TRUE,AK1204-X1204,IF(X1204="","",(AK1204)-(MID(RIGHT(X1204,10),4,2)&amp;"/"&amp;LEFT((RIGHT(X1204,10)),2)&amp;"/"&amp;RIGHT(X1204,4))))</f>
        <v/>
      </c>
      <c r="AN1204" s="181" t="s">
        <v>3729</v>
      </c>
      <c r="AO1204" s="190" t="s">
        <v>3704</v>
      </c>
      <c r="AP1204" s="176">
        <v>10.023999999999999</v>
      </c>
      <c r="AQ1204" s="176">
        <v>10.044</v>
      </c>
      <c r="AR1204" s="176">
        <v>10.068999999999999</v>
      </c>
      <c r="AS1204" s="176">
        <v>10.074</v>
      </c>
      <c r="AT1204" s="173"/>
      <c r="AU1204" s="173">
        <v>466</v>
      </c>
      <c r="AV1204" s="149"/>
      <c r="AW1204" s="142" t="s">
        <v>123</v>
      </c>
      <c r="AY1204" s="212"/>
      <c r="AZ1204" s="196"/>
      <c r="BA1204" s="196"/>
    </row>
    <row r="1205" spans="2:53" s="142" customFormat="1" ht="21" customHeight="1" x14ac:dyDescent="0.25">
      <c r="B1205" s="173" t="str">
        <f t="shared" si="22"/>
        <v>RM-J3/1D-2.40X620</v>
      </c>
      <c r="C1205" s="173" t="s">
        <v>48</v>
      </c>
      <c r="D1205" s="173" t="s">
        <v>48</v>
      </c>
      <c r="E1205" s="190" t="s">
        <v>3730</v>
      </c>
      <c r="F1205" s="190" t="s">
        <v>3731</v>
      </c>
      <c r="G1205" s="173" t="s">
        <v>34</v>
      </c>
      <c r="H1205" s="173" t="s">
        <v>127</v>
      </c>
      <c r="I1205" s="174">
        <v>2.4</v>
      </c>
      <c r="J1205" s="174"/>
      <c r="K1205" s="174"/>
      <c r="L1205" s="174"/>
      <c r="M1205" s="191">
        <v>620</v>
      </c>
      <c r="N1205" s="176">
        <v>10.074</v>
      </c>
      <c r="O1205" s="176"/>
      <c r="P1205" s="177"/>
      <c r="Q1205" s="178"/>
      <c r="R1205" s="179"/>
      <c r="S1205" s="179"/>
      <c r="T1205" s="177"/>
      <c r="U1205" s="177"/>
      <c r="V1205" s="177"/>
      <c r="W1205" s="177"/>
      <c r="X1205" s="177"/>
      <c r="Y1205" s="177"/>
      <c r="Z1205" s="177"/>
      <c r="AA1205" s="177"/>
      <c r="AB1205" s="177"/>
      <c r="AC1205" s="177"/>
      <c r="AD1205" s="180"/>
      <c r="AE1205" s="173" t="s">
        <v>69</v>
      </c>
      <c r="AF1205" s="181" t="s">
        <v>119</v>
      </c>
      <c r="AG1205" s="192" t="s">
        <v>3632</v>
      </c>
      <c r="AH1205" s="198">
        <v>45287</v>
      </c>
      <c r="AI1205" s="181">
        <v>44951</v>
      </c>
      <c r="AJ1205" s="181"/>
      <c r="AK1205" s="181">
        <f ca="1">TODAY()</f>
        <v>44958</v>
      </c>
      <c r="AL1205" s="173">
        <f t="shared" ca="1" si="23"/>
        <v>7</v>
      </c>
      <c r="AM1205" s="173" t="str">
        <f t="shared" si="24"/>
        <v/>
      </c>
      <c r="AN1205" s="181" t="s">
        <v>3732</v>
      </c>
      <c r="AO1205" s="190" t="s">
        <v>3733</v>
      </c>
      <c r="AP1205" s="176">
        <v>10.074</v>
      </c>
      <c r="AQ1205" s="176">
        <v>10.093999999999999</v>
      </c>
      <c r="AR1205" s="176">
        <v>10.118999999999998</v>
      </c>
      <c r="AS1205" s="176">
        <v>10.123999999999999</v>
      </c>
      <c r="AT1205" s="173"/>
      <c r="AU1205" s="173">
        <v>466</v>
      </c>
      <c r="AV1205" s="149"/>
      <c r="AW1205" s="142" t="s">
        <v>123</v>
      </c>
      <c r="AY1205" s="212"/>
      <c r="AZ1205" s="196"/>
      <c r="BA1205" s="196"/>
    </row>
    <row r="1206" spans="2:53" s="142" customFormat="1" ht="21" customHeight="1" x14ac:dyDescent="0.25">
      <c r="B1206" s="173" t="str">
        <f t="shared" si="22"/>
        <v>RM-J3/1D-2.40X620</v>
      </c>
      <c r="C1206" s="173" t="s">
        <v>48</v>
      </c>
      <c r="D1206" s="173" t="s">
        <v>48</v>
      </c>
      <c r="E1206" s="190" t="s">
        <v>3734</v>
      </c>
      <c r="F1206" s="190" t="s">
        <v>3735</v>
      </c>
      <c r="G1206" s="173" t="s">
        <v>34</v>
      </c>
      <c r="H1206" s="173" t="s">
        <v>127</v>
      </c>
      <c r="I1206" s="174">
        <v>2.4</v>
      </c>
      <c r="J1206" s="174"/>
      <c r="K1206" s="174"/>
      <c r="L1206" s="174"/>
      <c r="M1206" s="191">
        <v>620</v>
      </c>
      <c r="N1206" s="176">
        <v>10.055999999999999</v>
      </c>
      <c r="O1206" s="176"/>
      <c r="P1206" s="177"/>
      <c r="Q1206" s="178"/>
      <c r="R1206" s="179"/>
      <c r="S1206" s="179"/>
      <c r="T1206" s="177"/>
      <c r="U1206" s="177"/>
      <c r="V1206" s="177"/>
      <c r="W1206" s="177"/>
      <c r="X1206" s="177"/>
      <c r="Y1206" s="177"/>
      <c r="Z1206" s="177"/>
      <c r="AA1206" s="177"/>
      <c r="AB1206" s="177"/>
      <c r="AC1206" s="177"/>
      <c r="AD1206" s="180"/>
      <c r="AE1206" s="173" t="s">
        <v>69</v>
      </c>
      <c r="AF1206" s="181" t="s">
        <v>119</v>
      </c>
      <c r="AG1206" s="192" t="s">
        <v>3632</v>
      </c>
      <c r="AH1206" s="198">
        <v>45287</v>
      </c>
      <c r="AI1206" s="181">
        <v>44951</v>
      </c>
      <c r="AJ1206" s="181"/>
      <c r="AK1206" s="181">
        <f ca="1">TODAY()</f>
        <v>44958</v>
      </c>
      <c r="AL1206" s="173">
        <f t="shared" ca="1" si="23"/>
        <v>7</v>
      </c>
      <c r="AM1206" s="173" t="str">
        <f t="shared" si="24"/>
        <v/>
      </c>
      <c r="AN1206" s="181" t="s">
        <v>3667</v>
      </c>
      <c r="AO1206" s="190" t="s">
        <v>3733</v>
      </c>
      <c r="AP1206" s="176">
        <v>10.055999999999999</v>
      </c>
      <c r="AQ1206" s="176">
        <v>10.076000000000001</v>
      </c>
      <c r="AR1206" s="176">
        <v>10.100999999999999</v>
      </c>
      <c r="AS1206" s="176">
        <v>10.106</v>
      </c>
      <c r="AT1206" s="173"/>
      <c r="AU1206" s="173">
        <v>466</v>
      </c>
      <c r="AV1206" s="149"/>
      <c r="AW1206" s="142" t="s">
        <v>123</v>
      </c>
      <c r="AY1206" s="212"/>
      <c r="AZ1206" s="196"/>
      <c r="BA1206" s="196"/>
    </row>
    <row r="1207" spans="2:53" s="142" customFormat="1" ht="21" customHeight="1" x14ac:dyDescent="0.25">
      <c r="B1207" s="173" t="str">
        <f t="shared" si="22"/>
        <v>RM-J3/1D-2.40X620</v>
      </c>
      <c r="C1207" s="173" t="s">
        <v>48</v>
      </c>
      <c r="D1207" s="173" t="s">
        <v>48</v>
      </c>
      <c r="E1207" s="190" t="s">
        <v>3736</v>
      </c>
      <c r="F1207" s="190" t="s">
        <v>3737</v>
      </c>
      <c r="G1207" s="173" t="s">
        <v>34</v>
      </c>
      <c r="H1207" s="173" t="s">
        <v>127</v>
      </c>
      <c r="I1207" s="174">
        <v>2.4</v>
      </c>
      <c r="J1207" s="174"/>
      <c r="K1207" s="174"/>
      <c r="L1207" s="174"/>
      <c r="M1207" s="191">
        <v>620</v>
      </c>
      <c r="N1207" s="176">
        <v>10.050000000000001</v>
      </c>
      <c r="O1207" s="176"/>
      <c r="P1207" s="177"/>
      <c r="Q1207" s="178"/>
      <c r="R1207" s="179"/>
      <c r="S1207" s="179"/>
      <c r="T1207" s="177"/>
      <c r="U1207" s="177"/>
      <c r="V1207" s="177"/>
      <c r="W1207" s="177"/>
      <c r="X1207" s="177"/>
      <c r="Y1207" s="177"/>
      <c r="Z1207" s="177"/>
      <c r="AA1207" s="177"/>
      <c r="AB1207" s="177"/>
      <c r="AC1207" s="177"/>
      <c r="AD1207" s="180"/>
      <c r="AE1207" s="173" t="s">
        <v>69</v>
      </c>
      <c r="AF1207" s="181" t="s">
        <v>119</v>
      </c>
      <c r="AG1207" s="192" t="s">
        <v>3632</v>
      </c>
      <c r="AH1207" s="198">
        <v>45287</v>
      </c>
      <c r="AI1207" s="181">
        <v>44951</v>
      </c>
      <c r="AJ1207" s="181"/>
      <c r="AK1207" s="181">
        <f ca="1">TODAY()</f>
        <v>44958</v>
      </c>
      <c r="AL1207" s="173">
        <f t="shared" ca="1" si="23"/>
        <v>7</v>
      </c>
      <c r="AM1207" s="173" t="str">
        <f t="shared" si="24"/>
        <v/>
      </c>
      <c r="AN1207" s="181" t="s">
        <v>3726</v>
      </c>
      <c r="AO1207" s="190" t="s">
        <v>3738</v>
      </c>
      <c r="AP1207" s="176">
        <v>10.050000000000001</v>
      </c>
      <c r="AQ1207" s="176">
        <v>10.07</v>
      </c>
      <c r="AR1207" s="176">
        <v>10.094999999999999</v>
      </c>
      <c r="AS1207" s="176">
        <v>10.1</v>
      </c>
      <c r="AT1207" s="173"/>
      <c r="AU1207" s="173">
        <v>466</v>
      </c>
      <c r="AV1207" s="149"/>
      <c r="AW1207" s="142" t="s">
        <v>123</v>
      </c>
      <c r="AY1207" s="212"/>
      <c r="AZ1207" s="196"/>
      <c r="BA1207" s="196"/>
    </row>
    <row r="1208" spans="2:53" s="142" customFormat="1" ht="21" customHeight="1" x14ac:dyDescent="0.25">
      <c r="B1208" s="173" t="str">
        <f t="shared" si="22"/>
        <v>RM-J3/1D-2.40X620</v>
      </c>
      <c r="C1208" s="173" t="s">
        <v>48</v>
      </c>
      <c r="D1208" s="173" t="s">
        <v>48</v>
      </c>
      <c r="E1208" s="190" t="s">
        <v>3739</v>
      </c>
      <c r="F1208" s="190" t="s">
        <v>3740</v>
      </c>
      <c r="G1208" s="173" t="s">
        <v>34</v>
      </c>
      <c r="H1208" s="173" t="s">
        <v>127</v>
      </c>
      <c r="I1208" s="174">
        <v>2.4</v>
      </c>
      <c r="J1208" s="174"/>
      <c r="K1208" s="174"/>
      <c r="L1208" s="174"/>
      <c r="M1208" s="191">
        <v>620</v>
      </c>
      <c r="N1208" s="176">
        <v>10.065</v>
      </c>
      <c r="O1208" s="176"/>
      <c r="P1208" s="177"/>
      <c r="Q1208" s="178"/>
      <c r="R1208" s="179"/>
      <c r="S1208" s="179"/>
      <c r="T1208" s="177"/>
      <c r="U1208" s="177"/>
      <c r="V1208" s="177"/>
      <c r="W1208" s="177"/>
      <c r="X1208" s="177"/>
      <c r="Y1208" s="177"/>
      <c r="Z1208" s="177"/>
      <c r="AA1208" s="177"/>
      <c r="AB1208" s="177"/>
      <c r="AC1208" s="177"/>
      <c r="AD1208" s="180"/>
      <c r="AE1208" s="173" t="s">
        <v>69</v>
      </c>
      <c r="AF1208" s="181" t="s">
        <v>119</v>
      </c>
      <c r="AG1208" s="192" t="s">
        <v>3632</v>
      </c>
      <c r="AH1208" s="198">
        <v>45287</v>
      </c>
      <c r="AI1208" s="181">
        <v>44951</v>
      </c>
      <c r="AJ1208" s="181"/>
      <c r="AK1208" s="181">
        <f ca="1">TODAY()</f>
        <v>44958</v>
      </c>
      <c r="AL1208" s="173">
        <f t="shared" ca="1" si="23"/>
        <v>7</v>
      </c>
      <c r="AM1208" s="173" t="str">
        <f t="shared" si="24"/>
        <v/>
      </c>
      <c r="AN1208" s="181" t="s">
        <v>3717</v>
      </c>
      <c r="AO1208" s="190" t="s">
        <v>3738</v>
      </c>
      <c r="AP1208" s="176">
        <v>10.065</v>
      </c>
      <c r="AQ1208" s="176">
        <v>10.085000000000001</v>
      </c>
      <c r="AR1208" s="176">
        <v>10.11</v>
      </c>
      <c r="AS1208" s="176">
        <v>10.115</v>
      </c>
      <c r="AT1208" s="173"/>
      <c r="AU1208" s="173">
        <v>466</v>
      </c>
      <c r="AV1208" s="149"/>
      <c r="AW1208" s="142" t="s">
        <v>123</v>
      </c>
      <c r="AY1208" s="212"/>
      <c r="AZ1208" s="196"/>
      <c r="BA1208" s="196"/>
    </row>
    <row r="1209" spans="2:53" s="142" customFormat="1" ht="21" customHeight="1" x14ac:dyDescent="0.25">
      <c r="B1209" s="173" t="str">
        <f t="shared" si="22"/>
        <v>RM-J3/1D-2.40X620</v>
      </c>
      <c r="C1209" s="173" t="s">
        <v>48</v>
      </c>
      <c r="D1209" s="173" t="s">
        <v>48</v>
      </c>
      <c r="E1209" s="190" t="s">
        <v>3741</v>
      </c>
      <c r="F1209" s="190" t="s">
        <v>3742</v>
      </c>
      <c r="G1209" s="173" t="s">
        <v>34</v>
      </c>
      <c r="H1209" s="173" t="s">
        <v>127</v>
      </c>
      <c r="I1209" s="174">
        <v>2.4</v>
      </c>
      <c r="J1209" s="174"/>
      <c r="K1209" s="174"/>
      <c r="L1209" s="174"/>
      <c r="M1209" s="191">
        <v>620</v>
      </c>
      <c r="N1209" s="176">
        <v>10</v>
      </c>
      <c r="O1209" s="176"/>
      <c r="P1209" s="177"/>
      <c r="Q1209" s="178"/>
      <c r="R1209" s="179"/>
      <c r="S1209" s="179"/>
      <c r="T1209" s="177"/>
      <c r="U1209" s="177"/>
      <c r="V1209" s="177"/>
      <c r="W1209" s="177"/>
      <c r="X1209" s="177"/>
      <c r="Y1209" s="177"/>
      <c r="Z1209" s="177"/>
      <c r="AA1209" s="177"/>
      <c r="AB1209" s="177"/>
      <c r="AC1209" s="177"/>
      <c r="AD1209" s="180"/>
      <c r="AE1209" s="173" t="s">
        <v>69</v>
      </c>
      <c r="AF1209" s="181" t="s">
        <v>119</v>
      </c>
      <c r="AG1209" s="192" t="s">
        <v>3632</v>
      </c>
      <c r="AH1209" s="198">
        <v>45287</v>
      </c>
      <c r="AI1209" s="181">
        <v>44951</v>
      </c>
      <c r="AJ1209" s="181"/>
      <c r="AK1209" s="181">
        <f ca="1">TODAY()</f>
        <v>44958</v>
      </c>
      <c r="AL1209" s="173">
        <f t="shared" ca="1" si="23"/>
        <v>7</v>
      </c>
      <c r="AM1209" s="173" t="str">
        <f t="shared" si="24"/>
        <v/>
      </c>
      <c r="AN1209" s="181" t="s">
        <v>3651</v>
      </c>
      <c r="AO1209" s="190" t="s">
        <v>3743</v>
      </c>
      <c r="AP1209" s="176">
        <v>10</v>
      </c>
      <c r="AQ1209" s="176">
        <v>10.02</v>
      </c>
      <c r="AR1209" s="176">
        <v>10.044999999999998</v>
      </c>
      <c r="AS1209" s="176">
        <v>10.049999999999999</v>
      </c>
      <c r="AT1209" s="173"/>
      <c r="AU1209" s="173">
        <v>466</v>
      </c>
      <c r="AV1209" s="149"/>
      <c r="AW1209" s="142" t="s">
        <v>123</v>
      </c>
      <c r="AY1209" s="212"/>
      <c r="AZ1209" s="196"/>
      <c r="BA1209" s="196"/>
    </row>
    <row r="1210" spans="2:53" s="142" customFormat="1" ht="21" customHeight="1" x14ac:dyDescent="0.25">
      <c r="B1210" s="173" t="str">
        <f t="shared" si="22"/>
        <v>RM-J3/1D-2.40X620</v>
      </c>
      <c r="C1210" s="173" t="s">
        <v>48</v>
      </c>
      <c r="D1210" s="173" t="s">
        <v>48</v>
      </c>
      <c r="E1210" s="190" t="s">
        <v>3744</v>
      </c>
      <c r="F1210" s="190" t="s">
        <v>3745</v>
      </c>
      <c r="G1210" s="173" t="s">
        <v>34</v>
      </c>
      <c r="H1210" s="173" t="s">
        <v>127</v>
      </c>
      <c r="I1210" s="174">
        <v>2.4</v>
      </c>
      <c r="J1210" s="174"/>
      <c r="K1210" s="174"/>
      <c r="L1210" s="174"/>
      <c r="M1210" s="191">
        <v>620</v>
      </c>
      <c r="N1210" s="176">
        <v>10.045</v>
      </c>
      <c r="O1210" s="176"/>
      <c r="P1210" s="177"/>
      <c r="Q1210" s="178"/>
      <c r="R1210" s="179"/>
      <c r="S1210" s="179"/>
      <c r="T1210" s="177"/>
      <c r="U1210" s="177"/>
      <c r="V1210" s="177"/>
      <c r="W1210" s="177"/>
      <c r="X1210" s="177"/>
      <c r="Y1210" s="177"/>
      <c r="Z1210" s="177"/>
      <c r="AA1210" s="177"/>
      <c r="AB1210" s="177"/>
      <c r="AC1210" s="177"/>
      <c r="AD1210" s="180"/>
      <c r="AE1210" s="173" t="s">
        <v>69</v>
      </c>
      <c r="AF1210" s="181" t="s">
        <v>119</v>
      </c>
      <c r="AG1210" s="192" t="s">
        <v>3632</v>
      </c>
      <c r="AH1210" s="198">
        <v>45287</v>
      </c>
      <c r="AI1210" s="181">
        <v>44951</v>
      </c>
      <c r="AJ1210" s="181"/>
      <c r="AK1210" s="181">
        <f ca="1">TODAY()</f>
        <v>44958</v>
      </c>
      <c r="AL1210" s="173">
        <f t="shared" ca="1" si="23"/>
        <v>7</v>
      </c>
      <c r="AM1210" s="173" t="str">
        <f t="shared" si="24"/>
        <v/>
      </c>
      <c r="AN1210" s="181" t="s">
        <v>3723</v>
      </c>
      <c r="AO1210" s="190" t="s">
        <v>3743</v>
      </c>
      <c r="AP1210" s="176">
        <v>10.045</v>
      </c>
      <c r="AQ1210" s="176">
        <v>10.065</v>
      </c>
      <c r="AR1210" s="176">
        <v>10.089999999999998</v>
      </c>
      <c r="AS1210" s="176">
        <v>10.094999999999999</v>
      </c>
      <c r="AT1210" s="173"/>
      <c r="AU1210" s="173">
        <v>466</v>
      </c>
      <c r="AV1210" s="149"/>
      <c r="AW1210" s="142" t="s">
        <v>123</v>
      </c>
      <c r="AY1210" s="212"/>
      <c r="AZ1210" s="196"/>
      <c r="BA1210" s="196"/>
    </row>
    <row r="1211" spans="2:53" s="142" customFormat="1" ht="21" customHeight="1" x14ac:dyDescent="0.25">
      <c r="B1211" s="173" t="str">
        <f t="shared" si="22"/>
        <v>RM-J3/1D-2.40X620</v>
      </c>
      <c r="C1211" s="173" t="s">
        <v>48</v>
      </c>
      <c r="D1211" s="173" t="s">
        <v>48</v>
      </c>
      <c r="E1211" s="190" t="s">
        <v>3746</v>
      </c>
      <c r="F1211" s="190" t="s">
        <v>3747</v>
      </c>
      <c r="G1211" s="173" t="s">
        <v>34</v>
      </c>
      <c r="H1211" s="173" t="s">
        <v>127</v>
      </c>
      <c r="I1211" s="174">
        <v>2.4</v>
      </c>
      <c r="J1211" s="174"/>
      <c r="K1211" s="174"/>
      <c r="L1211" s="174"/>
      <c r="M1211" s="191">
        <v>620</v>
      </c>
      <c r="N1211" s="176">
        <v>10.039999999999999</v>
      </c>
      <c r="O1211" s="176"/>
      <c r="P1211" s="177"/>
      <c r="Q1211" s="178"/>
      <c r="R1211" s="179"/>
      <c r="S1211" s="179"/>
      <c r="T1211" s="177"/>
      <c r="U1211" s="177"/>
      <c r="V1211" s="177"/>
      <c r="W1211" s="177"/>
      <c r="X1211" s="177"/>
      <c r="Y1211" s="177"/>
      <c r="Z1211" s="177"/>
      <c r="AA1211" s="177"/>
      <c r="AB1211" s="177"/>
      <c r="AC1211" s="177"/>
      <c r="AD1211" s="180"/>
      <c r="AE1211" s="173" t="s">
        <v>69</v>
      </c>
      <c r="AF1211" s="181" t="s">
        <v>119</v>
      </c>
      <c r="AG1211" s="192" t="s">
        <v>3632</v>
      </c>
      <c r="AH1211" s="198">
        <v>45287</v>
      </c>
      <c r="AI1211" s="181">
        <v>44951</v>
      </c>
      <c r="AJ1211" s="181"/>
      <c r="AK1211" s="181">
        <f ca="1">TODAY()</f>
        <v>44958</v>
      </c>
      <c r="AL1211" s="173">
        <f t="shared" ca="1" si="23"/>
        <v>7</v>
      </c>
      <c r="AM1211" s="173" t="str">
        <f t="shared" si="24"/>
        <v/>
      </c>
      <c r="AN1211" s="181" t="s">
        <v>3709</v>
      </c>
      <c r="AO1211" s="190" t="s">
        <v>3748</v>
      </c>
      <c r="AP1211" s="176">
        <v>10.039999999999999</v>
      </c>
      <c r="AQ1211" s="176">
        <v>10.06</v>
      </c>
      <c r="AR1211" s="176">
        <v>10.084999999999999</v>
      </c>
      <c r="AS1211" s="176">
        <v>10.09</v>
      </c>
      <c r="AT1211" s="173"/>
      <c r="AU1211" s="173">
        <v>466</v>
      </c>
      <c r="AV1211" s="149"/>
      <c r="AW1211" s="142" t="s">
        <v>123</v>
      </c>
      <c r="AY1211" s="212"/>
      <c r="AZ1211" s="196"/>
      <c r="BA1211" s="196"/>
    </row>
    <row r="1212" spans="2:53" s="142" customFormat="1" ht="21" customHeight="1" x14ac:dyDescent="0.25">
      <c r="B1212" s="173" t="str">
        <f t="shared" si="22"/>
        <v>RM-J3/1D-2.40X620</v>
      </c>
      <c r="C1212" s="173" t="s">
        <v>48</v>
      </c>
      <c r="D1212" s="173" t="s">
        <v>48</v>
      </c>
      <c r="E1212" s="190" t="s">
        <v>3749</v>
      </c>
      <c r="F1212" s="190" t="s">
        <v>3750</v>
      </c>
      <c r="G1212" s="173" t="s">
        <v>34</v>
      </c>
      <c r="H1212" s="173" t="s">
        <v>127</v>
      </c>
      <c r="I1212" s="174">
        <v>2.4</v>
      </c>
      <c r="J1212" s="174"/>
      <c r="K1212" s="174"/>
      <c r="L1212" s="174"/>
      <c r="M1212" s="191">
        <v>620</v>
      </c>
      <c r="N1212" s="176">
        <v>10.08</v>
      </c>
      <c r="O1212" s="176"/>
      <c r="P1212" s="177"/>
      <c r="Q1212" s="178"/>
      <c r="R1212" s="179"/>
      <c r="S1212" s="179"/>
      <c r="T1212" s="177"/>
      <c r="U1212" s="177"/>
      <c r="V1212" s="177"/>
      <c r="W1212" s="177"/>
      <c r="X1212" s="177"/>
      <c r="Y1212" s="177"/>
      <c r="Z1212" s="177"/>
      <c r="AA1212" s="177"/>
      <c r="AB1212" s="177"/>
      <c r="AC1212" s="177"/>
      <c r="AD1212" s="180"/>
      <c r="AE1212" s="173" t="s">
        <v>69</v>
      </c>
      <c r="AF1212" s="181" t="s">
        <v>119</v>
      </c>
      <c r="AG1212" s="192" t="s">
        <v>3632</v>
      </c>
      <c r="AH1212" s="198">
        <v>45287</v>
      </c>
      <c r="AI1212" s="181">
        <v>44951</v>
      </c>
      <c r="AJ1212" s="181"/>
      <c r="AK1212" s="181">
        <f ca="1">TODAY()</f>
        <v>44958</v>
      </c>
      <c r="AL1212" s="173">
        <f t="shared" ca="1" si="23"/>
        <v>7</v>
      </c>
      <c r="AM1212" s="173" t="str">
        <f t="shared" si="24"/>
        <v/>
      </c>
      <c r="AN1212" s="181" t="s">
        <v>3751</v>
      </c>
      <c r="AO1212" s="190" t="s">
        <v>3748</v>
      </c>
      <c r="AP1212" s="176">
        <v>10.08</v>
      </c>
      <c r="AQ1212" s="176">
        <v>10.1</v>
      </c>
      <c r="AR1212" s="176">
        <v>10.124999999999998</v>
      </c>
      <c r="AS1212" s="176">
        <v>10.129999999999999</v>
      </c>
      <c r="AT1212" s="173"/>
      <c r="AU1212" s="173">
        <v>466</v>
      </c>
      <c r="AV1212" s="149"/>
      <c r="AW1212" s="142" t="s">
        <v>123</v>
      </c>
      <c r="AY1212" s="212"/>
      <c r="AZ1212" s="196"/>
      <c r="BA1212" s="196"/>
    </row>
    <row r="1213" spans="2:53" s="142" customFormat="1" ht="21" customHeight="1" x14ac:dyDescent="0.25">
      <c r="B1213" s="173" t="str">
        <f t="shared" si="22"/>
        <v>RM-J3/1D-2.40X620</v>
      </c>
      <c r="C1213" s="173" t="s">
        <v>48</v>
      </c>
      <c r="D1213" s="173" t="s">
        <v>48</v>
      </c>
      <c r="E1213" s="190" t="s">
        <v>3752</v>
      </c>
      <c r="F1213" s="190" t="s">
        <v>3753</v>
      </c>
      <c r="G1213" s="173" t="s">
        <v>34</v>
      </c>
      <c r="H1213" s="173" t="s">
        <v>127</v>
      </c>
      <c r="I1213" s="174">
        <v>2.4</v>
      </c>
      <c r="J1213" s="174"/>
      <c r="K1213" s="174"/>
      <c r="L1213" s="174"/>
      <c r="M1213" s="191">
        <v>620</v>
      </c>
      <c r="N1213" s="176">
        <v>10.032999999999999</v>
      </c>
      <c r="O1213" s="176"/>
      <c r="P1213" s="177"/>
      <c r="Q1213" s="178"/>
      <c r="R1213" s="179"/>
      <c r="S1213" s="179"/>
      <c r="T1213" s="177"/>
      <c r="U1213" s="177"/>
      <c r="V1213" s="177"/>
      <c r="W1213" s="177"/>
      <c r="X1213" s="177"/>
      <c r="Y1213" s="177"/>
      <c r="Z1213" s="177"/>
      <c r="AA1213" s="177"/>
      <c r="AB1213" s="177"/>
      <c r="AC1213" s="177"/>
      <c r="AD1213" s="180"/>
      <c r="AE1213" s="173" t="s">
        <v>69</v>
      </c>
      <c r="AF1213" s="181" t="s">
        <v>119</v>
      </c>
      <c r="AG1213" s="192" t="s">
        <v>3632</v>
      </c>
      <c r="AH1213" s="198">
        <v>45287</v>
      </c>
      <c r="AI1213" s="181">
        <v>44951</v>
      </c>
      <c r="AJ1213" s="181"/>
      <c r="AK1213" s="181">
        <f ca="1">TODAY()</f>
        <v>44958</v>
      </c>
      <c r="AL1213" s="173">
        <f t="shared" ca="1" si="23"/>
        <v>7</v>
      </c>
      <c r="AM1213" s="173" t="str">
        <f t="shared" si="24"/>
        <v/>
      </c>
      <c r="AN1213" s="181" t="s">
        <v>3671</v>
      </c>
      <c r="AO1213" s="190" t="s">
        <v>3697</v>
      </c>
      <c r="AP1213" s="176">
        <v>10.032999999999999</v>
      </c>
      <c r="AQ1213" s="176">
        <v>10.053000000000001</v>
      </c>
      <c r="AR1213" s="176">
        <v>10.077999999999999</v>
      </c>
      <c r="AS1213" s="176">
        <v>10.083</v>
      </c>
      <c r="AT1213" s="173"/>
      <c r="AU1213" s="173">
        <v>466</v>
      </c>
      <c r="AV1213" s="149"/>
      <c r="AW1213" s="142" t="s">
        <v>123</v>
      </c>
      <c r="AY1213" s="212"/>
      <c r="AZ1213" s="196"/>
      <c r="BA1213" s="196"/>
    </row>
    <row r="1214" spans="2:53" s="142" customFormat="1" ht="21" customHeight="1" x14ac:dyDescent="0.25">
      <c r="B1214" s="173" t="str">
        <f t="shared" ref="B1214:B1222" si="25">IF(C1214="HOLD RM","HOLD RM",IF(C1214="BAL","WIP",IF(C1214="HOLD SLT","HOLD SLT",IF(C1214="MILL","RM",IF(C1214="RE SLT","WIP",IF(C1214="RM","RM",IF(C1214="RM BAL","RM",IF(C1214="RM SLT","RM",IF(C1214="RR","WIP",IF(C1214="SKP","WIP",IF(C1214="SLT","WIP",IF(C1214="CTL","WIP",IF(C1214="RM SLT RUST","RM SLT RUST",0)))))))))))))&amp;"-"&amp;G1214&amp;"/"&amp;IF(H1214="2B","2B",IF(H1214="NO.1","1D",IF(H1214="FH","FH",0)))&amp;"-"&amp;IF(J1214="",(TEXT(I1214,"0.00")),TEXT(J1214,"0.00"))&amp;"X"&amp;M1214</f>
        <v>RM-J3/1D-2.40X620</v>
      </c>
      <c r="C1214" s="173" t="s">
        <v>48</v>
      </c>
      <c r="D1214" s="173" t="s">
        <v>48</v>
      </c>
      <c r="E1214" s="190" t="s">
        <v>3754</v>
      </c>
      <c r="F1214" s="190" t="s">
        <v>3755</v>
      </c>
      <c r="G1214" s="173" t="s">
        <v>34</v>
      </c>
      <c r="H1214" s="173" t="s">
        <v>127</v>
      </c>
      <c r="I1214" s="174">
        <v>2.4</v>
      </c>
      <c r="J1214" s="174"/>
      <c r="K1214" s="174"/>
      <c r="L1214" s="174"/>
      <c r="M1214" s="191">
        <v>620</v>
      </c>
      <c r="N1214" s="176">
        <v>10.071999999999999</v>
      </c>
      <c r="O1214" s="176"/>
      <c r="P1214" s="177"/>
      <c r="Q1214" s="178"/>
      <c r="R1214" s="179"/>
      <c r="S1214" s="179"/>
      <c r="T1214" s="177"/>
      <c r="U1214" s="177"/>
      <c r="V1214" s="177"/>
      <c r="W1214" s="177"/>
      <c r="X1214" s="177"/>
      <c r="Y1214" s="177"/>
      <c r="Z1214" s="177"/>
      <c r="AA1214" s="177"/>
      <c r="AB1214" s="177"/>
      <c r="AC1214" s="177"/>
      <c r="AD1214" s="180"/>
      <c r="AE1214" s="173" t="s">
        <v>69</v>
      </c>
      <c r="AF1214" s="181" t="s">
        <v>119</v>
      </c>
      <c r="AG1214" s="192" t="s">
        <v>3632</v>
      </c>
      <c r="AH1214" s="198">
        <v>45287</v>
      </c>
      <c r="AI1214" s="181">
        <v>44951</v>
      </c>
      <c r="AJ1214" s="181"/>
      <c r="AK1214" s="181">
        <f ca="1">TODAY()</f>
        <v>44958</v>
      </c>
      <c r="AL1214" s="173">
        <f t="shared" ca="1" si="23"/>
        <v>7</v>
      </c>
      <c r="AM1214" s="173" t="str">
        <f t="shared" si="24"/>
        <v/>
      </c>
      <c r="AN1214" s="181" t="s">
        <v>3703</v>
      </c>
      <c r="AO1214" s="190" t="s">
        <v>3697</v>
      </c>
      <c r="AP1214" s="176">
        <v>10.071999999999999</v>
      </c>
      <c r="AQ1214" s="176">
        <v>10.092000000000001</v>
      </c>
      <c r="AR1214" s="176">
        <v>10.116999999999999</v>
      </c>
      <c r="AS1214" s="176">
        <v>10.122</v>
      </c>
      <c r="AT1214" s="173"/>
      <c r="AU1214" s="173">
        <v>466</v>
      </c>
      <c r="AV1214" s="149"/>
      <c r="AW1214" s="142" t="s">
        <v>123</v>
      </c>
      <c r="AY1214" s="212"/>
      <c r="AZ1214" s="196"/>
      <c r="BA1214" s="196"/>
    </row>
    <row r="1215" spans="2:53" s="142" customFormat="1" ht="21" customHeight="1" x14ac:dyDescent="0.25">
      <c r="B1215" s="173" t="str">
        <f t="shared" si="25"/>
        <v>RM-J3/1D-2.40X620</v>
      </c>
      <c r="C1215" s="173" t="s">
        <v>48</v>
      </c>
      <c r="D1215" s="173" t="s">
        <v>48</v>
      </c>
      <c r="E1215" s="190" t="s">
        <v>3756</v>
      </c>
      <c r="F1215" s="190" t="s">
        <v>3757</v>
      </c>
      <c r="G1215" s="173" t="s">
        <v>34</v>
      </c>
      <c r="H1215" s="173" t="s">
        <v>127</v>
      </c>
      <c r="I1215" s="174">
        <v>2.4</v>
      </c>
      <c r="J1215" s="174"/>
      <c r="K1215" s="174"/>
      <c r="L1215" s="174"/>
      <c r="M1215" s="191">
        <v>620</v>
      </c>
      <c r="N1215" s="176">
        <v>10.02</v>
      </c>
      <c r="O1215" s="176"/>
      <c r="P1215" s="177"/>
      <c r="Q1215" s="178"/>
      <c r="R1215" s="179"/>
      <c r="S1215" s="179"/>
      <c r="T1215" s="177"/>
      <c r="U1215" s="177"/>
      <c r="V1215" s="177"/>
      <c r="W1215" s="177"/>
      <c r="X1215" s="177"/>
      <c r="Y1215" s="177"/>
      <c r="Z1215" s="177"/>
      <c r="AA1215" s="177"/>
      <c r="AB1215" s="177"/>
      <c r="AC1215" s="177"/>
      <c r="AD1215" s="180"/>
      <c r="AE1215" s="173" t="s">
        <v>69</v>
      </c>
      <c r="AF1215" s="181" t="s">
        <v>119</v>
      </c>
      <c r="AG1215" s="192" t="s">
        <v>3632</v>
      </c>
      <c r="AH1215" s="198">
        <v>45287</v>
      </c>
      <c r="AI1215" s="181">
        <v>44951</v>
      </c>
      <c r="AJ1215" s="181"/>
      <c r="AK1215" s="181">
        <f ca="1">TODAY()</f>
        <v>44958</v>
      </c>
      <c r="AL1215" s="173">
        <f t="shared" ca="1" si="23"/>
        <v>7</v>
      </c>
      <c r="AM1215" s="173" t="str">
        <f t="shared" si="24"/>
        <v/>
      </c>
      <c r="AN1215" s="181" t="s">
        <v>3729</v>
      </c>
      <c r="AO1215" s="190" t="s">
        <v>3733</v>
      </c>
      <c r="AP1215" s="176">
        <v>10.02</v>
      </c>
      <c r="AQ1215" s="176">
        <v>10.039999999999999</v>
      </c>
      <c r="AR1215" s="176">
        <v>10.064999999999998</v>
      </c>
      <c r="AS1215" s="176">
        <v>10.069999999999999</v>
      </c>
      <c r="AT1215" s="173"/>
      <c r="AU1215" s="173">
        <v>466</v>
      </c>
      <c r="AV1215" s="149"/>
      <c r="AW1215" s="142" t="s">
        <v>123</v>
      </c>
      <c r="AY1215" s="212"/>
      <c r="AZ1215" s="196"/>
      <c r="BA1215" s="196"/>
    </row>
    <row r="1216" spans="2:53" s="142" customFormat="1" ht="21" customHeight="1" x14ac:dyDescent="0.25">
      <c r="B1216" s="173" t="str">
        <f t="shared" si="25"/>
        <v>RM-J3/1D-2.40X620</v>
      </c>
      <c r="C1216" s="173" t="s">
        <v>48</v>
      </c>
      <c r="D1216" s="173" t="s">
        <v>48</v>
      </c>
      <c r="E1216" s="190" t="s">
        <v>3758</v>
      </c>
      <c r="F1216" s="190" t="s">
        <v>3759</v>
      </c>
      <c r="G1216" s="173" t="s">
        <v>34</v>
      </c>
      <c r="H1216" s="173" t="s">
        <v>127</v>
      </c>
      <c r="I1216" s="174">
        <v>2.4</v>
      </c>
      <c r="J1216" s="174"/>
      <c r="K1216" s="174"/>
      <c r="L1216" s="174"/>
      <c r="M1216" s="191">
        <v>620</v>
      </c>
      <c r="N1216" s="176">
        <v>10.025</v>
      </c>
      <c r="O1216" s="176"/>
      <c r="P1216" s="177"/>
      <c r="Q1216" s="178"/>
      <c r="R1216" s="179"/>
      <c r="S1216" s="179"/>
      <c r="T1216" s="177"/>
      <c r="U1216" s="177"/>
      <c r="V1216" s="177"/>
      <c r="W1216" s="177"/>
      <c r="X1216" s="177"/>
      <c r="Y1216" s="177"/>
      <c r="Z1216" s="177"/>
      <c r="AA1216" s="177"/>
      <c r="AB1216" s="177"/>
      <c r="AC1216" s="177"/>
      <c r="AD1216" s="180"/>
      <c r="AE1216" s="173" t="s">
        <v>69</v>
      </c>
      <c r="AF1216" s="181" t="s">
        <v>119</v>
      </c>
      <c r="AG1216" s="192" t="s">
        <v>3632</v>
      </c>
      <c r="AH1216" s="198">
        <v>45287</v>
      </c>
      <c r="AI1216" s="181">
        <v>44951</v>
      </c>
      <c r="AJ1216" s="181"/>
      <c r="AK1216" s="181">
        <f ca="1">TODAY()</f>
        <v>44958</v>
      </c>
      <c r="AL1216" s="173">
        <f t="shared" ca="1" si="23"/>
        <v>7</v>
      </c>
      <c r="AM1216" s="173" t="str">
        <f t="shared" si="24"/>
        <v/>
      </c>
      <c r="AN1216" s="181" t="s">
        <v>3760</v>
      </c>
      <c r="AO1216" s="190" t="s">
        <v>3733</v>
      </c>
      <c r="AP1216" s="176">
        <v>10.025</v>
      </c>
      <c r="AQ1216" s="176">
        <v>10.045</v>
      </c>
      <c r="AR1216" s="176">
        <v>10.069999999999999</v>
      </c>
      <c r="AS1216" s="176">
        <v>10.074999999999999</v>
      </c>
      <c r="AT1216" s="173"/>
      <c r="AU1216" s="173">
        <v>466</v>
      </c>
      <c r="AV1216" s="149"/>
      <c r="AW1216" s="142" t="s">
        <v>123</v>
      </c>
      <c r="AY1216" s="212"/>
      <c r="AZ1216" s="196"/>
      <c r="BA1216" s="196"/>
    </row>
    <row r="1217" spans="1:63" s="142" customFormat="1" ht="21" customHeight="1" x14ac:dyDescent="0.25">
      <c r="B1217" s="173" t="str">
        <f t="shared" si="25"/>
        <v>RM-J3/1D-2.40X620</v>
      </c>
      <c r="C1217" s="173" t="s">
        <v>48</v>
      </c>
      <c r="D1217" s="173" t="s">
        <v>48</v>
      </c>
      <c r="E1217" s="190" t="s">
        <v>3761</v>
      </c>
      <c r="F1217" s="190" t="s">
        <v>3762</v>
      </c>
      <c r="G1217" s="173" t="s">
        <v>34</v>
      </c>
      <c r="H1217" s="173" t="s">
        <v>127</v>
      </c>
      <c r="I1217" s="174">
        <v>2.4</v>
      </c>
      <c r="J1217" s="174"/>
      <c r="K1217" s="174"/>
      <c r="L1217" s="174"/>
      <c r="M1217" s="191">
        <v>620</v>
      </c>
      <c r="N1217" s="176">
        <v>10.01</v>
      </c>
      <c r="O1217" s="176"/>
      <c r="P1217" s="177"/>
      <c r="Q1217" s="178"/>
      <c r="R1217" s="179"/>
      <c r="S1217" s="179"/>
      <c r="T1217" s="177"/>
      <c r="U1217" s="177"/>
      <c r="V1217" s="177"/>
      <c r="W1217" s="177"/>
      <c r="X1217" s="177"/>
      <c r="Y1217" s="177"/>
      <c r="Z1217" s="177"/>
      <c r="AA1217" s="177"/>
      <c r="AB1217" s="177"/>
      <c r="AC1217" s="177"/>
      <c r="AD1217" s="180"/>
      <c r="AE1217" s="173" t="s">
        <v>69</v>
      </c>
      <c r="AF1217" s="181" t="s">
        <v>119</v>
      </c>
      <c r="AG1217" s="192" t="s">
        <v>3632</v>
      </c>
      <c r="AH1217" s="198">
        <v>45287</v>
      </c>
      <c r="AI1217" s="181">
        <v>44951</v>
      </c>
      <c r="AJ1217" s="181"/>
      <c r="AK1217" s="181">
        <f ca="1">TODAY()</f>
        <v>44958</v>
      </c>
      <c r="AL1217" s="173">
        <f t="shared" ca="1" si="23"/>
        <v>7</v>
      </c>
      <c r="AM1217" s="173" t="str">
        <f t="shared" si="24"/>
        <v/>
      </c>
      <c r="AN1217" s="181" t="s">
        <v>3729</v>
      </c>
      <c r="AO1217" s="190" t="s">
        <v>3675</v>
      </c>
      <c r="AP1217" s="176">
        <v>10.01</v>
      </c>
      <c r="AQ1217" s="176">
        <v>10.029999999999999</v>
      </c>
      <c r="AR1217" s="176">
        <v>10.054999999999998</v>
      </c>
      <c r="AS1217" s="176">
        <v>10.059999999999999</v>
      </c>
      <c r="AT1217" s="173"/>
      <c r="AU1217" s="173">
        <v>466</v>
      </c>
      <c r="AV1217" s="149"/>
      <c r="AW1217" s="142" t="s">
        <v>123</v>
      </c>
      <c r="AY1217" s="212"/>
      <c r="AZ1217" s="196"/>
      <c r="BA1217" s="196"/>
    </row>
    <row r="1218" spans="1:63" s="142" customFormat="1" ht="21" customHeight="1" x14ac:dyDescent="0.25">
      <c r="B1218" s="173" t="str">
        <f t="shared" si="25"/>
        <v>RM-J3/1D-2.40X620</v>
      </c>
      <c r="C1218" s="173" t="s">
        <v>48</v>
      </c>
      <c r="D1218" s="173" t="s">
        <v>48</v>
      </c>
      <c r="E1218" s="190" t="s">
        <v>3763</v>
      </c>
      <c r="F1218" s="190" t="s">
        <v>3764</v>
      </c>
      <c r="G1218" s="173" t="s">
        <v>34</v>
      </c>
      <c r="H1218" s="173" t="s">
        <v>127</v>
      </c>
      <c r="I1218" s="174">
        <v>2.4</v>
      </c>
      <c r="J1218" s="174"/>
      <c r="K1218" s="174"/>
      <c r="L1218" s="174"/>
      <c r="M1218" s="191">
        <v>620</v>
      </c>
      <c r="N1218" s="176">
        <v>10.039999999999999</v>
      </c>
      <c r="O1218" s="176"/>
      <c r="P1218" s="177"/>
      <c r="Q1218" s="178"/>
      <c r="R1218" s="179"/>
      <c r="S1218" s="179"/>
      <c r="T1218" s="177"/>
      <c r="U1218" s="177"/>
      <c r="V1218" s="177"/>
      <c r="W1218" s="177"/>
      <c r="X1218" s="177"/>
      <c r="Y1218" s="177"/>
      <c r="Z1218" s="177"/>
      <c r="AA1218" s="177"/>
      <c r="AB1218" s="177"/>
      <c r="AC1218" s="177"/>
      <c r="AD1218" s="180"/>
      <c r="AE1218" s="173" t="s">
        <v>69</v>
      </c>
      <c r="AF1218" s="181" t="s">
        <v>119</v>
      </c>
      <c r="AG1218" s="192" t="s">
        <v>3632</v>
      </c>
      <c r="AH1218" s="198">
        <v>45287</v>
      </c>
      <c r="AI1218" s="181">
        <v>44951</v>
      </c>
      <c r="AJ1218" s="181"/>
      <c r="AK1218" s="181">
        <f ca="1">TODAY()</f>
        <v>44958</v>
      </c>
      <c r="AL1218" s="173">
        <f t="shared" ca="1" si="23"/>
        <v>7</v>
      </c>
      <c r="AM1218" s="173" t="str">
        <f t="shared" si="24"/>
        <v/>
      </c>
      <c r="AN1218" s="181" t="s">
        <v>3658</v>
      </c>
      <c r="AO1218" s="190" t="s">
        <v>3675</v>
      </c>
      <c r="AP1218" s="176">
        <v>10.039999999999999</v>
      </c>
      <c r="AQ1218" s="176">
        <v>10.06</v>
      </c>
      <c r="AR1218" s="176">
        <v>10.084999999999999</v>
      </c>
      <c r="AS1218" s="176">
        <v>10.09</v>
      </c>
      <c r="AT1218" s="173"/>
      <c r="AU1218" s="173">
        <v>466</v>
      </c>
      <c r="AV1218" s="149"/>
      <c r="AW1218" s="142" t="s">
        <v>123</v>
      </c>
      <c r="AY1218" s="212"/>
      <c r="AZ1218" s="196"/>
      <c r="BA1218" s="196"/>
    </row>
    <row r="1219" spans="1:63" s="142" customFormat="1" ht="21" customHeight="1" x14ac:dyDescent="0.25">
      <c r="B1219" s="173" t="str">
        <f t="shared" si="25"/>
        <v>RM-J3/1D-2.40X620</v>
      </c>
      <c r="C1219" s="173" t="s">
        <v>48</v>
      </c>
      <c r="D1219" s="173" t="s">
        <v>48</v>
      </c>
      <c r="E1219" s="190" t="s">
        <v>3765</v>
      </c>
      <c r="F1219" s="190" t="s">
        <v>3766</v>
      </c>
      <c r="G1219" s="173" t="s">
        <v>34</v>
      </c>
      <c r="H1219" s="173" t="s">
        <v>127</v>
      </c>
      <c r="I1219" s="174">
        <v>2.4</v>
      </c>
      <c r="J1219" s="174"/>
      <c r="K1219" s="174"/>
      <c r="L1219" s="174"/>
      <c r="M1219" s="191">
        <v>620</v>
      </c>
      <c r="N1219" s="176">
        <v>10.013</v>
      </c>
      <c r="O1219" s="176"/>
      <c r="P1219" s="177"/>
      <c r="Q1219" s="178"/>
      <c r="R1219" s="179"/>
      <c r="S1219" s="179"/>
      <c r="T1219" s="177"/>
      <c r="U1219" s="177"/>
      <c r="V1219" s="177"/>
      <c r="W1219" s="177"/>
      <c r="X1219" s="177"/>
      <c r="Y1219" s="177"/>
      <c r="Z1219" s="177"/>
      <c r="AA1219" s="177"/>
      <c r="AB1219" s="177"/>
      <c r="AC1219" s="177"/>
      <c r="AD1219" s="180"/>
      <c r="AE1219" s="173" t="s">
        <v>69</v>
      </c>
      <c r="AF1219" s="181" t="s">
        <v>119</v>
      </c>
      <c r="AG1219" s="192" t="s">
        <v>3632</v>
      </c>
      <c r="AH1219" s="198">
        <v>45287</v>
      </c>
      <c r="AI1219" s="181">
        <v>44951</v>
      </c>
      <c r="AJ1219" s="181"/>
      <c r="AK1219" s="181">
        <f ca="1">TODAY()</f>
        <v>44958</v>
      </c>
      <c r="AL1219" s="173">
        <f t="shared" ca="1" si="23"/>
        <v>7</v>
      </c>
      <c r="AM1219" s="173" t="str">
        <f t="shared" si="24"/>
        <v/>
      </c>
      <c r="AN1219" s="181" t="s">
        <v>3751</v>
      </c>
      <c r="AO1219" s="190" t="s">
        <v>3675</v>
      </c>
      <c r="AP1219" s="176">
        <v>10.013</v>
      </c>
      <c r="AQ1219" s="176">
        <v>10.032999999999999</v>
      </c>
      <c r="AR1219" s="176">
        <v>10.057999999999998</v>
      </c>
      <c r="AS1219" s="176">
        <v>10.062999999999999</v>
      </c>
      <c r="AT1219" s="173"/>
      <c r="AU1219" s="173">
        <v>466</v>
      </c>
      <c r="AV1219" s="149"/>
      <c r="AW1219" s="142" t="s">
        <v>123</v>
      </c>
      <c r="AY1219" s="212"/>
      <c r="AZ1219" s="196"/>
      <c r="BA1219" s="196"/>
    </row>
    <row r="1220" spans="1:63" s="142" customFormat="1" ht="21" customHeight="1" x14ac:dyDescent="0.25">
      <c r="B1220" s="173" t="str">
        <f t="shared" si="25"/>
        <v>RM-J3/1D-2.40X620</v>
      </c>
      <c r="C1220" s="173" t="s">
        <v>48</v>
      </c>
      <c r="D1220" s="173" t="s">
        <v>48</v>
      </c>
      <c r="E1220" s="190" t="s">
        <v>3767</v>
      </c>
      <c r="F1220" s="190" t="s">
        <v>3768</v>
      </c>
      <c r="G1220" s="173" t="s">
        <v>34</v>
      </c>
      <c r="H1220" s="173" t="s">
        <v>127</v>
      </c>
      <c r="I1220" s="174">
        <v>2.4</v>
      </c>
      <c r="J1220" s="174"/>
      <c r="K1220" s="174"/>
      <c r="L1220" s="174"/>
      <c r="M1220" s="191">
        <v>620</v>
      </c>
      <c r="N1220" s="176">
        <v>10.082000000000001</v>
      </c>
      <c r="O1220" s="176"/>
      <c r="P1220" s="177"/>
      <c r="Q1220" s="178"/>
      <c r="R1220" s="179"/>
      <c r="S1220" s="179"/>
      <c r="T1220" s="177"/>
      <c r="U1220" s="177"/>
      <c r="V1220" s="177"/>
      <c r="W1220" s="177"/>
      <c r="X1220" s="177"/>
      <c r="Y1220" s="177"/>
      <c r="Z1220" s="177"/>
      <c r="AA1220" s="177"/>
      <c r="AB1220" s="177"/>
      <c r="AC1220" s="177"/>
      <c r="AD1220" s="180"/>
      <c r="AE1220" s="173" t="s">
        <v>69</v>
      </c>
      <c r="AF1220" s="181" t="s">
        <v>119</v>
      </c>
      <c r="AG1220" s="192" t="s">
        <v>3632</v>
      </c>
      <c r="AH1220" s="198">
        <v>45287</v>
      </c>
      <c r="AI1220" s="181">
        <v>44951</v>
      </c>
      <c r="AJ1220" s="181"/>
      <c r="AK1220" s="181">
        <f ca="1">TODAY()</f>
        <v>44958</v>
      </c>
      <c r="AL1220" s="173">
        <f t="shared" ca="1" si="23"/>
        <v>7</v>
      </c>
      <c r="AM1220" s="173" t="str">
        <f t="shared" si="24"/>
        <v/>
      </c>
      <c r="AN1220" s="181" t="s">
        <v>3732</v>
      </c>
      <c r="AO1220" s="190" t="s">
        <v>3675</v>
      </c>
      <c r="AP1220" s="176">
        <v>10.082000000000001</v>
      </c>
      <c r="AQ1220" s="176">
        <v>10.102</v>
      </c>
      <c r="AR1220" s="176">
        <v>10.126999999999999</v>
      </c>
      <c r="AS1220" s="176">
        <v>10.132</v>
      </c>
      <c r="AT1220" s="173"/>
      <c r="AU1220" s="173">
        <v>466</v>
      </c>
      <c r="AV1220" s="149"/>
      <c r="AW1220" s="142" t="s">
        <v>123</v>
      </c>
      <c r="AY1220" s="212"/>
      <c r="AZ1220" s="196"/>
      <c r="BA1220" s="196"/>
    </row>
    <row r="1221" spans="1:63" s="142" customFormat="1" ht="21" customHeight="1" x14ac:dyDescent="0.25">
      <c r="B1221" s="173" t="str">
        <f t="shared" si="25"/>
        <v>RM-J3/1D-2.40X620</v>
      </c>
      <c r="C1221" s="173" t="s">
        <v>48</v>
      </c>
      <c r="D1221" s="173" t="s">
        <v>48</v>
      </c>
      <c r="E1221" s="190" t="s">
        <v>3769</v>
      </c>
      <c r="F1221" s="190" t="s">
        <v>3770</v>
      </c>
      <c r="G1221" s="173" t="s">
        <v>34</v>
      </c>
      <c r="H1221" s="173" t="s">
        <v>127</v>
      </c>
      <c r="I1221" s="174">
        <v>2.4</v>
      </c>
      <c r="J1221" s="174"/>
      <c r="K1221" s="174"/>
      <c r="L1221" s="174"/>
      <c r="M1221" s="191">
        <v>620</v>
      </c>
      <c r="N1221" s="176">
        <v>10.039999999999999</v>
      </c>
      <c r="O1221" s="176"/>
      <c r="P1221" s="177"/>
      <c r="Q1221" s="178"/>
      <c r="R1221" s="179"/>
      <c r="S1221" s="179"/>
      <c r="T1221" s="177"/>
      <c r="U1221" s="177"/>
      <c r="V1221" s="177"/>
      <c r="W1221" s="177"/>
      <c r="X1221" s="177"/>
      <c r="Y1221" s="177"/>
      <c r="Z1221" s="177"/>
      <c r="AA1221" s="177"/>
      <c r="AB1221" s="177"/>
      <c r="AC1221" s="177"/>
      <c r="AD1221" s="180"/>
      <c r="AE1221" s="173" t="s">
        <v>69</v>
      </c>
      <c r="AF1221" s="181" t="s">
        <v>119</v>
      </c>
      <c r="AG1221" s="192" t="s">
        <v>3632</v>
      </c>
      <c r="AH1221" s="198">
        <v>45287</v>
      </c>
      <c r="AI1221" s="181">
        <v>44951</v>
      </c>
      <c r="AJ1221" s="181"/>
      <c r="AK1221" s="181">
        <f ca="1">TODAY()</f>
        <v>44958</v>
      </c>
      <c r="AL1221" s="173">
        <f t="shared" ca="1" si="23"/>
        <v>7</v>
      </c>
      <c r="AM1221" s="173" t="str">
        <f t="shared" si="24"/>
        <v/>
      </c>
      <c r="AN1221" s="181" t="s">
        <v>3640</v>
      </c>
      <c r="AO1221" s="190" t="s">
        <v>3771</v>
      </c>
      <c r="AP1221" s="176">
        <v>10.039999999999999</v>
      </c>
      <c r="AQ1221" s="176">
        <v>10.06</v>
      </c>
      <c r="AR1221" s="176">
        <v>10.084999999999999</v>
      </c>
      <c r="AS1221" s="176">
        <v>10.09</v>
      </c>
      <c r="AT1221" s="173"/>
      <c r="AU1221" s="173">
        <v>466</v>
      </c>
      <c r="AV1221" s="149"/>
      <c r="AW1221" s="142" t="s">
        <v>123</v>
      </c>
      <c r="AY1221" s="212"/>
      <c r="AZ1221" s="196"/>
      <c r="BA1221" s="196"/>
    </row>
    <row r="1222" spans="1:63" s="142" customFormat="1" ht="21" customHeight="1" x14ac:dyDescent="0.25">
      <c r="B1222" s="173" t="str">
        <f t="shared" si="25"/>
        <v>RM-J3/1D-2.40X620</v>
      </c>
      <c r="C1222" s="173" t="s">
        <v>48</v>
      </c>
      <c r="D1222" s="173" t="s">
        <v>48</v>
      </c>
      <c r="E1222" s="190" t="s">
        <v>3772</v>
      </c>
      <c r="F1222" s="190" t="s">
        <v>3773</v>
      </c>
      <c r="G1222" s="173" t="s">
        <v>34</v>
      </c>
      <c r="H1222" s="173" t="s">
        <v>127</v>
      </c>
      <c r="I1222" s="174">
        <v>2.4</v>
      </c>
      <c r="J1222" s="174"/>
      <c r="K1222" s="174"/>
      <c r="L1222" s="174"/>
      <c r="M1222" s="191">
        <v>620</v>
      </c>
      <c r="N1222" s="176">
        <v>10.08</v>
      </c>
      <c r="O1222" s="176"/>
      <c r="P1222" s="177"/>
      <c r="Q1222" s="178"/>
      <c r="R1222" s="179"/>
      <c r="S1222" s="179"/>
      <c r="T1222" s="177"/>
      <c r="U1222" s="177"/>
      <c r="V1222" s="177"/>
      <c r="W1222" s="177"/>
      <c r="X1222" s="177"/>
      <c r="Y1222" s="177"/>
      <c r="Z1222" s="177"/>
      <c r="AA1222" s="177"/>
      <c r="AB1222" s="177"/>
      <c r="AC1222" s="177"/>
      <c r="AD1222" s="180"/>
      <c r="AE1222" s="173" t="s">
        <v>69</v>
      </c>
      <c r="AF1222" s="181" t="s">
        <v>119</v>
      </c>
      <c r="AG1222" s="192" t="s">
        <v>3632</v>
      </c>
      <c r="AH1222" s="198">
        <v>45287</v>
      </c>
      <c r="AI1222" s="181">
        <v>44951</v>
      </c>
      <c r="AJ1222" s="181"/>
      <c r="AK1222" s="181">
        <f ca="1">TODAY()</f>
        <v>44958</v>
      </c>
      <c r="AL1222" s="173">
        <f t="shared" ca="1" si="23"/>
        <v>7</v>
      </c>
      <c r="AM1222" s="173" t="str">
        <f t="shared" si="24"/>
        <v/>
      </c>
      <c r="AN1222" s="181" t="s">
        <v>3686</v>
      </c>
      <c r="AO1222" s="190" t="s">
        <v>3771</v>
      </c>
      <c r="AP1222" s="176">
        <v>10.08</v>
      </c>
      <c r="AQ1222" s="176">
        <v>10.1</v>
      </c>
      <c r="AR1222" s="176">
        <v>10.124999999999998</v>
      </c>
      <c r="AS1222" s="176">
        <v>10.129999999999999</v>
      </c>
      <c r="AT1222" s="173"/>
      <c r="AU1222" s="173">
        <v>466</v>
      </c>
      <c r="AV1222" s="149"/>
      <c r="AW1222" s="142" t="s">
        <v>123</v>
      </c>
      <c r="AY1222" s="212"/>
      <c r="AZ1222" s="196"/>
      <c r="BA1222" s="196"/>
    </row>
    <row r="1223" spans="1:63" s="142" customFormat="1" ht="21" customHeight="1" x14ac:dyDescent="0.25">
      <c r="E1223" s="196"/>
      <c r="F1223" s="196"/>
      <c r="I1223" s="187"/>
      <c r="J1223" s="187"/>
      <c r="K1223" s="187"/>
      <c r="L1223" s="187"/>
      <c r="M1223" s="213"/>
      <c r="N1223" s="149"/>
      <c r="O1223" s="149"/>
      <c r="P1223" s="149"/>
      <c r="Q1223" s="214"/>
      <c r="R1223" s="215"/>
      <c r="S1223" s="215"/>
      <c r="T1223" s="216"/>
      <c r="U1223" s="216"/>
      <c r="V1223" s="216"/>
      <c r="W1223" s="216"/>
      <c r="X1223" s="216"/>
      <c r="Y1223" s="216"/>
      <c r="Z1223" s="216"/>
      <c r="AA1223" s="216"/>
      <c r="AB1223" s="216"/>
      <c r="AC1223" s="216"/>
      <c r="AD1223" s="217"/>
      <c r="AF1223" s="218"/>
      <c r="AG1223" s="189"/>
      <c r="AH1223" s="218"/>
      <c r="AI1223" s="218"/>
      <c r="AJ1223" s="218"/>
      <c r="AK1223" s="218"/>
      <c r="AN1223" s="218"/>
      <c r="AO1223" s="196"/>
      <c r="AP1223" s="149"/>
      <c r="AQ1223" s="149"/>
      <c r="AR1223" s="149"/>
      <c r="AS1223" s="149"/>
      <c r="AV1223" s="149"/>
      <c r="AY1223" s="212"/>
      <c r="AZ1223" s="196"/>
      <c r="BA1223" s="196"/>
    </row>
    <row r="1224" spans="1:63" s="142" customFormat="1" ht="21" customHeight="1" x14ac:dyDescent="0.25">
      <c r="E1224" s="196"/>
      <c r="F1224" s="196"/>
      <c r="I1224" s="187"/>
      <c r="J1224" s="187"/>
      <c r="K1224" s="187"/>
      <c r="L1224" s="187"/>
      <c r="M1224" s="213"/>
      <c r="N1224" s="149"/>
      <c r="O1224" s="149"/>
      <c r="P1224" s="149"/>
      <c r="Q1224" s="214"/>
      <c r="R1224" s="215"/>
      <c r="S1224" s="215"/>
      <c r="T1224" s="216"/>
      <c r="U1224" s="216"/>
      <c r="V1224" s="216"/>
      <c r="W1224" s="216"/>
      <c r="X1224" s="216"/>
      <c r="Y1224" s="216"/>
      <c r="Z1224" s="216"/>
      <c r="AA1224" s="216"/>
      <c r="AB1224" s="216"/>
      <c r="AC1224" s="216"/>
      <c r="AD1224" s="217"/>
      <c r="AF1224" s="218"/>
      <c r="AG1224" s="218"/>
      <c r="AH1224" s="218"/>
      <c r="AI1224" s="218"/>
      <c r="AJ1224" s="218"/>
      <c r="AK1224" s="218"/>
      <c r="AN1224" s="218"/>
      <c r="AO1224" s="196"/>
      <c r="AP1224" s="149"/>
      <c r="AQ1224" s="149"/>
      <c r="AR1224" s="149"/>
      <c r="AS1224" s="149"/>
      <c r="BK1224" s="195"/>
    </row>
    <row r="1225" spans="1:63" s="143" customFormat="1" ht="21" customHeight="1" x14ac:dyDescent="0.25">
      <c r="A1225" s="140"/>
      <c r="B1225" s="140"/>
      <c r="C1225" s="142"/>
      <c r="D1225" s="142"/>
      <c r="E1225" s="150" t="s">
        <v>3774</v>
      </c>
      <c r="F1225" s="142"/>
      <c r="G1225" s="140"/>
      <c r="H1225" s="140"/>
      <c r="J1225" s="144"/>
      <c r="K1225" s="144"/>
      <c r="L1225" s="144"/>
      <c r="M1225" s="145"/>
      <c r="N1225" s="219">
        <f>SUBTOTAL(9,N5:N1224)</f>
        <v>11454.497999999994</v>
      </c>
      <c r="O1225" s="146"/>
      <c r="P1225" s="145"/>
      <c r="Q1225" s="220"/>
      <c r="R1225" s="147"/>
      <c r="S1225" s="147"/>
      <c r="U1225" s="221"/>
      <c r="V1225" s="221"/>
      <c r="W1225" s="221"/>
      <c r="AN1225" s="196"/>
      <c r="AV1225" s="140"/>
      <c r="AW1225" s="140"/>
      <c r="BK1225" s="222"/>
    </row>
    <row r="1226" spans="1:63" s="223" customFormat="1" ht="22.5" customHeight="1" x14ac:dyDescent="0.25">
      <c r="C1226" s="224"/>
      <c r="D1226" s="224"/>
      <c r="I1226" s="225"/>
      <c r="J1226" s="226"/>
      <c r="K1226" s="226"/>
      <c r="L1226" s="226"/>
      <c r="M1226" s="227"/>
      <c r="N1226" s="228"/>
      <c r="O1226" s="228"/>
      <c r="P1226" s="228"/>
      <c r="Q1226" s="229"/>
      <c r="R1226" s="229"/>
      <c r="S1226" s="229"/>
      <c r="T1226" s="225"/>
      <c r="U1226" s="230"/>
      <c r="V1226" s="230"/>
      <c r="W1226" s="230"/>
      <c r="X1226" s="225"/>
      <c r="Y1226" s="225"/>
      <c r="Z1226" s="225"/>
      <c r="AA1226" s="225"/>
      <c r="AB1226" s="225"/>
      <c r="AC1226" s="225"/>
      <c r="AD1226" s="225"/>
      <c r="AE1226" s="225"/>
      <c r="AP1226" s="231"/>
      <c r="AQ1226" s="231"/>
      <c r="AR1226" s="231"/>
      <c r="AS1226" s="231"/>
      <c r="AT1226" s="225"/>
      <c r="AU1226" s="225"/>
      <c r="BK1226" s="141"/>
    </row>
    <row r="1227" spans="1:63" ht="23.25" customHeight="1" x14ac:dyDescent="0.25">
      <c r="C1227" s="140"/>
      <c r="D1227" s="140"/>
      <c r="E1227" s="196"/>
      <c r="I1227" s="140"/>
      <c r="J1227" s="140"/>
      <c r="K1227" s="140"/>
      <c r="L1227" s="140"/>
      <c r="M1227" s="140"/>
      <c r="AF1227" s="212"/>
      <c r="AG1227" s="196"/>
      <c r="AH1227" s="196"/>
      <c r="AI1227" s="232"/>
      <c r="AO1227" s="196"/>
      <c r="AP1227" s="189"/>
      <c r="AQ1227" s="189"/>
      <c r="AR1227" s="189"/>
      <c r="AS1227" s="189"/>
      <c r="AT1227" s="140"/>
      <c r="AU1227" s="140"/>
    </row>
    <row r="1228" spans="1:63" ht="23.25" customHeight="1" x14ac:dyDescent="0.25">
      <c r="C1228" s="140"/>
      <c r="D1228" s="140"/>
      <c r="E1228" s="196"/>
      <c r="I1228" s="140"/>
      <c r="J1228" s="140"/>
      <c r="K1228" s="140"/>
      <c r="L1228" s="140"/>
      <c r="M1228" s="140"/>
      <c r="AF1228" s="212"/>
      <c r="AG1228" s="196"/>
      <c r="AH1228" s="196"/>
      <c r="AI1228" s="232"/>
      <c r="AO1228" s="196"/>
      <c r="AP1228" s="189"/>
      <c r="AQ1228" s="189"/>
      <c r="AR1228" s="189"/>
      <c r="AS1228" s="189"/>
      <c r="AT1228" s="140"/>
      <c r="AU1228" s="140"/>
    </row>
    <row r="1229" spans="1:63" ht="23.25" customHeight="1" x14ac:dyDescent="0.25">
      <c r="C1229" s="140"/>
      <c r="D1229" s="140"/>
      <c r="E1229" s="196"/>
      <c r="I1229" s="140"/>
      <c r="J1229" s="140"/>
      <c r="K1229" s="140"/>
      <c r="L1229" s="140"/>
      <c r="M1229" s="140"/>
      <c r="AF1229" s="212"/>
      <c r="AG1229" s="196"/>
      <c r="AH1229" s="196"/>
      <c r="AI1229" s="232"/>
      <c r="AO1229" s="196"/>
      <c r="AP1229" s="189"/>
      <c r="AQ1229" s="189"/>
      <c r="AR1229" s="189"/>
      <c r="AS1229" s="189"/>
      <c r="AT1229" s="140"/>
      <c r="AU1229" s="140"/>
    </row>
    <row r="1230" spans="1:63" ht="23.25" customHeight="1" x14ac:dyDescent="0.25">
      <c r="C1230" s="140"/>
      <c r="D1230" s="140"/>
      <c r="E1230" s="196"/>
      <c r="I1230" s="140"/>
      <c r="J1230" s="140"/>
      <c r="K1230" s="140"/>
      <c r="L1230" s="140"/>
      <c r="M1230" s="140"/>
      <c r="Q1230" s="146"/>
      <c r="T1230" s="147"/>
      <c r="U1230" s="143"/>
      <c r="X1230" s="148"/>
      <c r="Y1230" s="148"/>
      <c r="AF1230" s="212"/>
      <c r="AG1230" s="196"/>
      <c r="AH1230" s="196"/>
      <c r="AI1230" s="232"/>
      <c r="AO1230" s="196"/>
      <c r="AP1230" s="189"/>
      <c r="AQ1230" s="189"/>
      <c r="AR1230" s="189"/>
      <c r="AS1230" s="189"/>
      <c r="AT1230" s="140"/>
      <c r="AU1230" s="140"/>
    </row>
    <row r="1231" spans="1:63" ht="23.25" customHeight="1" x14ac:dyDescent="0.25">
      <c r="C1231" s="140"/>
      <c r="D1231" s="140"/>
      <c r="E1231" s="196"/>
      <c r="I1231" s="140"/>
      <c r="J1231" s="140"/>
      <c r="K1231" s="140"/>
      <c r="L1231" s="140"/>
      <c r="M1231" s="140"/>
      <c r="Q1231" s="146"/>
      <c r="T1231" s="147"/>
      <c r="U1231" s="143"/>
      <c r="X1231" s="148"/>
      <c r="Y1231" s="148"/>
      <c r="AF1231" s="212"/>
      <c r="AG1231" s="196"/>
      <c r="AH1231" s="196"/>
      <c r="AI1231" s="232"/>
      <c r="AO1231" s="196"/>
      <c r="AP1231" s="189"/>
      <c r="AQ1231" s="189"/>
      <c r="AR1231" s="189"/>
      <c r="AS1231" s="189"/>
      <c r="AT1231" s="140"/>
      <c r="AU1231" s="140"/>
    </row>
    <row r="1232" spans="1:63" ht="23.25" customHeight="1" x14ac:dyDescent="0.25">
      <c r="C1232" s="140"/>
      <c r="D1232" s="140"/>
      <c r="E1232" s="196"/>
      <c r="I1232" s="140"/>
      <c r="J1232" s="140"/>
      <c r="K1232" s="140"/>
      <c r="L1232" s="140"/>
      <c r="M1232" s="140"/>
      <c r="Q1232" s="143"/>
      <c r="R1232" s="148"/>
      <c r="S1232" s="148"/>
      <c r="W1232" s="143"/>
      <c r="X1232" s="148"/>
      <c r="Y1232" s="148"/>
      <c r="Z1232" s="148"/>
      <c r="AC1232" s="148"/>
      <c r="AF1232" s="212"/>
      <c r="AG1232" s="196"/>
      <c r="AH1232" s="196"/>
      <c r="AI1232" s="232"/>
      <c r="AO1232" s="196"/>
      <c r="AP1232" s="189"/>
      <c r="AQ1232" s="189"/>
      <c r="AR1232" s="189"/>
      <c r="AS1232" s="189"/>
      <c r="AT1232" s="140"/>
      <c r="AU1232" s="140"/>
    </row>
    <row r="1233" spans="3:47" ht="23.25" customHeight="1" x14ac:dyDescent="0.25">
      <c r="C1233" s="140"/>
      <c r="D1233" s="140"/>
      <c r="E1233" s="196"/>
      <c r="I1233" s="140"/>
      <c r="J1233" s="140"/>
      <c r="K1233" s="140"/>
      <c r="L1233" s="140"/>
      <c r="M1233" s="140"/>
      <c r="Q1233" s="143"/>
      <c r="R1233" s="148"/>
      <c r="S1233" s="148"/>
      <c r="W1233" s="143"/>
      <c r="X1233" s="148"/>
      <c r="Y1233" s="148"/>
      <c r="Z1233" s="148"/>
      <c r="AC1233" s="148"/>
      <c r="AF1233" s="212"/>
      <c r="AG1233" s="196"/>
      <c r="AH1233" s="196"/>
      <c r="AI1233" s="232"/>
      <c r="AO1233" s="196"/>
      <c r="AP1233" s="189"/>
      <c r="AQ1233" s="189"/>
      <c r="AR1233" s="189"/>
      <c r="AS1233" s="189"/>
      <c r="AT1233" s="140"/>
      <c r="AU1233" s="140"/>
    </row>
    <row r="1234" spans="3:47" ht="23.25" customHeight="1" x14ac:dyDescent="0.25">
      <c r="C1234" s="140"/>
      <c r="D1234" s="140"/>
      <c r="E1234" s="196"/>
      <c r="I1234" s="140"/>
      <c r="J1234" s="140"/>
      <c r="K1234" s="140"/>
      <c r="L1234" s="140"/>
      <c r="M1234" s="140"/>
      <c r="Q1234" s="143"/>
      <c r="R1234" s="148"/>
      <c r="S1234" s="148"/>
      <c r="W1234" s="143"/>
      <c r="X1234" s="148"/>
      <c r="Y1234" s="148"/>
      <c r="Z1234" s="148"/>
      <c r="AC1234" s="148"/>
      <c r="AF1234" s="212"/>
      <c r="AG1234" s="196"/>
      <c r="AH1234" s="196"/>
      <c r="AI1234" s="232"/>
      <c r="AO1234" s="196"/>
      <c r="AP1234" s="189"/>
      <c r="AQ1234" s="189"/>
      <c r="AR1234" s="189"/>
      <c r="AS1234" s="189"/>
      <c r="AT1234" s="140"/>
      <c r="AU1234" s="140"/>
    </row>
    <row r="1235" spans="3:47" ht="23.25" customHeight="1" x14ac:dyDescent="0.25">
      <c r="C1235" s="140"/>
      <c r="D1235" s="140"/>
      <c r="E1235" s="196"/>
      <c r="I1235" s="140"/>
      <c r="J1235" s="140"/>
      <c r="K1235" s="140"/>
      <c r="L1235" s="140"/>
      <c r="M1235" s="140"/>
      <c r="Q1235" s="143"/>
      <c r="R1235" s="148"/>
      <c r="S1235" s="148"/>
      <c r="W1235" s="143"/>
      <c r="X1235" s="148"/>
      <c r="Y1235" s="148"/>
      <c r="Z1235" s="148"/>
      <c r="AC1235" s="148"/>
      <c r="AF1235" s="212"/>
      <c r="AG1235" s="196"/>
      <c r="AH1235" s="196"/>
      <c r="AI1235" s="232"/>
      <c r="AO1235" s="196"/>
      <c r="AP1235" s="189"/>
      <c r="AQ1235" s="189"/>
      <c r="AR1235" s="189"/>
      <c r="AS1235" s="189"/>
      <c r="AT1235" s="140"/>
      <c r="AU1235" s="140"/>
    </row>
    <row r="1236" spans="3:47" ht="23.25" customHeight="1" x14ac:dyDescent="0.25">
      <c r="C1236" s="140"/>
      <c r="D1236" s="140"/>
      <c r="E1236" s="196"/>
      <c r="I1236" s="140"/>
      <c r="J1236" s="140"/>
      <c r="K1236" s="140"/>
      <c r="L1236" s="140"/>
      <c r="M1236" s="140"/>
      <c r="Q1236" s="143"/>
      <c r="R1236" s="148"/>
      <c r="S1236" s="148"/>
      <c r="W1236" s="143"/>
      <c r="X1236" s="148"/>
      <c r="Y1236" s="148"/>
      <c r="Z1236" s="148"/>
      <c r="AC1236" s="148"/>
      <c r="AF1236" s="212"/>
      <c r="AG1236" s="196"/>
      <c r="AH1236" s="196"/>
      <c r="AI1236" s="232"/>
      <c r="AO1236" s="196"/>
      <c r="AP1236" s="189"/>
      <c r="AQ1236" s="189"/>
      <c r="AR1236" s="189"/>
      <c r="AS1236" s="189"/>
      <c r="AT1236" s="140"/>
      <c r="AU1236" s="140"/>
    </row>
    <row r="1237" spans="3:47" ht="23.25" customHeight="1" x14ac:dyDescent="0.25">
      <c r="C1237" s="140"/>
      <c r="D1237" s="140"/>
      <c r="E1237" s="196"/>
      <c r="I1237" s="140"/>
      <c r="J1237" s="140"/>
      <c r="K1237" s="140"/>
      <c r="L1237" s="140"/>
      <c r="M1237" s="140"/>
      <c r="Q1237" s="143"/>
      <c r="R1237" s="148"/>
      <c r="S1237" s="148"/>
      <c r="W1237" s="143"/>
      <c r="X1237" s="148"/>
      <c r="Y1237" s="148"/>
      <c r="Z1237" s="148"/>
      <c r="AC1237" s="148"/>
      <c r="AF1237" s="212"/>
      <c r="AG1237" s="196"/>
      <c r="AH1237" s="196"/>
      <c r="AI1237" s="232"/>
      <c r="AO1237" s="196"/>
      <c r="AP1237" s="189"/>
      <c r="AQ1237" s="189"/>
      <c r="AR1237" s="189"/>
      <c r="AS1237" s="189"/>
      <c r="AT1237" s="140"/>
      <c r="AU1237" s="140"/>
    </row>
    <row r="1238" spans="3:47" ht="23.25" customHeight="1" x14ac:dyDescent="0.25">
      <c r="C1238" s="140"/>
      <c r="D1238" s="140"/>
      <c r="E1238" s="196"/>
      <c r="I1238" s="140"/>
      <c r="J1238" s="140"/>
      <c r="K1238" s="140"/>
      <c r="L1238" s="140"/>
      <c r="M1238" s="140"/>
      <c r="AF1238" s="212"/>
      <c r="AG1238" s="196"/>
      <c r="AH1238" s="196"/>
      <c r="AI1238" s="232"/>
      <c r="AO1238" s="196"/>
      <c r="AP1238" s="189"/>
      <c r="AQ1238" s="189"/>
      <c r="AR1238" s="189"/>
      <c r="AS1238" s="189"/>
      <c r="AT1238" s="140"/>
      <c r="AU1238" s="140"/>
    </row>
    <row r="1239" spans="3:47" ht="23.25" customHeight="1" x14ac:dyDescent="0.25">
      <c r="C1239" s="140"/>
      <c r="D1239" s="140"/>
      <c r="E1239" s="196"/>
      <c r="I1239" s="140"/>
      <c r="J1239" s="140"/>
      <c r="K1239" s="140"/>
      <c r="L1239" s="140"/>
      <c r="M1239" s="140"/>
      <c r="AF1239" s="212"/>
      <c r="AG1239" s="196"/>
      <c r="AH1239" s="196"/>
      <c r="AI1239" s="232"/>
      <c r="AO1239" s="196"/>
      <c r="AP1239" s="189"/>
      <c r="AQ1239" s="189"/>
      <c r="AR1239" s="189"/>
      <c r="AS1239" s="189"/>
      <c r="AT1239" s="140"/>
      <c r="AU1239" s="140"/>
    </row>
    <row r="1240" spans="3:47" ht="23.25" customHeight="1" x14ac:dyDescent="0.25">
      <c r="C1240" s="140"/>
      <c r="D1240" s="140"/>
      <c r="E1240" s="196"/>
      <c r="I1240" s="140"/>
      <c r="J1240" s="140"/>
      <c r="K1240" s="140"/>
      <c r="L1240" s="140"/>
      <c r="M1240" s="140"/>
      <c r="AF1240" s="212"/>
      <c r="AG1240" s="196"/>
      <c r="AH1240" s="196"/>
      <c r="AI1240" s="232"/>
      <c r="AO1240" s="196"/>
      <c r="AP1240" s="189"/>
      <c r="AQ1240" s="189"/>
      <c r="AR1240" s="189"/>
      <c r="AS1240" s="189"/>
      <c r="AT1240" s="140"/>
      <c r="AU1240" s="140"/>
    </row>
    <row r="1241" spans="3:47" ht="23.25" customHeight="1" x14ac:dyDescent="0.25">
      <c r="C1241" s="140"/>
      <c r="D1241" s="140"/>
      <c r="E1241" s="196"/>
      <c r="I1241" s="140"/>
      <c r="J1241" s="140"/>
      <c r="K1241" s="140"/>
      <c r="L1241" s="140"/>
      <c r="M1241" s="140"/>
      <c r="AF1241" s="212"/>
      <c r="AG1241" s="196"/>
      <c r="AH1241" s="196"/>
      <c r="AI1241" s="232"/>
      <c r="AO1241" s="196"/>
      <c r="AP1241" s="189"/>
      <c r="AQ1241" s="189"/>
      <c r="AR1241" s="189"/>
      <c r="AS1241" s="189"/>
      <c r="AT1241" s="140"/>
      <c r="AU1241" s="140"/>
    </row>
    <row r="1242" spans="3:47" ht="23.25" customHeight="1" x14ac:dyDescent="0.25">
      <c r="C1242" s="140"/>
      <c r="D1242" s="140"/>
      <c r="E1242" s="196"/>
      <c r="I1242" s="140"/>
      <c r="J1242" s="140"/>
      <c r="K1242" s="140"/>
      <c r="L1242" s="140"/>
      <c r="M1242" s="140"/>
      <c r="AF1242" s="212"/>
      <c r="AG1242" s="196"/>
      <c r="AH1242" s="196"/>
      <c r="AI1242" s="232"/>
      <c r="AO1242" s="196"/>
      <c r="AP1242" s="189"/>
      <c r="AQ1242" s="189"/>
      <c r="AR1242" s="189"/>
      <c r="AS1242" s="189"/>
      <c r="AT1242" s="140"/>
      <c r="AU1242" s="140"/>
    </row>
    <row r="1243" spans="3:47" ht="23.25" customHeight="1" x14ac:dyDescent="0.25">
      <c r="C1243" s="140"/>
      <c r="D1243" s="140"/>
      <c r="E1243" s="196"/>
      <c r="I1243" s="140"/>
      <c r="J1243" s="140"/>
      <c r="K1243" s="140"/>
      <c r="L1243" s="140"/>
      <c r="M1243" s="140"/>
      <c r="AF1243" s="212"/>
      <c r="AG1243" s="196"/>
      <c r="AH1243" s="196"/>
      <c r="AI1243" s="232"/>
      <c r="AO1243" s="196"/>
      <c r="AP1243" s="189"/>
      <c r="AQ1243" s="189"/>
      <c r="AR1243" s="189"/>
      <c r="AS1243" s="189"/>
      <c r="AT1243" s="140"/>
      <c r="AU1243" s="140"/>
    </row>
    <row r="1244" spans="3:47" ht="23.25" customHeight="1" x14ac:dyDescent="0.25">
      <c r="C1244" s="140"/>
      <c r="D1244" s="140"/>
      <c r="E1244" s="196"/>
      <c r="I1244" s="140"/>
      <c r="J1244" s="140"/>
      <c r="K1244" s="140"/>
      <c r="L1244" s="140"/>
      <c r="M1244" s="140"/>
      <c r="AF1244" s="212"/>
      <c r="AG1244" s="196"/>
      <c r="AH1244" s="196"/>
      <c r="AI1244" s="232"/>
      <c r="AO1244" s="196"/>
      <c r="AP1244" s="189"/>
      <c r="AQ1244" s="189"/>
      <c r="AR1244" s="189"/>
      <c r="AS1244" s="189"/>
      <c r="AT1244" s="140"/>
      <c r="AU1244" s="140"/>
    </row>
    <row r="1245" spans="3:47" ht="23.25" customHeight="1" x14ac:dyDescent="0.25">
      <c r="C1245" s="140"/>
      <c r="D1245" s="140"/>
      <c r="E1245" s="196"/>
      <c r="I1245" s="140"/>
      <c r="J1245" s="140"/>
      <c r="K1245" s="140"/>
      <c r="L1245" s="140"/>
      <c r="M1245" s="140"/>
      <c r="AF1245" s="212"/>
      <c r="AG1245" s="196"/>
      <c r="AH1245" s="196"/>
      <c r="AI1245" s="232"/>
      <c r="AO1245" s="196"/>
      <c r="AP1245" s="189"/>
      <c r="AQ1245" s="189"/>
      <c r="AR1245" s="189"/>
      <c r="AS1245" s="189"/>
      <c r="AT1245" s="140"/>
      <c r="AU1245" s="140"/>
    </row>
    <row r="1246" spans="3:47" ht="23.25" customHeight="1" x14ac:dyDescent="0.25">
      <c r="C1246" s="140"/>
      <c r="D1246" s="140"/>
      <c r="E1246" s="196"/>
      <c r="I1246" s="140"/>
      <c r="J1246" s="140"/>
      <c r="K1246" s="140"/>
      <c r="L1246" s="140"/>
      <c r="M1246" s="140"/>
      <c r="AF1246" s="212"/>
      <c r="AG1246" s="196"/>
      <c r="AH1246" s="196"/>
      <c r="AI1246" s="232"/>
      <c r="AO1246" s="196"/>
      <c r="AP1246" s="189"/>
      <c r="AQ1246" s="189"/>
      <c r="AR1246" s="189"/>
      <c r="AS1246" s="189"/>
      <c r="AT1246" s="140"/>
      <c r="AU1246" s="140"/>
    </row>
    <row r="1247" spans="3:47" ht="23.25" customHeight="1" x14ac:dyDescent="0.25">
      <c r="C1247" s="140"/>
      <c r="D1247" s="140"/>
      <c r="E1247" s="196"/>
      <c r="I1247" s="140"/>
      <c r="J1247" s="140"/>
      <c r="K1247" s="140"/>
      <c r="L1247" s="140"/>
      <c r="M1247" s="140"/>
      <c r="AF1247" s="212"/>
      <c r="AG1247" s="196"/>
      <c r="AH1247" s="196"/>
      <c r="AI1247" s="232"/>
      <c r="AO1247" s="196"/>
      <c r="AP1247" s="189"/>
      <c r="AQ1247" s="189"/>
      <c r="AR1247" s="189"/>
      <c r="AS1247" s="189"/>
      <c r="AT1247" s="140"/>
      <c r="AU1247" s="140"/>
    </row>
    <row r="1248" spans="3:47" ht="23.25" customHeight="1" x14ac:dyDescent="0.25">
      <c r="C1248" s="140"/>
      <c r="D1248" s="140"/>
      <c r="E1248" s="196"/>
      <c r="I1248" s="140"/>
      <c r="J1248" s="140"/>
      <c r="K1248" s="140"/>
      <c r="L1248" s="140"/>
      <c r="M1248" s="140"/>
      <c r="AF1248" s="212"/>
      <c r="AG1248" s="196"/>
      <c r="AH1248" s="196"/>
      <c r="AI1248" s="232"/>
      <c r="AO1248" s="196"/>
      <c r="AP1248" s="189"/>
      <c r="AQ1248" s="189"/>
      <c r="AR1248" s="189"/>
      <c r="AS1248" s="189"/>
      <c r="AT1248" s="140"/>
      <c r="AU1248" s="140"/>
    </row>
    <row r="1249" spans="3:47" ht="23.25" customHeight="1" x14ac:dyDescent="0.25">
      <c r="C1249" s="140"/>
      <c r="D1249" s="140"/>
      <c r="E1249" s="196"/>
      <c r="I1249" s="140"/>
      <c r="J1249" s="140"/>
      <c r="K1249" s="140"/>
      <c r="L1249" s="140"/>
      <c r="M1249" s="140"/>
      <c r="AF1249" s="212"/>
      <c r="AG1249" s="196"/>
      <c r="AH1249" s="196"/>
      <c r="AI1249" s="232"/>
      <c r="AO1249" s="196"/>
      <c r="AP1249" s="189"/>
      <c r="AQ1249" s="189"/>
      <c r="AR1249" s="189"/>
      <c r="AS1249" s="189"/>
      <c r="AT1249" s="140"/>
      <c r="AU1249" s="140"/>
    </row>
    <row r="1250" spans="3:47" ht="23.25" customHeight="1" x14ac:dyDescent="0.25">
      <c r="C1250" s="140"/>
      <c r="D1250" s="140"/>
      <c r="E1250" s="196"/>
      <c r="I1250" s="140"/>
      <c r="J1250" s="140"/>
      <c r="K1250" s="140"/>
      <c r="L1250" s="140"/>
      <c r="M1250" s="140"/>
      <c r="AF1250" s="212"/>
      <c r="AG1250" s="196"/>
      <c r="AH1250" s="196"/>
      <c r="AI1250" s="232"/>
      <c r="AO1250" s="196"/>
      <c r="AP1250" s="189"/>
      <c r="AQ1250" s="189"/>
      <c r="AR1250" s="189"/>
      <c r="AS1250" s="189"/>
      <c r="AT1250" s="140"/>
      <c r="AU1250" s="140"/>
    </row>
    <row r="1251" spans="3:47" ht="23.25" customHeight="1" x14ac:dyDescent="0.25">
      <c r="C1251" s="140"/>
      <c r="D1251" s="140"/>
      <c r="E1251" s="196"/>
      <c r="I1251" s="140"/>
      <c r="J1251" s="140"/>
      <c r="K1251" s="140"/>
      <c r="L1251" s="140"/>
      <c r="M1251" s="140"/>
      <c r="AF1251" s="212"/>
      <c r="AG1251" s="196"/>
      <c r="AH1251" s="196"/>
      <c r="AI1251" s="232"/>
      <c r="AO1251" s="196"/>
      <c r="AP1251" s="189"/>
      <c r="AQ1251" s="189"/>
      <c r="AR1251" s="189"/>
      <c r="AS1251" s="189"/>
      <c r="AT1251" s="140"/>
      <c r="AU1251" s="140"/>
    </row>
    <row r="1252" spans="3:47" ht="23.25" customHeight="1" x14ac:dyDescent="0.25">
      <c r="C1252" s="140"/>
      <c r="D1252" s="140"/>
      <c r="E1252" s="196"/>
      <c r="I1252" s="140"/>
      <c r="J1252" s="140"/>
      <c r="K1252" s="140"/>
      <c r="L1252" s="140"/>
      <c r="M1252" s="140"/>
      <c r="AF1252" s="212"/>
      <c r="AG1252" s="196"/>
      <c r="AH1252" s="196"/>
      <c r="AI1252" s="232"/>
      <c r="AO1252" s="196"/>
      <c r="AP1252" s="189"/>
      <c r="AQ1252" s="189"/>
      <c r="AR1252" s="189"/>
      <c r="AS1252" s="189"/>
      <c r="AT1252" s="140"/>
      <c r="AU1252" s="140"/>
    </row>
    <row r="1253" spans="3:47" ht="23.25" customHeight="1" x14ac:dyDescent="0.25">
      <c r="C1253" s="140"/>
      <c r="D1253" s="140"/>
      <c r="E1253" s="196"/>
      <c r="I1253" s="140"/>
      <c r="J1253" s="140"/>
      <c r="K1253" s="140"/>
      <c r="L1253" s="140"/>
      <c r="M1253" s="140"/>
      <c r="AF1253" s="212"/>
      <c r="AG1253" s="196"/>
      <c r="AH1253" s="196"/>
      <c r="AI1253" s="232"/>
      <c r="AO1253" s="196"/>
      <c r="AP1253" s="189"/>
      <c r="AQ1253" s="189"/>
      <c r="AR1253" s="189"/>
      <c r="AS1253" s="189"/>
      <c r="AT1253" s="140"/>
      <c r="AU1253" s="140"/>
    </row>
    <row r="1254" spans="3:47" ht="23.25" customHeight="1" x14ac:dyDescent="0.25">
      <c r="C1254" s="140"/>
      <c r="D1254" s="140"/>
      <c r="E1254" s="196"/>
      <c r="I1254" s="140"/>
      <c r="J1254" s="140"/>
      <c r="K1254" s="140"/>
      <c r="L1254" s="140"/>
      <c r="M1254" s="140"/>
      <c r="AF1254" s="212"/>
      <c r="AG1254" s="196"/>
      <c r="AH1254" s="196"/>
      <c r="AI1254" s="232"/>
      <c r="AO1254" s="196"/>
      <c r="AP1254" s="189"/>
      <c r="AQ1254" s="189"/>
      <c r="AR1254" s="189"/>
      <c r="AS1254" s="189"/>
      <c r="AT1254" s="140"/>
      <c r="AU1254" s="140"/>
    </row>
    <row r="1255" spans="3:47" ht="23.25" customHeight="1" x14ac:dyDescent="0.25">
      <c r="C1255" s="140"/>
      <c r="D1255" s="140"/>
      <c r="E1255" s="196"/>
      <c r="I1255" s="140"/>
      <c r="J1255" s="140"/>
      <c r="K1255" s="140"/>
      <c r="L1255" s="140"/>
      <c r="M1255" s="140"/>
      <c r="AF1255" s="212"/>
      <c r="AG1255" s="196"/>
      <c r="AH1255" s="196"/>
      <c r="AI1255" s="232"/>
      <c r="AO1255" s="196"/>
      <c r="AP1255" s="189"/>
      <c r="AQ1255" s="189"/>
      <c r="AR1255" s="189"/>
      <c r="AS1255" s="189"/>
      <c r="AT1255" s="140"/>
      <c r="AU1255" s="140"/>
    </row>
    <row r="1256" spans="3:47" ht="23.25" customHeight="1" x14ac:dyDescent="0.25">
      <c r="C1256" s="140"/>
      <c r="D1256" s="140"/>
      <c r="E1256" s="196"/>
      <c r="I1256" s="140"/>
      <c r="J1256" s="140"/>
      <c r="K1256" s="140"/>
      <c r="L1256" s="140"/>
      <c r="M1256" s="140"/>
      <c r="AF1256" s="212"/>
      <c r="AG1256" s="196"/>
      <c r="AH1256" s="196"/>
      <c r="AI1256" s="232"/>
      <c r="AO1256" s="196"/>
      <c r="AP1256" s="189"/>
      <c r="AQ1256" s="189"/>
      <c r="AR1256" s="189"/>
      <c r="AS1256" s="189"/>
      <c r="AT1256" s="140"/>
      <c r="AU1256" s="140"/>
    </row>
    <row r="1257" spans="3:47" ht="23.25" customHeight="1" x14ac:dyDescent="0.25">
      <c r="C1257" s="140"/>
      <c r="D1257" s="140"/>
      <c r="E1257" s="196"/>
      <c r="I1257" s="140"/>
      <c r="J1257" s="140"/>
      <c r="K1257" s="140"/>
      <c r="L1257" s="140"/>
      <c r="M1257" s="140"/>
      <c r="AF1257" s="212"/>
      <c r="AG1257" s="196"/>
      <c r="AH1257" s="196"/>
      <c r="AI1257" s="232"/>
      <c r="AO1257" s="196"/>
      <c r="AP1257" s="189"/>
      <c r="AQ1257" s="189"/>
      <c r="AR1257" s="189"/>
      <c r="AS1257" s="189"/>
      <c r="AT1257" s="140"/>
      <c r="AU1257" s="140"/>
    </row>
    <row r="1258" spans="3:47" ht="23.25" customHeight="1" x14ac:dyDescent="0.25">
      <c r="C1258" s="140"/>
      <c r="D1258" s="140"/>
      <c r="E1258" s="196"/>
      <c r="I1258" s="140"/>
      <c r="J1258" s="140"/>
      <c r="K1258" s="140"/>
      <c r="L1258" s="140"/>
      <c r="M1258" s="140"/>
      <c r="AF1258" s="212"/>
      <c r="AG1258" s="196"/>
      <c r="AH1258" s="196"/>
      <c r="AI1258" s="232"/>
      <c r="AO1258" s="196"/>
      <c r="AP1258" s="189"/>
      <c r="AQ1258" s="189"/>
      <c r="AR1258" s="189"/>
      <c r="AS1258" s="189"/>
      <c r="AT1258" s="140"/>
      <c r="AU1258" s="140"/>
    </row>
    <row r="1259" spans="3:47" ht="23.25" customHeight="1" x14ac:dyDescent="0.25">
      <c r="C1259" s="140"/>
      <c r="D1259" s="140"/>
      <c r="E1259" s="196"/>
      <c r="I1259" s="140"/>
      <c r="J1259" s="140"/>
      <c r="K1259" s="140"/>
      <c r="L1259" s="140"/>
      <c r="M1259" s="140"/>
      <c r="AF1259" s="212"/>
      <c r="AG1259" s="196"/>
      <c r="AH1259" s="196"/>
      <c r="AI1259" s="232"/>
      <c r="AO1259" s="196"/>
      <c r="AP1259" s="189"/>
      <c r="AQ1259" s="189"/>
      <c r="AR1259" s="189"/>
      <c r="AS1259" s="189"/>
      <c r="AT1259" s="140"/>
      <c r="AU1259" s="140"/>
    </row>
    <row r="1260" spans="3:47" ht="23.25" customHeight="1" x14ac:dyDescent="0.25">
      <c r="C1260" s="140"/>
      <c r="D1260" s="140"/>
      <c r="E1260" s="196"/>
      <c r="I1260" s="140"/>
      <c r="J1260" s="140"/>
      <c r="K1260" s="140"/>
      <c r="L1260" s="140"/>
      <c r="M1260" s="140"/>
      <c r="AF1260" s="212"/>
      <c r="AG1260" s="196"/>
      <c r="AH1260" s="196"/>
      <c r="AI1260" s="232"/>
      <c r="AO1260" s="196"/>
      <c r="AP1260" s="189"/>
      <c r="AQ1260" s="189"/>
      <c r="AR1260" s="189"/>
      <c r="AS1260" s="189"/>
      <c r="AT1260" s="140"/>
      <c r="AU1260" s="140"/>
    </row>
    <row r="1261" spans="3:47" ht="23.25" customHeight="1" x14ac:dyDescent="0.25">
      <c r="C1261" s="140"/>
      <c r="D1261" s="140"/>
      <c r="E1261" s="196"/>
      <c r="I1261" s="140"/>
      <c r="J1261" s="140"/>
      <c r="K1261" s="140"/>
      <c r="L1261" s="140"/>
      <c r="M1261" s="140"/>
      <c r="AF1261" s="212"/>
      <c r="AG1261" s="196"/>
      <c r="AH1261" s="196"/>
      <c r="AI1261" s="232"/>
      <c r="AO1261" s="196"/>
      <c r="AP1261" s="189"/>
      <c r="AQ1261" s="189"/>
      <c r="AR1261" s="189"/>
      <c r="AS1261" s="189"/>
      <c r="AT1261" s="140"/>
      <c r="AU1261" s="140"/>
    </row>
    <row r="1262" spans="3:47" ht="23.25" customHeight="1" x14ac:dyDescent="0.25">
      <c r="C1262" s="140"/>
      <c r="D1262" s="140"/>
      <c r="E1262" s="196"/>
      <c r="I1262" s="140"/>
      <c r="J1262" s="140"/>
      <c r="K1262" s="140"/>
      <c r="L1262" s="140"/>
      <c r="M1262" s="140"/>
      <c r="AF1262" s="212"/>
      <c r="AG1262" s="196"/>
      <c r="AH1262" s="196"/>
      <c r="AI1262" s="232"/>
      <c r="AO1262" s="196"/>
      <c r="AP1262" s="189"/>
      <c r="AQ1262" s="189"/>
      <c r="AR1262" s="189"/>
      <c r="AS1262" s="189"/>
      <c r="AT1262" s="140"/>
      <c r="AU1262" s="140"/>
    </row>
    <row r="1263" spans="3:47" ht="23.25" customHeight="1" x14ac:dyDescent="0.25">
      <c r="C1263" s="140"/>
      <c r="D1263" s="140"/>
      <c r="E1263" s="196"/>
      <c r="I1263" s="140"/>
      <c r="J1263" s="140"/>
      <c r="K1263" s="140"/>
      <c r="L1263" s="140"/>
      <c r="M1263" s="140"/>
      <c r="AF1263" s="212"/>
      <c r="AG1263" s="196"/>
      <c r="AH1263" s="196"/>
      <c r="AI1263" s="232"/>
      <c r="AO1263" s="196"/>
      <c r="AP1263" s="189"/>
      <c r="AQ1263" s="189"/>
      <c r="AR1263" s="189"/>
      <c r="AS1263" s="189"/>
      <c r="AT1263" s="140"/>
      <c r="AU1263" s="140"/>
    </row>
    <row r="1264" spans="3:47" ht="23.25" customHeight="1" x14ac:dyDescent="0.25">
      <c r="C1264" s="140"/>
      <c r="D1264" s="140"/>
      <c r="E1264" s="196"/>
      <c r="I1264" s="140"/>
      <c r="J1264" s="140"/>
      <c r="K1264" s="140"/>
      <c r="L1264" s="140"/>
      <c r="M1264" s="140"/>
      <c r="AF1264" s="212"/>
      <c r="AG1264" s="196"/>
      <c r="AH1264" s="196"/>
      <c r="AI1264" s="232"/>
      <c r="AO1264" s="196"/>
      <c r="AP1264" s="189"/>
      <c r="AQ1264" s="189"/>
      <c r="AR1264" s="189"/>
      <c r="AS1264" s="189"/>
      <c r="AT1264" s="140"/>
      <c r="AU1264" s="140"/>
    </row>
    <row r="1265" spans="3:47" ht="23.25" customHeight="1" x14ac:dyDescent="0.25">
      <c r="C1265" s="140"/>
      <c r="D1265" s="140"/>
      <c r="E1265" s="196"/>
      <c r="I1265" s="140"/>
      <c r="J1265" s="140"/>
      <c r="K1265" s="140"/>
      <c r="L1265" s="140"/>
      <c r="M1265" s="140"/>
      <c r="AF1265" s="212"/>
      <c r="AG1265" s="196"/>
      <c r="AH1265" s="196"/>
      <c r="AI1265" s="232"/>
      <c r="AO1265" s="196"/>
      <c r="AP1265" s="189"/>
      <c r="AQ1265" s="189"/>
      <c r="AR1265" s="189"/>
      <c r="AS1265" s="189"/>
      <c r="AT1265" s="140"/>
      <c r="AU1265" s="140"/>
    </row>
    <row r="1266" spans="3:47" ht="23.25" customHeight="1" x14ac:dyDescent="0.25">
      <c r="C1266" s="140"/>
      <c r="D1266" s="140"/>
      <c r="E1266" s="196"/>
      <c r="I1266" s="140"/>
      <c r="J1266" s="140"/>
      <c r="K1266" s="140"/>
      <c r="L1266" s="140"/>
      <c r="M1266" s="140"/>
      <c r="AF1266" s="212"/>
      <c r="AG1266" s="196"/>
      <c r="AH1266" s="196"/>
      <c r="AI1266" s="232"/>
      <c r="AO1266" s="196"/>
      <c r="AP1266" s="189"/>
      <c r="AQ1266" s="189"/>
      <c r="AR1266" s="189"/>
      <c r="AS1266" s="189"/>
      <c r="AT1266" s="140"/>
      <c r="AU1266" s="140"/>
    </row>
    <row r="1267" spans="3:47" ht="23.25" customHeight="1" x14ac:dyDescent="0.25">
      <c r="C1267" s="140"/>
      <c r="D1267" s="140"/>
      <c r="E1267" s="196"/>
      <c r="I1267" s="140"/>
      <c r="J1267" s="140"/>
      <c r="K1267" s="140"/>
      <c r="L1267" s="140"/>
      <c r="M1267" s="140"/>
      <c r="AF1267" s="212"/>
      <c r="AG1267" s="196"/>
      <c r="AH1267" s="196"/>
      <c r="AI1267" s="232"/>
      <c r="AO1267" s="196"/>
      <c r="AP1267" s="189"/>
      <c r="AQ1267" s="189"/>
      <c r="AR1267" s="189"/>
      <c r="AS1267" s="189"/>
      <c r="AT1267" s="140"/>
      <c r="AU1267" s="140"/>
    </row>
    <row r="1268" spans="3:47" ht="23.25" customHeight="1" x14ac:dyDescent="0.25">
      <c r="C1268" s="140"/>
      <c r="D1268" s="140"/>
      <c r="E1268" s="196"/>
      <c r="I1268" s="140"/>
      <c r="J1268" s="140"/>
      <c r="K1268" s="140"/>
      <c r="L1268" s="140"/>
      <c r="M1268" s="140"/>
      <c r="AF1268" s="212"/>
      <c r="AG1268" s="196"/>
      <c r="AH1268" s="196"/>
      <c r="AI1268" s="232"/>
      <c r="AO1268" s="196"/>
      <c r="AP1268" s="189"/>
      <c r="AQ1268" s="189"/>
      <c r="AR1268" s="189"/>
      <c r="AS1268" s="189"/>
      <c r="AT1268" s="140"/>
      <c r="AU1268" s="140"/>
    </row>
    <row r="1269" spans="3:47" ht="23.25" customHeight="1" x14ac:dyDescent="0.25">
      <c r="C1269" s="140"/>
      <c r="D1269" s="140"/>
      <c r="E1269" s="196"/>
      <c r="I1269" s="140"/>
      <c r="J1269" s="140"/>
      <c r="K1269" s="140"/>
      <c r="L1269" s="140"/>
      <c r="M1269" s="140"/>
      <c r="AF1269" s="212"/>
      <c r="AG1269" s="196"/>
      <c r="AH1269" s="196"/>
      <c r="AI1269" s="232"/>
      <c r="AO1269" s="196"/>
      <c r="AP1269" s="189"/>
      <c r="AQ1269" s="189"/>
      <c r="AR1269" s="189"/>
      <c r="AS1269" s="189"/>
      <c r="AT1269" s="140"/>
      <c r="AU1269" s="140"/>
    </row>
    <row r="1270" spans="3:47" ht="23.25" customHeight="1" x14ac:dyDescent="0.25">
      <c r="C1270" s="140"/>
      <c r="D1270" s="140"/>
      <c r="E1270" s="196"/>
      <c r="I1270" s="140"/>
      <c r="J1270" s="140"/>
      <c r="K1270" s="140"/>
      <c r="L1270" s="140"/>
      <c r="M1270" s="140"/>
      <c r="AF1270" s="212"/>
      <c r="AG1270" s="196"/>
      <c r="AH1270" s="196"/>
      <c r="AI1270" s="232"/>
      <c r="AO1270" s="196"/>
      <c r="AP1270" s="189"/>
      <c r="AQ1270" s="189"/>
      <c r="AR1270" s="189"/>
      <c r="AS1270" s="189"/>
      <c r="AT1270" s="140"/>
      <c r="AU1270" s="140"/>
    </row>
    <row r="1271" spans="3:47" ht="23.25" customHeight="1" x14ac:dyDescent="0.25">
      <c r="C1271" s="140"/>
      <c r="D1271" s="140"/>
      <c r="E1271" s="196"/>
      <c r="I1271" s="140"/>
      <c r="J1271" s="140"/>
      <c r="K1271" s="140"/>
      <c r="L1271" s="140"/>
      <c r="M1271" s="140"/>
      <c r="AF1271" s="212"/>
      <c r="AG1271" s="196"/>
      <c r="AH1271" s="196"/>
      <c r="AI1271" s="232"/>
      <c r="AO1271" s="196"/>
      <c r="AP1271" s="189"/>
      <c r="AQ1271" s="189"/>
      <c r="AR1271" s="189"/>
      <c r="AS1271" s="189"/>
      <c r="AT1271" s="140"/>
      <c r="AU1271" s="140"/>
    </row>
    <row r="1272" spans="3:47" ht="23.25" customHeight="1" x14ac:dyDescent="0.25">
      <c r="C1272" s="140"/>
      <c r="D1272" s="140"/>
      <c r="E1272" s="196"/>
      <c r="I1272" s="140"/>
      <c r="J1272" s="140"/>
      <c r="K1272" s="140"/>
      <c r="L1272" s="140"/>
      <c r="M1272" s="140"/>
      <c r="AF1272" s="212"/>
      <c r="AG1272" s="196"/>
      <c r="AH1272" s="196"/>
      <c r="AI1272" s="232"/>
      <c r="AO1272" s="196"/>
      <c r="AP1272" s="189"/>
      <c r="AQ1272" s="189"/>
      <c r="AR1272" s="189"/>
      <c r="AS1272" s="189"/>
      <c r="AT1272" s="140"/>
      <c r="AU1272" s="140"/>
    </row>
    <row r="1273" spans="3:47" ht="23.25" customHeight="1" x14ac:dyDescent="0.25">
      <c r="C1273" s="140"/>
      <c r="D1273" s="140"/>
      <c r="E1273" s="196"/>
      <c r="I1273" s="140"/>
      <c r="J1273" s="140"/>
      <c r="K1273" s="140"/>
      <c r="L1273" s="140"/>
      <c r="M1273" s="140"/>
      <c r="AF1273" s="212"/>
      <c r="AG1273" s="196"/>
      <c r="AH1273" s="196"/>
      <c r="AI1273" s="232"/>
      <c r="AO1273" s="196"/>
      <c r="AP1273" s="189"/>
      <c r="AQ1273" s="189"/>
      <c r="AR1273" s="189"/>
      <c r="AS1273" s="189"/>
      <c r="AT1273" s="140"/>
      <c r="AU1273" s="140"/>
    </row>
    <row r="1274" spans="3:47" ht="23.25" customHeight="1" x14ac:dyDescent="0.25">
      <c r="C1274" s="140"/>
      <c r="D1274" s="140"/>
      <c r="E1274" s="196"/>
      <c r="I1274" s="140"/>
      <c r="J1274" s="140"/>
      <c r="K1274" s="140"/>
      <c r="L1274" s="140"/>
      <c r="M1274" s="140"/>
      <c r="AF1274" s="212"/>
      <c r="AG1274" s="196"/>
      <c r="AH1274" s="196"/>
      <c r="AI1274" s="232"/>
      <c r="AO1274" s="196"/>
      <c r="AP1274" s="189"/>
      <c r="AQ1274" s="189"/>
      <c r="AR1274" s="189"/>
      <c r="AS1274" s="189"/>
      <c r="AT1274" s="140"/>
      <c r="AU1274" s="140"/>
    </row>
    <row r="1275" spans="3:47" ht="23.25" customHeight="1" x14ac:dyDescent="0.25">
      <c r="C1275" s="140"/>
      <c r="D1275" s="140"/>
      <c r="E1275" s="196"/>
      <c r="I1275" s="140"/>
      <c r="J1275" s="140"/>
      <c r="K1275" s="140"/>
      <c r="L1275" s="140"/>
      <c r="M1275" s="140"/>
      <c r="AF1275" s="212"/>
      <c r="AG1275" s="196"/>
      <c r="AH1275" s="196"/>
      <c r="AI1275" s="232"/>
      <c r="AO1275" s="196"/>
      <c r="AP1275" s="189"/>
      <c r="AQ1275" s="189"/>
      <c r="AR1275" s="189"/>
      <c r="AS1275" s="189"/>
      <c r="AT1275" s="140"/>
      <c r="AU1275" s="140"/>
    </row>
    <row r="1276" spans="3:47" ht="23.25" customHeight="1" x14ac:dyDescent="0.25">
      <c r="C1276" s="140"/>
      <c r="D1276" s="140"/>
      <c r="E1276" s="196"/>
      <c r="I1276" s="140"/>
      <c r="J1276" s="140"/>
      <c r="K1276" s="140"/>
      <c r="L1276" s="140"/>
      <c r="M1276" s="140"/>
      <c r="AF1276" s="212"/>
      <c r="AG1276" s="196"/>
      <c r="AH1276" s="196"/>
      <c r="AI1276" s="232"/>
      <c r="AO1276" s="196"/>
      <c r="AP1276" s="189"/>
      <c r="AQ1276" s="189"/>
      <c r="AR1276" s="189"/>
      <c r="AS1276" s="189"/>
      <c r="AT1276" s="140"/>
      <c r="AU1276" s="140"/>
    </row>
    <row r="1277" spans="3:47" ht="23.25" customHeight="1" x14ac:dyDescent="0.25">
      <c r="C1277" s="140"/>
      <c r="D1277" s="140"/>
      <c r="E1277" s="196"/>
      <c r="I1277" s="140"/>
      <c r="J1277" s="140"/>
      <c r="K1277" s="140"/>
      <c r="L1277" s="140"/>
      <c r="M1277" s="140"/>
      <c r="AF1277" s="212"/>
      <c r="AG1277" s="196"/>
      <c r="AH1277" s="196"/>
      <c r="AI1277" s="232"/>
      <c r="AO1277" s="196"/>
      <c r="AP1277" s="189"/>
      <c r="AQ1277" s="189"/>
      <c r="AR1277" s="189"/>
      <c r="AS1277" s="189"/>
      <c r="AT1277" s="140"/>
      <c r="AU1277" s="140"/>
    </row>
    <row r="1278" spans="3:47" ht="23.25" customHeight="1" x14ac:dyDescent="0.25">
      <c r="C1278" s="140"/>
      <c r="D1278" s="140"/>
      <c r="E1278" s="196"/>
      <c r="I1278" s="140"/>
      <c r="J1278" s="140"/>
      <c r="K1278" s="140"/>
      <c r="L1278" s="140"/>
      <c r="M1278" s="140"/>
      <c r="AF1278" s="212"/>
      <c r="AG1278" s="196"/>
      <c r="AH1278" s="196"/>
      <c r="AI1278" s="232"/>
      <c r="AO1278" s="196"/>
      <c r="AP1278" s="189"/>
      <c r="AQ1278" s="189"/>
      <c r="AR1278" s="189"/>
      <c r="AS1278" s="189"/>
      <c r="AT1278" s="140"/>
      <c r="AU1278" s="140"/>
    </row>
    <row r="1279" spans="3:47" ht="23.25" customHeight="1" x14ac:dyDescent="0.25">
      <c r="C1279" s="140"/>
      <c r="D1279" s="140"/>
      <c r="E1279" s="196"/>
      <c r="I1279" s="140"/>
      <c r="J1279" s="140"/>
      <c r="K1279" s="140"/>
      <c r="L1279" s="140"/>
      <c r="M1279" s="140"/>
      <c r="AF1279" s="212"/>
      <c r="AG1279" s="196"/>
      <c r="AH1279" s="196"/>
      <c r="AI1279" s="232"/>
      <c r="AO1279" s="196"/>
      <c r="AP1279" s="189"/>
      <c r="AQ1279" s="189"/>
      <c r="AR1279" s="189"/>
      <c r="AS1279" s="189"/>
      <c r="AT1279" s="140"/>
      <c r="AU1279" s="140"/>
    </row>
    <row r="1280" spans="3:47" ht="23.25" customHeight="1" x14ac:dyDescent="0.25">
      <c r="C1280" s="140"/>
      <c r="D1280" s="140"/>
      <c r="E1280" s="196"/>
      <c r="I1280" s="140"/>
      <c r="J1280" s="140"/>
      <c r="K1280" s="140"/>
      <c r="L1280" s="140"/>
      <c r="M1280" s="140"/>
      <c r="AF1280" s="212"/>
      <c r="AG1280" s="196"/>
      <c r="AH1280" s="196"/>
      <c r="AI1280" s="232"/>
      <c r="AO1280" s="196"/>
      <c r="AP1280" s="189"/>
      <c r="AQ1280" s="189"/>
      <c r="AR1280" s="189"/>
      <c r="AS1280" s="189"/>
      <c r="AT1280" s="140"/>
      <c r="AU1280" s="140"/>
    </row>
    <row r="1281" spans="3:47" ht="23.25" customHeight="1" x14ac:dyDescent="0.25">
      <c r="C1281" s="140"/>
      <c r="D1281" s="140"/>
      <c r="E1281" s="196"/>
      <c r="I1281" s="140"/>
      <c r="J1281" s="140"/>
      <c r="K1281" s="140"/>
      <c r="L1281" s="140"/>
      <c r="M1281" s="140"/>
      <c r="AF1281" s="212"/>
      <c r="AG1281" s="196"/>
      <c r="AH1281" s="196"/>
      <c r="AI1281" s="232"/>
      <c r="AO1281" s="196"/>
      <c r="AP1281" s="189"/>
      <c r="AQ1281" s="189"/>
      <c r="AR1281" s="189"/>
      <c r="AS1281" s="189"/>
      <c r="AT1281" s="140"/>
      <c r="AU1281" s="140"/>
    </row>
    <row r="1282" spans="3:47" ht="23.25" customHeight="1" x14ac:dyDescent="0.25">
      <c r="C1282" s="140"/>
      <c r="D1282" s="140"/>
      <c r="E1282" s="196"/>
      <c r="I1282" s="140"/>
      <c r="J1282" s="140"/>
      <c r="K1282" s="140"/>
      <c r="L1282" s="140"/>
      <c r="M1282" s="140"/>
      <c r="AF1282" s="212"/>
      <c r="AG1282" s="196"/>
      <c r="AH1282" s="196"/>
      <c r="AI1282" s="232"/>
      <c r="AO1282" s="196"/>
      <c r="AP1282" s="189"/>
      <c r="AQ1282" s="189"/>
      <c r="AR1282" s="189"/>
      <c r="AS1282" s="189"/>
      <c r="AT1282" s="140"/>
      <c r="AU1282" s="140"/>
    </row>
    <row r="1283" spans="3:47" ht="23.25" customHeight="1" x14ac:dyDescent="0.25">
      <c r="C1283" s="140"/>
      <c r="D1283" s="140"/>
      <c r="E1283" s="196"/>
      <c r="I1283" s="140"/>
      <c r="J1283" s="140"/>
      <c r="K1283" s="140"/>
      <c r="L1283" s="140"/>
      <c r="M1283" s="140"/>
      <c r="AF1283" s="212"/>
      <c r="AG1283" s="196"/>
      <c r="AH1283" s="196"/>
      <c r="AI1283" s="232"/>
      <c r="AO1283" s="196"/>
      <c r="AP1283" s="189"/>
      <c r="AQ1283" s="189"/>
      <c r="AR1283" s="189"/>
      <c r="AS1283" s="189"/>
      <c r="AT1283" s="140"/>
      <c r="AU1283" s="140"/>
    </row>
    <row r="1284" spans="3:47" ht="23.25" customHeight="1" x14ac:dyDescent="0.25">
      <c r="C1284" s="140"/>
      <c r="D1284" s="140"/>
      <c r="E1284" s="196"/>
      <c r="I1284" s="140"/>
      <c r="J1284" s="140"/>
      <c r="K1284" s="140"/>
      <c r="L1284" s="140"/>
      <c r="M1284" s="140"/>
      <c r="AF1284" s="212"/>
      <c r="AG1284" s="196"/>
      <c r="AH1284" s="196"/>
      <c r="AI1284" s="232"/>
      <c r="AO1284" s="196"/>
      <c r="AP1284" s="189"/>
      <c r="AQ1284" s="189"/>
      <c r="AR1284" s="189"/>
      <c r="AS1284" s="189"/>
      <c r="AT1284" s="140"/>
      <c r="AU1284" s="140"/>
    </row>
    <row r="1285" spans="3:47" ht="23.25" customHeight="1" x14ac:dyDescent="0.25">
      <c r="C1285" s="140"/>
      <c r="D1285" s="140"/>
      <c r="E1285" s="196"/>
      <c r="I1285" s="140"/>
      <c r="J1285" s="140"/>
      <c r="K1285" s="140"/>
      <c r="L1285" s="140"/>
      <c r="M1285" s="140"/>
      <c r="AF1285" s="212"/>
      <c r="AG1285" s="196"/>
      <c r="AH1285" s="196"/>
      <c r="AI1285" s="232"/>
      <c r="AO1285" s="196"/>
      <c r="AP1285" s="189"/>
      <c r="AQ1285" s="189"/>
      <c r="AR1285" s="189"/>
      <c r="AS1285" s="189"/>
      <c r="AT1285" s="140"/>
      <c r="AU1285" s="140"/>
    </row>
    <row r="1286" spans="3:47" ht="23.25" customHeight="1" x14ac:dyDescent="0.25">
      <c r="C1286" s="140"/>
      <c r="D1286" s="140"/>
      <c r="E1286" s="196"/>
      <c r="I1286" s="140"/>
      <c r="J1286" s="140"/>
      <c r="K1286" s="140"/>
      <c r="L1286" s="140"/>
      <c r="M1286" s="140"/>
      <c r="AF1286" s="212"/>
      <c r="AG1286" s="196"/>
      <c r="AH1286" s="196"/>
      <c r="AI1286" s="232"/>
      <c r="AO1286" s="196"/>
      <c r="AP1286" s="189"/>
      <c r="AQ1286" s="189"/>
      <c r="AR1286" s="189"/>
      <c r="AS1286" s="189"/>
      <c r="AT1286" s="140"/>
      <c r="AU1286" s="140"/>
    </row>
    <row r="1287" spans="3:47" ht="23.25" customHeight="1" x14ac:dyDescent="0.25">
      <c r="C1287" s="140"/>
      <c r="D1287" s="140"/>
      <c r="E1287" s="196"/>
      <c r="I1287" s="140"/>
      <c r="J1287" s="140"/>
      <c r="K1287" s="140"/>
      <c r="L1287" s="140"/>
      <c r="M1287" s="140"/>
      <c r="AF1287" s="212"/>
      <c r="AG1287" s="196"/>
      <c r="AH1287" s="196"/>
      <c r="AI1287" s="232"/>
      <c r="AO1287" s="196"/>
      <c r="AP1287" s="189"/>
      <c r="AQ1287" s="189"/>
      <c r="AR1287" s="189"/>
      <c r="AS1287" s="189"/>
      <c r="AT1287" s="140"/>
      <c r="AU1287" s="140"/>
    </row>
    <row r="1288" spans="3:47" ht="23.25" customHeight="1" x14ac:dyDescent="0.25">
      <c r="C1288" s="140"/>
      <c r="D1288" s="140"/>
      <c r="E1288" s="196"/>
      <c r="I1288" s="140"/>
      <c r="J1288" s="140"/>
      <c r="K1288" s="140"/>
      <c r="L1288" s="140"/>
      <c r="M1288" s="140"/>
      <c r="AF1288" s="212"/>
      <c r="AG1288" s="196"/>
      <c r="AH1288" s="196"/>
      <c r="AI1288" s="232"/>
      <c r="AO1288" s="196"/>
      <c r="AP1288" s="189"/>
      <c r="AQ1288" s="189"/>
      <c r="AR1288" s="189"/>
      <c r="AS1288" s="189"/>
      <c r="AT1288" s="140"/>
      <c r="AU1288" s="140"/>
    </row>
    <row r="1289" spans="3:47" ht="23.25" customHeight="1" x14ac:dyDescent="0.25">
      <c r="C1289" s="140"/>
      <c r="D1289" s="140"/>
      <c r="E1289" s="196"/>
      <c r="I1289" s="140"/>
      <c r="J1289" s="140"/>
      <c r="K1289" s="140"/>
      <c r="L1289" s="140"/>
      <c r="M1289" s="140"/>
      <c r="AF1289" s="212"/>
      <c r="AG1289" s="196"/>
      <c r="AH1289" s="196"/>
      <c r="AI1289" s="232"/>
      <c r="AO1289" s="196"/>
      <c r="AP1289" s="189"/>
      <c r="AQ1289" s="189"/>
      <c r="AR1289" s="189"/>
      <c r="AS1289" s="189"/>
      <c r="AT1289" s="140"/>
      <c r="AU1289" s="140"/>
    </row>
    <row r="1290" spans="3:47" ht="23.25" customHeight="1" x14ac:dyDescent="0.25">
      <c r="C1290" s="140"/>
      <c r="D1290" s="140"/>
      <c r="E1290" s="196"/>
      <c r="I1290" s="140"/>
      <c r="J1290" s="140"/>
      <c r="K1290" s="140"/>
      <c r="L1290" s="140"/>
      <c r="M1290" s="140"/>
      <c r="AF1290" s="212"/>
      <c r="AG1290" s="196"/>
      <c r="AH1290" s="196"/>
      <c r="AI1290" s="232"/>
      <c r="AO1290" s="196"/>
      <c r="AP1290" s="189"/>
      <c r="AQ1290" s="189"/>
      <c r="AR1290" s="189"/>
      <c r="AS1290" s="189"/>
      <c r="AT1290" s="140"/>
      <c r="AU1290" s="140"/>
    </row>
    <row r="1291" spans="3:47" ht="23.25" customHeight="1" x14ac:dyDescent="0.25">
      <c r="C1291" s="140"/>
      <c r="D1291" s="140"/>
      <c r="E1291" s="196"/>
      <c r="I1291" s="140"/>
      <c r="J1291" s="140"/>
      <c r="K1291" s="140"/>
      <c r="L1291" s="140"/>
      <c r="M1291" s="140"/>
      <c r="AF1291" s="212"/>
      <c r="AG1291" s="196"/>
      <c r="AH1291" s="196"/>
      <c r="AI1291" s="232"/>
      <c r="AO1291" s="196"/>
      <c r="AP1291" s="189"/>
      <c r="AQ1291" s="189"/>
      <c r="AR1291" s="189"/>
      <c r="AS1291" s="189"/>
      <c r="AT1291" s="140"/>
      <c r="AU1291" s="140"/>
    </row>
    <row r="1292" spans="3:47" ht="23.25" customHeight="1" x14ac:dyDescent="0.25">
      <c r="C1292" s="140"/>
      <c r="D1292" s="140"/>
      <c r="E1292" s="196"/>
      <c r="I1292" s="140"/>
      <c r="J1292" s="140"/>
      <c r="K1292" s="140"/>
      <c r="L1292" s="140"/>
      <c r="M1292" s="140"/>
      <c r="AF1292" s="212"/>
      <c r="AG1292" s="196"/>
      <c r="AH1292" s="196"/>
      <c r="AI1292" s="232"/>
      <c r="AO1292" s="196"/>
      <c r="AP1292" s="189"/>
      <c r="AQ1292" s="189"/>
      <c r="AR1292" s="189"/>
      <c r="AS1292" s="189"/>
      <c r="AT1292" s="140"/>
      <c r="AU1292" s="140"/>
    </row>
    <row r="1293" spans="3:47" ht="23.25" customHeight="1" x14ac:dyDescent="0.25">
      <c r="C1293" s="140"/>
      <c r="D1293" s="140"/>
      <c r="E1293" s="196"/>
      <c r="I1293" s="140"/>
      <c r="J1293" s="140"/>
      <c r="K1293" s="140"/>
      <c r="L1293" s="140"/>
      <c r="M1293" s="140"/>
      <c r="AF1293" s="212"/>
      <c r="AG1293" s="196"/>
      <c r="AH1293" s="196"/>
      <c r="AI1293" s="232"/>
      <c r="AO1293" s="196"/>
      <c r="AP1293" s="189"/>
      <c r="AQ1293" s="189"/>
      <c r="AR1293" s="189"/>
      <c r="AS1293" s="189"/>
      <c r="AT1293" s="140"/>
      <c r="AU1293" s="140"/>
    </row>
    <row r="1294" spans="3:47" ht="23.25" customHeight="1" x14ac:dyDescent="0.25">
      <c r="C1294" s="140"/>
      <c r="D1294" s="140"/>
      <c r="E1294" s="196"/>
      <c r="I1294" s="140"/>
      <c r="J1294" s="140"/>
      <c r="K1294" s="140"/>
      <c r="L1294" s="140"/>
      <c r="M1294" s="140"/>
      <c r="AF1294" s="212"/>
      <c r="AG1294" s="196"/>
      <c r="AH1294" s="196"/>
      <c r="AI1294" s="232"/>
      <c r="AO1294" s="196"/>
      <c r="AP1294" s="189"/>
      <c r="AQ1294" s="189"/>
      <c r="AR1294" s="189"/>
      <c r="AS1294" s="189"/>
      <c r="AT1294" s="140"/>
      <c r="AU1294" s="140"/>
    </row>
    <row r="1295" spans="3:47" ht="23.25" customHeight="1" x14ac:dyDescent="0.25">
      <c r="C1295" s="140"/>
      <c r="D1295" s="140"/>
      <c r="E1295" s="196"/>
      <c r="I1295" s="140"/>
      <c r="J1295" s="140"/>
      <c r="K1295" s="140"/>
      <c r="L1295" s="140"/>
      <c r="M1295" s="140"/>
      <c r="AF1295" s="212"/>
      <c r="AG1295" s="196"/>
      <c r="AH1295" s="196"/>
      <c r="AI1295" s="232"/>
      <c r="AO1295" s="196"/>
      <c r="AP1295" s="189"/>
      <c r="AQ1295" s="189"/>
      <c r="AR1295" s="189"/>
      <c r="AS1295" s="189"/>
      <c r="AT1295" s="140"/>
      <c r="AU1295" s="140"/>
    </row>
    <row r="1296" spans="3:47" ht="23.25" customHeight="1" x14ac:dyDescent="0.25">
      <c r="C1296" s="140"/>
      <c r="D1296" s="140"/>
      <c r="E1296" s="196"/>
      <c r="I1296" s="140"/>
      <c r="J1296" s="140"/>
      <c r="K1296" s="140"/>
      <c r="L1296" s="140"/>
      <c r="M1296" s="140"/>
      <c r="AF1296" s="212"/>
      <c r="AG1296" s="196"/>
      <c r="AH1296" s="196"/>
      <c r="AI1296" s="232"/>
      <c r="AO1296" s="196"/>
      <c r="AP1296" s="189"/>
      <c r="AQ1296" s="189"/>
      <c r="AR1296" s="189"/>
      <c r="AS1296" s="189"/>
      <c r="AT1296" s="140"/>
      <c r="AU1296" s="140"/>
    </row>
    <row r="1297" spans="3:47" ht="23.25" customHeight="1" x14ac:dyDescent="0.25">
      <c r="C1297" s="140"/>
      <c r="D1297" s="140"/>
      <c r="E1297" s="196"/>
      <c r="I1297" s="140"/>
      <c r="J1297" s="140"/>
      <c r="K1297" s="140"/>
      <c r="L1297" s="140"/>
      <c r="M1297" s="140"/>
      <c r="AF1297" s="212"/>
      <c r="AG1297" s="196"/>
      <c r="AH1297" s="196"/>
      <c r="AI1297" s="232"/>
      <c r="AO1297" s="196"/>
      <c r="AP1297" s="189"/>
      <c r="AQ1297" s="189"/>
      <c r="AR1297" s="189"/>
      <c r="AS1297" s="189"/>
      <c r="AT1297" s="140"/>
      <c r="AU1297" s="140"/>
    </row>
    <row r="1298" spans="3:47" ht="23.25" customHeight="1" x14ac:dyDescent="0.25">
      <c r="C1298" s="140"/>
      <c r="D1298" s="140"/>
      <c r="E1298" s="196"/>
      <c r="I1298" s="140"/>
      <c r="J1298" s="140"/>
      <c r="K1298" s="140"/>
      <c r="L1298" s="140"/>
      <c r="M1298" s="140"/>
      <c r="AF1298" s="212"/>
      <c r="AG1298" s="196"/>
      <c r="AH1298" s="196"/>
      <c r="AI1298" s="232"/>
      <c r="AO1298" s="196"/>
      <c r="AP1298" s="189"/>
      <c r="AQ1298" s="189"/>
      <c r="AR1298" s="189"/>
      <c r="AS1298" s="189"/>
      <c r="AT1298" s="140"/>
      <c r="AU1298" s="140"/>
    </row>
    <row r="1299" spans="3:47" ht="23.25" customHeight="1" x14ac:dyDescent="0.25">
      <c r="C1299" s="140"/>
      <c r="D1299" s="140"/>
      <c r="E1299" s="196"/>
      <c r="I1299" s="140"/>
      <c r="J1299" s="140"/>
      <c r="K1299" s="140"/>
      <c r="L1299" s="140"/>
      <c r="M1299" s="140"/>
      <c r="AF1299" s="212"/>
      <c r="AG1299" s="196"/>
      <c r="AH1299" s="196"/>
      <c r="AI1299" s="232"/>
      <c r="AO1299" s="196"/>
      <c r="AP1299" s="189"/>
      <c r="AQ1299" s="189"/>
      <c r="AR1299" s="189"/>
      <c r="AS1299" s="189"/>
      <c r="AT1299" s="140"/>
      <c r="AU1299" s="140"/>
    </row>
    <row r="1300" spans="3:47" ht="23.25" customHeight="1" x14ac:dyDescent="0.25">
      <c r="C1300" s="140"/>
      <c r="D1300" s="140"/>
      <c r="E1300" s="196"/>
      <c r="I1300" s="140"/>
      <c r="J1300" s="140"/>
      <c r="K1300" s="140"/>
      <c r="L1300" s="140"/>
      <c r="M1300" s="140"/>
      <c r="AF1300" s="212"/>
      <c r="AG1300" s="196"/>
      <c r="AH1300" s="196"/>
      <c r="AI1300" s="232"/>
      <c r="AO1300" s="196"/>
      <c r="AP1300" s="189"/>
      <c r="AQ1300" s="189"/>
      <c r="AR1300" s="189"/>
      <c r="AS1300" s="189"/>
      <c r="AT1300" s="140"/>
      <c r="AU1300" s="140"/>
    </row>
    <row r="1301" spans="3:47" ht="23.25" customHeight="1" x14ac:dyDescent="0.25">
      <c r="C1301" s="140"/>
      <c r="D1301" s="140"/>
      <c r="E1301" s="196"/>
      <c r="I1301" s="140"/>
      <c r="J1301" s="140"/>
      <c r="K1301" s="140"/>
      <c r="L1301" s="140"/>
      <c r="M1301" s="140"/>
      <c r="AF1301" s="212"/>
      <c r="AG1301" s="196"/>
      <c r="AH1301" s="196"/>
      <c r="AI1301" s="232"/>
      <c r="AO1301" s="196"/>
      <c r="AP1301" s="189"/>
      <c r="AQ1301" s="189"/>
      <c r="AR1301" s="189"/>
      <c r="AS1301" s="189"/>
      <c r="AT1301" s="140"/>
      <c r="AU1301" s="140"/>
    </row>
    <row r="1302" spans="3:47" ht="23.25" customHeight="1" x14ac:dyDescent="0.25">
      <c r="C1302" s="140"/>
      <c r="D1302" s="140"/>
      <c r="E1302" s="196"/>
      <c r="I1302" s="140"/>
      <c r="J1302" s="140"/>
      <c r="K1302" s="140"/>
      <c r="L1302" s="140"/>
      <c r="M1302" s="140"/>
      <c r="AF1302" s="212"/>
      <c r="AG1302" s="196"/>
      <c r="AH1302" s="196"/>
      <c r="AI1302" s="232"/>
      <c r="AO1302" s="196"/>
      <c r="AP1302" s="189"/>
      <c r="AQ1302" s="189"/>
      <c r="AR1302" s="189"/>
      <c r="AS1302" s="189"/>
      <c r="AT1302" s="140"/>
      <c r="AU1302" s="140"/>
    </row>
    <row r="1303" spans="3:47" ht="23.25" customHeight="1" x14ac:dyDescent="0.25">
      <c r="C1303" s="140"/>
      <c r="D1303" s="140"/>
      <c r="E1303" s="196"/>
      <c r="I1303" s="140"/>
      <c r="J1303" s="140"/>
      <c r="K1303" s="140"/>
      <c r="L1303" s="140"/>
      <c r="M1303" s="140"/>
      <c r="AF1303" s="212"/>
      <c r="AG1303" s="196"/>
      <c r="AH1303" s="196"/>
      <c r="AI1303" s="232"/>
      <c r="AO1303" s="196"/>
      <c r="AP1303" s="189"/>
      <c r="AQ1303" s="189"/>
      <c r="AR1303" s="189"/>
      <c r="AS1303" s="189"/>
      <c r="AT1303" s="140"/>
      <c r="AU1303" s="140"/>
    </row>
    <row r="1304" spans="3:47" ht="23.25" customHeight="1" x14ac:dyDescent="0.25">
      <c r="C1304" s="140"/>
      <c r="D1304" s="140"/>
      <c r="E1304" s="196"/>
      <c r="I1304" s="140"/>
      <c r="J1304" s="140"/>
      <c r="K1304" s="140"/>
      <c r="L1304" s="140"/>
      <c r="M1304" s="140"/>
      <c r="AF1304" s="212"/>
      <c r="AG1304" s="196"/>
      <c r="AH1304" s="196"/>
      <c r="AI1304" s="232"/>
      <c r="AO1304" s="196"/>
      <c r="AP1304" s="189"/>
      <c r="AQ1304" s="189"/>
      <c r="AR1304" s="189"/>
      <c r="AS1304" s="189"/>
      <c r="AT1304" s="140"/>
      <c r="AU1304" s="140"/>
    </row>
    <row r="1305" spans="3:47" ht="23.25" customHeight="1" x14ac:dyDescent="0.25">
      <c r="C1305" s="140"/>
      <c r="D1305" s="140"/>
      <c r="E1305" s="196"/>
      <c r="I1305" s="140"/>
      <c r="J1305" s="140"/>
      <c r="K1305" s="140"/>
      <c r="L1305" s="140"/>
      <c r="M1305" s="140"/>
      <c r="AF1305" s="212"/>
      <c r="AG1305" s="196"/>
      <c r="AH1305" s="196"/>
      <c r="AI1305" s="232"/>
      <c r="AO1305" s="196"/>
      <c r="AP1305" s="189"/>
      <c r="AQ1305" s="189"/>
      <c r="AR1305" s="189"/>
      <c r="AS1305" s="189"/>
      <c r="AT1305" s="140"/>
      <c r="AU1305" s="140"/>
    </row>
    <row r="1306" spans="3:47" ht="23.25" customHeight="1" x14ac:dyDescent="0.25">
      <c r="C1306" s="140"/>
      <c r="D1306" s="140"/>
      <c r="E1306" s="196"/>
      <c r="I1306" s="140"/>
      <c r="J1306" s="140"/>
      <c r="K1306" s="140"/>
      <c r="L1306" s="140"/>
      <c r="M1306" s="140"/>
      <c r="AF1306" s="212"/>
      <c r="AG1306" s="196"/>
      <c r="AH1306" s="196"/>
      <c r="AI1306" s="232"/>
      <c r="AO1306" s="196"/>
      <c r="AP1306" s="189"/>
      <c r="AQ1306" s="189"/>
      <c r="AR1306" s="189"/>
      <c r="AS1306" s="189"/>
      <c r="AT1306" s="140"/>
      <c r="AU1306" s="140"/>
    </row>
    <row r="1307" spans="3:47" ht="23.25" customHeight="1" x14ac:dyDescent="0.25">
      <c r="C1307" s="140"/>
      <c r="D1307" s="140"/>
      <c r="E1307" s="196"/>
      <c r="I1307" s="140"/>
      <c r="J1307" s="140"/>
      <c r="K1307" s="140"/>
      <c r="L1307" s="140"/>
      <c r="M1307" s="140"/>
      <c r="AF1307" s="212"/>
      <c r="AG1307" s="196"/>
      <c r="AH1307" s="196"/>
      <c r="AI1307" s="232"/>
      <c r="AO1307" s="196"/>
      <c r="AP1307" s="189"/>
      <c r="AQ1307" s="189"/>
      <c r="AR1307" s="189"/>
      <c r="AS1307" s="189"/>
      <c r="AT1307" s="140"/>
      <c r="AU1307" s="140"/>
    </row>
    <row r="1308" spans="3:47" ht="23.25" customHeight="1" x14ac:dyDescent="0.25">
      <c r="C1308" s="140"/>
      <c r="D1308" s="140"/>
      <c r="E1308" s="196"/>
      <c r="I1308" s="140"/>
      <c r="J1308" s="140"/>
      <c r="K1308" s="140"/>
      <c r="L1308" s="140"/>
      <c r="M1308" s="140"/>
      <c r="AF1308" s="212"/>
      <c r="AG1308" s="196"/>
      <c r="AH1308" s="196"/>
      <c r="AI1308" s="232"/>
      <c r="AO1308" s="196"/>
      <c r="AP1308" s="189"/>
      <c r="AQ1308" s="189"/>
      <c r="AR1308" s="189"/>
      <c r="AS1308" s="189"/>
      <c r="AT1308" s="140"/>
      <c r="AU1308" s="140"/>
    </row>
    <row r="1309" spans="3:47" ht="23.25" customHeight="1" x14ac:dyDescent="0.25">
      <c r="C1309" s="140"/>
      <c r="D1309" s="140"/>
      <c r="E1309" s="196"/>
      <c r="I1309" s="140"/>
      <c r="J1309" s="140"/>
      <c r="K1309" s="140"/>
      <c r="L1309" s="140"/>
      <c r="M1309" s="140"/>
      <c r="AF1309" s="212"/>
      <c r="AG1309" s="196"/>
      <c r="AH1309" s="196"/>
      <c r="AI1309" s="232"/>
      <c r="AO1309" s="196"/>
      <c r="AP1309" s="189"/>
      <c r="AQ1309" s="189"/>
      <c r="AR1309" s="189"/>
      <c r="AS1309" s="189"/>
      <c r="AT1309" s="140"/>
      <c r="AU1309" s="140"/>
    </row>
    <row r="1310" spans="3:47" ht="23.25" customHeight="1" x14ac:dyDescent="0.25">
      <c r="C1310" s="140"/>
      <c r="D1310" s="140"/>
      <c r="E1310" s="196"/>
      <c r="I1310" s="140"/>
      <c r="J1310" s="140"/>
      <c r="K1310" s="140"/>
      <c r="L1310" s="140"/>
      <c r="M1310" s="140"/>
      <c r="AF1310" s="212"/>
      <c r="AG1310" s="196"/>
      <c r="AH1310" s="196"/>
      <c r="AI1310" s="232"/>
      <c r="AO1310" s="196"/>
      <c r="AP1310" s="189"/>
      <c r="AQ1310" s="189"/>
      <c r="AR1310" s="189"/>
      <c r="AS1310" s="189"/>
      <c r="AT1310" s="140"/>
      <c r="AU1310" s="140"/>
    </row>
    <row r="1311" spans="3:47" ht="23.25" customHeight="1" x14ac:dyDescent="0.25">
      <c r="C1311" s="140"/>
      <c r="D1311" s="140"/>
      <c r="E1311" s="196"/>
      <c r="I1311" s="140"/>
      <c r="J1311" s="140"/>
      <c r="K1311" s="140"/>
      <c r="L1311" s="140"/>
      <c r="M1311" s="140"/>
      <c r="AF1311" s="212"/>
      <c r="AG1311" s="196"/>
      <c r="AH1311" s="196"/>
      <c r="AI1311" s="232"/>
      <c r="AO1311" s="196"/>
      <c r="AP1311" s="189"/>
      <c r="AQ1311" s="189"/>
      <c r="AR1311" s="189"/>
      <c r="AS1311" s="189"/>
      <c r="AT1311" s="140"/>
      <c r="AU1311" s="140"/>
    </row>
    <row r="1312" spans="3:47" ht="23.25" customHeight="1" x14ac:dyDescent="0.25">
      <c r="C1312" s="140"/>
      <c r="D1312" s="140"/>
      <c r="E1312" s="196"/>
      <c r="I1312" s="140"/>
      <c r="J1312" s="140"/>
      <c r="K1312" s="140"/>
      <c r="L1312" s="140"/>
      <c r="M1312" s="140"/>
      <c r="AF1312" s="212"/>
      <c r="AG1312" s="196"/>
      <c r="AH1312" s="196"/>
      <c r="AI1312" s="232"/>
      <c r="AO1312" s="196"/>
      <c r="AP1312" s="189"/>
      <c r="AQ1312" s="189"/>
      <c r="AR1312" s="189"/>
      <c r="AS1312" s="189"/>
      <c r="AT1312" s="140"/>
      <c r="AU1312" s="140"/>
    </row>
    <row r="1313" spans="3:47" ht="23.25" customHeight="1" x14ac:dyDescent="0.25">
      <c r="C1313" s="140"/>
      <c r="D1313" s="140"/>
      <c r="E1313" s="196"/>
      <c r="I1313" s="140"/>
      <c r="J1313" s="140"/>
      <c r="K1313" s="140"/>
      <c r="L1313" s="140"/>
      <c r="M1313" s="140"/>
      <c r="AF1313" s="212"/>
      <c r="AG1313" s="196"/>
      <c r="AH1313" s="196"/>
      <c r="AI1313" s="232"/>
      <c r="AO1313" s="196"/>
      <c r="AP1313" s="189"/>
      <c r="AQ1313" s="189"/>
      <c r="AR1313" s="189"/>
      <c r="AS1313" s="189"/>
      <c r="AT1313" s="140"/>
      <c r="AU1313" s="140"/>
    </row>
    <row r="1314" spans="3:47" ht="23.25" customHeight="1" x14ac:dyDescent="0.25">
      <c r="C1314" s="140"/>
      <c r="D1314" s="140"/>
      <c r="E1314" s="196"/>
      <c r="I1314" s="140"/>
      <c r="J1314" s="140"/>
      <c r="K1314" s="140"/>
      <c r="L1314" s="140"/>
      <c r="M1314" s="140"/>
      <c r="AF1314" s="212"/>
      <c r="AG1314" s="196"/>
      <c r="AH1314" s="196"/>
      <c r="AI1314" s="232"/>
      <c r="AO1314" s="196"/>
      <c r="AP1314" s="189"/>
      <c r="AQ1314" s="189"/>
      <c r="AR1314" s="189"/>
      <c r="AS1314" s="189"/>
      <c r="AT1314" s="140"/>
      <c r="AU1314" s="140"/>
    </row>
    <row r="1315" spans="3:47" ht="23.25" customHeight="1" x14ac:dyDescent="0.25">
      <c r="C1315" s="140"/>
      <c r="D1315" s="140"/>
      <c r="E1315" s="196"/>
      <c r="I1315" s="140"/>
      <c r="J1315" s="140"/>
      <c r="K1315" s="140"/>
      <c r="L1315" s="140"/>
      <c r="M1315" s="140"/>
      <c r="AF1315" s="212"/>
      <c r="AG1315" s="196"/>
      <c r="AH1315" s="196"/>
      <c r="AI1315" s="232"/>
      <c r="AO1315" s="196"/>
      <c r="AP1315" s="189"/>
      <c r="AQ1315" s="189"/>
      <c r="AR1315" s="189"/>
      <c r="AS1315" s="189"/>
      <c r="AT1315" s="140"/>
      <c r="AU1315" s="140"/>
    </row>
    <row r="1316" spans="3:47" ht="23.25" customHeight="1" x14ac:dyDescent="0.25">
      <c r="C1316" s="140"/>
      <c r="D1316" s="140"/>
      <c r="E1316" s="196"/>
      <c r="I1316" s="140"/>
      <c r="J1316" s="140"/>
      <c r="K1316" s="140"/>
      <c r="L1316" s="140"/>
      <c r="M1316" s="140"/>
      <c r="AF1316" s="212"/>
      <c r="AG1316" s="196"/>
      <c r="AH1316" s="196"/>
      <c r="AI1316" s="232"/>
      <c r="AO1316" s="196"/>
      <c r="AP1316" s="189"/>
      <c r="AQ1316" s="189"/>
      <c r="AR1316" s="189"/>
      <c r="AS1316" s="189"/>
      <c r="AT1316" s="140"/>
      <c r="AU1316" s="140"/>
    </row>
    <row r="1317" spans="3:47" ht="23.25" customHeight="1" x14ac:dyDescent="0.25">
      <c r="C1317" s="140"/>
      <c r="D1317" s="140"/>
      <c r="E1317" s="196"/>
      <c r="I1317" s="140"/>
      <c r="J1317" s="140"/>
      <c r="K1317" s="140"/>
      <c r="L1317" s="140"/>
      <c r="M1317" s="140"/>
      <c r="AF1317" s="212"/>
      <c r="AG1317" s="196"/>
      <c r="AH1317" s="196"/>
      <c r="AI1317" s="232"/>
      <c r="AO1317" s="196"/>
      <c r="AP1317" s="189"/>
      <c r="AQ1317" s="189"/>
      <c r="AR1317" s="189"/>
      <c r="AS1317" s="189"/>
      <c r="AT1317" s="140"/>
      <c r="AU1317" s="140"/>
    </row>
    <row r="1318" spans="3:47" ht="23.25" customHeight="1" x14ac:dyDescent="0.25">
      <c r="C1318" s="140"/>
      <c r="D1318" s="140"/>
      <c r="E1318" s="196"/>
      <c r="I1318" s="140"/>
      <c r="J1318" s="140"/>
      <c r="K1318" s="140"/>
      <c r="L1318" s="140"/>
      <c r="M1318" s="140"/>
      <c r="AF1318" s="212"/>
      <c r="AG1318" s="196"/>
      <c r="AH1318" s="196"/>
      <c r="AI1318" s="232"/>
      <c r="AO1318" s="196"/>
      <c r="AP1318" s="189"/>
      <c r="AQ1318" s="189"/>
      <c r="AR1318" s="189"/>
      <c r="AS1318" s="189"/>
      <c r="AT1318" s="140"/>
      <c r="AU1318" s="140"/>
    </row>
    <row r="1319" spans="3:47" ht="23.25" customHeight="1" x14ac:dyDescent="0.25">
      <c r="C1319" s="140"/>
      <c r="D1319" s="140"/>
      <c r="E1319" s="196"/>
      <c r="I1319" s="140"/>
      <c r="J1319" s="140"/>
      <c r="K1319" s="140"/>
      <c r="L1319" s="140"/>
      <c r="M1319" s="140"/>
      <c r="AF1319" s="212"/>
      <c r="AG1319" s="196"/>
      <c r="AH1319" s="196"/>
      <c r="AI1319" s="232"/>
      <c r="AO1319" s="196"/>
      <c r="AP1319" s="189"/>
      <c r="AQ1319" s="189"/>
      <c r="AR1319" s="189"/>
      <c r="AS1319" s="189"/>
      <c r="AT1319" s="140"/>
      <c r="AU1319" s="140"/>
    </row>
    <row r="1320" spans="3:47" ht="23.25" customHeight="1" x14ac:dyDescent="0.25">
      <c r="C1320" s="140"/>
      <c r="D1320" s="140"/>
      <c r="E1320" s="196"/>
      <c r="I1320" s="140"/>
      <c r="J1320" s="140"/>
      <c r="K1320" s="140"/>
      <c r="L1320" s="140"/>
      <c r="M1320" s="140"/>
      <c r="AF1320" s="212"/>
      <c r="AG1320" s="196"/>
      <c r="AH1320" s="196"/>
      <c r="AI1320" s="232"/>
      <c r="AO1320" s="196"/>
      <c r="AP1320" s="189"/>
      <c r="AQ1320" s="189"/>
      <c r="AR1320" s="189"/>
      <c r="AS1320" s="189"/>
      <c r="AT1320" s="140"/>
      <c r="AU1320" s="140"/>
    </row>
    <row r="1321" spans="3:47" ht="23.25" customHeight="1" x14ac:dyDescent="0.25">
      <c r="C1321" s="140"/>
      <c r="D1321" s="140"/>
      <c r="E1321" s="196"/>
      <c r="I1321" s="140"/>
      <c r="J1321" s="140"/>
      <c r="K1321" s="140"/>
      <c r="L1321" s="140"/>
      <c r="M1321" s="140"/>
      <c r="AF1321" s="212"/>
      <c r="AG1321" s="196"/>
      <c r="AH1321" s="196"/>
      <c r="AI1321" s="232"/>
      <c r="AO1321" s="196"/>
      <c r="AP1321" s="189"/>
      <c r="AQ1321" s="189"/>
      <c r="AR1321" s="189"/>
      <c r="AS1321" s="189"/>
      <c r="AT1321" s="140"/>
      <c r="AU1321" s="140"/>
    </row>
    <row r="1322" spans="3:47" ht="23.25" customHeight="1" x14ac:dyDescent="0.25">
      <c r="C1322" s="140"/>
      <c r="D1322" s="140"/>
      <c r="E1322" s="196"/>
      <c r="I1322" s="140"/>
      <c r="J1322" s="140"/>
      <c r="K1322" s="140"/>
      <c r="L1322" s="140"/>
      <c r="M1322" s="140"/>
      <c r="AF1322" s="212"/>
      <c r="AG1322" s="196"/>
      <c r="AH1322" s="196"/>
      <c r="AI1322" s="232"/>
      <c r="AO1322" s="196"/>
      <c r="AP1322" s="189"/>
      <c r="AQ1322" s="189"/>
      <c r="AR1322" s="189"/>
      <c r="AS1322" s="189"/>
      <c r="AT1322" s="140"/>
      <c r="AU1322" s="140"/>
    </row>
    <row r="1323" spans="3:47" ht="23.25" customHeight="1" x14ac:dyDescent="0.25">
      <c r="C1323" s="140"/>
      <c r="D1323" s="140"/>
      <c r="E1323" s="196"/>
      <c r="I1323" s="140"/>
      <c r="J1323" s="140"/>
      <c r="K1323" s="140"/>
      <c r="L1323" s="140"/>
      <c r="M1323" s="140"/>
      <c r="AF1323" s="212"/>
      <c r="AG1323" s="196"/>
      <c r="AH1323" s="196"/>
      <c r="AI1323" s="232"/>
      <c r="AO1323" s="196"/>
      <c r="AP1323" s="189"/>
      <c r="AQ1323" s="189"/>
      <c r="AR1323" s="189"/>
      <c r="AS1323" s="189"/>
      <c r="AT1323" s="140"/>
      <c r="AU1323" s="140"/>
    </row>
    <row r="1324" spans="3:47" ht="23.25" customHeight="1" x14ac:dyDescent="0.25">
      <c r="C1324" s="140"/>
      <c r="D1324" s="140"/>
      <c r="E1324" s="196"/>
      <c r="I1324" s="140"/>
      <c r="J1324" s="140"/>
      <c r="K1324" s="140"/>
      <c r="L1324" s="140"/>
      <c r="M1324" s="140"/>
      <c r="AF1324" s="212"/>
      <c r="AG1324" s="196"/>
      <c r="AH1324" s="196"/>
      <c r="AI1324" s="232"/>
      <c r="AO1324" s="196"/>
      <c r="AP1324" s="189"/>
      <c r="AQ1324" s="189"/>
      <c r="AR1324" s="189"/>
      <c r="AS1324" s="189"/>
      <c r="AT1324" s="140"/>
      <c r="AU1324" s="140"/>
    </row>
    <row r="1325" spans="3:47" ht="23.25" customHeight="1" x14ac:dyDescent="0.25">
      <c r="C1325" s="140"/>
      <c r="D1325" s="140"/>
      <c r="E1325" s="196"/>
      <c r="I1325" s="140"/>
      <c r="J1325" s="140"/>
      <c r="K1325" s="140"/>
      <c r="L1325" s="140"/>
      <c r="M1325" s="140"/>
      <c r="AF1325" s="212"/>
      <c r="AG1325" s="196"/>
      <c r="AH1325" s="196"/>
      <c r="AI1325" s="232"/>
      <c r="AO1325" s="196"/>
      <c r="AP1325" s="189"/>
      <c r="AQ1325" s="189"/>
      <c r="AR1325" s="189"/>
      <c r="AS1325" s="189"/>
      <c r="AT1325" s="140"/>
      <c r="AU1325" s="140"/>
    </row>
    <row r="1326" spans="3:47" ht="23.25" customHeight="1" x14ac:dyDescent="0.25">
      <c r="C1326" s="140"/>
      <c r="D1326" s="140"/>
      <c r="E1326" s="196"/>
      <c r="I1326" s="140"/>
      <c r="J1326" s="140"/>
      <c r="K1326" s="140"/>
      <c r="L1326" s="140"/>
      <c r="M1326" s="140"/>
      <c r="AF1326" s="212"/>
      <c r="AG1326" s="196"/>
      <c r="AH1326" s="196"/>
      <c r="AI1326" s="232"/>
      <c r="AO1326" s="196"/>
      <c r="AP1326" s="189"/>
      <c r="AQ1326" s="189"/>
      <c r="AR1326" s="189"/>
      <c r="AS1326" s="189"/>
      <c r="AT1326" s="140"/>
      <c r="AU1326" s="140"/>
    </row>
    <row r="1327" spans="3:47" ht="23.25" customHeight="1" x14ac:dyDescent="0.25">
      <c r="C1327" s="140"/>
      <c r="D1327" s="140"/>
      <c r="E1327" s="196"/>
      <c r="I1327" s="140"/>
      <c r="J1327" s="140"/>
      <c r="K1327" s="140"/>
      <c r="L1327" s="140"/>
      <c r="M1327" s="140"/>
      <c r="AF1327" s="212"/>
      <c r="AG1327" s="196"/>
      <c r="AH1327" s="196"/>
      <c r="AI1327" s="232"/>
      <c r="AO1327" s="196"/>
      <c r="AP1327" s="189"/>
      <c r="AQ1327" s="189"/>
      <c r="AR1327" s="189"/>
      <c r="AS1327" s="189"/>
      <c r="AT1327" s="140"/>
      <c r="AU1327" s="140"/>
    </row>
    <row r="1328" spans="3:47" ht="23.25" customHeight="1" x14ac:dyDescent="0.25">
      <c r="C1328" s="140"/>
      <c r="D1328" s="140"/>
      <c r="E1328" s="196"/>
      <c r="I1328" s="140"/>
      <c r="J1328" s="140"/>
      <c r="K1328" s="140"/>
      <c r="L1328" s="140"/>
      <c r="M1328" s="140"/>
      <c r="AF1328" s="212"/>
      <c r="AG1328" s="196"/>
      <c r="AH1328" s="196"/>
      <c r="AI1328" s="232"/>
      <c r="AO1328" s="196"/>
      <c r="AP1328" s="189"/>
      <c r="AQ1328" s="189"/>
      <c r="AR1328" s="189"/>
      <c r="AS1328" s="189"/>
      <c r="AT1328" s="140"/>
      <c r="AU1328" s="140"/>
    </row>
    <row r="1329" spans="3:47" ht="23.25" customHeight="1" x14ac:dyDescent="0.25">
      <c r="C1329" s="140"/>
      <c r="D1329" s="140"/>
      <c r="E1329" s="196"/>
      <c r="I1329" s="140"/>
      <c r="J1329" s="140"/>
      <c r="K1329" s="140"/>
      <c r="L1329" s="140"/>
      <c r="M1329" s="140"/>
      <c r="AF1329" s="212"/>
      <c r="AG1329" s="196"/>
      <c r="AH1329" s="196"/>
      <c r="AI1329" s="232"/>
      <c r="AO1329" s="196"/>
      <c r="AP1329" s="189"/>
      <c r="AQ1329" s="189"/>
      <c r="AR1329" s="189"/>
      <c r="AS1329" s="189"/>
      <c r="AT1329" s="140"/>
      <c r="AU1329" s="140"/>
    </row>
    <row r="1330" spans="3:47" ht="23.25" customHeight="1" x14ac:dyDescent="0.25">
      <c r="C1330" s="140"/>
      <c r="D1330" s="140"/>
      <c r="E1330" s="196"/>
      <c r="I1330" s="140"/>
      <c r="J1330" s="140"/>
      <c r="K1330" s="140"/>
      <c r="L1330" s="140"/>
      <c r="M1330" s="140"/>
      <c r="AF1330" s="212"/>
      <c r="AG1330" s="196"/>
      <c r="AH1330" s="196"/>
      <c r="AI1330" s="232"/>
      <c r="AO1330" s="196"/>
      <c r="AP1330" s="189"/>
      <c r="AQ1330" s="189"/>
      <c r="AR1330" s="189"/>
      <c r="AS1330" s="189"/>
      <c r="AT1330" s="140"/>
      <c r="AU1330" s="140"/>
    </row>
    <row r="1331" spans="3:47" ht="23.25" customHeight="1" x14ac:dyDescent="0.25">
      <c r="C1331" s="140"/>
      <c r="D1331" s="140"/>
      <c r="E1331" s="196"/>
      <c r="I1331" s="140"/>
      <c r="J1331" s="140"/>
      <c r="K1331" s="140"/>
      <c r="L1331" s="140"/>
      <c r="M1331" s="140"/>
      <c r="AF1331" s="212"/>
      <c r="AG1331" s="196"/>
      <c r="AH1331" s="196"/>
      <c r="AI1331" s="232"/>
      <c r="AO1331" s="196"/>
      <c r="AP1331" s="189"/>
      <c r="AQ1331" s="189"/>
      <c r="AR1331" s="189"/>
      <c r="AS1331" s="189"/>
      <c r="AT1331" s="140"/>
      <c r="AU1331" s="140"/>
    </row>
    <row r="1332" spans="3:47" ht="23.25" customHeight="1" x14ac:dyDescent="0.25">
      <c r="C1332" s="140"/>
      <c r="D1332" s="140"/>
      <c r="E1332" s="196"/>
      <c r="I1332" s="140"/>
      <c r="J1332" s="140"/>
      <c r="K1332" s="140"/>
      <c r="L1332" s="140"/>
      <c r="M1332" s="140"/>
      <c r="AF1332" s="212"/>
      <c r="AG1332" s="196"/>
      <c r="AH1332" s="196"/>
      <c r="AI1332" s="232"/>
      <c r="AO1332" s="196"/>
      <c r="AP1332" s="189"/>
      <c r="AQ1332" s="189"/>
      <c r="AR1332" s="189"/>
      <c r="AS1332" s="189"/>
      <c r="AT1332" s="140"/>
      <c r="AU1332" s="140"/>
    </row>
    <row r="1333" spans="3:47" ht="23.25" customHeight="1" x14ac:dyDescent="0.25">
      <c r="C1333" s="140"/>
      <c r="D1333" s="140"/>
      <c r="E1333" s="196"/>
      <c r="I1333" s="140"/>
      <c r="J1333" s="140"/>
      <c r="K1333" s="140"/>
      <c r="L1333" s="140"/>
      <c r="M1333" s="140"/>
      <c r="AF1333" s="212"/>
      <c r="AG1333" s="196"/>
      <c r="AH1333" s="196"/>
      <c r="AI1333" s="232"/>
      <c r="AO1333" s="196"/>
      <c r="AP1333" s="189"/>
      <c r="AQ1333" s="189"/>
      <c r="AR1333" s="189"/>
      <c r="AS1333" s="189"/>
      <c r="AT1333" s="140"/>
      <c r="AU1333" s="140"/>
    </row>
    <row r="1334" spans="3:47" ht="23.25" customHeight="1" x14ac:dyDescent="0.25">
      <c r="C1334" s="140"/>
      <c r="D1334" s="140"/>
      <c r="E1334" s="196"/>
      <c r="I1334" s="140"/>
      <c r="J1334" s="140"/>
      <c r="K1334" s="140"/>
      <c r="L1334" s="140"/>
      <c r="M1334" s="140"/>
      <c r="AF1334" s="212"/>
      <c r="AG1334" s="196"/>
      <c r="AH1334" s="196"/>
      <c r="AI1334" s="232"/>
      <c r="AO1334" s="196"/>
      <c r="AP1334" s="189"/>
      <c r="AQ1334" s="189"/>
      <c r="AR1334" s="189"/>
      <c r="AS1334" s="189"/>
      <c r="AT1334" s="140"/>
      <c r="AU1334" s="140"/>
    </row>
    <row r="1335" spans="3:47" ht="23.25" customHeight="1" x14ac:dyDescent="0.25">
      <c r="C1335" s="140"/>
      <c r="D1335" s="140"/>
      <c r="E1335" s="196"/>
      <c r="I1335" s="140"/>
      <c r="J1335" s="140"/>
      <c r="K1335" s="140"/>
      <c r="L1335" s="140"/>
      <c r="M1335" s="140"/>
      <c r="AF1335" s="212"/>
      <c r="AG1335" s="196"/>
      <c r="AH1335" s="196"/>
      <c r="AI1335" s="232"/>
      <c r="AO1335" s="196"/>
      <c r="AP1335" s="189"/>
      <c r="AQ1335" s="189"/>
      <c r="AR1335" s="189"/>
      <c r="AS1335" s="189"/>
      <c r="AT1335" s="140"/>
      <c r="AU1335" s="140"/>
    </row>
    <row r="1336" spans="3:47" ht="23.25" customHeight="1" x14ac:dyDescent="0.25">
      <c r="C1336" s="140"/>
      <c r="D1336" s="140"/>
      <c r="E1336" s="196"/>
      <c r="I1336" s="140"/>
      <c r="J1336" s="140"/>
      <c r="K1336" s="140"/>
      <c r="L1336" s="140"/>
      <c r="M1336" s="140"/>
      <c r="AF1336" s="212"/>
      <c r="AG1336" s="196"/>
      <c r="AH1336" s="196"/>
      <c r="AI1336" s="232"/>
      <c r="AO1336" s="196"/>
      <c r="AP1336" s="189"/>
      <c r="AQ1336" s="189"/>
      <c r="AR1336" s="189"/>
      <c r="AS1336" s="189"/>
      <c r="AT1336" s="140"/>
      <c r="AU1336" s="140"/>
    </row>
    <row r="1395" spans="2:63" ht="21" customHeight="1" x14ac:dyDescent="0.25">
      <c r="B1395" s="233" t="s">
        <v>25</v>
      </c>
      <c r="C1395" s="233" t="s">
        <v>16</v>
      </c>
      <c r="D1395" s="234" t="s">
        <v>18</v>
      </c>
      <c r="E1395" s="235"/>
      <c r="F1395" s="235"/>
      <c r="G1395" s="235"/>
      <c r="H1395" s="235"/>
      <c r="I1395" s="236"/>
      <c r="J1395" s="233" t="s">
        <v>21</v>
      </c>
      <c r="K1395" s="233" t="s">
        <v>23</v>
      </c>
      <c r="O1395" s="237" t="s">
        <v>48</v>
      </c>
      <c r="P1395" s="238">
        <v>201</v>
      </c>
      <c r="Q1395" s="238" t="s">
        <v>32</v>
      </c>
      <c r="R1395" s="238" t="s">
        <v>33</v>
      </c>
      <c r="S1395" s="239" t="s">
        <v>34</v>
      </c>
      <c r="T1395" s="239" t="s">
        <v>35</v>
      </c>
      <c r="U1395" s="240" t="s">
        <v>36</v>
      </c>
      <c r="V1395" s="240" t="s">
        <v>37</v>
      </c>
      <c r="W1395" s="240">
        <v>430</v>
      </c>
      <c r="X1395" s="240" t="s">
        <v>3775</v>
      </c>
      <c r="Y1395" s="240">
        <v>410</v>
      </c>
      <c r="Z1395" s="240">
        <v>301</v>
      </c>
      <c r="AA1395" s="241" t="s">
        <v>39</v>
      </c>
      <c r="AB1395" s="140"/>
      <c r="AC1395" s="150" t="s">
        <v>3776</v>
      </c>
      <c r="AD1395" s="140"/>
      <c r="AE1395" s="140"/>
      <c r="AK1395" s="242" t="s">
        <v>3777</v>
      </c>
      <c r="AL1395"/>
      <c r="AM1395"/>
      <c r="AN1395"/>
      <c r="AO1395"/>
      <c r="AP1395"/>
      <c r="AQ1395" s="140"/>
      <c r="AR1395" s="140"/>
      <c r="AS1395" s="140"/>
      <c r="AT1395" s="140"/>
      <c r="AU1395" s="140"/>
      <c r="BF1395" s="141"/>
      <c r="BK1395" s="140"/>
    </row>
    <row r="1396" spans="2:63" ht="21" customHeight="1" x14ac:dyDescent="0.25">
      <c r="B1396" s="243"/>
      <c r="C1396" s="243"/>
      <c r="D1396" s="244" t="s">
        <v>41</v>
      </c>
      <c r="E1396" s="244" t="s">
        <v>42</v>
      </c>
      <c r="F1396" s="245" t="s">
        <v>43</v>
      </c>
      <c r="G1396" s="244" t="s">
        <v>44</v>
      </c>
      <c r="H1396" s="244" t="s">
        <v>3778</v>
      </c>
      <c r="I1396" s="244" t="s">
        <v>3779</v>
      </c>
      <c r="J1396" s="243"/>
      <c r="K1396" s="243"/>
      <c r="O1396" s="246" t="s">
        <v>49</v>
      </c>
      <c r="P1396" s="247" t="str">
        <f>IF(P1407=0,"",P1407)</f>
        <v/>
      </c>
      <c r="Q1396" s="247" t="str">
        <f>IF(P1408=0,"",P1408)</f>
        <v/>
      </c>
      <c r="R1396" s="247">
        <f>IF(P1409=0,"",P1409)</f>
        <v>49.287999999999997</v>
      </c>
      <c r="S1396" s="247">
        <f>IF(SUM(P1410:P1411)=0,"",SUM((P1410:P1411)))</f>
        <v>2776.1620000000003</v>
      </c>
      <c r="T1396" s="247">
        <f>IF(P1412=0,"",P1412)</f>
        <v>24.55</v>
      </c>
      <c r="U1396" s="247">
        <f>IF(SUM(P1413:P1415)=0,"",SUM(P1413:P1415))</f>
        <v>6062.25</v>
      </c>
      <c r="V1396" s="247">
        <f>IF(SUM(P1416:P1417)=0,"",SUM(P1416:P1417))</f>
        <v>113.99</v>
      </c>
      <c r="W1396" s="247">
        <f>IF(P1418=0,"",P1418)</f>
        <v>20.887999999999998</v>
      </c>
      <c r="X1396" s="247" t="str">
        <f>IF(P1419=0,"",P1419)</f>
        <v/>
      </c>
      <c r="Y1396" s="247" t="str">
        <f>IF(P1420=0,"",P1420)</f>
        <v/>
      </c>
      <c r="Z1396" s="247" t="str">
        <f>IF(P1421=0,"",P1421)</f>
        <v/>
      </c>
      <c r="AA1396" s="248">
        <f>SUM(P1396:Z1396)</f>
        <v>9047.1280000000006</v>
      </c>
      <c r="AB1396" s="140"/>
      <c r="AC1396" s="249" t="s">
        <v>78</v>
      </c>
      <c r="AD1396" s="250" t="s">
        <v>79</v>
      </c>
      <c r="AE1396" s="251" t="s">
        <v>3780</v>
      </c>
      <c r="AF1396" s="252"/>
      <c r="AG1396" s="252"/>
      <c r="AH1396" s="252"/>
      <c r="AI1396" s="253"/>
      <c r="AK1396" s="249" t="s">
        <v>78</v>
      </c>
      <c r="AL1396" s="251" t="s">
        <v>3780</v>
      </c>
      <c r="AM1396" s="252"/>
      <c r="AN1396" s="252"/>
      <c r="AO1396" s="253"/>
      <c r="AP1396" s="254" t="s">
        <v>39</v>
      </c>
      <c r="AQ1396" s="140"/>
      <c r="AR1396" s="140"/>
      <c r="AS1396" s="140"/>
      <c r="AT1396" s="140"/>
      <c r="AU1396" s="140"/>
      <c r="BF1396" s="141"/>
      <c r="BK1396" s="140"/>
    </row>
    <row r="1397" spans="2:63" ht="21" customHeight="1" x14ac:dyDescent="0.25">
      <c r="B1397" s="246">
        <v>201</v>
      </c>
      <c r="C1397" s="247" t="str">
        <f t="shared" ref="C1397:J1399" si="26">IF(C1414=0,"",C1414)</f>
        <v/>
      </c>
      <c r="D1397" s="247" t="str">
        <f t="shared" si="26"/>
        <v/>
      </c>
      <c r="E1397" s="247" t="str">
        <f t="shared" si="26"/>
        <v/>
      </c>
      <c r="F1397" s="247" t="str">
        <f t="shared" si="26"/>
        <v/>
      </c>
      <c r="G1397" s="247" t="str">
        <f t="shared" si="26"/>
        <v/>
      </c>
      <c r="H1397" s="247" t="str">
        <f t="shared" si="26"/>
        <v/>
      </c>
      <c r="I1397" s="247" t="str">
        <f t="shared" si="26"/>
        <v/>
      </c>
      <c r="J1397" s="247" t="str">
        <f t="shared" si="26"/>
        <v/>
      </c>
      <c r="K1397" s="255" t="str">
        <f t="shared" ref="K1397:K1407" si="27">IF(SUM(C1397:J1397)=0,"",SUM(C1397:J1397))</f>
        <v/>
      </c>
      <c r="O1397" s="246" t="s">
        <v>50</v>
      </c>
      <c r="P1397" s="247" t="str">
        <f>IF(Q1407=0,"",Q1407)</f>
        <v/>
      </c>
      <c r="Q1397" s="247" t="str">
        <f>IF(Q1408=0,"",Q1408)</f>
        <v/>
      </c>
      <c r="R1397" s="247" t="str">
        <f>IF(Q1409=0,"",Q1409)</f>
        <v/>
      </c>
      <c r="S1397" s="247" t="str">
        <f>IF(SUM(Q1410:Q1411)=0,"",SUM(Q1410:Q1411))</f>
        <v/>
      </c>
      <c r="T1397" s="247" t="str">
        <f>IF(Q1412=0,"",Q1412)</f>
        <v/>
      </c>
      <c r="U1397" s="256" t="str">
        <f>IF(SUM(Q1413:Q1415)=0,"",SUM(Q1413:Q1415))</f>
        <v/>
      </c>
      <c r="V1397" s="247" t="str">
        <f>IF(SUM(Q1416:Q1417)=0,"",SUM(Q1416:Q1417))</f>
        <v/>
      </c>
      <c r="W1397" s="247" t="str">
        <f>IF(Q1418=0,"",Q1418)</f>
        <v/>
      </c>
      <c r="X1397" s="247" t="str">
        <f>IF(Q1419=0,"",Q1419)</f>
        <v/>
      </c>
      <c r="Y1397" s="247" t="str">
        <f>IF(Q1420=0,"",Q1420)</f>
        <v/>
      </c>
      <c r="Z1397" s="247" t="str">
        <f>IF(Q1421=0,"",Q1421)</f>
        <v/>
      </c>
      <c r="AA1397" s="248">
        <f>SUM(P1397:Z1397)</f>
        <v>0</v>
      </c>
      <c r="AB1397" s="140"/>
      <c r="AC1397" s="257"/>
      <c r="AD1397" s="258" t="s">
        <v>3781</v>
      </c>
      <c r="AE1397" s="259" t="s">
        <v>3782</v>
      </c>
      <c r="AF1397" s="259" t="s">
        <v>3783</v>
      </c>
      <c r="AG1397" s="259" t="s">
        <v>3784</v>
      </c>
      <c r="AH1397" s="259" t="s">
        <v>3785</v>
      </c>
      <c r="AI1397" s="260" t="s">
        <v>39</v>
      </c>
      <c r="AJ1397" s="143"/>
      <c r="AK1397" s="257"/>
      <c r="AL1397" s="261" t="s">
        <v>3782</v>
      </c>
      <c r="AM1397" s="261" t="s">
        <v>3783</v>
      </c>
      <c r="AN1397" s="261" t="s">
        <v>3784</v>
      </c>
      <c r="AO1397" s="261" t="s">
        <v>3786</v>
      </c>
      <c r="AP1397" s="262"/>
      <c r="AQ1397" s="140"/>
      <c r="AR1397" s="140"/>
      <c r="AS1397" s="140"/>
      <c r="AT1397" s="140"/>
      <c r="AU1397" s="140"/>
      <c r="BF1397" s="141"/>
      <c r="BK1397" s="140"/>
    </row>
    <row r="1398" spans="2:63" ht="21" customHeight="1" x14ac:dyDescent="0.25">
      <c r="B1398" s="246" t="s">
        <v>32</v>
      </c>
      <c r="C1398" s="247" t="str">
        <f t="shared" si="26"/>
        <v/>
      </c>
      <c r="D1398" s="247" t="str">
        <f t="shared" si="26"/>
        <v/>
      </c>
      <c r="E1398" s="247" t="str">
        <f t="shared" si="26"/>
        <v/>
      </c>
      <c r="F1398" s="247" t="str">
        <f t="shared" si="26"/>
        <v/>
      </c>
      <c r="G1398" s="247" t="str">
        <f t="shared" si="26"/>
        <v/>
      </c>
      <c r="H1398" s="247">
        <f t="shared" si="26"/>
        <v>7.3149999999999995</v>
      </c>
      <c r="I1398" s="247" t="str">
        <f t="shared" si="26"/>
        <v/>
      </c>
      <c r="J1398" s="247" t="str">
        <f t="shared" si="26"/>
        <v/>
      </c>
      <c r="K1398" s="255">
        <f t="shared" si="27"/>
        <v>7.3149999999999995</v>
      </c>
      <c r="O1398" s="246" t="s">
        <v>51</v>
      </c>
      <c r="P1398" s="247" t="str">
        <f>IF(R1407=0,"",R1407)</f>
        <v/>
      </c>
      <c r="Q1398" s="247" t="str">
        <f>IF(R1408=0,"",R1408)</f>
        <v/>
      </c>
      <c r="R1398" s="247" t="str">
        <f>IF(R1409=0,"",R1409)</f>
        <v/>
      </c>
      <c r="S1398" s="247">
        <f>IF(SUM(R1410:R1411)=0,"",SUM(R1410:R1411))</f>
        <v>319.68500000000006</v>
      </c>
      <c r="T1398" s="247" t="str">
        <f>IF(R1412=0,"",R1412)</f>
        <v/>
      </c>
      <c r="U1398" s="247" t="str">
        <f>IF(SUM(R1413:R1415)=0,"",SUM(R1413:R1415))</f>
        <v/>
      </c>
      <c r="V1398" s="247" t="str">
        <f>IF(SUM(R1416+R1417)=0,"",SUM(R1416+R1417))</f>
        <v/>
      </c>
      <c r="W1398" s="247" t="str">
        <f>IF(R1418=0,"",R1418)</f>
        <v/>
      </c>
      <c r="X1398" s="247" t="str">
        <f>IF(R1419=0,"",R1419)</f>
        <v/>
      </c>
      <c r="Y1398" s="247">
        <f>IF(R1420=0,"",R1420)</f>
        <v>8.4570000000000007</v>
      </c>
      <c r="Z1398" s="247" t="str">
        <f>IF(R1421=0,"",R1421)</f>
        <v/>
      </c>
      <c r="AA1398" s="248">
        <f>SUM(P1398:Z1398)</f>
        <v>328.14200000000005</v>
      </c>
      <c r="AB1398" s="140"/>
      <c r="AC1398" s="263"/>
      <c r="AD1398" s="264" t="s">
        <v>70</v>
      </c>
      <c r="AE1398" s="265">
        <f>SUM(SUMIFS($N:$N,$C:$C,"RM",$G:$G,$AC$1399,$H:$H,$AD1398,$AL:$AL,"&lt;=30")+SUMIFS($N:$N,$C:$C,"RM BAL",$G:$G,$AC$1399,$H:$H,$AD1398,$AL:$AL,"&lt;=30")+SUMIFS($N:$N,$C:$C,"MILL",$G:$G,$AC$1399,$H:$H,$AD1398,$AL:$AL,"&lt;=30")+SUMIFS($N:$N,$C:$C,"RM SLT RUST",$G:$G,$AC$1399,$H:$H,$AD1398,$AL:$AL,"&lt;=30")+SUMIFS($N:$N,$C:$C,"RM SLT DENT",$G:$G,$AC$1399,$H:$H,$AD1398,$AL:$AL,"&lt;=30")+SUMIFS($N:$N,$C:$C,"RM SLT",$G:$G,$AC$1399,$H:$H,$AD1398,$AL:$AL,"&lt;=30"))</f>
        <v>0</v>
      </c>
      <c r="AF1398" s="265">
        <f>SUM(SUMIFS($N:$N,$C:$C,"RM",$G:$G,$AC$1399,$H:$H,$AD1398,$AL:$AL,"&lt;=60")+SUMIFS($N:$N,$C:$C,"RM BAL",$G:$G,$AC$1399,$H:$H,$AD1398,$AL:$AL,"&lt;=60")+SUMIFS($N:$N,$C:$C,"MILL",$G:$G,$AC$1399,$H:$H,$AD1398,$AL:$AL,"&lt;=60")+SUMIFS($N:$N,$C:$C,"RM SLT RUST",$G:$G,$AC$1399,$H:$H,$AD1398,$AL:$AL,"&lt;=60")+SUMIFS($N:$N,$C:$C,"RM SLT DENT",$G:$G,$AC$1399,$H:$H,$AD1398,$AL:$AL,"&lt;=60")+SUMIFS($N:$N,$C:$C,"RM SLT",$G:$G,$AC$1399,$H:$H,$AD1398,$AL:$AL,"&lt;=60"))-AE1398</f>
        <v>0</v>
      </c>
      <c r="AG1398" s="265">
        <f>SUM(SUMIFS($N:$N,$C:$C,"RM",$G:$G,$AC$1399,$H:$H,$AD1398,$AL:$AL,"&lt;=90")+SUMIFS($N:$N,$C:$C,"RM BAL",$G:$G,$AC$1399,$H:$H,$AD1398,$AL:$AL,"&lt;=90")+SUMIFS($N:$N,$C:$C,"MILL",$G:$G,$AC$1399,$H:$H,$AD1398,$AL:$AL,"&lt;=90")+SUMIFS($N:$N,$C:$C,"RM SLT RUST",$G:$G,$AC$1399,$H:$H,$AD1398,$AL:$AL,"&lt;=90")+SUMIFS($N:$N,$C:$C,"RM SLT DENT",$G:$G,$AC$1399,$H:$H,$AD1398,$AL:$AL,"&lt;=90")+SUMIFS($N:$N,$C:$C,"RM SLT",$G:$G,$AC$1399,$H:$H,$AD1398,$AL:$AL,"&lt;=90"))-AF1398-AE1398</f>
        <v>0</v>
      </c>
      <c r="AH1398" s="265">
        <f>SUM(SUMIFS($N:$N,$C:$C,"RM",$G:$G,$AC$1399,$H:$H,$AD1398,$AL:$AL,"&gt;=91")+SUMIFS($N:$N,$C:$C,"RM BAL",$G:$G,$AC$1399,$H:$H,$AD1398,$AL:$AL,"&gt;=91")+SUMIFS($N:$N,$C:$C,"MILL",$G:$G,$AC$1399,$H:$H,$AD1398,$AL:$AL,"&gt;=91")+SUMIFS($N:$N,$C:$C,"RM SLT RUST",$G:$G,$AC$1399,$H:$H,$AD1398,$AL:$AL,"&gt;=91")+SUMIFS($N:$N,$C:$C,"RM SLT DENT",$G:$G,$AC$1399,$H:$H,$AD1398,$AL:$AL,"&gt;=91")+SUMIFS($N:$N,$C:$C,"RM SLT",$G:$G,$AC$1399,$H:$H,$AD1398,$AL:$AL,"&gt;=91"))</f>
        <v>0</v>
      </c>
      <c r="AI1398" s="266">
        <f>SUM(AE1398:AH1398)</f>
        <v>0</v>
      </c>
      <c r="AJ1398" s="143"/>
      <c r="AK1398" s="267">
        <v>201</v>
      </c>
      <c r="AL1398" s="265">
        <f>SUMIFS($N:$N,$C:$C,"BAL",$D:$D,"BAL",$G:$G,$AK1398,$AT:$AT,"&lt;=30")</f>
        <v>0</v>
      </c>
      <c r="AM1398" s="265">
        <f>SUMIFS($N:$N,$C:$C,"BAL",$D:$D,"BAL",$G:$G,$AK1398,$AT:$AT,"&lt;=60")-AL1398</f>
        <v>0</v>
      </c>
      <c r="AN1398" s="265">
        <f>SUMIFS($N:$N,$C:$C,"BAL",$D:$D,"BAL",$G:$G,$AK1398,$AT:$AT,"&lt;=90")-AM1398-AL1398</f>
        <v>0</v>
      </c>
      <c r="AO1398" s="265">
        <f>SUMIFS($N:$N,$C:$C,"BAL",$D:$D,"BAL",$G:$G,$AK1398,$AT:$AT,"&gt;=91")</f>
        <v>0</v>
      </c>
      <c r="AP1398" s="266">
        <f>SUM(AL1398:AO1398)</f>
        <v>0</v>
      </c>
      <c r="AQ1398" s="140"/>
      <c r="AR1398" s="140"/>
      <c r="AS1398" s="140"/>
      <c r="AT1398" s="140"/>
      <c r="AU1398" s="140"/>
      <c r="BF1398" s="141"/>
      <c r="BK1398" s="140"/>
    </row>
    <row r="1399" spans="2:63" ht="21" customHeight="1" x14ac:dyDescent="0.25">
      <c r="B1399" s="246" t="s">
        <v>33</v>
      </c>
      <c r="C1399" s="247" t="str">
        <f t="shared" si="26"/>
        <v/>
      </c>
      <c r="D1399" s="247" t="str">
        <f t="shared" si="26"/>
        <v/>
      </c>
      <c r="E1399" s="247" t="str">
        <f t="shared" si="26"/>
        <v/>
      </c>
      <c r="F1399" s="247" t="str">
        <f t="shared" si="26"/>
        <v/>
      </c>
      <c r="G1399" s="247" t="str">
        <f t="shared" si="26"/>
        <v/>
      </c>
      <c r="H1399" s="247">
        <f t="shared" si="26"/>
        <v>10.01</v>
      </c>
      <c r="I1399" s="247" t="str">
        <f t="shared" si="26"/>
        <v/>
      </c>
      <c r="J1399" s="247" t="str">
        <f t="shared" si="26"/>
        <v/>
      </c>
      <c r="K1399" s="255">
        <f t="shared" si="27"/>
        <v>10.01</v>
      </c>
      <c r="O1399" s="246" t="s">
        <v>3787</v>
      </c>
      <c r="P1399" s="247" t="str">
        <f>IF(S1407=0,"",S1407)</f>
        <v/>
      </c>
      <c r="Q1399" s="247" t="str">
        <f>IF(S1408=0,"",S1408)</f>
        <v/>
      </c>
      <c r="R1399" s="247" t="str">
        <f>IF(S1409=0,"",S1409)</f>
        <v/>
      </c>
      <c r="S1399" s="247">
        <f>IF(SUM(S1410:S1411)=0,"",SUM(S1410:S1411))</f>
        <v>35.683999999999997</v>
      </c>
      <c r="T1399" s="247" t="str">
        <f>IF(S1412=0,"",S1412)</f>
        <v/>
      </c>
      <c r="U1399" s="247" t="str">
        <f>IF(SUM(S1413:S1415)=0,"",SUM(S1413:S1415))</f>
        <v/>
      </c>
      <c r="V1399" s="247" t="str">
        <f>IF(SUM(S1416+S1417)=0,"",SUM(S1416+S1417))</f>
        <v/>
      </c>
      <c r="W1399" s="247" t="str">
        <f>IF(S1418=0,"",S1418)</f>
        <v/>
      </c>
      <c r="X1399" s="247" t="str">
        <f>IF(S1419=0,"",S1419)</f>
        <v/>
      </c>
      <c r="Y1399" s="247" t="str">
        <f>IF(S1420=0,"",S1420)</f>
        <v/>
      </c>
      <c r="Z1399" s="247" t="str">
        <f>IF(S1421=0,"",S1421)</f>
        <v/>
      </c>
      <c r="AA1399" s="248">
        <f>SUM(P1399:Z1399)</f>
        <v>35.683999999999997</v>
      </c>
      <c r="AB1399" s="140"/>
      <c r="AC1399" s="268">
        <v>201</v>
      </c>
      <c r="AD1399" s="173" t="s">
        <v>127</v>
      </c>
      <c r="AE1399" s="265">
        <f>SUM(SUMIFS($N:$N,$C:$C,"RM",$G:$G,$AC$1399,$H:$H,$AD1399,$AL:$AL,"&lt;=30")+SUMIFS($N:$N,$C:$C,"RM BAL",$G:$G,$AC$1399,$H:$H,$AD1399,$AL:$AL,"&lt;=30")+SUMIFS($N:$N,$C:$C,"MILL",$G:$G,$AC$1399,$H:$H,$AD1399,$AL:$AL,"&lt;=30")+SUMIFS($N:$N,$C:$C,"RM SLT RUST",$G:$G,$AC$1399,$H:$H,$AD1399,$AL:$AL,"&lt;=30")+SUMIFS($N:$N,$C:$C,"RM SLT DENT",$G:$G,$AC$1399,$H:$H,$AD1399,$AL:$AL,"&lt;=30")+SUMIFS($N:$N,$C:$C,"RM SLT",$G:$G,$AC$1399,$H:$H,$AD1399,$AL:$AL,"&lt;=30"))</f>
        <v>0</v>
      </c>
      <c r="AF1399" s="265">
        <f>SUM(SUMIFS($N:$N,$C:$C,"RM",$G:$G,$AC$1399,$H:$H,$AD1399,$AL:$AL,"&lt;=60")+SUMIFS($N:$N,$C:$C,"RM BAL",$G:$G,$AC$1399,$H:$H,$AD1399,$AL:$AL,"&lt;=60")+SUMIFS($N:$N,$C:$C,"MILL",$G:$G,$AC$1399,$H:$H,$AD1399,$AL:$AL,"&lt;=60")+SUMIFS($N:$N,$C:$C,"RM SLT RUST",$G:$G,$AC$1399,$H:$H,$AD1399,$AL:$AL,"&lt;=60")+SUMIFS($N:$N,$C:$C,"RM SLT DENT",$G:$G,$AC$1399,$H:$H,$AD1399,$AL:$AL,"&lt;=60")+SUMIFS($N:$N,$C:$C,"RM SLT",$G:$G,$AC$1399,$H:$H,$AD1399,$AL:$AL,"&lt;=60"))-AE1399</f>
        <v>0</v>
      </c>
      <c r="AG1399" s="265">
        <f>SUM(SUMIFS($N:$N,$C:$C,"RM",$G:$G,$AC$1399,$H:$H,$AD1399,$AL:$AL,"&lt;=90")+SUMIFS($N:$N,$C:$C,"RM BAL",$G:$G,$AC$1399,$H:$H,$AD1399,$AL:$AL,"&lt;=90")+SUMIFS($N:$N,$C:$C,"MILL",$G:$G,$AC$1399,$H:$H,$AD1399,$AL:$AL,"&lt;=90")+SUMIFS($N:$N,$C:$C,"RM SLT RUST",$G:$G,$AC$1399,$H:$H,$AD1399,$AL:$AL,"&lt;=90")+SUMIFS($N:$N,$C:$C,"RM SLT DENT",$G:$G,$AC$1399,$H:$H,$AD1399,$AL:$AL,"&lt;=90")+SUMIFS($N:$N,$C:$C,"RM SLT",$G:$G,$AC$1399,$H:$H,$AD1399,$AL:$AL,"&lt;=90"))-AF1399-AE1399</f>
        <v>0</v>
      </c>
      <c r="AH1399" s="265">
        <f>SUM(SUMIFS($N:$N,$C:$C,"RM",$G:$G,$AC$1399,$H:$H,$AD1399,$AL:$AL,"&gt;=91")+SUMIFS($N:$N,$C:$C,"RM BAL",$G:$G,$AC$1399,$H:$H,$AD1399,$AL:$AL,"&gt;=91")+SUMIFS($N:$N,$C:$C,"MILL",$G:$G,$AC$1399,$H:$H,$AD1399,$AL:$AL,"&gt;=91")+SUMIFS($N:$N,$C:$C,"RM SLT RUST",$G:$G,$AC$1399,$H:$H,$AD1399,$AL:$AL,"&gt;=91")+SUMIFS($N:$N,$C:$C,"RM SLT DENT",$G:$G,$AC$1399,$H:$H,$AD1399,$AL:$AL,"&gt;=91")+SUMIFS($N:$N,$C:$C,"RM SLT",$G:$G,$AC$1399,$H:$H,$AD1399,$AL:$AL,"&gt;=91"))</f>
        <v>0</v>
      </c>
      <c r="AI1399" s="266">
        <f>SUM(AE1399:AH1399)</f>
        <v>0</v>
      </c>
      <c r="AJ1399" s="143"/>
      <c r="AK1399" s="269" t="s">
        <v>32</v>
      </c>
      <c r="AL1399" s="265">
        <f>SUMIFS($N:$N,$C:$C,"BAL",$D:$D,"BAL",$G:$G,$AK1399,$AT:$AT,"&lt;=30")</f>
        <v>0</v>
      </c>
      <c r="AM1399" s="265">
        <f>SUMIFS($N:$N,$C:$C,"BAL",$D:$D,"BAL",$G:$G,$AK1399,$AT:$AT,"&lt;=60")-AL1399</f>
        <v>0</v>
      </c>
      <c r="AN1399" s="265">
        <f>SUMIFS($N:$N,$C:$C,"BAL",$D:$D,"BAL",$G:$G,$AK1399,$AT:$AT,"&lt;=90")-AM1399-AL1399</f>
        <v>0</v>
      </c>
      <c r="AO1399" s="265">
        <f>SUMIFS($N:$N,$C:$C,"BAL",$D:$D,"BAL",$G:$G,$AK1399,$AT:$AT,"&gt;=91")</f>
        <v>0</v>
      </c>
      <c r="AP1399" s="266">
        <f>SUM(AL1399:AO1399)</f>
        <v>0</v>
      </c>
      <c r="AQ1399" s="140"/>
      <c r="AR1399" s="140"/>
      <c r="AS1399" s="140"/>
      <c r="AT1399" s="140"/>
      <c r="AU1399" s="140"/>
      <c r="BF1399" s="141"/>
      <c r="BK1399" s="140"/>
    </row>
    <row r="1400" spans="2:63" ht="21" customHeight="1" x14ac:dyDescent="0.25">
      <c r="B1400" s="246" t="s">
        <v>34</v>
      </c>
      <c r="C1400" s="247">
        <f t="shared" ref="C1400:J1400" si="28">IF(SUM(C1417:C1418)=0,"",SUM(C1417:C1418))</f>
        <v>439.21</v>
      </c>
      <c r="D1400" s="247">
        <f t="shared" si="28"/>
        <v>40.29</v>
      </c>
      <c r="E1400" s="247">
        <f t="shared" si="28"/>
        <v>12.574999999999999</v>
      </c>
      <c r="F1400" s="247" t="str">
        <f t="shared" si="28"/>
        <v/>
      </c>
      <c r="G1400" s="247">
        <f t="shared" si="28"/>
        <v>21.265000000000001</v>
      </c>
      <c r="H1400" s="247">
        <f t="shared" si="28"/>
        <v>43.535000000000004</v>
      </c>
      <c r="I1400" s="247" t="str">
        <f t="shared" si="28"/>
        <v/>
      </c>
      <c r="J1400" s="247" t="str">
        <f t="shared" si="28"/>
        <v/>
      </c>
      <c r="K1400" s="255">
        <f t="shared" si="27"/>
        <v>556.875</v>
      </c>
      <c r="O1400" s="241" t="s">
        <v>39</v>
      </c>
      <c r="P1400" s="255">
        <f>SUM(P1396:P1398)</f>
        <v>0</v>
      </c>
      <c r="Q1400" s="255">
        <f>SUM(Q1396:Q1398)</f>
        <v>0</v>
      </c>
      <c r="R1400" s="255">
        <f t="shared" ref="R1400:Z1400" si="29">SUM(R1396:R1399)</f>
        <v>49.287999999999997</v>
      </c>
      <c r="S1400" s="255">
        <f t="shared" si="29"/>
        <v>3131.5310000000004</v>
      </c>
      <c r="T1400" s="255">
        <f t="shared" si="29"/>
        <v>24.55</v>
      </c>
      <c r="U1400" s="255">
        <f t="shared" si="29"/>
        <v>6062.25</v>
      </c>
      <c r="V1400" s="255">
        <f t="shared" si="29"/>
        <v>113.99</v>
      </c>
      <c r="W1400" s="255">
        <f t="shared" si="29"/>
        <v>20.887999999999998</v>
      </c>
      <c r="X1400" s="255">
        <f t="shared" si="29"/>
        <v>0</v>
      </c>
      <c r="Y1400" s="255">
        <f t="shared" si="29"/>
        <v>8.4570000000000007</v>
      </c>
      <c r="Z1400" s="255">
        <f t="shared" si="29"/>
        <v>0</v>
      </c>
      <c r="AA1400" s="270"/>
      <c r="AB1400" s="140"/>
      <c r="AC1400" s="140"/>
      <c r="AD1400" s="271"/>
      <c r="AE1400" s="272" t="s">
        <v>51</v>
      </c>
      <c r="AF1400" s="265">
        <f>SUM(SUMIFS($N:$N,$C:$C,"RM",$G:$G,$AC$1399,$H:$H,"2B",$AL:$AL,"&lt;=30")+SUMIFS($N:$N,$C:$C,"RM BAL",$G:$G,$AC$1399,$H:$H,"2B",$AL:$AL,"&lt;=30")+SUMIFS($N:$N,$C:$C,"MILL",$G:$G,$AC$1399,$H:$H,"2B",$AL:$AL,"&lt;=30")+SUMIFS($N:$N,$C:$C,"RM SLT RUST",$G:$G,$AC$1399,$H:$H,"2B",$AL:$AL,"&lt;=30")+SUMIFS($N:$N,$C:$C,"RM SLT DENT",$G:$G,$AC$1399,$H:$H,"2B",$AL:$AL,"&lt;=30")+SUMIFS($N:$N,$C:$C,"RM SLT",$G:$G,$AC$1399,$H:$H,"2B",$AL:$AL,"&lt;=30")+SUMIFS($N:$N,$C:$C,"RM SLT",$G:$G,$AC$1399,$H:$H,"BA",$AL:$AL,"&lt;=30")+SUMIFS($N:$N,$C:$C,"RM SLT",$G:$G,$AC$1399,$H:$H,"2D",$AL:$AL,"&lt;=30"))</f>
        <v>0</v>
      </c>
      <c r="AG1400" s="265">
        <f>SUM(SUMIFS($N:$N,$C:$C,"RM",$G:$G,$AC$1399,$H:$H,"2B",$AL:$AL,"&lt;=60")+SUMIFS($N:$N,$C:$C,"RM BAL",$G:$G,$AC$1399,$H:$H,"2B",$AL:$AL,"&lt;=60")+SUMIFS($N:$N,$C:$C,"MILL",$G:$G,$AC$1399,$H:$H,"2B",$AL:$AL,"&lt;=60")+SUMIFS($N:$N,$C:$C,"RM SLT RUST",$G:$G,$AC$1399,$H:$H,"2B",$AL:$AL,"&lt;=60")+SUMIFS($N:$N,$C:$C,"RM SLT DENT",$G:$G,$AC$1399,$H:$H,"2B",$AL:$AL,"&lt;=60")+SUMIFS($N:$N,$C:$C,"RM SLT",$G:$G,$AC$1399,$H:$H,"2B",$AL:$AL,"&lt;=60")+SUMIFS($N:$N,$C:$C,"RM SLT",$G:$G,$AC$1399,$H:$H,"BA",$AL:$AL,"&lt;=60")+SUMIFS($N:$N,$C:$C,"RM SLT",$G:$G,$AC$1399,$H:$H,"2D",$AL:$AL,"&lt;=60"))-AF1400</f>
        <v>0</v>
      </c>
      <c r="AH1400" s="265">
        <f>SUM(SUMIFS($N:$N,$C:$C,"RM",$G:$G,$AC$1399,$H:$H,"2B",$AL:$AL,"&lt;=90")+SUMIFS($N:$N,$C:$C,"RM BAL",$G:$G,$AC$1399,$H:$H,"2B",$AL:$AL,"&lt;=90")+SUMIFS($N:$N,$C:$C,"MILL",$G:$G,$AC$1399,$H:$H,"2B",$AL:$AL,"&lt;=90")+SUMIFS($N:$N,$C:$C,"RM SLT RUST",$G:$G,$AC$1399,$H:$H,"2B",$AL:$AL,"&lt;=90")+SUMIFS($N:$N,$C:$C,"RM SLT DENT",$G:$G,$AC$1399,$H:$H,"2B",$AL:$AL,"&lt;=90")+SUMIFS($N:$N,$C:$C,"RM SLT",$G:$G,$AC$1399,$H:$H,"2B",$AL:$AL,"&lt;=90")+SUMIFS($N:$N,$C:$C,"RM SLT",$G:$G,$AC$1399,$H:$H,"BA",$AL:$AL,"&lt;=90")+SUMIFS($N:$N,$C:$C,"RM SLT",$G:$G,$AC$1399,$H:$H,"2D",$AL:$AL,"&lt;=90"))-AG1400-AF1400</f>
        <v>0</v>
      </c>
      <c r="AI1400" s="265">
        <f>SUM(SUMIFS($N:$N,$C:$C,"RM",$G:$G,$AC$1399,$H:$H,"2B",$AL:$AL,"&gt;=91")+SUMIFS($N:$N,$C:$C,"RM BAL",$G:$G,$AC$1399,$H:$H,"2B",$AL:$AL,"&gt;=91")+SUMIFS($N:$N,$C:$C,"MILL",$G:$G,$AC$1399,$H:$H,"2B",$AL:$AL,"&gt;=91")+SUMIFS($N:$N,$C:$C,"RM SLT RUST",$G:$G,$AC$1399,$H:$H,"2B",$AL:$AL,"&gt;=91")+SUMIFS($N:$N,$C:$C,"RM SLT DENT",$G:$G,$AC$1399,$H:$H,"2B",$AL:$AL,"&gt;=91")+SUMIFS($N:$N,$C:$C,"RM SLT",$G:$G,$AC$1399,$H:$H,"2B",$AL:$AL,"&gt;=91")+SUMIFS($N:$N,$C:$C,"RM SLT",$G:$G,$AC$1399,$H:$H,"BA",$AL:$AL,"&gt;=91")+SUMIFS($N:$N,$C:$C,"RM SLT",$G:$G,$AC$1399,$H:$H,"2D",$AL:$AL,"&gt;=91"))</f>
        <v>0</v>
      </c>
      <c r="AJ1400" s="266">
        <f>SUM(AF1400:AI1400)</f>
        <v>0</v>
      </c>
      <c r="AK1400" s="143"/>
      <c r="AL1400" s="273" t="s">
        <v>33</v>
      </c>
      <c r="AM1400" s="265">
        <f>SUMIFS($N:$N,$C:$C,"BAL",$D:$D,"BAL",$G:$G,$AL1400,$AT:$AT,"&lt;=30")</f>
        <v>0</v>
      </c>
      <c r="AN1400" s="265">
        <f>SUMIFS($N:$N,$C:$C,"BAL",$D:$D,"BAL",$G:$G,$AL1400,$AT:$AT,"&lt;=60")-AM1400</f>
        <v>0</v>
      </c>
      <c r="AO1400" s="265">
        <f>SUMIFS($N:$N,$C:$C,"BAL",$D:$D,"BAL",$G:$G,$AL1400,$AT:$AT,"&lt;=90")-AN1400-AM1400</f>
        <v>0</v>
      </c>
      <c r="AP1400" s="265">
        <f>SUMIFS($N:$N,$C:$C,"BAL",$D:$D,"BAL",$G:$G,$AL1400,$AT:$AT,"&gt;=91")</f>
        <v>0</v>
      </c>
      <c r="AQ1400" s="266">
        <f>SUM(AM1400:AP1400)</f>
        <v>0</v>
      </c>
      <c r="AR1400" s="140"/>
      <c r="AS1400" s="140"/>
      <c r="AT1400" s="140"/>
      <c r="AU1400" s="140"/>
      <c r="BG1400" s="141"/>
      <c r="BK1400" s="140"/>
    </row>
    <row r="1401" spans="2:63" ht="21" customHeight="1" x14ac:dyDescent="0.25">
      <c r="B1401" s="246" t="s">
        <v>35</v>
      </c>
      <c r="C1401" s="247" t="str">
        <f t="shared" ref="C1401:J1401" si="30">IF(C1419=0,"",C1419)</f>
        <v/>
      </c>
      <c r="D1401" s="247" t="str">
        <f t="shared" si="30"/>
        <v/>
      </c>
      <c r="E1401" s="247" t="str">
        <f t="shared" si="30"/>
        <v/>
      </c>
      <c r="F1401" s="247" t="str">
        <f t="shared" si="30"/>
        <v/>
      </c>
      <c r="G1401" s="247" t="str">
        <f t="shared" si="30"/>
        <v/>
      </c>
      <c r="H1401" s="247">
        <f t="shared" si="30"/>
        <v>6.01</v>
      </c>
      <c r="I1401" s="247" t="str">
        <f t="shared" si="30"/>
        <v/>
      </c>
      <c r="J1401" s="247" t="str">
        <f t="shared" si="30"/>
        <v/>
      </c>
      <c r="K1401" s="255">
        <f t="shared" si="27"/>
        <v>6.01</v>
      </c>
      <c r="AH1401" s="274"/>
      <c r="AI1401" s="264" t="s">
        <v>70</v>
      </c>
      <c r="AJ1401" s="265">
        <f>SUM(SUMIFS($N:$N,$C:$C,"RM",$G:$G,$AH$1402,$H:$H,$AI1401,$AL:$AL,"&lt;=30")+SUMIFS($N:$N,$C:$C,"RM BAL",$G:$G,$AH$1402,$H:$H,$AI1401,$AL:$AL,"&lt;=30")+SUMIFS($N:$N,$C:$C,"MILL",$G:$G,$AH$1402,$H:$H,$AI1401,$AL:$AL,"&lt;=30")+SUMIFS($N:$N,$C:$C,"RM SLT RUST",$G:$G,$AH$1402,$H:$H,$AI1401,$AL:$AL,"&lt;=30")+SUMIFS($N:$N,$C:$C,"RM SLT DENT",$G:$G,$AH$1402,$H:$H,$AI1401,$AL:$AL,"&lt;=30")+SUMIFS($N:$N,$C:$C,"RM SLT",$G:$G,$AH$1402,$H:$H,$AI1401,$AL:$AL,"&lt;=30"))</f>
        <v>0</v>
      </c>
      <c r="AK1401" s="265">
        <f>SUM(SUMIFS($N:$N,$C:$C,"RM",$G:$G,$AH$1402,$H:$H,$AI1401,$AL:$AL,"&lt;=60")+SUMIFS($N:$N,$C:$C,"RM BAL",$G:$G,$AH$1402,$H:$H,$AI1401,$AL:$AL,"&lt;=60")+SUMIFS($N:$N,$C:$C,"MILL",$G:$G,$AH$1402,$H:$H,$AI1401,$AL:$AL,"&lt;=60")+SUMIFS($N:$N,$C:$C,"RM SLT RUST",$G:$G,$AH$1402,$H:$H,$AI1401,$AL:$AL,"&lt;=60")+SUMIFS($N:$N,$C:$C,"RM SLT DENT",$G:$G,$AH$1402,$H:$H,$AI1401,$AL:$AL,"&lt;=60")+SUMIFS($N:$N,$C:$C,"RM SLT",$G:$G,$AH$1402,$H:$H,$AI1401,$AL:$AL,"&lt;=60"))-AJ1401</f>
        <v>0</v>
      </c>
      <c r="AL1401" s="265">
        <f>SUM(SUMIFS($N:$N,$C:$C,"RM",$G:$G,$AH$1402,$H:$H,$AI1401,$AL:$AL,"&lt;=90")+SUMIFS($N:$N,$C:$C,"RM BAL",$G:$G,$AH$1402,$H:$H,$AI1401,$AL:$AL,"&lt;=90")+SUMIFS($N:$N,$C:$C,"MILL",$G:$G,$AH$1402,$H:$H,$AI1401,$AL:$AL,"&lt;=90")+SUMIFS($N:$N,$C:$C,"RM SLT RUST",$G:$G,$AH$1402,$H:$H,$AI1401,$AL:$AL,"&lt;=90")+SUMIFS($N:$N,$C:$C,"RM SLT DENT",$G:$G,$AH$1402,$H:$H,$AI1401,$AL:$AL,"&lt;=90")+SUMIFS($N:$N,$C:$C,"RM SLT",$G:$G,$AH$1402,$H:$H,$AI1401,$AL:$AL,"&lt;=90"))-AK1401-AJ1401</f>
        <v>0</v>
      </c>
      <c r="AM1401" s="265">
        <f>SUM(SUMIFS($N:$N,$C:$C,"RM",$G:$G,$AH$1402,$H:$H,$AI1401,$AL:$AL,"&gt;=91")+SUMIFS($N:$N,$C:$C,"RM BAL",$G:$G,$AH$1402,$H:$H,$AI1401,$AL:$AL,"&gt;=91")+SUMIFS($N:$N,$C:$C,"MILL",$G:$G,$AH$1402,$H:$H,$AI1401,$AL:$AL,"&gt;=91")+SUMIFS($N:$N,$C:$C,"RM SLT RUST",$G:$G,$AH$1402,$H:$H,$AI1401,$AL:$AL,"&gt;=91")+SUMIFS($N:$N,$C:$C,"RM SLT DENT",$G:$G,$AH$1402,$H:$H,$AI1401,$AL:$AL,"&gt;=91")+SUMIFS($N:$N,$C:$C,"RM SLT",$G:$G,$AH$1402,$H:$H,$AI1401,$AL:$AL,"&gt;=91"))</f>
        <v>0</v>
      </c>
      <c r="AN1401" s="266">
        <f>SUM(AJ1401:AM1401)</f>
        <v>0</v>
      </c>
      <c r="AO1401" s="143"/>
      <c r="AP1401" s="275" t="s">
        <v>34</v>
      </c>
      <c r="AQ1401" s="265">
        <f ca="1">SUMIFS($N:$N,$C:$C,"BAL",$D:$D,"BAL",$G:$G,$AP1401,$AT:$AT,"&lt;=30")</f>
        <v>39.019999999999996</v>
      </c>
      <c r="AR1401" s="265">
        <f ca="1">SUMIFS($N:$N,$C:$C,"BAL",$D:$D,"BAL",$G:$G,$AP1401,$AT:$AT,"&lt;=60")-AQ1401</f>
        <v>0</v>
      </c>
      <c r="AS1401" s="265">
        <f ca="1">SUMIFS($N:$N,$C:$C,"BAL",$D:$D,"BAL",$G:$G,$AP1401,$AT:$AT,"&lt;=90")-AR1401-AQ1401</f>
        <v>0</v>
      </c>
      <c r="AT1401" s="265">
        <f ca="1">SUMIFS($N:$N,$C:$C,"BAL",$D:$D,"BAL",$G:$G,$AP1401,$AT:$AT,"&gt;=91")</f>
        <v>18.600000000000001</v>
      </c>
      <c r="AU1401" s="276">
        <f ca="1">SUM(AQ1401:AT1401)</f>
        <v>57.62</v>
      </c>
    </row>
    <row r="1402" spans="2:63" ht="21" customHeight="1" x14ac:dyDescent="0.25">
      <c r="B1402" s="246" t="s">
        <v>36</v>
      </c>
      <c r="C1402" s="247">
        <f t="shared" ref="C1402:J1402" si="31">IF(SUM(C1420:C1422)=0,"",SUM(C1420:C1422))</f>
        <v>1106.0029999999999</v>
      </c>
      <c r="D1402" s="247">
        <f t="shared" si="31"/>
        <v>38.625</v>
      </c>
      <c r="E1402" s="247">
        <f t="shared" si="31"/>
        <v>58.11</v>
      </c>
      <c r="F1402" s="247">
        <f t="shared" si="31"/>
        <v>32.299999999999997</v>
      </c>
      <c r="G1402" s="247">
        <f t="shared" si="31"/>
        <v>106.95500000000001</v>
      </c>
      <c r="H1402" s="247">
        <f t="shared" si="31"/>
        <v>66.825000000000003</v>
      </c>
      <c r="I1402" s="247" t="str">
        <f t="shared" si="31"/>
        <v/>
      </c>
      <c r="J1402" s="247" t="str">
        <f t="shared" si="31"/>
        <v/>
      </c>
      <c r="K1402" s="255">
        <f t="shared" si="27"/>
        <v>1408.8179999999998</v>
      </c>
      <c r="AH1402" s="277" t="s">
        <v>32</v>
      </c>
      <c r="AI1402" s="173" t="s">
        <v>127</v>
      </c>
      <c r="AJ1402" s="265">
        <f>SUM(SUMIFS($N:$N,$C:$C,"RM",$G:$G,$AH$1402,$H:$H,$AI1402,$AL:$AL,"&lt;=30")+SUMIFS($N:$N,$C:$C,"RM BAL",$G:$G,$AH$1402,$H:$H,$AI1402,$AL:$AL,"&lt;=30")+SUMIFS($N:$N,$C:$C,"MILL",$G:$G,$AH$1402,$H:$H,$AI1402,$AL:$AL,"&lt;=30")+SUMIFS($N:$N,$C:$C,"RM SLT RUST",$G:$G,$AH$1402,$H:$H,$AI1402,$AL:$AL,"&lt;=30")+SUMIFS($N:$N,$C:$C,"RM SLT DENT",$G:$G,$AH$1402,$H:$H,$AI1402,$AL:$AL,"&lt;=30")+SUMIFS($N:$N,$C:$C,"RM SLT",$G:$G,$AH$1402,$H:$H,$AI1402,$AL:$AL,"&lt;=30"))</f>
        <v>0</v>
      </c>
      <c r="AK1402" s="265">
        <f>SUM(SUMIFS($N:$N,$C:$C,"RM",$G:$G,$AH$1402,$H:$H,$AI1402,$AL:$AL,"&lt;=60")+SUMIFS($N:$N,$C:$C,"RM BAL",$G:$G,$AH$1402,$H:$H,$AI1402,$AL:$AL,"&lt;=60")+SUMIFS($N:$N,$C:$C,"MILL",$G:$G,$AH$1402,$H:$H,$AI1402,$AL:$AL,"&lt;=60")+SUMIFS($N:$N,$C:$C,"RM SLT RUST",$G:$G,$AH$1402,$H:$H,$AI1402,$AL:$AL,"&lt;=60")+SUMIFS($N:$N,$C:$C,"RM SLT DENT",$G:$G,$AH$1402,$H:$H,$AI1402,$AL:$AL,"&lt;=60")+SUMIFS($N:$N,$C:$C,"RM SLT",$G:$G,$AH$1402,$H:$H,$AI1402,$AL:$AL,"&lt;=60"))-AJ1402</f>
        <v>0</v>
      </c>
      <c r="AL1402" s="265">
        <f>SUM(SUMIFS($N:$N,$C:$C,"RM",$G:$G,$AH$1402,$H:$H,$AI1402,$AL:$AL,"&lt;=90")+SUMIFS($N:$N,$C:$C,"RM BAL",$G:$G,$AH$1402,$H:$H,$AI1402,$AL:$AL,"&lt;=90")+SUMIFS($N:$N,$C:$C,"MILL",$G:$G,$AH$1402,$H:$H,$AI1402,$AL:$AL,"&lt;=90")+SUMIFS($N:$N,$C:$C,"RM SLT RUST",$G:$G,$AH$1402,$H:$H,$AI1402,$AL:$AL,"&lt;=90")+SUMIFS($N:$N,$C:$C,"RM SLT DENT",$G:$G,$AH$1402,$H:$H,$AI1402,$AL:$AL,"&lt;=90")+SUMIFS($N:$N,$C:$C,"RM SLT",$G:$G,$AH$1402,$H:$H,$AI1402,$AL:$AL,"&lt;=90"))-AK1402-AJ1402</f>
        <v>0</v>
      </c>
      <c r="AM1402" s="265">
        <f>SUM(SUMIFS($N:$N,$C:$C,"RM",$G:$G,$AH$1402,$H:$H,$AI1402,$AL:$AL,"&gt;=91")+SUMIFS($N:$N,$C:$C,"RM BAL",$G:$G,$AH$1402,$H:$H,$AI1402,$AL:$AL,"&gt;=91")+SUMIFS($N:$N,$C:$C,"MILL",$G:$G,$AH$1402,$H:$H,$AI1402,$AL:$AL,"&gt;=91")+SUMIFS($N:$N,$C:$C,"RM SLT RUST",$G:$G,$AH$1402,$H:$H,$AI1402,$AL:$AL,"&gt;=91")+SUMIFS($N:$N,$C:$C,"RM SLT DENT",$G:$G,$AH$1402,$H:$H,$AI1402,$AL:$AL,"&gt;=91")+SUMIFS($N:$N,$C:$C,"RM SLT",$G:$G,$AH$1402,$H:$H,$AI1402,$AL:$AL,"&gt;=91"))</f>
        <v>0</v>
      </c>
      <c r="AN1402" s="266">
        <f>SUM(AJ1402:AM1402)</f>
        <v>0</v>
      </c>
      <c r="AO1402" s="143"/>
      <c r="AP1402" s="278" t="s">
        <v>35</v>
      </c>
      <c r="AQ1402" s="265">
        <f>SUMIFS($N:$N,$C:$C,"BAL",$D:$D,"BAL",$G:$G,$AP1402,$AT:$AT,"&lt;=30")</f>
        <v>0</v>
      </c>
      <c r="AR1402" s="265">
        <f>SUMIFS($N:$N,$C:$C,"BAL",$D:$D,"BAL",$G:$G,$AP1402,$AT:$AT,"&lt;=60")-AQ1402</f>
        <v>0</v>
      </c>
      <c r="AS1402" s="265">
        <f>SUMIFS($N:$N,$C:$C,"BAL",$D:$D,"BAL",$G:$G,$AP1402,$AT:$AT,"&lt;=90")-AR1402-AQ1402</f>
        <v>0</v>
      </c>
      <c r="AT1402" s="265">
        <f>SUMIFS($N:$N,$C:$C,"BAL",$D:$D,"BAL",$G:$G,$AP1402,$AT:$AT,"&gt;=91")</f>
        <v>0</v>
      </c>
      <c r="AU1402" s="266">
        <f>SUM(AQ1402:AT1402)</f>
        <v>0</v>
      </c>
    </row>
    <row r="1403" spans="2:63" ht="21" customHeight="1" x14ac:dyDescent="0.25">
      <c r="B1403" s="246" t="s">
        <v>37</v>
      </c>
      <c r="C1403" s="247">
        <f t="shared" ref="C1403:J1403" si="32">IF(SUM(C1423:C1424)=0,"",SUM(C1423:C1424))</f>
        <v>2.16</v>
      </c>
      <c r="D1403" s="247">
        <f t="shared" si="32"/>
        <v>4.57</v>
      </c>
      <c r="E1403" s="247" t="str">
        <f t="shared" si="32"/>
        <v/>
      </c>
      <c r="F1403" s="247">
        <f t="shared" si="32"/>
        <v>21.085000000000001</v>
      </c>
      <c r="G1403" s="247" t="str">
        <f t="shared" si="32"/>
        <v/>
      </c>
      <c r="H1403" s="247">
        <f t="shared" si="32"/>
        <v>2.7650000000000001</v>
      </c>
      <c r="I1403" s="247" t="str">
        <f t="shared" si="32"/>
        <v/>
      </c>
      <c r="J1403" s="247" t="str">
        <f t="shared" si="32"/>
        <v/>
      </c>
      <c r="K1403" s="255">
        <f t="shared" si="27"/>
        <v>30.580000000000002</v>
      </c>
      <c r="AH1403" s="277"/>
      <c r="AI1403" s="272" t="s">
        <v>51</v>
      </c>
      <c r="AJ1403" s="265">
        <f>SUM(SUMIFS($N:$N,$C:$C,"RM",$G:$G,$AH$1402,$H:$H,"2B",$AL:$AL,"&lt;=30")+SUMIFS($N:$N,$C:$C,"RM BAL",$G:$G,$AH$1402,$H:$H,"2B",$AL:$AL,"&lt;=30")+SUMIFS($N:$N,$C:$C,"MILL",$G:$G,$AH$1402,$H:$H,"2B",$AL:$AL,"&lt;=30")+SUMIFS($N:$N,$C:$C,"RM SLT RUST",$G:$G,$AH$1402,$H:$H,"2B",$AL:$AL,"&lt;=30")+SUMIFS($N:$N,$C:$C,"RM SLT DENT",$G:$G,$AH$1402,$H:$H,"2B",$AL:$AL,"&lt;=30")+SUMIFS($N:$N,$C:$C,"RM SLT",$G:$G,$AH$1402,$H:$H,"2B",$AL:$AL,"&lt;=30")+SUMIFS($N:$N,$C:$C,"RM SLT",$G:$G,$AH$1402,$H:$H,"BA",$AL:$AL,"&lt;=30")+SUMIFS($N:$N,$C:$C,"RM SLT",$G:$G,$AH$1402,$H:$H,"2D",$AL:$AL,"&lt;=30"))</f>
        <v>0</v>
      </c>
      <c r="AK1403" s="265">
        <f>SUM(SUMIFS($N:$N,$C:$C,"RM",$G:$G,$AH$1402,$H:$H,"2B",$AL:$AL,"&lt;=60")+SUMIFS($N:$N,$C:$C,"RM BAL",$G:$G,$AH$1402,$H:$H,"2B",$AL:$AL,"&lt;=60")+SUMIFS($N:$N,$C:$C,"MILL",$G:$G,$AH$1402,$H:$H,"2B",$AL:$AL,"&lt;=60")+SUMIFS($N:$N,$C:$C,"RM SLT RUST",$G:$G,$AH$1402,$H:$H,"2B",$AL:$AL,"&lt;=60")+SUMIFS($N:$N,$C:$C,"RM SLT DENT",$G:$G,$AH$1402,$H:$H,"2B",$AL:$AL,"&lt;=60")+SUMIFS($N:$N,$C:$C,"RM SLT",$G:$G,$AH$1402,$H:$H,"2B",$AL:$AL,"&lt;=60")+SUMIFS($N:$N,$C:$C,"RM SLT",$G:$G,$AH$1402,$H:$H,"BA",$AL:$AL,"&lt;=60")+SUMIFS($N:$N,$C:$C,"RM SLT",$G:$G,$AH$1402,$H:$H,"2D",$AL:$AL,"&lt;=60"))-AJ1403</f>
        <v>0</v>
      </c>
      <c r="AL1403" s="265">
        <f>SUM(SUMIFS($N:$N,$C:$C,"RM",$G:$G,$AH$1402,$H:$H,"2B",$AL:$AL,"&lt;=90")+SUMIFS($N:$N,$C:$C,"RM BAL",$G:$G,$AH$1402,$H:$H,"2B",$AL:$AL,"&lt;=90")+SUMIFS($N:$N,$C:$C,"MILL",$G:$G,$AH$1402,$H:$H,"2B",$AL:$AL,"&lt;=90")+SUMIFS($N:$N,$C:$C,"RM SLT RUST",$G:$G,$AH$1402,$H:$H,"2B",$AL:$AL,"&lt;=90")+SUMIFS($N:$N,$C:$C,"RM SLT DENT",$G:$G,$AH$1402,$H:$H,"2B",$AL:$AL,"&lt;=90")+SUMIFS($N:$N,$C:$C,"RM SLT",$G:$G,$AH$1402,$H:$H,"2B",$AL:$AL,"&lt;=90")+SUMIFS($N:$N,$C:$C,"RM SLT",$G:$G,$AH$1402,$H:$H,"BA",$AL:$AL,"&lt;=90")+SUMIFS($N:$N,$C:$C,"RM SLT",$G:$G,$AH$1402,$H:$H,"2D",$AL:$AL,"&lt;=90"))-AK1403-AJ1403</f>
        <v>0</v>
      </c>
      <c r="AM1403" s="265">
        <f>SUM(SUMIFS($N:$N,$C:$C,"RM",$G:$G,$AH$1402,$H:$H,"2B",$AL:$AL,"&gt;=91")+SUMIFS($N:$N,$C:$C,"RM BAL",$G:$G,$AH$1402,$H:$H,"2B",$AL:$AL,"&gt;=91")+SUMIFS($N:$N,$C:$C,"MILL",$G:$G,$AH$1402,$H:$H,"2B",$AL:$AL,"&gt;=91")+SUMIFS($N:$N,$C:$C,"RM SLT RUST",$G:$G,$AH$1402,$H:$H,"2B",$AL:$AL,"&gt;=91")+SUMIFS($N:$N,$C:$C,"RM SLT DENT",$G:$G,$AH$1402,$H:$H,"2B",$AL:$AL,"&gt;=91")+SUMIFS($N:$N,$C:$C,"RM SLT",$G:$G,$AH$1402,$H:$H,"2B",$AL:$AL,"&gt;=91")+SUMIFS($N:$N,$C:$C,"RM SLT",$G:$G,$AH$1402,$H:$H,"BA",$AL:$AL,"&gt;=91")+SUMIFS($N:$N,$C:$C,"RM SLT",$G:$G,$AH$1402,$H:$H,"2D",$AL:$AL,"&gt;=91"))</f>
        <v>0</v>
      </c>
      <c r="AN1403" s="266">
        <f>SUM(AJ1403:AM1403)</f>
        <v>0</v>
      </c>
      <c r="AO1403" s="143"/>
      <c r="AP1403" s="279">
        <v>304</v>
      </c>
      <c r="AQ1403" s="265">
        <f ca="1">SUMIFS($N:$N,$C:$C,"BAL",$D:$D,"BAL",$G:$G,$AP1403,$AT:$AT,"&lt;=30")</f>
        <v>21.17</v>
      </c>
      <c r="AR1403" s="265">
        <f ca="1">SUMIFS($N:$N,$C:$C,"BAL",$D:$D,"BAL",$G:$G,$AP1403,$AT:$AT,"&lt;=60")-AQ1403</f>
        <v>0</v>
      </c>
      <c r="AS1403" s="265">
        <f ca="1">SUMIFS($N:$N,$C:$C,"BAL",$D:$D,"BAL",$G:$G,$AP1403,$AT:$AT,"&lt;=90")-AR1403-AQ1403</f>
        <v>0</v>
      </c>
      <c r="AT1403" s="265">
        <f ca="1">SUMIFS($N:$N,$C:$C,"BAL",$D:$D,"BAL",$G:$G,$AP1403,$AT:$AT,"&gt;=91")</f>
        <v>0</v>
      </c>
      <c r="AU1403" s="266">
        <f ca="1">SUM(AQ1403:AT1403)</f>
        <v>21.17</v>
      </c>
    </row>
    <row r="1404" spans="2:63" ht="21" customHeight="1" x14ac:dyDescent="0.25">
      <c r="B1404" s="246">
        <v>430</v>
      </c>
      <c r="C1404" s="247" t="str">
        <f t="shared" ref="C1404:J1407" si="33">IF(C1425=0,"",C1425)</f>
        <v/>
      </c>
      <c r="D1404" s="247" t="str">
        <f t="shared" si="33"/>
        <v/>
      </c>
      <c r="E1404" s="247" t="str">
        <f t="shared" si="33"/>
        <v/>
      </c>
      <c r="F1404" s="247" t="str">
        <f t="shared" si="33"/>
        <v/>
      </c>
      <c r="G1404" s="247" t="str">
        <f t="shared" si="33"/>
        <v/>
      </c>
      <c r="H1404" s="247">
        <f t="shared" si="33"/>
        <v>12.091000000000001</v>
      </c>
      <c r="I1404" s="247" t="str">
        <f t="shared" si="33"/>
        <v/>
      </c>
      <c r="J1404" s="247" t="str">
        <f t="shared" si="33"/>
        <v/>
      </c>
      <c r="K1404" s="255">
        <f t="shared" si="27"/>
        <v>12.091000000000001</v>
      </c>
      <c r="AH1404" s="280"/>
      <c r="AI1404" s="264" t="s">
        <v>70</v>
      </c>
      <c r="AJ1404" s="265">
        <f>SUM(SUMIFS($N:$N,$C:$C,"RM",$G:$G,$AD$1405,$H:$H,$AI1404,$AL:$AL,"&lt;=30")+SUMIFS($N:$N,$C:$C,"RM BAL",$G:$G,$AD$1405,$H:$H,$AI1404,$AL:$AL,"&lt;=30")+SUMIFS($N:$N,$C:$C,"MILL",$G:$G,$AD$1405,$H:$H,$AI1404,$AL:$AL,"&lt;=30")+SUMIFS($N:$N,$C:$C,"RM SLT RUST",$G:$G,$AD$1405,$H:$H,$AI1404,$AL:$AL,"&lt;=30")+SUMIFS($N:$N,$C:$C,"RM SLT DENT",$G:$G,$AD$1405,$H:$H,$AI1404,$AL:$AL,"&lt;=30")+SUMIFS($N:$N,$C:$C,"RM SLT",$G:$G,$AD$1405,$H:$H,$AI1404,$AL:$AL,"&lt;=30"))</f>
        <v>0</v>
      </c>
      <c r="AK1404" s="265">
        <f>SUM(SUMIFS($N:$N,$C:$C,"RM",$G:$G,$AD$1405,$H:$H,$AI1404,$AL:$AL,"&lt;=60")+SUMIFS($N:$N,$C:$C,"RM BAL",$G:$G,$AD$1405,$H:$H,$AI1404,$AL:$AL,"&lt;=60")+SUMIFS($N:$N,$C:$C,"MILL",$G:$G,$AD$1405,$H:$H,$AI1404,$AL:$AL,"&lt;=60")+SUMIFS($N:$N,$C:$C,"RM SLT RUST",$G:$G,$AD$1405,$H:$H,$AI1404,$AL:$AL,"&lt;=60")+SUMIFS($N:$N,$C:$C,"RM SLT DENT",$G:$G,$AD$1405,$H:$H,$AI1404,$AL:$AL,"&lt;=60")+SUMIFS($N:$N,$C:$C,"RM SLT",$G:$G,$AD$1405,$H:$H,$AI1404,$AL:$AL,"&lt;=60"))-AJ1404</f>
        <v>0</v>
      </c>
      <c r="AL1404" s="265">
        <f>SUM(SUMIFS($N:$N,$C:$C,"RM",$G:$G,$AD$1405,$H:$H,$AI1404,$AL:$AL,"&lt;=90")+SUMIFS($N:$N,$C:$C,"RM BAL",$G:$G,$AD$1405,$H:$H,$AI1404,$AL:$AL,"&lt;=90")+SUMIFS($N:$N,$C:$C,"MILL",$G:$G,$AD$1405,$H:$H,$AI1404,$AL:$AL,"&lt;=90")+SUMIFS($N:$N,$C:$C,"RM SLT RUST",$G:$G,$AD$1405,$H:$H,$AI1404,$AL:$AL,"&lt;=90")+SUMIFS($N:$N,$C:$C,"RM SLT DENT",$G:$G,$AD$1405,$H:$H,$AI1404,$AL:$AL,"&lt;=90")+SUMIFS($N:$N,$C:$C,"RM SLT",$G:$G,$AD$1405,$H:$H,$AI1404,$AL:$AL,"&lt;=90"))-AK1404-AJ1404</f>
        <v>0</v>
      </c>
      <c r="AM1404" s="265">
        <f>SUM(SUMIFS($N:$N,$C:$C,"RM",$G:$G,$AD$1405,$H:$H,$AI1404,$AL:$AL,"&gt;=91")+SUMIFS($N:$N,$C:$C,"RM BAL",$G:$G,$AD$1405,$H:$H,$AI1404,$AL:$AL,"&gt;=91")+SUMIFS($N:$N,$C:$C,"MILL",$G:$G,$AD$1405,$H:$H,$AI1404,$AL:$AL,"&gt;=91")+SUMIFS($N:$N,$C:$C,"RM SLT RUST",$G:$G,$AD$1405,$H:$H,$AI1404,$AL:$AL,"&gt;=91")+SUMIFS($N:$N,$C:$C,"RM SLT DENT",$G:$G,$AD$1405,$H:$H,$AI1404,$AL:$AL,"&gt;=91")+SUMIFS($N:$N,$C:$C,"RM SLT",$G:$G,$AD$1405,$H:$H,$AI1404,$AL:$AL,"&gt;=91"))</f>
        <v>0</v>
      </c>
      <c r="AN1404" s="266">
        <f>SUM(AJ1404:AM1404)</f>
        <v>0</v>
      </c>
      <c r="AO1404" s="149"/>
      <c r="AP1404" s="281" t="s">
        <v>182</v>
      </c>
      <c r="AQ1404" s="265">
        <f ca="1">SUMIFS($N:$N,$C:$C,"BAL",$D:$D,"BAL",$G:$G,$AP1404,$AT:$AT,"&lt;=30")</f>
        <v>54.544999999999995</v>
      </c>
      <c r="AR1404" s="265">
        <f ca="1">SUMIFS($N:$N,$C:$C,"BAL",$D:$D,"BAL",$G:$G,$AP1404,$AT:$AT,"&lt;=60")-AQ1404</f>
        <v>0</v>
      </c>
      <c r="AS1404" s="265">
        <f ca="1">SUMIFS($N:$N,$C:$C,"BAL",$D:$D,"BAL",$G:$G,$AP1404,$AT:$AT,"&lt;=90")-AR1404-AQ1404</f>
        <v>0</v>
      </c>
      <c r="AT1404" s="265">
        <f ca="1">SUMIFS($N:$N,$C:$C,"BAL",$D:$D,"BAL",$G:$G,$AP1404,$AT:$AT,"&gt;=91")</f>
        <v>0</v>
      </c>
      <c r="AU1404" s="266">
        <f ca="1">SUM(AQ1404:AT1404)</f>
        <v>54.544999999999995</v>
      </c>
    </row>
    <row r="1405" spans="2:63" ht="21" customHeight="1" x14ac:dyDescent="0.25">
      <c r="B1405" s="246" t="s">
        <v>38</v>
      </c>
      <c r="C1405" s="247" t="str">
        <f t="shared" si="33"/>
        <v/>
      </c>
      <c r="D1405" s="247" t="str">
        <f t="shared" si="33"/>
        <v/>
      </c>
      <c r="E1405" s="247" t="str">
        <f t="shared" si="33"/>
        <v/>
      </c>
      <c r="F1405" s="247" t="str">
        <f t="shared" si="33"/>
        <v/>
      </c>
      <c r="G1405" s="247" t="str">
        <f t="shared" si="33"/>
        <v/>
      </c>
      <c r="H1405" s="247" t="str">
        <f t="shared" si="33"/>
        <v/>
      </c>
      <c r="I1405" s="247" t="str">
        <f t="shared" si="33"/>
        <v/>
      </c>
      <c r="J1405" s="247" t="str">
        <f t="shared" si="33"/>
        <v/>
      </c>
      <c r="K1405" s="255" t="str">
        <f t="shared" si="27"/>
        <v/>
      </c>
      <c r="O1405" s="282" t="s">
        <v>3788</v>
      </c>
      <c r="P1405" s="282"/>
      <c r="Q1405" s="283"/>
      <c r="R1405" s="283"/>
      <c r="S1405" s="283"/>
      <c r="U1405" s="237" t="s">
        <v>48</v>
      </c>
      <c r="V1405" s="246" t="s">
        <v>49</v>
      </c>
      <c r="W1405" s="246" t="s">
        <v>50</v>
      </c>
      <c r="X1405" s="246" t="s">
        <v>114</v>
      </c>
      <c r="Y1405" s="246" t="s">
        <v>3787</v>
      </c>
      <c r="Z1405" s="241" t="s">
        <v>39</v>
      </c>
      <c r="AA1405" s="284"/>
      <c r="AB1405" s="140"/>
      <c r="AC1405" s="140"/>
      <c r="AD1405" s="285" t="s">
        <v>33</v>
      </c>
      <c r="AE1405" s="173" t="s">
        <v>127</v>
      </c>
      <c r="AF1405" s="265">
        <f ca="1">SUM(SUMIFS($N:$N,$C:$C,"RM",$G:$G,$AD$1405,$H:$H,$AE1405,$AL:$AL,"&lt;=30")+SUMIFS($N:$N,$C:$C,"RM BAL",$G:$G,$AD$1405,$H:$H,$AE1405,$AL:$AL,"&lt;=30")+SUMIFS($N:$N,$C:$C,"MILL",$G:$G,$AD$1405,$H:$H,$AE1405,$AL:$AL,"&lt;=30")+SUMIFS($N:$N,$C:$C,"RM SLT RUST",$G:$G,$AD$1405,$H:$H,$AE1405,$AL:$AL,"&lt;=30")+SUMIFS($N:$N,$C:$C,"RM SLT DENT",$G:$G,$AD$1405,$H:$H,$AE1405,$AL:$AL,"&lt;=30")+SUMIFS($N:$N,$C:$C,"RM SLT",$G:$G,$AD$1405,$H:$H,$AE1405,$AL:$AL,"&lt;=30"))</f>
        <v>0</v>
      </c>
      <c r="AG1405" s="265">
        <f ca="1">SUM(SUMIFS($N:$N,$C:$C,"RM",$G:$G,$AD$1405,$H:$H,$AE1405,$AL:$AL,"&lt;=60")+SUMIFS($N:$N,$C:$C,"RM BAL",$G:$G,$AD$1405,$H:$H,$AE1405,$AL:$AL,"&lt;=60")+SUMIFS($N:$N,$C:$C,"MILL",$G:$G,$AD$1405,$H:$H,$AE1405,$AL:$AL,"&lt;=60")+SUMIFS($N:$N,$C:$C,"RM SLT RUST",$G:$G,$AD$1405,$H:$H,$AE1405,$AL:$AL,"&lt;=60")+SUMIFS($N:$N,$C:$C,"RM SLT DENT",$G:$G,$AD$1405,$H:$H,$AE1405,$AL:$AL,"&lt;=60")+SUMIFS($N:$N,$C:$C,"RM SLT",$G:$G,$AD$1405,$H:$H,$AE1405,$AL:$AL,"&lt;=60"))-AF1405</f>
        <v>0</v>
      </c>
      <c r="AH1405" s="265">
        <f ca="1">SUM(SUMIFS($N:$N,$C:$C,"RM",$G:$G,$AD$1405,$H:$H,$AE1405,$AL:$AL,"&lt;=90")+SUMIFS($N:$N,$C:$C,"RM BAL",$G:$G,$AD$1405,$H:$H,$AE1405,$AL:$AL,"&lt;=90")+SUMIFS($N:$N,$C:$C,"MILL",$G:$G,$AD$1405,$H:$H,$AE1405,$AL:$AL,"&lt;=90")+SUMIFS($N:$N,$C:$C,"RM SLT RUST",$G:$G,$AD$1405,$H:$H,$AE1405,$AL:$AL,"&lt;=90")+SUMIFS($N:$N,$C:$C,"RM SLT DENT",$G:$G,$AD$1405,$H:$H,$AE1405,$AL:$AL,"&lt;=90")+SUMIFS($N:$N,$C:$C,"RM SLT",$G:$G,$AD$1405,$H:$H,$AE1405,$AL:$AL,"&lt;=90"))-AG1405-AF1405</f>
        <v>0</v>
      </c>
      <c r="AI1405" s="265">
        <f ca="1">SUM(SUMIFS($N:$N,$C:$C,"RM",$G:$G,$AD$1405,$H:$H,$AE1405,$AL:$AL,"&gt;=91")+SUMIFS($N:$N,$C:$C,"RM BAL",$G:$G,$AD$1405,$H:$H,$AE1405,$AL:$AL,"&gt;=91")+SUMIFS($N:$N,$C:$C,"MILL",$G:$G,$AD$1405,$H:$H,$AE1405,$AL:$AL,"&gt;=91")+SUMIFS($N:$N,$C:$C,"RM SLT RUST",$G:$G,$AD$1405,$H:$H,$AE1405,$AL:$AL,"&gt;=91")+SUMIFS($N:$N,$C:$C,"RM SLT DENT",$G:$G,$AD$1405,$H:$H,$AE1405,$AL:$AL,"&gt;=91")+SUMIFS($N:$N,$C:$C,"RM SLT",$G:$G,$AD$1405,$H:$H,$AE1405,$AL:$AL,"&gt;=91"))</f>
        <v>49.287999999999997</v>
      </c>
      <c r="AJ1405" s="266">
        <f t="shared" ref="AJ1405:AJ1417" ca="1" si="34">SUM(AF1405:AI1405)</f>
        <v>49.287999999999997</v>
      </c>
      <c r="AK1405" s="149"/>
      <c r="AL1405" s="286" t="s">
        <v>135</v>
      </c>
      <c r="AM1405" s="265">
        <f>SUMIFS($N:$N,$C:$C,"BAL",$D:$D,"BAL",$G:$G,$AL1405,$AT:$AT,"&lt;=30")</f>
        <v>0</v>
      </c>
      <c r="AN1405" s="265">
        <f>SUMIFS($N:$N,$C:$C,"BAL",$D:$D,"BAL",$G:$G,$AL1405,$AT:$AT,"&lt;=60")-AM1405</f>
        <v>0</v>
      </c>
      <c r="AO1405" s="265">
        <f>SUMIFS($N:$N,$C:$C,"BAL",$D:$D,"BAL",$G:$G,$AL1405,$AT:$AT,"&lt;=90")-AN1405-AM1405</f>
        <v>0</v>
      </c>
      <c r="AP1405" s="265">
        <f>SUMIFS($N:$N,$C:$C,"BAL",$D:$D,"BAL",$G:$G,$AL1405,$AT:$AT,"&gt;=91")</f>
        <v>0</v>
      </c>
      <c r="AQ1405" s="266">
        <f t="shared" ref="AQ1405:AQ1410" si="35">SUM(AM1405:AP1405)</f>
        <v>0</v>
      </c>
      <c r="AR1405" s="140"/>
      <c r="AS1405" s="140"/>
      <c r="AT1405" s="140"/>
      <c r="AU1405" s="140"/>
      <c r="BG1405" s="141"/>
      <c r="BK1405" s="140"/>
    </row>
    <row r="1406" spans="2:63" ht="21" customHeight="1" x14ac:dyDescent="0.25">
      <c r="B1406" s="246">
        <v>410</v>
      </c>
      <c r="C1406" s="247" t="str">
        <f t="shared" si="33"/>
        <v/>
      </c>
      <c r="D1406" s="247" t="str">
        <f t="shared" si="33"/>
        <v/>
      </c>
      <c r="E1406" s="247">
        <f t="shared" si="33"/>
        <v>0.85499999999999998</v>
      </c>
      <c r="F1406" s="247" t="str">
        <f t="shared" si="33"/>
        <v/>
      </c>
      <c r="G1406" s="247" t="str">
        <f t="shared" si="33"/>
        <v/>
      </c>
      <c r="H1406" s="247">
        <f t="shared" si="33"/>
        <v>0.18</v>
      </c>
      <c r="I1406" s="247" t="str">
        <f t="shared" si="33"/>
        <v/>
      </c>
      <c r="J1406" s="247" t="str">
        <f t="shared" si="33"/>
        <v/>
      </c>
      <c r="K1406" s="255">
        <f t="shared" si="27"/>
        <v>1.0349999999999999</v>
      </c>
      <c r="O1406" s="237" t="s">
        <v>48</v>
      </c>
      <c r="P1406" s="241" t="s">
        <v>49</v>
      </c>
      <c r="Q1406" s="241" t="s">
        <v>50</v>
      </c>
      <c r="R1406" s="241" t="s">
        <v>114</v>
      </c>
      <c r="S1406" s="241" t="s">
        <v>3789</v>
      </c>
      <c r="U1406" s="238">
        <v>201</v>
      </c>
      <c r="V1406" s="246">
        <f t="shared" ref="V1406:X1408" si="36">P1407</f>
        <v>0</v>
      </c>
      <c r="W1406" s="246">
        <f t="shared" si="36"/>
        <v>0</v>
      </c>
      <c r="X1406" s="246">
        <f t="shared" si="36"/>
        <v>0</v>
      </c>
      <c r="Y1406" s="246">
        <f>S1407</f>
        <v>0</v>
      </c>
      <c r="Z1406" s="287">
        <f>SUM(V1406:X1406)</f>
        <v>0</v>
      </c>
      <c r="AA1406" s="288"/>
      <c r="AB1406" s="140"/>
      <c r="AC1406" s="140"/>
      <c r="AD1406" s="285"/>
      <c r="AE1406" s="272" t="s">
        <v>51</v>
      </c>
      <c r="AF1406" s="265">
        <f>SUM(SUMIFS($N:$N,$C:$C,"RM",$G:$G,$AD$1405,$H:$H,"2B",$AL:$AL,"&lt;=30")+SUMIFS($N:$N,$C:$C,"RM BAL",$G:$G,$AD$1405,$H:$H,"2B",$AL:$AL,"&lt;=30")+SUMIFS($N:$N,$C:$C,"MILL",$G:$G,$AD$1405,$H:$H,"2B",$AL:$AL,"&lt;=30")+SUMIFS($N:$N,$C:$C,"RM SLT RUST",$G:$G,$AD$1405,$H:$H,"2B",$AL:$AL,"&lt;=30")+SUMIFS($N:$N,$C:$C,"RM SLT DENT",$G:$G,$AD$1405,$H:$H,"2B",$AL:$AL,"&lt;=30")+SUMIFS($N:$N,$C:$C,"RM SLT",$G:$G,$AD$1405,$H:$H,"2B",$AL:$AL,"&lt;=30")+SUMIFS($N:$N,$C:$C,"RM SLT",$G:$G,$AD$1405,$H:$H,"BA",$AL:$AL,"&lt;=30")+SUMIFS($N:$N,$C:$C,"RM SLT",$G:$G,$AD$1405,$H:$H,"2D",$AL:$AL,"&lt;=30"))</f>
        <v>0</v>
      </c>
      <c r="AG1406" s="265">
        <f>SUM(SUMIFS($N:$N,$C:$C,"RM",$G:$G,$AD$1405,$H:$H,"2B",$AL:$AL,"&lt;=60")+SUMIFS($N:$N,$C:$C,"RM BAL",$G:$G,$AD$1405,$H:$H,"2B",$AL:$AL,"&lt;=60")+SUMIFS($N:$N,$C:$C,"MILL",$G:$G,$AD$1405,$H:$H,"2B",$AL:$AL,"&lt;=60")+SUMIFS($N:$N,$C:$C,"RM SLT RUST",$G:$G,$AD$1405,$H:$H,"2B",$AL:$AL,"&lt;=60")+SUMIFS($N:$N,$C:$C,"RM SLT DENT",$G:$G,$AD$1405,$H:$H,"2B",$AL:$AL,"&lt;=60")+SUMIFS($N:$N,$C:$C,"RM SLT",$G:$G,$AD$1405,$H:$H,"2B",$AL:$AL,"&lt;=60")+SUMIFS($N:$N,$C:$C,"RM SLT",$G:$G,$AD$1405,$H:$H,"BA",$AL:$AL,"&lt;=60")+SUMIFS($N:$N,$C:$C,"RM SLT",$G:$G,$AD$1405,$H:$H,"2D",$AL:$AL,"&lt;=60"))-AF1406</f>
        <v>0</v>
      </c>
      <c r="AH1406" s="265">
        <f>SUM(SUMIFS($N:$N,$C:$C,"RM",$G:$G,$AD$1405,$H:$H,"2B",$AL:$AL,"&lt;=90")+SUMIFS($N:$N,$C:$C,"RM BAL",$G:$G,$AD$1405,$H:$H,"2B",$AL:$AL,"&lt;=90")+SUMIFS($N:$N,$C:$C,"MILL",$G:$G,$AD$1405,$H:$H,"2B",$AL:$AL,"&lt;=90")+SUMIFS($N:$N,$C:$C,"RM SLT RUST",$G:$G,$AD$1405,$H:$H,"2B",$AL:$AL,"&lt;=90")+SUMIFS($N:$N,$C:$C,"RM SLT DENT",$G:$G,$AD$1405,$H:$H,"2B",$AL:$AL,"&lt;=90")+SUMIFS($N:$N,$C:$C,"RM SLT",$G:$G,$AD$1405,$H:$H,"2B",$AL:$AL,"&lt;=90")+SUMIFS($N:$N,$C:$C,"RM SLT",$G:$G,$AD$1405,$H:$H,"BA",$AL:$AL,"&lt;=90")+SUMIFS($N:$N,$C:$C,"RM SLT",$G:$G,$AD$1405,$H:$H,"2D",$AL:$AL,"&lt;=90"))-AG1406-AF1406</f>
        <v>0</v>
      </c>
      <c r="AI1406" s="265">
        <f>SUM(SUMIFS($N:$N,$C:$C,"RM",$G:$G,$AD$1405,$H:$H,"2B",$AL:$AL,"&gt;=91")+SUMIFS($N:$N,$C:$C,"RM BAL",$G:$G,$AD$1405,$H:$H,"2B",$AL:$AL,"&gt;=91")+SUMIFS($N:$N,$C:$C,"MILL",$G:$G,$AD$1405,$H:$H,"2B",$AL:$AL,"&gt;=91")+SUMIFS($N:$N,$C:$C,"RM SLT RUST",$G:$G,$AD$1405,$H:$H,"2B",$AL:$AL,"&gt;=91")+SUMIFS($N:$N,$C:$C,"RM SLT DENT",$G:$G,$AD$1405,$H:$H,"2B",$AL:$AL,"&gt;=91")+SUMIFS($N:$N,$C:$C,"RM SLT",$G:$G,$AD$1405,$H:$H,"2B",$AL:$AL,"&gt;=91")+SUMIFS($N:$N,$C:$C,"RM SLT",$G:$G,$AD$1405,$H:$H,"BA",$AL:$AL,"&gt;=91")+SUMIFS($N:$N,$C:$C,"RM SLT",$G:$G,$AD$1405,$H:$H,"2D",$AL:$AL,"&gt;=91"))</f>
        <v>0</v>
      </c>
      <c r="AJ1406" s="266">
        <f t="shared" si="34"/>
        <v>0</v>
      </c>
      <c r="AK1406" s="149"/>
      <c r="AL1406" s="289">
        <v>430</v>
      </c>
      <c r="AM1406" s="265">
        <f>SUMIFS($N:$N,$C:$C,"BAL",$D:$D,"BAL",$G:$G,$AL1406,$AT:$AT,"&lt;=30")</f>
        <v>0</v>
      </c>
      <c r="AN1406" s="265">
        <f>SUMIFS($N:$N,$C:$C,"BAL",$D:$D,"BAL",$G:$G,$AL1406,$AT:$AT,"&lt;=60")-AM1406</f>
        <v>0</v>
      </c>
      <c r="AO1406" s="265">
        <f>SUMIFS($N:$N,$C:$C,"BAL",$D:$D,"BAL",$G:$G,$AL1406,$AT:$AT,"&lt;=90")-AN1406-AM1406</f>
        <v>0</v>
      </c>
      <c r="AP1406" s="265">
        <f>SUMIFS($N:$N,$C:$C,"BAL",$D:$D,"BAL",$G:$G,$AL1406,$AT:$AT,"&gt;=91")</f>
        <v>0</v>
      </c>
      <c r="AQ1406" s="266">
        <f t="shared" si="35"/>
        <v>0</v>
      </c>
      <c r="AR1406" s="140"/>
      <c r="AS1406" s="140"/>
      <c r="AT1406" s="140"/>
      <c r="AU1406" s="140"/>
      <c r="BG1406" s="141"/>
      <c r="BK1406" s="140"/>
    </row>
    <row r="1407" spans="2:63" ht="21" customHeight="1" x14ac:dyDescent="0.25">
      <c r="B1407" s="246">
        <v>301</v>
      </c>
      <c r="C1407" s="247" t="str">
        <f t="shared" si="33"/>
        <v/>
      </c>
      <c r="D1407" s="247" t="str">
        <f t="shared" si="33"/>
        <v/>
      </c>
      <c r="E1407" s="247">
        <f t="shared" si="33"/>
        <v>10.81</v>
      </c>
      <c r="F1407" s="247" t="str">
        <f t="shared" si="33"/>
        <v/>
      </c>
      <c r="G1407" s="247" t="str">
        <f t="shared" si="33"/>
        <v/>
      </c>
      <c r="H1407" s="247" t="str">
        <f t="shared" si="33"/>
        <v/>
      </c>
      <c r="I1407" s="247" t="str">
        <f t="shared" si="33"/>
        <v/>
      </c>
      <c r="J1407" s="247" t="str">
        <f t="shared" si="33"/>
        <v/>
      </c>
      <c r="K1407" s="255">
        <f t="shared" si="27"/>
        <v>10.81</v>
      </c>
      <c r="O1407" s="290">
        <v>201</v>
      </c>
      <c r="P1407" s="246">
        <f>SUMIFS($N$5:$N$1394,$G$5:$G$1394,O1407,$H$5:$H$1394,"NO.1")</f>
        <v>0</v>
      </c>
      <c r="Q1407" s="246">
        <f>SUMIFS($N$5:$N$1394,$H$5:$H$1394,"FH",$D$5:$D$1394,"RM BAL",$G$5:$G$1394,O1407)</f>
        <v>0</v>
      </c>
      <c r="R1407" s="247">
        <f>SUM(SUMIFS($N$5:$N$1394,$H$5:$H$1394,"2B",$D$5:$D$1394,"RM SLT",$G$5:$G$1394,O1407)+SUMIFS($N$5:$N$1394,$H$5:$H$1394,"BA",$D$5:$D$1394,"RM SLT",$G$5:$G$1394,O1407)+SUMIFS($N$5:$N$1394,$H$5:$H$1394,"2D",$D$5:$D$1394,"RM SLT",$G$5:$G$1394,O1407))</f>
        <v>0</v>
      </c>
      <c r="S1407" s="247">
        <f>SUM(SUMIFS($N$5:$N$1394,$H$5:$H$1394,"2B",$D$5:$D$1394,"RM SLT RUST",$G$5:$G$1394,O1407)+SUMIFS($N$5:$N$1394,$H$5:$H$1394,"2B",$D$5:$D$1394,"RM SLT RUST DENT",$G$5:$G$1394,O1407)+SUMIFS($N$5:$N$1394,$H$5:$H$1394,"2B",$D$5:$D$1394,"RM SLT DENT",$G$5:$G$1394,O1407))</f>
        <v>0</v>
      </c>
      <c r="U1407" s="238" t="s">
        <v>32</v>
      </c>
      <c r="V1407" s="246">
        <f t="shared" si="36"/>
        <v>0</v>
      </c>
      <c r="W1407" s="246">
        <f t="shared" si="36"/>
        <v>0</v>
      </c>
      <c r="X1407" s="246">
        <f t="shared" si="36"/>
        <v>0</v>
      </c>
      <c r="Y1407" s="246">
        <f>S1408</f>
        <v>0</v>
      </c>
      <c r="Z1407" s="287">
        <f>SUM(V1407:X1407)</f>
        <v>0</v>
      </c>
      <c r="AA1407" s="288"/>
      <c r="AB1407" s="140"/>
      <c r="AC1407" s="140"/>
      <c r="AD1407" s="291"/>
      <c r="AE1407" s="264" t="s">
        <v>70</v>
      </c>
      <c r="AF1407" s="265">
        <f>SUM(SUMIFS($N:$N,$C:$C,"RM",$G:$G,$AD$1408,$H:$H,$AE1407,$AL:$AL,"&lt;=30")+SUMIFS($N:$N,$C:$C,"RM BAL",$G:$G,$AD$1408,$H:$H,$AE1407,$AL:$AL,"&lt;=30")+SUMIFS($N:$N,$C:$C,"MILL",$G:$G,$AD$1408,$H:$H,$AE1407,$AL:$AL,"&lt;=30")+SUMIFS($N:$N,$C:$C,"RM SLT RUST",$G:$G,$AD$1408,$H:$H,$AE1407,$AL:$AL,"&lt;=30")+SUMIFS($N:$N,$C:$C,"RM SLT DENT",$G:$G,$AD$1408,$H:$H,$AE1407,$AL:$AL,"&lt;=30")+SUMIFS($N:$N,$C:$C,"RM SLT",$G:$G,$AD$1408,$H:$H,$AE1407,$AL:$AL,"&lt;=30"))</f>
        <v>0</v>
      </c>
      <c r="AG1407" s="265">
        <f>SUM(SUMIFS($N:$N,$C:$C,"RM",$G:$G,$AD$1408,$H:$H,$AE1407,$AL:$AL,"&lt;=60")+SUMIFS($N:$N,$C:$C,"RM BAL",$G:$G,$AD$1408,$H:$H,$AE1407,$AL:$AL,"&lt;=60")+SUMIFS($N:$N,$C:$C,"MILL",$G:$G,$AD$1408,$H:$H,$AE1407,$AL:$AL,"&lt;=60")+SUMIFS($N:$N,$C:$C,"RM SLT RUST",$G:$G,$AD$1408,$H:$H,$AE1407,$AL:$AL,"&lt;=60")+SUMIFS($N:$N,$C:$C,"RM SLT DENT",$G:$G,$AD$1408,$H:$H,$AE1407,$AL:$AL,"&lt;=60")+SUMIFS($N:$N,$C:$C,"RM SLT",$G:$G,$AD$1408,$H:$H,$AE1407,$AL:$AL,"&lt;=60"))-AF1407</f>
        <v>0</v>
      </c>
      <c r="AH1407" s="265">
        <f>SUM(SUMIFS($N:$N,$C:$C,"RM",$G:$G,$AD$1408,$H:$H,$AE1407,$AL:$AL,"&lt;=90")+SUMIFS($N:$N,$C:$C,"RM BAL",$G:$G,$AD$1408,$H:$H,$AE1407,$AL:$AL,"&lt;=90")+SUMIFS($N:$N,$C:$C,"MILL",$G:$G,$AD$1408,$H:$H,$AE1407,$AL:$AL,"&lt;=90")+SUMIFS($N:$N,$C:$C,"RM SLT RUST",$G:$G,$AD$1408,$H:$H,$AE1407,$AL:$AL,"&lt;=90")+SUMIFS($N:$N,$C:$C,"RM SLT DENT",$G:$G,$AD$1408,$H:$H,$AE1407,$AL:$AL,"&lt;=90")+SUMIFS($N:$N,$C:$C,"RM SLT",$G:$G,$AD$1408,$H:$H,$AE1407,$AL:$AL,"&lt;=90"))-AG1407-AF1407</f>
        <v>0</v>
      </c>
      <c r="AI1407" s="265">
        <f>SUM(SUMIFS($N:$N,$C:$C,"RM",$G:$G,$AD$1408,$H:$H,$AE1407,$AL:$AL,"&gt;=91")+SUMIFS($N:$N,$C:$C,"RM BAL",$G:$G,$AD$1408,$H:$H,$AE1407,$AL:$AL,"&gt;=91")+SUMIFS($N:$N,$C:$C,"MILL",$G:$G,$AD$1408,$H:$H,$AE1407,$AL:$AL,"&gt;=91")+SUMIFS($N:$N,$C:$C,"RM SLT RUST",$G:$G,$AD$1408,$H:$H,$AE1407,$AL:$AL,"&gt;=91")+SUMIFS($N:$N,$C:$C,"RM SLT DENT",$G:$G,$AD$1408,$H:$H,$AE1407,$AL:$AL,"&gt;=91")+SUMIFS($N:$N,$C:$C,"RM SLT",$G:$G,$AD$1408,$H:$H,$AE1407,$AL:$AL,"&gt;=91"))</f>
        <v>0</v>
      </c>
      <c r="AJ1407" s="266">
        <f t="shared" si="34"/>
        <v>0</v>
      </c>
      <c r="AK1407" s="149"/>
      <c r="AL1407" s="292" t="s">
        <v>3790</v>
      </c>
      <c r="AM1407" s="265">
        <f>SUMIFS($N:$N,$C:$C,"BAL",$D:$D,"BAL",$G:$G,$AL1407,$AT:$AT,"&lt;=30")</f>
        <v>0</v>
      </c>
      <c r="AN1407" s="265">
        <f>SUMIFS($N:$N,$C:$C,"BAL",$D:$D,"BAL",$G:$G,$AL1407,$AT:$AT,"&lt;=60")-AM1407</f>
        <v>0</v>
      </c>
      <c r="AO1407" s="265">
        <f>SUMIFS($N:$N,$C:$C,"BAL",$D:$D,"BAL",$G:$G,$AL1407,$AT:$AT,"&lt;=90")-AN1407-AM1407</f>
        <v>0</v>
      </c>
      <c r="AP1407" s="265">
        <f>SUMIFS($N:$N,$C:$C,"BAL",$D:$D,"BAL",$G:$G,$AL1407,$AT:$AT,"&gt;=91")</f>
        <v>0</v>
      </c>
      <c r="AQ1407" s="266">
        <f t="shared" si="35"/>
        <v>0</v>
      </c>
      <c r="AR1407" s="140"/>
      <c r="AS1407" s="140"/>
      <c r="AT1407" s="140"/>
      <c r="AU1407" s="140"/>
      <c r="BG1407" s="141"/>
      <c r="BK1407" s="140"/>
    </row>
    <row r="1408" spans="2:63" ht="21" customHeight="1" x14ac:dyDescent="0.25">
      <c r="B1408" s="241" t="s">
        <v>39</v>
      </c>
      <c r="C1408" s="255">
        <f t="shared" ref="C1408:K1408" si="37">IF(SUM(C1397:C1407)=0,"",SUM(C1397:C1407))</f>
        <v>1547.373</v>
      </c>
      <c r="D1408" s="255">
        <f t="shared" si="37"/>
        <v>83.484999999999985</v>
      </c>
      <c r="E1408" s="255">
        <f t="shared" si="37"/>
        <v>82.350000000000009</v>
      </c>
      <c r="F1408" s="255">
        <f t="shared" si="37"/>
        <v>53.384999999999998</v>
      </c>
      <c r="G1408" s="255">
        <f t="shared" si="37"/>
        <v>128.22000000000003</v>
      </c>
      <c r="H1408" s="255">
        <f t="shared" si="37"/>
        <v>148.73099999999999</v>
      </c>
      <c r="I1408" s="255" t="str">
        <f t="shared" si="37"/>
        <v/>
      </c>
      <c r="J1408" s="255" t="str">
        <f t="shared" si="37"/>
        <v/>
      </c>
      <c r="K1408" s="255">
        <f t="shared" si="37"/>
        <v>2043.5439999999996</v>
      </c>
      <c r="O1408" s="290" t="s">
        <v>32</v>
      </c>
      <c r="P1408" s="246">
        <f>SUMIFS($N$5:$N$1394,$G$5:$G$1394,O1408,$H$5:$H$1394,"NO.1")</f>
        <v>0</v>
      </c>
      <c r="Q1408" s="246">
        <f>SUMIFS($N$5:$N$1394,$H$5:$H$1394,"FH",$D$5:$D$1394,"RM BAL",$G$5:$G$1394,O1408)</f>
        <v>0</v>
      </c>
      <c r="R1408" s="247">
        <f>SUM(SUMIFS($N$5:$N$1394,$H$5:$H$1394,"2B",$D$5:$D$1394,"RM SLT",$G$5:$G$1394,O1408)+SUMIFS($N$5:$N$1394,$H$5:$H$1394,"BA",$D$5:$D$1394,"RM SLT",$G$5:$G$1394,O1408)+SUMIFS($N$5:$N$1394,$H$5:$H$1394,"2D",$D$5:$D$1394,"RM SLT",$G$5:$G$1394,O1408))</f>
        <v>0</v>
      </c>
      <c r="S1408" s="247">
        <f>SUM(SUMIFS($N$5:$N$1394,$H$5:$H$1394,"2B",$D$5:$D$1394,"RM SLT RUST",$G$5:$G$1394,O1408)+SUMIFS($N$5:$N$1394,$H$5:$H$1394,"2B",$D$5:$D$1394,"RM SLT RUST DENT",$G$5:$G$1394,O1408)+SUMIFS($N$5:$N$1394,$H$5:$H$1394,"2B",$D$5:$D$1394,"RM SLT DENT",$G$5:$G$1394,O1408))</f>
        <v>0</v>
      </c>
      <c r="U1408" s="238" t="s">
        <v>33</v>
      </c>
      <c r="V1408" s="246">
        <f t="shared" si="36"/>
        <v>49.287999999999997</v>
      </c>
      <c r="W1408" s="246">
        <f t="shared" si="36"/>
        <v>0</v>
      </c>
      <c r="X1408" s="246">
        <f t="shared" si="36"/>
        <v>0</v>
      </c>
      <c r="Y1408" s="246">
        <f>S1409</f>
        <v>0</v>
      </c>
      <c r="Z1408" s="287">
        <f t="shared" ref="Z1408:Z1417" si="38">SUM(V1408:Y1408)</f>
        <v>49.287999999999997</v>
      </c>
      <c r="AA1408" s="288"/>
      <c r="AB1408" s="140"/>
      <c r="AC1408" s="140"/>
      <c r="AD1408" s="293" t="s">
        <v>34</v>
      </c>
      <c r="AE1408" s="173" t="s">
        <v>127</v>
      </c>
      <c r="AF1408" s="265">
        <f ca="1">SUM(SUMIFS($N:$N,$C:$C,"RM",$G:$G,$AD$1408,$H:$H,$AE1408,$AL:$AL,"&lt;=30")+SUMIFS($N:$N,$C:$C,"RM BAL",$G:$G,$AD$1408,$H:$H,$AE1408,$AL:$AL,"&lt;=30")+SUMIFS($N:$N,$C:$C,"MILL",$G:$G,$AD$1408,$H:$H,$AE1408,$AL:$AL,"&lt;=30")+SUMIFS($N:$N,$C:$C,"RM SLT RUST",$G:$G,$AD$1408,$H:$H,$AE1408,$AL:$AL,"&lt;=30")+SUMIFS($N:$N,$C:$C,"RM SLT DENT",$G:$G,$AD$1408,$H:$H,$AE1408,$AL:$AL,"&lt;=30")+SUMIFS($N:$N,$C:$C,"RM SLT",$G:$G,$AD$1408,$H:$H,$AE1408,$AL:$AL,"&lt;=30"))</f>
        <v>502.22499999999997</v>
      </c>
      <c r="AG1408" s="265">
        <f ca="1">SUM(SUMIFS($N:$N,$C:$C,"RM",$G:$G,$AD$1408,$H:$H,$AE1408,$AL:$AL,"&lt;=60")+SUMIFS($N:$N,$C:$C,"RM BAL",$G:$G,$AD$1408,$H:$H,$AE1408,$AL:$AL,"&lt;=60")+SUMIFS($N:$N,$C:$C,"MILL",$G:$G,$AD$1408,$H:$H,$AE1408,$AL:$AL,"&lt;=60")+SUMIFS($N:$N,$C:$C,"RM SLT RUST",$G:$G,$AD$1408,$H:$H,$AE1408,$AL:$AL,"&lt;=60")+SUMIFS($N:$N,$C:$C,"RM SLT DENT",$G:$G,$AD$1408,$H:$H,$AE1408,$AL:$AL,"&lt;=60")+SUMIFS($N:$N,$C:$C,"RM SLT",$G:$G,$AD$1408,$H:$H,$AE1408,$AL:$AL,"&lt;=60"))-AF1408</f>
        <v>284.03699999999986</v>
      </c>
      <c r="AH1408" s="265">
        <f ca="1">SUM(SUMIFS($N:$N,$C:$C,"RM",$G:$G,$AD$1408,$H:$H,$AE1408,$AL:$AL,"&lt;=90")+SUMIFS($N:$N,$C:$C,"RM BAL",$G:$G,$AD$1408,$H:$H,$AE1408,$AL:$AL,"&lt;=90")+SUMIFS($N:$N,$C:$C,"MILL",$G:$G,$AD$1408,$H:$H,$AE1408,$AL:$AL,"&lt;=90")+SUMIFS($N:$N,$C:$C,"RM SLT RUST",$G:$G,$AD$1408,$H:$H,$AE1408,$AL:$AL,"&lt;=90")+SUMIFS($N:$N,$C:$C,"RM SLT DENT",$G:$G,$AD$1408,$H:$H,$AE1408,$AL:$AL,"&lt;=90")+SUMIFS($N:$N,$C:$C,"RM SLT",$G:$G,$AD$1408,$H:$H,$AE1408,$AL:$AL,"&lt;=90"))-AG1408-AF1408</f>
        <v>90.776999999999987</v>
      </c>
      <c r="AI1408" s="265">
        <f ca="1">SUM(SUMIFS($N:$N,$C:$C,"RM",$G:$G,$AD$1408,$H:$H,$AE1408,$AL:$AL,"&gt;=91")+SUMIFS($N:$N,$C:$C,"RM BAL",$G:$G,$AD$1408,$H:$H,$AE1408,$AL:$AL,"&gt;=91")+SUMIFS($N:$N,$C:$C,"MILL",$G:$G,$AD$1408,$H:$H,$AE1408,$AL:$AL,"&gt;=91")+SUMIFS($N:$N,$C:$C,"RM SLT RUST",$G:$G,$AD$1408,$H:$H,$AE1408,$AL:$AL,"&gt;=91")+SUMIFS($N:$N,$C:$C,"RM SLT DENT",$G:$G,$AD$1408,$H:$H,$AE1408,$AL:$AL,"&gt;=91")+SUMIFS($N:$N,$C:$C,"RM SLT",$G:$G,$AD$1408,$H:$H,$AE1408,$AL:$AL,"&gt;=91"))</f>
        <v>1899.1229999999998</v>
      </c>
      <c r="AJ1408" s="266">
        <f t="shared" ca="1" si="34"/>
        <v>2776.1619999999994</v>
      </c>
      <c r="AK1408" s="149"/>
      <c r="AL1408" s="294" t="s">
        <v>38</v>
      </c>
      <c r="AM1408" s="265">
        <f>SUMIFS($N:$N,$C:$C,"BAL",$D:$D,"BAL",$G:$G,$AL1408,$AT:$AT,"&lt;=30")</f>
        <v>0</v>
      </c>
      <c r="AN1408" s="265">
        <f>SUMIFS($N:$N,$C:$C,"BAL",$D:$D,"BAL",$G:$G,$AL1408,$AT:$AT,"&lt;=60")-AM1408</f>
        <v>0</v>
      </c>
      <c r="AO1408" s="265">
        <f>SUMIFS($N:$N,$C:$C,"BAL",$D:$D,"BAL",$G:$G,$AL1408,$AT:$AT,"&lt;=90")-AN1408-AM1408</f>
        <v>0</v>
      </c>
      <c r="AP1408" s="265">
        <f>SUMIFS($N:$N,$C:$C,"BAL",$D:$D,"BAL",$G:$G,$AL1408,$AT:$AT,"&gt;=91")</f>
        <v>0</v>
      </c>
      <c r="AQ1408" s="266">
        <f t="shared" si="35"/>
        <v>0</v>
      </c>
      <c r="AR1408" s="140"/>
      <c r="AS1408" s="140"/>
      <c r="AT1408" s="140"/>
      <c r="AU1408" s="140"/>
      <c r="BG1408" s="141"/>
      <c r="BK1408" s="140"/>
    </row>
    <row r="1409" spans="2:63" ht="21" customHeight="1" x14ac:dyDescent="0.25">
      <c r="O1409" s="290" t="s">
        <v>33</v>
      </c>
      <c r="P1409" s="246">
        <f>SUMIFS($N$5:$N$1394,$G$5:$G$1394,O1409,$H$5:$H$1394,"NO.1")</f>
        <v>49.287999999999997</v>
      </c>
      <c r="Q1409" s="246">
        <f>SUMIFS($N$5:$N$1394,$H$5:$H$1394,"FH",$D$5:$D$1394,"RM BAL",$G$5:$G$1394,O1409)</f>
        <v>0</v>
      </c>
      <c r="R1409" s="247">
        <f>SUM(SUMIFS($N$5:$N$1394,$H$5:$H$1394,"2B",$D$5:$D$1394,"RM SLT",$G$5:$G$1394,O1409)+SUMIFS($N$5:$N$1394,$H$5:$H$1394,"BA",$D$5:$D$1394,"RM SLT",$G$5:$G$1394,O1409)+SUMIFS($N$5:$N$1394,$H$5:$H$1394,"2D",$D$5:$D$1394,"RM SLT",$G$5:$G$1394,O1409))</f>
        <v>0</v>
      </c>
      <c r="S1409" s="247">
        <f>SUM(SUMIFS($N$5:$N$1394,$H$5:$H$1394,"2B",$D$5:$D$1394,"RM SLT RUST",$G$5:$G$1394,O1409)+SUMIFS($N$5:$N$1394,$H$5:$H$1394,"2B",$D$5:$D$1394,"RM SLT RUST DENT",$G$5:$G$1394,O1409)+SUMIFS($N$5:$N$1394,$H$5:$H$1394,"2B",$D$5:$D$1394,"RM SLT DENT",$G$5:$G$1394,O1409))</f>
        <v>0</v>
      </c>
      <c r="U1409" s="239" t="s">
        <v>34</v>
      </c>
      <c r="V1409" s="246">
        <f>SUM(P1410:P1411)</f>
        <v>2776.1620000000003</v>
      </c>
      <c r="W1409" s="246">
        <f>SUM(Q1410:Q1411)</f>
        <v>0</v>
      </c>
      <c r="X1409" s="246">
        <f>SUM(R1410:R1411)</f>
        <v>319.68500000000006</v>
      </c>
      <c r="Y1409" s="246">
        <f>SUM(S1410:S1411)</f>
        <v>35.683999999999997</v>
      </c>
      <c r="Z1409" s="287">
        <f t="shared" si="38"/>
        <v>3131.5310000000004</v>
      </c>
      <c r="AA1409" s="288"/>
      <c r="AB1409" s="140"/>
      <c r="AC1409" s="140"/>
      <c r="AD1409" s="293"/>
      <c r="AE1409" s="272" t="s">
        <v>51</v>
      </c>
      <c r="AF1409" s="265">
        <f ca="1">SUM(SUMIFS($N:$N,$C:$C,"RM",$G:$G,$AD$1408,$H:$H,"2B",$AL:$AL,"&lt;=30")+SUMIFS($N:$N,$C:$C,"RM BAL",$G:$G,$AD$1408,$H:$H,"2B",$AL:$AL,"&lt;=30")+SUMIFS($N:$N,$C:$C,"MILL",$G:$G,$AD$1408,$H:$H,"2B",$AL:$AL,"&lt;=30")+SUMIFS($N:$N,$C:$C,"RM SLT RUST",$G:$G,$AD$1408,$H:$H,"2B",$AL:$AL,"&lt;=30")+SUMIFS($N:$N,$C:$C,"RM SLT DENT",$G:$G,$AD$1408,$H:$H,"2B",$AL:$AL,"&lt;=30")+SUMIFS($N:$N,$C:$C,"RM SLT",$G:$G,$AD$1408,$H:$H,"2B",$AL:$AL,"&lt;=30")+SUMIFS($N:$N,$C:$C,"RM SLT",$G:$G,$AD$1408,$H:$H,"BA",$AL:$AL,"&lt;=30")+SUMIFS($N:$N,$C:$C,"RM SLT",$G:$G,$AD$1408,$H:$H,"2D",$AL:$AL,"&lt;=30"))</f>
        <v>0</v>
      </c>
      <c r="AG1409" s="265">
        <f ca="1">SUM(SUMIFS($N:$N,$C:$C,"RM",$G:$G,$AD$1408,$H:$H,"2B",$AL:$AL,"&lt;=60")+SUMIFS($N:$N,$C:$C,"RM BAL",$G:$G,$AD$1408,$H:$H,"2B",$AL:$AL,"&lt;=60")+SUMIFS($N:$N,$C:$C,"MILL",$G:$G,$AD$1408,$H:$H,"2B",$AL:$AL,"&lt;=60")+SUMIFS($N:$N,$C:$C,"RM SLT RUST",$G:$G,$AD$1408,$H:$H,"2B",$AL:$AL,"&lt;=60")+SUMIFS($N:$N,$C:$C,"RM SLT DENT",$G:$G,$AD$1408,$H:$H,"2B",$AL:$AL,"&lt;=60")+SUMIFS($N:$N,$C:$C,"RM SLT",$G:$G,$AD$1408,$H:$H,"2B",$AL:$AL,"&lt;=60")+SUMIFS($N:$N,$C:$C,"RM SLT",$G:$G,$AD$1408,$H:$H,"BA",$AL:$AL,"&lt;=60")+SUMIFS($N:$N,$C:$C,"RM SLT",$G:$G,$AD$1408,$H:$H,"2D",$AL:$AL,"&lt;=60"))-AF1409</f>
        <v>0</v>
      </c>
      <c r="AH1409" s="265">
        <f ca="1">SUM(SUMIFS($N:$N,$C:$C,"RM",$G:$G,$AD$1408,$H:$H,"2B",$AL:$AL,"&lt;=90")+SUMIFS($N:$N,$C:$C,"RM BAL",$G:$G,$AD$1408,$H:$H,"2B",$AL:$AL,"&lt;=90")+SUMIFS($N:$N,$C:$C,"MILL",$G:$G,$AD$1408,$H:$H,"2B",$AL:$AL,"&lt;=90")+SUMIFS($N:$N,$C:$C,"RM SLT RUST",$G:$G,$AD$1408,$H:$H,"2B",$AL:$AL,"&lt;=90")+SUMIFS($N:$N,$C:$C,"RM SLT DENT",$G:$G,$AD$1408,$H:$H,"2B",$AL:$AL,"&lt;=90")+SUMIFS($N:$N,$C:$C,"RM SLT",$G:$G,$AD$1408,$H:$H,"2B",$AL:$AL,"&lt;=90")+SUMIFS($N:$N,$C:$C,"RM SLT",$G:$G,$AD$1408,$H:$H,"BA",$AL:$AL,"&lt;=90")+SUMIFS($N:$N,$C:$C,"RM SLT",$G:$G,$AD$1408,$H:$H,"2D",$AL:$AL,"&lt;=90"))-AG1409-AF1409</f>
        <v>0</v>
      </c>
      <c r="AI1409" s="265">
        <f ca="1">SUM(SUMIFS($N:$N,$C:$C,"RM",$G:$G,$AD$1408,$H:$H,"2B",$AL:$AL,"&gt;=91")+SUMIFS($N:$N,$C:$C,"RM BAL",$G:$G,$AD$1408,$H:$H,"2B",$AL:$AL,"&gt;=91")+SUMIFS($N:$N,$C:$C,"MILL",$G:$G,$AD$1408,$H:$H,"2B",$AL:$AL,"&gt;=91")+SUMIFS($N:$N,$C:$C,"RM SLT RUST",$G:$G,$AD$1408,$H:$H,"2B",$AL:$AL,"&gt;=91")+SUMIFS($N:$N,$C:$C,"RM SLT DENT",$G:$G,$AD$1408,$H:$H,"2B",$AL:$AL,"&gt;=91")+SUMIFS($N:$N,$C:$C,"RM SLT",$G:$G,$AD$1408,$H:$H,"2B",$AL:$AL,"&gt;=91")+SUMIFS($N:$N,$C:$C,"RM SLT",$G:$G,$AD$1408,$H:$H,"BA",$AL:$AL,"&gt;=91")+SUMIFS($N:$N,$C:$C,"RM SLT",$G:$G,$AD$1408,$H:$H,"2D",$AL:$AL,"&gt;=91"))</f>
        <v>355.36900000000003</v>
      </c>
      <c r="AJ1409" s="266">
        <f t="shared" ca="1" si="34"/>
        <v>355.36900000000003</v>
      </c>
      <c r="AK1409" s="149"/>
      <c r="AL1409" s="295">
        <v>410</v>
      </c>
      <c r="AM1409" s="265">
        <f>SUMIFS($N:$N,$C:$C,"BAL",$D:$D,"BAL",$G:$G,$AL1409,$AT:$AT,"&lt;=30")</f>
        <v>0</v>
      </c>
      <c r="AN1409" s="265">
        <f>SUMIFS($N:$N,$C:$C,"BAL",$D:$D,"BAL",$G:$G,$AL1409,$AT:$AT,"&lt;=60")-AM1409</f>
        <v>0</v>
      </c>
      <c r="AO1409" s="265">
        <f>SUMIFS($N:$N,$C:$C,"BAL",$D:$D,"BAL",$G:$G,$AL1409,$AT:$AT,"&lt;=90")-AN1409-AM1409</f>
        <v>0</v>
      </c>
      <c r="AP1409" s="265">
        <f>SUMIFS($N:$N,$C:$C,"BAL",$D:$D,"BAL",$G:$G,$AL1409,$AT:$AT,"&gt;=91")</f>
        <v>0</v>
      </c>
      <c r="AQ1409" s="266">
        <f t="shared" si="35"/>
        <v>0</v>
      </c>
      <c r="AR1409" s="140"/>
      <c r="AS1409" s="140"/>
      <c r="AT1409" s="140"/>
      <c r="AU1409" s="140"/>
      <c r="BG1409" s="141"/>
      <c r="BK1409" s="140"/>
    </row>
    <row r="1410" spans="2:63" ht="21" customHeight="1" x14ac:dyDescent="0.25">
      <c r="O1410" s="290" t="s">
        <v>34</v>
      </c>
      <c r="P1410" s="246">
        <f>SUMIFS($N$5:$N$1394,$G$5:$G$1394,O1410,$H$5:$H$1394,"NO.1")</f>
        <v>2776.1620000000003</v>
      </c>
      <c r="Q1410" s="246">
        <f>SUMIFS($N$5:$N$1394,$H$5:$H$1394,"FH",$D$5:$D$1394,"RM BAL",$G$5:$G$1394,O1410)</f>
        <v>0</v>
      </c>
      <c r="R1410" s="247">
        <f>SUM(SUMIFS($N$5:$N$1394,$H$5:$H$1394,"2B",$D$5:$D$1394,"RM SLT",$G$5:$G$1394,O1410)+SUMIFS($N$5:$N$1394,$H$5:$H$1394,"BA",$D$5:$D$1394,"RM SLT",$G$5:$G$1394,O1410)+SUMIFS($N$5:$N$1394,$H$5:$H$1394,"2D",$D$5:$D$1394,"RM SLT",$G$5:$G$1394,O1410))</f>
        <v>319.68500000000006</v>
      </c>
      <c r="S1410" s="247">
        <f>SUM(SUMIFS($N$5:$N$1394,$H$5:$H$1394,"2B",$D$5:$D$1394,"RM SLT RUST",$G$5:$G$1394,O1410)+SUMIFS($N$5:$N$1394,$H$5:$H$1394,"2B",$D$5:$D$1394,"RM SLT RUST DENT",$G$5:$G$1394,O1410)+SUMIFS($N$5:$N$1394,$H$5:$H$1394,"2B",$D$5:$D$1394,"RM SLT DENT",$G$5:$G$1394,O1410))</f>
        <v>35.683999999999997</v>
      </c>
      <c r="U1410" s="239" t="s">
        <v>35</v>
      </c>
      <c r="V1410" s="246">
        <f>SUM(P1412)</f>
        <v>24.55</v>
      </c>
      <c r="W1410" s="246">
        <f>SUM(Q1412)</f>
        <v>0</v>
      </c>
      <c r="X1410" s="246">
        <f>SUM(R1412)</f>
        <v>0</v>
      </c>
      <c r="Y1410" s="246">
        <f>SUM(S1412)</f>
        <v>0</v>
      </c>
      <c r="Z1410" s="287">
        <f t="shared" si="38"/>
        <v>24.55</v>
      </c>
      <c r="AA1410" s="288"/>
      <c r="AB1410" s="140"/>
      <c r="AC1410" s="140"/>
      <c r="AD1410" s="296"/>
      <c r="AE1410" s="264" t="s">
        <v>70</v>
      </c>
      <c r="AF1410" s="265">
        <f>SUM(SUMIFS($N:$N,$C:$C,"RM",$G:$G,$AD$1411,$H:$H,$AE1410,$AL:$AL,"&lt;=30")+SUMIFS($N:$N,$C:$C,"RM BAL",$G:$G,$AD$1411,$H:$H,$AE1410,$AL:$AL,"&lt;=30")+SUMIFS($N:$N,$C:$C,"MILL",$G:$G,$AD$1411,$H:$H,$AE1410,$AL:$AL,"&lt;=30")+SUMIFS($N:$N,$C:$C,"RM SLT RUST",$G:$G,$AD$1411,$H:$H,$AE1410,$AL:$AL,"&lt;=30")+SUMIFS($N:$N,$C:$C,"RM SLT DENT",$G:$G,$AD$1411,$H:$H,$AE1410,$AL:$AL,"&lt;=30")+SUMIFS($N:$N,$C:$C,"RM SLT",$G:$G,$AD$1411,$H:$H,$AE1410,$AL:$AL,"&lt;=30"))</f>
        <v>0</v>
      </c>
      <c r="AG1410" s="265">
        <f>SUM(SUMIFS($N:$N,$C:$C,"RM",$G:$G,$AD$1411,$H:$H,$AE1410,$AL:$AL,"&lt;=60")+SUMIFS($N:$N,$C:$C,"RM BAL",$G:$G,$AD$1411,$H:$H,$AE1410,$AL:$AL,"&lt;=60")+SUMIFS($N:$N,$C:$C,"MILL",$G:$G,$AD$1411,$H:$H,$AE1410,$AL:$AL,"&lt;=60")+SUMIFS($N:$N,$C:$C,"RM SLT RUST",$G:$G,$AD$1411,$H:$H,$AE1410,$AL:$AL,"&lt;=60")+SUMIFS($N:$N,$C:$C,"RM SLT DENT",$G:$G,$AD$1411,$H:$H,$AE1410,$AL:$AL,"&lt;=60")+SUMIFS($N:$N,$C:$C,"RM SLT",$G:$G,$AD$1411,$H:$H,$AE1410,$AL:$AL,"&lt;=60"))-AF1410</f>
        <v>0</v>
      </c>
      <c r="AH1410" s="265">
        <f>SUM(SUMIFS($N:$N,$C:$C,"RM",$G:$G,$AD$1411,$H:$H,$AE1410,$AL:$AL,"&lt;=90")+SUMIFS($N:$N,$C:$C,"RM BAL",$G:$G,$AD$1411,$H:$H,$AE1410,$AL:$AL,"&lt;=90")+SUMIFS($N:$N,$C:$C,"MILL",$G:$G,$AD$1411,$H:$H,$AE1410,$AL:$AL,"&lt;=90")+SUMIFS($N:$N,$C:$C,"RM SLT RUST",$G:$G,$AD$1411,$H:$H,$AE1410,$AL:$AL,"&lt;=90")+SUMIFS($N:$N,$C:$C,"RM SLT DENT",$G:$G,$AD$1411,$H:$H,$AE1410,$AL:$AL,"&lt;=90")+SUMIFS($N:$N,$C:$C,"RM SLT",$G:$G,$AD$1411,$H:$H,$AE1410,$AL:$AL,"&lt;=90"))-AG1410-AF1410</f>
        <v>0</v>
      </c>
      <c r="AI1410" s="265">
        <f>SUM(SUMIFS($N:$N,$C:$C,"RM",$G:$G,$AD$1411,$H:$H,$AE1410,$AL:$AL,"&gt;=91")+SUMIFS($N:$N,$C:$C,"RM BAL",$G:$G,$AD$1411,$H:$H,$AE1410,$AL:$AL,"&gt;=91")+SUMIFS($N:$N,$C:$C,"MILL",$G:$G,$AD$1411,$H:$H,$AE1410,$AL:$AL,"&gt;=91")+SUMIFS($N:$N,$C:$C,"RM SLT RUST",$G:$G,$AD$1411,$H:$H,$AE1410,$AL:$AL,"&gt;=91")+SUMIFS($N:$N,$C:$C,"RM SLT DENT",$G:$G,$AD$1411,$H:$H,$AE1410,$AL:$AL,"&gt;=91")+SUMIFS($N:$N,$C:$C,"RM SLT",$G:$G,$AD$1411,$H:$H,$AE1410,$AL:$AL,"&gt;=91"))</f>
        <v>0</v>
      </c>
      <c r="AJ1410" s="266">
        <f t="shared" si="34"/>
        <v>0</v>
      </c>
      <c r="AL1410" s="297">
        <v>301</v>
      </c>
      <c r="AM1410" s="265">
        <f>SUMIFS($N:$N,$C:$C,"BAL",$D:$D,"BAL",$G:$G,$AL1410,$AT:$AT,"&lt;=30")</f>
        <v>0</v>
      </c>
      <c r="AN1410" s="265">
        <f>SUMIFS($N:$N,$C:$C,"BAL",$D:$D,"BAL",$G:$G,$AL1410,$AT:$AT,"&lt;=60")-AM1410</f>
        <v>0</v>
      </c>
      <c r="AO1410" s="265">
        <f>SUMIFS($N:$N,$C:$C,"BAL",$D:$D,"BAL",$G:$G,$AL1410,$AT:$AT,"&lt;=90")-AN1410-AM1410</f>
        <v>0</v>
      </c>
      <c r="AP1410" s="265">
        <f>SUMIFS($N:$N,$C:$C,"BAL",$D:$D,"BAL",$G:$G,$AL1410,$AT:$AT,"&gt;=91")</f>
        <v>0</v>
      </c>
      <c r="AQ1410" s="266">
        <f t="shared" si="35"/>
        <v>0</v>
      </c>
      <c r="AR1410" s="140"/>
      <c r="AS1410" s="140"/>
      <c r="AT1410" s="140"/>
      <c r="AU1410" s="140"/>
      <c r="BG1410" s="141"/>
      <c r="BK1410" s="140"/>
    </row>
    <row r="1411" spans="2:63" ht="21" customHeight="1" x14ac:dyDescent="0.25">
      <c r="B1411" s="282" t="s">
        <v>3788</v>
      </c>
      <c r="C1411" s="298"/>
      <c r="D1411" s="298"/>
      <c r="E1411" s="299"/>
      <c r="F1411" s="299"/>
      <c r="G1411" s="299"/>
      <c r="H1411" s="299"/>
      <c r="I1411" s="300"/>
      <c r="J1411" s="301"/>
      <c r="K1411" s="301"/>
      <c r="O1411" s="290" t="s">
        <v>3790</v>
      </c>
      <c r="P1411" s="246">
        <f>SUMIFS($N$5:$N$1394,$G$5:$G$1394,O1411,$H$5:$H$1394,"NO.1")</f>
        <v>0</v>
      </c>
      <c r="Q1411" s="246">
        <f>SUMIFS($N$5:$N$1394,$H$5:$H$1394,"FH",$D$5:$D$1394,"RM BAL",$G$5:$G$1394,O1411)</f>
        <v>0</v>
      </c>
      <c r="R1411" s="247">
        <f>SUM(SUMIFS($N$5:$N$1394,$H$5:$H$1394,"2B",$D$5:$D$1394,"RM SLT",$G$5:$G$1394,O1411)+SUMIFS($N$5:$N$1394,$H$5:$H$1394,"BA",$D$5:$D$1394,"RM SLT",$G$5:$G$1394,O1411)+SUMIFS($N$5:$N$1394,$H$5:$H$1394,"2D",$D$5:$D$1394,"RM SLT",$G$5:$G$1394,O1411))</f>
        <v>0</v>
      </c>
      <c r="S1411" s="247">
        <f>SUM(SUMIFS($N$5:$N$1394,$H$5:$H$1394,"2B",$D$5:$D$1394,"RM SLT RUST",$G$5:$G$1394,O1411)+SUMIFS($N$5:$N$1394,$H$5:$H$1394,"2B",$D$5:$D$1394,"RM SLT RUST DENT",$G$5:$G$1394,O1411)+SUMIFS($N$5:$N$1394,$H$5:$H$1394,"2B",$D$5:$D$1394,"RM SLT DENT",$G$5:$G$1394,O1411))</f>
        <v>0</v>
      </c>
      <c r="U1411" s="240" t="s">
        <v>36</v>
      </c>
      <c r="V1411" s="246">
        <f>SUM(P1413:P1415)</f>
        <v>6062.25</v>
      </c>
      <c r="W1411" s="246">
        <f>SUM(Q1413:Q1415)</f>
        <v>0</v>
      </c>
      <c r="X1411" s="246">
        <f>SUM(R1413:R1415)</f>
        <v>0</v>
      </c>
      <c r="Y1411" s="246">
        <f>SUM(S1413:S1415)</f>
        <v>0</v>
      </c>
      <c r="Z1411" s="287">
        <f t="shared" si="38"/>
        <v>6062.25</v>
      </c>
      <c r="AA1411" s="288"/>
      <c r="AB1411" s="140"/>
      <c r="AC1411" s="140"/>
      <c r="AD1411" s="302" t="s">
        <v>35</v>
      </c>
      <c r="AE1411" s="173" t="s">
        <v>127</v>
      </c>
      <c r="AF1411" s="265">
        <f ca="1">SUM(SUMIFS($N:$N,$C:$C,"RM",$G:$G,$AD$1411,$H:$H,$AE1411,$AL:$AL,"&lt;=30")+SUMIFS($N:$N,$C:$C,"RM BAL",$G:$G,$AD$1411,$H:$H,$AE1411,$AL:$AL,"&lt;=30")+SUMIFS($N:$N,$C:$C,"MILL",$G:$G,$AD$1411,$H:$H,$AE1411,$AL:$AL,"&lt;=30")+SUMIFS($N:$N,$C:$C,"RM SLT RUST",$G:$G,$AD$1411,$H:$H,$AE1411,$AL:$AL,"&lt;=30")+SUMIFS($N:$N,$C:$C,"RM SLT DENT",$G:$G,$AD$1411,$H:$H,$AE1411,$AL:$AL,"&lt;=30")+SUMIFS($N:$N,$C:$C,"RM SLT",$G:$G,$AD$1411,$H:$H,$AE1411,$AL:$AL,"&lt;=30"))</f>
        <v>0</v>
      </c>
      <c r="AG1411" s="265">
        <f ca="1">SUM(SUMIFS($N:$N,$C:$C,"RM",$G:$G,$AD$1411,$H:$H,$AE1411,$AL:$AL,"&lt;=60")+SUMIFS($N:$N,$C:$C,"RM BAL",$G:$G,$AD$1411,$H:$H,$AE1411,$AL:$AL,"&lt;=60")+SUMIFS($N:$N,$C:$C,"MILL",$G:$G,$AD$1411,$H:$H,$AE1411,$AL:$AL,"&lt;=60")+SUMIFS($N:$N,$C:$C,"RM SLT RUST",$G:$G,$AD$1411,$H:$H,$AE1411,$AL:$AL,"&lt;=60")+SUMIFS($N:$N,$C:$C,"RM SLT DENT",$G:$G,$AD$1411,$H:$H,$AE1411,$AL:$AL,"&lt;=60")+SUMIFS($N:$N,$C:$C,"RM SLT",$G:$G,$AD$1411,$H:$H,$AE1411,$AL:$AL,"&lt;=60"))-AF1411</f>
        <v>0</v>
      </c>
      <c r="AH1411" s="265">
        <f ca="1">SUM(SUMIFS($N:$N,$C:$C,"RM",$G:$G,$AD$1411,$H:$H,$AE1411,$AL:$AL,"&lt;=90")+SUMIFS($N:$N,$C:$C,"RM BAL",$G:$G,$AD$1411,$H:$H,$AE1411,$AL:$AL,"&lt;=90")+SUMIFS($N:$N,$C:$C,"MILL",$G:$G,$AD$1411,$H:$H,$AE1411,$AL:$AL,"&lt;=90")+SUMIFS($N:$N,$C:$C,"RM SLT RUST",$G:$G,$AD$1411,$H:$H,$AE1411,$AL:$AL,"&lt;=90")+SUMIFS($N:$N,$C:$C,"RM SLT DENT",$G:$G,$AD$1411,$H:$H,$AE1411,$AL:$AL,"&lt;=90")+SUMIFS($N:$N,$C:$C,"RM SLT",$G:$G,$AD$1411,$H:$H,$AE1411,$AL:$AL,"&lt;=90"))-AG1411-AF1411</f>
        <v>0</v>
      </c>
      <c r="AI1411" s="265">
        <f ca="1">SUM(SUMIFS($N:$N,$C:$C,"RM",$G:$G,$AD$1411,$H:$H,$AE1411,$AL:$AL,"&gt;=91")+SUMIFS($N:$N,$C:$C,"RM BAL",$G:$G,$AD$1411,$H:$H,$AE1411,$AL:$AL,"&gt;=91")+SUMIFS($N:$N,$C:$C,"MILL",$G:$G,$AD$1411,$H:$H,$AE1411,$AL:$AL,"&gt;=91")+SUMIFS($N:$N,$C:$C,"RM SLT RUST",$G:$G,$AD$1411,$H:$H,$AE1411,$AL:$AL,"&gt;=91")+SUMIFS($N:$N,$C:$C,"RM SLT DENT",$G:$G,$AD$1411,$H:$H,$AE1411,$AL:$AL,"&gt;=91")+SUMIFS($N:$N,$C:$C,"RM SLT",$G:$G,$AD$1411,$H:$H,$AE1411,$AL:$AL,"&gt;=91"))</f>
        <v>24.55</v>
      </c>
      <c r="AJ1411" s="266">
        <f t="shared" ca="1" si="34"/>
        <v>24.55</v>
      </c>
      <c r="AL1411" s="303" t="s">
        <v>39</v>
      </c>
      <c r="AM1411" s="304">
        <f ca="1">SUM(AQ1398:AQ1408)</f>
        <v>114.73499999999999</v>
      </c>
      <c r="AN1411" s="304">
        <f ca="1">SUM(AR1398:AR1408)</f>
        <v>0</v>
      </c>
      <c r="AO1411" s="304">
        <f ca="1">SUM(AS1398:AS1408)</f>
        <v>0</v>
      </c>
      <c r="AP1411" s="304">
        <f ca="1">SUM(AT1398:AT1408)</f>
        <v>18.600000000000001</v>
      </c>
      <c r="AQ1411" s="276">
        <f ca="1">SUM(AU1398:AU1408)</f>
        <v>133.33499999999998</v>
      </c>
      <c r="AR1411" s="140"/>
      <c r="AS1411" s="140"/>
      <c r="AT1411" s="140"/>
      <c r="AU1411" s="140"/>
      <c r="BG1411" s="141"/>
      <c r="BK1411" s="140"/>
    </row>
    <row r="1412" spans="2:63" ht="21" customHeight="1" x14ac:dyDescent="0.25">
      <c r="B1412" s="233" t="s">
        <v>25</v>
      </c>
      <c r="C1412" s="233" t="s">
        <v>16</v>
      </c>
      <c r="D1412" s="234" t="s">
        <v>18</v>
      </c>
      <c r="E1412" s="235"/>
      <c r="F1412" s="235"/>
      <c r="G1412" s="235"/>
      <c r="H1412" s="235"/>
      <c r="I1412" s="236"/>
      <c r="J1412" s="233" t="s">
        <v>21</v>
      </c>
      <c r="K1412" s="233" t="s">
        <v>23</v>
      </c>
      <c r="O1412" s="290" t="s">
        <v>35</v>
      </c>
      <c r="P1412" s="246">
        <f>SUMIFS($N$5:$N$1394,$G$5:$G$1394,O1412,$H$5:$H$1394,"NO.1")</f>
        <v>24.55</v>
      </c>
      <c r="Q1412" s="246">
        <f>SUMIFS($N$5:$N$1394,$H$5:$H$1394,"FH",$D$5:$D$1394,"RM BAL",$G$5:$G$1394,O1412)</f>
        <v>0</v>
      </c>
      <c r="R1412" s="247">
        <f>SUM(SUMIFS($N$5:$N$1394,$H$5:$H$1394,"2B",$D$5:$D$1394,"RM SLT",$G$5:$G$1394,O1412)+SUMIFS($N$5:$N$1394,$H$5:$H$1394,"BA",$D$5:$D$1394,"RM SLT",$G$5:$G$1394,O1412)+SUMIFS($N$5:$N$1394,$H$5:$H$1394,"2D",$D$5:$D$1394,"RM SLT",$G$5:$G$1394,O1412))</f>
        <v>0</v>
      </c>
      <c r="S1412" s="247">
        <f>SUM(SUMIFS($N$5:$N$1394,$H$5:$H$1394,"2B",$D$5:$D$1394,"RM SLT RUST",$G$5:$G$1394,O1412)+SUMIFS($N$5:$N$1394,$H$5:$H$1394,"2B",$D$5:$D$1394,"RM SLT RUST DENT",$G$5:$G$1394,O1412)+SUMIFS($N$5:$N$1394,$H$5:$H$1394,"2B",$D$5:$D$1394,"RM SLT DENT",$G$5:$G$1394,O1412))</f>
        <v>0</v>
      </c>
      <c r="U1412" s="240" t="s">
        <v>37</v>
      </c>
      <c r="V1412" s="246">
        <f>SUM(P1416:P1417)</f>
        <v>113.99</v>
      </c>
      <c r="W1412" s="246">
        <f>SUM(Q1416:Q1417)</f>
        <v>0</v>
      </c>
      <c r="X1412" s="246">
        <f>SUM(R1416:R1417)</f>
        <v>0</v>
      </c>
      <c r="Y1412" s="246">
        <f>SUM(S1416:S1417)</f>
        <v>0</v>
      </c>
      <c r="Z1412" s="287">
        <f t="shared" si="38"/>
        <v>113.99</v>
      </c>
      <c r="AA1412" s="288"/>
      <c r="AB1412" s="140"/>
      <c r="AC1412" s="140"/>
      <c r="AD1412" s="302"/>
      <c r="AE1412" s="272" t="s">
        <v>51</v>
      </c>
      <c r="AF1412" s="265">
        <f>SUM(SUMIFS($N:$N,$C:$C,"RM",$G:$G,$AD$1411,$H:$H,"2B",$AL:$AL,"&lt;=30")+SUMIFS($N:$N,$C:$C,"RM BAL",$G:$G,$AD$1411,$H:$H,"2B",$AL:$AL,"&lt;=30")+SUMIFS($N:$N,$C:$C,"MILL",$G:$G,$AD$1411,$H:$H,"2B",$AL:$AL,"&lt;=30")+SUMIFS($N:$N,$C:$C,"RM SLT RUST",$G:$G,$AD$1411,$H:$H,"2B",$AL:$AL,"&lt;=30")+SUMIFS($N:$N,$C:$C,"RM SLT DENT",$G:$G,$AD$1411,$H:$H,"2B",$AL:$AL,"&lt;=30")+SUMIFS($N:$N,$C:$C,"RM SLT",$G:$G,$AD$1411,$H:$H,"2B",$AL:$AL,"&lt;=30")+SUMIFS($N:$N,$C:$C,"RM SLT",$G:$G,$AD$1411,$H:$H,"BA",$AL:$AL,"&lt;=30")+SUMIFS($N:$N,$C:$C,"RM SLT",$G:$G,$AD$1411,$H:$H,"2D",$AL:$AL,"&lt;=30"))</f>
        <v>0</v>
      </c>
      <c r="AG1412" s="265">
        <f>SUM(SUMIFS($N:$N,$C:$C,"RM",$G:$G,$AD$1411,$H:$H,"2B",$AL:$AL,"&lt;=60")+SUMIFS($N:$N,$C:$C,"RM BAL",$G:$G,$AD$1411,$H:$H,"2B",$AL:$AL,"&lt;=60")+SUMIFS($N:$N,$C:$C,"MILL",$G:$G,$AD$1411,$H:$H,"2B",$AL:$AL,"&lt;=60")+SUMIFS($N:$N,$C:$C,"RM SLT RUST",$G:$G,$AD$1411,$H:$H,"2B",$AL:$AL,"&lt;=60")+SUMIFS($N:$N,$C:$C,"RM SLT DENT",$G:$G,$AD$1411,$H:$H,"2B",$AL:$AL,"&lt;=60")+SUMIFS($N:$N,$C:$C,"RM SLT",$G:$G,$AD$1411,$H:$H,"2B",$AL:$AL,"&lt;=60")+SUMIFS($N:$N,$C:$C,"RM SLT",$G:$G,$AD$1411,$H:$H,"BA",$AL:$AL,"&lt;=60")+SUMIFS($N:$N,$C:$C,"RM SLT",$G:$G,$AD$1411,$H:$H,"2D",$AL:$AL,"&lt;=60"))-AF1412</f>
        <v>0</v>
      </c>
      <c r="AH1412" s="265">
        <f>SUM(SUMIFS($N:$N,$C:$C,"RM",$G:$G,$AD$1411,$H:$H,"2B",$AL:$AL,"&lt;=90")+SUMIFS($N:$N,$C:$C,"RM BAL",$G:$G,$AD$1411,$H:$H,"2B",$AL:$AL,"&lt;=90")+SUMIFS($N:$N,$C:$C,"MILL",$G:$G,$AD$1411,$H:$H,"2B",$AL:$AL,"&lt;=90")+SUMIFS($N:$N,$C:$C,"RM SLT RUST",$G:$G,$AD$1411,$H:$H,"2B",$AL:$AL,"&lt;=90")+SUMIFS($N:$N,$C:$C,"RM SLT DENT",$G:$G,$AD$1411,$H:$H,"2B",$AL:$AL,"&lt;=90")+SUMIFS($N:$N,$C:$C,"RM SLT",$G:$G,$AD$1411,$H:$H,"2B",$AL:$AL,"&lt;=90")+SUMIFS($N:$N,$C:$C,"RM SLT",$G:$G,$AD$1411,$H:$H,"BA",$AL:$AL,"&lt;=90")+SUMIFS($N:$N,$C:$C,"RM SLT",$G:$G,$AD$1411,$H:$H,"2D",$AL:$AL,"&lt;=90"))-AG1412-AF1412</f>
        <v>0</v>
      </c>
      <c r="AI1412" s="265">
        <f>SUM(SUMIFS($N:$N,$C:$C,"RM",$G:$G,$AD$1411,$H:$H,"2B",$AL:$AL,"&gt;=91")+SUMIFS($N:$N,$C:$C,"RM BAL",$G:$G,$AD$1411,$H:$H,"2B",$AL:$AL,"&gt;=91")+SUMIFS($N:$N,$C:$C,"MILL",$G:$G,$AD$1411,$H:$H,"2B",$AL:$AL,"&gt;=91")+SUMIFS($N:$N,$C:$C,"RM SLT RUST",$G:$G,$AD$1411,$H:$H,"2B",$AL:$AL,"&gt;=91")+SUMIFS($N:$N,$C:$C,"RM SLT DENT",$G:$G,$AD$1411,$H:$H,"2B",$AL:$AL,"&gt;=91")+SUMIFS($N:$N,$C:$C,"RM SLT",$G:$G,$AD$1411,$H:$H,"2B",$AL:$AL,"&gt;=91")+SUMIFS($N:$N,$C:$C,"RM SLT",$G:$G,$AD$1411,$H:$H,"BA",$AL:$AL,"&gt;=91")+SUMIFS($N:$N,$C:$C,"RM SLT",$G:$G,$AD$1411,$H:$H,"2D",$AL:$AL,"&gt;=91"))</f>
        <v>0</v>
      </c>
      <c r="AJ1412" s="266">
        <f t="shared" si="34"/>
        <v>0</v>
      </c>
      <c r="AL1412" s="305"/>
      <c r="AM1412" s="24"/>
      <c r="AN1412"/>
      <c r="AO1412" s="306"/>
      <c r="AP1412" s="306"/>
      <c r="AQ1412" s="306"/>
      <c r="AR1412" s="140"/>
      <c r="AS1412" s="140"/>
      <c r="AT1412" s="140"/>
      <c r="AU1412" s="140"/>
      <c r="BG1412" s="141"/>
      <c r="BK1412" s="140"/>
    </row>
    <row r="1413" spans="2:63" ht="21" customHeight="1" x14ac:dyDescent="0.25">
      <c r="B1413" s="243"/>
      <c r="C1413" s="243"/>
      <c r="D1413" s="244" t="s">
        <v>41</v>
      </c>
      <c r="E1413" s="244" t="s">
        <v>42</v>
      </c>
      <c r="F1413" s="245" t="s">
        <v>43</v>
      </c>
      <c r="G1413" s="244" t="s">
        <v>44</v>
      </c>
      <c r="H1413" s="244" t="s">
        <v>3778</v>
      </c>
      <c r="I1413" s="244" t="s">
        <v>3779</v>
      </c>
      <c r="J1413" s="243"/>
      <c r="K1413" s="243"/>
      <c r="O1413" s="290">
        <v>304</v>
      </c>
      <c r="P1413" s="246">
        <f>SUMIFS($N$5:$N$1394,$G$5:$G$1394,O1413,$H$5:$H$1394,"NO.1")</f>
        <v>2765.2750000000005</v>
      </c>
      <c r="Q1413" s="246">
        <f>SUMIFS($N$5:$N$1394,$H$5:$H$1394,"FH",$D$5:$D$1394,"RM BAL",$G$5:$G$1394,O1413)</f>
        <v>0</v>
      </c>
      <c r="R1413" s="247">
        <f>SUM(SUMIFS($N$5:$N$1394,$H$5:$H$1394,"2B",$D$5:$D$1394,"RM SLT",$G$5:$G$1394,O1413)+SUMIFS($N$5:$N$1394,$H$5:$H$1394,"BA",$D$5:$D$1394,"RM SLT",$G$5:$G$1394,O1413)+SUMIFS($N$5:$N$1394,$H$5:$H$1394,"2D",$D$5:$D$1394,"RM SLT",$G$5:$G$1394,O1413))</f>
        <v>0</v>
      </c>
      <c r="S1413" s="247">
        <f>SUM(SUMIFS($N$5:$N$1394,$H$5:$H$1394,"2B",$D$5:$D$1394,"RM SLT RUST",$G$5:$G$1394,O1413)+SUMIFS($N$5:$N$1394,$H$5:$H$1394,"2B",$D$5:$D$1394,"RM SLT RUST DENT",$G$5:$G$1394,O1413)+SUMIFS($N$5:$N$1394,$H$5:$H$1394,"2B",$D$5:$D$1394,"RM SLT DENT",$G$5:$G$1394,O1413))</f>
        <v>0</v>
      </c>
      <c r="U1413" s="240">
        <v>430</v>
      </c>
      <c r="V1413" s="246">
        <f t="shared" ref="V1413:X1416" si="39">P1418</f>
        <v>20.887999999999998</v>
      </c>
      <c r="W1413" s="246">
        <f t="shared" si="39"/>
        <v>0</v>
      </c>
      <c r="X1413" s="246">
        <f t="shared" si="39"/>
        <v>0</v>
      </c>
      <c r="Y1413" s="246">
        <f>S1418</f>
        <v>0</v>
      </c>
      <c r="Z1413" s="287">
        <f t="shared" si="38"/>
        <v>20.887999999999998</v>
      </c>
      <c r="AA1413" s="288"/>
      <c r="AB1413" s="140"/>
      <c r="AC1413" s="140"/>
      <c r="AD1413" s="307"/>
      <c r="AE1413" s="264" t="s">
        <v>70</v>
      </c>
      <c r="AF1413" s="265">
        <f>SUM(SUMIFS($N:$N,$C:$C,"RM",$G:$G,$AD$1414,$H:$H,$AE1413,$AL:$AL,"&lt;=30")+SUMIFS($N:$N,$C:$C,"RM BAL",$G:$G,$AD$1414,$H:$H,$AE1413,$AL:$AL,"&lt;=30")+SUMIFS($N:$N,$C:$C,"MILL",$G:$G,$AD$1414,$H:$H,$AE1413,$AL:$AL,"&lt;=30")+SUMIFS($N:$N,$C:$C,"RM SLT RUST",$G:$G,$AD$1414,$H:$H,$AE1413,$AL:$AL,"&lt;=30")+SUMIFS($N:$N,$C:$C,"RM SLT DENT",$G:$G,$AD$1414,$H:$H,$AE1413,$AL:$AL,"&lt;=30")+SUMIFS($N:$N,$C:$C,"RM SLT",$G:$G,$AD$1414,$H:$H,$AE1413,$AL:$AL,"&lt;=30"))</f>
        <v>0</v>
      </c>
      <c r="AG1413" s="265">
        <f>SUM(SUMIFS($N:$N,$C:$C,"RM",$G:$G,$AD$1414,$H:$H,$AE1413,$AL:$AL,"&lt;=60")+SUMIFS($N:$N,$C:$C,"RM BAL",$G:$G,$AD$1414,$H:$H,$AE1413,$AL:$AL,"&lt;=60")+SUMIFS($N:$N,$C:$C,"MILL",$G:$G,$AD$1414,$H:$H,$AE1413,$AL:$AL,"&lt;=60")+SUMIFS($N:$N,$C:$C,"RM SLT RUST",$G:$G,$AD$1414,$H:$H,$AE1413,$AL:$AL,"&lt;=60")+SUMIFS($N:$N,$C:$C,"RM SLT DENT",$G:$G,$AD$1414,$H:$H,$AE1413,$AL:$AL,"&lt;=60")+SUMIFS($N:$N,$C:$C,"RM SLT",$G:$G,$AD$1414,$H:$H,$AE1413,$AL:$AL,"&lt;=60"))-AF1413</f>
        <v>0</v>
      </c>
      <c r="AH1413" s="265">
        <f>SUM(SUMIFS($N:$N,$C:$C,"RM",$G:$G,$AD$1414,$H:$H,$AE1413,$AL:$AL,"&lt;=90")+SUMIFS($N:$N,$C:$C,"RM BAL",$G:$G,$AD$1414,$H:$H,$AE1413,$AL:$AL,"&lt;=90")+SUMIFS($N:$N,$C:$C,"MILL",$G:$G,$AD$1414,$H:$H,$AE1413,$AL:$AL,"&lt;=90")+SUMIFS($N:$N,$C:$C,"RM SLT RUST",$G:$G,$AD$1414,$H:$H,$AE1413,$AL:$AL,"&lt;=90")+SUMIFS($N:$N,$C:$C,"RM SLT DENT",$G:$G,$AD$1414,$H:$H,$AE1413,$AL:$AL,"&lt;=90")+SUMIFS($N:$N,$C:$C,"RM SLT",$G:$G,$AD$1414,$H:$H,$AE1413,$AL:$AL,"&lt;=90"))-AG1413-AF1413</f>
        <v>0</v>
      </c>
      <c r="AI1413" s="265">
        <f>SUM(SUMIFS($N:$N,$C:$C,"RM",$G:$G,$AD$1414,$H:$H,$AE1413,$AL:$AL,"&gt;=91")+SUMIFS($N:$N,$C:$C,"RM BAL",$G:$G,$AD$1414,$H:$H,$AE1413,$AL:$AL,"&gt;=91")+SUMIFS($N:$N,$C:$C,"MILL",$G:$G,$AD$1414,$H:$H,$AE1413,$AL:$AL,"&gt;=91")+SUMIFS($N:$N,$C:$C,"RM SLT RUST",$G:$G,$AD$1414,$H:$H,$AE1413,$AL:$AL,"&gt;=91")+SUMIFS($N:$N,$C:$C,"RM SLT DENT",$G:$G,$AD$1414,$H:$H,$AE1413,$AL:$AL,"&gt;=91")+SUMIFS($N:$N,$C:$C,"RM SLT",$G:$G,$AD$1414,$H:$H,$AE1413,$AL:$AL,"&gt;=91"))</f>
        <v>0</v>
      </c>
      <c r="AJ1413" s="266">
        <f t="shared" si="34"/>
        <v>0</v>
      </c>
      <c r="AL1413" s="242"/>
      <c r="AM1413"/>
      <c r="AN1413"/>
      <c r="AO1413"/>
      <c r="AP1413"/>
      <c r="AQ1413"/>
      <c r="AR1413" s="140"/>
      <c r="AS1413" s="140"/>
      <c r="AT1413" s="140"/>
      <c r="AU1413" s="140"/>
      <c r="BG1413" s="141"/>
      <c r="BK1413" s="140"/>
    </row>
    <row r="1414" spans="2:63" ht="21" customHeight="1" x14ac:dyDescent="0.25">
      <c r="B1414" s="246">
        <v>201</v>
      </c>
      <c r="C1414" s="246">
        <f>SUMIFS($N$5:$N$1394,$C$5:$C$1394,"BAL",$D$5:$D$1394,"BAL",$G$5:$G$1394,B1414)</f>
        <v>0</v>
      </c>
      <c r="D1414" s="246">
        <f>SUMIFS($N$5:$N$1394,$D$5:$D$1394,"WAIT MULTI",$G$5:$G$1394,B1414)</f>
        <v>0</v>
      </c>
      <c r="E1414" s="246">
        <f>SUMIFS($N$5:$N$1394,$D$5:$D$1394,"HOLD SLT",$G$5:$G$1394,B1414)</f>
        <v>0</v>
      </c>
      <c r="F1414" s="246">
        <f>SUMIFS($N$5:$N$1394,$D$5:$D$1394,"RR ALLOCATED",$G$5:$G$1394,B1414)</f>
        <v>0</v>
      </c>
      <c r="G1414" s="246">
        <f>SUMIFS($N$5:$N$1394,$D$5:$D$1394,"STOCK RR",$G$5:$G$1394,B1414)</f>
        <v>0</v>
      </c>
      <c r="H1414" s="246">
        <f>SUMIFS($N$5:$N$1394,$D$5:$D$1394,"STOCK NO CUST",$G$5:$G$1394,B1414)</f>
        <v>0</v>
      </c>
      <c r="I1414" s="246">
        <f>SUMIFS($N$5:$N$1394,$D$5:$D$1394,"STOCK KW2",$G$5:$G$1394,B1414)</f>
        <v>0</v>
      </c>
      <c r="J1414" s="246">
        <f>SUMIFS($N$5:$N$1394,$C$5:$C$1394,"CTL",$G$5:$G$1394,B1414)</f>
        <v>0</v>
      </c>
      <c r="K1414" s="287">
        <f t="shared" ref="K1414:K1428" si="40">SUM(C1414:J1414)</f>
        <v>0</v>
      </c>
      <c r="O1414" s="290" t="s">
        <v>614</v>
      </c>
      <c r="P1414" s="246">
        <f>SUMIFS($N$5:$N$1394,$G$5:$G$1394,O1414,$H$5:$H$1394,"NO.1")</f>
        <v>0</v>
      </c>
      <c r="Q1414" s="246">
        <f>SUMIFS($N$5:$N$1394,$H$5:$H$1394,"FH",$D$5:$D$1394,"RM BAL",$G$5:$G$1394,O1414)</f>
        <v>0</v>
      </c>
      <c r="R1414" s="247">
        <f>SUM(SUMIFS($N$5:$N$1394,$H$5:$H$1394,"2B",$D$5:$D$1394,"RM SLT",$G$5:$G$1394,O1414)+SUMIFS($N$5:$N$1394,$H$5:$H$1394,"BA",$D$5:$D$1394,"RM SLT",$G$5:$G$1394,O1414)+SUMIFS($N$5:$N$1394,$H$5:$H$1394,"2D",$D$5:$D$1394,"RM SLT",$G$5:$G$1394,O1414))</f>
        <v>0</v>
      </c>
      <c r="S1414" s="247">
        <f>SUM(SUMIFS($N$5:$N$1394,$H$5:$H$1394,"2B",$D$5:$D$1394,"RM SLT RUST",$G$5:$G$1394,O1414)+SUMIFS($N$5:$N$1394,$H$5:$H$1394,"2B",$D$5:$D$1394,"RM SLT RUST DENT",$G$5:$G$1394,O1414)+SUMIFS($N$5:$N$1394,$H$5:$H$1394,"2B",$D$5:$D$1394,"RM SLT DENT",$G$5:$G$1394,O1414))</f>
        <v>0</v>
      </c>
      <c r="U1414" s="240" t="s">
        <v>38</v>
      </c>
      <c r="V1414" s="246">
        <f t="shared" si="39"/>
        <v>0</v>
      </c>
      <c r="W1414" s="246">
        <f t="shared" si="39"/>
        <v>0</v>
      </c>
      <c r="X1414" s="246">
        <f t="shared" si="39"/>
        <v>0</v>
      </c>
      <c r="Y1414" s="246">
        <f>S1419</f>
        <v>0</v>
      </c>
      <c r="Z1414" s="287">
        <f t="shared" si="38"/>
        <v>0</v>
      </c>
      <c r="AA1414" s="288"/>
      <c r="AB1414" s="140"/>
      <c r="AC1414" s="140"/>
      <c r="AD1414" s="308">
        <v>304</v>
      </c>
      <c r="AE1414" s="173" t="s">
        <v>127</v>
      </c>
      <c r="AF1414" s="265">
        <f ca="1">SUM(SUMIFS($N:$N,$C:$C,"RM",$G:$G,$AD$1414,$H:$H,$AE1414,$AL:$AL,"&lt;=30")+SUMIFS($N:$N,$C:$C,"RM BAL",$G:$G,$AD$1414,$H:$H,$AE1414,$AL:$AL,"&lt;=30")+SUMIFS($N:$N,$C:$C,"MILL",$G:$G,$AD$1414,$H:$H,$AE1414,$AL:$AL,"&lt;=30")+SUMIFS($N:$N,$C:$C,"RM SLT RUST",$G:$G,$AD$1414,$H:$H,$AE1414,$AL:$AL,"&lt;=30")+SUMIFS($N:$N,$C:$C,"RM SLT DENT",$G:$G,$AD$1414,$H:$H,$AE1414,$AL:$AL,"&lt;=30")+SUMIFS($N:$N,$C:$C,"RM SLT",$G:$G,$AD$1414,$H:$H,$AE1414,$AL:$AL,"&lt;=30"))</f>
        <v>1547.8199999999997</v>
      </c>
      <c r="AG1414" s="265">
        <f ca="1">SUM(SUMIFS($N:$N,$C:$C,"RM",$G:$G,$AD$1414,$H:$H,$AE1414,$AL:$AL,"&lt;=60")+SUMIFS($N:$N,$C:$C,"RM BAL",$G:$G,$AD$1414,$H:$H,$AE1414,$AL:$AL,"&lt;=60")+SUMIFS($N:$N,$C:$C,"MILL",$G:$G,$AD$1414,$H:$H,$AE1414,$AL:$AL,"&lt;=60")+SUMIFS($N:$N,$C:$C,"RM SLT RUST",$G:$G,$AD$1414,$H:$H,$AE1414,$AL:$AL,"&lt;=60")+SUMIFS($N:$N,$C:$C,"RM SLT DENT",$G:$G,$AD$1414,$H:$H,$AE1414,$AL:$AL,"&lt;=60")+SUMIFS($N:$N,$C:$C,"RM SLT",$G:$G,$AD$1414,$H:$H,$AE1414,$AL:$AL,"&lt;=60"))-AF1414</f>
        <v>326.64000000000033</v>
      </c>
      <c r="AH1414" s="265">
        <f ca="1">SUM(SUMIFS($N:$N,$C:$C,"RM",$G:$G,$AD$1414,$H:$H,$AE1414,$AL:$AL,"&lt;=90")+SUMIFS($N:$N,$C:$C,"RM BAL",$G:$G,$AD$1414,$H:$H,$AE1414,$AL:$AL,"&lt;=90")+SUMIFS($N:$N,$C:$C,"MILL",$G:$G,$AD$1414,$H:$H,$AE1414,$AL:$AL,"&lt;=90")+SUMIFS($N:$N,$C:$C,"RM SLT RUST",$G:$G,$AD$1414,$H:$H,$AE1414,$AL:$AL,"&lt;=90")+SUMIFS($N:$N,$C:$C,"RM SLT DENT",$G:$G,$AD$1414,$H:$H,$AE1414,$AL:$AL,"&lt;=90")+SUMIFS($N:$N,$C:$C,"RM SLT",$G:$G,$AD$1414,$H:$H,$AE1414,$AL:$AL,"&lt;=90"))-AG1414-AF1414</f>
        <v>711.16000000000076</v>
      </c>
      <c r="AI1414" s="265">
        <f ca="1">SUM(SUMIFS($N:$N,$C:$C,"RM",$G:$G,$AD$1414,$H:$H,$AE1414,$AL:$AL,"&gt;=91")+SUMIFS($N:$N,$C:$C,"RM BAL",$G:$G,$AD$1414,$H:$H,$AE1414,$AL:$AL,"&gt;=91")+SUMIFS($N:$N,$C:$C,"MILL",$G:$G,$AD$1414,$H:$H,$AE1414,$AL:$AL,"&gt;=91")+SUMIFS($N:$N,$C:$C,"RM SLT RUST",$G:$G,$AD$1414,$H:$H,$AE1414,$AL:$AL,"&gt;=91")+SUMIFS($N:$N,$C:$C,"RM SLT DENT",$G:$G,$AD$1414,$H:$H,$AE1414,$AL:$AL,"&gt;=91")+SUMIFS($N:$N,$C:$C,"RM SLT",$G:$G,$AD$1414,$H:$H,$AE1414,$AL:$AL,"&gt;=91"))</f>
        <v>179.65500000000003</v>
      </c>
      <c r="AJ1414" s="266">
        <f t="shared" ca="1" si="34"/>
        <v>2765.275000000001</v>
      </c>
      <c r="AL1414" s="242" t="s">
        <v>3791</v>
      </c>
      <c r="AM1414"/>
      <c r="AN1414"/>
      <c r="AO1414"/>
      <c r="AP1414"/>
      <c r="AQ1414"/>
      <c r="AR1414" s="140"/>
      <c r="AS1414" s="140"/>
      <c r="AT1414" s="140"/>
      <c r="AU1414" s="140"/>
      <c r="BG1414" s="141"/>
      <c r="BK1414" s="140"/>
    </row>
    <row r="1415" spans="2:63" ht="21" customHeight="1" x14ac:dyDescent="0.25">
      <c r="B1415" s="246" t="s">
        <v>32</v>
      </c>
      <c r="C1415" s="246">
        <f>SUMIFS($N$5:$N$1394,$C$5:$C$1394,"BAL",$D$5:$D$1394,"BAL",$G$5:$G$1394,B1415)</f>
        <v>0</v>
      </c>
      <c r="D1415" s="246">
        <f>SUMIFS($N$5:$N$1394,$D$5:$D$1394,"WAIT MULTI",$G$5:$G$1394,B1415)</f>
        <v>0</v>
      </c>
      <c r="E1415" s="246">
        <f>SUMIFS($N$5:$N$1394,$D$5:$D$1394,"HOLD SLT",$G$5:$G$1394,B1415)</f>
        <v>0</v>
      </c>
      <c r="F1415" s="246">
        <f>SUMIFS($N$5:$N$1394,$D$5:$D$1394,"RR ALLOCATED",$G$5:$G$1394,B1415)</f>
        <v>0</v>
      </c>
      <c r="G1415" s="246">
        <f>SUMIFS($N$5:$N$1394,$D$5:$D$1394,"STOCK RR",$G$5:$G$1394,B1415)</f>
        <v>0</v>
      </c>
      <c r="H1415" s="246">
        <f>SUMIFS($N$5:$N$1394,$D$5:$D$1394,"STOCK NO CUST",$G$5:$G$1394,B1415)</f>
        <v>7.3149999999999995</v>
      </c>
      <c r="I1415" s="246">
        <f>SUMIFS($N$5:$N$1394,$D$5:$D$1394,"STOCK KW2",$G$5:$G$1394,B1415)</f>
        <v>0</v>
      </c>
      <c r="J1415" s="246">
        <f>SUMIFS($N$5:$N$1394,$C$5:$C$1394,"CTL",$G$5:$G$1394,B1415)</f>
        <v>0</v>
      </c>
      <c r="K1415" s="287">
        <f t="shared" si="40"/>
        <v>7.3149999999999995</v>
      </c>
      <c r="O1415" s="290" t="s">
        <v>182</v>
      </c>
      <c r="P1415" s="246">
        <f>SUMIFS($N$5:$N$1394,$G$5:$G$1394,O1415,$H$5:$H$1394,"NO.1")</f>
        <v>3296.9749999999999</v>
      </c>
      <c r="Q1415" s="246">
        <f>SUMIFS($N$5:$N$1394,$H$5:$H$1394,"FH",$D$5:$D$1394,"RM BAL",$G$5:$G$1394,O1415)</f>
        <v>0</v>
      </c>
      <c r="R1415" s="247">
        <f>SUM(SUMIFS($N$5:$N$1394,$H$5:$H$1394,"2B",$D$5:$D$1394,"RM SLT",$G$5:$G$1394,O1415)+SUMIFS($N$5:$N$1394,$H$5:$H$1394,"BA",$D$5:$D$1394,"RM SLT",$G$5:$G$1394,O1415)+SUMIFS($N$5:$N$1394,$H$5:$H$1394,"2D",$D$5:$D$1394,"RM SLT",$G$5:$G$1394,O1415))</f>
        <v>0</v>
      </c>
      <c r="S1415" s="247">
        <f>SUM(SUMIFS($N$5:$N$1394,$H$5:$H$1394,"2B",$D$5:$D$1394,"RM SLT RUST",$G$5:$G$1394,O1415)+SUMIFS($N$5:$N$1394,$H$5:$H$1394,"2B",$D$5:$D$1394,"RM SLT RUST DENT",$G$5:$G$1394,O1415)+SUMIFS($N$5:$N$1394,$H$5:$H$1394,"2B",$D$5:$D$1394,"RM SLT DENT",$G$5:$G$1394,O1415))</f>
        <v>0</v>
      </c>
      <c r="U1415" s="240">
        <v>410</v>
      </c>
      <c r="V1415" s="246">
        <f t="shared" si="39"/>
        <v>0</v>
      </c>
      <c r="W1415" s="246">
        <f t="shared" si="39"/>
        <v>0</v>
      </c>
      <c r="X1415" s="246">
        <f t="shared" si="39"/>
        <v>8.4570000000000007</v>
      </c>
      <c r="Y1415" s="246">
        <f>S1420</f>
        <v>0</v>
      </c>
      <c r="Z1415" s="287">
        <f t="shared" si="38"/>
        <v>8.4570000000000007</v>
      </c>
      <c r="AA1415" s="288"/>
      <c r="AB1415" s="140"/>
      <c r="AC1415" s="140"/>
      <c r="AD1415" s="308"/>
      <c r="AE1415" s="272" t="s">
        <v>51</v>
      </c>
      <c r="AF1415" s="265">
        <f>SUM(SUMIFS($N:$N,$C:$C,"RM",$G:$G,$AD$1414,$H:$H,"2B",$AL:$AL,"&lt;=30")+SUMIFS($N:$N,$C:$C,"RM BAL",$G:$G,$AD$1414,$H:$H,"2B",$AL:$AL,"&lt;=30")+SUMIFS($N:$N,$C:$C,"MILL",$G:$G,$AD$1414,$H:$H,"2B",$AL:$AL,"&lt;=30")+SUMIFS($N:$N,$C:$C,"RM SLT RUST",$G:$G,$AD$1414,$H:$H,"2B",$AL:$AL,"&lt;=30")+SUMIFS($N:$N,$C:$C,"RM SLT DENT",$G:$G,$AD$1414,$H:$H,"2B",$AL:$AL,"&lt;=30")+SUMIFS($N:$N,$C:$C,"RM SLT",$G:$G,$AD$1414,$H:$H,"2B",$AL:$AL,"&lt;=30")+SUMIFS($N:$N,$C:$C,"RM SLT",$G:$G,$AD$1414,$H:$H,"BA",$AL:$AL,"&lt;=30")+SUMIFS($N:$N,$C:$C,"RM SLT",$G:$G,$AD$1414,$H:$H,"2D",$AL:$AL,"&lt;=30"))</f>
        <v>0</v>
      </c>
      <c r="AG1415" s="265">
        <f>SUM(SUMIFS($N:$N,$C:$C,"RM",$G:$G,$AD$1414,$H:$H,"2B",$AL:$AL,"&lt;=60")+SUMIFS($N:$N,$C:$C,"RM BAL",$G:$G,$AD$1414,$H:$H,"2B",$AL:$AL,"&lt;=60")+SUMIFS($N:$N,$C:$C,"MILL",$G:$G,$AD$1414,$H:$H,"2B",$AL:$AL,"&lt;=60")+SUMIFS($N:$N,$C:$C,"RM SLT RUST",$G:$G,$AD$1414,$H:$H,"2B",$AL:$AL,"&lt;=60")+SUMIFS($N:$N,$C:$C,"RM SLT DENT",$G:$G,$AD$1414,$H:$H,"2B",$AL:$AL,"&lt;=60")+SUMIFS($N:$N,$C:$C,"RM SLT",$G:$G,$AD$1414,$H:$H,"2B",$AL:$AL,"&lt;=60")+SUMIFS($N:$N,$C:$C,"RM SLT",$G:$G,$AD$1414,$H:$H,"BA",$AL:$AL,"&lt;=60")+SUMIFS($N:$N,$C:$C,"RM SLT",$G:$G,$AD$1414,$H:$H,"2D",$AL:$AL,"&lt;=60"))-AF1415</f>
        <v>0</v>
      </c>
      <c r="AH1415" s="265">
        <f>SUM(SUMIFS($N:$N,$C:$C,"RM",$G:$G,$AD$1414,$H:$H,"2B",$AL:$AL,"&lt;=90")+SUMIFS($N:$N,$C:$C,"RM BAL",$G:$G,$AD$1414,$H:$H,"2B",$AL:$AL,"&lt;=90")+SUMIFS($N:$N,$C:$C,"MILL",$G:$G,$AD$1414,$H:$H,"2B",$AL:$AL,"&lt;=90")+SUMIFS($N:$N,$C:$C,"RM SLT RUST",$G:$G,$AD$1414,$H:$H,"2B",$AL:$AL,"&lt;=90")+SUMIFS($N:$N,$C:$C,"RM SLT DENT",$G:$G,$AD$1414,$H:$H,"2B",$AL:$AL,"&lt;=90")+SUMIFS($N:$N,$C:$C,"RM SLT",$G:$G,$AD$1414,$H:$H,"2B",$AL:$AL,"&lt;=90")+SUMIFS($N:$N,$C:$C,"RM SLT",$G:$G,$AD$1414,$H:$H,"BA",$AL:$AL,"&lt;=90")+SUMIFS($N:$N,$C:$C,"RM SLT",$G:$G,$AD$1414,$H:$H,"2D",$AL:$AL,"&lt;=90"))-AG1415-AF1415</f>
        <v>0</v>
      </c>
      <c r="AI1415" s="265">
        <f>SUM(SUMIFS($N:$N,$C:$C,"RM",$G:$G,$AD$1414,$H:$H,"2B",$AL:$AL,"&gt;=91")+SUMIFS($N:$N,$C:$C,"RM BAL",$G:$G,$AD$1414,$H:$H,"2B",$AL:$AL,"&gt;=91")+SUMIFS($N:$N,$C:$C,"MILL",$G:$G,$AD$1414,$H:$H,"2B",$AL:$AL,"&gt;=91")+SUMIFS($N:$N,$C:$C,"RM SLT RUST",$G:$G,$AD$1414,$H:$H,"2B",$AL:$AL,"&gt;=91")+SUMIFS($N:$N,$C:$C,"RM SLT DENT",$G:$G,$AD$1414,$H:$H,"2B",$AL:$AL,"&gt;=91")+SUMIFS($N:$N,$C:$C,"RM SLT",$G:$G,$AD$1414,$H:$H,"2B",$AL:$AL,"&gt;=91")+SUMIFS($N:$N,$C:$C,"RM SLT",$G:$G,$AD$1414,$H:$H,"BA",$AL:$AL,"&gt;=91")+SUMIFS($N:$N,$C:$C,"RM SLT",$G:$G,$AD$1414,$H:$H,"2D",$AL:$AL,"&gt;=91"))</f>
        <v>0</v>
      </c>
      <c r="AJ1415" s="266">
        <f t="shared" si="34"/>
        <v>0</v>
      </c>
      <c r="AL1415" s="249" t="s">
        <v>78</v>
      </c>
      <c r="AM1415" s="251" t="s">
        <v>3780</v>
      </c>
      <c r="AN1415" s="252"/>
      <c r="AO1415" s="252"/>
      <c r="AP1415" s="253"/>
      <c r="AQ1415" s="254" t="s">
        <v>39</v>
      </c>
      <c r="AR1415" s="140"/>
      <c r="AS1415" s="140"/>
      <c r="AT1415" s="140"/>
      <c r="AU1415" s="140"/>
      <c r="BG1415" s="141"/>
      <c r="BK1415" s="140"/>
    </row>
    <row r="1416" spans="2:63" ht="21" customHeight="1" x14ac:dyDescent="0.25">
      <c r="B1416" s="246" t="s">
        <v>33</v>
      </c>
      <c r="C1416" s="246">
        <f>SUMIFS($N$5:$N$1394,$C$5:$C$1394,"BAL",$D$5:$D$1394,"BAL",$G$5:$G$1394,B1416)</f>
        <v>0</v>
      </c>
      <c r="D1416" s="246">
        <f>SUMIFS($N$5:$N$1394,$D$5:$D$1394,"WAIT MULTI",$G$5:$G$1394,B1416)</f>
        <v>0</v>
      </c>
      <c r="E1416" s="246">
        <f>SUMIFS($N$5:$N$1394,$D$5:$D$1394,"HOLD SLT",$G$5:$G$1394,B1416)</f>
        <v>0</v>
      </c>
      <c r="F1416" s="246">
        <f>SUMIFS($N$5:$N$1394,$D$5:$D$1394,"RR ALLOCATED",$G$5:$G$1394,B1416)</f>
        <v>0</v>
      </c>
      <c r="G1416" s="246">
        <f>SUMIFS($N$5:$N$1394,$D$5:$D$1394,"STOCK RR",$G$5:$G$1394,B1416)</f>
        <v>0</v>
      </c>
      <c r="H1416" s="246">
        <f>SUMIFS($N$5:$N$1394,$D$5:$D$1394,"STOCK NO CUST",$G$5:$G$1394,B1416)</f>
        <v>10.01</v>
      </c>
      <c r="I1416" s="246">
        <f>SUMIFS($N$5:$N$1394,$D$5:$D$1394,"STOCK KW2",$G$5:$G$1394,B1416)</f>
        <v>0</v>
      </c>
      <c r="J1416" s="246">
        <f>SUMIFS($N$5:$N$1394,$C$5:$C$1394,"CTL",$G$5:$G$1394,B1416)</f>
        <v>0</v>
      </c>
      <c r="K1416" s="287">
        <f t="shared" si="40"/>
        <v>10.01</v>
      </c>
      <c r="O1416" s="290">
        <v>316</v>
      </c>
      <c r="P1416" s="246">
        <f>SUMIFS($N$5:$N$1394,$G$5:$G$1394,O1416,$H$5:$H$1394,"NO.1")</f>
        <v>0</v>
      </c>
      <c r="Q1416" s="246">
        <f>SUMIFS($N$5:$N$1394,$H$5:$H$1394,"FH",$D$5:$D$1394,"RM BAL",$G$5:$G$1394,O1416)</f>
        <v>0</v>
      </c>
      <c r="R1416" s="247">
        <f>SUM(SUMIFS($N$5:$N$1394,$H$5:$H$1394,"2B",$D$5:$D$1394,"RM SLT",$G$5:$G$1394,O1416)+SUMIFS($N$5:$N$1394,$H$5:$H$1394,"BA",$D$5:$D$1394,"RM SLT",$G$5:$G$1394,O1416)+SUMIFS($N$5:$N$1394,$H$5:$H$1394,"2D",$D$5:$D$1394,"RM SLT",$G$5:$G$1394,O1416))</f>
        <v>0</v>
      </c>
      <c r="S1416" s="247">
        <f>SUM(SUMIFS($N$5:$N$1394,$H$5:$H$1394,"2B",$D$5:$D$1394,"RM SLT RUST",$G$5:$G$1394,O1416)+SUMIFS($N$5:$N$1394,$H$5:$H$1394,"2B",$D$5:$D$1394,"RM SLT RUST DENT",$G$5:$G$1394,O1416)+SUMIFS($N$5:$N$1394,$H$5:$H$1394,"2B",$D$5:$D$1394,"RM SLT DENT",$G$5:$G$1394,O1416))</f>
        <v>0</v>
      </c>
      <c r="U1416" s="240">
        <v>301</v>
      </c>
      <c r="V1416" s="246">
        <f t="shared" si="39"/>
        <v>0</v>
      </c>
      <c r="W1416" s="246">
        <f t="shared" si="39"/>
        <v>0</v>
      </c>
      <c r="X1416" s="246">
        <f t="shared" si="39"/>
        <v>0</v>
      </c>
      <c r="Y1416" s="246">
        <f>S1421</f>
        <v>0</v>
      </c>
      <c r="Z1416" s="287">
        <f t="shared" si="38"/>
        <v>0</v>
      </c>
      <c r="AA1416" s="288"/>
      <c r="AB1416" s="140"/>
      <c r="AC1416" s="140"/>
      <c r="AD1416" s="309"/>
      <c r="AE1416" s="264" t="s">
        <v>70</v>
      </c>
      <c r="AF1416" s="265">
        <f>SUM(SUMIFS($N:$N,$C:$C,"RM",$G:$G,$AD$1417,$H:$H,$AE1416,$AL:$AL,"&lt;=30")+SUMIFS($N:$N,$C:$C,"RM BAL",$G:$G,$AD$1417,$H:$H,$AE1416,$AL:$AL,"&lt;=30")+SUMIFS($N:$N,$C:$C,"MILL",$G:$G,$AD$1417,$H:$H,$AE1416,$AL:$AL,"&lt;=30")+SUMIFS($N:$N,$C:$C,"RM SLT RUST",$G:$G,$AD$1417,$H:$H,$AE1416,$AL:$AL,"&lt;=30")+SUMIFS($N:$N,$C:$C,"RM SLT DENT",$G:$G,$AD$1417,$H:$H,$AE1416,$AL:$AL,"&lt;=30")+SUMIFS($N:$N,$C:$C,"RM SLT",$G:$G,$AD$1417,$H:$H,$AE1416,$AL:$AL,"&lt;=30"))</f>
        <v>0</v>
      </c>
      <c r="AG1416" s="265">
        <f>SUM(SUMIFS($N:$N,$C:$C,"RM",$G:$G,$AD$1417,$H:$H,$AE1416,$AL:$AL,"&lt;=60")+SUMIFS($N:$N,$C:$C,"RM BAL",$G:$G,$AD$1417,$H:$H,$AE1416,$AL:$AL,"&lt;=60")+SUMIFS($N:$N,$C:$C,"MILL",$G:$G,$AD$1417,$H:$H,$AE1416,$AL:$AL,"&lt;=60")+SUMIFS($N:$N,$C:$C,"RM SLT RUST",$G:$G,$AD$1417,$H:$H,$AE1416,$AL:$AL,"&lt;=60")+SUMIFS($N:$N,$C:$C,"RM SLT DENT",$G:$G,$AD$1417,$H:$H,$AE1416,$AL:$AL,"&lt;=60")+SUMIFS($N:$N,$C:$C,"RM SLT",$G:$G,$AD$1417,$H:$H,$AE1416,$AL:$AL,"&lt;=60"))-AF1416</f>
        <v>0</v>
      </c>
      <c r="AH1416" s="265">
        <f>SUM(SUMIFS($N:$N,$C:$C,"RM",$G:$G,$AD$1417,$H:$H,$AE1416,$AL:$AL,"&lt;=90")+SUMIFS($N:$N,$C:$C,"RM BAL",$G:$G,$AD$1417,$H:$H,$AE1416,$AL:$AL,"&lt;=90")+SUMIFS($N:$N,$C:$C,"MILL",$G:$G,$AD$1417,$H:$H,$AE1416,$AL:$AL,"&lt;=90")+SUMIFS($N:$N,$C:$C,"RM SLT RUST",$G:$G,$AD$1417,$H:$H,$AE1416,$AL:$AL,"&lt;=90")+SUMIFS($N:$N,$C:$C,"RM SLT DENT",$G:$G,$AD$1417,$H:$H,$AE1416,$AL:$AL,"&lt;=90")+SUMIFS($N:$N,$C:$C,"RM SLT",$G:$G,$AD$1417,$H:$H,$AE1416,$AL:$AL,"&lt;=90"))-AG1416-AF1416</f>
        <v>0</v>
      </c>
      <c r="AI1416" s="265">
        <f>SUM(SUMIFS($N:$N,$C:$C,"RM",$G:$G,$AD$1417,$H:$H,$AE1416,$AL:$AL,"&gt;=91")+SUMIFS($N:$N,$C:$C,"RM BAL",$G:$G,$AD$1417,$H:$H,$AE1416,$AL:$AL,"&gt;=91")+SUMIFS($N:$N,$C:$C,"MILL",$G:$G,$AD$1417,$H:$H,$AE1416,$AL:$AL,"&gt;=91")+SUMIFS($N:$N,$C:$C,"RM SLT RUST",$G:$G,$AD$1417,$H:$H,$AE1416,$AL:$AL,"&gt;=91")+SUMIFS($N:$N,$C:$C,"RM SLT DENT",$G:$G,$AD$1417,$H:$H,$AE1416,$AL:$AL,"&gt;=91")+SUMIFS($N:$N,$C:$C,"RM SLT",$G:$G,$AD$1417,$H:$H,$AE1416,$AL:$AL,"&gt;=91"))</f>
        <v>0</v>
      </c>
      <c r="AJ1416" s="266">
        <f t="shared" si="34"/>
        <v>0</v>
      </c>
      <c r="AL1416" s="257"/>
      <c r="AM1416" s="261" t="s">
        <v>3782</v>
      </c>
      <c r="AN1416" s="261" t="s">
        <v>3783</v>
      </c>
      <c r="AO1416" s="261" t="s">
        <v>3784</v>
      </c>
      <c r="AP1416" s="261" t="s">
        <v>3786</v>
      </c>
      <c r="AQ1416" s="262"/>
      <c r="AR1416" s="140"/>
      <c r="AS1416" s="140"/>
      <c r="AT1416" s="140"/>
      <c r="AU1416" s="140"/>
      <c r="BG1416" s="141"/>
      <c r="BK1416" s="140"/>
    </row>
    <row r="1417" spans="2:63" ht="21" customHeight="1" x14ac:dyDescent="0.25">
      <c r="B1417" s="246" t="s">
        <v>34</v>
      </c>
      <c r="C1417" s="246">
        <f>SUMIFS($N$5:$N$1394,$C$5:$C$1394,"BAL",$D$5:$D$1394,"BAL",$G$5:$G$1394,B1417)</f>
        <v>439.21</v>
      </c>
      <c r="D1417" s="246">
        <f>SUMIFS($N$5:$N$1394,$D$5:$D$1394,"WAIT MULTI",$G$5:$G$1394,B1417)</f>
        <v>40.29</v>
      </c>
      <c r="E1417" s="246">
        <f>SUMIFS($N$5:$N$1394,$D$5:$D$1394,"HOLD SLT",$G$5:$G$1394,B1417)</f>
        <v>12.574999999999999</v>
      </c>
      <c r="F1417" s="246">
        <f>SUMIFS($N$5:$N$1394,$D$5:$D$1394,"RR ALLOCATED",$G$5:$G$1394,B1417)</f>
        <v>0</v>
      </c>
      <c r="G1417" s="246">
        <f>SUMIFS($N$5:$N$1394,$D$5:$D$1394,"STOCK RR",$G$5:$G$1394,B1417)</f>
        <v>21.265000000000001</v>
      </c>
      <c r="H1417" s="246">
        <f>SUMIFS($N$5:$N$1394,$D$5:$D$1394,"STOCK NO CUST",$G$5:$G$1394,B1417)</f>
        <v>43.535000000000004</v>
      </c>
      <c r="I1417" s="246">
        <f>SUMIFS($N$5:$N$1394,$D$5:$D$1394,"STOCK KW2",$G$5:$G$1394,B1417)</f>
        <v>0</v>
      </c>
      <c r="J1417" s="246">
        <f>SUMIFS($N$5:$N$1394,$C$5:$C$1394,"CTL",$G$5:$G$1394,B1417)</f>
        <v>0</v>
      </c>
      <c r="K1417" s="287">
        <f t="shared" si="40"/>
        <v>556.875</v>
      </c>
      <c r="O1417" s="290" t="s">
        <v>135</v>
      </c>
      <c r="P1417" s="246">
        <f>SUMIFS($N$5:$N$1394,$G$5:$G$1394,O1417,$H$5:$H$1394,"NO.1")</f>
        <v>113.99</v>
      </c>
      <c r="Q1417" s="246">
        <f>SUMIFS($N$5:$N$1394,$H$5:$H$1394,"FH",$D$5:$D$1394,"RM BAL",$G$5:$G$1394,O1417)</f>
        <v>0</v>
      </c>
      <c r="R1417" s="247">
        <f>SUM(SUMIFS($N$5:$N$1394,$H$5:$H$1394,"2B",$D$5:$D$1394,"RM SLT",$G$5:$G$1394,O1417)+SUMIFS($N$5:$N$1394,$H$5:$H$1394,"BA",$D$5:$D$1394,"RM SLT",$G$5:$G$1394,O1417)+SUMIFS($N$5:$N$1394,$H$5:$H$1394,"2D",$D$5:$D$1394,"RM SLT",$G$5:$G$1394,O1417))</f>
        <v>0</v>
      </c>
      <c r="S1417" s="247">
        <f>SUM(SUMIFS($N$5:$N$1394,$H$5:$H$1394,"2B",$D$5:$D$1394,"RM SLT RUST",$G$5:$G$1394,O1417)+SUMIFS($N$5:$N$1394,$H$5:$H$1394,"2B",$D$5:$D$1394,"RM SLT RUST DENT",$G$5:$G$1394,O1417)+SUMIFS($N$5:$N$1394,$H$5:$H$1394,"2B",$D$5:$D$1394,"RM SLT DENT",$G$5:$G$1394,O1417))</f>
        <v>0</v>
      </c>
      <c r="U1417" s="241" t="s">
        <v>39</v>
      </c>
      <c r="V1417" s="310">
        <f>SUM(V1406:V1416)</f>
        <v>9047.1280000000006</v>
      </c>
      <c r="W1417" s="310">
        <f>SUM(W1406:W1416)</f>
        <v>0</v>
      </c>
      <c r="X1417" s="310">
        <f>SUM(X1406:X1416)</f>
        <v>328.14200000000005</v>
      </c>
      <c r="Y1417" s="310">
        <f>SUM(Y1406:Y1416)</f>
        <v>35.683999999999997</v>
      </c>
      <c r="Z1417" s="311">
        <f t="shared" si="38"/>
        <v>9410.9539999999997</v>
      </c>
      <c r="AA1417" s="311"/>
      <c r="AB1417" s="140"/>
      <c r="AC1417" s="140"/>
      <c r="AD1417" s="312" t="s">
        <v>182</v>
      </c>
      <c r="AE1417" s="173" t="s">
        <v>127</v>
      </c>
      <c r="AF1417" s="265">
        <f ca="1">SUM(SUMIFS($N:$N,$C:$C,"RM",$G:$G,$AD$1417,$H:$H,$AE1417,$AL:$AL,"&lt;=30")+SUMIFS($N:$N,$C:$C,"RM BAL",$G:$G,$AD$1417,$H:$H,$AE1417,$AL:$AL,"&lt;=30")+SUMIFS($N:$N,$C:$C,"MILL",$G:$G,$AD$1417,$H:$H,$AE1417,$AL:$AL,"&lt;=30")+SUMIFS($N:$N,$C:$C,"RM SLT RUST",$G:$G,$AD$1417,$H:$H,$AE1417,$AL:$AL,"&lt;=30")+SUMIFS($N:$N,$C:$C,"RM SLT DENT",$G:$G,$AD$1417,$H:$H,$AE1417,$AL:$AL,"&lt;=30")+SUMIFS($N:$N,$C:$C,"RM SLT",$G:$G,$AD$1417,$H:$H,$AE1417,$AL:$AL,"&lt;=30"))</f>
        <v>1443.6949999999997</v>
      </c>
      <c r="AG1417" s="265">
        <f ca="1">SUM(SUMIFS($N:$N,$C:$C,"RM",$G:$G,$AD$1417,$H:$H,$AE1417,$AL:$AL,"&lt;=60")+SUMIFS($N:$N,$C:$C,"RM BAL",$G:$G,$AD$1417,$H:$H,$AE1417,$AL:$AL,"&lt;=60")+SUMIFS($N:$N,$C:$C,"MILL",$G:$G,$AD$1417,$H:$H,$AE1417,$AL:$AL,"&lt;=60")+SUMIFS($N:$N,$C:$C,"RM SLT RUST",$G:$G,$AD$1417,$H:$H,$AE1417,$AL:$AL,"&lt;=60")+SUMIFS($N:$N,$C:$C,"RM SLT DENT",$G:$G,$AD$1417,$H:$H,$AE1417,$AL:$AL,"&lt;=60")+SUMIFS($N:$N,$C:$C,"RM SLT",$G:$G,$AD$1417,$H:$H,$AE1417,$AL:$AL,"&lt;=60"))-AF1417</f>
        <v>435.37499999999977</v>
      </c>
      <c r="AH1417" s="265">
        <f ca="1">SUM(SUMIFS($N:$N,$C:$C,"RM",$G:$G,$AD$1417,$H:$H,$AE1417,$AL:$AL,"&lt;=90")+SUMIFS($N:$N,$C:$C,"RM BAL",$G:$G,$AD$1417,$H:$H,$AE1417,$AL:$AL,"&lt;=90")+SUMIFS($N:$N,$C:$C,"MILL",$G:$G,$AD$1417,$H:$H,$AE1417,$AL:$AL,"&lt;=90")+SUMIFS($N:$N,$C:$C,"RM SLT RUST",$G:$G,$AD$1417,$H:$H,$AE1417,$AL:$AL,"&lt;=90")+SUMIFS($N:$N,$C:$C,"RM SLT DENT",$G:$G,$AD$1417,$H:$H,$AE1417,$AL:$AL,"&lt;=90")+SUMIFS($N:$N,$C:$C,"RM SLT",$G:$G,$AD$1417,$H:$H,$AE1417,$AL:$AL,"&lt;=90"))-AG1417-AF1417</f>
        <v>1235.3850000000002</v>
      </c>
      <c r="AI1417" s="265">
        <f ca="1">SUM(SUMIFS($N:$N,$C:$C,"RM",$G:$G,$AD$1417,$H:$H,$AE1417,$AL:$AL,"&gt;=91")+SUMIFS($N:$N,$C:$C,"RM BAL",$G:$G,$AD$1417,$H:$H,$AE1417,$AL:$AL,"&gt;=91")+SUMIFS($N:$N,$C:$C,"MILL",$G:$G,$AD$1417,$H:$H,$AE1417,$AL:$AL,"&gt;=91")+SUMIFS($N:$N,$C:$C,"RM SLT RUST",$G:$G,$AD$1417,$H:$H,$AE1417,$AL:$AL,"&gt;=91")+SUMIFS($N:$N,$C:$C,"RM SLT DENT",$G:$G,$AD$1417,$H:$H,$AE1417,$AL:$AL,"&gt;=91")+SUMIFS($N:$N,$C:$C,"RM SLT",$G:$G,$AD$1417,$H:$H,$AE1417,$AL:$AL,"&gt;=91"))</f>
        <v>182.51999999999998</v>
      </c>
      <c r="AJ1417" s="266">
        <f t="shared" ca="1" si="34"/>
        <v>3296.9749999999999</v>
      </c>
      <c r="AL1417" s="267">
        <v>201</v>
      </c>
      <c r="AM1417" s="265">
        <f>SUM(SUMIFS($N:$N,$C:$C,"RE SLT",$G:$G,$AL1417,$AM:$AM,"&lt;=30")+SUMIFS($N:$N,$C:$C,"RR",$G:$G,$AL1417,$AM:$AM,"&lt;=30")+SUMIFS($N:$N,$C:$C,"SLT",$G:$G,$AL1417,$AM:$AM,"&lt;=30"))</f>
        <v>0</v>
      </c>
      <c r="AN1417" s="265">
        <f>SUM(SUMIFS($N:$N,$C:$C,"RE SLT",$G:$G,$AL1417,$AM:$AM,"&lt;=60")+SUMIFS($N:$N,$C:$C,"RR",$G:$G,$AL1417,$AM:$AM,"&lt;=60")+SUMIFS($N:$N,$C:$C,"SLT",$G:$G,$AL1417,$AM:$AM,"&lt;=60"))-AM1417</f>
        <v>0</v>
      </c>
      <c r="AO1417" s="265">
        <f>SUM(SUMIFS($N:$N,$C:$C,"RE SLT",$G:$G,$AL1417,$AM:$AM,"&lt;=90")+SUMIFS($N:$N,$C:$C,"RR",$G:$G,$AL1417,$AM:$AM,"&lt;=90")+SUMIFS($N:$N,$C:$C,"SLT",$G:$G,$AL1417,$AM:$AM,"&lt;=90"))-AN1417-AM1417</f>
        <v>0</v>
      </c>
      <c r="AP1417" s="265">
        <f>SUM(SUMIFS($N:$N,$C:$C,"RE SLT",$G:$G,$AL1417,$AM:$AM,"&gt;=91")+SUMIFS($N:$N,$C:$C,"RR",$G:$G,$AL1417,$AM:$AM,"&gt;=91")+SUMIFS($N:$N,$C:$C,"SLT",$G:$G,$AL1417,$AM:$AM,"&gt;=91"))</f>
        <v>0</v>
      </c>
      <c r="AQ1417" s="266">
        <f>SUM(AM1417:AP1417)</f>
        <v>0</v>
      </c>
      <c r="AR1417" s="140"/>
      <c r="AS1417" s="140"/>
      <c r="AT1417" s="140"/>
      <c r="AU1417" s="140"/>
      <c r="BG1417" s="141"/>
      <c r="BK1417" s="140"/>
    </row>
    <row r="1418" spans="2:63" ht="21" customHeight="1" x14ac:dyDescent="0.25">
      <c r="B1418" s="246" t="s">
        <v>3790</v>
      </c>
      <c r="C1418" s="246">
        <f>SUMIFS($N$5:$N$1394,$C$5:$C$1394,"BAL",$D$5:$D$1394,"BAL",$G$5:$G$1394,B1418)</f>
        <v>0</v>
      </c>
      <c r="D1418" s="246">
        <f>SUMIFS($N$5:$N$1394,$D$5:$D$1394,"WAIT MULTI",$G$5:$G$1394,B1418)</f>
        <v>0</v>
      </c>
      <c r="E1418" s="246">
        <f>SUMIFS($N$5:$N$1394,$D$5:$D$1394,"HOLD SLT",$G$5:$G$1394,B1418)</f>
        <v>0</v>
      </c>
      <c r="F1418" s="246">
        <f>SUMIFS($N$5:$N$1394,$D$5:$D$1394,"RR ALLOCATED",$G$5:$G$1394,B1418)</f>
        <v>0</v>
      </c>
      <c r="G1418" s="246">
        <f>SUMIFS($N$5:$N$1394,$D$5:$D$1394,"STOCK RR",$G$5:$G$1394,B1418)</f>
        <v>0</v>
      </c>
      <c r="H1418" s="246">
        <f>SUMIFS($N$5:$N$1394,$D$5:$D$1394,"STOCK NO CUST",$G$5:$G$1394,B1418)</f>
        <v>0</v>
      </c>
      <c r="I1418" s="246">
        <f>SUMIFS($N$5:$N$1394,$D$5:$D$1394,"STOCK KW2",$G$5:$G$1394,B1418)</f>
        <v>0</v>
      </c>
      <c r="J1418" s="246">
        <f>SUMIFS($N$5:$N$1394,$C$5:$C$1394,"CTL",$G$5:$G$1394,B1418)</f>
        <v>0</v>
      </c>
      <c r="K1418" s="287">
        <f t="shared" si="40"/>
        <v>0</v>
      </c>
      <c r="O1418" s="290">
        <v>430</v>
      </c>
      <c r="P1418" s="246">
        <f>SUMIFS($N$5:$N$1394,$G$5:$G$1394,O1418,$H$5:$H$1394,"NO.1")</f>
        <v>20.887999999999998</v>
      </c>
      <c r="Q1418" s="246">
        <f>SUMIFS($N$5:$N$1394,$H$5:$H$1394,"FH",$D$5:$D$1394,"RM BAL",$G$5:$G$1394,O1418)</f>
        <v>0</v>
      </c>
      <c r="R1418" s="247">
        <f>SUM(SUMIFS($N$5:$N$1394,$H$5:$H$1394,"2B",$D$5:$D$1394,"RM SLT",$G$5:$G$1394,O1418)+SUMIFS($N$5:$N$1394,$H$5:$H$1394,"BA",$D$5:$D$1394,"RM SLT",$G$5:$G$1394,O1418)+SUMIFS($N$5:$N$1394,$H$5:$H$1394,"2D",$D$5:$D$1394,"RM SLT",$G$5:$G$1394,O1418))</f>
        <v>0</v>
      </c>
      <c r="S1418" s="247">
        <f>SUM(SUMIFS($N$5:$N$1394,$H$5:$H$1394,"2B",$D$5:$D$1394,"RM SLT RUST",$G$5:$G$1394,O1418)+SUMIFS($N$5:$N$1394,$H$5:$H$1394,"2B",$D$5:$D$1394,"RM SLT RUST DENT",$G$5:$G$1394,O1418)+SUMIFS($N$5:$N$1394,$H$5:$H$1394,"2B",$D$5:$D$1394,"RM SLT DENT",$G$5:$G$1394,O1418))</f>
        <v>0</v>
      </c>
      <c r="U1418" s="143"/>
      <c r="V1418" s="143"/>
      <c r="W1418" s="143"/>
      <c r="AD1418" s="140"/>
      <c r="AE1418" s="140"/>
      <c r="AH1418" s="312"/>
      <c r="AI1418" s="272" t="s">
        <v>71</v>
      </c>
      <c r="AJ1418" s="265">
        <f>SUM(SUMIFS($N:$N,$C:$C,"RM",$G:$G,$AD$1417,$H:$H,"2B",$AL:$AL,"&lt;=30")+SUMIFS($N:$N,$C:$C,"RM BAL",$G:$G,$AD$1417,$H:$H,"2B",$AL:$AL,"&lt;=30")+SUMIFS($N:$N,$C:$C,"MILL",$G:$G,$AD$1417,$H:$H,"2B",$AL:$AL,"&lt;=30")+SUMIFS($N:$N,$C:$C,"RM SLT RUST",$G:$G,$AD$1417,$H:$H,"2B",$AL:$AL,"&lt;=30")+SUMIFS($N:$N,$C:$C,"RM SLT DENT",$G:$G,$AD$1417,$H:$H,"2B",$AL:$AL,"&lt;=30")+SUMIFS($N:$N,$C:$C,"RM SLT",$G:$G,$AD$1417,$H:$H,"2B",$AL:$AL,"&lt;=30")+SUMIFS($N:$N,$C:$C,"RM SLT",$G:$G,$AD$1417,$H:$H,"BA",$AL:$AL,"&lt;=30")+SUMIFS($N:$N,$C:$C,"RM SLT",$G:$G,$AD$1417,$H:$H,"2D",$AL:$AL,"&lt;=30"))</f>
        <v>0</v>
      </c>
      <c r="AK1418" s="265">
        <f>SUM(SUMIFS($N:$N,$C:$C,"RM",$G:$G,$AD$1417,$H:$H,"2B",$AL:$AL,"&lt;=60")+SUMIFS($N:$N,$C:$C,"RM BAL",$G:$G,$AD$1417,$H:$H,"2B",$AL:$AL,"&lt;=60")+SUMIFS($N:$N,$C:$C,"MILL",$G:$G,$AD$1417,$H:$H,"2B",$AL:$AL,"&lt;=60")+SUMIFS($N:$N,$C:$C,"RM SLT RUST",$G:$G,$AD$1417,$H:$H,"2B",$AL:$AL,"&lt;=60")+SUMIFS($N:$N,$C:$C,"RM SLT DENT",$G:$G,$AD$1417,$H:$H,"2B",$AL:$AL,"&lt;=60")+SUMIFS($N:$N,$C:$C,"RM SLT",$G:$G,$AD$1417,$H:$H,"2B",$AL:$AL,"&lt;=60")+SUMIFS($N:$N,$C:$C,"RM SLT",$G:$G,$AD$1417,$H:$H,"BA",$AL:$AL,"&lt;=60")+SUMIFS($N:$N,$C:$C,"RM SLT",$G:$G,$AD$1417,$H:$H,"2D",$AL:$AL,"&lt;=60"))-AJ1418</f>
        <v>0</v>
      </c>
      <c r="AL1418" s="265">
        <f>SUM(SUMIFS($N:$N,$C:$C,"RM",$G:$G,$AD$1417,$H:$H,"2B",$AL:$AL,"&lt;=90")+SUMIFS($N:$N,$C:$C,"RM BAL",$G:$G,$AD$1417,$H:$H,"2B",$AL:$AL,"&lt;=90")+SUMIFS($N:$N,$C:$C,"MILL",$G:$G,$AD$1417,$H:$H,"2B",$AL:$AL,"&lt;=90")+SUMIFS($N:$N,$C:$C,"RM SLT RUST",$G:$G,$AD$1417,$H:$H,"2B",$AL:$AL,"&lt;=90")+SUMIFS($N:$N,$C:$C,"RM SLT DENT",$G:$G,$AD$1417,$H:$H,"2B",$AL:$AL,"&lt;=90")+SUMIFS($N:$N,$C:$C,"RM SLT",$G:$G,$AD$1417,$H:$H,"2B",$AL:$AL,"&lt;=90")+SUMIFS($N:$N,$C:$C,"RM SLT",$G:$G,$AD$1417,$H:$H,"BA",$AL:$AL,"&lt;=90")+SUMIFS($N:$N,$C:$C,"RM SLT",$G:$G,$AD$1417,$H:$H,"2D",$AL:$AL,"&lt;=90"))-AK1418-AJ1418</f>
        <v>0</v>
      </c>
      <c r="AM1418" s="265">
        <f>SUM(SUMIFS($N:$N,$C:$C,"RM",$G:$G,$AD$1417,$H:$H,"2B",$AL:$AL,"&gt;=91")+SUMIFS($N:$N,$C:$C,"RM BAL",$G:$G,$AD$1417,$H:$H,"2B",$AL:$AL,"&gt;=91")+SUMIFS($N:$N,$C:$C,"MILL",$G:$G,$AD$1417,$H:$H,"2B",$AL:$AL,"&gt;=91")+SUMIFS($N:$N,$C:$C,"RM SLT RUST",$G:$G,$AD$1417,$H:$H,"2B",$AL:$AL,"&gt;=91")+SUMIFS($N:$N,$C:$C,"RM SLT DENT",$G:$G,$AD$1417,$H:$H,"2B",$AL:$AL,"&gt;=91")+SUMIFS($N:$N,$C:$C,"RM SLT",$G:$G,$AD$1417,$H:$H,"2B",$AL:$AL,"&gt;=91")+SUMIFS($N:$N,$C:$C,"RM SLT",$G:$G,$AD$1417,$H:$H,"BA",$AL:$AL,"&gt;=91")+SUMIFS($N:$N,$C:$C,"RM SLT",$G:$G,$AD$1417,$H:$H,"2D",$AL:$AL,"&gt;=91"))</f>
        <v>0</v>
      </c>
      <c r="AN1418" s="266">
        <f t="shared" ref="AN1418:AN1437" si="41">SUM(AJ1418:AM1418)</f>
        <v>0</v>
      </c>
      <c r="AP1418" s="269" t="s">
        <v>32</v>
      </c>
      <c r="AQ1418" s="265">
        <f ca="1">SUM(SUMIFS($N:$N,$C:$C,"RE SLT",$G:$G,$AP1418,$AM:$AM,"&lt;=30")+SUMIFS($N:$N,$C:$C,"RR",$G:$G,$AP1418,$AM:$AM,"&lt;=30")+SUMIFS($N:$N,$C:$C,"SLT",$G:$G,$AP1418,$AM:$AM,"&lt;=30"))</f>
        <v>0</v>
      </c>
      <c r="AR1418" s="265">
        <f ca="1">SUM(SUMIFS($N:$N,$C:$C,"RE SLT",$G:$G,$AP1418,$AM:$AM,"&lt;=60")+SUMIFS($N:$N,$C:$C,"RR",$G:$G,$AP1418,$AM:$AM,"&lt;=60")+SUMIFS($N:$N,$C:$C,"SLT",$G:$G,$AP1418,$AM:$AM,"&lt;=60"))-AQ1418</f>
        <v>0</v>
      </c>
      <c r="AS1418" s="265">
        <f ca="1">SUM(SUMIFS($N:$N,$C:$C,"RE SLT",$G:$G,$AP1418,$AM:$AM,"&lt;=90")+SUMIFS($N:$N,$C:$C,"RR",$G:$G,$AP1418,$AM:$AM,"&lt;=90")+SUMIFS($N:$N,$C:$C,"SLT",$G:$G,$AP1418,$AM:$AM,"&lt;=90"))-AR1418-AQ1418</f>
        <v>0</v>
      </c>
      <c r="AT1418" s="265">
        <f ca="1">SUM(SUMIFS($N:$N,$C:$C,"RE SLT",$G:$G,$AP1418,$AM:$AM,"&gt;=91")+SUMIFS($N:$N,$C:$C,"RR",$G:$G,$AP1418,$AM:$AM,"&gt;=91")+SUMIFS($N:$N,$C:$C,"SLT",$G:$G,$AP1418,$AM:$AM,"&gt;=91"))</f>
        <v>7.3149999999999995</v>
      </c>
      <c r="AU1418" s="266">
        <f t="shared" ref="AU1418:AU1429" ca="1" si="42">SUM(AQ1418:AT1418)</f>
        <v>7.3149999999999995</v>
      </c>
    </row>
    <row r="1419" spans="2:63" ht="21" customHeight="1" x14ac:dyDescent="0.25">
      <c r="B1419" s="246" t="s">
        <v>35</v>
      </c>
      <c r="C1419" s="246">
        <f>SUMIFS($N$5:$N$1394,$C$5:$C$1394,"BAL",$D$5:$D$1394,"BAL",$G$5:$G$1394,B1419)</f>
        <v>0</v>
      </c>
      <c r="D1419" s="246">
        <f>SUMIFS($N$5:$N$1394,$D$5:$D$1394,"WAIT MULTI",$G$5:$G$1394,B1419)</f>
        <v>0</v>
      </c>
      <c r="E1419" s="246">
        <f>SUMIFS($N$5:$N$1394,$D$5:$D$1394,"HOLD SLT",$G$5:$G$1394,B1419)</f>
        <v>0</v>
      </c>
      <c r="F1419" s="246">
        <f>SUMIFS($N$5:$N$1394,$D$5:$D$1394,"RR ALLOCATED",$G$5:$G$1394,B1419)</f>
        <v>0</v>
      </c>
      <c r="G1419" s="246">
        <f>SUMIFS($N$5:$N$1394,$D$5:$D$1394,"STOCK RR",$G$5:$G$1394,B1419)</f>
        <v>0</v>
      </c>
      <c r="H1419" s="246">
        <f>SUMIFS($N$5:$N$1394,$D$5:$D$1394,"STOCK NO CUST",$G$5:$G$1394,B1419)</f>
        <v>6.01</v>
      </c>
      <c r="I1419" s="246">
        <f>SUMIFS($N$5:$N$1394,$D$5:$D$1394,"STOCK KW2",$G$5:$G$1394,B1419)</f>
        <v>0</v>
      </c>
      <c r="J1419" s="246">
        <f>SUMIFS($N$5:$N$1394,$C$5:$C$1394,"CTL",$G$5:$G$1394,B1419)</f>
        <v>0</v>
      </c>
      <c r="K1419" s="287">
        <f t="shared" si="40"/>
        <v>6.01</v>
      </c>
      <c r="O1419" s="290" t="s">
        <v>38</v>
      </c>
      <c r="P1419" s="246">
        <f>SUMIFS($N$5:$N$1394,$G$5:$G$1394,O1419,$H$5:$H$1394,"NO.1")</f>
        <v>0</v>
      </c>
      <c r="Q1419" s="246">
        <f>SUMIFS($N$5:$N$1394,$H$5:$H$1394,"FH",$D$5:$D$1394,"RM BAL",$G$5:$G$1394,O1419)</f>
        <v>0</v>
      </c>
      <c r="R1419" s="247">
        <f>SUM(SUMIFS($N$5:$N$1394,$H$5:$H$1394,"2B",$D$5:$D$1394,"RM SLT",$G$5:$G$1394,O1419)+SUMIFS($N$5:$N$1394,$H$5:$H$1394,"BA",$D$5:$D$1394,"RM SLT",$G$5:$G$1394,O1419)+SUMIFS($N$5:$N$1394,$H$5:$H$1394,"2D",$D$5:$D$1394,"RM SLT",$G$5:$G$1394,O1419))</f>
        <v>0</v>
      </c>
      <c r="S1419" s="247">
        <f>SUM(SUMIFS($N$5:$N$1394,$H$5:$H$1394,"2B",$D$5:$D$1394,"RM SLT RUST",$G$5:$G$1394,O1419)+SUMIFS($N$5:$N$1394,$H$5:$H$1394,"2B",$D$5:$D$1394,"RM SLT RUST DENT",$G$5:$G$1394,O1419)+SUMIFS($N$5:$N$1394,$H$5:$H$1394,"2B",$D$5:$D$1394,"RM SLT DENT",$G$5:$G$1394,O1419))</f>
        <v>0</v>
      </c>
      <c r="U1419" s="143"/>
      <c r="V1419" s="143"/>
      <c r="W1419" s="143"/>
      <c r="AD1419" s="140"/>
      <c r="AE1419" s="140"/>
      <c r="AH1419" s="313"/>
      <c r="AI1419" s="264" t="s">
        <v>70</v>
      </c>
      <c r="AJ1419" s="265">
        <f>SUM(SUMIFS($N:$N,$C:$C,"RM",$G:$G,$AH$1420,$H:$H,$AI1419,$AL:$AL,"&lt;=30")+SUMIFS($N:$N,$C:$C,"RM BAL",$G:$G,$AH$1420,$H:$H,$AI1419,$AL:$AL,"&lt;=30")+SUMIFS($N:$N,$C:$C,"MILL",$G:$G,$AH$1420,$H:$H,$AI1419,$AL:$AL,"&lt;=30")+SUMIFS($N:$N,$C:$C,"RM SLT RUST",$G:$G,$AH$1420,$H:$H,$AI1419,$AL:$AL,"&lt;=30")+SUMIFS($N:$N,$C:$C,"RM SLT DENT",$G:$G,$AH$1420,$H:$H,$AI1419,$AL:$AL,"&lt;=30")+SUMIFS($N:$N,$C:$C,"RM SLT",$G:$G,$AH$1420,$H:$H,$AI1419,$AL:$AL,"&lt;=30"))</f>
        <v>0</v>
      </c>
      <c r="AK1419" s="265">
        <f>SUM(SUMIFS($N:$N,$C:$C,"RM",$G:$G,$AH$1420,$H:$H,$AI1419,$AL:$AL,"&lt;=60")+SUMIFS($N:$N,$C:$C,"RM BAL",$G:$G,$AH$1420,$H:$H,$AI1419,$AL:$AL,"&lt;=60")+SUMIFS($N:$N,$C:$C,"MILL",$G:$G,$AH$1420,$H:$H,$AI1419,$AL:$AL,"&lt;=60")+SUMIFS($N:$N,$C:$C,"RM SLT RUST",$G:$G,$AH$1420,$H:$H,$AI1419,$AL:$AL,"&lt;=60")+SUMIFS($N:$N,$C:$C,"RM SLT DENT",$G:$G,$AH$1420,$H:$H,$AI1419,$AL:$AL,"&lt;=60")+SUMIFS($N:$N,$C:$C,"RM SLT",$G:$G,$AH$1420,$H:$H,$AI1419,$AL:$AL,"&lt;=60"))-AJ1419</f>
        <v>0</v>
      </c>
      <c r="AL1419" s="265">
        <f>SUM(SUMIFS($N:$N,$C:$C,"RM",$G:$G,$AH$1420,$H:$H,$AI1419,$AL:$AL,"&lt;=90")+SUMIFS($N:$N,$C:$C,"RM BAL",$G:$G,$AH$1420,$H:$H,$AI1419,$AL:$AL,"&lt;=90")+SUMIFS($N:$N,$C:$C,"MILL",$G:$G,$AH$1420,$H:$H,$AI1419,$AL:$AL,"&lt;=90")+SUMIFS($N:$N,$C:$C,"RM SLT RUST",$G:$G,$AH$1420,$H:$H,$AI1419,$AL:$AL,"&lt;=90")+SUMIFS($N:$N,$C:$C,"RM SLT DENT",$G:$G,$AH$1420,$H:$H,$AI1419,$AL:$AL,"&lt;=90")+SUMIFS($N:$N,$C:$C,"RM SLT",$G:$G,$AH$1420,$H:$H,$AI1419,$AL:$AL,"&lt;=90"))-AK1419-AJ1419</f>
        <v>0</v>
      </c>
      <c r="AM1419" s="265">
        <f>SUM(SUMIFS($N:$N,$C:$C,"RM",$G:$G,$AH$1420,$H:$H,$AI1419,$AL:$AL,"&gt;=91")+SUMIFS($N:$N,$C:$C,"RM BAL",$G:$G,$AH$1420,$H:$H,$AI1419,$AL:$AL,"&gt;=91")+SUMIFS($N:$N,$C:$C,"MILL",$G:$G,$AH$1420,$H:$H,$AI1419,$AL:$AL,"&gt;=91")+SUMIFS($N:$N,$C:$C,"RM SLT RUST",$G:$G,$AH$1420,$H:$H,$AI1419,$AL:$AL,"&gt;=91")+SUMIFS($N:$N,$C:$C,"RM SLT DENT",$G:$G,$AH$1420,$H:$H,$AI1419,$AL:$AL,"&gt;=91")+SUMIFS($N:$N,$C:$C,"RM SLT",$G:$G,$AH$1420,$H:$H,$AI1419,$AL:$AL,"&gt;=91"))</f>
        <v>0</v>
      </c>
      <c r="AN1419" s="266">
        <f t="shared" si="41"/>
        <v>0</v>
      </c>
      <c r="AP1419" s="273" t="s">
        <v>33</v>
      </c>
      <c r="AQ1419" s="265">
        <f ca="1">SUM(SUMIFS($N:$N,$C:$C,"RE SLT",$G:$G,$AP1419,$AM:$AM,"&lt;=30")+SUMIFS($N:$N,$C:$C,"RR",$G:$G,$AP1419,$AM:$AM,"&lt;=30")+SUMIFS($N:$N,$C:$C,"SLT",$G:$G,$AP1419,$AM:$AM,"&lt;=30"))</f>
        <v>0</v>
      </c>
      <c r="AR1419" s="265">
        <f ca="1">SUM(SUMIFS($N:$N,$C:$C,"RE SLT",$G:$G,$AP1419,$AM:$AM,"&lt;=60")+SUMIFS($N:$N,$C:$C,"RR",$G:$G,$AP1419,$AM:$AM,"&lt;=60")+SUMIFS($N:$N,$C:$C,"SLT",$G:$G,$AP1419,$AM:$AM,"&lt;=60"))-AQ1419</f>
        <v>0</v>
      </c>
      <c r="AS1419" s="265">
        <f ca="1">SUM(SUMIFS($N:$N,$C:$C,"RE SLT",$G:$G,$AP1419,$AM:$AM,"&lt;=90")+SUMIFS($N:$N,$C:$C,"RR",$G:$G,$AP1419,$AM:$AM,"&lt;=90")+SUMIFS($N:$N,$C:$C,"SLT",$G:$G,$AP1419,$AM:$AM,"&lt;=90"))-AR1419-AQ1419</f>
        <v>0</v>
      </c>
      <c r="AT1419" s="265">
        <f ca="1">SUM(SUMIFS($N:$N,$C:$C,"RE SLT",$G:$G,$AP1419,$AM:$AM,"&gt;=91")+SUMIFS($N:$N,$C:$C,"RR",$G:$G,$AP1419,$AM:$AM,"&gt;=91")+SUMIFS($N:$N,$C:$C,"SLT",$G:$G,$AP1419,$AM:$AM,"&gt;=91"))</f>
        <v>10.01</v>
      </c>
      <c r="AU1419" s="266">
        <f t="shared" ca="1" si="42"/>
        <v>10.01</v>
      </c>
    </row>
    <row r="1420" spans="2:63" ht="21" customHeight="1" x14ac:dyDescent="0.25">
      <c r="B1420" s="246">
        <v>304</v>
      </c>
      <c r="C1420" s="246">
        <f>SUMIFS($N$5:$N$1394,$C$5:$C$1394,"BAL",$D$5:$D$1394,"BAL",$G$5:$G$1394,B1420)</f>
        <v>277.04500000000002</v>
      </c>
      <c r="D1420" s="246">
        <f>SUMIFS($N$5:$N$1394,$D$5:$D$1394,"WAIT MULTI",$G$5:$G$1394,B1420)</f>
        <v>10.210000000000001</v>
      </c>
      <c r="E1420" s="246">
        <f>SUMIFS($N$5:$N$1394,$D$5:$D$1394,"HOLD SLT",$G$5:$G$1394,B1420)</f>
        <v>11.215</v>
      </c>
      <c r="F1420" s="246">
        <f>SUMIFS($N$5:$N$1394,$D$5:$D$1394,"RR ALLOCATED",$G$5:$G$1394,B1420)</f>
        <v>10.48</v>
      </c>
      <c r="G1420" s="246">
        <f>SUMIFS($N$5:$N$1394,$D$5:$D$1394,"STOCK RR",$G$5:$G$1394,B1420)</f>
        <v>52.790000000000006</v>
      </c>
      <c r="H1420" s="246">
        <f>SUMIFS($N$5:$N$1394,$D$5:$D$1394,"STOCK NO CUST",$G$5:$G$1394,B1420)</f>
        <v>2.31</v>
      </c>
      <c r="I1420" s="246">
        <f>SUMIFS($N$5:$N$1394,$D$5:$D$1394,"STOCK KW2",$G$5:$G$1394,B1420)</f>
        <v>0</v>
      </c>
      <c r="J1420" s="246">
        <f>SUMIFS($N$5:$N$1394,$C$5:$C$1394,"CTL",$G$5:$G$1394,B1420)</f>
        <v>0</v>
      </c>
      <c r="K1420" s="287">
        <f t="shared" si="40"/>
        <v>364.05</v>
      </c>
      <c r="O1420" s="290">
        <v>410</v>
      </c>
      <c r="P1420" s="246">
        <f>SUMIFS($N$5:$N$1394,$G$5:$G$1394,O1420,$H$5:$H$1394,"NO.1")</f>
        <v>0</v>
      </c>
      <c r="Q1420" s="246">
        <f>SUMIFS($N$5:$N$1394,$H$5:$H$1394,"FH",$D$5:$D$1394,"RM BAL",$G$5:$G$1394,O1420)</f>
        <v>0</v>
      </c>
      <c r="R1420" s="247">
        <f>SUM(SUMIFS($N$5:$N$1394,$H$5:$H$1394,"2B",$D$5:$D$1394,"RM SLT",$G$5:$G$1394,O1420)+SUMIFS($N$5:$N$1394,$H$5:$H$1394,"BA",$D$5:$D$1394,"RM SLT",$G$5:$G$1394,O1420)+SUMIFS($N$5:$N$1394,$H$5:$H$1394,"2D",$D$5:$D$1394,"RM SLT",$G$5:$G$1394,O1420))</f>
        <v>8.4570000000000007</v>
      </c>
      <c r="S1420" s="247">
        <f>SUM(SUMIFS($N$5:$N$1394,$H$5:$H$1394,"2B",$D$5:$D$1394,"RM SLT RUST",$G$5:$G$1394,O1420)+SUMIFS($N$5:$N$1394,$H$5:$H$1394,"2B",$D$5:$D$1394,"RM SLT RUST DENT",$G$5:$G$1394,O1420)+SUMIFS($N$5:$N$1394,$H$5:$H$1394,"2B",$D$5:$D$1394,"RM SLT DENT",$G$5:$G$1394,O1420))</f>
        <v>0</v>
      </c>
      <c r="U1420" s="143"/>
      <c r="V1420" s="143"/>
      <c r="W1420" s="143"/>
      <c r="AD1420" s="140"/>
      <c r="AE1420" s="140"/>
      <c r="AH1420" s="314" t="s">
        <v>135</v>
      </c>
      <c r="AI1420" s="173" t="s">
        <v>127</v>
      </c>
      <c r="AJ1420" s="265">
        <f ca="1">SUM(SUMIFS($N:$N,$C:$C,"RM",$G:$G,$AH$1420,$H:$H,$AI1420,$AL:$AL,"&lt;=30")+SUMIFS($N:$N,$C:$C,"RM BAL",$G:$G,$AH$1420,$H:$H,$AI1420,$AL:$AL,"&lt;=30")+SUMIFS($N:$N,$C:$C,"MILL",$G:$G,$AH$1420,$H:$H,$AI1420,$AL:$AL,"&lt;=30")+SUMIFS($N:$N,$C:$C,"RM SLT RUST",$G:$G,$AH$1420,$H:$H,$AI1420,$AL:$AL,"&lt;=30")+SUMIFS($N:$N,$C:$C,"RM SLT DENT",$G:$G,$AH$1420,$H:$H,$AI1420,$AL:$AL,"&lt;=30")+SUMIFS($N:$N,$C:$C,"RM SLT",$G:$G,$AH$1420,$H:$H,$AI1420,$AL:$AL,"&lt;=30"))</f>
        <v>103.07000000000001</v>
      </c>
      <c r="AK1420" s="265">
        <f ca="1">SUM(SUMIFS($N:$N,$C:$C,"RM",$G:$G,$AH$1420,$H:$H,$AI1420,$AL:$AL,"&lt;=60")+SUMIFS($N:$N,$C:$C,"RM BAL",$G:$G,$AH$1420,$H:$H,$AI1420,$AL:$AL,"&lt;=60")+SUMIFS($N:$N,$C:$C,"MILL",$G:$G,$AH$1420,$H:$H,$AI1420,$AL:$AL,"&lt;=60")+SUMIFS($N:$N,$C:$C,"RM SLT RUST",$G:$G,$AH$1420,$H:$H,$AI1420,$AL:$AL,"&lt;=60")+SUMIFS($N:$N,$C:$C,"RM SLT DENT",$G:$G,$AH$1420,$H:$H,$AI1420,$AL:$AL,"&lt;=60")+SUMIFS($N:$N,$C:$C,"RM SLT",$G:$G,$AH$1420,$H:$H,$AI1420,$AL:$AL,"&lt;=60"))-AJ1420</f>
        <v>0</v>
      </c>
      <c r="AL1420" s="265">
        <f ca="1">SUM(SUMIFS($N:$N,$C:$C,"RM",$G:$G,$AH$1420,$H:$H,$AI1420,$AL:$AL,"&lt;=90")+SUMIFS($N:$N,$C:$C,"RM BAL",$G:$G,$AH$1420,$H:$H,$AI1420,$AL:$AL,"&lt;=90")+SUMIFS($N:$N,$C:$C,"MILL",$G:$G,$AH$1420,$H:$H,$AI1420,$AL:$AL,"&lt;=90")+SUMIFS($N:$N,$C:$C,"RM SLT RUST",$G:$G,$AH$1420,$H:$H,$AI1420,$AL:$AL,"&lt;=90")+SUMIFS($N:$N,$C:$C,"RM SLT DENT",$G:$G,$AH$1420,$H:$H,$AI1420,$AL:$AL,"&lt;=90")+SUMIFS($N:$N,$C:$C,"RM SLT",$G:$G,$AH$1420,$H:$H,$AI1420,$AL:$AL,"&lt;=90"))-AK1420-AJ1420</f>
        <v>10.919999999999987</v>
      </c>
      <c r="AM1420" s="265">
        <f ca="1">SUM(SUMIFS($N:$N,$C:$C,"RM",$G:$G,$AH$1420,$H:$H,$AI1420,$AL:$AL,"&gt;=91")+SUMIFS($N:$N,$C:$C,"RM BAL",$G:$G,$AH$1420,$H:$H,$AI1420,$AL:$AL,"&gt;=91")+SUMIFS($N:$N,$C:$C,"MILL",$G:$G,$AH$1420,$H:$H,$AI1420,$AL:$AL,"&gt;=91")+SUMIFS($N:$N,$C:$C,"RM SLT RUST",$G:$G,$AH$1420,$H:$H,$AI1420,$AL:$AL,"&gt;=91")+SUMIFS($N:$N,$C:$C,"RM SLT DENT",$G:$G,$AH$1420,$H:$H,$AI1420,$AL:$AL,"&gt;=91")+SUMIFS($N:$N,$C:$C,"RM SLT",$G:$G,$AH$1420,$H:$H,$AI1420,$AL:$AL,"&gt;=91"))</f>
        <v>0</v>
      </c>
      <c r="AN1420" s="266">
        <f t="shared" ca="1" si="41"/>
        <v>113.99</v>
      </c>
      <c r="AP1420" s="275" t="s">
        <v>34</v>
      </c>
      <c r="AQ1420" s="265">
        <f ca="1">SUM(SUMIFS($N:$N,$C:$C,"RE SLT",$G:$G,$AP1420,$AM:$AM,"&lt;=30")+SUMIFS($N:$N,$C:$C,"RR",$G:$G,$AP1420,$AM:$AM,"&lt;=30")+SUMIFS($N:$N,$C:$C,"SLT",$G:$G,$AP1420,$AM:$AM,"&lt;=30"))</f>
        <v>9.83</v>
      </c>
      <c r="AR1420" s="265">
        <f ca="1">SUM(SUMIFS($N:$N,$C:$C,"RE SLT",$G:$G,$AP1420,$AM:$AM,"&lt;=60")+SUMIFS($N:$N,$C:$C,"RR",$G:$G,$AP1420,$AM:$AM,"&lt;=60")+SUMIFS($N:$N,$C:$C,"SLT",$G:$G,$AP1420,$AM:$AM,"&lt;=60"))-AQ1420</f>
        <v>10.514999999999999</v>
      </c>
      <c r="AS1420" s="265">
        <f ca="1">SUM(SUMIFS($N:$N,$C:$C,"RE SLT",$G:$G,$AP1420,$AM:$AM,"&lt;=90")+SUMIFS($N:$N,$C:$C,"RR",$G:$G,$AP1420,$AM:$AM,"&lt;=90")+SUMIFS($N:$N,$C:$C,"SLT",$G:$G,$AP1420,$AM:$AM,"&lt;=90"))-AR1420-AQ1420</f>
        <v>11.389999999999999</v>
      </c>
      <c r="AT1420" s="265">
        <f ca="1">SUM(SUMIFS($N:$N,$C:$C,"RE SLT",$G:$G,$AP1420,$AM:$AM,"&gt;=91")+SUMIFS($N:$N,$C:$C,"RR",$G:$G,$AP1420,$AM:$AM,"&gt;=91")+SUMIFS($N:$N,$C:$C,"SLT",$G:$G,$AP1420,$AM:$AM,"&gt;=91"))</f>
        <v>41.274999999999999</v>
      </c>
      <c r="AU1420" s="276">
        <f t="shared" ca="1" si="42"/>
        <v>73.009999999999991</v>
      </c>
    </row>
    <row r="1421" spans="2:63" ht="21" customHeight="1" x14ac:dyDescent="0.25">
      <c r="B1421" s="246" t="s">
        <v>614</v>
      </c>
      <c r="C1421" s="246">
        <f>SUMIFS($N$5:$N$1394,$C$5:$C$1394,"BAL",$D$5:$D$1394,"BAL",$G$5:$G$1394,B1421)</f>
        <v>0</v>
      </c>
      <c r="D1421" s="246">
        <f>SUMIFS($N$5:$N$1394,$D$5:$D$1394,"WAIT MULTI",$G$5:$G$1394,B1421)</f>
        <v>0</v>
      </c>
      <c r="E1421" s="246">
        <f>SUMIFS($N$5:$N$1394,$D$5:$D$1394,"HOLD SLT",$G$5:$G$1394,B1421)</f>
        <v>0</v>
      </c>
      <c r="F1421" s="246">
        <f>SUMIFS($N$5:$N$1394,$D$5:$D$1394,"RR ALLOCATED",$G$5:$G$1394,B1421)</f>
        <v>0</v>
      </c>
      <c r="G1421" s="246">
        <f>SUMIFS($N$5:$N$1394,$D$5:$D$1394,"STOCK RR",$G$5:$G$1394,B1421)</f>
        <v>0</v>
      </c>
      <c r="H1421" s="246">
        <f>SUMIFS($N$5:$N$1394,$D$5:$D$1394,"STOCK NO CUST",$G$5:$G$1394,B1421)</f>
        <v>24.174999999999997</v>
      </c>
      <c r="I1421" s="246">
        <f>SUMIFS($N$5:$N$1394,$D$5:$D$1394,"STOCK KW2",$G$5:$G$1394,B1421)</f>
        <v>0</v>
      </c>
      <c r="J1421" s="246">
        <f>SUMIFS($N$5:$N$1394,$C$5:$C$1394,"CTL",$G$5:$G$1394,B1421)</f>
        <v>0</v>
      </c>
      <c r="K1421" s="287">
        <f t="shared" si="40"/>
        <v>24.174999999999997</v>
      </c>
      <c r="O1421" s="290">
        <v>301</v>
      </c>
      <c r="P1421" s="246">
        <f>SUMIFS($N$5:$N$1394,$G$5:$G$1394,O1421,$H$5:$H$1394,"NO.1")</f>
        <v>0</v>
      </c>
      <c r="Q1421" s="246">
        <f>SUMIFS($N$5:$N$1394,$H$5:$H$1394,"FH",$D$5:$D$1394,"RM BAL",$G$5:$G$1394,O1421)</f>
        <v>0</v>
      </c>
      <c r="R1421" s="247">
        <f>SUM(SUMIFS($N$5:$N$1394,$H$5:$H$1394,"2B",$D$5:$D$1394,"RM SLT",$G$5:$G$1394,O1421)+SUMIFS($N$5:$N$1394,$H$5:$H$1394,"BA",$D$5:$D$1394,"RM SLT",$G$5:$G$1394,O1421)+SUMIFS($N$5:$N$1394,$H$5:$H$1394,"2D",$D$5:$D$1394,"RM SLT",$G$5:$G$1394,O1421))</f>
        <v>0</v>
      </c>
      <c r="S1421" s="247">
        <f>SUM(SUMIFS($N$5:$N$1394,$H$5:$H$1394,"2B",$D$5:$D$1394,"RM SLT RUST",$G$5:$G$1394,O1421)+SUMIFS($N$5:$N$1394,$H$5:$H$1394,"2B",$D$5:$D$1394,"RM SLT RUST DENT",$G$5:$G$1394,O1421)+SUMIFS($N$5:$N$1394,$H$5:$H$1394,"2B",$D$5:$D$1394,"RM SLT DENT",$G$5:$G$1394,O1421))</f>
        <v>0</v>
      </c>
      <c r="U1421" s="143"/>
      <c r="V1421" s="143"/>
      <c r="W1421" s="143"/>
      <c r="AD1421" s="140"/>
      <c r="AE1421" s="140"/>
      <c r="AH1421" s="314"/>
      <c r="AI1421" s="272" t="s">
        <v>51</v>
      </c>
      <c r="AJ1421" s="265">
        <f>SUM(SUMIFS($N:$N,$C:$C,"RM",$G:$G,$AH$1420,$H:$H,"2B",$AL:$AL,"&lt;=30")+SUMIFS($N:$N,$C:$C,"RM BAL",$G:$G,$AH$1420,$H:$H,"2B",$AL:$AL,"&lt;=30")+SUMIFS($N:$N,$C:$C,"MILL",$G:$G,$AH$1420,$H:$H,"2B",$AL:$AL,"&lt;=30")+SUMIFS($N:$N,$C:$C,"RM SLT RUST",$G:$G,$AH$1420,$H:$H,"2B",$AL:$AL,"&lt;=30")+SUMIFS($N:$N,$C:$C,"RM SLT DENT",$G:$G,$AH$1420,$H:$H,"2B",$AL:$AL,"&lt;=30")+SUMIFS($N:$N,$C:$C,"RM SLT",$G:$G,$AH$1420,$H:$H,"2B",$AL:$AL,"&lt;=30")+SUMIFS($N:$N,$C:$C,"RM SLT",$G:$G,$AH$1420,$H:$H,"BA",$AL:$AL,"&lt;=30")+SUMIFS($N:$N,$C:$C,"RM SLT",$G:$G,$AH$1420,$H:$H,"2D",$AL:$AL,"&lt;=30"))</f>
        <v>0</v>
      </c>
      <c r="AK1421" s="265">
        <f>SUM(SUMIFS($N:$N,$C:$C,"RM",$G:$G,$AH$1420,$H:$H,"2B",$AL:$AL,"&lt;=60")+SUMIFS($N:$N,$C:$C,"RM BAL",$G:$G,$AH$1420,$H:$H,"2B",$AL:$AL,"&lt;=60")+SUMIFS($N:$N,$C:$C,"MILL",$G:$G,$AH$1420,$H:$H,"2B",$AL:$AL,"&lt;=60")+SUMIFS($N:$N,$C:$C,"RM SLT RUST",$G:$G,$AH$1420,$H:$H,"2B",$AL:$AL,"&lt;=60")+SUMIFS($N:$N,$C:$C,"RM SLT DENT",$G:$G,$AH$1420,$H:$H,"2B",$AL:$AL,"&lt;=60")+SUMIFS($N:$N,$C:$C,"RM SLT",$G:$G,$AH$1420,$H:$H,"2B",$AL:$AL,"&lt;=60")+SUMIFS($N:$N,$C:$C,"RM SLT",$G:$G,$AH$1420,$H:$H,"BA",$AL:$AL,"&lt;=60")+SUMIFS($N:$N,$C:$C,"RM SLT",$G:$G,$AH$1420,$H:$H,"2D",$AL:$AL,"&lt;=60"))-AJ1421</f>
        <v>0</v>
      </c>
      <c r="AL1421" s="265">
        <f>SUM(SUMIFS($N:$N,$C:$C,"RM",$G:$G,$AH$1420,$H:$H,"2B",$AL:$AL,"&lt;=90")+SUMIFS($N:$N,$C:$C,"RM BAL",$G:$G,$AH$1420,$H:$H,"2B",$AL:$AL,"&lt;=90")+SUMIFS($N:$N,$C:$C,"MILL",$G:$G,$AH$1420,$H:$H,"2B",$AL:$AL,"&lt;=90")+SUMIFS($N:$N,$C:$C,"RM SLT RUST",$G:$G,$AH$1420,$H:$H,"2B",$AL:$AL,"&lt;=90")+SUMIFS($N:$N,$C:$C,"RM SLT DENT",$G:$G,$AH$1420,$H:$H,"2B",$AL:$AL,"&lt;=90")+SUMIFS($N:$N,$C:$C,"RM SLT",$G:$G,$AH$1420,$H:$H,"2B",$AL:$AL,"&lt;=90")+SUMIFS($N:$N,$C:$C,"RM SLT",$G:$G,$AH$1420,$H:$H,"BA",$AL:$AL,"&lt;=90")+SUMIFS($N:$N,$C:$C,"RM SLT",$G:$G,$AH$1420,$H:$H,"2D",$AL:$AL,"&lt;=90"))-AK1421-AJ1421</f>
        <v>0</v>
      </c>
      <c r="AM1421" s="265">
        <f>SUM(SUMIFS($N:$N,$C:$C,"RM",$G:$G,$AH$1420,$H:$H,"2B",$AL:$AL,"&gt;=91")+SUMIFS($N:$N,$C:$C,"RM BAL",$G:$G,$AH$1420,$H:$H,"2B",$AL:$AL,"&gt;=91")+SUMIFS($N:$N,$C:$C,"MILL",$G:$G,$AH$1420,$H:$H,"2B",$AL:$AL,"&gt;=91")+SUMIFS($N:$N,$C:$C,"RM SLT RUST",$G:$G,$AH$1420,$H:$H,"2B",$AL:$AL,"&gt;=91")+SUMIFS($N:$N,$C:$C,"RM SLT DENT",$G:$G,$AH$1420,$H:$H,"2B",$AL:$AL,"&gt;=91")+SUMIFS($N:$N,$C:$C,"RM SLT",$G:$G,$AH$1420,$H:$H,"2B",$AL:$AL,"&gt;=91")+SUMIFS($N:$N,$C:$C,"RM SLT",$G:$G,$AH$1420,$H:$H,"BA",$AL:$AL,"&gt;=91")+SUMIFS($N:$N,$C:$C,"RM SLT",$G:$G,$AH$1420,$H:$H,"2D",$AL:$AL,"&gt;=91"))</f>
        <v>0</v>
      </c>
      <c r="AN1421" s="266">
        <f t="shared" si="41"/>
        <v>0</v>
      </c>
      <c r="AP1421" s="278" t="s">
        <v>35</v>
      </c>
      <c r="AQ1421" s="265">
        <f ca="1">SUM(SUMIFS($N:$N,$C:$C,"RE SLT",$G:$G,$AP1421,$AM:$AM,"&lt;=30")+SUMIFS($N:$N,$C:$C,"RR",$G:$G,$AP1421,$AM:$AM,"&lt;=30")+SUMIFS($N:$N,$C:$C,"SLT",$G:$G,$AP1421,$AM:$AM,"&lt;=30"))</f>
        <v>0</v>
      </c>
      <c r="AR1421" s="265">
        <f ca="1">SUM(SUMIFS($N:$N,$C:$C,"RE SLT",$G:$G,$AP1421,$AM:$AM,"&lt;=60")+SUMIFS($N:$N,$C:$C,"RR",$G:$G,$AP1421,$AM:$AM,"&lt;=60")+SUMIFS($N:$N,$C:$C,"SLT",$G:$G,$AP1421,$AM:$AM,"&lt;=60"))-AQ1421</f>
        <v>0</v>
      </c>
      <c r="AS1421" s="265">
        <f ca="1">SUM(SUMIFS($N:$N,$C:$C,"RE SLT",$G:$G,$AP1421,$AM:$AM,"&lt;=90")+SUMIFS($N:$N,$C:$C,"RR",$G:$G,$AP1421,$AM:$AM,"&lt;=90")+SUMIFS($N:$N,$C:$C,"SLT",$G:$G,$AP1421,$AM:$AM,"&lt;=90"))-AR1421-AQ1421</f>
        <v>0</v>
      </c>
      <c r="AT1421" s="265">
        <f ca="1">SUM(SUMIFS($N:$N,$C:$C,"RE SLT",$G:$G,$AP1421,$AM:$AM,"&gt;=91")+SUMIFS($N:$N,$C:$C,"RR",$G:$G,$AP1421,$AM:$AM,"&gt;=91")+SUMIFS($N:$N,$C:$C,"SLT",$G:$G,$AP1421,$AM:$AM,"&gt;=91"))</f>
        <v>6.01</v>
      </c>
      <c r="AU1421" s="266">
        <f t="shared" ca="1" si="42"/>
        <v>6.01</v>
      </c>
    </row>
    <row r="1422" spans="2:63" ht="21" customHeight="1" x14ac:dyDescent="0.25">
      <c r="B1422" s="246" t="s">
        <v>182</v>
      </c>
      <c r="C1422" s="246">
        <f>SUMIFS($N$5:$N$1394,$C$5:$C$1394,"BAL",$D$5:$D$1394,"BAL",$G$5:$G$1394,B1422)</f>
        <v>828.95799999999986</v>
      </c>
      <c r="D1422" s="246">
        <f>SUMIFS($N$5:$N$1394,$D$5:$D$1394,"WAIT MULTI",$G$5:$G$1394,B1422)</f>
        <v>28.414999999999999</v>
      </c>
      <c r="E1422" s="246">
        <f>SUMIFS($N$5:$N$1394,$D$5:$D$1394,"HOLD SLT",$G$5:$G$1394,B1422)</f>
        <v>46.895000000000003</v>
      </c>
      <c r="F1422" s="246">
        <f>SUMIFS($N$5:$N$1394,$D$5:$D$1394,"RR ALLOCATED",$G$5:$G$1394,B1422)</f>
        <v>21.82</v>
      </c>
      <c r="G1422" s="246">
        <f>SUMIFS($N$5:$N$1394,$D$5:$D$1394,"STOCK RR",$G$5:$G$1394,B1422)</f>
        <v>54.164999999999999</v>
      </c>
      <c r="H1422" s="246">
        <f>SUMIFS($N$5:$N$1394,$D$5:$D$1394,"STOCK NO CUST",$G$5:$G$1394,B1422)</f>
        <v>40.340000000000003</v>
      </c>
      <c r="I1422" s="246">
        <f>SUMIFS($N$5:$N$1394,$D$5:$D$1394,"STOCK KW2",$G$5:$G$1394,B1422)</f>
        <v>0</v>
      </c>
      <c r="J1422" s="246">
        <f>SUMIFS($N$5:$N$1394,$C$5:$C$1394,"CTL",$G$5:$G$1394,B1422)</f>
        <v>0</v>
      </c>
      <c r="K1422" s="287">
        <f t="shared" si="40"/>
        <v>1020.5929999999998</v>
      </c>
      <c r="O1422" s="241" t="s">
        <v>39</v>
      </c>
      <c r="P1422" s="255">
        <f>SUM(P1407:P1421)</f>
        <v>9047.1280000000024</v>
      </c>
      <c r="Q1422" s="255">
        <f>SUM(Q1407:Q1421)</f>
        <v>0</v>
      </c>
      <c r="R1422" s="255">
        <f>SUM(R1407:R1421)</f>
        <v>328.14200000000005</v>
      </c>
      <c r="S1422" s="315">
        <f>SUM(S1407:S1421)</f>
        <v>35.683999999999997</v>
      </c>
      <c r="AH1422" s="316"/>
      <c r="AI1422" s="264" t="s">
        <v>70</v>
      </c>
      <c r="AJ1422" s="265">
        <f>SUM(SUMIFS($N:$N,$C:$C,"RM",$G:$G,$AH$1423,$H:$H,$AI1422,$AL:$AL,"&lt;=30")+SUMIFS($N:$N,$C:$C,"RM BAL",$G:$G,$AH$1423,$H:$H,$AI1422,$AL:$AL,"&lt;=30")+SUMIFS($N:$N,$C:$C,"MILL",$G:$G,$AH$1423,$H:$H,$AI1422,$AL:$AL,"&lt;=30")+SUMIFS($N:$N,$C:$C,"RM SLT RUST",$G:$G,$AH$1423,$H:$H,$AI1422,$AL:$AL,"&lt;=30")+SUMIFS($N:$N,$C:$C,"RM SLT DENT",$G:$G,$AH$1423,$H:$H,$AI1422,$AL:$AL,"&lt;=30")+SUMIFS($N:$N,$C:$C,"RM SLT",$G:$G,$AH$1423,$H:$H,$AI1422,$AL:$AL,"&lt;=30"))</f>
        <v>0</v>
      </c>
      <c r="AK1422" s="265">
        <f>SUM(SUMIFS($N:$N,$C:$C,"RM",$G:$G,$AH$1423,$H:$H,$AI1422,$AL:$AL,"&lt;=60")+SUMIFS($N:$N,$C:$C,"RM BAL",$G:$G,$AH$1423,$H:$H,$AI1422,$AL:$AL,"&lt;=60")+SUMIFS($N:$N,$C:$C,"MILL",$G:$G,$AH$1423,$H:$H,$AI1422,$AL:$AL,"&lt;=60")+SUMIFS($N:$N,$C:$C,"RM SLT RUST",$G:$G,$AH$1423,$H:$H,$AI1422,$AL:$AL,"&lt;=60")+SUMIFS($N:$N,$C:$C,"RM SLT DENT",$G:$G,$AH$1423,$H:$H,$AI1422,$AL:$AL,"&lt;=60")+SUMIFS($N:$N,$C:$C,"RM SLT",$G:$G,$AH$1423,$H:$H,$AI1422,$AL:$AL,"&lt;=60"))-AJ1422</f>
        <v>0</v>
      </c>
      <c r="AL1422" s="265">
        <f>SUM(SUMIFS($N:$N,$C:$C,"RM",$G:$G,$AH$1423,$H:$H,$AI1422,$AL:$AL,"&lt;=90")+SUMIFS($N:$N,$C:$C,"RM BAL",$G:$G,$AH$1423,$H:$H,$AI1422,$AL:$AL,"&lt;=90")+SUMIFS($N:$N,$C:$C,"MILL",$G:$G,$AH$1423,$H:$H,$AI1422,$AL:$AL,"&lt;=90")+SUMIFS($N:$N,$C:$C,"RM SLT RUST",$G:$G,$AH$1423,$H:$H,$AI1422,$AL:$AL,"&lt;=90")+SUMIFS($N:$N,$C:$C,"RM SLT DENT",$G:$G,$AH$1423,$H:$H,$AI1422,$AL:$AL,"&lt;=90")+SUMIFS($N:$N,$C:$C,"RM SLT",$G:$G,$AH$1423,$H:$H,$AI1422,$AL:$AL,"&lt;=90"))-AK1422-AJ1422</f>
        <v>0</v>
      </c>
      <c r="AM1422" s="265">
        <f>SUM(SUMIFS($N:$N,$C:$C,"RM",$G:$G,$AH$1423,$H:$H,$AI1422,$AL:$AL,"&gt;=91")+SUMIFS($N:$N,$C:$C,"RM BAL",$G:$G,$AH$1423,$H:$H,$AI1422,$AL:$AL,"&gt;=91")+SUMIFS($N:$N,$C:$C,"MILL",$G:$G,$AH$1423,$H:$H,$AI1422,$AL:$AL,"&gt;=91")+SUMIFS($N:$N,$C:$C,"RM SLT RUST",$G:$G,$AH$1423,$H:$H,$AI1422,$AL:$AL,"&gt;=91")+SUMIFS($N:$N,$C:$C,"RM SLT DENT",$G:$G,$AH$1423,$H:$H,$AI1422,$AL:$AL,"&gt;=91")+SUMIFS($N:$N,$C:$C,"RM SLT",$G:$G,$AH$1423,$H:$H,$AI1422,$AL:$AL,"&gt;=91"))</f>
        <v>0</v>
      </c>
      <c r="AN1422" s="266">
        <f t="shared" si="41"/>
        <v>0</v>
      </c>
      <c r="AP1422" s="279">
        <v>304</v>
      </c>
      <c r="AQ1422" s="265">
        <f ca="1">SUM(SUMIFS($N:$N,$C:$C,"RE SLT",$G:$G,$AP1422,$AM:$AM,"&lt;=30")+SUMIFS($N:$N,$C:$C,"RR",$G:$G,$AP1422,$AM:$AM,"&lt;=30")+SUMIFS($N:$N,$C:$C,"SLT",$G:$G,$AP1422,$AM:$AM,"&lt;=30"))</f>
        <v>30.57</v>
      </c>
      <c r="AR1422" s="265">
        <f ca="1">SUM(SUMIFS($N:$N,$C:$C,"RE SLT",$G:$G,$AP1422,$AM:$AM,"&lt;=60")+SUMIFS($N:$N,$C:$C,"RR",$G:$G,$AP1422,$AM:$AM,"&lt;=60")+SUMIFS($N:$N,$C:$C,"SLT",$G:$G,$AP1422,$AM:$AM,"&lt;=60"))-AQ1422</f>
        <v>0</v>
      </c>
      <c r="AS1422" s="265">
        <f ca="1">SUM(SUMIFS($N:$N,$C:$C,"RE SLT",$G:$G,$AP1422,$AM:$AM,"&lt;=90")+SUMIFS($N:$N,$C:$C,"RR",$G:$G,$AP1422,$AM:$AM,"&lt;=90")+SUMIFS($N:$N,$C:$C,"SLT",$G:$G,$AP1422,$AM:$AM,"&lt;=90"))-AR1422-AQ1422</f>
        <v>0</v>
      </c>
      <c r="AT1422" s="265">
        <f ca="1">SUM(SUMIFS($N:$N,$C:$C,"RE SLT",$G:$G,$AP1422,$AM:$AM,"&gt;=91")+SUMIFS($N:$N,$C:$C,"RR",$G:$G,$AP1422,$AM:$AM,"&gt;=91")+SUMIFS($N:$N,$C:$C,"SLT",$G:$G,$AP1422,$AM:$AM,"&gt;=91"))</f>
        <v>2.31</v>
      </c>
      <c r="AU1422" s="266">
        <f t="shared" ca="1" si="42"/>
        <v>32.880000000000003</v>
      </c>
    </row>
    <row r="1423" spans="2:63" ht="21" customHeight="1" x14ac:dyDescent="0.25">
      <c r="B1423" s="246">
        <v>316</v>
      </c>
      <c r="C1423" s="246">
        <f>SUMIFS($N$5:$N$1394,$C$5:$C$1394,"BAL",$D$5:$D$1394,"BAL",$G$5:$G$1394,B1423)</f>
        <v>0</v>
      </c>
      <c r="D1423" s="246">
        <f>SUMIFS($N$5:$N$1394,$D$5:$D$1394,"WAIT MULTI",$G$5:$G$1394,B1423)</f>
        <v>0</v>
      </c>
      <c r="E1423" s="246">
        <f>SUMIFS($N$5:$N$1394,$D$5:$D$1394,"HOLD SLT",$G$5:$G$1394,B1423)</f>
        <v>0</v>
      </c>
      <c r="F1423" s="246">
        <f>SUMIFS($N$5:$N$1394,$D$5:$D$1394,"RR ALLOCATED",$G$5:$G$1394,B1423)</f>
        <v>0</v>
      </c>
      <c r="G1423" s="246">
        <f>SUMIFS($N$5:$N$1394,$D$5:$D$1394,"STOCK RR",$G$5:$G$1394,B1423)</f>
        <v>0</v>
      </c>
      <c r="H1423" s="246">
        <f>SUMIFS($N$5:$N$1394,$D$5:$D$1394,"STOCK NO CUST",$G$5:$G$1394,B1423)</f>
        <v>0</v>
      </c>
      <c r="I1423" s="246">
        <f>SUMIFS($N$5:$N$1394,$D$5:$D$1394,"STOCK KW2",$G$5:$G$1394,B1423)</f>
        <v>0</v>
      </c>
      <c r="J1423" s="246">
        <f>SUMIFS($N$5:$N$1394,$C$5:$C$1394,"CTL",$G$5:$G$1394,B1423)</f>
        <v>0</v>
      </c>
      <c r="K1423" s="287">
        <f t="shared" si="40"/>
        <v>0</v>
      </c>
      <c r="AH1423" s="317">
        <v>430</v>
      </c>
      <c r="AI1423" s="173" t="s">
        <v>127</v>
      </c>
      <c r="AJ1423" s="265">
        <f ca="1">SUM(SUMIFS($N:$N,$C:$C,"RM",$G:$G,$AH$1423,$H:$H,$AI1423,$AL:$AL,"&lt;=30")+SUMIFS($N:$N,$C:$C,"RM BAL",$G:$G,$AH$1423,$H:$H,$AI1423,$AL:$AL,"&lt;=30")+SUMIFS($N:$N,$C:$C,"MILL",$G:$G,$AH$1423,$H:$H,$AI1423,$AL:$AL,"&lt;=30")+SUMIFS($N:$N,$C:$C,"RM SLT RUST",$G:$G,$AH$1423,$H:$H,$AI1423,$AL:$AL,"&lt;=30")+SUMIFS($N:$N,$C:$C,"RM SLT DENT",$G:$G,$AH$1423,$H:$H,$AI1423,$AL:$AL,"&lt;=30")+SUMIFS($N:$N,$C:$C,"RM SLT",$G:$G,$AH$1423,$H:$H,$AI1423,$AL:$AL,"&lt;=30"))</f>
        <v>0</v>
      </c>
      <c r="AK1423" s="265">
        <f ca="1">SUM(SUMIFS($N:$N,$C:$C,"RM",$G:$G,$AH$1423,$H:$H,$AI1423,$AL:$AL,"&lt;=60")+SUMIFS($N:$N,$C:$C,"RM BAL",$G:$G,$AH$1423,$H:$H,$AI1423,$AL:$AL,"&lt;=60")+SUMIFS($N:$N,$C:$C,"MILL",$G:$G,$AH$1423,$H:$H,$AI1423,$AL:$AL,"&lt;=60")+SUMIFS($N:$N,$C:$C,"RM SLT RUST",$G:$G,$AH$1423,$H:$H,$AI1423,$AL:$AL,"&lt;=60")+SUMIFS($N:$N,$C:$C,"RM SLT DENT",$G:$G,$AH$1423,$H:$H,$AI1423,$AL:$AL,"&lt;=60")+SUMIFS($N:$N,$C:$C,"RM SLT",$G:$G,$AH$1423,$H:$H,$AI1423,$AL:$AL,"&lt;=60"))-AJ1423</f>
        <v>0</v>
      </c>
      <c r="AL1423" s="265">
        <f ca="1">SUM(SUMIFS($N:$N,$C:$C,"RM",$G:$G,$AH$1423,$H:$H,$AI1423,$AL:$AL,"&lt;=90")+SUMIFS($N:$N,$C:$C,"RM BAL",$G:$G,$AH$1423,$H:$H,$AI1423,$AL:$AL,"&lt;=90")+SUMIFS($N:$N,$C:$C,"MILL",$G:$G,$AH$1423,$H:$H,$AI1423,$AL:$AL,"&lt;=90")+SUMIFS($N:$N,$C:$C,"RM SLT RUST",$G:$G,$AH$1423,$H:$H,$AI1423,$AL:$AL,"&lt;=90")+SUMIFS($N:$N,$C:$C,"RM SLT DENT",$G:$G,$AH$1423,$H:$H,$AI1423,$AL:$AL,"&lt;=90")+SUMIFS($N:$N,$C:$C,"RM SLT",$G:$G,$AH$1423,$H:$H,$AI1423,$AL:$AL,"&lt;=90"))-AK1423-AJ1423</f>
        <v>0</v>
      </c>
      <c r="AM1423" s="265">
        <f ca="1">SUM(SUMIFS($N:$N,$C:$C,"RM",$G:$G,$AH$1423,$H:$H,$AI1423,$AL:$AL,"&gt;=91")+SUMIFS($N:$N,$C:$C,"RM BAL",$G:$G,$AH$1423,$H:$H,$AI1423,$AL:$AL,"&gt;=91")+SUMIFS($N:$N,$C:$C,"MILL",$G:$G,$AH$1423,$H:$H,$AI1423,$AL:$AL,"&gt;=91")+SUMIFS($N:$N,$C:$C,"RM SLT RUST",$G:$G,$AH$1423,$H:$H,$AI1423,$AL:$AL,"&gt;=91")+SUMIFS($N:$N,$C:$C,"RM SLT DENT",$G:$G,$AH$1423,$H:$H,$AI1423,$AL:$AL,"&gt;=91")+SUMIFS($N:$N,$C:$C,"RM SLT",$G:$G,$AH$1423,$H:$H,$AI1423,$AL:$AL,"&gt;=91"))</f>
        <v>20.887999999999998</v>
      </c>
      <c r="AN1423" s="266">
        <f t="shared" ca="1" si="41"/>
        <v>20.887999999999998</v>
      </c>
      <c r="AP1423" s="281" t="s">
        <v>182</v>
      </c>
      <c r="AQ1423" s="265">
        <f ca="1">SUM(SUMIFS($N:$N,$C:$C,"RE SLT",$G:$G,$AP1423,$AM:$AM,"&lt;=30")+SUMIFS($N:$N,$C:$C,"RR",$G:$G,$AP1423,$AM:$AM,"&lt;=30")+SUMIFS($N:$N,$C:$C,"SLT",$G:$G,$AP1423,$AM:$AM,"&lt;=30"))</f>
        <v>31.869999999999997</v>
      </c>
      <c r="AR1423" s="265">
        <f ca="1">SUM(SUMIFS($N:$N,$C:$C,"RE SLT",$G:$G,$AP1423,$AM:$AM,"&lt;=60")+SUMIFS($N:$N,$C:$C,"RR",$G:$G,$AP1423,$AM:$AM,"&lt;=60")+SUMIFS($N:$N,$C:$C,"SLT",$G:$G,$AP1423,$AM:$AM,"&lt;=60"))-AQ1423</f>
        <v>20.29</v>
      </c>
      <c r="AS1423" s="265">
        <f ca="1">SUM(SUMIFS($N:$N,$C:$C,"RE SLT",$G:$G,$AP1423,$AM:$AM,"&lt;=90")+SUMIFS($N:$N,$C:$C,"RR",$G:$G,$AP1423,$AM:$AM,"&lt;=90")+SUMIFS($N:$N,$C:$C,"SLT",$G:$G,$AP1423,$AM:$AM,"&lt;=90"))-AR1423-AQ1423</f>
        <v>2.2650000000000006</v>
      </c>
      <c r="AT1423" s="265">
        <f ca="1">SUM(SUMIFS($N:$N,$C:$C,"RE SLT",$G:$G,$AP1423,$AM:$AM,"&gt;=91")+SUMIFS($N:$N,$C:$C,"RR",$G:$G,$AP1423,$AM:$AM,"&gt;=91")+SUMIFS($N:$N,$C:$C,"SLT",$G:$G,$AP1423,$AM:$AM,"&gt;=91"))</f>
        <v>47.93</v>
      </c>
      <c r="AU1423" s="266">
        <f t="shared" ca="1" si="42"/>
        <v>102.35499999999999</v>
      </c>
    </row>
    <row r="1424" spans="2:63" ht="21" customHeight="1" x14ac:dyDescent="0.25">
      <c r="B1424" s="246" t="s">
        <v>135</v>
      </c>
      <c r="C1424" s="246">
        <f>SUMIFS($N$5:$N$1394,$C$5:$C$1394,"BAL",$D$5:$D$1394,"BAL",$G$5:$G$1394,B1424)</f>
        <v>2.16</v>
      </c>
      <c r="D1424" s="246">
        <f>SUMIFS($N$5:$N$1394,$D$5:$D$1394,"WAIT MULTI",$G$5:$G$1394,B1424)</f>
        <v>4.57</v>
      </c>
      <c r="E1424" s="246">
        <f>SUMIFS($N$5:$N$1394,$D$5:$D$1394,"HOLD SLT",$G$5:$G$1394,B1424)</f>
        <v>0</v>
      </c>
      <c r="F1424" s="246">
        <f>SUMIFS($N$5:$N$1394,$D$5:$D$1394,"RR ALLOCATED",$G$5:$G$1394,B1424)</f>
        <v>21.085000000000001</v>
      </c>
      <c r="G1424" s="246">
        <f>SUMIFS($N$5:$N$1394,$D$5:$D$1394,"STOCK RR",$G$5:$G$1394,B1424)</f>
        <v>0</v>
      </c>
      <c r="H1424" s="246">
        <f>SUMIFS($N$5:$N$1394,$D$5:$D$1394,"STOCK NO CUST",$G$5:$G$1394,B1424)</f>
        <v>2.7650000000000001</v>
      </c>
      <c r="I1424" s="246">
        <f>SUMIFS($N$5:$N$1394,$D$5:$D$1394,"STOCK KW2",$G$5:$G$1394,B1424)</f>
        <v>0</v>
      </c>
      <c r="J1424" s="246">
        <f>SUMIFS($N$5:$N$1394,$C$5:$C$1394,"CTL",$G$5:$G$1394,B1424)</f>
        <v>0</v>
      </c>
      <c r="K1424" s="287">
        <f t="shared" si="40"/>
        <v>30.580000000000002</v>
      </c>
      <c r="AH1424" s="317"/>
      <c r="AI1424" s="272" t="s">
        <v>51</v>
      </c>
      <c r="AJ1424" s="265">
        <f>SUM(SUMIFS($N:$N,$C:$C,"RM",$G:$G,$AH$1423,$H:$H,"2B",$AL:$AL,"&lt;=30")+SUMIFS($N:$N,$C:$C,"RM BAL",$G:$G,$AH$1423,$H:$H,"2B",$AL:$AL,"&lt;=30")+SUMIFS($N:$N,$C:$C,"MILL",$G:$G,$AH$1423,$H:$H,"2B",$AL:$AL,"&lt;=30")+SUMIFS($N:$N,$C:$C,"RM SLT RUST",$G:$G,$AH$1423,$H:$H,"2B",$AL:$AL,"&lt;=30")+SUMIFS($N:$N,$C:$C,"RM SLT DENT",$G:$G,$AH$1423,$H:$H,"2B",$AL:$AL,"&lt;=30")+SUMIFS($N:$N,$C:$C,"RM SLT",$G:$G,$AH$1423,$H:$H,"2B",$AL:$AL,"&lt;=30")+SUMIFS($N:$N,$C:$C,"RM SLT",$G:$G,$AH$1423,$H:$H,"BA",$AL:$AL,"&lt;=30")+SUMIFS($N:$N,$C:$C,"RM SLT",$G:$G,$AH$1423,$H:$H,"2D",$AL:$AL,"&lt;=30"))</f>
        <v>0</v>
      </c>
      <c r="AK1424" s="265">
        <f>SUM(SUMIFS($N:$N,$C:$C,"RM",$G:$G,$AH$1423,$H:$H,"2B",$AL:$AL,"&lt;=60")+SUMIFS($N:$N,$C:$C,"RM BAL",$G:$G,$AH$1423,$H:$H,"2B",$AL:$AL,"&lt;=60")+SUMIFS($N:$N,$C:$C,"MILL",$G:$G,$AH$1423,$H:$H,"2B",$AL:$AL,"&lt;=60")+SUMIFS($N:$N,$C:$C,"RM SLT RUST",$G:$G,$AH$1423,$H:$H,"2B",$AL:$AL,"&lt;=60")+SUMIFS($N:$N,$C:$C,"RM SLT DENT",$G:$G,$AH$1423,$H:$H,"2B",$AL:$AL,"&lt;=60")+SUMIFS($N:$N,$C:$C,"RM SLT",$G:$G,$AH$1423,$H:$H,"2B",$AL:$AL,"&lt;=60")+SUMIFS($N:$N,$C:$C,"RM SLT",$G:$G,$AH$1423,$H:$H,"BA",$AL:$AL,"&lt;=60")+SUMIFS($N:$N,$C:$C,"RM SLT",$G:$G,$AH$1423,$H:$H,"2D",$AL:$AL,"&lt;=60"))-AJ1424</f>
        <v>0</v>
      </c>
      <c r="AL1424" s="265">
        <f>SUM(SUMIFS($N:$N,$C:$C,"RM",$G:$G,$AH$1423,$H:$H,"2B",$AL:$AL,"&lt;=90")+SUMIFS($N:$N,$C:$C,"RM BAL",$G:$G,$AH$1423,$H:$H,"2B",$AL:$AL,"&lt;=90")+SUMIFS($N:$N,$C:$C,"MILL",$G:$G,$AH$1423,$H:$H,"2B",$AL:$AL,"&lt;=90")+SUMIFS($N:$N,$C:$C,"RM SLT RUST",$G:$G,$AH$1423,$H:$H,"2B",$AL:$AL,"&lt;=90")+SUMIFS($N:$N,$C:$C,"RM SLT DENT",$G:$G,$AH$1423,$H:$H,"2B",$AL:$AL,"&lt;=90")+SUMIFS($N:$N,$C:$C,"RM SLT",$G:$G,$AH$1423,$H:$H,"2B",$AL:$AL,"&lt;=90")+SUMIFS($N:$N,$C:$C,"RM SLT",$G:$G,$AH$1423,$H:$H,"BA",$AL:$AL,"&lt;=90")+SUMIFS($N:$N,$C:$C,"RM SLT",$G:$G,$AH$1423,$H:$H,"2D",$AL:$AL,"&lt;=90"))-AK1424-AJ1424</f>
        <v>0</v>
      </c>
      <c r="AM1424" s="265">
        <f>SUM(SUMIFS($N:$N,$C:$C,"RM",$G:$G,$AH$1423,$H:$H,"2B",$AL:$AL,"&gt;=91")+SUMIFS($N:$N,$C:$C,"RM BAL",$G:$G,$AH$1423,$H:$H,"2B",$AL:$AL,"&gt;=91")+SUMIFS($N:$N,$C:$C,"MILL",$G:$G,$AH$1423,$H:$H,"2B",$AL:$AL,"&gt;=91")+SUMIFS($N:$N,$C:$C,"RM SLT RUST",$G:$G,$AH$1423,$H:$H,"2B",$AL:$AL,"&gt;=91")+SUMIFS($N:$N,$C:$C,"RM SLT DENT",$G:$G,$AH$1423,$H:$H,"2B",$AL:$AL,"&gt;=91")+SUMIFS($N:$N,$C:$C,"RM SLT",$G:$G,$AH$1423,$H:$H,"2B",$AL:$AL,"&gt;=91")+SUMIFS($N:$N,$C:$C,"RM SLT",$G:$G,$AH$1423,$H:$H,"BA",$AL:$AL,"&gt;=91")+SUMIFS($N:$N,$C:$C,"RM SLT",$G:$G,$AH$1423,$H:$H,"2D",$AL:$AL,"&gt;=91"))</f>
        <v>0</v>
      </c>
      <c r="AN1424" s="266">
        <f t="shared" si="41"/>
        <v>0</v>
      </c>
      <c r="AP1424" s="286" t="s">
        <v>135</v>
      </c>
      <c r="AQ1424" s="265">
        <f ca="1">SUM(SUMIFS($N:$N,$C:$C,"RE SLT",$G:$G,$AP1424,$AM:$AM,"&lt;=30")+SUMIFS($N:$N,$C:$C,"RR",$G:$G,$AP1424,$AM:$AM,"&lt;=30")+SUMIFS($N:$N,$C:$C,"SLT",$G:$G,$AP1424,$AM:$AM,"&lt;=30"))</f>
        <v>10.57</v>
      </c>
      <c r="AR1424" s="265">
        <f ca="1">SUM(SUMIFS($N:$N,$C:$C,"RE SLT",$G:$G,$AP1424,$AM:$AM,"&lt;=60")+SUMIFS($N:$N,$C:$C,"RR",$G:$G,$AP1424,$AM:$AM,"&lt;=60")+SUMIFS($N:$N,$C:$C,"SLT",$G:$G,$AP1424,$AM:$AM,"&lt;=60"))-AQ1424</f>
        <v>4.57</v>
      </c>
      <c r="AS1424" s="265">
        <f ca="1">SUM(SUMIFS($N:$N,$C:$C,"RE SLT",$G:$G,$AP1424,$AM:$AM,"&lt;=90")+SUMIFS($N:$N,$C:$C,"RR",$G:$G,$AP1424,$AM:$AM,"&lt;=90")+SUMIFS($N:$N,$C:$C,"SLT",$G:$G,$AP1424,$AM:$AM,"&lt;=90"))-AR1424-AQ1424</f>
        <v>0</v>
      </c>
      <c r="AT1424" s="265">
        <f ca="1">SUM(SUMIFS($N:$N,$C:$C,"RE SLT",$G:$G,$AP1424,$AM:$AM,"&gt;=91")+SUMIFS($N:$N,$C:$C,"RR",$G:$G,$AP1424,$AM:$AM,"&gt;=91")+SUMIFS($N:$N,$C:$C,"SLT",$G:$G,$AP1424,$AM:$AM,"&gt;=91"))</f>
        <v>13.280000000000001</v>
      </c>
      <c r="AU1424" s="266">
        <f t="shared" ca="1" si="42"/>
        <v>28.42</v>
      </c>
    </row>
    <row r="1425" spans="2:47" ht="21" customHeight="1" x14ac:dyDescent="0.25">
      <c r="B1425" s="246">
        <v>430</v>
      </c>
      <c r="C1425" s="246">
        <f>SUMIFS($N$5:$N$1394,$C$5:$C$1394,"BAL",$D$5:$D$1394,"BAL",$G$5:$G$1394,B1425)</f>
        <v>0</v>
      </c>
      <c r="D1425" s="246">
        <f>SUMIFS($N$5:$N$1394,$D$5:$D$1394,"WAIT MULTI",$G$5:$G$1394,B1425)</f>
        <v>0</v>
      </c>
      <c r="E1425" s="246">
        <f>SUMIFS($N$5:$N$1394,$D$5:$D$1394,"HOLD SLT",$G$5:$G$1394,B1425)</f>
        <v>0</v>
      </c>
      <c r="F1425" s="246">
        <f>SUMIFS($N$5:$N$1394,$D$5:$D$1394,"RR ALLOCATED",$G$5:$G$1394,B1425)</f>
        <v>0</v>
      </c>
      <c r="G1425" s="246">
        <f>SUMIFS($N$5:$N$1394,$D$5:$D$1394,"STOCK RR",$G$5:$G$1394,B1425)</f>
        <v>0</v>
      </c>
      <c r="H1425" s="246">
        <f>SUMIFS($N$5:$N$1394,$D$5:$D$1394,"STOCK NO CUST",$G$5:$G$1394,B1425)</f>
        <v>12.091000000000001</v>
      </c>
      <c r="I1425" s="246">
        <f>SUMIFS($N$5:$N$1394,$D$5:$D$1394,"STOCK KW2",$G$5:$G$1394,B1425)</f>
        <v>0</v>
      </c>
      <c r="J1425" s="246">
        <f>SUMIFS($N$5:$N$1394,$C$5:$C$1394,"CTL",$G$5:$G$1394,B1425)</f>
        <v>0</v>
      </c>
      <c r="K1425" s="287">
        <f t="shared" si="40"/>
        <v>12.091000000000001</v>
      </c>
      <c r="AH1425" s="318"/>
      <c r="AI1425" s="264" t="s">
        <v>70</v>
      </c>
      <c r="AJ1425" s="265">
        <f>SUM(SUMIFS($N:$N,$C:$C,"RM",$G:$G,$AH$1426,$H:$H,$AI1425,$AL:$AL,"&lt;=30")+SUMIFS($N:$N,$C:$C,"RM BAL",$G:$G,$AH$1426,$H:$H,$AI1425,$AL:$AL,"&lt;=30")+SUMIFS($N:$N,$C:$C,"MILL",$G:$G,$AH$1426,$H:$H,$AI1425,$AL:$AL,"&lt;=30")+SUMIFS($N:$N,$C:$C,"RM SLT RUST",$G:$G,$AH$1426,$H:$H,$AI1425,$AL:$AL,"&lt;=30")+SUMIFS($N:$N,$C:$C,"RM SLT DENT",$G:$G,$AH$1426,$H:$H,$AI1425,$AL:$AL,"&lt;=30")+SUMIFS($N:$N,$C:$C,"RM SLT",$G:$G,$AH$1426,$H:$H,$AI1425,$AL:$AL,"&lt;=30"))</f>
        <v>0</v>
      </c>
      <c r="AK1425" s="265">
        <f>SUM(SUMIFS($N:$N,$C:$C,"RM",$G:$G,$AH$1426,$H:$H,$AI1425,$AL:$AL,"&lt;=60")+SUMIFS($N:$N,$C:$C,"RM BAL",$G:$G,$AH$1426,$H:$H,$AI1425,$AL:$AL,"&lt;=60")+SUMIFS($N:$N,$C:$C,"MILL",$G:$G,$AH$1426,$H:$H,$AI1425,$AL:$AL,"&lt;=60")+SUMIFS($N:$N,$C:$C,"RM SLT RUST",$G:$G,$AH$1426,$H:$H,$AI1425,$AL:$AL,"&lt;=60")+SUMIFS($N:$N,$C:$C,"RM SLT DENT",$G:$G,$AH$1426,$H:$H,$AI1425,$AL:$AL,"&lt;=60")+SUMIFS($N:$N,$C:$C,"RM SLT",$G:$G,$AH$1426,$H:$H,$AI1425,$AL:$AL,"&lt;=60"))-AJ1425</f>
        <v>0</v>
      </c>
      <c r="AL1425" s="265">
        <f>SUM(SUMIFS($N:$N,$C:$C,"RM",$G:$G,$AH$1426,$H:$H,$AI1425,$AL:$AL,"&lt;=90")+SUMIFS($N:$N,$C:$C,"RM BAL",$G:$G,$AH$1426,$H:$H,$AI1425,$AL:$AL,"&lt;=90")+SUMIFS($N:$N,$C:$C,"MILL",$G:$G,$AH$1426,$H:$H,$AI1425,$AL:$AL,"&lt;=90")+SUMIFS($N:$N,$C:$C,"RM SLT RUST",$G:$G,$AH$1426,$H:$H,$AI1425,$AL:$AL,"&lt;=90")+SUMIFS($N:$N,$C:$C,"RM SLT DENT",$G:$G,$AH$1426,$H:$H,$AI1425,$AL:$AL,"&lt;=90")+SUMIFS($N:$N,$C:$C,"RM SLT",$G:$G,$AH$1426,$H:$H,$AI1425,$AL:$AL,"&lt;=90"))-AK1425-AJ1425</f>
        <v>0</v>
      </c>
      <c r="AM1425" s="265">
        <f>SUM(SUMIFS($N:$N,$C:$C,"RM",$G:$G,$AH$1426,$H:$H,$AI1425,$AL:$AL,"&gt;=91")+SUMIFS($N:$N,$C:$C,"RM BAL",$G:$G,$AH$1426,$H:$H,$AI1425,$AL:$AL,"&gt;=91")+SUMIFS($N:$N,$C:$C,"MILL",$G:$G,$AH$1426,$H:$H,$AI1425,$AL:$AL,"&gt;=91")+SUMIFS($N:$N,$C:$C,"RM SLT RUST",$G:$G,$AH$1426,$H:$H,$AI1425,$AL:$AL,"&gt;=91")+SUMIFS($N:$N,$C:$C,"RM SLT DENT",$G:$G,$AH$1426,$H:$H,$AI1425,$AL:$AL,"&gt;=91")+SUMIFS($N:$N,$C:$C,"RM SLT",$G:$G,$AH$1426,$H:$H,$AI1425,$AL:$AL,"&gt;=91"))</f>
        <v>0</v>
      </c>
      <c r="AN1425" s="266">
        <f t="shared" si="41"/>
        <v>0</v>
      </c>
      <c r="AP1425" s="289">
        <v>430</v>
      </c>
      <c r="AQ1425" s="265">
        <f ca="1">SUM(SUMIFS($N:$N,$C:$C,"RE SLT",$G:$G,$AP1425,$AM:$AM,"&lt;=30")+SUMIFS($N:$N,$C:$C,"RR",$G:$G,$AP1425,$AM:$AM,"&lt;=30")+SUMIFS($N:$N,$C:$C,"SLT",$G:$G,$AP1425,$AM:$AM,"&lt;=30"))</f>
        <v>0</v>
      </c>
      <c r="AR1425" s="265">
        <f ca="1">SUM(SUMIFS($N:$N,$C:$C,"RE SLT",$G:$G,$AP1425,$AM:$AM,"&lt;=60")+SUMIFS($N:$N,$C:$C,"RR",$G:$G,$AP1425,$AM:$AM,"&lt;=60")+SUMIFS($N:$N,$C:$C,"SLT",$G:$G,$AP1425,$AM:$AM,"&lt;=60"))-AQ1425</f>
        <v>0</v>
      </c>
      <c r="AS1425" s="265">
        <f ca="1">SUM(SUMIFS($N:$N,$C:$C,"RE SLT",$G:$G,$AP1425,$AM:$AM,"&lt;=90")+SUMIFS($N:$N,$C:$C,"RR",$G:$G,$AP1425,$AM:$AM,"&lt;=90")+SUMIFS($N:$N,$C:$C,"SLT",$G:$G,$AP1425,$AM:$AM,"&lt;=90"))-AR1425-AQ1425</f>
        <v>0</v>
      </c>
      <c r="AT1425" s="265">
        <f ca="1">SUM(SUMIFS($N:$N,$C:$C,"RE SLT",$G:$G,$AP1425,$AM:$AM,"&gt;=91")+SUMIFS($N:$N,$C:$C,"RR",$G:$G,$AP1425,$AM:$AM,"&gt;=91")+SUMIFS($N:$N,$C:$C,"SLT",$G:$G,$AP1425,$AM:$AM,"&gt;=91"))</f>
        <v>12.091000000000001</v>
      </c>
      <c r="AU1425" s="266">
        <f t="shared" ca="1" si="42"/>
        <v>12.091000000000001</v>
      </c>
    </row>
    <row r="1426" spans="2:47" ht="21" customHeight="1" x14ac:dyDescent="0.25">
      <c r="B1426" s="246" t="s">
        <v>38</v>
      </c>
      <c r="C1426" s="246">
        <f>SUMIFS($N$5:$N$1394,$C$5:$C$1394,"BAL",$D$5:$D$1394,"BAL",$G$5:$G$1394,B1426)</f>
        <v>0</v>
      </c>
      <c r="D1426" s="246">
        <f>SUMIFS($N$5:$N$1394,$D$5:$D$1394,"WAIT MULTI",$G$5:$G$1394,B1426)</f>
        <v>0</v>
      </c>
      <c r="E1426" s="246">
        <f>SUMIFS($N$5:$N$1394,$D$5:$D$1394,"HOLD SLT",$G$5:$G$1394,B1426)</f>
        <v>0</v>
      </c>
      <c r="F1426" s="246">
        <f>SUMIFS($N$5:$N$1394,$D$5:$D$1394,"RR ALLOCATED",$G$5:$G$1394,B1426)</f>
        <v>0</v>
      </c>
      <c r="G1426" s="246">
        <f>SUMIFS($N$5:$N$1394,$D$5:$D$1394,"STOCK RR",$G$5:$G$1394,B1426)</f>
        <v>0</v>
      </c>
      <c r="H1426" s="246">
        <f>SUMIFS($N$5:$N$1394,$D$5:$D$1394,"STOCK NO CUST",$G$5:$G$1394,B1426)</f>
        <v>0</v>
      </c>
      <c r="I1426" s="246">
        <f>SUMIFS($N$5:$N$1394,$D$5:$D$1394,"STOCK KW2",$G$5:$G$1394,B1426)</f>
        <v>0</v>
      </c>
      <c r="J1426" s="246">
        <f>SUMIFS($N$5:$N$1394,$C$5:$C$1394,"CTL",$G$5:$G$1394,B1426)</f>
        <v>0</v>
      </c>
      <c r="K1426" s="287">
        <f t="shared" si="40"/>
        <v>0</v>
      </c>
      <c r="AH1426" s="319" t="s">
        <v>3790</v>
      </c>
      <c r="AI1426" s="173" t="s">
        <v>127</v>
      </c>
      <c r="AJ1426" s="265">
        <f>SUM(SUMIFS($N:$N,$C:$C,"RM",$G:$G,$AH$1426,$H:$H,$AI1426,$AL:$AL,"&lt;=30")+SUMIFS($N:$N,$C:$C,"RM BAL",$G:$G,$AH$1426,$H:$H,$AI1426,$AL:$AL,"&lt;=30")+SUMIFS($N:$N,$C:$C,"MILL",$G:$G,$AH$1426,$H:$H,$AI1426,$AL:$AL,"&lt;=30")+SUMIFS($N:$N,$C:$C,"RM SLT RUST",$G:$G,$AH$1426,$H:$H,$AI1426,$AL:$AL,"&lt;=30")+SUMIFS($N:$N,$C:$C,"RM SLT DENT",$G:$G,$AH$1426,$H:$H,$AI1426,$AL:$AL,"&lt;=30")+SUMIFS($N:$N,$C:$C,"RM SLT",$G:$G,$AH$1426,$H:$H,$AI1426,$AL:$AL,"&lt;=30"))</f>
        <v>0</v>
      </c>
      <c r="AK1426" s="265">
        <f>SUM(SUMIFS($N:$N,$C:$C,"RM",$G:$G,$AH$1426,$H:$H,$AI1426,$AL:$AL,"&lt;=60")+SUMIFS($N:$N,$C:$C,"RM BAL",$G:$G,$AH$1426,$H:$H,$AI1426,$AL:$AL,"&lt;=60")+SUMIFS($N:$N,$C:$C,"MILL",$G:$G,$AH$1426,$H:$H,$AI1426,$AL:$AL,"&lt;=60")+SUMIFS($N:$N,$C:$C,"RM SLT RUST",$G:$G,$AH$1426,$H:$H,$AI1426,$AL:$AL,"&lt;=60")+SUMIFS($N:$N,$C:$C,"RM SLT DENT",$G:$G,$AH$1426,$H:$H,$AI1426,$AL:$AL,"&lt;=60")+SUMIFS($N:$N,$C:$C,"RM SLT",$G:$G,$AH$1426,$H:$H,$AI1426,$AL:$AL,"&lt;=60"))-AJ1426</f>
        <v>0</v>
      </c>
      <c r="AL1426" s="265">
        <f>SUM(SUMIFS($N:$N,$C:$C,"RM",$G:$G,$AH$1426,$H:$H,$AI1426,$AL:$AL,"&lt;=90")+SUMIFS($N:$N,$C:$C,"RM BAL",$G:$G,$AH$1426,$H:$H,$AI1426,$AL:$AL,"&lt;=90")+SUMIFS($N:$N,$C:$C,"MILL",$G:$G,$AH$1426,$H:$H,$AI1426,$AL:$AL,"&lt;=90")+SUMIFS($N:$N,$C:$C,"RM SLT RUST",$G:$G,$AH$1426,$H:$H,$AI1426,$AL:$AL,"&lt;=90")+SUMIFS($N:$N,$C:$C,"RM SLT DENT",$G:$G,$AH$1426,$H:$H,$AI1426,$AL:$AL,"&lt;=90")+SUMIFS($N:$N,$C:$C,"RM SLT",$G:$G,$AH$1426,$H:$H,$AI1426,$AL:$AL,"&lt;=90"))-AK1426-AJ1426</f>
        <v>0</v>
      </c>
      <c r="AM1426" s="265">
        <f>SUM(SUMIFS($N:$N,$C:$C,"RM",$G:$G,$AH$1426,$H:$H,$AI1426,$AL:$AL,"&gt;=91")+SUMIFS($N:$N,$C:$C,"RM BAL",$G:$G,$AH$1426,$H:$H,$AI1426,$AL:$AL,"&gt;=91")+SUMIFS($N:$N,$C:$C,"MILL",$G:$G,$AH$1426,$H:$H,$AI1426,$AL:$AL,"&gt;=91")+SUMIFS($N:$N,$C:$C,"RM SLT RUST",$G:$G,$AH$1426,$H:$H,$AI1426,$AL:$AL,"&gt;=91")+SUMIFS($N:$N,$C:$C,"RM SLT DENT",$G:$G,$AH$1426,$H:$H,$AI1426,$AL:$AL,"&gt;=91")+SUMIFS($N:$N,$C:$C,"RM SLT",$G:$G,$AH$1426,$H:$H,$AI1426,$AL:$AL,"&gt;=91"))</f>
        <v>0</v>
      </c>
      <c r="AN1426" s="266">
        <f t="shared" si="41"/>
        <v>0</v>
      </c>
      <c r="AP1426" s="292" t="s">
        <v>3790</v>
      </c>
      <c r="AQ1426" s="265">
        <f>SUM(SUMIFS($N:$N,$C:$C,"RE SLT",$G:$G,$AP1426,$AM:$AM,"&lt;=30")+SUMIFS($N:$N,$C:$C,"RR",$G:$G,$AP1426,$AM:$AM,"&lt;=30")+SUMIFS($N:$N,$C:$C,"SLT",$G:$G,$AP1426,$AM:$AM,"&lt;=30"))</f>
        <v>0</v>
      </c>
      <c r="AR1426" s="265">
        <f>SUM(SUMIFS($N:$N,$C:$C,"RE SLT",$G:$G,$AP1426,$AM:$AM,"&lt;=60")+SUMIFS($N:$N,$C:$C,"RR",$G:$G,$AP1426,$AM:$AM,"&lt;=60")+SUMIFS($N:$N,$C:$C,"SLT",$G:$G,$AP1426,$AM:$AM,"&lt;=60"))-AQ1426</f>
        <v>0</v>
      </c>
      <c r="AS1426" s="265">
        <f>SUM(SUMIFS($N:$N,$C:$C,"RE SLT",$G:$G,$AP1426,$AM:$AM,"&lt;=90")+SUMIFS($N:$N,$C:$C,"RR",$G:$G,$AP1426,$AM:$AM,"&lt;=90")+SUMIFS($N:$N,$C:$C,"SLT",$G:$G,$AP1426,$AM:$AM,"&lt;=90"))-AR1426-AQ1426</f>
        <v>0</v>
      </c>
      <c r="AT1426" s="265">
        <f>SUM(SUMIFS($N:$N,$C:$C,"RE SLT",$G:$G,$AP1426,$AM:$AM,"&gt;=91")+SUMIFS($N:$N,$C:$C,"RR",$G:$G,$AP1426,$AM:$AM,"&gt;=91")+SUMIFS($N:$N,$C:$C,"SLT",$G:$G,$AP1426,$AM:$AM,"&gt;=91"))</f>
        <v>0</v>
      </c>
      <c r="AU1426" s="266">
        <f t="shared" si="42"/>
        <v>0</v>
      </c>
    </row>
    <row r="1427" spans="2:47" ht="21" customHeight="1" x14ac:dyDescent="0.25">
      <c r="B1427" s="246">
        <v>410</v>
      </c>
      <c r="C1427" s="246">
        <f>SUMIFS($N$5:$N$1394,$C$5:$C$1394,"BAL",$D$5:$D$1394,"BAL",$G$5:$G$1394,B1427)</f>
        <v>0</v>
      </c>
      <c r="D1427" s="246">
        <f>SUMIFS($N$5:$N$1394,$D$5:$D$1394,"WAIT MULTI",$G$5:$G$1394,B1427)</f>
        <v>0</v>
      </c>
      <c r="E1427" s="246">
        <f>SUMIFS($N$5:$N$1394,$D$5:$D$1394,"HOLD SLT",$G$5:$G$1394,B1427)</f>
        <v>0.85499999999999998</v>
      </c>
      <c r="F1427" s="246">
        <f>SUMIFS($N$5:$N$1394,$D$5:$D$1394,"RR ALLOCATED",$G$5:$G$1394,B1427)</f>
        <v>0</v>
      </c>
      <c r="G1427" s="246">
        <f>SUMIFS($N$5:$N$1394,$D$5:$D$1394,"STOCK RR",$G$5:$G$1394,B1427)</f>
        <v>0</v>
      </c>
      <c r="H1427" s="246">
        <f>SUMIFS($N$5:$N$1394,$D$5:$D$1394,"STOCK NO CUST",$G$5:$G$1394,B1427)</f>
        <v>0.18</v>
      </c>
      <c r="I1427" s="246">
        <f>SUMIFS($N$5:$N$1394,$D$5:$D$1394,"STOCK KW2",$G$5:$G$1394,B1427)</f>
        <v>0</v>
      </c>
      <c r="J1427" s="246">
        <f>SUMIFS($N$5:$N$1394,$C$5:$C$1394,"CTL",$G$5:$G$1394,B1427)</f>
        <v>0</v>
      </c>
      <c r="K1427" s="287">
        <f t="shared" si="40"/>
        <v>1.0349999999999999</v>
      </c>
      <c r="AH1427" s="320"/>
      <c r="AI1427" s="272" t="s">
        <v>51</v>
      </c>
      <c r="AJ1427" s="265">
        <f>SUM(SUMIFS($N:$N,$C:$C,"RM",$G:$G,$AH$1426,$H:$H,"2B",$AL:$AL,"&lt;=30")+SUMIFS($N:$N,$C:$C,"RM BAL",$G:$G,$AH$1426,$H:$H,"2B",$AL:$AL,"&lt;=30")+SUMIFS($N:$N,$C:$C,"MILL",$G:$G,$AH$1426,$H:$H,"2B",$AL:$AL,"&lt;=30")+SUMIFS($N:$N,$C:$C,"RM SLT RUST",$G:$G,$AH$1426,$H:$H,"2B",$AL:$AL,"&lt;=30")+SUMIFS($N:$N,$C:$C,"RM SLT DENT",$G:$G,$AH$1426,$H:$H,"2B",$AL:$AL,"&lt;=30")+SUMIFS($N:$N,$C:$C,"RM SLT",$G:$G,$AH$1426,$H:$H,"2B",$AL:$AL,"&lt;=30")+SUMIFS($N:$N,$C:$C,"RM SLT",$G:$G,$AH$1426,$H:$H,"BA",$AL:$AL,"&lt;=30")+SUMIFS($N:$N,$C:$C,"RM SLT",$G:$G,$AH$1426,$H:$H,"2D",$AL:$AL,"&lt;=30"))</f>
        <v>0</v>
      </c>
      <c r="AK1427" s="265">
        <f>SUM(SUMIFS($N:$N,$C:$C,"RM",$G:$G,$AH$1426,$H:$H,"2B",$AL:$AL,"&lt;=60")+SUMIFS($N:$N,$C:$C,"RM BAL",$G:$G,$AH$1426,$H:$H,"2B",$AL:$AL,"&lt;=60")+SUMIFS($N:$N,$C:$C,"MILL",$G:$G,$AH$1426,$H:$H,"2B",$AL:$AL,"&lt;=60")+SUMIFS($N:$N,$C:$C,"RM SLT RUST",$G:$G,$AH$1426,$H:$H,"2B",$AL:$AL,"&lt;=60")+SUMIFS($N:$N,$C:$C,"RM SLT DENT",$G:$G,$AH$1426,$H:$H,"2B",$AL:$AL,"&lt;=60")+SUMIFS($N:$N,$C:$C,"RM SLT",$G:$G,$AH$1426,$H:$H,"2B",$AL:$AL,"&lt;=60")+SUMIFS($N:$N,$C:$C,"RM SLT",$G:$G,$AH$1426,$H:$H,"BA",$AL:$AL,"&lt;=60")+SUMIFS($N:$N,$C:$C,"RM SLT",$G:$G,$AH$1426,$H:$H,"2D",$AL:$AL,"&lt;=60"))-AJ1427</f>
        <v>0</v>
      </c>
      <c r="AL1427" s="265">
        <f>SUM(SUMIFS($N:$N,$C:$C,"RM",$G:$G,$AH$1426,$H:$H,"2B",$AL:$AL,"&lt;=90")+SUMIFS($N:$N,$C:$C,"RM BAL",$G:$G,$AH$1426,$H:$H,"2B",$AL:$AL,"&lt;=90")+SUMIFS($N:$N,$C:$C,"MILL",$G:$G,$AH$1426,$H:$H,"2B",$AL:$AL,"&lt;=90")+SUMIFS($N:$N,$C:$C,"RM SLT RUST",$G:$G,$AH$1426,$H:$H,"2B",$AL:$AL,"&lt;=90")+SUMIFS($N:$N,$C:$C,"RM SLT DENT",$G:$G,$AH$1426,$H:$H,"2B",$AL:$AL,"&lt;=90")+SUMIFS($N:$N,$C:$C,"RM SLT",$G:$G,$AH$1426,$H:$H,"2B",$AL:$AL,"&lt;=90")+SUMIFS($N:$N,$C:$C,"RM SLT",$G:$G,$AH$1426,$H:$H,"BA",$AL:$AL,"&lt;=90")+SUMIFS($N:$N,$C:$C,"RM SLT",$G:$G,$AH$1426,$H:$H,"2D",$AL:$AL,"&lt;=90"))-AK1427-AJ1427</f>
        <v>0</v>
      </c>
      <c r="AM1427" s="265">
        <f>SUM(SUMIFS($N:$N,$C:$C,"RM",$G:$G,$AH$1426,$H:$H,"2B",$AL:$AL,"&gt;=91")+SUMIFS($N:$N,$C:$C,"RM BAL",$G:$G,$AH$1426,$H:$H,"2B",$AL:$AL,"&gt;=91")+SUMIFS($N:$N,$C:$C,"MILL",$G:$G,$AH$1426,$H:$H,"2B",$AL:$AL,"&gt;=91")+SUMIFS($N:$N,$C:$C,"RM SLT RUST",$G:$G,$AH$1426,$H:$H,"2B",$AL:$AL,"&gt;=91")+SUMIFS($N:$N,$C:$C,"RM SLT DENT",$G:$G,$AH$1426,$H:$H,"2B",$AL:$AL,"&gt;=91")+SUMIFS($N:$N,$C:$C,"RM SLT",$G:$G,$AH$1426,$H:$H,"2B",$AL:$AL,"&gt;=91")+SUMIFS($N:$N,$C:$C,"RM SLT",$G:$G,$AH$1426,$H:$H,"BA",$AL:$AL,"&gt;=91")+SUMIFS($N:$N,$C:$C,"RM SLT",$G:$G,$AH$1426,$H:$H,"2D",$AL:$AL,"&gt;=91"))</f>
        <v>0</v>
      </c>
      <c r="AN1427" s="266">
        <f t="shared" si="41"/>
        <v>0</v>
      </c>
      <c r="AP1427" s="294" t="s">
        <v>38</v>
      </c>
      <c r="AQ1427" s="265">
        <f>SUM(SUMIFS($N:$N,$C:$C,"RE SLT",$G:$G,$AP1427,$AM:$AM,"&lt;=30")+SUMIFS($N:$N,$C:$C,"RR",$G:$G,$AP1427,$AM:$AM,"&lt;=30")+SUMIFS($N:$N,$C:$C,"SLT",$G:$G,$AP1427,$AM:$AM,"&lt;=30"))</f>
        <v>0</v>
      </c>
      <c r="AR1427" s="265">
        <f>SUM(SUMIFS($N:$N,$C:$C,"RE SLT",$G:$G,$AP1427,$AM:$AM,"&lt;=60")+SUMIFS($N:$N,$C:$C,"RR",$G:$G,$AP1427,$AM:$AM,"&lt;=60")+SUMIFS($N:$N,$C:$C,"SLT",$G:$G,$AP1427,$AM:$AM,"&lt;=60"))-AQ1427</f>
        <v>0</v>
      </c>
      <c r="AS1427" s="265">
        <f>SUM(SUMIFS($N:$N,$C:$C,"RE SLT",$G:$G,$AP1427,$AM:$AM,"&lt;=90")+SUMIFS($N:$N,$C:$C,"RR",$G:$G,$AP1427,$AM:$AM,"&lt;=90")+SUMIFS($N:$N,$C:$C,"SLT",$G:$G,$AP1427,$AM:$AM,"&lt;=90"))-AR1427-AQ1427</f>
        <v>0</v>
      </c>
      <c r="AT1427" s="265">
        <f>SUM(SUMIFS($N:$N,$C:$C,"RE SLT",$G:$G,$AP1427,$AM:$AM,"&gt;=91")+SUMIFS($N:$N,$C:$C,"RR",$G:$G,$AP1427,$AM:$AM,"&gt;=91")+SUMIFS($N:$N,$C:$C,"SLT",$G:$G,$AP1427,$AM:$AM,"&gt;=91"))</f>
        <v>0</v>
      </c>
      <c r="AU1427" s="266">
        <f t="shared" si="42"/>
        <v>0</v>
      </c>
    </row>
    <row r="1428" spans="2:47" ht="21" customHeight="1" x14ac:dyDescent="0.25">
      <c r="B1428" s="246">
        <v>301</v>
      </c>
      <c r="C1428" s="246">
        <f>SUMIFS($N$5:$N$1394,$C$5:$C$1394,"BAL",$D$5:$D$1394,"BAL",$G$5:$G$1394,B1428)</f>
        <v>0</v>
      </c>
      <c r="D1428" s="246">
        <f>SUMIFS($N$5:$N$1394,$D$5:$D$1394,"WAIT MULTI",$G$5:$G$1394,B1428)</f>
        <v>0</v>
      </c>
      <c r="E1428" s="246">
        <f>SUMIFS($N$5:$N$1394,$D$5:$D$1394,"HOLD SLT",$G$5:$G$1394,B1428)</f>
        <v>10.81</v>
      </c>
      <c r="F1428" s="246">
        <f>SUMIFS($N$5:$N$1394,$D$5:$D$1394,"RR ALLOCATED",$G$5:$G$1394,B1428)</f>
        <v>0</v>
      </c>
      <c r="G1428" s="246">
        <f>SUMIFS($N$5:$N$1394,$D$5:$D$1394,"STOCK RR",$G$5:$G$1394,B1428)</f>
        <v>0</v>
      </c>
      <c r="H1428" s="246">
        <f>SUMIFS($N$5:$N$1394,$D$5:$D$1394,"STOCK NO CUST",$G$5:$G$1394,B1428)</f>
        <v>0</v>
      </c>
      <c r="I1428" s="246">
        <f>SUMIFS($N$5:$N$1394,$D$5:$D$1394,"STOCK KW2",$G$5:$G$1394,B1428)</f>
        <v>0</v>
      </c>
      <c r="J1428" s="246">
        <f>SUMIFS($N$5:$N$1394,$C$5:$C$1394,"CTL",$G$5:$G$1394,B1428)</f>
        <v>0</v>
      </c>
      <c r="K1428" s="287">
        <f t="shared" si="40"/>
        <v>10.81</v>
      </c>
      <c r="AH1428" s="321"/>
      <c r="AI1428" s="264" t="s">
        <v>70</v>
      </c>
      <c r="AJ1428" s="265">
        <f>SUM(SUMIFS($N:$N,$C:$C,"RM",$G:$G,$AH$1429,$H:$H,$AI1428,$AL:$AL,"&lt;=30")+SUMIFS($N:$N,$C:$C,"RM BAL",$G:$G,$AH$1429,$H:$H,$AI1428,$AL:$AL,"&lt;=30")+SUMIFS($N:$N,$C:$C,"MILL",$G:$G,$AH$1429,$H:$H,$AI1428,$AL:$AL,"&lt;=30")+SUMIFS($N:$N,$C:$C,"RM SLT RUST",$G:$G,$AH$1429,$H:$H,$AI1428,$AL:$AL,"&lt;=30")+SUMIFS($N:$N,$C:$C,"RM SLT DENT",$G:$G,$AH$1429,$H:$H,$AI1428,$AL:$AL,"&lt;=30")+SUMIFS($N:$N,$C:$C,"RM SLT",$G:$G,$AH$1429,$H:$H,$AI1428,$AL:$AL,"&lt;=30"))</f>
        <v>0</v>
      </c>
      <c r="AK1428" s="265">
        <f>SUM(SUMIFS($N:$N,$C:$C,"RM",$G:$G,$AH$1429,$H:$H,$AI1428,$AL:$AL,"&lt;=60")+SUMIFS($N:$N,$C:$C,"RM BAL",$G:$G,$AH$1429,$H:$H,$AI1428,$AL:$AL,"&lt;=60")+SUMIFS($N:$N,$C:$C,"MILL",$G:$G,$AH$1429,$H:$H,$AI1428,$AL:$AL,"&lt;=60")+SUMIFS($N:$N,$C:$C,"RM SLT RUST",$G:$G,$AH$1429,$H:$H,$AI1428,$AL:$AL,"&lt;=60")+SUMIFS($N:$N,$C:$C,"RM SLT DENT",$G:$G,$AH$1429,$H:$H,$AI1428,$AL:$AL,"&lt;=60")+SUMIFS($N:$N,$C:$C,"RM SLT",$G:$G,$AH$1429,$H:$H,$AI1428,$AL:$AL,"&lt;=60"))-AJ1428</f>
        <v>0</v>
      </c>
      <c r="AL1428" s="265">
        <f>SUM(SUMIFS($N:$N,$C:$C,"RM",$G:$G,$AH$1429,$H:$H,$AI1428,$AL:$AL,"&lt;=90")+SUMIFS($N:$N,$C:$C,"RM BAL",$G:$G,$AH$1429,$H:$H,$AI1428,$AL:$AL,"&lt;=90")+SUMIFS($N:$N,$C:$C,"MILL",$G:$G,$AH$1429,$H:$H,$AI1428,$AL:$AL,"&lt;=90")+SUMIFS($N:$N,$C:$C,"RM SLT RUST",$G:$G,$AH$1429,$H:$H,$AI1428,$AL:$AL,"&lt;=90")+SUMIFS($N:$N,$C:$C,"RM SLT DENT",$G:$G,$AH$1429,$H:$H,$AI1428,$AL:$AL,"&lt;=90")+SUMIFS($N:$N,$C:$C,"RM SLT",$G:$G,$AH$1429,$H:$H,$AI1428,$AL:$AL,"&lt;=90"))-AK1428-AJ1428</f>
        <v>0</v>
      </c>
      <c r="AM1428" s="265">
        <f>SUM(SUMIFS($N:$N,$C:$C,"RM",$G:$G,$AH$1429,$H:$H,$AI1428,$AL:$AL,"&gt;=91")+SUMIFS($N:$N,$C:$C,"RM BAL",$G:$G,$AH$1429,$H:$H,$AI1428,$AL:$AL,"&gt;=91")+SUMIFS($N:$N,$C:$C,"MILL",$G:$G,$AH$1429,$H:$H,$AI1428,$AL:$AL,"&gt;=91")+SUMIFS($N:$N,$C:$C,"RM SLT RUST",$G:$G,$AH$1429,$H:$H,$AI1428,$AL:$AL,"&gt;=91")+SUMIFS($N:$N,$C:$C,"RM SLT DENT",$G:$G,$AH$1429,$H:$H,$AI1428,$AL:$AL,"&gt;=91")+SUMIFS($N:$N,$C:$C,"RM SLT",$G:$G,$AH$1429,$H:$H,$AI1428,$AL:$AL,"&gt;=91"))</f>
        <v>0</v>
      </c>
      <c r="AN1428" s="266">
        <f t="shared" si="41"/>
        <v>0</v>
      </c>
      <c r="AP1428" s="295">
        <v>410</v>
      </c>
      <c r="AQ1428" s="265">
        <f>SUM(SUMIFS($N:$N,$C:$C,"RE SLT",$G:$G,$AP1428,$AM:$AM,"&lt;=30")+SUMIFS($N:$N,$C:$C,"RR",$G:$G,$AP1428,$AM:$AM,"&lt;=30")+SUMIFS($N:$N,$C:$C,"SLT",$G:$G,$AP1428,$AM:$AM,"&lt;=30"))</f>
        <v>0</v>
      </c>
      <c r="AR1428" s="265">
        <f>SUM(SUMIFS($N:$N,$C:$C,"RE SLT",$G:$G,$AP1428,$AM:$AM,"&lt;=60")+SUMIFS($N:$N,$C:$C,"RR",$G:$G,$AP1428,$AM:$AM,"&lt;=60")+SUMIFS($N:$N,$C:$C,"SLT",$G:$G,$AP1428,$AM:$AM,"&lt;=60"))-AQ1428</f>
        <v>0</v>
      </c>
      <c r="AS1428" s="265">
        <f>SUM(SUMIFS($N:$N,$C:$C,"RE SLT",$G:$G,$AP1428,$AM:$AM,"&lt;=90")+SUMIFS($N:$N,$C:$C,"RR",$G:$G,$AP1428,$AM:$AM,"&lt;=90")+SUMIFS($N:$N,$C:$C,"SLT",$G:$G,$AP1428,$AM:$AM,"&lt;=90"))-AR1428-AQ1428</f>
        <v>0</v>
      </c>
      <c r="AT1428" s="265">
        <f>SUM(SUMIFS($N:$N,$C:$C,"RE SLT",$G:$G,$AP1428,$AM:$AM,"&gt;=91")+SUMIFS($N:$N,$C:$C,"RR",$G:$G,$AP1428,$AM:$AM,"&gt;=91")+SUMIFS($N:$N,$C:$C,"SLT",$G:$G,$AP1428,$AM:$AM,"&gt;=91"))</f>
        <v>0</v>
      </c>
      <c r="AU1428" s="266">
        <f t="shared" si="42"/>
        <v>0</v>
      </c>
    </row>
    <row r="1429" spans="2:47" ht="21" customHeight="1" x14ac:dyDescent="0.25">
      <c r="B1429" s="241" t="s">
        <v>39</v>
      </c>
      <c r="C1429" s="255">
        <f t="shared" ref="C1429:K1429" si="43">SUM(C1414:C1428)</f>
        <v>1547.3729999999998</v>
      </c>
      <c r="D1429" s="255">
        <f t="shared" si="43"/>
        <v>83.484999999999985</v>
      </c>
      <c r="E1429" s="255">
        <f t="shared" si="43"/>
        <v>82.350000000000009</v>
      </c>
      <c r="F1429" s="255">
        <f t="shared" si="43"/>
        <v>53.384999999999998</v>
      </c>
      <c r="G1429" s="255">
        <f t="shared" si="43"/>
        <v>128.22</v>
      </c>
      <c r="H1429" s="255">
        <f t="shared" si="43"/>
        <v>148.73099999999999</v>
      </c>
      <c r="I1429" s="255">
        <f t="shared" si="43"/>
        <v>0</v>
      </c>
      <c r="J1429" s="255">
        <f t="shared" si="43"/>
        <v>0</v>
      </c>
      <c r="K1429" s="255">
        <f t="shared" si="43"/>
        <v>2043.5439999999996</v>
      </c>
      <c r="AH1429" s="321" t="s">
        <v>38</v>
      </c>
      <c r="AI1429" s="173" t="s">
        <v>127</v>
      </c>
      <c r="AJ1429" s="265">
        <f>SUM(SUMIFS($N:$N,$C:$C,"RM",$G:$G,$AH$1429,$H:$H,$AI1429,$AL:$AL,"&lt;=30")+SUMIFS($N:$N,$C:$C,"RM BAL",$G:$G,$AH$1429,$H:$H,$AI1429,$AL:$AL,"&lt;=30")+SUMIFS($N:$N,$C:$C,"MILL",$G:$G,$AH$1429,$H:$H,$AI1429,$AL:$AL,"&lt;=30")+SUMIFS($N:$N,$C:$C,"RM SLT RUST",$G:$G,$AH$1429,$H:$H,$AI1429,$AL:$AL,"&lt;=30")+SUMIFS($N:$N,$C:$C,"RM SLT DENT",$G:$G,$AH$1429,$H:$H,$AI1429,$AL:$AL,"&lt;=30")+SUMIFS($N:$N,$C:$C,"RM SLT",$G:$G,$AH$1429,$H:$H,$AI1429,$AL:$AL,"&lt;=30"))</f>
        <v>0</v>
      </c>
      <c r="AK1429" s="265">
        <f>SUM(SUMIFS($N:$N,$C:$C,"RM",$G:$G,$AH$1429,$H:$H,$AI1429,$AL:$AL,"&lt;=60")+SUMIFS($N:$N,$C:$C,"RM BAL",$G:$G,$AH$1429,$H:$H,$AI1429,$AL:$AL,"&lt;=60")+SUMIFS($N:$N,$C:$C,"MILL",$G:$G,$AH$1429,$H:$H,$AI1429,$AL:$AL,"&lt;=60")+SUMIFS($N:$N,$C:$C,"RM SLT RUST",$G:$G,$AH$1429,$H:$H,$AI1429,$AL:$AL,"&lt;=60")+SUMIFS($N:$N,$C:$C,"RM SLT DENT",$G:$G,$AH$1429,$H:$H,$AI1429,$AL:$AL,"&lt;=60")+SUMIFS($N:$N,$C:$C,"RM SLT",$G:$G,$AH$1429,$H:$H,$AI1429,$AL:$AL,"&lt;=60"))-AJ1429</f>
        <v>0</v>
      </c>
      <c r="AL1429" s="265">
        <f>SUM(SUMIFS($N:$N,$C:$C,"RM",$G:$G,$AH$1429,$H:$H,$AI1429,$AL:$AL,"&lt;=90")+SUMIFS($N:$N,$C:$C,"RM BAL",$G:$G,$AH$1429,$H:$H,$AI1429,$AL:$AL,"&lt;=90")+SUMIFS($N:$N,$C:$C,"MILL",$G:$G,$AH$1429,$H:$H,$AI1429,$AL:$AL,"&lt;=90")+SUMIFS($N:$N,$C:$C,"RM SLT RUST",$G:$G,$AH$1429,$H:$H,$AI1429,$AL:$AL,"&lt;=90")+SUMIFS($N:$N,$C:$C,"RM SLT DENT",$G:$G,$AH$1429,$H:$H,$AI1429,$AL:$AL,"&lt;=90")+SUMIFS($N:$N,$C:$C,"RM SLT",$G:$G,$AH$1429,$H:$H,$AI1429,$AL:$AL,"&lt;=90"))-AK1429-AJ1429</f>
        <v>0</v>
      </c>
      <c r="AM1429" s="265">
        <f>SUM(SUMIFS($N:$N,$C:$C,"RM",$G:$G,$AH$1429,$H:$H,$AI1429,$AL:$AL,"&gt;=91")+SUMIFS($N:$N,$C:$C,"RM BAL",$G:$G,$AH$1429,$H:$H,$AI1429,$AL:$AL,"&gt;=91")+SUMIFS($N:$N,$C:$C,"MILL",$G:$G,$AH$1429,$H:$H,$AI1429,$AL:$AL,"&gt;=91")+SUMIFS($N:$N,$C:$C,"RM SLT RUST",$G:$G,$AH$1429,$H:$H,$AI1429,$AL:$AL,"&gt;=91")+SUMIFS($N:$N,$C:$C,"RM SLT DENT",$G:$G,$AH$1429,$H:$H,$AI1429,$AL:$AL,"&gt;=91")+SUMIFS($N:$N,$C:$C,"RM SLT",$G:$G,$AH$1429,$H:$H,$AI1429,$AL:$AL,"&gt;=91"))</f>
        <v>0</v>
      </c>
      <c r="AN1429" s="266">
        <f t="shared" si="41"/>
        <v>0</v>
      </c>
      <c r="AP1429" s="297">
        <v>301</v>
      </c>
      <c r="AQ1429" s="265">
        <f>SUM(SUMIFS($N:$N,$C:$C,"RE SLT",$G:$G,$AP1429,$AM:$AM,"&lt;=30")+SUMIFS($N:$N,$C:$C,"RR",$G:$G,$AP1429,$AM:$AM,"&lt;=30")+SUMIFS($N:$N,$C:$C,"SLT",$G:$G,$AP1429,$AM:$AM,"&lt;=30"))</f>
        <v>0</v>
      </c>
      <c r="AR1429" s="265">
        <f>SUM(SUMIFS($N:$N,$C:$C,"RE SLT",$G:$G,$AP1429,$AM:$AM,"&lt;=60")+SUMIFS($N:$N,$C:$C,"RR",$G:$G,$AP1429,$AM:$AM,"&lt;=60")+SUMIFS($N:$N,$C:$C,"SLT",$G:$G,$AP1429,$AM:$AM,"&lt;=60"))-AQ1429</f>
        <v>0</v>
      </c>
      <c r="AS1429" s="265">
        <f>SUM(SUMIFS($N:$N,$C:$C,"RE SLT",$G:$G,$AP1429,$AM:$AM,"&lt;=90")+SUMIFS($N:$N,$C:$C,"RR",$G:$G,$AP1429,$AM:$AM,"&lt;=90")+SUMIFS($N:$N,$C:$C,"SLT",$G:$G,$AP1429,$AM:$AM,"&lt;=90"))-AR1429-AQ1429</f>
        <v>0</v>
      </c>
      <c r="AT1429" s="265">
        <f>SUM(SUMIFS($N:$N,$C:$C,"RE SLT",$G:$G,$AP1429,$AM:$AM,"&gt;=91")+SUMIFS($N:$N,$C:$C,"RR",$G:$G,$AP1429,$AM:$AM,"&gt;=91")+SUMIFS($N:$N,$C:$C,"SLT",$G:$G,$AP1429,$AM:$AM,"&gt;=91"))</f>
        <v>0</v>
      </c>
      <c r="AU1429" s="266">
        <f t="shared" si="42"/>
        <v>0</v>
      </c>
    </row>
    <row r="1430" spans="2:47" ht="21" customHeight="1" x14ac:dyDescent="0.25">
      <c r="AH1430" s="322"/>
      <c r="AI1430" s="272" t="s">
        <v>51</v>
      </c>
      <c r="AJ1430" s="265">
        <f>SUM(SUMIFS($N:$N,$C:$C,"RM",$G:$G,$AH$1429,$H:$H,"2B",$AL:$AL,"&lt;=30")+SUMIFS($N:$N,$C:$C,"RM BAL",$G:$G,$AH$1429,$H:$H,"2B",$AL:$AL,"&lt;=30")+SUMIFS($N:$N,$C:$C,"MILL",$G:$G,$AH$1429,$H:$H,"2B",$AL:$AL,"&lt;=30")+SUMIFS($N:$N,$C:$C,"RM SLT RUST",$G:$G,$AH$1429,$H:$H,"2B",$AL:$AL,"&lt;=30")+SUMIFS($N:$N,$C:$C,"RM SLT DENT",$G:$G,$AH$1429,$H:$H,"2B",$AL:$AL,"&lt;=30")+SUMIFS($N:$N,$C:$C,"RM SLT",$G:$G,$AH$1429,$H:$H,"2B",$AL:$AL,"&lt;=30")+SUMIFS($N:$N,$C:$C,"RM SLT",$G:$G,$AH$1429,$H:$H,"BA",$AL:$AL,"&lt;=30")+SUMIFS($N:$N,$C:$C,"RM SLT",$G:$G,$AH$1429,$H:$H,"2D",$AL:$AL,"&lt;=30"))</f>
        <v>0</v>
      </c>
      <c r="AK1430" s="265">
        <f>SUM(SUMIFS($N:$N,$C:$C,"RM",$G:$G,$AH$1429,$H:$H,"2B",$AL:$AL,"&lt;=60")+SUMIFS($N:$N,$C:$C,"RM BAL",$G:$G,$AH$1429,$H:$H,"2B",$AL:$AL,"&lt;=60")+SUMIFS($N:$N,$C:$C,"MILL",$G:$G,$AH$1429,$H:$H,"2B",$AL:$AL,"&lt;=60")+SUMIFS($N:$N,$C:$C,"RM SLT RUST",$G:$G,$AH$1429,$H:$H,"2B",$AL:$AL,"&lt;=60")+SUMIFS($N:$N,$C:$C,"RM SLT DENT",$G:$G,$AH$1429,$H:$H,"2B",$AL:$AL,"&lt;=60")+SUMIFS($N:$N,$C:$C,"RM SLT",$G:$G,$AH$1429,$H:$H,"2B",$AL:$AL,"&lt;=60")+SUMIFS($N:$N,$C:$C,"RM SLT",$G:$G,$AH$1429,$H:$H,"BA",$AL:$AL,"&lt;=60")+SUMIFS($N:$N,$C:$C,"RM SLT",$G:$G,$AH$1429,$H:$H,"2D",$AL:$AL,"&lt;=60"))-AJ1430</f>
        <v>0</v>
      </c>
      <c r="AL1430" s="265">
        <f>SUM(SUMIFS($N:$N,$C:$C,"RM",$G:$G,$AH$1429,$H:$H,"2B",$AL:$AL,"&lt;=90")+SUMIFS($N:$N,$C:$C,"RM BAL",$G:$G,$AH$1429,$H:$H,"2B",$AL:$AL,"&lt;=90")+SUMIFS($N:$N,$C:$C,"MILL",$G:$G,$AH$1429,$H:$H,"2B",$AL:$AL,"&lt;=90")+SUMIFS($N:$N,$C:$C,"RM SLT RUST",$G:$G,$AH$1429,$H:$H,"2B",$AL:$AL,"&lt;=90")+SUMIFS($N:$N,$C:$C,"RM SLT DENT",$G:$G,$AH$1429,$H:$H,"2B",$AL:$AL,"&lt;=90")+SUMIFS($N:$N,$C:$C,"RM SLT",$G:$G,$AH$1429,$H:$H,"2B",$AL:$AL,"&lt;=90")+SUMIFS($N:$N,$C:$C,"RM SLT",$G:$G,$AH$1429,$H:$H,"BA",$AL:$AL,"&lt;=90")+SUMIFS($N:$N,$C:$C,"RM SLT",$G:$G,$AH$1429,$H:$H,"2D",$AL:$AL,"&lt;=90"))-AK1430-AJ1430</f>
        <v>0</v>
      </c>
      <c r="AM1430" s="265">
        <f>SUM(SUMIFS($N:$N,$C:$C,"RM",$G:$G,$AH$1429,$H:$H,"2B",$AL:$AL,"&gt;=91")+SUMIFS($N:$N,$C:$C,"RM BAL",$G:$G,$AH$1429,$H:$H,"2B",$AL:$AL,"&gt;=91")+SUMIFS($N:$N,$C:$C,"MILL",$G:$G,$AH$1429,$H:$H,"2B",$AL:$AL,"&gt;=91")+SUMIFS($N:$N,$C:$C,"RM SLT RUST",$G:$G,$AH$1429,$H:$H,"2B",$AL:$AL,"&gt;=91")+SUMIFS($N:$N,$C:$C,"RM SLT DENT",$G:$G,$AH$1429,$H:$H,"2B",$AL:$AL,"&gt;=91")+SUMIFS($N:$N,$C:$C,"RM SLT",$G:$G,$AH$1429,$H:$H,"2B",$AL:$AL,"&gt;=91")+SUMIFS($N:$N,$C:$C,"RM SLT",$G:$G,$AH$1429,$H:$H,"BA",$AL:$AL,"&gt;=91")+SUMIFS($N:$N,$C:$C,"RM SLT",$G:$G,$AH$1429,$H:$H,"2D",$AL:$AL,"&gt;=91"))</f>
        <v>0</v>
      </c>
      <c r="AN1430" s="266">
        <f t="shared" si="41"/>
        <v>0</v>
      </c>
      <c r="AP1430" s="303" t="s">
        <v>39</v>
      </c>
      <c r="AQ1430" s="304">
        <f ca="1">SUM(AQ1417:AQ1429)</f>
        <v>82.84</v>
      </c>
      <c r="AR1430" s="304">
        <f ca="1">SUM(AR1417:AR1429)</f>
        <v>35.375</v>
      </c>
      <c r="AS1430" s="304">
        <f ca="1">SUM(AS1417:AS1429)</f>
        <v>13.654999999999999</v>
      </c>
      <c r="AT1430" s="304">
        <f ca="1">SUM(AT1417:AT1429)</f>
        <v>140.221</v>
      </c>
      <c r="AU1430" s="276">
        <f ca="1">SUM(AU1417:AU1428)</f>
        <v>272.09100000000001</v>
      </c>
    </row>
    <row r="1431" spans="2:47" ht="21" customHeight="1" x14ac:dyDescent="0.25">
      <c r="I1431" s="143" t="s">
        <v>3792</v>
      </c>
      <c r="AH1431" s="323"/>
      <c r="AI1431" s="264" t="s">
        <v>70</v>
      </c>
      <c r="AJ1431" s="265">
        <f>SUM(SUMIFS($N:$N,$C:$C,"RM",$G:$G,$AH$1432,$H:$H,$AI1431,$AL:$AL,"&lt;=30")+SUMIFS($N:$N,$C:$C,"RM BAL",$G:$G,$AH$1432,$H:$H,$AI1431,$AL:$AL,"&lt;=30")+SUMIFS($N:$N,$C:$C,"MILL",$G:$G,$AH$1432,$H:$H,$AI1431,$AL:$AL,"&lt;=30")+SUMIFS($N:$N,$C:$C,"RM SLT RUST",$G:$G,$AH$1432,$H:$H,$AI1431,$AL:$AL,"&lt;=30")+SUMIFS($N:$N,$C:$C,"RM SLT DENT",$G:$G,$AH$1432,$H:$H,$AI1431,$AL:$AL,"&lt;=30")+SUMIFS($N:$N,$C:$C,"RM SLT",$G:$G,$AH$1432,$H:$H,$AI1431,$AL:$AL,"&lt;=30"))</f>
        <v>0</v>
      </c>
      <c r="AK1431" s="265">
        <f>SUM(SUMIFS($N:$N,$C:$C,"RM",$G:$G,$AH$1432,$H:$H,$AI1431,$AL:$AL,"&lt;=60")+SUMIFS($N:$N,$C:$C,"RM BAL",$G:$G,$AH$1432,$H:$H,$AI1431,$AL:$AL,"&lt;=60")+SUMIFS($N:$N,$C:$C,"MILL",$G:$G,$AH$1432,$H:$H,$AI1431,$AL:$AL,"&lt;=60")+SUMIFS($N:$N,$C:$C,"RM SLT RUST",$G:$G,$AH$1432,$H:$H,$AI1431,$AL:$AL,"&lt;=60")+SUMIFS($N:$N,$C:$C,"RM SLT DENT",$G:$G,$AH$1432,$H:$H,$AI1431,$AL:$AL,"&lt;=60")+SUMIFS($N:$N,$C:$C,"RM SLT",$G:$G,$AH$1432,$H:$H,$AI1431,$AL:$AL,"&lt;=60"))-AJ1431</f>
        <v>0</v>
      </c>
      <c r="AL1431" s="265">
        <f>SUM(SUMIFS($N:$N,$C:$C,"RM",$G:$G,$AH$1432,$H:$H,$AI1431,$AL:$AL,"&lt;=90")+SUMIFS($N:$N,$C:$C,"RM BAL",$G:$G,$AH$1432,$H:$H,$AI1431,$AL:$AL,"&lt;=90")+SUMIFS($N:$N,$C:$C,"MILL",$G:$G,$AH$1432,$H:$H,$AI1431,$AL:$AL,"&lt;=90")+SUMIFS($N:$N,$C:$C,"RM SLT RUST",$G:$G,$AH$1432,$H:$H,$AI1431,$AL:$AL,"&lt;=90")+SUMIFS($N:$N,$C:$C,"RM SLT DENT",$G:$G,$AH$1432,$H:$H,$AI1431,$AL:$AL,"&lt;=90")+SUMIFS($N:$N,$C:$C,"RM SLT",$G:$G,$AH$1432,$H:$H,$AI1431,$AL:$AL,"&lt;=90"))-AK1431-AJ1431</f>
        <v>0</v>
      </c>
      <c r="AM1431" s="265">
        <f>SUM(SUMIFS($N:$N,$C:$C,"RM",$G:$G,$AH$1432,$H:$H,$AI1431,$AL:$AL,"&gt;=91")+SUMIFS($N:$N,$C:$C,"RM BAL",$G:$G,$AH$1432,$H:$H,$AI1431,$AL:$AL,"&gt;=91")+SUMIFS($N:$N,$C:$C,"MILL",$G:$G,$AH$1432,$H:$H,$AI1431,$AL:$AL,"&gt;=91")+SUMIFS($N:$N,$C:$C,"RM SLT RUST",$G:$G,$AH$1432,$H:$H,$AI1431,$AL:$AL,"&gt;=91")+SUMIFS($N:$N,$C:$C,"RM SLT DENT",$G:$G,$AH$1432,$H:$H,$AI1431,$AL:$AL,"&gt;=91")+SUMIFS($N:$N,$C:$C,"RM SLT",$G:$G,$AH$1432,$H:$H,$AI1431,$AL:$AL,"&gt;=91"))</f>
        <v>0</v>
      </c>
      <c r="AN1431" s="266">
        <f t="shared" si="41"/>
        <v>0</v>
      </c>
      <c r="AP1431" s="324"/>
      <c r="AQ1431" s="325"/>
      <c r="AR1431" s="326"/>
      <c r="AS1431" s="326"/>
      <c r="AT1431" s="326"/>
      <c r="AU1431" s="326"/>
    </row>
    <row r="1432" spans="2:47" ht="21" customHeight="1" x14ac:dyDescent="0.25">
      <c r="AH1432" s="327">
        <v>410</v>
      </c>
      <c r="AI1432" s="173" t="s">
        <v>127</v>
      </c>
      <c r="AJ1432" s="265">
        <f>SUM(SUMIFS($N:$N,$C:$C,"RM",$G:$G,$AH$1432,$H:$H,$AI1432,$AL:$AL,"&lt;=30")+SUMIFS($N:$N,$C:$C,"RM BAL",$G:$G,$AH$1432,$H:$H,$AI1432,$AL:$AL,"&lt;=30")+SUMIFS($N:$N,$C:$C,"MILL",$G:$G,$AH$1432,$H:$H,$AI1432,$AL:$AL,"&lt;=30")+SUMIFS($N:$N,$C:$C,"RM SLT RUST",$G:$G,$AH$1432,$H:$H,$AI1432,$AL:$AL,"&lt;=30")+SUMIFS($N:$N,$C:$C,"RM SLT DENT",$G:$G,$AH$1432,$H:$H,$AI1432,$AL:$AL,"&lt;=30")+SUMIFS($N:$N,$C:$C,"RM SLT",$G:$G,$AH$1432,$H:$H,$AI1432,$AL:$AL,"&lt;=30"))</f>
        <v>0</v>
      </c>
      <c r="AK1432" s="265">
        <f>SUM(SUMIFS($N:$N,$C:$C,"RM",$G:$G,$AH$1432,$H:$H,$AI1432,$AL:$AL,"&lt;=60")+SUMIFS($N:$N,$C:$C,"RM BAL",$G:$G,$AH$1432,$H:$H,$AI1432,$AL:$AL,"&lt;=60")+SUMIFS($N:$N,$C:$C,"MILL",$G:$G,$AH$1432,$H:$H,$AI1432,$AL:$AL,"&lt;=60")+SUMIFS($N:$N,$C:$C,"RM SLT RUST",$G:$G,$AH$1432,$H:$H,$AI1432,$AL:$AL,"&lt;=60")+SUMIFS($N:$N,$C:$C,"RM SLT DENT",$G:$G,$AH$1432,$H:$H,$AI1432,$AL:$AL,"&lt;=60")+SUMIFS($N:$N,$C:$C,"RM SLT",$G:$G,$AH$1432,$H:$H,$AI1432,$AL:$AL,"&lt;=60"))-AJ1432</f>
        <v>0</v>
      </c>
      <c r="AL1432" s="265">
        <f>SUM(SUMIFS($N:$N,$C:$C,"RM",$G:$G,$AH$1432,$H:$H,$AI1432,$AL:$AL,"&lt;=90")+SUMIFS($N:$N,$C:$C,"RM BAL",$G:$G,$AH$1432,$H:$H,$AI1432,$AL:$AL,"&lt;=90")+SUMIFS($N:$N,$C:$C,"MILL",$G:$G,$AH$1432,$H:$H,$AI1432,$AL:$AL,"&lt;=90")+SUMIFS($N:$N,$C:$C,"RM SLT RUST",$G:$G,$AH$1432,$H:$H,$AI1432,$AL:$AL,"&lt;=90")+SUMIFS($N:$N,$C:$C,"RM SLT DENT",$G:$G,$AH$1432,$H:$H,$AI1432,$AL:$AL,"&lt;=90")+SUMIFS($N:$N,$C:$C,"RM SLT",$G:$G,$AH$1432,$H:$H,$AI1432,$AL:$AL,"&lt;=90"))-AK1432-AJ1432</f>
        <v>0</v>
      </c>
      <c r="AM1432" s="265">
        <f>SUM(SUMIFS($N:$N,$C:$C,"RM",$G:$G,$AH$1432,$H:$H,$AI1432,$AL:$AL,"&gt;=91")+SUMIFS($N:$N,$C:$C,"RM BAL",$G:$G,$AH$1432,$H:$H,$AI1432,$AL:$AL,"&gt;=91")+SUMIFS($N:$N,$C:$C,"MILL",$G:$G,$AH$1432,$H:$H,$AI1432,$AL:$AL,"&gt;=91")+SUMIFS($N:$N,$C:$C,"RM SLT RUST",$G:$G,$AH$1432,$H:$H,$AI1432,$AL:$AL,"&gt;=91")+SUMIFS($N:$N,$C:$C,"RM SLT DENT",$G:$G,$AH$1432,$H:$H,$AI1432,$AL:$AL,"&gt;=91")+SUMIFS($N:$N,$C:$C,"RM SLT",$G:$G,$AH$1432,$H:$H,$AI1432,$AL:$AL,"&gt;=91"))</f>
        <v>0</v>
      </c>
      <c r="AN1432" s="266">
        <f t="shared" si="41"/>
        <v>0</v>
      </c>
      <c r="AP1432" s="324"/>
      <c r="AQ1432" s="325"/>
      <c r="AR1432" s="326"/>
      <c r="AS1432" s="326"/>
      <c r="AT1432" s="326"/>
      <c r="AU1432" s="326"/>
    </row>
    <row r="1433" spans="2:47" ht="21" customHeight="1" x14ac:dyDescent="0.25">
      <c r="AH1433" s="328"/>
      <c r="AI1433" s="272" t="s">
        <v>51</v>
      </c>
      <c r="AJ1433" s="265">
        <f ca="1">SUM(SUMIFS($N:$N,$C:$C,"RM",$G:$G,$AH$1432,$H:$H,"2B",$AL:$AL,"&lt;=30")+SUMIFS($N:$N,$C:$C,"RM BAL",$G:$G,$AH$1432,$H:$H,"2B",$AL:$AL,"&lt;=30")+SUMIFS($N:$N,$C:$C,"MILL",$G:$G,$AH$1432,$H:$H,"2B",$AL:$AL,"&lt;=30")+SUMIFS($N:$N,$C:$C,"RM SLT RUST",$G:$G,$AH$1432,$H:$H,"2B",$AL:$AL,"&lt;=30")+SUMIFS($N:$N,$C:$C,"RM SLT DENT",$G:$G,$AH$1432,$H:$H,"2B",$AL:$AL,"&lt;=30")+SUMIFS($N:$N,$C:$C,"RM SLT",$G:$G,$AH$1432,$H:$H,"2B",$AL:$AL,"&lt;=30")+SUMIFS($N:$N,$C:$C,"RM SLT",$G:$G,$AH$1432,$H:$H,"BA",$AL:$AL,"&lt;=30")+SUMIFS($N:$N,$C:$C,"RM SLT",$G:$G,$AH$1432,$H:$H,"2D",$AL:$AL,"&lt;=30"))</f>
        <v>0</v>
      </c>
      <c r="AK1433" s="265">
        <f ca="1">SUM(SUMIFS($N:$N,$C:$C,"RM",$G:$G,$AH$1432,$H:$H,$AI1433,$AL:$AL,"&lt;=60")+SUMIFS($N:$N,$C:$C,"RM BAL",$G:$G,$AH$1432,$H:$H,$AI1433,$AL:$AL,"&lt;=60")+SUMIFS($N:$N,$C:$C,"MILL",$G:$G,$AH$1432,$H:$H,$AI1433,$AL:$AL,"&lt;=60")+SUMIFS($N:$N,$C:$C,"RM SLT RUST",$G:$G,$AH$1432,$H:$H,$AI1433,$AL:$AL,"&lt;=60")+SUMIFS($N:$N,$C:$C,"RM SLT DENT",$G:$G,$AH$1432,$H:$H,$AI1433,$AL:$AL,"&lt;=60")+SUMIFS($N:$N,$C:$C,"RM SLT",$G:$G,$AH$1432,$H:$H,$AI1433,$AL:$AL,"&lt;=60"))-AJ1433</f>
        <v>0</v>
      </c>
      <c r="AL1433" s="265">
        <f ca="1">SUM(SUMIFS($N:$N,$C:$C,"RM",$G:$G,$AH$1432,$H:$H,$AI1433,$AL:$AL,"&lt;=90")+SUMIFS($N:$N,$C:$C,"RM BAL",$G:$G,$AH$1432,$H:$H,$AI1433,$AL:$AL,"&lt;=90")+SUMIFS($N:$N,$C:$C,"MILL",$G:$G,$AH$1432,$H:$H,$AI1433,$AL:$AL,"&lt;=90")+SUMIFS($N:$N,$C:$C,"RM SLT RUST",$G:$G,$AH$1432,$H:$H,$AI1433,$AL:$AL,"&lt;=90")+SUMIFS($N:$N,$C:$C,"RM SLT DENT",$G:$G,$AH$1432,$H:$H,$AI1433,$AL:$AL,"&lt;=90")+SUMIFS($N:$N,$C:$C,"RM SLT",$G:$G,$AH$1432,$H:$H,$AI1433,$AL:$AL,"&lt;=90"))-AK1433-AJ1433</f>
        <v>0</v>
      </c>
      <c r="AM1433" s="265">
        <f>SUM(SUMIFS($N:$N,$C:$C,"RM",$G:$G,$AH$1432,$H:$H,$AI1433,$AL:$AL,"&gt;=91")+SUMIFS($N:$N,$C:$C,"RM BAL",$G:$G,$AH$1432,$H:$H,$AI1433,$AL:$AL,"&gt;=91")+SUMIFS($N:$N,$C:$C,"MILL",$G:$G,$AH$1432,$H:$H,$AI1433,$AL:$AL,"&gt;=91")+SUMIFS($N:$N,$C:$C,"RM SLT RUST",$G:$G,$AH$1432,$H:$H,$AI1433,$AL:$AL,"&gt;=91")+SUMIFS($N:$N,$C:$C,"RM SLT DENT",$G:$G,$AH$1432,$H:$H,$AI1433,$AL:$AL,"&gt;=91")+SUMIFS($N:$N,$C:$C,"RM SLT",$G:$G,$AH$1432,$H:$H,$AI1433,$AL:$AL,"&gt;=91"))</f>
        <v>0</v>
      </c>
      <c r="AN1433" s="266">
        <f t="shared" ca="1" si="41"/>
        <v>0</v>
      </c>
      <c r="AP1433" s="324"/>
      <c r="AQ1433" s="325"/>
      <c r="AR1433" s="326"/>
      <c r="AS1433" s="326"/>
      <c r="AT1433" s="326"/>
      <c r="AU1433" s="326"/>
    </row>
    <row r="1434" spans="2:47" ht="21" customHeight="1" x14ac:dyDescent="0.25">
      <c r="AH1434" s="329"/>
      <c r="AI1434" s="264" t="s">
        <v>70</v>
      </c>
      <c r="AJ1434" s="265">
        <f>SUM(SUMIFS($N:$N,$C:$C,"RM",$G:$G,$AH$1435,$H:$H,$AI1434,$AL:$AL,"&lt;=30")+SUMIFS($N:$N,$C:$C,"RM BAL",$G:$G,$AH$1435,$H:$H,$AI1434,$AL:$AL,"&lt;=30")+SUMIFS($N:$N,$C:$C,"MILL",$G:$G,$AH$1435,$H:$H,$AI1434,$AL:$AL,"&lt;=30")+SUMIFS($N:$N,$C:$C,"RM SLT RUST",$G:$G,$AH$1435,$H:$H,$AI1434,$AL:$AL,"&lt;=30")+SUMIFS($N:$N,$C:$C,"RM SLT DENT",$G:$G,$AH$1435,$H:$H,$AI1434,$AL:$AL,"&lt;=30")+SUMIFS($N:$N,$C:$C,"RM SLT",$G:$G,$AH$1435,$H:$H,$AI1434,$AL:$AL,"&lt;=30"))</f>
        <v>0</v>
      </c>
      <c r="AK1434" s="265">
        <f>SUM(SUMIFS($N:$N,$C:$C,"RM",$G:$G,$AH$1435,$H:$H,$AI1434,$AL:$AL,"&lt;=60")+SUMIFS($N:$N,$C:$C,"RM BAL",$G:$G,$AH$1435,$H:$H,$AI1434,$AL:$AL,"&lt;=60")+SUMIFS($N:$N,$C:$C,"MILL",$G:$G,$AH$1435,$H:$H,$AI1434,$AL:$AL,"&lt;=60")+SUMIFS($N:$N,$C:$C,"RM SLT RUST",$G:$G,$AH$1435,$H:$H,$AI1434,$AL:$AL,"&lt;=60")+SUMIFS($N:$N,$C:$C,"RM SLT DENT",$G:$G,$AH$1435,$H:$H,$AI1434,$AL:$AL,"&lt;=60")+SUMIFS($N:$N,$C:$C,"RM SLT",$G:$G,$AH$1435,$H:$H,$AI1434,$AL:$AL,"&lt;=60"))-AJ1434</f>
        <v>0</v>
      </c>
      <c r="AL1434" s="265">
        <f>SUM(SUMIFS($N:$N,$C:$C,"RM",$G:$G,$AH$1435,$H:$H,$AI1434,$AL:$AL,"&lt;=90")+SUMIFS($N:$N,$C:$C,"RM BAL",$G:$G,$AH$1435,$H:$H,$AI1434,$AL:$AL,"&lt;=90")+SUMIFS($N:$N,$C:$C,"MILL",$G:$G,$AH$1435,$H:$H,$AI1434,$AL:$AL,"&lt;=90")+SUMIFS($N:$N,$C:$C,"RM SLT RUST",$G:$G,$AH$1435,$H:$H,$AI1434,$AL:$AL,"&lt;=90")+SUMIFS($N:$N,$C:$C,"RM SLT DENT",$G:$G,$AH$1435,$H:$H,$AI1434,$AL:$AL,"&lt;=90")+SUMIFS($N:$N,$C:$C,"RM SLT",$G:$G,$AH$1435,$H:$H,$AI1434,$AL:$AL,"&lt;=90"))-AK1434-AJ1434</f>
        <v>0</v>
      </c>
      <c r="AM1434" s="265">
        <f>SUM(SUMIFS($N:$N,$C:$C,"RM",$G:$G,$AH$1435,$H:$H,$AI1434,$AL:$AL,"&gt;=91")+SUMIFS($N:$N,$C:$C,"RM BAL",$G:$G,$AH$1435,$H:$H,$AI1434,$AL:$AL,"&gt;=91")+SUMIFS($N:$N,$C:$C,"MILL",$G:$G,$AH$1435,$H:$H,$AI1434,$AL:$AL,"&gt;=91")+SUMIFS($N:$N,$C:$C,"RM SLT RUST",$G:$G,$AH$1435,$H:$H,$AI1434,$AL:$AL,"&gt;=91")+SUMIFS($N:$N,$C:$C,"RM SLT DENT",$G:$G,$AH$1435,$H:$H,$AI1434,$AL:$AL,"&gt;=91")+SUMIFS($N:$N,$C:$C,"RM SLT",$G:$G,$AH$1435,$H:$H,$AI1434,$AL:$AL,"&gt;=91"))</f>
        <v>0</v>
      </c>
      <c r="AN1434" s="266">
        <f t="shared" si="41"/>
        <v>0</v>
      </c>
      <c r="AP1434" s="324"/>
      <c r="AQ1434" s="325"/>
      <c r="AR1434" s="326"/>
      <c r="AS1434" s="326"/>
      <c r="AT1434" s="326"/>
      <c r="AU1434" s="326"/>
    </row>
    <row r="1435" spans="2:47" ht="21" customHeight="1" x14ac:dyDescent="0.25">
      <c r="AH1435" s="329">
        <v>301</v>
      </c>
      <c r="AI1435" s="173" t="s">
        <v>127</v>
      </c>
      <c r="AJ1435" s="265">
        <f>SUM(SUMIFS($N:$N,$C:$C,"RM",$G:$G,$AH$1435,$H:$H,$AI1435,$AL:$AL,"&lt;=30")+SUMIFS($N:$N,$C:$C,"RM BAL",$G:$G,$AH$1435,$H:$H,$AI1435,$AL:$AL,"&lt;=30")+SUMIFS($N:$N,$C:$C,"MILL",$G:$G,$AH$1435,$H:$H,$AI1435,$AL:$AL,"&lt;=30")+SUMIFS($N:$N,$C:$C,"RM SLT RUST",$G:$G,$AH$1435,$H:$H,$AI1435,$AL:$AL,"&lt;=30")+SUMIFS($N:$N,$C:$C,"RM SLT DENT",$G:$G,$AH$1435,$H:$H,$AI1435,$AL:$AL,"&lt;=30")+SUMIFS($N:$N,$C:$C,"RM SLT",$G:$G,$AH$1435,$H:$H,$AI1435,$AL:$AL,"&lt;=30"))</f>
        <v>0</v>
      </c>
      <c r="AK1435" s="265">
        <f>SUM(SUMIFS($N:$N,$C:$C,"RM",$G:$G,$AH$1435,$H:$H,$AI1435,$AL:$AL,"&lt;=60")+SUMIFS($N:$N,$C:$C,"RM BAL",$G:$G,$AH$1435,$H:$H,$AI1435,$AL:$AL,"&lt;=60")+SUMIFS($N:$N,$C:$C,"MILL",$G:$G,$AH$1435,$H:$H,$AI1435,$AL:$AL,"&lt;=60")+SUMIFS($N:$N,$C:$C,"RM SLT RUST",$G:$G,$AH$1435,$H:$H,$AI1435,$AL:$AL,"&lt;=60")+SUMIFS($N:$N,$C:$C,"RM SLT DENT",$G:$G,$AH$1435,$H:$H,$AI1435,$AL:$AL,"&lt;=60")+SUMIFS($N:$N,$C:$C,"RM SLT",$G:$G,$AH$1435,$H:$H,$AI1435,$AL:$AL,"&lt;=60"))-AJ1435</f>
        <v>0</v>
      </c>
      <c r="AL1435" s="265">
        <f>SUM(SUMIFS($N:$N,$C:$C,"RM",$G:$G,$AH$1435,$H:$H,$AI1435,$AL:$AL,"&lt;=90")+SUMIFS($N:$N,$C:$C,"RM BAL",$G:$G,$AH$1435,$H:$H,$AI1435,$AL:$AL,"&lt;=90")+SUMIFS($N:$N,$C:$C,"MILL",$G:$G,$AH$1435,$H:$H,$AI1435,$AL:$AL,"&lt;=90")+SUMIFS($N:$N,$C:$C,"RM SLT RUST",$G:$G,$AH$1435,$H:$H,$AI1435,$AL:$AL,"&lt;=90")+SUMIFS($N:$N,$C:$C,"RM SLT DENT",$G:$G,$AH$1435,$H:$H,$AI1435,$AL:$AL,"&lt;=90")+SUMIFS($N:$N,$C:$C,"RM SLT",$G:$G,$AH$1435,$H:$H,$AI1435,$AL:$AL,"&lt;=90"))-AK1435-AJ1435</f>
        <v>0</v>
      </c>
      <c r="AM1435" s="265">
        <f>SUM(SUMIFS($N:$N,$C:$C,"RM",$G:$G,$AH$1435,$H:$H,$AI1435,$AL:$AL,"&gt;=91")+SUMIFS($N:$N,$C:$C,"RM BAL",$G:$G,$AH$1435,$H:$H,$AI1435,$AL:$AL,"&gt;=91")+SUMIFS($N:$N,$C:$C,"MILL",$G:$G,$AH$1435,$H:$H,$AI1435,$AL:$AL,"&gt;=91")+SUMIFS($N:$N,$C:$C,"RM SLT RUST",$G:$G,$AH$1435,$H:$H,$AI1435,$AL:$AL,"&gt;=91")+SUMIFS($N:$N,$C:$C,"RM SLT DENT",$G:$G,$AH$1435,$H:$H,$AI1435,$AL:$AL,"&gt;=91")+SUMIFS($N:$N,$C:$C,"RM SLT",$G:$G,$AH$1435,$H:$H,$AI1435,$AL:$AL,"&gt;=91"))</f>
        <v>0</v>
      </c>
      <c r="AN1435" s="266">
        <f t="shared" si="41"/>
        <v>0</v>
      </c>
    </row>
    <row r="1436" spans="2:47" ht="21" customHeight="1" x14ac:dyDescent="0.25">
      <c r="AH1436" s="330"/>
      <c r="AI1436" s="272" t="s">
        <v>51</v>
      </c>
      <c r="AJ1436" s="265">
        <f>SUM(SUMIFS($N:$N,$C:$C,"RM",$G:$G,$AH$1435,$H:$H,$AI1436,$AL:$AL,"&lt;=30")+SUMIFS($N:$N,$C:$C,"RM BAL",$G:$G,$AH$1435,$H:$H,$AI1436,$AL:$AL,"&lt;=30")+SUMIFS($N:$N,$C:$C,"MILL",$G:$G,$AH$1435,$H:$H,$AI1436,$AL:$AL,"&lt;=30")+SUMIFS($N:$N,$C:$C,"RM SLT RUST",$G:$G,$AH$1435,$H:$H,$AI1436,$AL:$AL,"&lt;=30")+SUMIFS($N:$N,$C:$C,"RM SLT DENT",$G:$G,$AH$1435,$H:$H,$AI1436,$AL:$AL,"&lt;=30")+SUMIFS($N:$N,$C:$C,"RM SLT",$G:$G,$AH$1435,$H:$H,$AI1436,$AL:$AL,"&lt;=30"))</f>
        <v>0</v>
      </c>
      <c r="AK1436" s="265">
        <f>SUM(SUMIFS($N:$N,$C:$C,"RM",$G:$G,$AH$1435,$H:$H,$AI1436,$AL:$AL,"&lt;=60")+SUMIFS($N:$N,$C:$C,"RM BAL",$G:$G,$AH$1435,$H:$H,$AI1436,$AL:$AL,"&lt;=60")+SUMIFS($N:$N,$C:$C,"MILL",$G:$G,$AH$1435,$H:$H,$AI1436,$AL:$AL,"&lt;=60")+SUMIFS($N:$N,$C:$C,"RM SLT RUST",$G:$G,$AH$1435,$H:$H,$AI1436,$AL:$AL,"&lt;=60")+SUMIFS($N:$N,$C:$C,"RM SLT DENT",$G:$G,$AH$1435,$H:$H,$AI1436,$AL:$AL,"&lt;=60")+SUMIFS($N:$N,$C:$C,"RM SLT",$G:$G,$AH$1435,$H:$H,$AI1436,$AL:$AL,"&lt;=60"))-AJ1436</f>
        <v>0</v>
      </c>
      <c r="AL1436" s="265">
        <f>SUM(SUMIFS($N:$N,$C:$C,"RM",$G:$G,$AH$1435,$H:$H,$AI1436,$AL:$AL,"&lt;=90")+SUMIFS($N:$N,$C:$C,"RM BAL",$G:$G,$AH$1435,$H:$H,$AI1436,$AL:$AL,"&lt;=90")+SUMIFS($N:$N,$C:$C,"MILL",$G:$G,$AH$1435,$H:$H,$AI1436,$AL:$AL,"&lt;=90")+SUMIFS($N:$N,$C:$C,"RM SLT RUST",$G:$G,$AH$1435,$H:$H,$AI1436,$AL:$AL,"&lt;=90")+SUMIFS($N:$N,$C:$C,"RM SLT DENT",$G:$G,$AH$1435,$H:$H,$AI1436,$AL:$AL,"&lt;=90")+SUMIFS($N:$N,$C:$C,"RM SLT",$G:$G,$AH$1435,$H:$H,$AI1436,$AL:$AL,"&lt;=90"))-AK1436-AJ1436</f>
        <v>0</v>
      </c>
      <c r="AM1436" s="265">
        <f>SUM(SUMIFS($N:$N,$C:$C,"RM",$G:$G,$AH$1435,$H:$H,$AI1436,$AL:$AL,"&gt;=91")+SUMIFS($N:$N,$C:$C,"RM BAL",$G:$G,$AH$1435,$H:$H,$AI1436,$AL:$AL,"&gt;=91")+SUMIFS($N:$N,$C:$C,"MILL",$G:$G,$AH$1435,$H:$H,$AI1436,$AL:$AL,"&gt;=91")+SUMIFS($N:$N,$C:$C,"RM SLT RUST",$G:$G,$AH$1435,$H:$H,$AI1436,$AL:$AL,"&gt;=91")+SUMIFS($N:$N,$C:$C,"RM SLT DENT",$G:$G,$AH$1435,$H:$H,$AI1436,$AL:$AL,"&gt;=91")+SUMIFS($N:$N,$C:$C,"RM SLT",$G:$G,$AH$1435,$H:$H,$AI1436,$AL:$AL,"&gt;=91"))</f>
        <v>0</v>
      </c>
      <c r="AN1436" s="266">
        <f t="shared" si="41"/>
        <v>0</v>
      </c>
    </row>
    <row r="1437" spans="2:47" ht="21" customHeight="1" x14ac:dyDescent="0.25">
      <c r="AH1437" s="331" t="s">
        <v>39</v>
      </c>
      <c r="AI1437" s="332"/>
      <c r="AJ1437" s="333">
        <f ca="1">SUM(AJ1398:AJ1436)</f>
        <v>9370.6890000000003</v>
      </c>
      <c r="AK1437" s="333">
        <f ca="1">SUM(AK1398:AK1436)</f>
        <v>201</v>
      </c>
      <c r="AL1437" s="333">
        <f ca="1">SUM(AL1398:AL1436)</f>
        <v>1352.92</v>
      </c>
      <c r="AM1437" s="333">
        <f ca="1">SUM(AM1398:AM1436)</f>
        <v>135.62299999999999</v>
      </c>
      <c r="AN1437" s="266">
        <f t="shared" ca="1" si="41"/>
        <v>11060.232</v>
      </c>
    </row>
  </sheetData>
  <autoFilter ref="A4:BX1224" xr:uid="{00000000-0009-0000-0000-000000000000}"/>
  <dataConsolidate/>
  <mergeCells count="19">
    <mergeCell ref="AL1415:AL1416"/>
    <mergeCell ref="AM1415:AP1415"/>
    <mergeCell ref="AQ1415:AQ1416"/>
    <mergeCell ref="AH1437:AI1437"/>
    <mergeCell ref="AE1396:AI1396"/>
    <mergeCell ref="AK1396:AK1397"/>
    <mergeCell ref="AL1396:AO1396"/>
    <mergeCell ref="AP1396:AP1397"/>
    <mergeCell ref="B1412:B1413"/>
    <mergeCell ref="C1412:C1413"/>
    <mergeCell ref="D1412:I1412"/>
    <mergeCell ref="J1412:J1413"/>
    <mergeCell ref="K1412:K1413"/>
    <mergeCell ref="B1395:B1396"/>
    <mergeCell ref="C1395:C1396"/>
    <mergeCell ref="D1395:I1395"/>
    <mergeCell ref="J1395:J1396"/>
    <mergeCell ref="K1395:K1396"/>
    <mergeCell ref="AC1396:AC1397"/>
  </mergeCells>
  <pageMargins left="0.5" right="0.5" top="0.5" bottom="0" header="0.3" footer="0.3"/>
  <pageSetup scale="1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11EBE-4EAE-40C4-B9CD-CE3A1DD93165}">
  <dimension ref="A1:BA610"/>
  <sheetViews>
    <sheetView zoomScale="70" zoomScaleNormal="70" workbookViewId="0">
      <pane ySplit="3" topLeftCell="A528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1" width="5.28515625" style="336" customWidth="1"/>
    <col min="2" max="2" width="9.42578125" style="336" customWidth="1"/>
    <col min="3" max="3" width="26.7109375" style="336" customWidth="1"/>
    <col min="4" max="4" width="18.7109375" style="336" customWidth="1"/>
    <col min="5" max="5" width="21.7109375" style="336" customWidth="1"/>
    <col min="6" max="6" width="18.85546875" style="336" customWidth="1"/>
    <col min="7" max="7" width="9.7109375" style="336" customWidth="1"/>
    <col min="8" max="8" width="9.140625" style="336"/>
    <col min="9" max="9" width="12.42578125" style="351" customWidth="1"/>
    <col min="10" max="10" width="9.7109375" style="352" customWidth="1"/>
    <col min="11" max="11" width="12.85546875" style="353" customWidth="1"/>
    <col min="12" max="12" width="13.85546875" style="353" customWidth="1"/>
    <col min="13" max="13" width="12.42578125" style="351" customWidth="1"/>
    <col min="14" max="14" width="13.42578125" style="351" customWidth="1"/>
    <col min="15" max="16" width="15.140625" style="355" customWidth="1"/>
    <col min="17" max="17" width="34.42578125" style="336" customWidth="1"/>
    <col min="18" max="18" width="16.28515625" style="336" customWidth="1"/>
    <col min="19" max="20" width="11.5703125" style="336" customWidth="1"/>
    <col min="21" max="29" width="12.7109375" style="336" customWidth="1"/>
    <col min="30" max="30" width="19.28515625" style="336" customWidth="1"/>
    <col min="31" max="31" width="9.140625" style="336" customWidth="1"/>
    <col min="32" max="32" width="18.5703125" style="336" customWidth="1"/>
    <col min="33" max="33" width="25.85546875" style="336" customWidth="1"/>
    <col min="34" max="34" width="18" style="336" customWidth="1"/>
    <col min="35" max="35" width="13" style="336" customWidth="1"/>
    <col min="36" max="36" width="11.7109375" style="336" customWidth="1"/>
    <col min="37" max="37" width="13.140625" style="336" customWidth="1"/>
    <col min="38" max="39" width="11.7109375" style="336" customWidth="1"/>
    <col min="40" max="40" width="14" style="336" customWidth="1"/>
    <col min="41" max="41" width="15" style="336" customWidth="1"/>
    <col min="42" max="44" width="14.5703125" style="336" customWidth="1"/>
    <col min="45" max="45" width="11.5703125" style="336" customWidth="1"/>
    <col min="46" max="60" width="9.140625" style="336" customWidth="1"/>
    <col min="61" max="16384" width="9.140625" style="336"/>
  </cols>
  <sheetData>
    <row r="1" spans="1:49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5"/>
      <c r="P1" s="335"/>
      <c r="S1" s="334"/>
      <c r="T1" s="334"/>
    </row>
    <row r="3" spans="1:49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3796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38" t="s">
        <v>3799</v>
      </c>
      <c r="P3" s="338" t="s">
        <v>3800</v>
      </c>
      <c r="Q3" s="338" t="s">
        <v>88</v>
      </c>
      <c r="R3" s="338"/>
      <c r="S3" s="338"/>
      <c r="T3" s="342" t="s">
        <v>3801</v>
      </c>
      <c r="U3" s="343" t="s">
        <v>3802</v>
      </c>
      <c r="V3" s="161" t="s">
        <v>3803</v>
      </c>
      <c r="W3" s="162" t="s">
        <v>3804</v>
      </c>
      <c r="X3" s="344" t="s">
        <v>3805</v>
      </c>
      <c r="Y3" s="164" t="s">
        <v>3806</v>
      </c>
      <c r="Z3" s="345" t="s">
        <v>3807</v>
      </c>
      <c r="AA3" s="346" t="s">
        <v>3808</v>
      </c>
      <c r="AB3" s="167" t="s">
        <v>3809</v>
      </c>
      <c r="AC3" s="343" t="s">
        <v>3810</v>
      </c>
      <c r="AD3" s="338" t="s">
        <v>91</v>
      </c>
      <c r="AE3" s="338" t="s">
        <v>92</v>
      </c>
      <c r="AF3" s="337" t="s">
        <v>93</v>
      </c>
      <c r="AG3" s="337" t="s">
        <v>94</v>
      </c>
      <c r="AH3" s="347" t="s">
        <v>95</v>
      </c>
      <c r="AI3" s="347" t="s">
        <v>96</v>
      </c>
      <c r="AJ3" s="347" t="s">
        <v>3811</v>
      </c>
      <c r="AK3" s="347" t="s">
        <v>3812</v>
      </c>
      <c r="AL3" s="347" t="s">
        <v>3813</v>
      </c>
      <c r="AM3" s="347" t="s">
        <v>98</v>
      </c>
      <c r="AN3" s="347" t="s">
        <v>100</v>
      </c>
      <c r="AO3" s="337" t="s">
        <v>101</v>
      </c>
      <c r="AP3" s="348" t="s">
        <v>3814</v>
      </c>
      <c r="AQ3" s="348" t="s">
        <v>3815</v>
      </c>
      <c r="AR3" s="348" t="s">
        <v>3816</v>
      </c>
      <c r="AS3" s="348" t="s">
        <v>3817</v>
      </c>
    </row>
    <row r="4" spans="1:49" s="142" customFormat="1" ht="21" customHeight="1" x14ac:dyDescent="0.25">
      <c r="B4" s="173" t="str">
        <f t="shared" ref="B4:B41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0-316L/1D-3.93X776</v>
      </c>
      <c r="C4" s="173" t="s">
        <v>3818</v>
      </c>
      <c r="D4" s="173" t="s">
        <v>13</v>
      </c>
      <c r="E4" s="190" t="s">
        <v>3819</v>
      </c>
      <c r="F4" s="190" t="s">
        <v>3820</v>
      </c>
      <c r="G4" s="173" t="s">
        <v>135</v>
      </c>
      <c r="H4" s="173" t="s">
        <v>127</v>
      </c>
      <c r="I4" s="174">
        <v>3.93</v>
      </c>
      <c r="J4" s="174"/>
      <c r="K4" s="174"/>
      <c r="L4" s="174"/>
      <c r="M4" s="191">
        <v>776</v>
      </c>
      <c r="N4" s="176">
        <v>10.845000000000001</v>
      </c>
      <c r="O4" s="176">
        <v>10.845000000000001</v>
      </c>
      <c r="P4" s="176"/>
      <c r="Q4" s="178"/>
      <c r="R4" s="179"/>
      <c r="S4" s="179"/>
      <c r="T4" s="177">
        <v>44928</v>
      </c>
      <c r="U4" s="177"/>
      <c r="V4" s="177"/>
      <c r="W4" s="177"/>
      <c r="X4" s="177"/>
      <c r="Y4" s="177"/>
      <c r="Z4" s="177"/>
      <c r="AA4" s="177">
        <v>44911</v>
      </c>
      <c r="AB4" s="177"/>
      <c r="AC4" s="177"/>
      <c r="AD4" s="180" t="s">
        <v>2374</v>
      </c>
      <c r="AE4" s="173" t="s">
        <v>69</v>
      </c>
      <c r="AF4" s="181" t="s">
        <v>142</v>
      </c>
      <c r="AG4" s="192" t="s">
        <v>1887</v>
      </c>
      <c r="AH4" s="198"/>
      <c r="AI4" s="181">
        <v>44880</v>
      </c>
      <c r="AJ4" s="181"/>
      <c r="AK4" s="181">
        <f t="shared" ref="AK4:AK5" ca="1" si="1">TODAY()</f>
        <v>44958</v>
      </c>
      <c r="AL4" s="173">
        <f t="shared" ref="AL4:AL41" ca="1" si="2">IF(AI4&lt;&gt;0,AK4-AI4,0)</f>
        <v>78</v>
      </c>
      <c r="AM4" s="173" t="str">
        <f t="shared" ref="AM4:AM41" si="3">IF(ISNUMBER(X4)=TRUE,AK4-X4,IF(X4="","",(AK4)-(MID(RIGHT(X4,10),4,2)&amp;"/"&amp;LEFT((RIGHT(X4,10)),2)&amp;"/"&amp;RIGHT(X4,4))))</f>
        <v/>
      </c>
      <c r="AN4" s="181"/>
      <c r="AO4" s="190" t="s">
        <v>3821</v>
      </c>
      <c r="AP4" s="176">
        <v>21.65</v>
      </c>
      <c r="AQ4" s="176">
        <v>21.709999999999997</v>
      </c>
      <c r="AR4" s="176">
        <v>21.734999999999999</v>
      </c>
      <c r="AS4" s="176">
        <v>21.74</v>
      </c>
      <c r="AT4" s="173" t="str">
        <f t="shared" ref="AT4:AT67" si="4">IF(ISNUMBER(V4)=TRUE,AK4-V4,IF(V4="","",(AK4)-(MID(RIGHT(V4,10),4,2)&amp;"/"&amp;LEFT((RIGHT(V4,10)),2)&amp;"/"&amp;RIGHT(V4,4))))</f>
        <v/>
      </c>
      <c r="AU4" s="173">
        <v>460</v>
      </c>
      <c r="AW4" s="142" t="s">
        <v>123</v>
      </c>
    </row>
    <row r="5" spans="1:49" s="142" customFormat="1" ht="21" customHeight="1" x14ac:dyDescent="0.25">
      <c r="B5" s="173" t="str">
        <f t="shared" si="0"/>
        <v>0-316L/FH-1.50X775</v>
      </c>
      <c r="C5" s="173" t="s">
        <v>3822</v>
      </c>
      <c r="D5" s="173" t="s">
        <v>16</v>
      </c>
      <c r="E5" s="190" t="s">
        <v>3823</v>
      </c>
      <c r="F5" s="190" t="s">
        <v>3824</v>
      </c>
      <c r="G5" s="173" t="s">
        <v>135</v>
      </c>
      <c r="H5" s="173" t="s">
        <v>70</v>
      </c>
      <c r="I5" s="174">
        <v>3.77</v>
      </c>
      <c r="J5" s="174">
        <v>1.5</v>
      </c>
      <c r="K5" s="174"/>
      <c r="L5" s="174"/>
      <c r="M5" s="191">
        <v>775</v>
      </c>
      <c r="N5" s="176">
        <v>10.805</v>
      </c>
      <c r="O5" s="176">
        <v>10.8</v>
      </c>
      <c r="P5" s="176"/>
      <c r="Q5" s="178"/>
      <c r="R5" s="179"/>
      <c r="S5" s="179"/>
      <c r="T5" s="177">
        <v>44926</v>
      </c>
      <c r="U5" s="177"/>
      <c r="V5" s="177"/>
      <c r="W5" s="177"/>
      <c r="X5" s="177"/>
      <c r="Y5" s="177"/>
      <c r="Z5" s="177"/>
      <c r="AA5" s="177">
        <v>44910</v>
      </c>
      <c r="AB5" s="177"/>
      <c r="AC5" s="177"/>
      <c r="AD5" s="180" t="s">
        <v>2374</v>
      </c>
      <c r="AE5" s="173" t="s">
        <v>69</v>
      </c>
      <c r="AF5" s="181" t="s">
        <v>142</v>
      </c>
      <c r="AG5" s="192" t="s">
        <v>1887</v>
      </c>
      <c r="AH5" s="198"/>
      <c r="AI5" s="181">
        <v>44880</v>
      </c>
      <c r="AJ5" s="181"/>
      <c r="AK5" s="181">
        <f t="shared" ca="1" si="1"/>
        <v>44958</v>
      </c>
      <c r="AL5" s="173">
        <f t="shared" ca="1" si="2"/>
        <v>78</v>
      </c>
      <c r="AM5" s="173" t="str">
        <f t="shared" si="3"/>
        <v/>
      </c>
      <c r="AN5" s="181"/>
      <c r="AO5" s="190" t="s">
        <v>3825</v>
      </c>
      <c r="AP5" s="176">
        <v>21.65</v>
      </c>
      <c r="AQ5" s="176">
        <v>21.709999999999997</v>
      </c>
      <c r="AR5" s="176">
        <v>21.734999999999999</v>
      </c>
      <c r="AS5" s="176">
        <v>21.74</v>
      </c>
      <c r="AT5" s="173" t="str">
        <f t="shared" si="4"/>
        <v/>
      </c>
      <c r="AU5" s="173">
        <v>460</v>
      </c>
      <c r="AW5" s="142" t="s">
        <v>123</v>
      </c>
    </row>
    <row r="6" spans="1:49" s="142" customFormat="1" ht="21" customHeight="1" x14ac:dyDescent="0.25">
      <c r="B6" s="173" t="str">
        <f t="shared" si="0"/>
        <v>0-316L/1D-3.94X777</v>
      </c>
      <c r="C6" s="173" t="s">
        <v>3818</v>
      </c>
      <c r="D6" s="173" t="s">
        <v>13</v>
      </c>
      <c r="E6" s="190" t="s">
        <v>3826</v>
      </c>
      <c r="F6" s="190" t="s">
        <v>3827</v>
      </c>
      <c r="G6" s="173" t="s">
        <v>135</v>
      </c>
      <c r="H6" s="173" t="s">
        <v>127</v>
      </c>
      <c r="I6" s="174">
        <v>3.94</v>
      </c>
      <c r="J6" s="174"/>
      <c r="K6" s="174"/>
      <c r="L6" s="174"/>
      <c r="M6" s="191">
        <v>777</v>
      </c>
      <c r="N6" s="176">
        <v>10.85</v>
      </c>
      <c r="O6" s="176">
        <v>10.85</v>
      </c>
      <c r="P6" s="176"/>
      <c r="Q6" s="178"/>
      <c r="R6" s="179"/>
      <c r="S6" s="179"/>
      <c r="T6" s="177">
        <v>44928</v>
      </c>
      <c r="U6" s="177"/>
      <c r="V6" s="177"/>
      <c r="W6" s="177"/>
      <c r="X6" s="177"/>
      <c r="Y6" s="177"/>
      <c r="Z6" s="177"/>
      <c r="AA6" s="177">
        <v>44910</v>
      </c>
      <c r="AB6" s="177"/>
      <c r="AC6" s="177"/>
      <c r="AD6" s="180" t="s">
        <v>2374</v>
      </c>
      <c r="AE6" s="173" t="s">
        <v>69</v>
      </c>
      <c r="AF6" s="181" t="s">
        <v>142</v>
      </c>
      <c r="AG6" s="192" t="s">
        <v>1887</v>
      </c>
      <c r="AH6" s="198"/>
      <c r="AI6" s="181">
        <v>44880</v>
      </c>
      <c r="AJ6" s="181"/>
      <c r="AK6" s="181">
        <f ca="1">TODAY()</f>
        <v>44958</v>
      </c>
      <c r="AL6" s="173">
        <f t="shared" ca="1" si="2"/>
        <v>78</v>
      </c>
      <c r="AM6" s="173" t="str">
        <f t="shared" si="3"/>
        <v/>
      </c>
      <c r="AN6" s="181"/>
      <c r="AO6" s="190" t="s">
        <v>3828</v>
      </c>
      <c r="AP6" s="176">
        <v>21.56</v>
      </c>
      <c r="AQ6" s="176">
        <v>21.619999999999997</v>
      </c>
      <c r="AR6" s="176">
        <v>21.645</v>
      </c>
      <c r="AS6" s="176">
        <v>21.65</v>
      </c>
      <c r="AT6" s="173" t="str">
        <f t="shared" si="4"/>
        <v/>
      </c>
      <c r="AU6" s="173">
        <v>460</v>
      </c>
      <c r="AW6" s="142" t="s">
        <v>123</v>
      </c>
    </row>
    <row r="7" spans="1:49" s="142" customFormat="1" ht="21" customHeight="1" x14ac:dyDescent="0.25">
      <c r="B7" s="173" t="str">
        <f t="shared" si="0"/>
        <v>0-316L/FH-1.50X777</v>
      </c>
      <c r="C7" s="173" t="s">
        <v>3822</v>
      </c>
      <c r="D7" s="173" t="s">
        <v>16</v>
      </c>
      <c r="E7" s="190" t="s">
        <v>3829</v>
      </c>
      <c r="F7" s="190" t="s">
        <v>3830</v>
      </c>
      <c r="G7" s="173" t="s">
        <v>135</v>
      </c>
      <c r="H7" s="173" t="s">
        <v>70</v>
      </c>
      <c r="I7" s="174">
        <v>3.73</v>
      </c>
      <c r="J7" s="174">
        <v>1.5</v>
      </c>
      <c r="K7" s="174"/>
      <c r="L7" s="174"/>
      <c r="M7" s="191">
        <v>777</v>
      </c>
      <c r="N7" s="176">
        <v>10.84</v>
      </c>
      <c r="O7" s="176">
        <v>10.835000000000001</v>
      </c>
      <c r="P7" s="176"/>
      <c r="Q7" s="178"/>
      <c r="R7" s="179"/>
      <c r="S7" s="179"/>
      <c r="T7" s="177">
        <v>44926</v>
      </c>
      <c r="U7" s="177"/>
      <c r="V7" s="177"/>
      <c r="W7" s="177"/>
      <c r="X7" s="177"/>
      <c r="Y7" s="177"/>
      <c r="Z7" s="177"/>
      <c r="AA7" s="177">
        <v>44910</v>
      </c>
      <c r="AB7" s="177"/>
      <c r="AC7" s="177"/>
      <c r="AD7" s="180" t="s">
        <v>2374</v>
      </c>
      <c r="AE7" s="173" t="s">
        <v>69</v>
      </c>
      <c r="AF7" s="181" t="s">
        <v>142</v>
      </c>
      <c r="AG7" s="192" t="s">
        <v>1887</v>
      </c>
      <c r="AH7" s="198"/>
      <c r="AI7" s="181">
        <v>44880</v>
      </c>
      <c r="AJ7" s="181"/>
      <c r="AK7" s="181">
        <f t="shared" ref="AK7:AK30" ca="1" si="5">TODAY()</f>
        <v>44958</v>
      </c>
      <c r="AL7" s="173">
        <f t="shared" ca="1" si="2"/>
        <v>78</v>
      </c>
      <c r="AM7" s="173" t="str">
        <f t="shared" si="3"/>
        <v/>
      </c>
      <c r="AN7" s="181"/>
      <c r="AO7" s="190" t="s">
        <v>3831</v>
      </c>
      <c r="AP7" s="176">
        <v>21.63</v>
      </c>
      <c r="AQ7" s="176">
        <v>21.689999999999998</v>
      </c>
      <c r="AR7" s="176">
        <v>21.715</v>
      </c>
      <c r="AS7" s="176">
        <v>21.72</v>
      </c>
      <c r="AT7" s="173" t="str">
        <f t="shared" si="4"/>
        <v/>
      </c>
      <c r="AU7" s="173">
        <v>460</v>
      </c>
      <c r="AW7" s="142" t="s">
        <v>123</v>
      </c>
    </row>
    <row r="8" spans="1:49" s="142" customFormat="1" ht="21" customHeight="1" x14ac:dyDescent="0.25">
      <c r="B8" s="173" t="str">
        <f t="shared" si="0"/>
        <v>0-316L/1D-3.92X776</v>
      </c>
      <c r="C8" s="173" t="s">
        <v>3818</v>
      </c>
      <c r="D8" s="173" t="s">
        <v>13</v>
      </c>
      <c r="E8" s="190" t="s">
        <v>3832</v>
      </c>
      <c r="F8" s="190" t="s">
        <v>3833</v>
      </c>
      <c r="G8" s="173" t="s">
        <v>135</v>
      </c>
      <c r="H8" s="173" t="s">
        <v>127</v>
      </c>
      <c r="I8" s="174">
        <v>3.92</v>
      </c>
      <c r="J8" s="174"/>
      <c r="K8" s="174"/>
      <c r="L8" s="174"/>
      <c r="M8" s="191">
        <v>776</v>
      </c>
      <c r="N8" s="176">
        <v>10.755000000000001</v>
      </c>
      <c r="O8" s="176">
        <v>10.755000000000001</v>
      </c>
      <c r="P8" s="176"/>
      <c r="Q8" s="178"/>
      <c r="R8" s="179"/>
      <c r="S8" s="179"/>
      <c r="T8" s="177">
        <v>44928</v>
      </c>
      <c r="U8" s="177"/>
      <c r="V8" s="177"/>
      <c r="W8" s="177"/>
      <c r="X8" s="177"/>
      <c r="Y8" s="177"/>
      <c r="Z8" s="177"/>
      <c r="AA8" s="177">
        <v>44910</v>
      </c>
      <c r="AB8" s="177"/>
      <c r="AC8" s="177"/>
      <c r="AD8" s="180" t="s">
        <v>2374</v>
      </c>
      <c r="AE8" s="173" t="s">
        <v>69</v>
      </c>
      <c r="AF8" s="181" t="s">
        <v>142</v>
      </c>
      <c r="AG8" s="192" t="s">
        <v>1887</v>
      </c>
      <c r="AH8" s="198"/>
      <c r="AI8" s="181">
        <v>44880</v>
      </c>
      <c r="AJ8" s="181"/>
      <c r="AK8" s="181">
        <f t="shared" ca="1" si="5"/>
        <v>44958</v>
      </c>
      <c r="AL8" s="173">
        <f t="shared" ca="1" si="2"/>
        <v>78</v>
      </c>
      <c r="AM8" s="173" t="str">
        <f t="shared" si="3"/>
        <v/>
      </c>
      <c r="AN8" s="181"/>
      <c r="AO8" s="190" t="s">
        <v>3834</v>
      </c>
      <c r="AP8" s="176">
        <v>21.524999999999999</v>
      </c>
      <c r="AQ8" s="176">
        <v>21.584999999999997</v>
      </c>
      <c r="AR8" s="176">
        <v>21.61</v>
      </c>
      <c r="AS8" s="176">
        <v>21.614999999999998</v>
      </c>
      <c r="AT8" s="173" t="str">
        <f t="shared" si="4"/>
        <v/>
      </c>
      <c r="AU8" s="173">
        <v>460</v>
      </c>
      <c r="AW8" s="142" t="s">
        <v>123</v>
      </c>
    </row>
    <row r="9" spans="1:49" s="142" customFormat="1" ht="21" customHeight="1" x14ac:dyDescent="0.25">
      <c r="B9" s="173" t="str">
        <f t="shared" si="0"/>
        <v>0-316L/FH-2.00X775</v>
      </c>
      <c r="C9" s="173" t="s">
        <v>3822</v>
      </c>
      <c r="D9" s="173" t="s">
        <v>16</v>
      </c>
      <c r="E9" s="190" t="s">
        <v>3835</v>
      </c>
      <c r="F9" s="190" t="s">
        <v>3836</v>
      </c>
      <c r="G9" s="173" t="s">
        <v>135</v>
      </c>
      <c r="H9" s="173" t="s">
        <v>70</v>
      </c>
      <c r="I9" s="174">
        <v>3.93</v>
      </c>
      <c r="J9" s="174">
        <v>2</v>
      </c>
      <c r="K9" s="174"/>
      <c r="L9" s="174"/>
      <c r="M9" s="191">
        <v>775</v>
      </c>
      <c r="N9" s="176">
        <v>10.654999999999999</v>
      </c>
      <c r="O9" s="176">
        <v>10.65</v>
      </c>
      <c r="P9" s="176"/>
      <c r="Q9" s="178"/>
      <c r="R9" s="179"/>
      <c r="S9" s="179"/>
      <c r="T9" s="177">
        <v>44926</v>
      </c>
      <c r="U9" s="177"/>
      <c r="V9" s="177"/>
      <c r="W9" s="177"/>
      <c r="X9" s="177"/>
      <c r="Y9" s="177"/>
      <c r="Z9" s="177"/>
      <c r="AA9" s="177">
        <v>44909</v>
      </c>
      <c r="AB9" s="177"/>
      <c r="AC9" s="177"/>
      <c r="AD9" s="180" t="s">
        <v>2374</v>
      </c>
      <c r="AE9" s="173" t="s">
        <v>69</v>
      </c>
      <c r="AF9" s="181" t="s">
        <v>142</v>
      </c>
      <c r="AG9" s="192" t="s">
        <v>1887</v>
      </c>
      <c r="AH9" s="198"/>
      <c r="AI9" s="181">
        <v>44880</v>
      </c>
      <c r="AJ9" s="181"/>
      <c r="AK9" s="181">
        <f t="shared" ca="1" si="5"/>
        <v>44958</v>
      </c>
      <c r="AL9" s="173">
        <f t="shared" ca="1" si="2"/>
        <v>78</v>
      </c>
      <c r="AM9" s="173" t="str">
        <f t="shared" si="3"/>
        <v/>
      </c>
      <c r="AN9" s="181"/>
      <c r="AO9" s="190" t="s">
        <v>3837</v>
      </c>
      <c r="AP9" s="176">
        <v>21.295000000000002</v>
      </c>
      <c r="AQ9" s="176">
        <v>21.355</v>
      </c>
      <c r="AR9" s="176">
        <v>21.380000000000003</v>
      </c>
      <c r="AS9" s="176">
        <v>21.385000000000002</v>
      </c>
      <c r="AT9" s="173" t="str">
        <f t="shared" si="4"/>
        <v/>
      </c>
      <c r="AU9" s="173">
        <v>460</v>
      </c>
      <c r="AW9" s="142" t="s">
        <v>123</v>
      </c>
    </row>
    <row r="10" spans="1:49" s="142" customFormat="1" ht="21" customHeight="1" x14ac:dyDescent="0.25">
      <c r="B10" s="173" t="str">
        <f t="shared" si="0"/>
        <v>0-316L/1D-3.92X777</v>
      </c>
      <c r="C10" s="173" t="s">
        <v>3818</v>
      </c>
      <c r="D10" s="173" t="s">
        <v>13</v>
      </c>
      <c r="E10" s="190" t="s">
        <v>3832</v>
      </c>
      <c r="F10" s="190" t="s">
        <v>3838</v>
      </c>
      <c r="G10" s="173" t="s">
        <v>135</v>
      </c>
      <c r="H10" s="173" t="s">
        <v>127</v>
      </c>
      <c r="I10" s="174">
        <v>3.92</v>
      </c>
      <c r="J10" s="174"/>
      <c r="K10" s="174"/>
      <c r="L10" s="174"/>
      <c r="M10" s="191">
        <v>777</v>
      </c>
      <c r="N10" s="176">
        <v>10.74</v>
      </c>
      <c r="O10" s="176">
        <v>10.74</v>
      </c>
      <c r="P10" s="176"/>
      <c r="Q10" s="178"/>
      <c r="R10" s="179"/>
      <c r="S10" s="179"/>
      <c r="T10" s="177">
        <v>44928</v>
      </c>
      <c r="U10" s="177"/>
      <c r="V10" s="177"/>
      <c r="W10" s="177"/>
      <c r="X10" s="177"/>
      <c r="Y10" s="177"/>
      <c r="Z10" s="177"/>
      <c r="AA10" s="177">
        <v>44910</v>
      </c>
      <c r="AB10" s="177"/>
      <c r="AC10" s="177"/>
      <c r="AD10" s="180" t="s">
        <v>2374</v>
      </c>
      <c r="AE10" s="173" t="s">
        <v>69</v>
      </c>
      <c r="AF10" s="181" t="s">
        <v>142</v>
      </c>
      <c r="AG10" s="192" t="s">
        <v>1887</v>
      </c>
      <c r="AH10" s="198"/>
      <c r="AI10" s="181">
        <v>44880</v>
      </c>
      <c r="AJ10" s="181"/>
      <c r="AK10" s="181">
        <f t="shared" ca="1" si="5"/>
        <v>44958</v>
      </c>
      <c r="AL10" s="173">
        <f t="shared" ca="1" si="2"/>
        <v>78</v>
      </c>
      <c r="AM10" s="173" t="str">
        <f t="shared" si="3"/>
        <v/>
      </c>
      <c r="AN10" s="181"/>
      <c r="AO10" s="190" t="s">
        <v>3834</v>
      </c>
      <c r="AP10" s="176">
        <v>21.524999999999999</v>
      </c>
      <c r="AQ10" s="176">
        <v>21.584999999999997</v>
      </c>
      <c r="AR10" s="176">
        <v>21.61</v>
      </c>
      <c r="AS10" s="176">
        <v>21.614999999999998</v>
      </c>
      <c r="AT10" s="173" t="str">
        <f t="shared" si="4"/>
        <v/>
      </c>
      <c r="AU10" s="173">
        <v>460</v>
      </c>
      <c r="AW10" s="142" t="s">
        <v>123</v>
      </c>
    </row>
    <row r="11" spans="1:49" s="142" customFormat="1" ht="21" customHeight="1" x14ac:dyDescent="0.25">
      <c r="B11" s="173" t="str">
        <f t="shared" si="0"/>
        <v>0-316L/FH-1.50X776</v>
      </c>
      <c r="C11" s="173" t="s">
        <v>3822</v>
      </c>
      <c r="D11" s="173" t="s">
        <v>16</v>
      </c>
      <c r="E11" s="190" t="s">
        <v>3832</v>
      </c>
      <c r="F11" s="190" t="s">
        <v>3833</v>
      </c>
      <c r="G11" s="173" t="s">
        <v>135</v>
      </c>
      <c r="H11" s="173" t="s">
        <v>70</v>
      </c>
      <c r="I11" s="174">
        <v>3.92</v>
      </c>
      <c r="J11" s="174">
        <v>1.5</v>
      </c>
      <c r="K11" s="174"/>
      <c r="L11" s="174"/>
      <c r="M11" s="191">
        <v>776</v>
      </c>
      <c r="N11" s="176">
        <v>10.755000000000001</v>
      </c>
      <c r="O11" s="176">
        <v>10.765000000000001</v>
      </c>
      <c r="P11" s="176"/>
      <c r="Q11" s="178"/>
      <c r="R11" s="179"/>
      <c r="S11" s="179"/>
      <c r="T11" s="177">
        <v>44928</v>
      </c>
      <c r="U11" s="177"/>
      <c r="V11" s="177"/>
      <c r="W11" s="177"/>
      <c r="X11" s="177"/>
      <c r="Y11" s="177"/>
      <c r="Z11" s="177"/>
      <c r="AA11" s="177">
        <v>44910</v>
      </c>
      <c r="AB11" s="177"/>
      <c r="AC11" s="177"/>
      <c r="AD11" s="180" t="s">
        <v>2374</v>
      </c>
      <c r="AE11" s="173" t="s">
        <v>69</v>
      </c>
      <c r="AF11" s="181" t="s">
        <v>142</v>
      </c>
      <c r="AG11" s="192" t="s">
        <v>1887</v>
      </c>
      <c r="AH11" s="198"/>
      <c r="AI11" s="181">
        <v>44880</v>
      </c>
      <c r="AJ11" s="181"/>
      <c r="AK11" s="181">
        <f t="shared" ca="1" si="5"/>
        <v>44958</v>
      </c>
      <c r="AL11" s="173">
        <f t="shared" ca="1" si="2"/>
        <v>78</v>
      </c>
      <c r="AM11" s="173" t="str">
        <f t="shared" si="3"/>
        <v/>
      </c>
      <c r="AN11" s="181"/>
      <c r="AO11" s="190" t="s">
        <v>3834</v>
      </c>
      <c r="AP11" s="176">
        <v>21.524999999999999</v>
      </c>
      <c r="AQ11" s="176">
        <v>21.584999999999997</v>
      </c>
      <c r="AR11" s="176">
        <v>21.61</v>
      </c>
      <c r="AS11" s="176">
        <v>21.614999999999998</v>
      </c>
      <c r="AT11" s="173" t="str">
        <f t="shared" si="4"/>
        <v/>
      </c>
      <c r="AU11" s="173">
        <v>460</v>
      </c>
      <c r="AW11" s="142" t="s">
        <v>123</v>
      </c>
    </row>
    <row r="12" spans="1:49" s="142" customFormat="1" ht="21" customHeight="1" x14ac:dyDescent="0.25">
      <c r="B12" s="173" t="str">
        <f t="shared" si="0"/>
        <v>0-316L/1D-3.92X777</v>
      </c>
      <c r="C12" s="173" t="s">
        <v>3818</v>
      </c>
      <c r="D12" s="173" t="s">
        <v>13</v>
      </c>
      <c r="E12" s="190" t="s">
        <v>3839</v>
      </c>
      <c r="F12" s="190" t="s">
        <v>3840</v>
      </c>
      <c r="G12" s="173" t="s">
        <v>135</v>
      </c>
      <c r="H12" s="173" t="s">
        <v>127</v>
      </c>
      <c r="I12" s="174">
        <v>3.92</v>
      </c>
      <c r="J12" s="174"/>
      <c r="K12" s="174"/>
      <c r="L12" s="174"/>
      <c r="M12" s="191">
        <v>777</v>
      </c>
      <c r="N12" s="176">
        <v>10.81</v>
      </c>
      <c r="O12" s="176">
        <v>10.81</v>
      </c>
      <c r="P12" s="176"/>
      <c r="Q12" s="178"/>
      <c r="R12" s="179"/>
      <c r="S12" s="179"/>
      <c r="T12" s="177">
        <v>44928</v>
      </c>
      <c r="U12" s="177"/>
      <c r="V12" s="177"/>
      <c r="W12" s="177"/>
      <c r="X12" s="177"/>
      <c r="Y12" s="177"/>
      <c r="Z12" s="177"/>
      <c r="AA12" s="177">
        <v>44911</v>
      </c>
      <c r="AB12" s="177"/>
      <c r="AC12" s="177"/>
      <c r="AD12" s="180" t="s">
        <v>2374</v>
      </c>
      <c r="AE12" s="173" t="s">
        <v>69</v>
      </c>
      <c r="AF12" s="181" t="s">
        <v>142</v>
      </c>
      <c r="AG12" s="192" t="s">
        <v>1887</v>
      </c>
      <c r="AH12" s="198"/>
      <c r="AI12" s="181">
        <v>44880</v>
      </c>
      <c r="AJ12" s="181"/>
      <c r="AK12" s="181">
        <f t="shared" ca="1" si="5"/>
        <v>44958</v>
      </c>
      <c r="AL12" s="173">
        <f t="shared" ca="1" si="2"/>
        <v>78</v>
      </c>
      <c r="AM12" s="173" t="str">
        <f t="shared" si="3"/>
        <v/>
      </c>
      <c r="AN12" s="181"/>
      <c r="AO12" s="190" t="s">
        <v>3841</v>
      </c>
      <c r="AP12" s="176">
        <v>21.62</v>
      </c>
      <c r="AQ12" s="176">
        <v>21.68</v>
      </c>
      <c r="AR12" s="176">
        <v>21.705000000000002</v>
      </c>
      <c r="AS12" s="176">
        <v>21.71</v>
      </c>
      <c r="AT12" s="173" t="str">
        <f t="shared" si="4"/>
        <v/>
      </c>
      <c r="AU12" s="173">
        <v>460</v>
      </c>
      <c r="AW12" s="142" t="s">
        <v>123</v>
      </c>
    </row>
    <row r="13" spans="1:49" s="142" customFormat="1" ht="21" customHeight="1" x14ac:dyDescent="0.25">
      <c r="B13" s="173" t="str">
        <f t="shared" si="0"/>
        <v>0-316L/FH-2.00X777</v>
      </c>
      <c r="C13" s="173" t="s">
        <v>3822</v>
      </c>
      <c r="D13" s="173" t="s">
        <v>16</v>
      </c>
      <c r="E13" s="190" t="s">
        <v>3832</v>
      </c>
      <c r="F13" s="190" t="s">
        <v>3838</v>
      </c>
      <c r="G13" s="173" t="s">
        <v>135</v>
      </c>
      <c r="H13" s="173" t="s">
        <v>70</v>
      </c>
      <c r="I13" s="174">
        <v>3.92</v>
      </c>
      <c r="J13" s="174">
        <v>2</v>
      </c>
      <c r="K13" s="174"/>
      <c r="L13" s="174"/>
      <c r="M13" s="191">
        <v>777</v>
      </c>
      <c r="N13" s="176">
        <v>10.74</v>
      </c>
      <c r="O13" s="176">
        <v>10.765000000000001</v>
      </c>
      <c r="P13" s="176"/>
      <c r="Q13" s="178"/>
      <c r="R13" s="179"/>
      <c r="S13" s="179"/>
      <c r="T13" s="177">
        <v>44928</v>
      </c>
      <c r="U13" s="177"/>
      <c r="V13" s="177"/>
      <c r="W13" s="177"/>
      <c r="X13" s="177"/>
      <c r="Y13" s="177"/>
      <c r="Z13" s="177"/>
      <c r="AA13" s="177">
        <v>44910</v>
      </c>
      <c r="AB13" s="177"/>
      <c r="AC13" s="177"/>
      <c r="AD13" s="180" t="s">
        <v>2374</v>
      </c>
      <c r="AE13" s="173" t="s">
        <v>69</v>
      </c>
      <c r="AF13" s="181" t="s">
        <v>142</v>
      </c>
      <c r="AG13" s="192" t="s">
        <v>1887</v>
      </c>
      <c r="AH13" s="198"/>
      <c r="AI13" s="181">
        <v>44880</v>
      </c>
      <c r="AJ13" s="181"/>
      <c r="AK13" s="181">
        <f t="shared" ca="1" si="5"/>
        <v>44958</v>
      </c>
      <c r="AL13" s="173">
        <f t="shared" ca="1" si="2"/>
        <v>78</v>
      </c>
      <c r="AM13" s="173" t="str">
        <f t="shared" si="3"/>
        <v/>
      </c>
      <c r="AN13" s="181"/>
      <c r="AO13" s="190" t="s">
        <v>3834</v>
      </c>
      <c r="AP13" s="176">
        <v>21.524999999999999</v>
      </c>
      <c r="AQ13" s="176">
        <v>21.584999999999997</v>
      </c>
      <c r="AR13" s="176">
        <v>21.61</v>
      </c>
      <c r="AS13" s="176">
        <v>21.614999999999998</v>
      </c>
      <c r="AT13" s="173" t="str">
        <f t="shared" si="4"/>
        <v/>
      </c>
      <c r="AU13" s="173">
        <v>460</v>
      </c>
      <c r="AW13" s="142" t="s">
        <v>123</v>
      </c>
    </row>
    <row r="14" spans="1:49" s="142" customFormat="1" ht="21" customHeight="1" x14ac:dyDescent="0.25">
      <c r="B14" s="173" t="str">
        <f t="shared" si="0"/>
        <v>0-316L/1D-3.92X777</v>
      </c>
      <c r="C14" s="173" t="s">
        <v>3818</v>
      </c>
      <c r="D14" s="173" t="s">
        <v>13</v>
      </c>
      <c r="E14" s="190" t="s">
        <v>3842</v>
      </c>
      <c r="F14" s="190" t="s">
        <v>3843</v>
      </c>
      <c r="G14" s="173" t="s">
        <v>135</v>
      </c>
      <c r="H14" s="173" t="s">
        <v>127</v>
      </c>
      <c r="I14" s="174">
        <v>3.92</v>
      </c>
      <c r="J14" s="174"/>
      <c r="K14" s="174"/>
      <c r="L14" s="174"/>
      <c r="M14" s="191">
        <v>777</v>
      </c>
      <c r="N14" s="176">
        <v>10.805</v>
      </c>
      <c r="O14" s="176">
        <v>10.805</v>
      </c>
      <c r="P14" s="176"/>
      <c r="Q14" s="178"/>
      <c r="R14" s="179"/>
      <c r="S14" s="179"/>
      <c r="T14" s="177">
        <v>44928</v>
      </c>
      <c r="U14" s="177"/>
      <c r="V14" s="177"/>
      <c r="W14" s="177"/>
      <c r="X14" s="177"/>
      <c r="Y14" s="177"/>
      <c r="Z14" s="177"/>
      <c r="AA14" s="177">
        <v>44911</v>
      </c>
      <c r="AB14" s="177"/>
      <c r="AC14" s="177"/>
      <c r="AD14" s="180" t="s">
        <v>2374</v>
      </c>
      <c r="AE14" s="173" t="s">
        <v>69</v>
      </c>
      <c r="AF14" s="181" t="s">
        <v>142</v>
      </c>
      <c r="AG14" s="192" t="s">
        <v>1887</v>
      </c>
      <c r="AH14" s="198"/>
      <c r="AI14" s="181">
        <v>44880</v>
      </c>
      <c r="AJ14" s="181"/>
      <c r="AK14" s="181">
        <f t="shared" ca="1" si="5"/>
        <v>44958</v>
      </c>
      <c r="AL14" s="173">
        <f t="shared" ca="1" si="2"/>
        <v>78</v>
      </c>
      <c r="AM14" s="173" t="str">
        <f t="shared" si="3"/>
        <v/>
      </c>
      <c r="AN14" s="181"/>
      <c r="AO14" s="190" t="s">
        <v>3844</v>
      </c>
      <c r="AP14" s="176">
        <v>21.51</v>
      </c>
      <c r="AQ14" s="176">
        <v>21.57</v>
      </c>
      <c r="AR14" s="176">
        <v>21.595000000000002</v>
      </c>
      <c r="AS14" s="176">
        <v>21.6</v>
      </c>
      <c r="AT14" s="173" t="str">
        <f t="shared" si="4"/>
        <v/>
      </c>
      <c r="AU14" s="173">
        <v>460</v>
      </c>
      <c r="AW14" s="142" t="s">
        <v>123</v>
      </c>
    </row>
    <row r="15" spans="1:49" s="142" customFormat="1" ht="21" customHeight="1" x14ac:dyDescent="0.25">
      <c r="B15" s="173" t="str">
        <f t="shared" si="0"/>
        <v>0-316L/FH-2.00X777</v>
      </c>
      <c r="C15" s="173" t="s">
        <v>3822</v>
      </c>
      <c r="D15" s="173" t="s">
        <v>16</v>
      </c>
      <c r="E15" s="190" t="s">
        <v>3839</v>
      </c>
      <c r="F15" s="190" t="s">
        <v>3845</v>
      </c>
      <c r="G15" s="173" t="s">
        <v>135</v>
      </c>
      <c r="H15" s="173" t="s">
        <v>70</v>
      </c>
      <c r="I15" s="174">
        <v>3.92</v>
      </c>
      <c r="J15" s="174">
        <v>2</v>
      </c>
      <c r="K15" s="174"/>
      <c r="L15" s="174"/>
      <c r="M15" s="191">
        <v>777</v>
      </c>
      <c r="N15" s="176">
        <v>10.805</v>
      </c>
      <c r="O15" s="176">
        <v>10.835000000000001</v>
      </c>
      <c r="P15" s="176"/>
      <c r="Q15" s="178"/>
      <c r="R15" s="179"/>
      <c r="S15" s="179"/>
      <c r="T15" s="177">
        <v>44926</v>
      </c>
      <c r="U15" s="177"/>
      <c r="V15" s="177"/>
      <c r="W15" s="177"/>
      <c r="X15" s="177"/>
      <c r="Y15" s="177"/>
      <c r="Z15" s="177"/>
      <c r="AA15" s="177">
        <v>44911</v>
      </c>
      <c r="AB15" s="177"/>
      <c r="AC15" s="177"/>
      <c r="AD15" s="180" t="s">
        <v>2374</v>
      </c>
      <c r="AE15" s="173" t="s">
        <v>69</v>
      </c>
      <c r="AF15" s="181" t="s">
        <v>142</v>
      </c>
      <c r="AG15" s="192" t="s">
        <v>1887</v>
      </c>
      <c r="AH15" s="198"/>
      <c r="AI15" s="181">
        <v>44880</v>
      </c>
      <c r="AJ15" s="181"/>
      <c r="AK15" s="181">
        <f t="shared" ca="1" si="5"/>
        <v>44958</v>
      </c>
      <c r="AL15" s="173">
        <f t="shared" ca="1" si="2"/>
        <v>78</v>
      </c>
      <c r="AM15" s="173" t="str">
        <f t="shared" si="3"/>
        <v/>
      </c>
      <c r="AN15" s="181"/>
      <c r="AO15" s="190" t="s">
        <v>3841</v>
      </c>
      <c r="AP15" s="176">
        <v>21.62</v>
      </c>
      <c r="AQ15" s="176">
        <v>21.68</v>
      </c>
      <c r="AR15" s="176">
        <v>21.705000000000002</v>
      </c>
      <c r="AS15" s="176">
        <v>21.71</v>
      </c>
      <c r="AT15" s="173" t="str">
        <f t="shared" si="4"/>
        <v/>
      </c>
      <c r="AU15" s="173">
        <v>460</v>
      </c>
      <c r="AW15" s="142" t="s">
        <v>123</v>
      </c>
    </row>
    <row r="16" spans="1:49" s="142" customFormat="1" ht="21" customHeight="1" x14ac:dyDescent="0.25">
      <c r="B16" s="173" t="str">
        <f t="shared" si="0"/>
        <v>0-316L/1D-3.94X777</v>
      </c>
      <c r="C16" s="173" t="s">
        <v>3818</v>
      </c>
      <c r="D16" s="173" t="s">
        <v>13</v>
      </c>
      <c r="E16" s="190" t="s">
        <v>3846</v>
      </c>
      <c r="F16" s="190" t="s">
        <v>3847</v>
      </c>
      <c r="G16" s="173" t="s">
        <v>135</v>
      </c>
      <c r="H16" s="173" t="s">
        <v>127</v>
      </c>
      <c r="I16" s="174">
        <v>3.94</v>
      </c>
      <c r="J16" s="174"/>
      <c r="K16" s="174"/>
      <c r="L16" s="174"/>
      <c r="M16" s="191">
        <v>777</v>
      </c>
      <c r="N16" s="176">
        <v>10.824999999999999</v>
      </c>
      <c r="O16" s="176">
        <v>10.824999999999999</v>
      </c>
      <c r="P16" s="176"/>
      <c r="Q16" s="178"/>
      <c r="R16" s="179"/>
      <c r="S16" s="179"/>
      <c r="T16" s="177">
        <v>44928</v>
      </c>
      <c r="U16" s="177"/>
      <c r="V16" s="177"/>
      <c r="W16" s="177"/>
      <c r="X16" s="177"/>
      <c r="Y16" s="177"/>
      <c r="Z16" s="177">
        <v>44911</v>
      </c>
      <c r="AA16" s="177">
        <v>44911</v>
      </c>
      <c r="AB16" s="177"/>
      <c r="AC16" s="177"/>
      <c r="AD16" s="180" t="s">
        <v>2374</v>
      </c>
      <c r="AE16" s="173" t="s">
        <v>69</v>
      </c>
      <c r="AF16" s="181" t="s">
        <v>142</v>
      </c>
      <c r="AG16" s="192" t="s">
        <v>1887</v>
      </c>
      <c r="AH16" s="198"/>
      <c r="AI16" s="181">
        <v>44880</v>
      </c>
      <c r="AJ16" s="181"/>
      <c r="AK16" s="181">
        <f t="shared" ca="1" si="5"/>
        <v>44958</v>
      </c>
      <c r="AL16" s="173">
        <f t="shared" ca="1" si="2"/>
        <v>78</v>
      </c>
      <c r="AM16" s="173" t="str">
        <f t="shared" si="3"/>
        <v/>
      </c>
      <c r="AN16" s="181"/>
      <c r="AO16" s="190" t="s">
        <v>3848</v>
      </c>
      <c r="AP16" s="176">
        <v>21.585000000000001</v>
      </c>
      <c r="AQ16" s="176">
        <v>21.645</v>
      </c>
      <c r="AR16" s="176">
        <v>21.67</v>
      </c>
      <c r="AS16" s="176">
        <v>21.675000000000001</v>
      </c>
      <c r="AT16" s="173" t="str">
        <f t="shared" si="4"/>
        <v/>
      </c>
      <c r="AU16" s="173">
        <v>460</v>
      </c>
      <c r="AW16" s="142" t="s">
        <v>123</v>
      </c>
    </row>
    <row r="17" spans="2:49" s="142" customFormat="1" ht="21" customHeight="1" x14ac:dyDescent="0.25">
      <c r="B17" s="173" t="str">
        <f t="shared" si="0"/>
        <v>0-316L/FH-2.00X776</v>
      </c>
      <c r="C17" s="173" t="s">
        <v>3822</v>
      </c>
      <c r="D17" s="173" t="s">
        <v>16</v>
      </c>
      <c r="E17" s="190" t="s">
        <v>3819</v>
      </c>
      <c r="F17" s="190" t="s">
        <v>3820</v>
      </c>
      <c r="G17" s="173" t="s">
        <v>135</v>
      </c>
      <c r="H17" s="173" t="s">
        <v>70</v>
      </c>
      <c r="I17" s="174">
        <v>3.93</v>
      </c>
      <c r="J17" s="174">
        <v>2</v>
      </c>
      <c r="K17" s="174"/>
      <c r="L17" s="174"/>
      <c r="M17" s="191">
        <v>776</v>
      </c>
      <c r="N17" s="176">
        <v>10.845000000000001</v>
      </c>
      <c r="O17" s="176">
        <v>10.824999999999999</v>
      </c>
      <c r="P17" s="176"/>
      <c r="Q17" s="178"/>
      <c r="R17" s="179"/>
      <c r="S17" s="179"/>
      <c r="T17" s="177">
        <v>44928</v>
      </c>
      <c r="U17" s="177"/>
      <c r="V17" s="177"/>
      <c r="W17" s="177"/>
      <c r="X17" s="177"/>
      <c r="Y17" s="177"/>
      <c r="Z17" s="177"/>
      <c r="AA17" s="177">
        <v>44911</v>
      </c>
      <c r="AB17" s="177"/>
      <c r="AC17" s="177"/>
      <c r="AD17" s="180" t="s">
        <v>2374</v>
      </c>
      <c r="AE17" s="173" t="s">
        <v>69</v>
      </c>
      <c r="AF17" s="181" t="s">
        <v>142</v>
      </c>
      <c r="AG17" s="192" t="s">
        <v>1887</v>
      </c>
      <c r="AH17" s="198"/>
      <c r="AI17" s="181">
        <v>44880</v>
      </c>
      <c r="AJ17" s="181"/>
      <c r="AK17" s="181">
        <f t="shared" ca="1" si="5"/>
        <v>44958</v>
      </c>
      <c r="AL17" s="173">
        <f t="shared" ca="1" si="2"/>
        <v>78</v>
      </c>
      <c r="AM17" s="173" t="str">
        <f t="shared" si="3"/>
        <v/>
      </c>
      <c r="AN17" s="181"/>
      <c r="AO17" s="190" t="s">
        <v>3821</v>
      </c>
      <c r="AP17" s="176">
        <v>21.65</v>
      </c>
      <c r="AQ17" s="176">
        <v>21.709999999999997</v>
      </c>
      <c r="AR17" s="176">
        <v>21.734999999999999</v>
      </c>
      <c r="AS17" s="176">
        <v>21.74</v>
      </c>
      <c r="AT17" s="173" t="str">
        <f t="shared" si="4"/>
        <v/>
      </c>
      <c r="AU17" s="173">
        <v>460</v>
      </c>
      <c r="AW17" s="142" t="s">
        <v>123</v>
      </c>
    </row>
    <row r="18" spans="2:49" s="142" customFormat="1" ht="21" customHeight="1" x14ac:dyDescent="0.25">
      <c r="B18" s="173" t="str">
        <f t="shared" si="0"/>
        <v>0-316L/1D-3.92X778</v>
      </c>
      <c r="C18" s="173" t="s">
        <v>3818</v>
      </c>
      <c r="D18" s="173" t="s">
        <v>13</v>
      </c>
      <c r="E18" s="190" t="s">
        <v>3842</v>
      </c>
      <c r="F18" s="190" t="s">
        <v>3849</v>
      </c>
      <c r="G18" s="173" t="s">
        <v>135</v>
      </c>
      <c r="H18" s="173" t="s">
        <v>127</v>
      </c>
      <c r="I18" s="174">
        <v>3.92</v>
      </c>
      <c r="J18" s="174"/>
      <c r="K18" s="174"/>
      <c r="L18" s="174"/>
      <c r="M18" s="191">
        <v>778</v>
      </c>
      <c r="N18" s="176">
        <v>10.785</v>
      </c>
      <c r="O18" s="176">
        <v>10.785</v>
      </c>
      <c r="P18" s="176"/>
      <c r="Q18" s="178"/>
      <c r="R18" s="179"/>
      <c r="S18" s="179"/>
      <c r="T18" s="177">
        <v>44928</v>
      </c>
      <c r="U18" s="177"/>
      <c r="V18" s="177"/>
      <c r="W18" s="177"/>
      <c r="X18" s="177"/>
      <c r="Y18" s="177"/>
      <c r="Z18" s="177"/>
      <c r="AA18" s="177">
        <v>44911</v>
      </c>
      <c r="AB18" s="177"/>
      <c r="AC18" s="177"/>
      <c r="AD18" s="180" t="s">
        <v>2374</v>
      </c>
      <c r="AE18" s="173" t="s">
        <v>69</v>
      </c>
      <c r="AF18" s="181" t="s">
        <v>142</v>
      </c>
      <c r="AG18" s="192" t="s">
        <v>1887</v>
      </c>
      <c r="AH18" s="198"/>
      <c r="AI18" s="181">
        <v>44880</v>
      </c>
      <c r="AJ18" s="181"/>
      <c r="AK18" s="181">
        <f t="shared" ca="1" si="5"/>
        <v>44958</v>
      </c>
      <c r="AL18" s="173">
        <f t="shared" ca="1" si="2"/>
        <v>78</v>
      </c>
      <c r="AM18" s="173" t="str">
        <f t="shared" si="3"/>
        <v/>
      </c>
      <c r="AN18" s="181"/>
      <c r="AO18" s="190" t="s">
        <v>3844</v>
      </c>
      <c r="AP18" s="176">
        <v>21.51</v>
      </c>
      <c r="AQ18" s="176">
        <v>21.57</v>
      </c>
      <c r="AR18" s="176">
        <v>21.595000000000002</v>
      </c>
      <c r="AS18" s="176">
        <v>21.6</v>
      </c>
      <c r="AT18" s="173" t="str">
        <f t="shared" si="4"/>
        <v/>
      </c>
      <c r="AU18" s="173">
        <v>460</v>
      </c>
      <c r="AW18" s="142" t="s">
        <v>123</v>
      </c>
    </row>
    <row r="19" spans="2:49" s="142" customFormat="1" ht="21" customHeight="1" x14ac:dyDescent="0.25">
      <c r="B19" s="173" t="str">
        <f t="shared" si="0"/>
        <v>0-316L/FH-1.50X777</v>
      </c>
      <c r="C19" s="173" t="s">
        <v>3822</v>
      </c>
      <c r="D19" s="173" t="s">
        <v>16</v>
      </c>
      <c r="E19" s="190" t="s">
        <v>3839</v>
      </c>
      <c r="F19" s="190" t="s">
        <v>3840</v>
      </c>
      <c r="G19" s="173" t="s">
        <v>135</v>
      </c>
      <c r="H19" s="173" t="s">
        <v>70</v>
      </c>
      <c r="I19" s="174">
        <v>3.92</v>
      </c>
      <c r="J19" s="174">
        <v>1.5</v>
      </c>
      <c r="K19" s="174"/>
      <c r="L19" s="174"/>
      <c r="M19" s="191">
        <v>777</v>
      </c>
      <c r="N19" s="176">
        <v>10.81</v>
      </c>
      <c r="O19" s="176">
        <v>10.85</v>
      </c>
      <c r="P19" s="176"/>
      <c r="Q19" s="178"/>
      <c r="R19" s="179"/>
      <c r="S19" s="179"/>
      <c r="T19" s="177">
        <v>44928</v>
      </c>
      <c r="U19" s="177"/>
      <c r="V19" s="177"/>
      <c r="W19" s="177"/>
      <c r="X19" s="177"/>
      <c r="Y19" s="177"/>
      <c r="Z19" s="177"/>
      <c r="AA19" s="177">
        <v>44911</v>
      </c>
      <c r="AB19" s="177"/>
      <c r="AC19" s="177"/>
      <c r="AD19" s="180" t="s">
        <v>2374</v>
      </c>
      <c r="AE19" s="173" t="s">
        <v>69</v>
      </c>
      <c r="AF19" s="181" t="s">
        <v>142</v>
      </c>
      <c r="AG19" s="192" t="s">
        <v>1887</v>
      </c>
      <c r="AH19" s="198"/>
      <c r="AI19" s="181">
        <v>44880</v>
      </c>
      <c r="AJ19" s="181"/>
      <c r="AK19" s="181">
        <f t="shared" ca="1" si="5"/>
        <v>44958</v>
      </c>
      <c r="AL19" s="173">
        <f t="shared" ca="1" si="2"/>
        <v>78</v>
      </c>
      <c r="AM19" s="173" t="str">
        <f t="shared" si="3"/>
        <v/>
      </c>
      <c r="AN19" s="181"/>
      <c r="AO19" s="190" t="s">
        <v>3841</v>
      </c>
      <c r="AP19" s="176">
        <v>21.62</v>
      </c>
      <c r="AQ19" s="176">
        <v>21.68</v>
      </c>
      <c r="AR19" s="176">
        <v>21.705000000000002</v>
      </c>
      <c r="AS19" s="176">
        <v>21.71</v>
      </c>
      <c r="AT19" s="173" t="str">
        <f t="shared" si="4"/>
        <v/>
      </c>
      <c r="AU19" s="173">
        <v>460</v>
      </c>
      <c r="AW19" s="142" t="s">
        <v>123</v>
      </c>
    </row>
    <row r="20" spans="2:49" s="142" customFormat="1" ht="21" customHeight="1" x14ac:dyDescent="0.25">
      <c r="B20" s="173" t="str">
        <f t="shared" si="0"/>
        <v>0-316L/1D-3.94X776</v>
      </c>
      <c r="C20" s="173" t="s">
        <v>3818</v>
      </c>
      <c r="D20" s="173" t="s">
        <v>13</v>
      </c>
      <c r="E20" s="190" t="s">
        <v>3846</v>
      </c>
      <c r="F20" s="190" t="s">
        <v>3850</v>
      </c>
      <c r="G20" s="173" t="s">
        <v>135</v>
      </c>
      <c r="H20" s="173" t="s">
        <v>127</v>
      </c>
      <c r="I20" s="174">
        <v>3.94</v>
      </c>
      <c r="J20" s="174"/>
      <c r="K20" s="174"/>
      <c r="L20" s="174"/>
      <c r="M20" s="191">
        <v>776</v>
      </c>
      <c r="N20" s="176">
        <v>10.845000000000001</v>
      </c>
      <c r="O20" s="176">
        <v>10.845000000000001</v>
      </c>
      <c r="P20" s="176"/>
      <c r="Q20" s="178"/>
      <c r="R20" s="179"/>
      <c r="S20" s="179"/>
      <c r="T20" s="177">
        <v>44928</v>
      </c>
      <c r="U20" s="177"/>
      <c r="V20" s="177"/>
      <c r="W20" s="177"/>
      <c r="X20" s="177"/>
      <c r="Y20" s="177"/>
      <c r="Z20" s="177"/>
      <c r="AA20" s="177">
        <v>44911</v>
      </c>
      <c r="AB20" s="177"/>
      <c r="AC20" s="177"/>
      <c r="AD20" s="180" t="s">
        <v>2374</v>
      </c>
      <c r="AE20" s="173" t="s">
        <v>69</v>
      </c>
      <c r="AF20" s="181" t="s">
        <v>142</v>
      </c>
      <c r="AG20" s="192" t="s">
        <v>1887</v>
      </c>
      <c r="AH20" s="198"/>
      <c r="AI20" s="181">
        <v>44880</v>
      </c>
      <c r="AJ20" s="181"/>
      <c r="AK20" s="181">
        <f t="shared" ca="1" si="5"/>
        <v>44958</v>
      </c>
      <c r="AL20" s="173">
        <f t="shared" ca="1" si="2"/>
        <v>78</v>
      </c>
      <c r="AM20" s="173" t="str">
        <f t="shared" si="3"/>
        <v/>
      </c>
      <c r="AN20" s="181"/>
      <c r="AO20" s="190" t="s">
        <v>3848</v>
      </c>
      <c r="AP20" s="176">
        <v>21.585000000000001</v>
      </c>
      <c r="AQ20" s="176">
        <v>21.645</v>
      </c>
      <c r="AR20" s="176">
        <v>21.67</v>
      </c>
      <c r="AS20" s="176">
        <v>21.675000000000001</v>
      </c>
      <c r="AT20" s="173" t="str">
        <f t="shared" si="4"/>
        <v/>
      </c>
      <c r="AU20" s="173">
        <v>460</v>
      </c>
      <c r="AW20" s="142" t="s">
        <v>123</v>
      </c>
    </row>
    <row r="21" spans="2:49" s="142" customFormat="1" ht="21" customHeight="1" x14ac:dyDescent="0.25">
      <c r="B21" s="173" t="str">
        <f t="shared" si="0"/>
        <v>0-316L/FH-1.50X778</v>
      </c>
      <c r="C21" s="173" t="s">
        <v>3822</v>
      </c>
      <c r="D21" s="173" t="s">
        <v>16</v>
      </c>
      <c r="E21" s="190" t="s">
        <v>3842</v>
      </c>
      <c r="F21" s="190" t="s">
        <v>3849</v>
      </c>
      <c r="G21" s="173" t="s">
        <v>135</v>
      </c>
      <c r="H21" s="173" t="s">
        <v>70</v>
      </c>
      <c r="I21" s="174">
        <v>3.92</v>
      </c>
      <c r="J21" s="174">
        <v>1.5</v>
      </c>
      <c r="K21" s="174"/>
      <c r="L21" s="174"/>
      <c r="M21" s="191">
        <v>778</v>
      </c>
      <c r="N21" s="176">
        <v>10.785</v>
      </c>
      <c r="O21" s="176">
        <v>10.744999999999999</v>
      </c>
      <c r="P21" s="176"/>
      <c r="Q21" s="178"/>
      <c r="R21" s="179"/>
      <c r="S21" s="179"/>
      <c r="T21" s="177">
        <v>44928</v>
      </c>
      <c r="U21" s="177"/>
      <c r="V21" s="177"/>
      <c r="W21" s="177"/>
      <c r="X21" s="177"/>
      <c r="Y21" s="177"/>
      <c r="Z21" s="177"/>
      <c r="AA21" s="177">
        <v>44911</v>
      </c>
      <c r="AB21" s="177"/>
      <c r="AC21" s="177"/>
      <c r="AD21" s="180" t="s">
        <v>2374</v>
      </c>
      <c r="AE21" s="173" t="s">
        <v>69</v>
      </c>
      <c r="AF21" s="181" t="s">
        <v>142</v>
      </c>
      <c r="AG21" s="192" t="s">
        <v>1887</v>
      </c>
      <c r="AH21" s="198"/>
      <c r="AI21" s="181">
        <v>44880</v>
      </c>
      <c r="AJ21" s="181"/>
      <c r="AK21" s="181">
        <f t="shared" ca="1" si="5"/>
        <v>44958</v>
      </c>
      <c r="AL21" s="173">
        <f t="shared" ca="1" si="2"/>
        <v>78</v>
      </c>
      <c r="AM21" s="173" t="str">
        <f t="shared" si="3"/>
        <v/>
      </c>
      <c r="AN21" s="181"/>
      <c r="AO21" s="190" t="s">
        <v>3844</v>
      </c>
      <c r="AP21" s="176">
        <v>21.51</v>
      </c>
      <c r="AQ21" s="176">
        <v>21.57</v>
      </c>
      <c r="AR21" s="176">
        <v>21.595000000000002</v>
      </c>
      <c r="AS21" s="176">
        <v>21.6</v>
      </c>
      <c r="AT21" s="173" t="str">
        <f t="shared" si="4"/>
        <v/>
      </c>
      <c r="AU21" s="173">
        <v>460</v>
      </c>
      <c r="AW21" s="142" t="s">
        <v>123</v>
      </c>
    </row>
    <row r="22" spans="2:49" s="142" customFormat="1" ht="21" customHeight="1" x14ac:dyDescent="0.25">
      <c r="B22" s="173" t="str">
        <f t="shared" si="0"/>
        <v>0-316L/1D-3.92X777</v>
      </c>
      <c r="C22" s="173" t="s">
        <v>3818</v>
      </c>
      <c r="D22" s="173" t="s">
        <v>13</v>
      </c>
      <c r="E22" s="190" t="s">
        <v>3851</v>
      </c>
      <c r="F22" s="190" t="s">
        <v>3852</v>
      </c>
      <c r="G22" s="173" t="s">
        <v>135</v>
      </c>
      <c r="H22" s="173" t="s">
        <v>127</v>
      </c>
      <c r="I22" s="174">
        <v>3.92</v>
      </c>
      <c r="J22" s="174"/>
      <c r="K22" s="174"/>
      <c r="L22" s="174"/>
      <c r="M22" s="191">
        <v>777</v>
      </c>
      <c r="N22" s="176">
        <v>10.855</v>
      </c>
      <c r="O22" s="176">
        <v>10.855</v>
      </c>
      <c r="P22" s="176"/>
      <c r="Q22" s="178"/>
      <c r="R22" s="179"/>
      <c r="S22" s="179"/>
      <c r="T22" s="177">
        <v>44928</v>
      </c>
      <c r="U22" s="177"/>
      <c r="V22" s="177"/>
      <c r="W22" s="177"/>
      <c r="X22" s="177"/>
      <c r="Y22" s="177"/>
      <c r="Z22" s="177"/>
      <c r="AA22" s="177">
        <v>44909</v>
      </c>
      <c r="AB22" s="177"/>
      <c r="AC22" s="177"/>
      <c r="AD22" s="180" t="s">
        <v>2374</v>
      </c>
      <c r="AE22" s="173" t="s">
        <v>69</v>
      </c>
      <c r="AF22" s="181" t="s">
        <v>142</v>
      </c>
      <c r="AG22" s="192" t="s">
        <v>1887</v>
      </c>
      <c r="AH22" s="198"/>
      <c r="AI22" s="181">
        <v>44880</v>
      </c>
      <c r="AJ22" s="181"/>
      <c r="AK22" s="181">
        <f t="shared" ca="1" si="5"/>
        <v>44958</v>
      </c>
      <c r="AL22" s="173">
        <f t="shared" ca="1" si="2"/>
        <v>78</v>
      </c>
      <c r="AM22" s="173" t="str">
        <f t="shared" si="3"/>
        <v/>
      </c>
      <c r="AN22" s="181"/>
      <c r="AO22" s="190" t="s">
        <v>3853</v>
      </c>
      <c r="AP22" s="176">
        <v>21.605</v>
      </c>
      <c r="AQ22" s="176">
        <v>21.664999999999999</v>
      </c>
      <c r="AR22" s="176">
        <v>21.69</v>
      </c>
      <c r="AS22" s="176">
        <v>21.695</v>
      </c>
      <c r="AT22" s="173" t="str">
        <f t="shared" si="4"/>
        <v/>
      </c>
      <c r="AU22" s="173">
        <v>460</v>
      </c>
      <c r="AW22" s="142" t="s">
        <v>123</v>
      </c>
    </row>
    <row r="23" spans="2:49" s="142" customFormat="1" ht="21" customHeight="1" x14ac:dyDescent="0.25">
      <c r="B23" s="173" t="str">
        <f t="shared" si="0"/>
        <v>0-316L/FH-2.00X777</v>
      </c>
      <c r="C23" s="173" t="s">
        <v>3854</v>
      </c>
      <c r="D23" s="173" t="s">
        <v>16</v>
      </c>
      <c r="E23" s="190" t="s">
        <v>3846</v>
      </c>
      <c r="F23" s="190" t="s">
        <v>3847</v>
      </c>
      <c r="G23" s="173" t="s">
        <v>135</v>
      </c>
      <c r="H23" s="173" t="s">
        <v>70</v>
      </c>
      <c r="I23" s="174">
        <v>3.94</v>
      </c>
      <c r="J23" s="174">
        <v>2</v>
      </c>
      <c r="K23" s="174"/>
      <c r="L23" s="174"/>
      <c r="M23" s="191">
        <v>777</v>
      </c>
      <c r="N23" s="176">
        <v>10.824999999999999</v>
      </c>
      <c r="O23" s="176">
        <v>10.785</v>
      </c>
      <c r="P23" s="176"/>
      <c r="Q23" s="178"/>
      <c r="R23" s="179"/>
      <c r="S23" s="179"/>
      <c r="T23" s="177">
        <v>44928</v>
      </c>
      <c r="U23" s="177"/>
      <c r="V23" s="177"/>
      <c r="W23" s="177"/>
      <c r="X23" s="177"/>
      <c r="Y23" s="177"/>
      <c r="Z23" s="177">
        <v>44911</v>
      </c>
      <c r="AA23" s="177">
        <v>44911</v>
      </c>
      <c r="AB23" s="177"/>
      <c r="AC23" s="177"/>
      <c r="AD23" s="180" t="s">
        <v>2374</v>
      </c>
      <c r="AE23" s="173" t="s">
        <v>69</v>
      </c>
      <c r="AF23" s="181" t="s">
        <v>142</v>
      </c>
      <c r="AG23" s="192" t="s">
        <v>1887</v>
      </c>
      <c r="AH23" s="198"/>
      <c r="AI23" s="181">
        <v>44880</v>
      </c>
      <c r="AJ23" s="181"/>
      <c r="AK23" s="181">
        <f t="shared" ca="1" si="5"/>
        <v>44958</v>
      </c>
      <c r="AL23" s="173">
        <f t="shared" ca="1" si="2"/>
        <v>78</v>
      </c>
      <c r="AM23" s="173" t="str">
        <f t="shared" si="3"/>
        <v/>
      </c>
      <c r="AN23" s="181"/>
      <c r="AO23" s="190" t="s">
        <v>3848</v>
      </c>
      <c r="AP23" s="176">
        <v>21.585000000000001</v>
      </c>
      <c r="AQ23" s="176">
        <v>21.645</v>
      </c>
      <c r="AR23" s="176">
        <v>21.67</v>
      </c>
      <c r="AS23" s="176">
        <v>21.675000000000001</v>
      </c>
      <c r="AT23" s="173" t="str">
        <f t="shared" si="4"/>
        <v/>
      </c>
      <c r="AU23" s="173">
        <v>460</v>
      </c>
      <c r="AW23" s="142" t="s">
        <v>123</v>
      </c>
    </row>
    <row r="24" spans="2:49" s="142" customFormat="1" ht="21" customHeight="1" x14ac:dyDescent="0.25">
      <c r="B24" s="173" t="str">
        <f t="shared" si="0"/>
        <v>0-304L/1D-3.79X765</v>
      </c>
      <c r="C24" s="173" t="s">
        <v>3855</v>
      </c>
      <c r="D24" s="173" t="s">
        <v>13</v>
      </c>
      <c r="E24" s="190" t="s">
        <v>3856</v>
      </c>
      <c r="F24" s="190" t="s">
        <v>3857</v>
      </c>
      <c r="G24" s="173" t="s">
        <v>182</v>
      </c>
      <c r="H24" s="173" t="s">
        <v>127</v>
      </c>
      <c r="I24" s="174">
        <v>3.79</v>
      </c>
      <c r="J24" s="174"/>
      <c r="K24" s="174"/>
      <c r="L24" s="174"/>
      <c r="M24" s="191">
        <v>765</v>
      </c>
      <c r="N24" s="176">
        <v>11.975</v>
      </c>
      <c r="O24" s="176">
        <v>11.975</v>
      </c>
      <c r="P24" s="176"/>
      <c r="Q24" s="178"/>
      <c r="R24" s="179"/>
      <c r="S24" s="179"/>
      <c r="T24" s="177">
        <v>44929</v>
      </c>
      <c r="U24" s="177"/>
      <c r="V24" s="177"/>
      <c r="W24" s="177"/>
      <c r="X24" s="177"/>
      <c r="Y24" s="177"/>
      <c r="Z24" s="177"/>
      <c r="AA24" s="177"/>
      <c r="AB24" s="177"/>
      <c r="AC24" s="177"/>
      <c r="AD24" s="180" t="s">
        <v>1345</v>
      </c>
      <c r="AE24" s="173" t="s">
        <v>69</v>
      </c>
      <c r="AF24" s="181" t="s">
        <v>142</v>
      </c>
      <c r="AG24" s="192" t="s">
        <v>1653</v>
      </c>
      <c r="AH24" s="198"/>
      <c r="AI24" s="181">
        <v>44880</v>
      </c>
      <c r="AJ24" s="181"/>
      <c r="AK24" s="181">
        <f t="shared" ca="1" si="5"/>
        <v>44958</v>
      </c>
      <c r="AL24" s="173">
        <f t="shared" ca="1" si="2"/>
        <v>78</v>
      </c>
      <c r="AM24" s="173" t="str">
        <f t="shared" si="3"/>
        <v/>
      </c>
      <c r="AN24" s="181"/>
      <c r="AO24" s="190" t="s">
        <v>3858</v>
      </c>
      <c r="AP24" s="176">
        <v>11.975</v>
      </c>
      <c r="AQ24" s="176">
        <v>11.984999999999999</v>
      </c>
      <c r="AR24" s="176">
        <v>12.009999999999998</v>
      </c>
      <c r="AS24" s="176">
        <v>12.014999999999999</v>
      </c>
      <c r="AT24" s="173" t="str">
        <f t="shared" si="4"/>
        <v/>
      </c>
      <c r="AU24" s="173">
        <v>459</v>
      </c>
      <c r="AW24" s="142" t="s">
        <v>123</v>
      </c>
    </row>
    <row r="25" spans="2:49" s="142" customFormat="1" ht="21" customHeight="1" x14ac:dyDescent="0.25">
      <c r="B25" s="173" t="str">
        <f t="shared" si="0"/>
        <v>0-316L/FH-2.00X776</v>
      </c>
      <c r="C25" s="173" t="s">
        <v>3854</v>
      </c>
      <c r="D25" s="173" t="s">
        <v>16</v>
      </c>
      <c r="E25" s="190" t="s">
        <v>3846</v>
      </c>
      <c r="F25" s="190" t="s">
        <v>3850</v>
      </c>
      <c r="G25" s="173" t="s">
        <v>135</v>
      </c>
      <c r="H25" s="173" t="s">
        <v>70</v>
      </c>
      <c r="I25" s="174">
        <v>3.94</v>
      </c>
      <c r="J25" s="174">
        <v>2</v>
      </c>
      <c r="K25" s="174"/>
      <c r="L25" s="174"/>
      <c r="M25" s="191">
        <v>776</v>
      </c>
      <c r="N25" s="176">
        <v>10.845000000000001</v>
      </c>
      <c r="O25" s="176">
        <v>10.82</v>
      </c>
      <c r="P25" s="176"/>
      <c r="Q25" s="178"/>
      <c r="R25" s="179"/>
      <c r="S25" s="179"/>
      <c r="T25" s="177">
        <v>44928</v>
      </c>
      <c r="U25" s="177"/>
      <c r="V25" s="177"/>
      <c r="W25" s="177"/>
      <c r="X25" s="177"/>
      <c r="Y25" s="177"/>
      <c r="Z25" s="177"/>
      <c r="AA25" s="177">
        <v>44911</v>
      </c>
      <c r="AB25" s="177"/>
      <c r="AC25" s="177"/>
      <c r="AD25" s="180" t="s">
        <v>2374</v>
      </c>
      <c r="AE25" s="173" t="s">
        <v>69</v>
      </c>
      <c r="AF25" s="181" t="s">
        <v>142</v>
      </c>
      <c r="AG25" s="192" t="s">
        <v>1887</v>
      </c>
      <c r="AH25" s="198"/>
      <c r="AI25" s="181">
        <v>44880</v>
      </c>
      <c r="AJ25" s="181"/>
      <c r="AK25" s="181">
        <f t="shared" ca="1" si="5"/>
        <v>44958</v>
      </c>
      <c r="AL25" s="173">
        <f t="shared" ca="1" si="2"/>
        <v>78</v>
      </c>
      <c r="AM25" s="173" t="str">
        <f t="shared" si="3"/>
        <v/>
      </c>
      <c r="AN25" s="181"/>
      <c r="AO25" s="190" t="s">
        <v>3848</v>
      </c>
      <c r="AP25" s="176">
        <v>21.585000000000001</v>
      </c>
      <c r="AQ25" s="176">
        <v>21.645</v>
      </c>
      <c r="AR25" s="176">
        <v>21.67</v>
      </c>
      <c r="AS25" s="176">
        <v>21.675000000000001</v>
      </c>
      <c r="AT25" s="173" t="str">
        <f t="shared" si="4"/>
        <v/>
      </c>
      <c r="AU25" s="173">
        <v>460</v>
      </c>
      <c r="AW25" s="142" t="s">
        <v>123</v>
      </c>
    </row>
    <row r="26" spans="2:49" s="142" customFormat="1" ht="21" customHeight="1" x14ac:dyDescent="0.25">
      <c r="B26" s="173" t="str">
        <f t="shared" si="0"/>
        <v>0-304/1D-3.94X767</v>
      </c>
      <c r="C26" s="173" t="s">
        <v>3855</v>
      </c>
      <c r="D26" s="173" t="s">
        <v>13</v>
      </c>
      <c r="E26" s="190" t="s">
        <v>2279</v>
      </c>
      <c r="F26" s="190" t="s">
        <v>3859</v>
      </c>
      <c r="G26" s="173">
        <v>304</v>
      </c>
      <c r="H26" s="173" t="s">
        <v>127</v>
      </c>
      <c r="I26" s="174">
        <v>3.94</v>
      </c>
      <c r="J26" s="174"/>
      <c r="K26" s="174"/>
      <c r="L26" s="174"/>
      <c r="M26" s="191">
        <v>767</v>
      </c>
      <c r="N26" s="176">
        <v>12.03</v>
      </c>
      <c r="O26" s="176">
        <v>12.03</v>
      </c>
      <c r="P26" s="176"/>
      <c r="Q26" s="178"/>
      <c r="R26" s="179"/>
      <c r="S26" s="179"/>
      <c r="T26" s="177">
        <v>44929</v>
      </c>
      <c r="U26" s="177"/>
      <c r="V26" s="177"/>
      <c r="W26" s="177"/>
      <c r="X26" s="177"/>
      <c r="Y26" s="177"/>
      <c r="Z26" s="177"/>
      <c r="AA26" s="177"/>
      <c r="AB26" s="177"/>
      <c r="AC26" s="177"/>
      <c r="AD26" s="180" t="s">
        <v>1345</v>
      </c>
      <c r="AE26" s="173" t="s">
        <v>69</v>
      </c>
      <c r="AF26" s="181" t="s">
        <v>142</v>
      </c>
      <c r="AG26" s="192" t="s">
        <v>2283</v>
      </c>
      <c r="AH26" s="198"/>
      <c r="AI26" s="181">
        <v>44880</v>
      </c>
      <c r="AJ26" s="181"/>
      <c r="AK26" s="181">
        <f t="shared" ca="1" si="5"/>
        <v>44958</v>
      </c>
      <c r="AL26" s="173">
        <f t="shared" ca="1" si="2"/>
        <v>78</v>
      </c>
      <c r="AM26" s="173" t="str">
        <f t="shared" si="3"/>
        <v/>
      </c>
      <c r="AN26" s="181"/>
      <c r="AO26" s="190" t="s">
        <v>2284</v>
      </c>
      <c r="AP26" s="176">
        <v>12.03</v>
      </c>
      <c r="AQ26" s="176">
        <v>12.04</v>
      </c>
      <c r="AR26" s="176">
        <v>12.064999999999998</v>
      </c>
      <c r="AS26" s="176">
        <v>12.069999999999999</v>
      </c>
      <c r="AT26" s="173" t="str">
        <f t="shared" si="4"/>
        <v/>
      </c>
      <c r="AU26" s="173">
        <v>459</v>
      </c>
      <c r="AW26" s="142" t="s">
        <v>123</v>
      </c>
    </row>
    <row r="27" spans="2:49" s="142" customFormat="1" ht="21" customHeight="1" x14ac:dyDescent="0.25">
      <c r="B27" s="173" t="str">
        <f t="shared" si="0"/>
        <v>0-316L/FH-2.00X777</v>
      </c>
      <c r="C27" s="173" t="s">
        <v>3854</v>
      </c>
      <c r="D27" s="173" t="s">
        <v>16</v>
      </c>
      <c r="E27" s="190" t="s">
        <v>3851</v>
      </c>
      <c r="F27" s="190" t="s">
        <v>3852</v>
      </c>
      <c r="G27" s="173" t="s">
        <v>135</v>
      </c>
      <c r="H27" s="173" t="s">
        <v>70</v>
      </c>
      <c r="I27" s="174">
        <v>3.92</v>
      </c>
      <c r="J27" s="174">
        <v>2</v>
      </c>
      <c r="K27" s="174"/>
      <c r="L27" s="174"/>
      <c r="M27" s="191">
        <v>777</v>
      </c>
      <c r="N27" s="176">
        <v>10.855</v>
      </c>
      <c r="O27" s="176">
        <v>10.83</v>
      </c>
      <c r="P27" s="176"/>
      <c r="Q27" s="178"/>
      <c r="R27" s="179"/>
      <c r="S27" s="179"/>
      <c r="T27" s="177">
        <v>44928</v>
      </c>
      <c r="U27" s="177"/>
      <c r="V27" s="177"/>
      <c r="W27" s="177"/>
      <c r="X27" s="177"/>
      <c r="Y27" s="177"/>
      <c r="Z27" s="177"/>
      <c r="AA27" s="177">
        <v>44909</v>
      </c>
      <c r="AB27" s="177"/>
      <c r="AC27" s="177"/>
      <c r="AD27" s="180" t="s">
        <v>2374</v>
      </c>
      <c r="AE27" s="173" t="s">
        <v>69</v>
      </c>
      <c r="AF27" s="181" t="s">
        <v>142</v>
      </c>
      <c r="AG27" s="192" t="s">
        <v>1887</v>
      </c>
      <c r="AH27" s="198"/>
      <c r="AI27" s="181">
        <v>44880</v>
      </c>
      <c r="AJ27" s="181"/>
      <c r="AK27" s="181">
        <f t="shared" ca="1" si="5"/>
        <v>44958</v>
      </c>
      <c r="AL27" s="173">
        <f t="shared" ca="1" si="2"/>
        <v>78</v>
      </c>
      <c r="AM27" s="173" t="str">
        <f t="shared" si="3"/>
        <v/>
      </c>
      <c r="AN27" s="181"/>
      <c r="AO27" s="190" t="s">
        <v>3853</v>
      </c>
      <c r="AP27" s="176">
        <v>21.605</v>
      </c>
      <c r="AQ27" s="176">
        <v>21.664999999999999</v>
      </c>
      <c r="AR27" s="176">
        <v>21.69</v>
      </c>
      <c r="AS27" s="176">
        <v>21.695</v>
      </c>
      <c r="AT27" s="173" t="str">
        <f t="shared" si="4"/>
        <v/>
      </c>
      <c r="AU27" s="173">
        <v>460</v>
      </c>
      <c r="AW27" s="142" t="s">
        <v>123</v>
      </c>
    </row>
    <row r="28" spans="2:49" s="142" customFormat="1" ht="21" customHeight="1" x14ac:dyDescent="0.25">
      <c r="B28" s="173" t="str">
        <f t="shared" si="0"/>
        <v>0-304L/1D-3.78X765</v>
      </c>
      <c r="C28" s="173" t="s">
        <v>3855</v>
      </c>
      <c r="D28" s="173" t="s">
        <v>13</v>
      </c>
      <c r="E28" s="190" t="s">
        <v>3860</v>
      </c>
      <c r="F28" s="190" t="s">
        <v>3861</v>
      </c>
      <c r="G28" s="173" t="s">
        <v>182</v>
      </c>
      <c r="H28" s="173" t="s">
        <v>127</v>
      </c>
      <c r="I28" s="174">
        <v>3.78</v>
      </c>
      <c r="J28" s="174"/>
      <c r="K28" s="174"/>
      <c r="L28" s="174"/>
      <c r="M28" s="191">
        <v>765</v>
      </c>
      <c r="N28" s="176">
        <v>11.87</v>
      </c>
      <c r="O28" s="176">
        <v>11.87</v>
      </c>
      <c r="P28" s="176"/>
      <c r="Q28" s="178"/>
      <c r="R28" s="179"/>
      <c r="S28" s="179"/>
      <c r="T28" s="177">
        <v>44929</v>
      </c>
      <c r="U28" s="177"/>
      <c r="V28" s="177"/>
      <c r="W28" s="177"/>
      <c r="X28" s="177"/>
      <c r="Y28" s="177"/>
      <c r="Z28" s="177"/>
      <c r="AA28" s="177"/>
      <c r="AB28" s="177"/>
      <c r="AC28" s="177"/>
      <c r="AD28" s="180" t="s">
        <v>1345</v>
      </c>
      <c r="AE28" s="173" t="s">
        <v>69</v>
      </c>
      <c r="AF28" s="181" t="s">
        <v>142</v>
      </c>
      <c r="AG28" s="192" t="s">
        <v>2283</v>
      </c>
      <c r="AH28" s="198"/>
      <c r="AI28" s="181">
        <v>44880</v>
      </c>
      <c r="AJ28" s="181"/>
      <c r="AK28" s="181">
        <f t="shared" ca="1" si="5"/>
        <v>44958</v>
      </c>
      <c r="AL28" s="173">
        <f t="shared" ca="1" si="2"/>
        <v>78</v>
      </c>
      <c r="AM28" s="173" t="str">
        <f t="shared" si="3"/>
        <v/>
      </c>
      <c r="AN28" s="181"/>
      <c r="AO28" s="190" t="s">
        <v>3862</v>
      </c>
      <c r="AP28" s="176">
        <v>11.87</v>
      </c>
      <c r="AQ28" s="176">
        <v>11.879999999999999</v>
      </c>
      <c r="AR28" s="176">
        <v>11.904999999999998</v>
      </c>
      <c r="AS28" s="176">
        <v>11.909999999999998</v>
      </c>
      <c r="AT28" s="173" t="str">
        <f t="shared" si="4"/>
        <v/>
      </c>
      <c r="AU28" s="173">
        <v>459</v>
      </c>
      <c r="AW28" s="142" t="s">
        <v>123</v>
      </c>
    </row>
    <row r="29" spans="2:49" s="142" customFormat="1" ht="21" customHeight="1" x14ac:dyDescent="0.25">
      <c r="B29" s="173" t="str">
        <f t="shared" si="0"/>
        <v>0-316L/FH-1.50X777</v>
      </c>
      <c r="C29" s="173" t="s">
        <v>3854</v>
      </c>
      <c r="D29" s="173" t="s">
        <v>16</v>
      </c>
      <c r="E29" s="190" t="s">
        <v>3842</v>
      </c>
      <c r="F29" s="190" t="s">
        <v>3843</v>
      </c>
      <c r="G29" s="173" t="s">
        <v>135</v>
      </c>
      <c r="H29" s="173" t="s">
        <v>70</v>
      </c>
      <c r="I29" s="174">
        <v>3.92</v>
      </c>
      <c r="J29" s="174">
        <v>1.5</v>
      </c>
      <c r="K29" s="174"/>
      <c r="L29" s="174"/>
      <c r="M29" s="191">
        <v>777</v>
      </c>
      <c r="N29" s="176">
        <v>10.805</v>
      </c>
      <c r="O29" s="176">
        <v>10.76</v>
      </c>
      <c r="P29" s="176"/>
      <c r="Q29" s="178"/>
      <c r="R29" s="179"/>
      <c r="S29" s="179"/>
      <c r="T29" s="177">
        <v>44928</v>
      </c>
      <c r="U29" s="177"/>
      <c r="V29" s="177"/>
      <c r="W29" s="177"/>
      <c r="X29" s="177"/>
      <c r="Y29" s="177"/>
      <c r="Z29" s="177"/>
      <c r="AA29" s="177">
        <v>44911</v>
      </c>
      <c r="AB29" s="177"/>
      <c r="AC29" s="177"/>
      <c r="AD29" s="180" t="s">
        <v>2374</v>
      </c>
      <c r="AE29" s="173" t="s">
        <v>69</v>
      </c>
      <c r="AF29" s="181" t="s">
        <v>142</v>
      </c>
      <c r="AG29" s="192" t="s">
        <v>1887</v>
      </c>
      <c r="AH29" s="198"/>
      <c r="AI29" s="181">
        <v>44880</v>
      </c>
      <c r="AJ29" s="181"/>
      <c r="AK29" s="181">
        <f t="shared" ca="1" si="5"/>
        <v>44958</v>
      </c>
      <c r="AL29" s="173">
        <f t="shared" ca="1" si="2"/>
        <v>78</v>
      </c>
      <c r="AM29" s="173" t="str">
        <f t="shared" si="3"/>
        <v/>
      </c>
      <c r="AN29" s="181"/>
      <c r="AO29" s="190" t="s">
        <v>3844</v>
      </c>
      <c r="AP29" s="176">
        <v>21.51</v>
      </c>
      <c r="AQ29" s="176">
        <v>21.57</v>
      </c>
      <c r="AR29" s="176">
        <v>21.595000000000002</v>
      </c>
      <c r="AS29" s="176">
        <v>21.6</v>
      </c>
      <c r="AT29" s="173" t="str">
        <f t="shared" si="4"/>
        <v/>
      </c>
      <c r="AU29" s="173">
        <v>460</v>
      </c>
      <c r="AW29" s="142" t="s">
        <v>123</v>
      </c>
    </row>
    <row r="30" spans="2:49" s="142" customFormat="1" ht="21" customHeight="1" x14ac:dyDescent="0.25">
      <c r="B30" s="173" t="str">
        <f t="shared" si="0"/>
        <v>0-304/1D-3.79X770</v>
      </c>
      <c r="C30" s="173" t="s">
        <v>3855</v>
      </c>
      <c r="D30" s="173" t="s">
        <v>13</v>
      </c>
      <c r="E30" s="190" t="s">
        <v>3863</v>
      </c>
      <c r="F30" s="190" t="s">
        <v>3864</v>
      </c>
      <c r="G30" s="173">
        <v>304</v>
      </c>
      <c r="H30" s="173" t="s">
        <v>127</v>
      </c>
      <c r="I30" s="174">
        <v>3.79</v>
      </c>
      <c r="J30" s="174"/>
      <c r="K30" s="174"/>
      <c r="L30" s="174"/>
      <c r="M30" s="191">
        <v>770</v>
      </c>
      <c r="N30" s="176">
        <v>10.52</v>
      </c>
      <c r="O30" s="176">
        <v>10.52</v>
      </c>
      <c r="P30" s="176"/>
      <c r="Q30" s="178"/>
      <c r="R30" s="179"/>
      <c r="S30" s="179"/>
      <c r="T30" s="177">
        <v>44929</v>
      </c>
      <c r="U30" s="177"/>
      <c r="V30" s="177"/>
      <c r="W30" s="177"/>
      <c r="X30" s="177"/>
      <c r="Y30" s="177"/>
      <c r="Z30" s="177"/>
      <c r="AA30" s="177"/>
      <c r="AB30" s="177"/>
      <c r="AC30" s="177"/>
      <c r="AD30" s="180" t="s">
        <v>1345</v>
      </c>
      <c r="AE30" s="173" t="s">
        <v>69</v>
      </c>
      <c r="AF30" s="181" t="s">
        <v>142</v>
      </c>
      <c r="AG30" s="192" t="s">
        <v>2283</v>
      </c>
      <c r="AH30" s="198"/>
      <c r="AI30" s="181">
        <v>44880</v>
      </c>
      <c r="AJ30" s="181"/>
      <c r="AK30" s="181">
        <f t="shared" ca="1" si="5"/>
        <v>44958</v>
      </c>
      <c r="AL30" s="173">
        <f t="shared" ca="1" si="2"/>
        <v>78</v>
      </c>
      <c r="AM30" s="173" t="str">
        <f t="shared" si="3"/>
        <v/>
      </c>
      <c r="AN30" s="181"/>
      <c r="AO30" s="190" t="s">
        <v>3865</v>
      </c>
      <c r="AP30" s="176">
        <v>10.52</v>
      </c>
      <c r="AQ30" s="176">
        <v>10.53</v>
      </c>
      <c r="AR30" s="176">
        <v>10.554999999999998</v>
      </c>
      <c r="AS30" s="176">
        <v>10.559999999999999</v>
      </c>
      <c r="AT30" s="173" t="str">
        <f t="shared" si="4"/>
        <v/>
      </c>
      <c r="AU30" s="173">
        <v>459</v>
      </c>
      <c r="AW30" s="142" t="s">
        <v>123</v>
      </c>
    </row>
    <row r="31" spans="2:49" s="142" customFormat="1" ht="21" customHeight="1" x14ac:dyDescent="0.25">
      <c r="B31" s="173" t="str">
        <f t="shared" si="0"/>
        <v>0-316L/FH-2.00X777</v>
      </c>
      <c r="C31" s="173" t="s">
        <v>3854</v>
      </c>
      <c r="D31" s="173" t="s">
        <v>16</v>
      </c>
      <c r="E31" s="190" t="s">
        <v>3826</v>
      </c>
      <c r="F31" s="190" t="s">
        <v>3827</v>
      </c>
      <c r="G31" s="173" t="s">
        <v>135</v>
      </c>
      <c r="H31" s="173" t="s">
        <v>70</v>
      </c>
      <c r="I31" s="174">
        <v>3.94</v>
      </c>
      <c r="J31" s="174">
        <v>2</v>
      </c>
      <c r="K31" s="174"/>
      <c r="L31" s="174"/>
      <c r="M31" s="191">
        <v>777</v>
      </c>
      <c r="N31" s="176">
        <v>10.85</v>
      </c>
      <c r="O31" s="176">
        <v>10.815</v>
      </c>
      <c r="P31" s="176"/>
      <c r="Q31" s="178"/>
      <c r="R31" s="179"/>
      <c r="S31" s="179"/>
      <c r="T31" s="177">
        <v>44928</v>
      </c>
      <c r="U31" s="177"/>
      <c r="V31" s="177"/>
      <c r="W31" s="177"/>
      <c r="X31" s="177"/>
      <c r="Y31" s="177"/>
      <c r="Z31" s="177"/>
      <c r="AA31" s="177">
        <v>44910</v>
      </c>
      <c r="AB31" s="177"/>
      <c r="AC31" s="177"/>
      <c r="AD31" s="180" t="s">
        <v>2374</v>
      </c>
      <c r="AE31" s="173" t="s">
        <v>69</v>
      </c>
      <c r="AF31" s="181" t="s">
        <v>142</v>
      </c>
      <c r="AG31" s="192" t="s">
        <v>1887</v>
      </c>
      <c r="AH31" s="198"/>
      <c r="AI31" s="181">
        <v>44880</v>
      </c>
      <c r="AJ31" s="181"/>
      <c r="AK31" s="181">
        <f ca="1">TODAY()</f>
        <v>44958</v>
      </c>
      <c r="AL31" s="173">
        <f t="shared" ca="1" si="2"/>
        <v>78</v>
      </c>
      <c r="AM31" s="173" t="str">
        <f t="shared" si="3"/>
        <v/>
      </c>
      <c r="AN31" s="181"/>
      <c r="AO31" s="190" t="s">
        <v>3828</v>
      </c>
      <c r="AP31" s="176">
        <v>21.56</v>
      </c>
      <c r="AQ31" s="176">
        <v>21.619999999999997</v>
      </c>
      <c r="AR31" s="176">
        <v>21.645</v>
      </c>
      <c r="AS31" s="176">
        <v>21.65</v>
      </c>
      <c r="AT31" s="173" t="str">
        <f t="shared" si="4"/>
        <v/>
      </c>
      <c r="AU31" s="173">
        <v>460</v>
      </c>
      <c r="AW31" s="142" t="s">
        <v>123</v>
      </c>
    </row>
    <row r="32" spans="2:49" s="142" customFormat="1" ht="21" customHeight="1" x14ac:dyDescent="0.25">
      <c r="B32" s="173" t="str">
        <f t="shared" si="0"/>
        <v>0-304/1D-2.88X770</v>
      </c>
      <c r="C32" s="173" t="s">
        <v>3855</v>
      </c>
      <c r="D32" s="173" t="s">
        <v>13</v>
      </c>
      <c r="E32" s="190" t="s">
        <v>3866</v>
      </c>
      <c r="F32" s="190" t="s">
        <v>3867</v>
      </c>
      <c r="G32" s="173">
        <v>304</v>
      </c>
      <c r="H32" s="173" t="s">
        <v>127</v>
      </c>
      <c r="I32" s="174">
        <v>2.88</v>
      </c>
      <c r="J32" s="174"/>
      <c r="K32" s="174"/>
      <c r="L32" s="174"/>
      <c r="M32" s="191">
        <v>770</v>
      </c>
      <c r="N32" s="176">
        <v>10.55</v>
      </c>
      <c r="O32" s="176">
        <v>10.55</v>
      </c>
      <c r="P32" s="176"/>
      <c r="Q32" s="178"/>
      <c r="R32" s="179"/>
      <c r="S32" s="179"/>
      <c r="T32" s="177">
        <v>44929</v>
      </c>
      <c r="U32" s="177"/>
      <c r="V32" s="177"/>
      <c r="W32" s="177"/>
      <c r="X32" s="177"/>
      <c r="Y32" s="177"/>
      <c r="Z32" s="177"/>
      <c r="AA32" s="177"/>
      <c r="AB32" s="177"/>
      <c r="AC32" s="177"/>
      <c r="AD32" s="180" t="s">
        <v>2479</v>
      </c>
      <c r="AE32" s="173" t="s">
        <v>69</v>
      </c>
      <c r="AF32" s="181" t="s">
        <v>142</v>
      </c>
      <c r="AG32" s="192" t="s">
        <v>1584</v>
      </c>
      <c r="AH32" s="198"/>
      <c r="AI32" s="181">
        <v>44914</v>
      </c>
      <c r="AJ32" s="181"/>
      <c r="AK32" s="181">
        <f t="shared" ref="AK32:AK52" ca="1" si="6">TODAY()</f>
        <v>44958</v>
      </c>
      <c r="AL32" s="173">
        <f t="shared" ca="1" si="2"/>
        <v>44</v>
      </c>
      <c r="AM32" s="173" t="str">
        <f t="shared" si="3"/>
        <v/>
      </c>
      <c r="AN32" s="181"/>
      <c r="AO32" s="190" t="s">
        <v>3868</v>
      </c>
      <c r="AP32" s="176">
        <v>10.55</v>
      </c>
      <c r="AQ32" s="176">
        <v>10.56</v>
      </c>
      <c r="AR32" s="176">
        <v>10.584999999999999</v>
      </c>
      <c r="AS32" s="176">
        <v>10.59</v>
      </c>
      <c r="AT32" s="173" t="str">
        <f t="shared" si="4"/>
        <v/>
      </c>
      <c r="AU32" s="173">
        <v>462</v>
      </c>
      <c r="AW32" s="142" t="s">
        <v>123</v>
      </c>
    </row>
    <row r="33" spans="2:49" s="142" customFormat="1" ht="21" customHeight="1" x14ac:dyDescent="0.25">
      <c r="B33" s="173" t="str">
        <f t="shared" si="0"/>
        <v>0-304L/FH-1.50X765</v>
      </c>
      <c r="C33" s="173" t="s">
        <v>3854</v>
      </c>
      <c r="D33" s="173" t="s">
        <v>16</v>
      </c>
      <c r="E33" s="190" t="s">
        <v>3856</v>
      </c>
      <c r="F33" s="190" t="s">
        <v>3857</v>
      </c>
      <c r="G33" s="173" t="s">
        <v>182</v>
      </c>
      <c r="H33" s="173" t="s">
        <v>70</v>
      </c>
      <c r="I33" s="174">
        <v>3.79</v>
      </c>
      <c r="J33" s="174">
        <v>1.5</v>
      </c>
      <c r="K33" s="174"/>
      <c r="L33" s="174"/>
      <c r="M33" s="191">
        <v>765</v>
      </c>
      <c r="N33" s="176">
        <v>11.975</v>
      </c>
      <c r="O33" s="176">
        <v>11.994999999999999</v>
      </c>
      <c r="P33" s="176"/>
      <c r="Q33" s="178"/>
      <c r="R33" s="179"/>
      <c r="S33" s="179"/>
      <c r="T33" s="177">
        <v>44929</v>
      </c>
      <c r="U33" s="177"/>
      <c r="V33" s="177"/>
      <c r="W33" s="177"/>
      <c r="X33" s="177"/>
      <c r="Y33" s="177"/>
      <c r="Z33" s="177"/>
      <c r="AA33" s="177"/>
      <c r="AB33" s="177"/>
      <c r="AC33" s="177"/>
      <c r="AD33" s="180" t="s">
        <v>1345</v>
      </c>
      <c r="AE33" s="173" t="s">
        <v>69</v>
      </c>
      <c r="AF33" s="181" t="s">
        <v>142</v>
      </c>
      <c r="AG33" s="192" t="s">
        <v>1653</v>
      </c>
      <c r="AH33" s="198"/>
      <c r="AI33" s="181">
        <v>44880</v>
      </c>
      <c r="AJ33" s="181"/>
      <c r="AK33" s="181">
        <f t="shared" ca="1" si="6"/>
        <v>44958</v>
      </c>
      <c r="AL33" s="173">
        <f t="shared" ca="1" si="2"/>
        <v>78</v>
      </c>
      <c r="AM33" s="173" t="str">
        <f t="shared" si="3"/>
        <v/>
      </c>
      <c r="AN33" s="181"/>
      <c r="AO33" s="190" t="s">
        <v>3858</v>
      </c>
      <c r="AP33" s="176">
        <v>11.975</v>
      </c>
      <c r="AQ33" s="176">
        <v>11.984999999999999</v>
      </c>
      <c r="AR33" s="176">
        <v>12.009999999999998</v>
      </c>
      <c r="AS33" s="176">
        <v>12.014999999999999</v>
      </c>
      <c r="AT33" s="173" t="str">
        <f t="shared" si="4"/>
        <v/>
      </c>
      <c r="AU33" s="173">
        <v>459</v>
      </c>
      <c r="AW33" s="142" t="s">
        <v>123</v>
      </c>
    </row>
    <row r="34" spans="2:49" s="142" customFormat="1" ht="21" customHeight="1" x14ac:dyDescent="0.25">
      <c r="B34" s="173" t="str">
        <f t="shared" si="0"/>
        <v>0-304/1D-2.94X777</v>
      </c>
      <c r="C34" s="173" t="s">
        <v>3855</v>
      </c>
      <c r="D34" s="173" t="s">
        <v>13</v>
      </c>
      <c r="E34" s="190" t="s">
        <v>1342</v>
      </c>
      <c r="F34" s="190" t="s">
        <v>3869</v>
      </c>
      <c r="G34" s="173">
        <v>304</v>
      </c>
      <c r="H34" s="173" t="s">
        <v>127</v>
      </c>
      <c r="I34" s="174">
        <v>2.94</v>
      </c>
      <c r="J34" s="174"/>
      <c r="K34" s="174"/>
      <c r="L34" s="174"/>
      <c r="M34" s="191">
        <v>777</v>
      </c>
      <c r="N34" s="176">
        <v>10.675000000000001</v>
      </c>
      <c r="O34" s="176">
        <v>10.675000000000001</v>
      </c>
      <c r="P34" s="176"/>
      <c r="Q34" s="178"/>
      <c r="R34" s="179"/>
      <c r="S34" s="179"/>
      <c r="T34" s="177">
        <v>44929</v>
      </c>
      <c r="U34" s="177"/>
      <c r="V34" s="177"/>
      <c r="W34" s="177"/>
      <c r="X34" s="177"/>
      <c r="Y34" s="177"/>
      <c r="Z34" s="177"/>
      <c r="AA34" s="177">
        <v>44928</v>
      </c>
      <c r="AB34" s="177"/>
      <c r="AC34" s="177"/>
      <c r="AD34" s="180" t="s">
        <v>1345</v>
      </c>
      <c r="AE34" s="173" t="s">
        <v>69</v>
      </c>
      <c r="AF34" s="181" t="s">
        <v>142</v>
      </c>
      <c r="AG34" s="181" t="s">
        <v>1346</v>
      </c>
      <c r="AH34" s="181"/>
      <c r="AI34" s="181">
        <v>44813</v>
      </c>
      <c r="AJ34" s="181"/>
      <c r="AK34" s="181">
        <f t="shared" ca="1" si="6"/>
        <v>44958</v>
      </c>
      <c r="AL34" s="173">
        <f t="shared" ca="1" si="2"/>
        <v>145</v>
      </c>
      <c r="AM34" s="173" t="str">
        <f t="shared" si="3"/>
        <v/>
      </c>
      <c r="AN34" s="181"/>
      <c r="AO34" s="190" t="s">
        <v>1347</v>
      </c>
      <c r="AP34" s="176">
        <v>21.414999999999999</v>
      </c>
      <c r="AQ34" s="176">
        <v>21.475000000000001</v>
      </c>
      <c r="AR34" s="176">
        <v>21.500000000000004</v>
      </c>
      <c r="AS34" s="176">
        <v>21.505000000000003</v>
      </c>
      <c r="AT34" s="173" t="str">
        <f t="shared" si="4"/>
        <v/>
      </c>
      <c r="AU34" s="173">
        <v>451</v>
      </c>
      <c r="AW34" s="142" t="s">
        <v>123</v>
      </c>
    </row>
    <row r="35" spans="2:49" s="142" customFormat="1" ht="21" customHeight="1" x14ac:dyDescent="0.25">
      <c r="B35" s="173" t="str">
        <f t="shared" si="0"/>
        <v>0-304/FH-1.50X770</v>
      </c>
      <c r="C35" s="173" t="s">
        <v>3854</v>
      </c>
      <c r="D35" s="173" t="s">
        <v>16</v>
      </c>
      <c r="E35" s="190" t="s">
        <v>3863</v>
      </c>
      <c r="F35" s="190" t="s">
        <v>3864</v>
      </c>
      <c r="G35" s="173">
        <v>304</v>
      </c>
      <c r="H35" s="173" t="s">
        <v>70</v>
      </c>
      <c r="I35" s="174">
        <v>3.79</v>
      </c>
      <c r="J35" s="174">
        <v>1.5</v>
      </c>
      <c r="K35" s="174"/>
      <c r="L35" s="174"/>
      <c r="M35" s="191">
        <v>770</v>
      </c>
      <c r="N35" s="176">
        <v>10.52</v>
      </c>
      <c r="O35" s="176">
        <v>10.52</v>
      </c>
      <c r="P35" s="176"/>
      <c r="Q35" s="178"/>
      <c r="R35" s="179"/>
      <c r="S35" s="179"/>
      <c r="T35" s="177">
        <v>44929</v>
      </c>
      <c r="U35" s="177"/>
      <c r="V35" s="177"/>
      <c r="W35" s="177"/>
      <c r="X35" s="177"/>
      <c r="Y35" s="177"/>
      <c r="Z35" s="177"/>
      <c r="AA35" s="177"/>
      <c r="AB35" s="177"/>
      <c r="AC35" s="177"/>
      <c r="AD35" s="180" t="s">
        <v>1345</v>
      </c>
      <c r="AE35" s="173" t="s">
        <v>69</v>
      </c>
      <c r="AF35" s="181" t="s">
        <v>142</v>
      </c>
      <c r="AG35" s="192" t="s">
        <v>2283</v>
      </c>
      <c r="AH35" s="198"/>
      <c r="AI35" s="181">
        <v>44880</v>
      </c>
      <c r="AJ35" s="181"/>
      <c r="AK35" s="181">
        <f t="shared" ca="1" si="6"/>
        <v>44958</v>
      </c>
      <c r="AL35" s="173">
        <f t="shared" ca="1" si="2"/>
        <v>78</v>
      </c>
      <c r="AM35" s="173" t="str">
        <f t="shared" si="3"/>
        <v/>
      </c>
      <c r="AN35" s="181"/>
      <c r="AO35" s="190" t="s">
        <v>3865</v>
      </c>
      <c r="AP35" s="176">
        <v>10.52</v>
      </c>
      <c r="AQ35" s="176">
        <v>10.53</v>
      </c>
      <c r="AR35" s="176">
        <v>10.554999999999998</v>
      </c>
      <c r="AS35" s="176">
        <v>10.559999999999999</v>
      </c>
      <c r="AT35" s="173" t="str">
        <f t="shared" si="4"/>
        <v/>
      </c>
      <c r="AU35" s="173">
        <v>459</v>
      </c>
      <c r="AW35" s="142" t="s">
        <v>123</v>
      </c>
    </row>
    <row r="36" spans="2:49" s="142" customFormat="1" ht="21" customHeight="1" x14ac:dyDescent="0.25">
      <c r="B36" s="173" t="str">
        <f t="shared" si="0"/>
        <v>0-304L/1D-3.78X771</v>
      </c>
      <c r="C36" s="173" t="s">
        <v>3855</v>
      </c>
      <c r="D36" s="173" t="s">
        <v>13</v>
      </c>
      <c r="E36" s="190" t="s">
        <v>3870</v>
      </c>
      <c r="F36" s="190" t="s">
        <v>3871</v>
      </c>
      <c r="G36" s="173" t="s">
        <v>182</v>
      </c>
      <c r="H36" s="173" t="s">
        <v>127</v>
      </c>
      <c r="I36" s="174">
        <v>3.78</v>
      </c>
      <c r="J36" s="174"/>
      <c r="K36" s="174"/>
      <c r="L36" s="174"/>
      <c r="M36" s="191">
        <v>771</v>
      </c>
      <c r="N36" s="176">
        <v>11.99</v>
      </c>
      <c r="O36" s="176">
        <v>11.99</v>
      </c>
      <c r="P36" s="176"/>
      <c r="Q36" s="178"/>
      <c r="R36" s="179"/>
      <c r="S36" s="179"/>
      <c r="T36" s="177">
        <v>44929</v>
      </c>
      <c r="U36" s="177"/>
      <c r="V36" s="177"/>
      <c r="W36" s="177"/>
      <c r="X36" s="177"/>
      <c r="Y36" s="177"/>
      <c r="Z36" s="177"/>
      <c r="AA36" s="177"/>
      <c r="AB36" s="177"/>
      <c r="AC36" s="177"/>
      <c r="AD36" s="180" t="s">
        <v>1345</v>
      </c>
      <c r="AE36" s="173" t="s">
        <v>69</v>
      </c>
      <c r="AF36" s="181" t="s">
        <v>142</v>
      </c>
      <c r="AG36" s="192" t="s">
        <v>2283</v>
      </c>
      <c r="AH36" s="198"/>
      <c r="AI36" s="181">
        <v>44880</v>
      </c>
      <c r="AJ36" s="181"/>
      <c r="AK36" s="181">
        <f t="shared" ca="1" si="6"/>
        <v>44958</v>
      </c>
      <c r="AL36" s="173">
        <f t="shared" ca="1" si="2"/>
        <v>78</v>
      </c>
      <c r="AM36" s="173" t="str">
        <f t="shared" si="3"/>
        <v/>
      </c>
      <c r="AN36" s="181"/>
      <c r="AO36" s="190" t="s">
        <v>3862</v>
      </c>
      <c r="AP36" s="176">
        <v>11.99</v>
      </c>
      <c r="AQ36" s="176">
        <v>12</v>
      </c>
      <c r="AR36" s="176">
        <v>12.024999999999999</v>
      </c>
      <c r="AS36" s="176">
        <v>12.03</v>
      </c>
      <c r="AT36" s="173" t="str">
        <f t="shared" si="4"/>
        <v/>
      </c>
      <c r="AU36" s="173">
        <v>459</v>
      </c>
      <c r="AW36" s="142" t="s">
        <v>123</v>
      </c>
    </row>
    <row r="37" spans="2:49" s="142" customFormat="1" ht="21" customHeight="1" x14ac:dyDescent="0.25">
      <c r="B37" s="173" t="str">
        <f t="shared" si="0"/>
        <v>0-304L/FH-1.20X765</v>
      </c>
      <c r="C37" s="173" t="s">
        <v>3854</v>
      </c>
      <c r="D37" s="173" t="s">
        <v>16</v>
      </c>
      <c r="E37" s="190" t="s">
        <v>3860</v>
      </c>
      <c r="F37" s="190" t="s">
        <v>3861</v>
      </c>
      <c r="G37" s="173" t="s">
        <v>182</v>
      </c>
      <c r="H37" s="173" t="s">
        <v>70</v>
      </c>
      <c r="I37" s="174">
        <v>3.78</v>
      </c>
      <c r="J37" s="174">
        <v>1.2</v>
      </c>
      <c r="K37" s="174"/>
      <c r="L37" s="174"/>
      <c r="M37" s="191">
        <v>765</v>
      </c>
      <c r="N37" s="176">
        <v>11.87</v>
      </c>
      <c r="O37" s="176">
        <v>11.885</v>
      </c>
      <c r="P37" s="176"/>
      <c r="Q37" s="178"/>
      <c r="R37" s="179"/>
      <c r="S37" s="179"/>
      <c r="T37" s="177">
        <v>44929</v>
      </c>
      <c r="U37" s="177"/>
      <c r="V37" s="177"/>
      <c r="W37" s="177"/>
      <c r="X37" s="177"/>
      <c r="Y37" s="177"/>
      <c r="Z37" s="177"/>
      <c r="AA37" s="177"/>
      <c r="AB37" s="177"/>
      <c r="AC37" s="177"/>
      <c r="AD37" s="180" t="s">
        <v>1345</v>
      </c>
      <c r="AE37" s="173" t="s">
        <v>69</v>
      </c>
      <c r="AF37" s="181" t="s">
        <v>142</v>
      </c>
      <c r="AG37" s="192" t="s">
        <v>2283</v>
      </c>
      <c r="AH37" s="198"/>
      <c r="AI37" s="181">
        <v>44880</v>
      </c>
      <c r="AJ37" s="181"/>
      <c r="AK37" s="181">
        <f t="shared" ca="1" si="6"/>
        <v>44958</v>
      </c>
      <c r="AL37" s="173">
        <f t="shared" ca="1" si="2"/>
        <v>78</v>
      </c>
      <c r="AM37" s="173" t="str">
        <f t="shared" si="3"/>
        <v/>
      </c>
      <c r="AN37" s="181"/>
      <c r="AO37" s="190" t="s">
        <v>3862</v>
      </c>
      <c r="AP37" s="176">
        <v>11.87</v>
      </c>
      <c r="AQ37" s="176">
        <v>11.879999999999999</v>
      </c>
      <c r="AR37" s="176">
        <v>11.904999999999998</v>
      </c>
      <c r="AS37" s="176">
        <v>11.909999999999998</v>
      </c>
      <c r="AT37" s="173" t="str">
        <f t="shared" si="4"/>
        <v/>
      </c>
      <c r="AU37" s="173">
        <v>459</v>
      </c>
      <c r="AW37" s="142" t="s">
        <v>123</v>
      </c>
    </row>
    <row r="38" spans="2:49" s="142" customFormat="1" ht="21" customHeight="1" x14ac:dyDescent="0.25">
      <c r="B38" s="173" t="str">
        <f t="shared" si="0"/>
        <v>0-304L/1D-3.78X769</v>
      </c>
      <c r="C38" s="173" t="s">
        <v>3855</v>
      </c>
      <c r="D38" s="173" t="s">
        <v>13</v>
      </c>
      <c r="E38" s="190" t="s">
        <v>3872</v>
      </c>
      <c r="F38" s="190" t="s">
        <v>3873</v>
      </c>
      <c r="G38" s="173" t="s">
        <v>182</v>
      </c>
      <c r="H38" s="173" t="s">
        <v>127</v>
      </c>
      <c r="I38" s="174">
        <v>3.78</v>
      </c>
      <c r="J38" s="174"/>
      <c r="K38" s="174"/>
      <c r="L38" s="174"/>
      <c r="M38" s="191">
        <v>769</v>
      </c>
      <c r="N38" s="176">
        <v>12.25</v>
      </c>
      <c r="O38" s="176">
        <v>12.25</v>
      </c>
      <c r="P38" s="176"/>
      <c r="Q38" s="178"/>
      <c r="R38" s="179"/>
      <c r="S38" s="179"/>
      <c r="T38" s="177">
        <v>44929</v>
      </c>
      <c r="U38" s="177"/>
      <c r="V38" s="177"/>
      <c r="W38" s="177"/>
      <c r="X38" s="177"/>
      <c r="Y38" s="177"/>
      <c r="Z38" s="177"/>
      <c r="AA38" s="177"/>
      <c r="AB38" s="177"/>
      <c r="AC38" s="177"/>
      <c r="AD38" s="180" t="s">
        <v>1345</v>
      </c>
      <c r="AE38" s="173" t="s">
        <v>69</v>
      </c>
      <c r="AF38" s="181" t="s">
        <v>142</v>
      </c>
      <c r="AG38" s="192" t="s">
        <v>2283</v>
      </c>
      <c r="AH38" s="198"/>
      <c r="AI38" s="181">
        <v>44880</v>
      </c>
      <c r="AJ38" s="181"/>
      <c r="AK38" s="181">
        <f t="shared" ca="1" si="6"/>
        <v>44958</v>
      </c>
      <c r="AL38" s="173">
        <f t="shared" ca="1" si="2"/>
        <v>78</v>
      </c>
      <c r="AM38" s="173" t="str">
        <f t="shared" si="3"/>
        <v/>
      </c>
      <c r="AN38" s="181"/>
      <c r="AO38" s="190" t="s">
        <v>3874</v>
      </c>
      <c r="AP38" s="176">
        <v>12.25</v>
      </c>
      <c r="AQ38" s="176">
        <v>12.26</v>
      </c>
      <c r="AR38" s="176">
        <v>12.284999999999998</v>
      </c>
      <c r="AS38" s="176">
        <v>12.29</v>
      </c>
      <c r="AT38" s="173" t="str">
        <f t="shared" si="4"/>
        <v/>
      </c>
      <c r="AU38" s="173">
        <v>459</v>
      </c>
      <c r="AW38" s="142" t="s">
        <v>123</v>
      </c>
    </row>
    <row r="39" spans="2:49" s="142" customFormat="1" ht="21" customHeight="1" x14ac:dyDescent="0.25">
      <c r="B39" s="173" t="str">
        <f t="shared" si="0"/>
        <v>0-304/FH-2.00X767</v>
      </c>
      <c r="C39" s="173" t="s">
        <v>3854</v>
      </c>
      <c r="D39" s="173" t="s">
        <v>16</v>
      </c>
      <c r="E39" s="190" t="s">
        <v>2279</v>
      </c>
      <c r="F39" s="190" t="s">
        <v>3859</v>
      </c>
      <c r="G39" s="173">
        <v>304</v>
      </c>
      <c r="H39" s="173" t="s">
        <v>70</v>
      </c>
      <c r="I39" s="174">
        <v>3.94</v>
      </c>
      <c r="J39" s="174">
        <v>2</v>
      </c>
      <c r="K39" s="174"/>
      <c r="L39" s="174"/>
      <c r="M39" s="191">
        <v>767</v>
      </c>
      <c r="N39" s="176">
        <v>12.03</v>
      </c>
      <c r="O39" s="176">
        <v>12.035</v>
      </c>
      <c r="P39" s="176"/>
      <c r="Q39" s="178"/>
      <c r="R39" s="179"/>
      <c r="S39" s="179"/>
      <c r="T39" s="177">
        <v>44929</v>
      </c>
      <c r="U39" s="177"/>
      <c r="V39" s="177"/>
      <c r="W39" s="177"/>
      <c r="X39" s="177"/>
      <c r="Y39" s="177"/>
      <c r="Z39" s="177"/>
      <c r="AA39" s="177"/>
      <c r="AB39" s="177"/>
      <c r="AC39" s="177"/>
      <c r="AD39" s="180" t="s">
        <v>1345</v>
      </c>
      <c r="AE39" s="173" t="s">
        <v>69</v>
      </c>
      <c r="AF39" s="181" t="s">
        <v>142</v>
      </c>
      <c r="AG39" s="192" t="s">
        <v>2283</v>
      </c>
      <c r="AH39" s="198"/>
      <c r="AI39" s="181">
        <v>44880</v>
      </c>
      <c r="AJ39" s="181"/>
      <c r="AK39" s="181">
        <f t="shared" ca="1" si="6"/>
        <v>44958</v>
      </c>
      <c r="AL39" s="173">
        <f t="shared" ca="1" si="2"/>
        <v>78</v>
      </c>
      <c r="AM39" s="173" t="str">
        <f t="shared" si="3"/>
        <v/>
      </c>
      <c r="AN39" s="181"/>
      <c r="AO39" s="190" t="s">
        <v>2284</v>
      </c>
      <c r="AP39" s="176">
        <v>12.03</v>
      </c>
      <c r="AQ39" s="176">
        <v>12.04</v>
      </c>
      <c r="AR39" s="176">
        <v>12.064999999999998</v>
      </c>
      <c r="AS39" s="176">
        <v>12.069999999999999</v>
      </c>
      <c r="AT39" s="173" t="str">
        <f t="shared" si="4"/>
        <v/>
      </c>
      <c r="AU39" s="173">
        <v>459</v>
      </c>
      <c r="AW39" s="142" t="s">
        <v>123</v>
      </c>
    </row>
    <row r="40" spans="2:49" s="142" customFormat="1" ht="21" customHeight="1" x14ac:dyDescent="0.25">
      <c r="B40" s="173" t="str">
        <f t="shared" si="0"/>
        <v>0-304L/1D-3.78X767</v>
      </c>
      <c r="C40" s="173" t="s">
        <v>3855</v>
      </c>
      <c r="D40" s="173" t="s">
        <v>13</v>
      </c>
      <c r="E40" s="190" t="s">
        <v>3875</v>
      </c>
      <c r="F40" s="190" t="s">
        <v>3876</v>
      </c>
      <c r="G40" s="173" t="s">
        <v>182</v>
      </c>
      <c r="H40" s="173" t="s">
        <v>127</v>
      </c>
      <c r="I40" s="174">
        <v>3.78</v>
      </c>
      <c r="J40" s="174"/>
      <c r="K40" s="174"/>
      <c r="L40" s="174"/>
      <c r="M40" s="191">
        <v>767</v>
      </c>
      <c r="N40" s="176">
        <v>12.215</v>
      </c>
      <c r="O40" s="176">
        <v>12.215</v>
      </c>
      <c r="P40" s="176"/>
      <c r="Q40" s="178"/>
      <c r="R40" s="179"/>
      <c r="S40" s="179"/>
      <c r="T40" s="177">
        <v>44929</v>
      </c>
      <c r="U40" s="177"/>
      <c r="V40" s="177"/>
      <c r="W40" s="177"/>
      <c r="X40" s="177"/>
      <c r="Y40" s="177"/>
      <c r="Z40" s="177"/>
      <c r="AA40" s="177"/>
      <c r="AB40" s="177"/>
      <c r="AC40" s="177"/>
      <c r="AD40" s="180" t="s">
        <v>1345</v>
      </c>
      <c r="AE40" s="173" t="s">
        <v>69</v>
      </c>
      <c r="AF40" s="181" t="s">
        <v>142</v>
      </c>
      <c r="AG40" s="192" t="s">
        <v>2283</v>
      </c>
      <c r="AH40" s="198"/>
      <c r="AI40" s="181">
        <v>44880</v>
      </c>
      <c r="AJ40" s="181"/>
      <c r="AK40" s="181">
        <f t="shared" ca="1" si="6"/>
        <v>44958</v>
      </c>
      <c r="AL40" s="173">
        <f t="shared" ca="1" si="2"/>
        <v>78</v>
      </c>
      <c r="AM40" s="173" t="str">
        <f t="shared" si="3"/>
        <v/>
      </c>
      <c r="AN40" s="181"/>
      <c r="AO40" s="190" t="s">
        <v>3874</v>
      </c>
      <c r="AP40" s="176">
        <v>12.215</v>
      </c>
      <c r="AQ40" s="176">
        <v>12.225</v>
      </c>
      <c r="AR40" s="176">
        <v>12.249999999999998</v>
      </c>
      <c r="AS40" s="176">
        <v>12.254999999999999</v>
      </c>
      <c r="AT40" s="173" t="str">
        <f t="shared" si="4"/>
        <v/>
      </c>
      <c r="AU40" s="173">
        <v>459</v>
      </c>
      <c r="AW40" s="142" t="s">
        <v>123</v>
      </c>
    </row>
    <row r="41" spans="2:49" s="142" customFormat="1" ht="21" customHeight="1" x14ac:dyDescent="0.25">
      <c r="B41" s="173" t="str">
        <f t="shared" si="0"/>
        <v>0-304/FH-0.80X777</v>
      </c>
      <c r="C41" s="173" t="s">
        <v>3854</v>
      </c>
      <c r="D41" s="173" t="s">
        <v>16</v>
      </c>
      <c r="E41" s="190" t="s">
        <v>1342</v>
      </c>
      <c r="F41" s="190" t="s">
        <v>3869</v>
      </c>
      <c r="G41" s="173">
        <v>304</v>
      </c>
      <c r="H41" s="173" t="s">
        <v>70</v>
      </c>
      <c r="I41" s="174">
        <v>2.94</v>
      </c>
      <c r="J41" s="174">
        <v>0.8</v>
      </c>
      <c r="K41" s="174"/>
      <c r="L41" s="174"/>
      <c r="M41" s="191">
        <v>777</v>
      </c>
      <c r="N41" s="176">
        <v>10.675000000000001</v>
      </c>
      <c r="O41" s="176">
        <v>10.7</v>
      </c>
      <c r="P41" s="176"/>
      <c r="Q41" s="178"/>
      <c r="R41" s="179"/>
      <c r="S41" s="179"/>
      <c r="T41" s="177">
        <v>44929</v>
      </c>
      <c r="U41" s="177"/>
      <c r="V41" s="177"/>
      <c r="W41" s="177"/>
      <c r="X41" s="177"/>
      <c r="Y41" s="177"/>
      <c r="Z41" s="177"/>
      <c r="AA41" s="177">
        <v>44928</v>
      </c>
      <c r="AB41" s="177"/>
      <c r="AC41" s="177"/>
      <c r="AD41" s="180" t="s">
        <v>1345</v>
      </c>
      <c r="AE41" s="173" t="s">
        <v>69</v>
      </c>
      <c r="AF41" s="181" t="s">
        <v>142</v>
      </c>
      <c r="AG41" s="181" t="s">
        <v>1346</v>
      </c>
      <c r="AH41" s="181"/>
      <c r="AI41" s="181">
        <v>44813</v>
      </c>
      <c r="AJ41" s="181"/>
      <c r="AK41" s="181">
        <f t="shared" ca="1" si="6"/>
        <v>44958</v>
      </c>
      <c r="AL41" s="173">
        <f t="shared" ca="1" si="2"/>
        <v>145</v>
      </c>
      <c r="AM41" s="173" t="str">
        <f t="shared" si="3"/>
        <v/>
      </c>
      <c r="AN41" s="181"/>
      <c r="AO41" s="190" t="s">
        <v>1347</v>
      </c>
      <c r="AP41" s="176">
        <v>21.414999999999999</v>
      </c>
      <c r="AQ41" s="176">
        <v>21.475000000000001</v>
      </c>
      <c r="AR41" s="176">
        <v>21.500000000000004</v>
      </c>
      <c r="AS41" s="176">
        <v>21.505000000000003</v>
      </c>
      <c r="AT41" s="173" t="str">
        <f t="shared" si="4"/>
        <v/>
      </c>
      <c r="AU41" s="173">
        <v>451</v>
      </c>
      <c r="AW41" s="142" t="s">
        <v>123</v>
      </c>
    </row>
    <row r="42" spans="2:49" s="142" customFormat="1" ht="21" customHeight="1" x14ac:dyDescent="0.25">
      <c r="B42" s="173" t="str">
        <f>IF(C42="HOLD RM","HOLD RM",IF(C42="BAL","WIP",IF(C42="HOLD SLT","HOLD SLT",IF(C42="MILL","RM",IF(C42="RE SLT","WIP",IF(C42="RM","RM",IF(C42="RM BAL","RM",IF(C42="RM SLT","RM",IF(C42="RR","WIP",IF(C42="SKP","WIP",IF(C42="SLT","WIP",IF(C42="CTL","WIP",IF(C42="RM SLT RUST","RM SLT RUST",0)))))))))))))&amp;"-"&amp;G42&amp;"/"&amp;IF(H42="2B","2B",IF(H42="NO.1","1D",IF(H42="FH","FH",0)))&amp;"-"&amp;IF(J42="",(TEXT(I42,"0.00")),TEXT(J42,"0.00"))&amp;"X"&amp;M42</f>
        <v>0-304/1D-3.18X777</v>
      </c>
      <c r="C42" s="201" t="s">
        <v>3855</v>
      </c>
      <c r="D42" s="173" t="s">
        <v>13</v>
      </c>
      <c r="E42" s="190" t="s">
        <v>3877</v>
      </c>
      <c r="F42" s="190" t="s">
        <v>3878</v>
      </c>
      <c r="G42" s="173">
        <v>304</v>
      </c>
      <c r="H42" s="173" t="s">
        <v>127</v>
      </c>
      <c r="I42" s="174">
        <v>3.18</v>
      </c>
      <c r="J42" s="174"/>
      <c r="K42" s="174"/>
      <c r="L42" s="174"/>
      <c r="M42" s="191">
        <v>777</v>
      </c>
      <c r="N42" s="176">
        <v>10.695</v>
      </c>
      <c r="O42" s="176">
        <v>10.695</v>
      </c>
      <c r="P42" s="176"/>
      <c r="Q42" s="178"/>
      <c r="R42" s="179"/>
      <c r="S42" s="179"/>
      <c r="T42" s="177">
        <v>44929</v>
      </c>
      <c r="U42" s="177"/>
      <c r="V42" s="177"/>
      <c r="W42" s="177"/>
      <c r="X42" s="177"/>
      <c r="Y42" s="177"/>
      <c r="Z42" s="177"/>
      <c r="AA42" s="177">
        <v>44929</v>
      </c>
      <c r="AB42" s="177"/>
      <c r="AC42" s="177"/>
      <c r="AD42" s="180" t="s">
        <v>1345</v>
      </c>
      <c r="AE42" s="173" t="s">
        <v>69</v>
      </c>
      <c r="AF42" s="181" t="s">
        <v>142</v>
      </c>
      <c r="AG42" s="181" t="s">
        <v>1346</v>
      </c>
      <c r="AH42" s="181"/>
      <c r="AI42" s="181">
        <v>44813</v>
      </c>
      <c r="AJ42" s="181"/>
      <c r="AK42" s="181">
        <f ca="1">TODAY()</f>
        <v>44958</v>
      </c>
      <c r="AL42" s="173">
        <f ca="1">IF(AI42&lt;&gt;0,AK42-AI42,0)</f>
        <v>145</v>
      </c>
      <c r="AM42" s="173" t="str">
        <f>IF(ISNUMBER(X42)=TRUE,AK42-X42,IF(X42="","",(AK42)-(MID(RIGHT(X42,10),4,2)&amp;"/"&amp;LEFT((RIGHT(X42,10)),2)&amp;"/"&amp;RIGHT(X42,4))))</f>
        <v/>
      </c>
      <c r="AN42" s="181"/>
      <c r="AO42" s="190" t="s">
        <v>3879</v>
      </c>
      <c r="AP42" s="176">
        <v>21.465</v>
      </c>
      <c r="AQ42" s="176">
        <v>21.524999999999999</v>
      </c>
      <c r="AR42" s="176">
        <v>21.55</v>
      </c>
      <c r="AS42" s="176">
        <v>21.555</v>
      </c>
      <c r="AT42" s="173" t="str">
        <f t="shared" si="4"/>
        <v/>
      </c>
      <c r="AU42" s="173">
        <v>451</v>
      </c>
      <c r="AW42" s="142" t="s">
        <v>123</v>
      </c>
    </row>
    <row r="43" spans="2:49" s="142" customFormat="1" ht="21" customHeight="1" x14ac:dyDescent="0.25">
      <c r="B43" s="173" t="str">
        <f t="shared" ref="B43:B52" si="7">IF(C43="HOLD RM","HOLD RM",IF(C43="BAL","WIP",IF(C43="HOLD SLT","HOLD SLT",IF(C43="MILL","RM",IF(C43="RE SLT","WIP",IF(C43="RM","RM",IF(C43="RM BAL","RM",IF(C43="RM SLT","RM",IF(C43="RR","WIP",IF(C43="SKP","WIP",IF(C43="SLT","WIP",IF(C43="CTL","WIP",IF(C43="RM SLT RUST","RM SLT RUST",0)))))))))))))&amp;"-"&amp;G43&amp;"/"&amp;IF(H43="2B","2B",IF(H43="NO.1","1D",IF(H43="FH","FH",0)))&amp;"-"&amp;IF(J43="",(TEXT(I43,"0.00")),TEXT(J43,"0.00"))&amp;"X"&amp;M43</f>
        <v>0-304L/FH-1.50X769</v>
      </c>
      <c r="C43" s="173" t="s">
        <v>3854</v>
      </c>
      <c r="D43" s="173" t="s">
        <v>16</v>
      </c>
      <c r="E43" s="190" t="s">
        <v>3872</v>
      </c>
      <c r="F43" s="190" t="s">
        <v>3873</v>
      </c>
      <c r="G43" s="173" t="s">
        <v>182</v>
      </c>
      <c r="H43" s="173" t="s">
        <v>70</v>
      </c>
      <c r="I43" s="174">
        <v>3.78</v>
      </c>
      <c r="J43" s="174">
        <v>1.5</v>
      </c>
      <c r="K43" s="174"/>
      <c r="L43" s="174"/>
      <c r="M43" s="191">
        <v>769</v>
      </c>
      <c r="N43" s="176">
        <v>12.25</v>
      </c>
      <c r="O43" s="176">
        <v>12.26</v>
      </c>
      <c r="P43" s="176"/>
      <c r="Q43" s="178"/>
      <c r="R43" s="179"/>
      <c r="S43" s="179"/>
      <c r="T43" s="177">
        <v>44929</v>
      </c>
      <c r="U43" s="177"/>
      <c r="V43" s="177"/>
      <c r="W43" s="177"/>
      <c r="X43" s="177"/>
      <c r="Y43" s="177"/>
      <c r="Z43" s="177"/>
      <c r="AA43" s="177"/>
      <c r="AB43" s="177"/>
      <c r="AC43" s="177"/>
      <c r="AD43" s="180" t="s">
        <v>1345</v>
      </c>
      <c r="AE43" s="173" t="s">
        <v>69</v>
      </c>
      <c r="AF43" s="181" t="s">
        <v>142</v>
      </c>
      <c r="AG43" s="192" t="s">
        <v>2283</v>
      </c>
      <c r="AH43" s="198"/>
      <c r="AI43" s="181">
        <v>44880</v>
      </c>
      <c r="AJ43" s="181"/>
      <c r="AK43" s="181">
        <f t="shared" ca="1" si="6"/>
        <v>44958</v>
      </c>
      <c r="AL43" s="173">
        <f t="shared" ref="AL43:AL52" ca="1" si="8">IF(AI43&lt;&gt;0,AK43-AI43,0)</f>
        <v>78</v>
      </c>
      <c r="AM43" s="173" t="str">
        <f t="shared" ref="AM43:AM52" si="9">IF(ISNUMBER(X43)=TRUE,AK43-X43,IF(X43="","",(AK43)-(MID(RIGHT(X43,10),4,2)&amp;"/"&amp;LEFT((RIGHT(X43,10)),2)&amp;"/"&amp;RIGHT(X43,4))))</f>
        <v/>
      </c>
      <c r="AN43" s="181"/>
      <c r="AO43" s="190" t="s">
        <v>3874</v>
      </c>
      <c r="AP43" s="176">
        <v>12.25</v>
      </c>
      <c r="AQ43" s="176">
        <v>12.26</v>
      </c>
      <c r="AR43" s="176">
        <v>12.284999999999998</v>
      </c>
      <c r="AS43" s="176">
        <v>12.29</v>
      </c>
      <c r="AT43" s="173" t="str">
        <f t="shared" si="4"/>
        <v/>
      </c>
      <c r="AU43" s="173">
        <v>459</v>
      </c>
      <c r="AW43" s="142" t="s">
        <v>123</v>
      </c>
    </row>
    <row r="44" spans="2:49" s="142" customFormat="1" ht="21" customHeight="1" x14ac:dyDescent="0.25">
      <c r="B44" s="173" t="str">
        <f t="shared" si="7"/>
        <v>0-304/1D-2.96X777</v>
      </c>
      <c r="C44" s="173" t="s">
        <v>3855</v>
      </c>
      <c r="D44" s="173" t="s">
        <v>13</v>
      </c>
      <c r="E44" s="190" t="s">
        <v>3880</v>
      </c>
      <c r="F44" s="190" t="s">
        <v>3881</v>
      </c>
      <c r="G44" s="173">
        <v>304</v>
      </c>
      <c r="H44" s="173" t="s">
        <v>127</v>
      </c>
      <c r="I44" s="174">
        <v>2.96</v>
      </c>
      <c r="J44" s="174"/>
      <c r="K44" s="174"/>
      <c r="L44" s="174"/>
      <c r="M44" s="191">
        <v>777</v>
      </c>
      <c r="N44" s="176">
        <v>10.755000000000001</v>
      </c>
      <c r="O44" s="176">
        <v>10.755000000000001</v>
      </c>
      <c r="P44" s="176"/>
      <c r="Q44" s="178"/>
      <c r="R44" s="179"/>
      <c r="S44" s="179"/>
      <c r="T44" s="177">
        <v>44929</v>
      </c>
      <c r="U44" s="177"/>
      <c r="V44" s="177"/>
      <c r="W44" s="177"/>
      <c r="X44" s="177"/>
      <c r="Y44" s="177"/>
      <c r="Z44" s="177"/>
      <c r="AA44" s="177">
        <v>44926</v>
      </c>
      <c r="AB44" s="177"/>
      <c r="AC44" s="177"/>
      <c r="AD44" s="180" t="s">
        <v>1345</v>
      </c>
      <c r="AE44" s="173" t="s">
        <v>69</v>
      </c>
      <c r="AF44" s="181" t="s">
        <v>142</v>
      </c>
      <c r="AG44" s="181" t="s">
        <v>1346</v>
      </c>
      <c r="AH44" s="181"/>
      <c r="AI44" s="181">
        <v>44813</v>
      </c>
      <c r="AJ44" s="181"/>
      <c r="AK44" s="181">
        <f t="shared" ca="1" si="6"/>
        <v>44958</v>
      </c>
      <c r="AL44" s="173">
        <f t="shared" ca="1" si="8"/>
        <v>145</v>
      </c>
      <c r="AM44" s="173" t="str">
        <f t="shared" si="9"/>
        <v/>
      </c>
      <c r="AN44" s="181"/>
      <c r="AO44" s="190" t="s">
        <v>3882</v>
      </c>
      <c r="AP44" s="176">
        <v>21.445</v>
      </c>
      <c r="AQ44" s="176">
        <v>21.504999999999999</v>
      </c>
      <c r="AR44" s="176">
        <v>21.53</v>
      </c>
      <c r="AS44" s="176">
        <v>21.535</v>
      </c>
      <c r="AT44" s="173" t="str">
        <f t="shared" si="4"/>
        <v/>
      </c>
      <c r="AU44" s="173">
        <v>451</v>
      </c>
      <c r="AW44" s="142" t="s">
        <v>123</v>
      </c>
    </row>
    <row r="45" spans="2:49" s="142" customFormat="1" ht="21" customHeight="1" x14ac:dyDescent="0.25">
      <c r="B45" s="173" t="str">
        <f t="shared" si="7"/>
        <v>0-304/FH-0.95X770</v>
      </c>
      <c r="C45" s="173" t="s">
        <v>3854</v>
      </c>
      <c r="D45" s="173" t="s">
        <v>16</v>
      </c>
      <c r="E45" s="190" t="s">
        <v>3866</v>
      </c>
      <c r="F45" s="190" t="s">
        <v>3867</v>
      </c>
      <c r="G45" s="173">
        <v>304</v>
      </c>
      <c r="H45" s="173" t="s">
        <v>70</v>
      </c>
      <c r="I45" s="174">
        <v>2.88</v>
      </c>
      <c r="J45" s="174">
        <v>0.95</v>
      </c>
      <c r="K45" s="174"/>
      <c r="L45" s="174"/>
      <c r="M45" s="191">
        <v>770</v>
      </c>
      <c r="N45" s="176">
        <v>10.55</v>
      </c>
      <c r="O45" s="176">
        <v>10.565</v>
      </c>
      <c r="P45" s="176"/>
      <c r="Q45" s="178"/>
      <c r="R45" s="179"/>
      <c r="S45" s="179"/>
      <c r="T45" s="177">
        <v>44929</v>
      </c>
      <c r="U45" s="177"/>
      <c r="V45" s="177"/>
      <c r="W45" s="177"/>
      <c r="X45" s="177"/>
      <c r="Y45" s="177"/>
      <c r="Z45" s="177"/>
      <c r="AA45" s="177"/>
      <c r="AB45" s="177"/>
      <c r="AC45" s="177"/>
      <c r="AD45" s="180" t="s">
        <v>2479</v>
      </c>
      <c r="AE45" s="173" t="s">
        <v>69</v>
      </c>
      <c r="AF45" s="181" t="s">
        <v>142</v>
      </c>
      <c r="AG45" s="192" t="s">
        <v>1584</v>
      </c>
      <c r="AH45" s="198"/>
      <c r="AI45" s="181">
        <v>44914</v>
      </c>
      <c r="AJ45" s="181"/>
      <c r="AK45" s="181">
        <f t="shared" ca="1" si="6"/>
        <v>44958</v>
      </c>
      <c r="AL45" s="173">
        <f t="shared" ca="1" si="8"/>
        <v>44</v>
      </c>
      <c r="AM45" s="173" t="str">
        <f t="shared" si="9"/>
        <v/>
      </c>
      <c r="AN45" s="181"/>
      <c r="AO45" s="190" t="s">
        <v>3868</v>
      </c>
      <c r="AP45" s="176">
        <v>10.55</v>
      </c>
      <c r="AQ45" s="176">
        <v>10.56</v>
      </c>
      <c r="AR45" s="176">
        <v>10.584999999999999</v>
      </c>
      <c r="AS45" s="176">
        <v>10.59</v>
      </c>
      <c r="AT45" s="173" t="str">
        <f t="shared" si="4"/>
        <v/>
      </c>
      <c r="AU45" s="173">
        <v>462</v>
      </c>
      <c r="AW45" s="142" t="s">
        <v>123</v>
      </c>
    </row>
    <row r="46" spans="2:49" s="142" customFormat="1" ht="21" customHeight="1" x14ac:dyDescent="0.25">
      <c r="B46" s="173" t="str">
        <f t="shared" si="7"/>
        <v>0-304/1D-3.18X777</v>
      </c>
      <c r="C46" s="173" t="s">
        <v>3883</v>
      </c>
      <c r="D46" s="173" t="s">
        <v>13</v>
      </c>
      <c r="E46" s="190" t="s">
        <v>3884</v>
      </c>
      <c r="F46" s="190" t="s">
        <v>3885</v>
      </c>
      <c r="G46" s="173">
        <v>304</v>
      </c>
      <c r="H46" s="173" t="s">
        <v>127</v>
      </c>
      <c r="I46" s="174">
        <v>3.18</v>
      </c>
      <c r="J46" s="174"/>
      <c r="K46" s="174"/>
      <c r="L46" s="174"/>
      <c r="M46" s="191">
        <v>777</v>
      </c>
      <c r="N46" s="176">
        <v>10.69</v>
      </c>
      <c r="O46" s="176">
        <v>10.69</v>
      </c>
      <c r="P46" s="176"/>
      <c r="Q46" s="178"/>
      <c r="R46" s="179"/>
      <c r="S46" s="179"/>
      <c r="T46" s="177">
        <v>44930</v>
      </c>
      <c r="U46" s="177"/>
      <c r="V46" s="177"/>
      <c r="W46" s="177"/>
      <c r="X46" s="177"/>
      <c r="Y46" s="177"/>
      <c r="Z46" s="177"/>
      <c r="AA46" s="177">
        <v>44928</v>
      </c>
      <c r="AB46" s="177"/>
      <c r="AC46" s="177"/>
      <c r="AD46" s="180" t="s">
        <v>1345</v>
      </c>
      <c r="AE46" s="173" t="s">
        <v>69</v>
      </c>
      <c r="AF46" s="181" t="s">
        <v>142</v>
      </c>
      <c r="AG46" s="181" t="s">
        <v>1346</v>
      </c>
      <c r="AH46" s="181"/>
      <c r="AI46" s="181">
        <v>44813</v>
      </c>
      <c r="AJ46" s="181"/>
      <c r="AK46" s="181">
        <f t="shared" ca="1" si="6"/>
        <v>44958</v>
      </c>
      <c r="AL46" s="173">
        <f t="shared" ca="1" si="8"/>
        <v>145</v>
      </c>
      <c r="AM46" s="173" t="str">
        <f t="shared" si="9"/>
        <v/>
      </c>
      <c r="AN46" s="181"/>
      <c r="AO46" s="190" t="s">
        <v>3886</v>
      </c>
      <c r="AP46" s="176">
        <v>21.445</v>
      </c>
      <c r="AQ46" s="176">
        <v>21.504999999999999</v>
      </c>
      <c r="AR46" s="176">
        <v>21.53</v>
      </c>
      <c r="AS46" s="176">
        <v>21.535</v>
      </c>
      <c r="AT46" s="173" t="str">
        <f t="shared" si="4"/>
        <v/>
      </c>
      <c r="AU46" s="173">
        <v>451</v>
      </c>
      <c r="AW46" s="142" t="s">
        <v>123</v>
      </c>
    </row>
    <row r="47" spans="2:49" s="142" customFormat="1" ht="21" customHeight="1" x14ac:dyDescent="0.25">
      <c r="B47" s="173" t="str">
        <f t="shared" si="7"/>
        <v>0-304L/FH-1.20X771</v>
      </c>
      <c r="C47" s="173" t="s">
        <v>3887</v>
      </c>
      <c r="D47" s="173" t="s">
        <v>16</v>
      </c>
      <c r="E47" s="190" t="s">
        <v>3870</v>
      </c>
      <c r="F47" s="190" t="s">
        <v>3871</v>
      </c>
      <c r="G47" s="173" t="s">
        <v>182</v>
      </c>
      <c r="H47" s="173" t="s">
        <v>70</v>
      </c>
      <c r="I47" s="174">
        <v>3.78</v>
      </c>
      <c r="J47" s="174">
        <v>1.2</v>
      </c>
      <c r="K47" s="174"/>
      <c r="L47" s="174"/>
      <c r="M47" s="191">
        <v>771</v>
      </c>
      <c r="N47" s="176">
        <v>11.99</v>
      </c>
      <c r="O47" s="176">
        <v>12.01</v>
      </c>
      <c r="P47" s="176"/>
      <c r="Q47" s="178"/>
      <c r="R47" s="179"/>
      <c r="S47" s="179"/>
      <c r="T47" s="177">
        <v>44929</v>
      </c>
      <c r="U47" s="177"/>
      <c r="V47" s="177"/>
      <c r="W47" s="177"/>
      <c r="X47" s="177"/>
      <c r="Y47" s="177"/>
      <c r="Z47" s="177"/>
      <c r="AA47" s="177"/>
      <c r="AB47" s="177"/>
      <c r="AC47" s="177"/>
      <c r="AD47" s="180" t="s">
        <v>1345</v>
      </c>
      <c r="AE47" s="173" t="s">
        <v>69</v>
      </c>
      <c r="AF47" s="181" t="s">
        <v>142</v>
      </c>
      <c r="AG47" s="192" t="s">
        <v>2283</v>
      </c>
      <c r="AH47" s="198"/>
      <c r="AI47" s="181">
        <v>44880</v>
      </c>
      <c r="AJ47" s="181"/>
      <c r="AK47" s="181">
        <f t="shared" ca="1" si="6"/>
        <v>44958</v>
      </c>
      <c r="AL47" s="173">
        <f t="shared" ca="1" si="8"/>
        <v>78</v>
      </c>
      <c r="AM47" s="173" t="str">
        <f t="shared" si="9"/>
        <v/>
      </c>
      <c r="AN47" s="181"/>
      <c r="AO47" s="190" t="s">
        <v>3862</v>
      </c>
      <c r="AP47" s="176">
        <v>11.99</v>
      </c>
      <c r="AQ47" s="176">
        <v>12</v>
      </c>
      <c r="AR47" s="176">
        <v>12.024999999999999</v>
      </c>
      <c r="AS47" s="176">
        <v>12.03</v>
      </c>
      <c r="AT47" s="173" t="str">
        <f t="shared" si="4"/>
        <v/>
      </c>
      <c r="AU47" s="173">
        <v>459</v>
      </c>
      <c r="AW47" s="142" t="s">
        <v>123</v>
      </c>
    </row>
    <row r="48" spans="2:49" s="142" customFormat="1" ht="21" customHeight="1" x14ac:dyDescent="0.25">
      <c r="B48" s="173" t="str">
        <f t="shared" si="7"/>
        <v>0-304/1D-3.18X777</v>
      </c>
      <c r="C48" s="173" t="s">
        <v>3883</v>
      </c>
      <c r="D48" s="173" t="s">
        <v>13</v>
      </c>
      <c r="E48" s="190" t="s">
        <v>3884</v>
      </c>
      <c r="F48" s="190" t="s">
        <v>3888</v>
      </c>
      <c r="G48" s="173">
        <v>304</v>
      </c>
      <c r="H48" s="173" t="s">
        <v>127</v>
      </c>
      <c r="I48" s="174">
        <v>3.18</v>
      </c>
      <c r="J48" s="174"/>
      <c r="K48" s="174"/>
      <c r="L48" s="174"/>
      <c r="M48" s="191">
        <v>777</v>
      </c>
      <c r="N48" s="176">
        <v>10.744999999999999</v>
      </c>
      <c r="O48" s="176">
        <v>10.744999999999999</v>
      </c>
      <c r="P48" s="176"/>
      <c r="Q48" s="178"/>
      <c r="R48" s="179"/>
      <c r="S48" s="179"/>
      <c r="T48" s="177">
        <v>44930</v>
      </c>
      <c r="U48" s="177"/>
      <c r="V48" s="177"/>
      <c r="W48" s="177"/>
      <c r="X48" s="177"/>
      <c r="Y48" s="177"/>
      <c r="Z48" s="177"/>
      <c r="AA48" s="177">
        <v>44928</v>
      </c>
      <c r="AB48" s="177"/>
      <c r="AC48" s="177"/>
      <c r="AD48" s="180" t="s">
        <v>1345</v>
      </c>
      <c r="AE48" s="173" t="s">
        <v>69</v>
      </c>
      <c r="AF48" s="181" t="s">
        <v>142</v>
      </c>
      <c r="AG48" s="181" t="s">
        <v>1346</v>
      </c>
      <c r="AH48" s="181"/>
      <c r="AI48" s="181">
        <v>44813</v>
      </c>
      <c r="AJ48" s="181"/>
      <c r="AK48" s="181">
        <f t="shared" ca="1" si="6"/>
        <v>44958</v>
      </c>
      <c r="AL48" s="173">
        <f t="shared" ca="1" si="8"/>
        <v>145</v>
      </c>
      <c r="AM48" s="173" t="str">
        <f t="shared" si="9"/>
        <v/>
      </c>
      <c r="AN48" s="181"/>
      <c r="AO48" s="190" t="s">
        <v>3886</v>
      </c>
      <c r="AP48" s="176">
        <v>21.445</v>
      </c>
      <c r="AQ48" s="176">
        <v>21.504999999999999</v>
      </c>
      <c r="AR48" s="176">
        <v>21.53</v>
      </c>
      <c r="AS48" s="176">
        <v>21.535</v>
      </c>
      <c r="AT48" s="173" t="str">
        <f t="shared" si="4"/>
        <v/>
      </c>
      <c r="AU48" s="173">
        <v>451</v>
      </c>
      <c r="AW48" s="142" t="s">
        <v>123</v>
      </c>
    </row>
    <row r="49" spans="2:49" s="142" customFormat="1" ht="21" customHeight="1" x14ac:dyDescent="0.25">
      <c r="B49" s="173" t="str">
        <f t="shared" si="7"/>
        <v>0-304L/FH-1.20X767</v>
      </c>
      <c r="C49" s="173" t="s">
        <v>3887</v>
      </c>
      <c r="D49" s="173" t="s">
        <v>16</v>
      </c>
      <c r="E49" s="190" t="s">
        <v>3875</v>
      </c>
      <c r="F49" s="190" t="s">
        <v>3876</v>
      </c>
      <c r="G49" s="173" t="s">
        <v>182</v>
      </c>
      <c r="H49" s="173" t="s">
        <v>70</v>
      </c>
      <c r="I49" s="174">
        <v>3.78</v>
      </c>
      <c r="J49" s="174">
        <v>1.2</v>
      </c>
      <c r="K49" s="174"/>
      <c r="L49" s="174"/>
      <c r="M49" s="191">
        <v>767</v>
      </c>
      <c r="N49" s="176">
        <v>12.215</v>
      </c>
      <c r="O49" s="176">
        <v>12.24</v>
      </c>
      <c r="P49" s="176"/>
      <c r="Q49" s="178"/>
      <c r="R49" s="179"/>
      <c r="S49" s="179"/>
      <c r="T49" s="177">
        <v>44929</v>
      </c>
      <c r="U49" s="177"/>
      <c r="V49" s="177"/>
      <c r="W49" s="177"/>
      <c r="X49" s="177"/>
      <c r="Y49" s="177"/>
      <c r="Z49" s="177"/>
      <c r="AA49" s="177"/>
      <c r="AB49" s="177"/>
      <c r="AC49" s="177"/>
      <c r="AD49" s="180" t="s">
        <v>1345</v>
      </c>
      <c r="AE49" s="173" t="s">
        <v>69</v>
      </c>
      <c r="AF49" s="181" t="s">
        <v>142</v>
      </c>
      <c r="AG49" s="192" t="s">
        <v>2283</v>
      </c>
      <c r="AH49" s="198"/>
      <c r="AI49" s="181">
        <v>44880</v>
      </c>
      <c r="AJ49" s="181"/>
      <c r="AK49" s="181">
        <f t="shared" ca="1" si="6"/>
        <v>44958</v>
      </c>
      <c r="AL49" s="173">
        <f t="shared" ca="1" si="8"/>
        <v>78</v>
      </c>
      <c r="AM49" s="173" t="str">
        <f t="shared" si="9"/>
        <v/>
      </c>
      <c r="AN49" s="181"/>
      <c r="AO49" s="190" t="s">
        <v>3874</v>
      </c>
      <c r="AP49" s="176">
        <v>12.215</v>
      </c>
      <c r="AQ49" s="176">
        <v>12.225</v>
      </c>
      <c r="AR49" s="176">
        <v>12.249999999999998</v>
      </c>
      <c r="AS49" s="176">
        <v>12.254999999999999</v>
      </c>
      <c r="AT49" s="173" t="str">
        <f t="shared" si="4"/>
        <v/>
      </c>
      <c r="AU49" s="173">
        <v>459</v>
      </c>
      <c r="AW49" s="142" t="s">
        <v>123</v>
      </c>
    </row>
    <row r="50" spans="2:49" s="142" customFormat="1" ht="21" customHeight="1" x14ac:dyDescent="0.25">
      <c r="B50" s="173" t="str">
        <f t="shared" si="7"/>
        <v>0-304/1D-3.46X768</v>
      </c>
      <c r="C50" s="173" t="s">
        <v>3883</v>
      </c>
      <c r="D50" s="173" t="s">
        <v>13</v>
      </c>
      <c r="E50" s="190" t="s">
        <v>3889</v>
      </c>
      <c r="F50" s="190" t="s">
        <v>3890</v>
      </c>
      <c r="G50" s="173">
        <v>304</v>
      </c>
      <c r="H50" s="173" t="s">
        <v>127</v>
      </c>
      <c r="I50" s="174">
        <v>3.46</v>
      </c>
      <c r="J50" s="174"/>
      <c r="K50" s="174"/>
      <c r="L50" s="174"/>
      <c r="M50" s="191">
        <v>768</v>
      </c>
      <c r="N50" s="176">
        <v>9.6850000000000005</v>
      </c>
      <c r="O50" s="176">
        <v>9.6850000000000005</v>
      </c>
      <c r="P50" s="176"/>
      <c r="Q50" s="178"/>
      <c r="R50" s="179"/>
      <c r="S50" s="179"/>
      <c r="T50" s="177">
        <v>44930</v>
      </c>
      <c r="U50" s="177"/>
      <c r="V50" s="177"/>
      <c r="W50" s="177"/>
      <c r="X50" s="177"/>
      <c r="Y50" s="177"/>
      <c r="Z50" s="177"/>
      <c r="AA50" s="177"/>
      <c r="AB50" s="177"/>
      <c r="AC50" s="177"/>
      <c r="AD50" s="180" t="s">
        <v>2470</v>
      </c>
      <c r="AE50" s="173" t="s">
        <v>69</v>
      </c>
      <c r="AF50" s="181" t="s">
        <v>142</v>
      </c>
      <c r="AG50" s="192" t="s">
        <v>1584</v>
      </c>
      <c r="AH50" s="198"/>
      <c r="AI50" s="181">
        <v>44914</v>
      </c>
      <c r="AJ50" s="181"/>
      <c r="AK50" s="181">
        <f t="shared" ca="1" si="6"/>
        <v>44958</v>
      </c>
      <c r="AL50" s="173">
        <f t="shared" ca="1" si="8"/>
        <v>44</v>
      </c>
      <c r="AM50" s="173" t="str">
        <f t="shared" si="9"/>
        <v/>
      </c>
      <c r="AN50" s="181"/>
      <c r="AO50" s="190" t="s">
        <v>3891</v>
      </c>
      <c r="AP50" s="176">
        <v>9.6850000000000005</v>
      </c>
      <c r="AQ50" s="176">
        <v>9.6950000000000003</v>
      </c>
      <c r="AR50" s="176">
        <v>9.7199999999999989</v>
      </c>
      <c r="AS50" s="176">
        <v>9.7249999999999996</v>
      </c>
      <c r="AT50" s="173" t="str">
        <f t="shared" si="4"/>
        <v/>
      </c>
      <c r="AU50" s="173">
        <v>462</v>
      </c>
      <c r="AW50" s="142" t="s">
        <v>123</v>
      </c>
    </row>
    <row r="51" spans="2:49" s="142" customFormat="1" ht="21" customHeight="1" x14ac:dyDescent="0.25">
      <c r="B51" s="173" t="str">
        <f t="shared" si="7"/>
        <v>0-304/FH-1.10X777</v>
      </c>
      <c r="C51" s="173" t="s">
        <v>3887</v>
      </c>
      <c r="D51" s="173" t="s">
        <v>16</v>
      </c>
      <c r="E51" s="190" t="s">
        <v>3880</v>
      </c>
      <c r="F51" s="190" t="s">
        <v>3881</v>
      </c>
      <c r="G51" s="173">
        <v>304</v>
      </c>
      <c r="H51" s="173" t="s">
        <v>70</v>
      </c>
      <c r="I51" s="174">
        <v>2.96</v>
      </c>
      <c r="J51" s="174">
        <v>1.1000000000000001</v>
      </c>
      <c r="K51" s="174"/>
      <c r="L51" s="174"/>
      <c r="M51" s="191">
        <v>777</v>
      </c>
      <c r="N51" s="176">
        <v>10.755000000000001</v>
      </c>
      <c r="O51" s="176">
        <v>10.78</v>
      </c>
      <c r="P51" s="176"/>
      <c r="Q51" s="178"/>
      <c r="R51" s="179"/>
      <c r="S51" s="179"/>
      <c r="T51" s="177">
        <v>44929</v>
      </c>
      <c r="U51" s="177"/>
      <c r="V51" s="177"/>
      <c r="W51" s="177"/>
      <c r="X51" s="177"/>
      <c r="Y51" s="177"/>
      <c r="Z51" s="177"/>
      <c r="AA51" s="177">
        <v>44926</v>
      </c>
      <c r="AB51" s="177"/>
      <c r="AC51" s="177"/>
      <c r="AD51" s="180" t="s">
        <v>1345</v>
      </c>
      <c r="AE51" s="173" t="s">
        <v>69</v>
      </c>
      <c r="AF51" s="181" t="s">
        <v>142</v>
      </c>
      <c r="AG51" s="181" t="s">
        <v>1346</v>
      </c>
      <c r="AH51" s="181"/>
      <c r="AI51" s="181">
        <v>44813</v>
      </c>
      <c r="AJ51" s="181"/>
      <c r="AK51" s="181">
        <f t="shared" ca="1" si="6"/>
        <v>44958</v>
      </c>
      <c r="AL51" s="173">
        <f t="shared" ca="1" si="8"/>
        <v>145</v>
      </c>
      <c r="AM51" s="173" t="str">
        <f t="shared" si="9"/>
        <v/>
      </c>
      <c r="AN51" s="181"/>
      <c r="AO51" s="190" t="s">
        <v>3882</v>
      </c>
      <c r="AP51" s="176">
        <v>21.445</v>
      </c>
      <c r="AQ51" s="176">
        <v>21.504999999999999</v>
      </c>
      <c r="AR51" s="176">
        <v>21.53</v>
      </c>
      <c r="AS51" s="176">
        <v>21.535</v>
      </c>
      <c r="AT51" s="173" t="str">
        <f t="shared" si="4"/>
        <v/>
      </c>
      <c r="AU51" s="173">
        <v>451</v>
      </c>
      <c r="AW51" s="142" t="s">
        <v>123</v>
      </c>
    </row>
    <row r="52" spans="2:49" s="142" customFormat="1" ht="21" customHeight="1" x14ac:dyDescent="0.25">
      <c r="B52" s="173" t="str">
        <f t="shared" si="7"/>
        <v>0-304/1D-2.95X777</v>
      </c>
      <c r="C52" s="173" t="s">
        <v>3883</v>
      </c>
      <c r="D52" s="173" t="s">
        <v>13</v>
      </c>
      <c r="E52" s="190" t="s">
        <v>3892</v>
      </c>
      <c r="F52" s="190" t="s">
        <v>3893</v>
      </c>
      <c r="G52" s="173">
        <v>304</v>
      </c>
      <c r="H52" s="173" t="s">
        <v>127</v>
      </c>
      <c r="I52" s="174">
        <v>2.95</v>
      </c>
      <c r="J52" s="174"/>
      <c r="K52" s="174"/>
      <c r="L52" s="174"/>
      <c r="M52" s="191">
        <v>777</v>
      </c>
      <c r="N52" s="176">
        <v>10.695</v>
      </c>
      <c r="O52" s="176">
        <v>10.695</v>
      </c>
      <c r="P52" s="176"/>
      <c r="Q52" s="178"/>
      <c r="R52" s="179"/>
      <c r="S52" s="179"/>
      <c r="T52" s="177">
        <v>44930</v>
      </c>
      <c r="U52" s="177"/>
      <c r="V52" s="177"/>
      <c r="W52" s="177"/>
      <c r="X52" s="177"/>
      <c r="Y52" s="177"/>
      <c r="Z52" s="177"/>
      <c r="AA52" s="177">
        <v>44926</v>
      </c>
      <c r="AB52" s="177"/>
      <c r="AC52" s="177"/>
      <c r="AD52" s="180" t="s">
        <v>1345</v>
      </c>
      <c r="AE52" s="173" t="s">
        <v>69</v>
      </c>
      <c r="AF52" s="181" t="s">
        <v>142</v>
      </c>
      <c r="AG52" s="181" t="s">
        <v>1346</v>
      </c>
      <c r="AH52" s="181"/>
      <c r="AI52" s="181">
        <v>44813</v>
      </c>
      <c r="AJ52" s="181"/>
      <c r="AK52" s="181">
        <f t="shared" ca="1" si="6"/>
        <v>44958</v>
      </c>
      <c r="AL52" s="173">
        <f t="shared" ca="1" si="8"/>
        <v>145</v>
      </c>
      <c r="AM52" s="173" t="str">
        <f t="shared" si="9"/>
        <v/>
      </c>
      <c r="AN52" s="181"/>
      <c r="AO52" s="190" t="s">
        <v>3894</v>
      </c>
      <c r="AP52" s="176">
        <v>21.414999999999999</v>
      </c>
      <c r="AQ52" s="176">
        <v>21.475000000000001</v>
      </c>
      <c r="AR52" s="176">
        <v>21.500000000000004</v>
      </c>
      <c r="AS52" s="176">
        <v>21.505000000000003</v>
      </c>
      <c r="AT52" s="173" t="str">
        <f t="shared" si="4"/>
        <v/>
      </c>
      <c r="AU52" s="173">
        <v>451</v>
      </c>
      <c r="AW52" s="142" t="s">
        <v>123</v>
      </c>
    </row>
    <row r="53" spans="2:49" s="142" customFormat="1" ht="21" customHeight="1" x14ac:dyDescent="0.25">
      <c r="B53" s="173" t="str">
        <f>IF(C53="HOLD RM","HOLD RM",IF(C53="BAL","WIP",IF(C53="HOLD SLT","HOLD SLT",IF(C53="MILL","RM",IF(C53="RE SLT","WIP",IF(C53="RM","RM",IF(C53="RM BAL","RM",IF(C53="RM SLT","RM",IF(C53="RR","WIP",IF(C53="SKP","WIP",IF(C53="SLT","WIP",IF(C53="CTL","WIP",IF(C53="RM SLT RUST","RM SLT RUST",0)))))))))))))&amp;"-"&amp;G53&amp;"/"&amp;IF(H53="2B","2B",IF(H53="NO.1","1D",IF(H53="FH","FH",0)))&amp;"-"&amp;IF(J53="",(TEXT(I53,"0.00")),TEXT(J53,"0.00"))&amp;"X"&amp;M53</f>
        <v>0-304/FH-1.10X777</v>
      </c>
      <c r="C53" s="173" t="s">
        <v>3887</v>
      </c>
      <c r="D53" s="173" t="s">
        <v>16</v>
      </c>
      <c r="E53" s="190" t="s">
        <v>3877</v>
      </c>
      <c r="F53" s="190" t="s">
        <v>3878</v>
      </c>
      <c r="G53" s="173">
        <v>304</v>
      </c>
      <c r="H53" s="173" t="s">
        <v>70</v>
      </c>
      <c r="I53" s="174">
        <v>3.18</v>
      </c>
      <c r="J53" s="174">
        <v>1.1000000000000001</v>
      </c>
      <c r="K53" s="174"/>
      <c r="L53" s="174"/>
      <c r="M53" s="191">
        <v>777</v>
      </c>
      <c r="N53" s="176">
        <v>10.695</v>
      </c>
      <c r="O53" s="176">
        <v>10.7</v>
      </c>
      <c r="P53" s="176"/>
      <c r="Q53" s="178"/>
      <c r="R53" s="179"/>
      <c r="S53" s="179"/>
      <c r="T53" s="177">
        <v>44929</v>
      </c>
      <c r="U53" s="177"/>
      <c r="V53" s="177"/>
      <c r="W53" s="177"/>
      <c r="X53" s="177"/>
      <c r="Y53" s="177"/>
      <c r="Z53" s="177"/>
      <c r="AA53" s="177">
        <v>44929</v>
      </c>
      <c r="AB53" s="177"/>
      <c r="AC53" s="177"/>
      <c r="AD53" s="180" t="s">
        <v>1345</v>
      </c>
      <c r="AE53" s="173" t="s">
        <v>69</v>
      </c>
      <c r="AF53" s="181" t="s">
        <v>142</v>
      </c>
      <c r="AG53" s="181" t="s">
        <v>1346</v>
      </c>
      <c r="AH53" s="181"/>
      <c r="AI53" s="181">
        <v>44813</v>
      </c>
      <c r="AJ53" s="181"/>
      <c r="AK53" s="181">
        <f ca="1">TODAY()</f>
        <v>44958</v>
      </c>
      <c r="AL53" s="173">
        <f ca="1">IF(AI53&lt;&gt;0,AK53-AI53,0)</f>
        <v>145</v>
      </c>
      <c r="AM53" s="173" t="str">
        <f>IF(ISNUMBER(X53)=TRUE,AK53-X53,IF(X53="","",(AK53)-(MID(RIGHT(X53,10),4,2)&amp;"/"&amp;LEFT((RIGHT(X53,10)),2)&amp;"/"&amp;RIGHT(X53,4))))</f>
        <v/>
      </c>
      <c r="AN53" s="181"/>
      <c r="AO53" s="190" t="s">
        <v>3879</v>
      </c>
      <c r="AP53" s="176">
        <v>21.465</v>
      </c>
      <c r="AQ53" s="176">
        <v>21.524999999999999</v>
      </c>
      <c r="AR53" s="176">
        <v>21.55</v>
      </c>
      <c r="AS53" s="176">
        <v>21.555</v>
      </c>
      <c r="AT53" s="173" t="str">
        <f t="shared" si="4"/>
        <v/>
      </c>
      <c r="AU53" s="173">
        <v>451</v>
      </c>
      <c r="AW53" s="142" t="s">
        <v>123</v>
      </c>
    </row>
    <row r="54" spans="2:49" s="142" customFormat="1" ht="21" customHeight="1" x14ac:dyDescent="0.25">
      <c r="B54" s="173" t="str">
        <f t="shared" ref="B54:B64" si="10">IF(C54="HOLD RM","HOLD RM",IF(C54="BAL","WIP",IF(C54="HOLD SLT","HOLD SLT",IF(C54="MILL","RM",IF(C54="RE SLT","WIP",IF(C54="RM","RM",IF(C54="RM BAL","RM",IF(C54="RM SLT","RM",IF(C54="RR","WIP",IF(C54="SKP","WIP",IF(C54="SLT","WIP",IF(C54="CTL","WIP",IF(C54="RM SLT RUST","RM SLT RUST",0)))))))))))))&amp;"-"&amp;G54&amp;"/"&amp;IF(H54="2B","2B",IF(H54="NO.1","1D",IF(H54="FH","FH",0)))&amp;"-"&amp;IF(J54="",(TEXT(I54,"0.00")),TEXT(J54,"0.00"))&amp;"X"&amp;M54</f>
        <v>0-304/1D-2.89X769</v>
      </c>
      <c r="C54" s="173" t="s">
        <v>3883</v>
      </c>
      <c r="D54" s="173" t="s">
        <v>13</v>
      </c>
      <c r="E54" s="190" t="s">
        <v>3895</v>
      </c>
      <c r="F54" s="190" t="s">
        <v>3896</v>
      </c>
      <c r="G54" s="173">
        <v>304</v>
      </c>
      <c r="H54" s="173" t="s">
        <v>127</v>
      </c>
      <c r="I54" s="174">
        <v>2.89</v>
      </c>
      <c r="J54" s="174"/>
      <c r="K54" s="174"/>
      <c r="L54" s="174"/>
      <c r="M54" s="191">
        <v>769</v>
      </c>
      <c r="N54" s="176">
        <v>10.525</v>
      </c>
      <c r="O54" s="176">
        <v>10.525</v>
      </c>
      <c r="P54" s="176"/>
      <c r="Q54" s="178"/>
      <c r="R54" s="179"/>
      <c r="S54" s="179"/>
      <c r="T54" s="177">
        <v>44930</v>
      </c>
      <c r="U54" s="177"/>
      <c r="V54" s="177"/>
      <c r="W54" s="177"/>
      <c r="X54" s="177"/>
      <c r="Y54" s="177"/>
      <c r="Z54" s="177"/>
      <c r="AA54" s="177">
        <v>44926</v>
      </c>
      <c r="AB54" s="177"/>
      <c r="AC54" s="177"/>
      <c r="AD54" s="180" t="s">
        <v>1345</v>
      </c>
      <c r="AE54" s="173" t="s">
        <v>69</v>
      </c>
      <c r="AF54" s="181" t="s">
        <v>142</v>
      </c>
      <c r="AG54" s="192" t="s">
        <v>1508</v>
      </c>
      <c r="AH54" s="198"/>
      <c r="AI54" s="181">
        <v>44849</v>
      </c>
      <c r="AJ54" s="181"/>
      <c r="AK54" s="181">
        <f t="shared" ref="AK54:AK71" ca="1" si="11">TODAY()</f>
        <v>44958</v>
      </c>
      <c r="AL54" s="173">
        <f t="shared" ref="AL54:AL64" ca="1" si="12">IF(AI54&lt;&gt;0,AK54-AI54,0)</f>
        <v>109</v>
      </c>
      <c r="AM54" s="173" t="str">
        <f t="shared" ref="AM54:AM64" si="13">IF(ISNUMBER(X54)=TRUE,AK54-X54,IF(X54="","",(AK54)-(MID(RIGHT(X54,10),4,2)&amp;"/"&amp;LEFT((RIGHT(X54,10)),2)&amp;"/"&amp;RIGHT(X54,4))))</f>
        <v/>
      </c>
      <c r="AN54" s="181"/>
      <c r="AO54" s="190" t="s">
        <v>3897</v>
      </c>
      <c r="AP54" s="176">
        <v>20.984999999999999</v>
      </c>
      <c r="AQ54" s="176">
        <v>21.045000000000002</v>
      </c>
      <c r="AR54" s="176">
        <v>21.070000000000004</v>
      </c>
      <c r="AS54" s="176">
        <v>21.075000000000003</v>
      </c>
      <c r="AT54" s="173" t="str">
        <f t="shared" si="4"/>
        <v/>
      </c>
      <c r="AU54" s="173">
        <v>456</v>
      </c>
      <c r="AW54" s="142" t="s">
        <v>123</v>
      </c>
    </row>
    <row r="55" spans="2:49" s="142" customFormat="1" ht="21" customHeight="1" x14ac:dyDescent="0.25">
      <c r="B55" s="173" t="str">
        <f t="shared" si="10"/>
        <v>0-304/FH-1.20X768</v>
      </c>
      <c r="C55" s="173" t="s">
        <v>3887</v>
      </c>
      <c r="D55" s="173" t="s">
        <v>16</v>
      </c>
      <c r="E55" s="190" t="s">
        <v>3889</v>
      </c>
      <c r="F55" s="190" t="s">
        <v>3890</v>
      </c>
      <c r="G55" s="173">
        <v>304</v>
      </c>
      <c r="H55" s="173" t="s">
        <v>70</v>
      </c>
      <c r="I55" s="174">
        <v>3.46</v>
      </c>
      <c r="J55" s="174">
        <v>1.2</v>
      </c>
      <c r="K55" s="174"/>
      <c r="L55" s="174"/>
      <c r="M55" s="191">
        <v>768</v>
      </c>
      <c r="N55" s="176">
        <v>9.6850000000000005</v>
      </c>
      <c r="O55" s="176">
        <v>9.6850000000000005</v>
      </c>
      <c r="P55" s="176"/>
      <c r="Q55" s="178"/>
      <c r="R55" s="179"/>
      <c r="S55" s="179"/>
      <c r="T55" s="177">
        <v>44930</v>
      </c>
      <c r="U55" s="177"/>
      <c r="V55" s="177"/>
      <c r="W55" s="177"/>
      <c r="X55" s="177"/>
      <c r="Y55" s="177"/>
      <c r="Z55" s="177"/>
      <c r="AA55" s="177"/>
      <c r="AB55" s="177"/>
      <c r="AC55" s="177"/>
      <c r="AD55" s="180" t="s">
        <v>2470</v>
      </c>
      <c r="AE55" s="173" t="s">
        <v>69</v>
      </c>
      <c r="AF55" s="181" t="s">
        <v>142</v>
      </c>
      <c r="AG55" s="192" t="s">
        <v>1584</v>
      </c>
      <c r="AH55" s="198"/>
      <c r="AI55" s="181">
        <v>44914</v>
      </c>
      <c r="AJ55" s="181"/>
      <c r="AK55" s="181">
        <f t="shared" ca="1" si="11"/>
        <v>44958</v>
      </c>
      <c r="AL55" s="173">
        <f t="shared" ca="1" si="12"/>
        <v>44</v>
      </c>
      <c r="AM55" s="173" t="str">
        <f t="shared" si="13"/>
        <v/>
      </c>
      <c r="AN55" s="181"/>
      <c r="AO55" s="190" t="s">
        <v>3891</v>
      </c>
      <c r="AP55" s="176">
        <v>9.6850000000000005</v>
      </c>
      <c r="AQ55" s="176">
        <v>9.6950000000000003</v>
      </c>
      <c r="AR55" s="176">
        <v>9.7199999999999989</v>
      </c>
      <c r="AS55" s="176">
        <v>9.7249999999999996</v>
      </c>
      <c r="AT55" s="173" t="str">
        <f t="shared" si="4"/>
        <v/>
      </c>
      <c r="AU55" s="173">
        <v>462</v>
      </c>
      <c r="AW55" s="142" t="s">
        <v>123</v>
      </c>
    </row>
    <row r="56" spans="2:49" s="142" customFormat="1" ht="21" customHeight="1" x14ac:dyDescent="0.25">
      <c r="B56" s="173" t="str">
        <f t="shared" si="10"/>
        <v>0-304L/1D-3.57X766</v>
      </c>
      <c r="C56" s="173" t="s">
        <v>3883</v>
      </c>
      <c r="D56" s="173" t="s">
        <v>13</v>
      </c>
      <c r="E56" s="190" t="s">
        <v>1586</v>
      </c>
      <c r="F56" s="190" t="s">
        <v>3898</v>
      </c>
      <c r="G56" s="173" t="s">
        <v>182</v>
      </c>
      <c r="H56" s="173" t="s">
        <v>127</v>
      </c>
      <c r="I56" s="174">
        <v>3.57</v>
      </c>
      <c r="J56" s="174"/>
      <c r="K56" s="174"/>
      <c r="L56" s="174"/>
      <c r="M56" s="191">
        <v>766</v>
      </c>
      <c r="N56" s="176">
        <v>10.44</v>
      </c>
      <c r="O56" s="176">
        <v>10.44</v>
      </c>
      <c r="P56" s="176"/>
      <c r="Q56" s="178"/>
      <c r="R56" s="179"/>
      <c r="S56" s="179"/>
      <c r="T56" s="177">
        <v>44930</v>
      </c>
      <c r="U56" s="177"/>
      <c r="V56" s="177"/>
      <c r="W56" s="177"/>
      <c r="X56" s="177"/>
      <c r="Y56" s="177"/>
      <c r="Z56" s="177"/>
      <c r="AA56" s="177">
        <v>44929</v>
      </c>
      <c r="AB56" s="177"/>
      <c r="AC56" s="177"/>
      <c r="AD56" s="180" t="s">
        <v>1345</v>
      </c>
      <c r="AE56" s="173" t="s">
        <v>69</v>
      </c>
      <c r="AF56" s="181" t="s">
        <v>142</v>
      </c>
      <c r="AG56" s="192" t="s">
        <v>1508</v>
      </c>
      <c r="AH56" s="198"/>
      <c r="AI56" s="181">
        <v>44849</v>
      </c>
      <c r="AJ56" s="181"/>
      <c r="AK56" s="181">
        <f t="shared" ca="1" si="11"/>
        <v>44958</v>
      </c>
      <c r="AL56" s="173">
        <f t="shared" ca="1" si="12"/>
        <v>109</v>
      </c>
      <c r="AM56" s="173" t="str">
        <f t="shared" si="13"/>
        <v/>
      </c>
      <c r="AN56" s="181"/>
      <c r="AO56" s="190" t="s">
        <v>1588</v>
      </c>
      <c r="AP56" s="176">
        <v>20.92</v>
      </c>
      <c r="AQ56" s="176">
        <v>20.98</v>
      </c>
      <c r="AR56" s="176">
        <v>21.005000000000003</v>
      </c>
      <c r="AS56" s="176">
        <v>21.01</v>
      </c>
      <c r="AT56" s="173" t="str">
        <f t="shared" si="4"/>
        <v/>
      </c>
      <c r="AU56" s="173">
        <v>456</v>
      </c>
      <c r="AW56" s="142" t="s">
        <v>123</v>
      </c>
    </row>
    <row r="57" spans="2:49" s="142" customFormat="1" ht="21" customHeight="1" x14ac:dyDescent="0.25">
      <c r="B57" s="173" t="str">
        <f t="shared" si="10"/>
        <v>0-304/FH-0.95X777</v>
      </c>
      <c r="C57" s="173" t="s">
        <v>3887</v>
      </c>
      <c r="D57" s="173" t="s">
        <v>16</v>
      </c>
      <c r="E57" s="190" t="s">
        <v>3892</v>
      </c>
      <c r="F57" s="190" t="s">
        <v>3893</v>
      </c>
      <c r="G57" s="173">
        <v>304</v>
      </c>
      <c r="H57" s="173" t="s">
        <v>70</v>
      </c>
      <c r="I57" s="174">
        <v>2.95</v>
      </c>
      <c r="J57" s="174">
        <v>0.95</v>
      </c>
      <c r="K57" s="174"/>
      <c r="L57" s="174"/>
      <c r="M57" s="191">
        <v>777</v>
      </c>
      <c r="N57" s="176">
        <v>10.695</v>
      </c>
      <c r="O57" s="176">
        <v>10.69</v>
      </c>
      <c r="P57" s="176"/>
      <c r="Q57" s="178"/>
      <c r="R57" s="179"/>
      <c r="S57" s="179"/>
      <c r="T57" s="177">
        <v>44930</v>
      </c>
      <c r="U57" s="177"/>
      <c r="V57" s="177"/>
      <c r="W57" s="177"/>
      <c r="X57" s="177"/>
      <c r="Y57" s="177"/>
      <c r="Z57" s="177"/>
      <c r="AA57" s="177">
        <v>44926</v>
      </c>
      <c r="AB57" s="177"/>
      <c r="AC57" s="177"/>
      <c r="AD57" s="180" t="s">
        <v>1345</v>
      </c>
      <c r="AE57" s="173" t="s">
        <v>69</v>
      </c>
      <c r="AF57" s="181" t="s">
        <v>142</v>
      </c>
      <c r="AG57" s="181" t="s">
        <v>1346</v>
      </c>
      <c r="AH57" s="181"/>
      <c r="AI57" s="181">
        <v>44813</v>
      </c>
      <c r="AJ57" s="181"/>
      <c r="AK57" s="181">
        <f t="shared" ca="1" si="11"/>
        <v>44958</v>
      </c>
      <c r="AL57" s="173">
        <f t="shared" ca="1" si="12"/>
        <v>145</v>
      </c>
      <c r="AM57" s="173" t="str">
        <f t="shared" si="13"/>
        <v/>
      </c>
      <c r="AN57" s="181"/>
      <c r="AO57" s="190" t="s">
        <v>3894</v>
      </c>
      <c r="AP57" s="176">
        <v>21.414999999999999</v>
      </c>
      <c r="AQ57" s="176">
        <v>21.475000000000001</v>
      </c>
      <c r="AR57" s="176">
        <v>21.500000000000004</v>
      </c>
      <c r="AS57" s="176">
        <v>21.505000000000003</v>
      </c>
      <c r="AT57" s="173" t="str">
        <f t="shared" si="4"/>
        <v/>
      </c>
      <c r="AU57" s="173">
        <v>451</v>
      </c>
      <c r="AW57" s="142" t="s">
        <v>123</v>
      </c>
    </row>
    <row r="58" spans="2:49" s="142" customFormat="1" ht="21" customHeight="1" x14ac:dyDescent="0.25">
      <c r="B58" s="173" t="str">
        <f t="shared" si="10"/>
        <v>0-304/1D-2.89X765</v>
      </c>
      <c r="C58" s="173" t="s">
        <v>3883</v>
      </c>
      <c r="D58" s="173" t="s">
        <v>13</v>
      </c>
      <c r="E58" s="190" t="s">
        <v>3895</v>
      </c>
      <c r="F58" s="190" t="s">
        <v>3899</v>
      </c>
      <c r="G58" s="173">
        <v>304</v>
      </c>
      <c r="H58" s="173" t="s">
        <v>127</v>
      </c>
      <c r="I58" s="174">
        <v>2.89</v>
      </c>
      <c r="J58" s="174"/>
      <c r="K58" s="174"/>
      <c r="L58" s="174"/>
      <c r="M58" s="191">
        <v>765</v>
      </c>
      <c r="N58" s="176">
        <v>10.46</v>
      </c>
      <c r="O58" s="176">
        <v>10.46</v>
      </c>
      <c r="P58" s="176"/>
      <c r="Q58" s="178"/>
      <c r="R58" s="179"/>
      <c r="S58" s="179"/>
      <c r="T58" s="177">
        <v>44930</v>
      </c>
      <c r="U58" s="177"/>
      <c r="V58" s="177"/>
      <c r="W58" s="177"/>
      <c r="X58" s="177"/>
      <c r="Y58" s="177"/>
      <c r="Z58" s="177"/>
      <c r="AA58" s="177">
        <v>44926</v>
      </c>
      <c r="AB58" s="177"/>
      <c r="AC58" s="177"/>
      <c r="AD58" s="180" t="s">
        <v>1345</v>
      </c>
      <c r="AE58" s="173" t="s">
        <v>69</v>
      </c>
      <c r="AF58" s="181" t="s">
        <v>142</v>
      </c>
      <c r="AG58" s="192" t="s">
        <v>1508</v>
      </c>
      <c r="AH58" s="198"/>
      <c r="AI58" s="181">
        <v>44849</v>
      </c>
      <c r="AJ58" s="181"/>
      <c r="AK58" s="181">
        <f t="shared" ca="1" si="11"/>
        <v>44958</v>
      </c>
      <c r="AL58" s="173">
        <f t="shared" ca="1" si="12"/>
        <v>109</v>
      </c>
      <c r="AM58" s="173" t="str">
        <f t="shared" si="13"/>
        <v/>
      </c>
      <c r="AN58" s="181"/>
      <c r="AO58" s="190" t="s">
        <v>3897</v>
      </c>
      <c r="AP58" s="176">
        <v>20.984999999999999</v>
      </c>
      <c r="AQ58" s="176">
        <v>21.045000000000002</v>
      </c>
      <c r="AR58" s="176">
        <v>21.070000000000004</v>
      </c>
      <c r="AS58" s="176">
        <v>21.075000000000003</v>
      </c>
      <c r="AT58" s="173" t="str">
        <f t="shared" si="4"/>
        <v/>
      </c>
      <c r="AU58" s="173">
        <v>456</v>
      </c>
      <c r="AW58" s="142" t="s">
        <v>123</v>
      </c>
    </row>
    <row r="59" spans="2:49" s="142" customFormat="1" ht="21" customHeight="1" x14ac:dyDescent="0.25">
      <c r="B59" s="173" t="str">
        <f t="shared" si="10"/>
        <v>0-304/FH-1.10X777</v>
      </c>
      <c r="C59" s="173" t="s">
        <v>3900</v>
      </c>
      <c r="D59" s="173" t="s">
        <v>3901</v>
      </c>
      <c r="E59" s="190" t="s">
        <v>3884</v>
      </c>
      <c r="F59" s="190" t="s">
        <v>3885</v>
      </c>
      <c r="G59" s="173">
        <v>304</v>
      </c>
      <c r="H59" s="173" t="s">
        <v>70</v>
      </c>
      <c r="I59" s="174">
        <v>3.18</v>
      </c>
      <c r="J59" s="174">
        <v>1.1000000000000001</v>
      </c>
      <c r="K59" s="174"/>
      <c r="L59" s="174"/>
      <c r="M59" s="191">
        <v>777</v>
      </c>
      <c r="N59" s="176">
        <v>10.69</v>
      </c>
      <c r="O59" s="176">
        <v>10.69</v>
      </c>
      <c r="P59" s="176"/>
      <c r="Q59" s="178"/>
      <c r="R59" s="179"/>
      <c r="S59" s="179"/>
      <c r="T59" s="177">
        <v>44930</v>
      </c>
      <c r="U59" s="177"/>
      <c r="V59" s="177"/>
      <c r="W59" s="177"/>
      <c r="X59" s="177"/>
      <c r="Y59" s="177"/>
      <c r="Z59" s="177"/>
      <c r="AA59" s="177">
        <v>44928</v>
      </c>
      <c r="AB59" s="177"/>
      <c r="AC59" s="177"/>
      <c r="AD59" s="180" t="s">
        <v>1345</v>
      </c>
      <c r="AE59" s="173" t="s">
        <v>69</v>
      </c>
      <c r="AF59" s="181" t="s">
        <v>142</v>
      </c>
      <c r="AG59" s="181" t="s">
        <v>1346</v>
      </c>
      <c r="AH59" s="181"/>
      <c r="AI59" s="181">
        <v>44813</v>
      </c>
      <c r="AJ59" s="181"/>
      <c r="AK59" s="181">
        <f t="shared" ca="1" si="11"/>
        <v>44958</v>
      </c>
      <c r="AL59" s="173">
        <f t="shared" ca="1" si="12"/>
        <v>145</v>
      </c>
      <c r="AM59" s="173" t="str">
        <f t="shared" si="13"/>
        <v/>
      </c>
      <c r="AN59" s="181"/>
      <c r="AO59" s="190" t="s">
        <v>3886</v>
      </c>
      <c r="AP59" s="176">
        <v>21.445</v>
      </c>
      <c r="AQ59" s="176">
        <v>21.504999999999999</v>
      </c>
      <c r="AR59" s="176">
        <v>21.53</v>
      </c>
      <c r="AS59" s="176">
        <v>21.535</v>
      </c>
      <c r="AT59" s="173" t="str">
        <f t="shared" si="4"/>
        <v/>
      </c>
      <c r="AU59" s="173">
        <v>451</v>
      </c>
      <c r="AW59" s="142" t="s">
        <v>123</v>
      </c>
    </row>
    <row r="60" spans="2:49" s="142" customFormat="1" ht="21" customHeight="1" x14ac:dyDescent="0.25">
      <c r="B60" s="173" t="str">
        <f t="shared" si="10"/>
        <v>0-304L/FH-1.20X766</v>
      </c>
      <c r="C60" s="173" t="s">
        <v>3887</v>
      </c>
      <c r="D60" s="173" t="s">
        <v>16</v>
      </c>
      <c r="E60" s="190" t="s">
        <v>1586</v>
      </c>
      <c r="F60" s="190" t="s">
        <v>3898</v>
      </c>
      <c r="G60" s="173" t="s">
        <v>182</v>
      </c>
      <c r="H60" s="173" t="s">
        <v>70</v>
      </c>
      <c r="I60" s="174">
        <v>3.57</v>
      </c>
      <c r="J60" s="174">
        <v>1.2</v>
      </c>
      <c r="K60" s="174"/>
      <c r="L60" s="174"/>
      <c r="M60" s="191">
        <v>766</v>
      </c>
      <c r="N60" s="176">
        <v>10.44</v>
      </c>
      <c r="O60" s="176">
        <v>10.465</v>
      </c>
      <c r="P60" s="176"/>
      <c r="Q60" s="178"/>
      <c r="R60" s="179"/>
      <c r="S60" s="179"/>
      <c r="T60" s="177">
        <v>44930</v>
      </c>
      <c r="U60" s="177"/>
      <c r="V60" s="177"/>
      <c r="W60" s="177"/>
      <c r="X60" s="177"/>
      <c r="Y60" s="177"/>
      <c r="Z60" s="177"/>
      <c r="AA60" s="177">
        <v>44929</v>
      </c>
      <c r="AB60" s="177"/>
      <c r="AC60" s="177"/>
      <c r="AD60" s="180" t="s">
        <v>1345</v>
      </c>
      <c r="AE60" s="173" t="s">
        <v>69</v>
      </c>
      <c r="AF60" s="181" t="s">
        <v>142</v>
      </c>
      <c r="AG60" s="192" t="s">
        <v>1508</v>
      </c>
      <c r="AH60" s="198"/>
      <c r="AI60" s="181">
        <v>44849</v>
      </c>
      <c r="AJ60" s="181"/>
      <c r="AK60" s="181">
        <f t="shared" ca="1" si="11"/>
        <v>44958</v>
      </c>
      <c r="AL60" s="173">
        <f t="shared" ca="1" si="12"/>
        <v>109</v>
      </c>
      <c r="AM60" s="173" t="str">
        <f t="shared" si="13"/>
        <v/>
      </c>
      <c r="AN60" s="181"/>
      <c r="AO60" s="190" t="s">
        <v>1588</v>
      </c>
      <c r="AP60" s="176">
        <v>20.92</v>
      </c>
      <c r="AQ60" s="176">
        <v>20.98</v>
      </c>
      <c r="AR60" s="176">
        <v>21.005000000000003</v>
      </c>
      <c r="AS60" s="176">
        <v>21.01</v>
      </c>
      <c r="AT60" s="173" t="str">
        <f t="shared" si="4"/>
        <v/>
      </c>
      <c r="AU60" s="173">
        <v>456</v>
      </c>
      <c r="AW60" s="142" t="s">
        <v>123</v>
      </c>
    </row>
    <row r="61" spans="2:49" s="142" customFormat="1" ht="21" customHeight="1" x14ac:dyDescent="0.25">
      <c r="B61" s="173" t="str">
        <f t="shared" si="10"/>
        <v>0-304/1D-2.92X777</v>
      </c>
      <c r="C61" s="173" t="s">
        <v>3883</v>
      </c>
      <c r="D61" s="173" t="s">
        <v>13</v>
      </c>
      <c r="E61" s="190" t="s">
        <v>3902</v>
      </c>
      <c r="F61" s="190" t="s">
        <v>3903</v>
      </c>
      <c r="G61" s="173">
        <v>304</v>
      </c>
      <c r="H61" s="173" t="s">
        <v>127</v>
      </c>
      <c r="I61" s="174">
        <v>2.92</v>
      </c>
      <c r="J61" s="174"/>
      <c r="K61" s="174"/>
      <c r="L61" s="174"/>
      <c r="M61" s="191">
        <v>777</v>
      </c>
      <c r="N61" s="176">
        <v>10.725</v>
      </c>
      <c r="O61" s="176">
        <v>10.725</v>
      </c>
      <c r="P61" s="176"/>
      <c r="Q61" s="178"/>
      <c r="R61" s="179"/>
      <c r="S61" s="179"/>
      <c r="T61" s="177">
        <v>44930</v>
      </c>
      <c r="U61" s="177"/>
      <c r="V61" s="177"/>
      <c r="W61" s="177"/>
      <c r="X61" s="177"/>
      <c r="Y61" s="177"/>
      <c r="Z61" s="177"/>
      <c r="AA61" s="177">
        <v>44929</v>
      </c>
      <c r="AB61" s="177"/>
      <c r="AC61" s="177"/>
      <c r="AD61" s="180" t="s">
        <v>1345</v>
      </c>
      <c r="AE61" s="173" t="s">
        <v>69</v>
      </c>
      <c r="AF61" s="181" t="s">
        <v>142</v>
      </c>
      <c r="AG61" s="181" t="s">
        <v>1346</v>
      </c>
      <c r="AH61" s="181"/>
      <c r="AI61" s="181">
        <v>44813</v>
      </c>
      <c r="AJ61" s="181"/>
      <c r="AK61" s="181">
        <f t="shared" ca="1" si="11"/>
        <v>44958</v>
      </c>
      <c r="AL61" s="173">
        <f t="shared" ca="1" si="12"/>
        <v>145</v>
      </c>
      <c r="AM61" s="173" t="str">
        <f t="shared" si="13"/>
        <v/>
      </c>
      <c r="AN61" s="181"/>
      <c r="AO61" s="190" t="s">
        <v>3904</v>
      </c>
      <c r="AP61" s="176">
        <v>21.43</v>
      </c>
      <c r="AQ61" s="176">
        <v>21.49</v>
      </c>
      <c r="AR61" s="176">
        <v>21.515000000000001</v>
      </c>
      <c r="AS61" s="176">
        <v>21.52</v>
      </c>
      <c r="AT61" s="173" t="str">
        <f t="shared" si="4"/>
        <v/>
      </c>
      <c r="AU61" s="173">
        <v>451</v>
      </c>
      <c r="AW61" s="142" t="s">
        <v>123</v>
      </c>
    </row>
    <row r="62" spans="2:49" s="142" customFormat="1" ht="21" customHeight="1" x14ac:dyDescent="0.25">
      <c r="B62" s="173" t="str">
        <f t="shared" si="10"/>
        <v>0-304/FH-1.10X777</v>
      </c>
      <c r="C62" s="173" t="s">
        <v>3887</v>
      </c>
      <c r="D62" s="173" t="s">
        <v>16</v>
      </c>
      <c r="E62" s="190" t="s">
        <v>3884</v>
      </c>
      <c r="F62" s="190" t="s">
        <v>3888</v>
      </c>
      <c r="G62" s="173">
        <v>304</v>
      </c>
      <c r="H62" s="173" t="s">
        <v>70</v>
      </c>
      <c r="I62" s="174">
        <v>3.18</v>
      </c>
      <c r="J62" s="174">
        <v>1.1000000000000001</v>
      </c>
      <c r="K62" s="174"/>
      <c r="L62" s="174"/>
      <c r="M62" s="191">
        <v>777</v>
      </c>
      <c r="N62" s="176">
        <v>10.744999999999999</v>
      </c>
      <c r="O62" s="176">
        <v>10.734999999999999</v>
      </c>
      <c r="P62" s="176"/>
      <c r="Q62" s="178"/>
      <c r="R62" s="179"/>
      <c r="S62" s="179"/>
      <c r="T62" s="177">
        <v>44930</v>
      </c>
      <c r="U62" s="177"/>
      <c r="V62" s="177"/>
      <c r="W62" s="177"/>
      <c r="X62" s="177"/>
      <c r="Y62" s="177"/>
      <c r="Z62" s="177"/>
      <c r="AA62" s="177">
        <v>44928</v>
      </c>
      <c r="AB62" s="177"/>
      <c r="AC62" s="177"/>
      <c r="AD62" s="180" t="s">
        <v>1345</v>
      </c>
      <c r="AE62" s="173" t="s">
        <v>69</v>
      </c>
      <c r="AF62" s="181" t="s">
        <v>142</v>
      </c>
      <c r="AG62" s="181" t="s">
        <v>1346</v>
      </c>
      <c r="AH62" s="181"/>
      <c r="AI62" s="181">
        <v>44813</v>
      </c>
      <c r="AJ62" s="181"/>
      <c r="AK62" s="181">
        <f t="shared" ca="1" si="11"/>
        <v>44958</v>
      </c>
      <c r="AL62" s="173">
        <f t="shared" ca="1" si="12"/>
        <v>145</v>
      </c>
      <c r="AM62" s="173" t="str">
        <f t="shared" si="13"/>
        <v/>
      </c>
      <c r="AN62" s="181"/>
      <c r="AO62" s="190" t="s">
        <v>3886</v>
      </c>
      <c r="AP62" s="176">
        <v>21.445</v>
      </c>
      <c r="AQ62" s="176">
        <v>21.504999999999999</v>
      </c>
      <c r="AR62" s="176">
        <v>21.53</v>
      </c>
      <c r="AS62" s="176">
        <v>21.535</v>
      </c>
      <c r="AT62" s="173" t="str">
        <f t="shared" si="4"/>
        <v/>
      </c>
      <c r="AU62" s="173">
        <v>451</v>
      </c>
      <c r="AW62" s="142" t="s">
        <v>123</v>
      </c>
    </row>
    <row r="63" spans="2:49" s="142" customFormat="1" ht="21" customHeight="1" x14ac:dyDescent="0.25">
      <c r="B63" s="173" t="str">
        <f t="shared" si="10"/>
        <v>0-304/1D-3.18X780</v>
      </c>
      <c r="C63" s="173" t="s">
        <v>3883</v>
      </c>
      <c r="D63" s="173" t="s">
        <v>13</v>
      </c>
      <c r="E63" s="190" t="s">
        <v>3877</v>
      </c>
      <c r="F63" s="190" t="s">
        <v>3905</v>
      </c>
      <c r="G63" s="173">
        <v>304</v>
      </c>
      <c r="H63" s="173" t="s">
        <v>127</v>
      </c>
      <c r="I63" s="174">
        <v>3.18</v>
      </c>
      <c r="J63" s="174"/>
      <c r="K63" s="174"/>
      <c r="L63" s="174"/>
      <c r="M63" s="191">
        <v>780</v>
      </c>
      <c r="N63" s="176">
        <v>10.775</v>
      </c>
      <c r="O63" s="176">
        <v>10.775</v>
      </c>
      <c r="P63" s="176"/>
      <c r="Q63" s="178"/>
      <c r="R63" s="179"/>
      <c r="S63" s="179"/>
      <c r="T63" s="177">
        <v>44930</v>
      </c>
      <c r="U63" s="177"/>
      <c r="V63" s="177"/>
      <c r="W63" s="177"/>
      <c r="X63" s="177"/>
      <c r="Y63" s="177"/>
      <c r="Z63" s="177"/>
      <c r="AA63" s="177">
        <v>44929</v>
      </c>
      <c r="AB63" s="177"/>
      <c r="AC63" s="177"/>
      <c r="AD63" s="180" t="s">
        <v>1345</v>
      </c>
      <c r="AE63" s="173" t="s">
        <v>69</v>
      </c>
      <c r="AF63" s="181" t="s">
        <v>142</v>
      </c>
      <c r="AG63" s="181" t="s">
        <v>1346</v>
      </c>
      <c r="AH63" s="181"/>
      <c r="AI63" s="181">
        <v>44813</v>
      </c>
      <c r="AJ63" s="181"/>
      <c r="AK63" s="181">
        <f t="shared" ca="1" si="11"/>
        <v>44958</v>
      </c>
      <c r="AL63" s="173">
        <f t="shared" ca="1" si="12"/>
        <v>145</v>
      </c>
      <c r="AM63" s="173" t="str">
        <f t="shared" si="13"/>
        <v/>
      </c>
      <c r="AN63" s="181"/>
      <c r="AO63" s="190" t="s">
        <v>3879</v>
      </c>
      <c r="AP63" s="176">
        <v>21.465</v>
      </c>
      <c r="AQ63" s="176">
        <v>21.524999999999999</v>
      </c>
      <c r="AR63" s="176">
        <v>21.55</v>
      </c>
      <c r="AS63" s="176">
        <v>21.555</v>
      </c>
      <c r="AT63" s="173" t="str">
        <f t="shared" si="4"/>
        <v/>
      </c>
      <c r="AU63" s="173">
        <v>451</v>
      </c>
      <c r="AW63" s="142" t="s">
        <v>123</v>
      </c>
    </row>
    <row r="64" spans="2:49" s="142" customFormat="1" ht="21" customHeight="1" x14ac:dyDescent="0.25">
      <c r="B64" s="173" t="str">
        <f t="shared" si="10"/>
        <v>0-304/FH-0.90X765</v>
      </c>
      <c r="C64" s="173" t="s">
        <v>3887</v>
      </c>
      <c r="D64" s="173" t="s">
        <v>16</v>
      </c>
      <c r="E64" s="190" t="s">
        <v>3895</v>
      </c>
      <c r="F64" s="190" t="s">
        <v>3899</v>
      </c>
      <c r="G64" s="173">
        <v>304</v>
      </c>
      <c r="H64" s="173" t="s">
        <v>70</v>
      </c>
      <c r="I64" s="174">
        <v>2.89</v>
      </c>
      <c r="J64" s="174">
        <v>0.9</v>
      </c>
      <c r="K64" s="174"/>
      <c r="L64" s="174"/>
      <c r="M64" s="191">
        <v>765</v>
      </c>
      <c r="N64" s="176">
        <v>10.46</v>
      </c>
      <c r="O64" s="176">
        <v>10.455</v>
      </c>
      <c r="P64" s="176"/>
      <c r="Q64" s="178"/>
      <c r="R64" s="179"/>
      <c r="S64" s="179"/>
      <c r="T64" s="177">
        <v>44930</v>
      </c>
      <c r="U64" s="177"/>
      <c r="V64" s="177"/>
      <c r="W64" s="177"/>
      <c r="X64" s="177"/>
      <c r="Y64" s="177"/>
      <c r="Z64" s="177"/>
      <c r="AA64" s="177">
        <v>44926</v>
      </c>
      <c r="AB64" s="177"/>
      <c r="AC64" s="177"/>
      <c r="AD64" s="180" t="s">
        <v>1345</v>
      </c>
      <c r="AE64" s="173" t="s">
        <v>69</v>
      </c>
      <c r="AF64" s="181" t="s">
        <v>142</v>
      </c>
      <c r="AG64" s="192" t="s">
        <v>1508</v>
      </c>
      <c r="AH64" s="198"/>
      <c r="AI64" s="181">
        <v>44849</v>
      </c>
      <c r="AJ64" s="181"/>
      <c r="AK64" s="181">
        <f t="shared" ca="1" si="11"/>
        <v>44958</v>
      </c>
      <c r="AL64" s="173">
        <f t="shared" ca="1" si="12"/>
        <v>109</v>
      </c>
      <c r="AM64" s="173" t="str">
        <f t="shared" si="13"/>
        <v/>
      </c>
      <c r="AN64" s="181"/>
      <c r="AO64" s="190" t="s">
        <v>3897</v>
      </c>
      <c r="AP64" s="176">
        <v>20.984999999999999</v>
      </c>
      <c r="AQ64" s="176">
        <v>21.045000000000002</v>
      </c>
      <c r="AR64" s="176">
        <v>21.070000000000004</v>
      </c>
      <c r="AS64" s="176">
        <v>21.075000000000003</v>
      </c>
      <c r="AT64" s="173" t="str">
        <f t="shared" si="4"/>
        <v/>
      </c>
      <c r="AU64" s="173">
        <v>456</v>
      </c>
      <c r="AW64" s="142" t="s">
        <v>123</v>
      </c>
    </row>
    <row r="65" spans="2:49" s="142" customFormat="1" ht="21" customHeight="1" x14ac:dyDescent="0.25">
      <c r="B65" s="173" t="str">
        <f>IF(C65="HOLD RM","HOLD RM",IF(C65="BAL","WIP",IF(C65="HOLD SLT","HOLD SLT",IF(C65="MILL","RM",IF(C65="RE SLT","WIP",IF(C65="RM","RM",IF(C65="RM BAL","RM",IF(C65="RM SLT","RM",IF(C65="RR","WIP",IF(C65="SKP","WIP",IF(C65="SLT","WIP",IF(C65="CTL","WIP",IF(C65="RM SLT RUST","RM SLT RUST",0)))))))))))))&amp;"-"&amp;G65&amp;"/"&amp;IF(H65="2B","2B",IF(H65="NO.1","1D",IF(H65="FH","FH",0)))&amp;"-"&amp;IF(J65="",(TEXT(I65,"0.00")),TEXT(J65,"0.00"))&amp;"X"&amp;M65</f>
        <v>0-304L/1D-2.92X769</v>
      </c>
      <c r="C65" s="173" t="s">
        <v>3883</v>
      </c>
      <c r="D65" s="173" t="s">
        <v>13</v>
      </c>
      <c r="E65" s="190" t="s">
        <v>3906</v>
      </c>
      <c r="F65" s="190" t="s">
        <v>3907</v>
      </c>
      <c r="G65" s="173" t="s">
        <v>182</v>
      </c>
      <c r="H65" s="173" t="s">
        <v>127</v>
      </c>
      <c r="I65" s="174">
        <v>2.92</v>
      </c>
      <c r="J65" s="174"/>
      <c r="K65" s="174"/>
      <c r="L65" s="174"/>
      <c r="M65" s="191">
        <v>769</v>
      </c>
      <c r="N65" s="176">
        <v>12.255000000000001</v>
      </c>
      <c r="O65" s="176">
        <v>12.255000000000001</v>
      </c>
      <c r="P65" s="176"/>
      <c r="Q65" s="178"/>
      <c r="R65" s="179"/>
      <c r="S65" s="179"/>
      <c r="T65" s="177">
        <v>44930</v>
      </c>
      <c r="U65" s="177"/>
      <c r="V65" s="177"/>
      <c r="W65" s="177"/>
      <c r="X65" s="177"/>
      <c r="Y65" s="177"/>
      <c r="Z65" s="177"/>
      <c r="AA65" s="177">
        <v>44930</v>
      </c>
      <c r="AB65" s="177"/>
      <c r="AC65" s="177"/>
      <c r="AD65" s="180" t="s">
        <v>1345</v>
      </c>
      <c r="AE65" s="173" t="s">
        <v>69</v>
      </c>
      <c r="AF65" s="181" t="s">
        <v>142</v>
      </c>
      <c r="AG65" s="192" t="s">
        <v>1508</v>
      </c>
      <c r="AH65" s="198"/>
      <c r="AI65" s="181">
        <v>44849</v>
      </c>
      <c r="AJ65" s="181"/>
      <c r="AK65" s="181">
        <f ca="1">TODAY()</f>
        <v>44958</v>
      </c>
      <c r="AL65" s="173">
        <f ca="1">IF(AI65&lt;&gt;0,AK65-AI65,0)</f>
        <v>109</v>
      </c>
      <c r="AM65" s="173" t="str">
        <f>IF(ISNUMBER(X65)=TRUE,AK65-X65,IF(X65="","",(AK65)-(MID(RIGHT(X65,10),4,2)&amp;"/"&amp;LEFT((RIGHT(X65,10)),2)&amp;"/"&amp;RIGHT(X65,4))))</f>
        <v/>
      </c>
      <c r="AN65" s="181"/>
      <c r="AO65" s="190" t="s">
        <v>3908</v>
      </c>
      <c r="AP65" s="176">
        <v>24.495000000000001</v>
      </c>
      <c r="AQ65" s="176">
        <v>24.555</v>
      </c>
      <c r="AR65" s="176">
        <v>24.580000000000002</v>
      </c>
      <c r="AS65" s="176">
        <v>24.585000000000001</v>
      </c>
      <c r="AT65" s="173" t="str">
        <f t="shared" si="4"/>
        <v/>
      </c>
      <c r="AU65" s="173">
        <v>456</v>
      </c>
      <c r="AW65" s="142" t="s">
        <v>123</v>
      </c>
    </row>
    <row r="66" spans="2:49" s="142" customFormat="1" ht="21" customHeight="1" x14ac:dyDescent="0.25">
      <c r="B66" s="173" t="str">
        <f t="shared" ref="B66:B71" si="14">IF(C66="HOLD RM","HOLD RM",IF(C66="BAL","WIP",IF(C66="HOLD SLT","HOLD SLT",IF(C66="MILL","RM",IF(C66="RE SLT","WIP",IF(C66="RM","RM",IF(C66="RM BAL","RM",IF(C66="RM SLT","RM",IF(C66="RR","WIP",IF(C66="SKP","WIP",IF(C66="SLT","WIP",IF(C66="CTL","WIP",IF(C66="RM SLT RUST","RM SLT RUST",0)))))))))))))&amp;"-"&amp;G66&amp;"/"&amp;IF(H66="2B","2B",IF(H66="NO.1","1D",IF(H66="FH","FH",0)))&amp;"-"&amp;IF(J66="",(TEXT(I66,"0.00")),TEXT(J66,"0.00"))&amp;"X"&amp;M66</f>
        <v>0-304/FH-1.10X780</v>
      </c>
      <c r="C66" s="173" t="s">
        <v>3909</v>
      </c>
      <c r="D66" s="173" t="s">
        <v>16</v>
      </c>
      <c r="E66" s="190" t="s">
        <v>3877</v>
      </c>
      <c r="F66" s="190" t="s">
        <v>3905</v>
      </c>
      <c r="G66" s="173">
        <v>304</v>
      </c>
      <c r="H66" s="173" t="s">
        <v>70</v>
      </c>
      <c r="I66" s="174">
        <v>3.18</v>
      </c>
      <c r="J66" s="174">
        <v>1.1000000000000001</v>
      </c>
      <c r="K66" s="174"/>
      <c r="L66" s="174"/>
      <c r="M66" s="191">
        <v>780</v>
      </c>
      <c r="N66" s="176">
        <v>10.775</v>
      </c>
      <c r="O66" s="176">
        <v>10.79</v>
      </c>
      <c r="P66" s="176"/>
      <c r="Q66" s="178"/>
      <c r="R66" s="179"/>
      <c r="S66" s="179"/>
      <c r="T66" s="177">
        <v>44930</v>
      </c>
      <c r="U66" s="177"/>
      <c r="V66" s="177"/>
      <c r="W66" s="177"/>
      <c r="X66" s="177"/>
      <c r="Y66" s="177"/>
      <c r="Z66" s="177"/>
      <c r="AA66" s="177">
        <v>44929</v>
      </c>
      <c r="AB66" s="177"/>
      <c r="AC66" s="177"/>
      <c r="AD66" s="180" t="s">
        <v>1345</v>
      </c>
      <c r="AE66" s="173" t="s">
        <v>69</v>
      </c>
      <c r="AF66" s="181" t="s">
        <v>142</v>
      </c>
      <c r="AG66" s="181" t="s">
        <v>1346</v>
      </c>
      <c r="AH66" s="181"/>
      <c r="AI66" s="181">
        <v>44813</v>
      </c>
      <c r="AJ66" s="181"/>
      <c r="AK66" s="181">
        <f t="shared" ca="1" si="11"/>
        <v>44958</v>
      </c>
      <c r="AL66" s="173">
        <f t="shared" ref="AL66:AL71" ca="1" si="15">IF(AI66&lt;&gt;0,AK66-AI66,0)</f>
        <v>145</v>
      </c>
      <c r="AM66" s="173" t="str">
        <f t="shared" ref="AM66:AM71" si="16">IF(ISNUMBER(X66)=TRUE,AK66-X66,IF(X66="","",(AK66)-(MID(RIGHT(X66,10),4,2)&amp;"/"&amp;LEFT((RIGHT(X66,10)),2)&amp;"/"&amp;RIGHT(X66,4))))</f>
        <v/>
      </c>
      <c r="AN66" s="181"/>
      <c r="AO66" s="190" t="s">
        <v>3879</v>
      </c>
      <c r="AP66" s="176">
        <v>21.465</v>
      </c>
      <c r="AQ66" s="176">
        <v>21.524999999999999</v>
      </c>
      <c r="AR66" s="176">
        <v>21.55</v>
      </c>
      <c r="AS66" s="176">
        <v>21.555</v>
      </c>
      <c r="AT66" s="173" t="str">
        <f t="shared" si="4"/>
        <v/>
      </c>
      <c r="AU66" s="173">
        <v>451</v>
      </c>
      <c r="AW66" s="142" t="s">
        <v>123</v>
      </c>
    </row>
    <row r="67" spans="2:49" s="142" customFormat="1" ht="21" customHeight="1" x14ac:dyDescent="0.25">
      <c r="B67" s="173" t="str">
        <f t="shared" si="14"/>
        <v>0-304/1D-3.89X765</v>
      </c>
      <c r="C67" s="173" t="s">
        <v>3910</v>
      </c>
      <c r="D67" s="173" t="s">
        <v>13</v>
      </c>
      <c r="E67" s="190" t="s">
        <v>2346</v>
      </c>
      <c r="F67" s="190" t="s">
        <v>2347</v>
      </c>
      <c r="G67" s="173">
        <v>304</v>
      </c>
      <c r="H67" s="173" t="s">
        <v>127</v>
      </c>
      <c r="I67" s="174">
        <v>3.89</v>
      </c>
      <c r="J67" s="174"/>
      <c r="K67" s="174"/>
      <c r="L67" s="174"/>
      <c r="M67" s="191">
        <v>765</v>
      </c>
      <c r="N67" s="176">
        <v>10.455</v>
      </c>
      <c r="O67" s="176">
        <v>10.455</v>
      </c>
      <c r="P67" s="176"/>
      <c r="Q67" s="178"/>
      <c r="R67" s="179"/>
      <c r="S67" s="179"/>
      <c r="T67" s="177">
        <v>44931</v>
      </c>
      <c r="U67" s="177"/>
      <c r="V67" s="177"/>
      <c r="W67" s="177"/>
      <c r="X67" s="177"/>
      <c r="Y67" s="177"/>
      <c r="Z67" s="177"/>
      <c r="AA67" s="177"/>
      <c r="AB67" s="177"/>
      <c r="AC67" s="177"/>
      <c r="AD67" s="180" t="s">
        <v>1345</v>
      </c>
      <c r="AE67" s="173" t="s">
        <v>69</v>
      </c>
      <c r="AF67" s="181" t="s">
        <v>142</v>
      </c>
      <c r="AG67" s="192" t="s">
        <v>2283</v>
      </c>
      <c r="AH67" s="198"/>
      <c r="AI67" s="181">
        <v>44880</v>
      </c>
      <c r="AJ67" s="181"/>
      <c r="AK67" s="181">
        <f t="shared" ca="1" si="11"/>
        <v>44958</v>
      </c>
      <c r="AL67" s="173">
        <f t="shared" ca="1" si="15"/>
        <v>78</v>
      </c>
      <c r="AM67" s="173" t="str">
        <f t="shared" si="16"/>
        <v/>
      </c>
      <c r="AN67" s="181"/>
      <c r="AO67" s="190" t="s">
        <v>2348</v>
      </c>
      <c r="AP67" s="176">
        <v>10.455</v>
      </c>
      <c r="AQ67" s="176">
        <v>10.465</v>
      </c>
      <c r="AR67" s="176">
        <v>10.489999999999998</v>
      </c>
      <c r="AS67" s="176">
        <v>10.494999999999999</v>
      </c>
      <c r="AT67" s="173" t="str">
        <f t="shared" si="4"/>
        <v/>
      </c>
      <c r="AU67" s="173">
        <v>459</v>
      </c>
      <c r="AW67" s="142" t="s">
        <v>123</v>
      </c>
    </row>
    <row r="68" spans="2:49" s="142" customFormat="1" ht="21" customHeight="1" x14ac:dyDescent="0.25">
      <c r="B68" s="173" t="str">
        <f t="shared" si="14"/>
        <v>0-304/FH-0.90X777</v>
      </c>
      <c r="C68" s="173" t="s">
        <v>3909</v>
      </c>
      <c r="D68" s="173" t="s">
        <v>16</v>
      </c>
      <c r="E68" s="190" t="s">
        <v>3884</v>
      </c>
      <c r="F68" s="190" t="s">
        <v>3885</v>
      </c>
      <c r="G68" s="173">
        <v>304</v>
      </c>
      <c r="H68" s="173" t="s">
        <v>70</v>
      </c>
      <c r="I68" s="174">
        <v>3.18</v>
      </c>
      <c r="J68" s="174">
        <v>0.9</v>
      </c>
      <c r="K68" s="174"/>
      <c r="L68" s="174"/>
      <c r="M68" s="191">
        <v>777</v>
      </c>
      <c r="N68" s="176">
        <v>10.69</v>
      </c>
      <c r="O68" s="176">
        <v>10.72</v>
      </c>
      <c r="P68" s="176"/>
      <c r="Q68" s="178"/>
      <c r="R68" s="179"/>
      <c r="S68" s="179"/>
      <c r="T68" s="177">
        <v>44930</v>
      </c>
      <c r="U68" s="177"/>
      <c r="V68" s="177"/>
      <c r="W68" s="177"/>
      <c r="X68" s="177"/>
      <c r="Y68" s="177"/>
      <c r="Z68" s="177"/>
      <c r="AA68" s="177">
        <v>44928</v>
      </c>
      <c r="AB68" s="177"/>
      <c r="AC68" s="177"/>
      <c r="AD68" s="180" t="s">
        <v>1345</v>
      </c>
      <c r="AE68" s="173" t="s">
        <v>69</v>
      </c>
      <c r="AF68" s="181" t="s">
        <v>142</v>
      </c>
      <c r="AG68" s="181" t="s">
        <v>1346</v>
      </c>
      <c r="AH68" s="181"/>
      <c r="AI68" s="181">
        <v>44813</v>
      </c>
      <c r="AJ68" s="181"/>
      <c r="AK68" s="181">
        <f t="shared" ca="1" si="11"/>
        <v>44958</v>
      </c>
      <c r="AL68" s="173">
        <f t="shared" ca="1" si="15"/>
        <v>145</v>
      </c>
      <c r="AM68" s="173" t="str">
        <f t="shared" si="16"/>
        <v/>
      </c>
      <c r="AN68" s="181"/>
      <c r="AO68" s="190" t="s">
        <v>3886</v>
      </c>
      <c r="AP68" s="176">
        <v>21.445</v>
      </c>
      <c r="AQ68" s="176">
        <v>21.504999999999999</v>
      </c>
      <c r="AR68" s="176">
        <v>21.53</v>
      </c>
      <c r="AS68" s="176">
        <v>21.535</v>
      </c>
      <c r="AT68" s="173" t="str">
        <f t="shared" ref="AT68:AT131" si="17">IF(ISNUMBER(V68)=TRUE,AK68-V68,IF(V68="","",(AK68)-(MID(RIGHT(V68,10),4,2)&amp;"/"&amp;LEFT((RIGHT(V68,10)),2)&amp;"/"&amp;RIGHT(V68,4))))</f>
        <v/>
      </c>
      <c r="AU68" s="173">
        <v>451</v>
      </c>
      <c r="AW68" s="142" t="s">
        <v>123</v>
      </c>
    </row>
    <row r="69" spans="2:49" s="142" customFormat="1" ht="21" customHeight="1" x14ac:dyDescent="0.25">
      <c r="B69" s="173" t="str">
        <f t="shared" si="14"/>
        <v>0-304/1D-3.89X770</v>
      </c>
      <c r="C69" s="173" t="s">
        <v>3910</v>
      </c>
      <c r="D69" s="173" t="s">
        <v>13</v>
      </c>
      <c r="E69" s="190" t="s">
        <v>2343</v>
      </c>
      <c r="F69" s="190" t="s">
        <v>2344</v>
      </c>
      <c r="G69" s="173">
        <v>304</v>
      </c>
      <c r="H69" s="173" t="s">
        <v>127</v>
      </c>
      <c r="I69" s="174">
        <v>3.89</v>
      </c>
      <c r="J69" s="174"/>
      <c r="K69" s="174"/>
      <c r="L69" s="174"/>
      <c r="M69" s="191">
        <v>770</v>
      </c>
      <c r="N69" s="176">
        <v>10.52</v>
      </c>
      <c r="O69" s="176">
        <v>10.52</v>
      </c>
      <c r="P69" s="176"/>
      <c r="Q69" s="178"/>
      <c r="R69" s="179"/>
      <c r="S69" s="179"/>
      <c r="T69" s="177">
        <v>44931</v>
      </c>
      <c r="U69" s="177"/>
      <c r="V69" s="177"/>
      <c r="W69" s="177"/>
      <c r="X69" s="177"/>
      <c r="Y69" s="177"/>
      <c r="Z69" s="177"/>
      <c r="AA69" s="177"/>
      <c r="AB69" s="177"/>
      <c r="AC69" s="177"/>
      <c r="AD69" s="180" t="s">
        <v>1345</v>
      </c>
      <c r="AE69" s="173" t="s">
        <v>69</v>
      </c>
      <c r="AF69" s="181" t="s">
        <v>142</v>
      </c>
      <c r="AG69" s="192" t="s">
        <v>2283</v>
      </c>
      <c r="AH69" s="198"/>
      <c r="AI69" s="181">
        <v>44880</v>
      </c>
      <c r="AJ69" s="181"/>
      <c r="AK69" s="181">
        <f t="shared" ca="1" si="11"/>
        <v>44958</v>
      </c>
      <c r="AL69" s="173">
        <f t="shared" ca="1" si="15"/>
        <v>78</v>
      </c>
      <c r="AM69" s="173" t="str">
        <f t="shared" si="16"/>
        <v/>
      </c>
      <c r="AN69" s="181"/>
      <c r="AO69" s="190" t="s">
        <v>2345</v>
      </c>
      <c r="AP69" s="176">
        <v>10.52</v>
      </c>
      <c r="AQ69" s="176">
        <v>10.53</v>
      </c>
      <c r="AR69" s="176">
        <v>10.554999999999998</v>
      </c>
      <c r="AS69" s="176">
        <v>10.559999999999999</v>
      </c>
      <c r="AT69" s="173" t="str">
        <f t="shared" si="17"/>
        <v/>
      </c>
      <c r="AU69" s="173">
        <v>459</v>
      </c>
      <c r="AW69" s="142" t="s">
        <v>123</v>
      </c>
    </row>
    <row r="70" spans="2:49" s="142" customFormat="1" ht="21" customHeight="1" x14ac:dyDescent="0.25">
      <c r="B70" s="173" t="str">
        <f t="shared" si="14"/>
        <v>0-304/FH-1.00X777</v>
      </c>
      <c r="C70" s="173" t="s">
        <v>3909</v>
      </c>
      <c r="D70" s="173" t="s">
        <v>16</v>
      </c>
      <c r="E70" s="190" t="s">
        <v>3902</v>
      </c>
      <c r="F70" s="190" t="s">
        <v>3903</v>
      </c>
      <c r="G70" s="173">
        <v>304</v>
      </c>
      <c r="H70" s="173" t="s">
        <v>70</v>
      </c>
      <c r="I70" s="174">
        <v>2.92</v>
      </c>
      <c r="J70" s="174">
        <v>1</v>
      </c>
      <c r="K70" s="174"/>
      <c r="L70" s="174"/>
      <c r="M70" s="191">
        <v>777</v>
      </c>
      <c r="N70" s="176">
        <v>10.725</v>
      </c>
      <c r="O70" s="176">
        <v>10.734999999999999</v>
      </c>
      <c r="P70" s="176"/>
      <c r="Q70" s="178"/>
      <c r="R70" s="179"/>
      <c r="S70" s="179"/>
      <c r="T70" s="177">
        <v>44930</v>
      </c>
      <c r="U70" s="177"/>
      <c r="V70" s="177"/>
      <c r="W70" s="177"/>
      <c r="X70" s="177"/>
      <c r="Y70" s="177"/>
      <c r="Z70" s="177"/>
      <c r="AA70" s="177">
        <v>44929</v>
      </c>
      <c r="AB70" s="177"/>
      <c r="AC70" s="177"/>
      <c r="AD70" s="180" t="s">
        <v>1345</v>
      </c>
      <c r="AE70" s="173" t="s">
        <v>69</v>
      </c>
      <c r="AF70" s="181" t="s">
        <v>142</v>
      </c>
      <c r="AG70" s="181" t="s">
        <v>1346</v>
      </c>
      <c r="AH70" s="181"/>
      <c r="AI70" s="181">
        <v>44813</v>
      </c>
      <c r="AJ70" s="181"/>
      <c r="AK70" s="181">
        <f t="shared" ca="1" si="11"/>
        <v>44958</v>
      </c>
      <c r="AL70" s="173">
        <f t="shared" ca="1" si="15"/>
        <v>145</v>
      </c>
      <c r="AM70" s="173" t="str">
        <f t="shared" si="16"/>
        <v/>
      </c>
      <c r="AN70" s="181"/>
      <c r="AO70" s="190" t="s">
        <v>3904</v>
      </c>
      <c r="AP70" s="176">
        <v>21.43</v>
      </c>
      <c r="AQ70" s="176">
        <v>21.49</v>
      </c>
      <c r="AR70" s="176">
        <v>21.515000000000001</v>
      </c>
      <c r="AS70" s="176">
        <v>21.52</v>
      </c>
      <c r="AT70" s="173" t="str">
        <f t="shared" si="17"/>
        <v/>
      </c>
      <c r="AU70" s="173">
        <v>451</v>
      </c>
      <c r="AW70" s="142" t="s">
        <v>123</v>
      </c>
    </row>
    <row r="71" spans="2:49" s="142" customFormat="1" ht="21" customHeight="1" x14ac:dyDescent="0.25">
      <c r="B71" s="173" t="str">
        <f t="shared" si="14"/>
        <v>0-304/1D-2.90X777</v>
      </c>
      <c r="C71" s="173" t="s">
        <v>3910</v>
      </c>
      <c r="D71" s="173" t="s">
        <v>13</v>
      </c>
      <c r="E71" s="190" t="s">
        <v>3911</v>
      </c>
      <c r="F71" s="190" t="s">
        <v>3912</v>
      </c>
      <c r="G71" s="173">
        <v>304</v>
      </c>
      <c r="H71" s="173" t="s">
        <v>127</v>
      </c>
      <c r="I71" s="174">
        <v>2.9</v>
      </c>
      <c r="J71" s="174"/>
      <c r="K71" s="174"/>
      <c r="L71" s="174"/>
      <c r="M71" s="191">
        <v>777</v>
      </c>
      <c r="N71" s="176">
        <v>10.35</v>
      </c>
      <c r="O71" s="176">
        <v>10.35</v>
      </c>
      <c r="P71" s="176"/>
      <c r="Q71" s="178"/>
      <c r="R71" s="179"/>
      <c r="S71" s="179"/>
      <c r="T71" s="177">
        <v>44931</v>
      </c>
      <c r="U71" s="177"/>
      <c r="V71" s="177"/>
      <c r="W71" s="177"/>
      <c r="X71" s="177"/>
      <c r="Y71" s="177"/>
      <c r="Z71" s="177"/>
      <c r="AA71" s="177">
        <v>44926</v>
      </c>
      <c r="AB71" s="177"/>
      <c r="AC71" s="177"/>
      <c r="AD71" s="180" t="s">
        <v>1345</v>
      </c>
      <c r="AE71" s="173" t="s">
        <v>69</v>
      </c>
      <c r="AF71" s="181" t="s">
        <v>142</v>
      </c>
      <c r="AG71" s="181" t="s">
        <v>1346</v>
      </c>
      <c r="AH71" s="181"/>
      <c r="AI71" s="181">
        <v>44813</v>
      </c>
      <c r="AJ71" s="181"/>
      <c r="AK71" s="181">
        <f t="shared" ca="1" si="11"/>
        <v>44958</v>
      </c>
      <c r="AL71" s="173">
        <f t="shared" ca="1" si="15"/>
        <v>145</v>
      </c>
      <c r="AM71" s="173" t="str">
        <f t="shared" si="16"/>
        <v/>
      </c>
      <c r="AN71" s="181"/>
      <c r="AO71" s="190" t="s">
        <v>3913</v>
      </c>
      <c r="AP71" s="176">
        <v>20.73</v>
      </c>
      <c r="AQ71" s="176">
        <v>20.79</v>
      </c>
      <c r="AR71" s="176">
        <v>20.815000000000001</v>
      </c>
      <c r="AS71" s="176">
        <v>20.82</v>
      </c>
      <c r="AT71" s="173" t="str">
        <f t="shared" si="17"/>
        <v/>
      </c>
      <c r="AU71" s="173">
        <v>451</v>
      </c>
      <c r="AW71" s="142" t="s">
        <v>123</v>
      </c>
    </row>
    <row r="72" spans="2:49" s="142" customFormat="1" ht="21" customHeight="1" x14ac:dyDescent="0.25">
      <c r="B72" s="173" t="str">
        <f>IF(C72="HOLD RM","HOLD RM",IF(C72="BAL","WIP",IF(C72="HOLD SLT","HOLD SLT",IF(C72="MILL","RM",IF(C72="RE SLT","WIP",IF(C72="RM","RM",IF(C72="RM BAL","RM",IF(C72="RM SLT","RM",IF(C72="RR","WIP",IF(C72="SKP","WIP",IF(C72="SLT","WIP",IF(C72="CTL","WIP",IF(C72="RM SLT RUST","RM SLT RUST",0)))))))))))))&amp;"-"&amp;G72&amp;"/"&amp;IF(H72="2B","2B",IF(H72="NO.1","1D",IF(H72="FH","FH",0)))&amp;"-"&amp;IF(J72="",(TEXT(I72,"0.00")),TEXT(J72,"0.00"))&amp;"X"&amp;M72</f>
        <v>0-304L/FH-1.00X769</v>
      </c>
      <c r="C72" s="173" t="s">
        <v>3909</v>
      </c>
      <c r="D72" s="173" t="s">
        <v>16</v>
      </c>
      <c r="E72" s="190" t="s">
        <v>3906</v>
      </c>
      <c r="F72" s="190" t="s">
        <v>3907</v>
      </c>
      <c r="G72" s="173" t="s">
        <v>182</v>
      </c>
      <c r="H72" s="173" t="s">
        <v>70</v>
      </c>
      <c r="I72" s="174">
        <v>2.92</v>
      </c>
      <c r="J72" s="174">
        <v>1</v>
      </c>
      <c r="K72" s="174"/>
      <c r="L72" s="174"/>
      <c r="M72" s="191">
        <v>769</v>
      </c>
      <c r="N72" s="176">
        <v>12.255000000000001</v>
      </c>
      <c r="O72" s="176">
        <v>12.257</v>
      </c>
      <c r="P72" s="176"/>
      <c r="Q72" s="178"/>
      <c r="R72" s="179"/>
      <c r="S72" s="179"/>
      <c r="T72" s="177">
        <v>44930</v>
      </c>
      <c r="U72" s="177"/>
      <c r="V72" s="177"/>
      <c r="W72" s="177"/>
      <c r="X72" s="177"/>
      <c r="Y72" s="177"/>
      <c r="Z72" s="177"/>
      <c r="AA72" s="177">
        <v>44930</v>
      </c>
      <c r="AB72" s="177"/>
      <c r="AC72" s="177"/>
      <c r="AD72" s="180" t="s">
        <v>1345</v>
      </c>
      <c r="AE72" s="173" t="s">
        <v>69</v>
      </c>
      <c r="AF72" s="181" t="s">
        <v>142</v>
      </c>
      <c r="AG72" s="192" t="s">
        <v>1508</v>
      </c>
      <c r="AH72" s="198"/>
      <c r="AI72" s="181">
        <v>44849</v>
      </c>
      <c r="AJ72" s="181"/>
      <c r="AK72" s="181">
        <f ca="1">TODAY()</f>
        <v>44958</v>
      </c>
      <c r="AL72" s="173">
        <f ca="1">IF(AI72&lt;&gt;0,AK72-AI72,0)</f>
        <v>109</v>
      </c>
      <c r="AM72" s="173" t="str">
        <f>IF(ISNUMBER(X72)=TRUE,AK72-X72,IF(X72="","",(AK72)-(MID(RIGHT(X72,10),4,2)&amp;"/"&amp;LEFT((RIGHT(X72,10)),2)&amp;"/"&amp;RIGHT(X72,4))))</f>
        <v/>
      </c>
      <c r="AN72" s="181"/>
      <c r="AO72" s="190" t="s">
        <v>3908</v>
      </c>
      <c r="AP72" s="176">
        <v>24.495000000000001</v>
      </c>
      <c r="AQ72" s="176">
        <v>24.555</v>
      </c>
      <c r="AR72" s="176">
        <v>24.580000000000002</v>
      </c>
      <c r="AS72" s="176">
        <v>24.585000000000001</v>
      </c>
      <c r="AT72" s="173" t="str">
        <f t="shared" si="17"/>
        <v/>
      </c>
      <c r="AU72" s="173">
        <v>456</v>
      </c>
      <c r="AW72" s="142" t="s">
        <v>123</v>
      </c>
    </row>
    <row r="73" spans="2:49" s="142" customFormat="1" ht="21" customHeight="1" x14ac:dyDescent="0.25">
      <c r="B73" s="173" t="str">
        <f t="shared" ref="B73:B79" si="18">IF(C73="HOLD RM","HOLD RM",IF(C73="BAL","WIP",IF(C73="HOLD SLT","HOLD SLT",IF(C73="MILL","RM",IF(C73="RE SLT","WIP",IF(C73="RM","RM",IF(C73="RM BAL","RM",IF(C73="RM SLT","RM",IF(C73="RR","WIP",IF(C73="SKP","WIP",IF(C73="SLT","WIP",IF(C73="CTL","WIP",IF(C73="RM SLT RUST","RM SLT RUST",0)))))))))))))&amp;"-"&amp;G73&amp;"/"&amp;IF(H73="2B","2B",IF(H73="NO.1","1D",IF(H73="FH","FH",0)))&amp;"-"&amp;IF(J73="",(TEXT(I73,"0.00")),TEXT(J73,"0.00"))&amp;"X"&amp;M73</f>
        <v>0-304/1D-2.96X777</v>
      </c>
      <c r="C73" s="173" t="s">
        <v>3910</v>
      </c>
      <c r="D73" s="173" t="s">
        <v>13</v>
      </c>
      <c r="E73" s="190" t="s">
        <v>3914</v>
      </c>
      <c r="F73" s="190" t="s">
        <v>3915</v>
      </c>
      <c r="G73" s="173">
        <v>304</v>
      </c>
      <c r="H73" s="173" t="s">
        <v>127</v>
      </c>
      <c r="I73" s="174">
        <v>2.96</v>
      </c>
      <c r="J73" s="174"/>
      <c r="K73" s="174"/>
      <c r="L73" s="174"/>
      <c r="M73" s="191">
        <v>777</v>
      </c>
      <c r="N73" s="176">
        <v>10.734999999999999</v>
      </c>
      <c r="O73" s="176">
        <v>10.734999999999999</v>
      </c>
      <c r="P73" s="176"/>
      <c r="Q73" s="178"/>
      <c r="R73" s="179"/>
      <c r="S73" s="179"/>
      <c r="T73" s="177">
        <v>44931</v>
      </c>
      <c r="U73" s="177"/>
      <c r="V73" s="177"/>
      <c r="W73" s="177"/>
      <c r="X73" s="177"/>
      <c r="Y73" s="177"/>
      <c r="Z73" s="177"/>
      <c r="AA73" s="177">
        <v>44928</v>
      </c>
      <c r="AB73" s="177"/>
      <c r="AC73" s="177"/>
      <c r="AD73" s="180" t="s">
        <v>1345</v>
      </c>
      <c r="AE73" s="173" t="s">
        <v>69</v>
      </c>
      <c r="AF73" s="181" t="s">
        <v>142</v>
      </c>
      <c r="AG73" s="181" t="s">
        <v>1346</v>
      </c>
      <c r="AH73" s="181"/>
      <c r="AI73" s="181">
        <v>44813</v>
      </c>
      <c r="AJ73" s="181"/>
      <c r="AK73" s="181">
        <f t="shared" ref="AK73:AK79" ca="1" si="19">TODAY()</f>
        <v>44958</v>
      </c>
      <c r="AL73" s="173">
        <f t="shared" ref="AL73:AL79" ca="1" si="20">IF(AI73&lt;&gt;0,AK73-AI73,0)</f>
        <v>145</v>
      </c>
      <c r="AM73" s="173" t="str">
        <f t="shared" ref="AM73:AM79" si="21">IF(ISNUMBER(X73)=TRUE,AK73-X73,IF(X73="","",(AK73)-(MID(RIGHT(X73,10),4,2)&amp;"/"&amp;LEFT((RIGHT(X73,10)),2)&amp;"/"&amp;RIGHT(X73,4))))</f>
        <v/>
      </c>
      <c r="AN73" s="181"/>
      <c r="AO73" s="190" t="s">
        <v>3916</v>
      </c>
      <c r="AP73" s="176">
        <v>21.39</v>
      </c>
      <c r="AQ73" s="176">
        <v>21.45</v>
      </c>
      <c r="AR73" s="176">
        <v>21.475000000000001</v>
      </c>
      <c r="AS73" s="176">
        <v>21.48</v>
      </c>
      <c r="AT73" s="173" t="str">
        <f t="shared" si="17"/>
        <v/>
      </c>
      <c r="AU73" s="173">
        <v>451</v>
      </c>
      <c r="AW73" s="142" t="s">
        <v>123</v>
      </c>
    </row>
    <row r="74" spans="2:49" s="142" customFormat="1" ht="21" customHeight="1" x14ac:dyDescent="0.25">
      <c r="B74" s="173" t="str">
        <f t="shared" si="18"/>
        <v>0-304/FH-1.50X765</v>
      </c>
      <c r="C74" s="173" t="s">
        <v>3909</v>
      </c>
      <c r="D74" s="173" t="s">
        <v>16</v>
      </c>
      <c r="E74" s="190" t="s">
        <v>2346</v>
      </c>
      <c r="F74" s="190" t="s">
        <v>2347</v>
      </c>
      <c r="G74" s="173">
        <v>304</v>
      </c>
      <c r="H74" s="173" t="s">
        <v>70</v>
      </c>
      <c r="I74" s="174">
        <v>3.89</v>
      </c>
      <c r="J74" s="174">
        <v>1.5</v>
      </c>
      <c r="K74" s="174"/>
      <c r="L74" s="174"/>
      <c r="M74" s="191">
        <v>765</v>
      </c>
      <c r="N74" s="176">
        <v>10.455</v>
      </c>
      <c r="O74" s="176">
        <v>10.46</v>
      </c>
      <c r="P74" s="176"/>
      <c r="Q74" s="178"/>
      <c r="R74" s="179"/>
      <c r="S74" s="179"/>
      <c r="T74" s="177">
        <v>44931</v>
      </c>
      <c r="U74" s="177"/>
      <c r="V74" s="177"/>
      <c r="W74" s="177"/>
      <c r="X74" s="177"/>
      <c r="Y74" s="177"/>
      <c r="Z74" s="177"/>
      <c r="AA74" s="177"/>
      <c r="AB74" s="177"/>
      <c r="AC74" s="177"/>
      <c r="AD74" s="180" t="s">
        <v>1345</v>
      </c>
      <c r="AE74" s="173" t="s">
        <v>69</v>
      </c>
      <c r="AF74" s="181" t="s">
        <v>142</v>
      </c>
      <c r="AG74" s="192" t="s">
        <v>2283</v>
      </c>
      <c r="AH74" s="198"/>
      <c r="AI74" s="181">
        <v>44880</v>
      </c>
      <c r="AJ74" s="181"/>
      <c r="AK74" s="181">
        <f t="shared" ca="1" si="19"/>
        <v>44958</v>
      </c>
      <c r="AL74" s="173">
        <f t="shared" ca="1" si="20"/>
        <v>78</v>
      </c>
      <c r="AM74" s="173" t="str">
        <f t="shared" si="21"/>
        <v/>
      </c>
      <c r="AN74" s="181"/>
      <c r="AO74" s="190" t="s">
        <v>2348</v>
      </c>
      <c r="AP74" s="176">
        <v>10.455</v>
      </c>
      <c r="AQ74" s="176">
        <v>10.465</v>
      </c>
      <c r="AR74" s="176">
        <v>10.489999999999998</v>
      </c>
      <c r="AS74" s="176">
        <v>10.494999999999999</v>
      </c>
      <c r="AT74" s="173" t="str">
        <f t="shared" si="17"/>
        <v/>
      </c>
      <c r="AU74" s="173">
        <v>459</v>
      </c>
      <c r="AW74" s="142" t="s">
        <v>123</v>
      </c>
    </row>
    <row r="75" spans="2:49" s="142" customFormat="1" ht="21" customHeight="1" x14ac:dyDescent="0.25">
      <c r="B75" s="173" t="str">
        <f t="shared" si="18"/>
        <v>0-304L/1D-2.81X644</v>
      </c>
      <c r="C75" s="173" t="s">
        <v>3917</v>
      </c>
      <c r="D75" s="173" t="s">
        <v>13</v>
      </c>
      <c r="E75" s="190" t="s">
        <v>3918</v>
      </c>
      <c r="F75" s="190" t="s">
        <v>3919</v>
      </c>
      <c r="G75" s="173" t="s">
        <v>182</v>
      </c>
      <c r="H75" s="173" t="s">
        <v>127</v>
      </c>
      <c r="I75" s="174">
        <v>2.81</v>
      </c>
      <c r="J75" s="174"/>
      <c r="K75" s="174"/>
      <c r="L75" s="174"/>
      <c r="M75" s="191">
        <v>644</v>
      </c>
      <c r="N75" s="176">
        <v>10.654999999999999</v>
      </c>
      <c r="O75" s="176">
        <v>10.654999999999999</v>
      </c>
      <c r="P75" s="176"/>
      <c r="Q75" s="178"/>
      <c r="R75" s="179"/>
      <c r="S75" s="179"/>
      <c r="T75" s="177">
        <v>44931</v>
      </c>
      <c r="U75" s="177"/>
      <c r="V75" s="177"/>
      <c r="W75" s="177"/>
      <c r="X75" s="177"/>
      <c r="Y75" s="177"/>
      <c r="Z75" s="177"/>
      <c r="AA75" s="177"/>
      <c r="AB75" s="177"/>
      <c r="AC75" s="177"/>
      <c r="AD75" s="180" t="s">
        <v>2479</v>
      </c>
      <c r="AE75" s="173" t="s">
        <v>69</v>
      </c>
      <c r="AF75" s="181" t="s">
        <v>142</v>
      </c>
      <c r="AG75" s="192" t="s">
        <v>1653</v>
      </c>
      <c r="AH75" s="198"/>
      <c r="AI75" s="181">
        <v>44880</v>
      </c>
      <c r="AJ75" s="181"/>
      <c r="AK75" s="181">
        <f t="shared" ca="1" si="19"/>
        <v>44958</v>
      </c>
      <c r="AL75" s="173">
        <f t="shared" ca="1" si="20"/>
        <v>78</v>
      </c>
      <c r="AM75" s="173" t="str">
        <f t="shared" si="21"/>
        <v/>
      </c>
      <c r="AN75" s="181"/>
      <c r="AO75" s="190" t="s">
        <v>1939</v>
      </c>
      <c r="AP75" s="176">
        <v>10.654999999999999</v>
      </c>
      <c r="AQ75" s="176">
        <v>10.664999999999999</v>
      </c>
      <c r="AR75" s="176">
        <v>10.689999999999998</v>
      </c>
      <c r="AS75" s="176">
        <v>10.694999999999999</v>
      </c>
      <c r="AT75" s="173" t="str">
        <f t="shared" si="17"/>
        <v/>
      </c>
      <c r="AU75" s="173">
        <v>459</v>
      </c>
      <c r="AW75" s="142" t="s">
        <v>123</v>
      </c>
    </row>
    <row r="76" spans="2:49" s="142" customFormat="1" ht="21" customHeight="1" x14ac:dyDescent="0.25">
      <c r="B76" s="173" t="str">
        <f t="shared" si="18"/>
        <v>0-304/1D-2.96X777</v>
      </c>
      <c r="C76" s="173" t="s">
        <v>3910</v>
      </c>
      <c r="D76" s="173" t="s">
        <v>13</v>
      </c>
      <c r="E76" s="190" t="s">
        <v>3914</v>
      </c>
      <c r="F76" s="190" t="s">
        <v>3920</v>
      </c>
      <c r="G76" s="173">
        <v>304</v>
      </c>
      <c r="H76" s="173" t="s">
        <v>127</v>
      </c>
      <c r="I76" s="174">
        <v>2.96</v>
      </c>
      <c r="J76" s="174"/>
      <c r="K76" s="174"/>
      <c r="L76" s="174"/>
      <c r="M76" s="191">
        <v>777</v>
      </c>
      <c r="N76" s="176">
        <v>10.69</v>
      </c>
      <c r="O76" s="176">
        <v>10.69</v>
      </c>
      <c r="P76" s="176"/>
      <c r="Q76" s="178"/>
      <c r="R76" s="179"/>
      <c r="S76" s="179"/>
      <c r="T76" s="177">
        <v>44931</v>
      </c>
      <c r="U76" s="177"/>
      <c r="V76" s="177"/>
      <c r="W76" s="177"/>
      <c r="X76" s="177"/>
      <c r="Y76" s="177"/>
      <c r="Z76" s="177"/>
      <c r="AA76" s="177">
        <v>44928</v>
      </c>
      <c r="AB76" s="177"/>
      <c r="AC76" s="177"/>
      <c r="AD76" s="180" t="s">
        <v>1345</v>
      </c>
      <c r="AE76" s="173" t="s">
        <v>69</v>
      </c>
      <c r="AF76" s="181" t="s">
        <v>142</v>
      </c>
      <c r="AG76" s="181" t="s">
        <v>1346</v>
      </c>
      <c r="AH76" s="181"/>
      <c r="AI76" s="181">
        <v>44813</v>
      </c>
      <c r="AJ76" s="181"/>
      <c r="AK76" s="181">
        <f t="shared" ca="1" si="19"/>
        <v>44958</v>
      </c>
      <c r="AL76" s="173">
        <f t="shared" ca="1" si="20"/>
        <v>145</v>
      </c>
      <c r="AM76" s="173" t="str">
        <f t="shared" si="21"/>
        <v/>
      </c>
      <c r="AN76" s="181"/>
      <c r="AO76" s="190" t="s">
        <v>3916</v>
      </c>
      <c r="AP76" s="176">
        <v>21.39</v>
      </c>
      <c r="AQ76" s="176">
        <v>21.45</v>
      </c>
      <c r="AR76" s="176">
        <v>21.475000000000001</v>
      </c>
      <c r="AS76" s="176">
        <v>21.48</v>
      </c>
      <c r="AT76" s="173" t="str">
        <f t="shared" si="17"/>
        <v/>
      </c>
      <c r="AU76" s="173">
        <v>451</v>
      </c>
      <c r="AW76" s="142" t="s">
        <v>123</v>
      </c>
    </row>
    <row r="77" spans="2:49" s="142" customFormat="1" ht="21" customHeight="1" x14ac:dyDescent="0.25">
      <c r="B77" s="173" t="str">
        <f t="shared" si="18"/>
        <v>0-304/FH-1.10X777</v>
      </c>
      <c r="C77" s="173" t="s">
        <v>3909</v>
      </c>
      <c r="D77" s="173" t="s">
        <v>16</v>
      </c>
      <c r="E77" s="190" t="s">
        <v>3911</v>
      </c>
      <c r="F77" s="190" t="s">
        <v>3912</v>
      </c>
      <c r="G77" s="173">
        <v>304</v>
      </c>
      <c r="H77" s="173" t="s">
        <v>70</v>
      </c>
      <c r="I77" s="174">
        <v>2.9</v>
      </c>
      <c r="J77" s="174">
        <v>1.1000000000000001</v>
      </c>
      <c r="K77" s="174"/>
      <c r="L77" s="174"/>
      <c r="M77" s="191">
        <v>777</v>
      </c>
      <c r="N77" s="176">
        <v>10.35</v>
      </c>
      <c r="O77" s="176">
        <v>10.324999999999999</v>
      </c>
      <c r="P77" s="176"/>
      <c r="Q77" s="178"/>
      <c r="R77" s="179"/>
      <c r="S77" s="179"/>
      <c r="T77" s="177">
        <v>44931</v>
      </c>
      <c r="U77" s="177"/>
      <c r="V77" s="177"/>
      <c r="W77" s="177"/>
      <c r="X77" s="177"/>
      <c r="Y77" s="177"/>
      <c r="Z77" s="177"/>
      <c r="AA77" s="177">
        <v>44926</v>
      </c>
      <c r="AB77" s="177"/>
      <c r="AC77" s="177"/>
      <c r="AD77" s="180" t="s">
        <v>1345</v>
      </c>
      <c r="AE77" s="173" t="s">
        <v>69</v>
      </c>
      <c r="AF77" s="181" t="s">
        <v>142</v>
      </c>
      <c r="AG77" s="181" t="s">
        <v>1346</v>
      </c>
      <c r="AH77" s="181"/>
      <c r="AI77" s="181">
        <v>44813</v>
      </c>
      <c r="AJ77" s="181"/>
      <c r="AK77" s="181">
        <f t="shared" ca="1" si="19"/>
        <v>44958</v>
      </c>
      <c r="AL77" s="173">
        <f t="shared" ca="1" si="20"/>
        <v>145</v>
      </c>
      <c r="AM77" s="173" t="str">
        <f t="shared" si="21"/>
        <v/>
      </c>
      <c r="AN77" s="181"/>
      <c r="AO77" s="190" t="s">
        <v>3913</v>
      </c>
      <c r="AP77" s="176">
        <v>20.73</v>
      </c>
      <c r="AQ77" s="176">
        <v>20.79</v>
      </c>
      <c r="AR77" s="176">
        <v>20.815000000000001</v>
      </c>
      <c r="AS77" s="176">
        <v>20.82</v>
      </c>
      <c r="AT77" s="173" t="str">
        <f t="shared" si="17"/>
        <v/>
      </c>
      <c r="AU77" s="173">
        <v>451</v>
      </c>
      <c r="AW77" s="142" t="s">
        <v>123</v>
      </c>
    </row>
    <row r="78" spans="2:49" s="142" customFormat="1" ht="21" customHeight="1" x14ac:dyDescent="0.25">
      <c r="B78" s="173" t="str">
        <f t="shared" si="18"/>
        <v>0-304L/1D-2.49X642</v>
      </c>
      <c r="C78" s="173" t="s">
        <v>3910</v>
      </c>
      <c r="D78" s="173" t="s">
        <v>13</v>
      </c>
      <c r="E78" s="190" t="s">
        <v>3921</v>
      </c>
      <c r="F78" s="190" t="s">
        <v>3922</v>
      </c>
      <c r="G78" s="173" t="s">
        <v>182</v>
      </c>
      <c r="H78" s="173" t="s">
        <v>127</v>
      </c>
      <c r="I78" s="174">
        <v>2.4900000000000002</v>
      </c>
      <c r="J78" s="174"/>
      <c r="K78" s="174"/>
      <c r="L78" s="174"/>
      <c r="M78" s="191">
        <v>642</v>
      </c>
      <c r="N78" s="176">
        <v>10.62</v>
      </c>
      <c r="O78" s="176">
        <v>10.62</v>
      </c>
      <c r="P78" s="176"/>
      <c r="Q78" s="178"/>
      <c r="R78" s="179"/>
      <c r="S78" s="179"/>
      <c r="T78" s="177">
        <v>44931</v>
      </c>
      <c r="U78" s="177"/>
      <c r="V78" s="177"/>
      <c r="W78" s="177"/>
      <c r="X78" s="177"/>
      <c r="Y78" s="177"/>
      <c r="Z78" s="177"/>
      <c r="AA78" s="177"/>
      <c r="AB78" s="177"/>
      <c r="AC78" s="177"/>
      <c r="AD78" s="180" t="s">
        <v>2479</v>
      </c>
      <c r="AE78" s="173" t="s">
        <v>69</v>
      </c>
      <c r="AF78" s="181" t="s">
        <v>142</v>
      </c>
      <c r="AG78" s="192" t="s">
        <v>1657</v>
      </c>
      <c r="AH78" s="198"/>
      <c r="AI78" s="181">
        <v>44849</v>
      </c>
      <c r="AJ78" s="181"/>
      <c r="AK78" s="181">
        <f t="shared" ca="1" si="19"/>
        <v>44958</v>
      </c>
      <c r="AL78" s="173">
        <f t="shared" ca="1" si="20"/>
        <v>109</v>
      </c>
      <c r="AM78" s="173" t="str">
        <f t="shared" si="21"/>
        <v/>
      </c>
      <c r="AN78" s="181"/>
      <c r="AO78" s="190" t="s">
        <v>3923</v>
      </c>
      <c r="AP78" s="176">
        <v>10.62</v>
      </c>
      <c r="AQ78" s="176">
        <v>10.63</v>
      </c>
      <c r="AR78" s="176">
        <v>10.654999999999999</v>
      </c>
      <c r="AS78" s="176">
        <v>10.66</v>
      </c>
      <c r="AT78" s="173" t="str">
        <f t="shared" si="17"/>
        <v/>
      </c>
      <c r="AU78" s="173">
        <v>456</v>
      </c>
      <c r="AW78" s="142" t="s">
        <v>123</v>
      </c>
    </row>
    <row r="79" spans="2:49" s="142" customFormat="1" ht="21" customHeight="1" x14ac:dyDescent="0.25">
      <c r="B79" s="173" t="str">
        <f t="shared" si="18"/>
        <v>0-304/FH-1.00X777</v>
      </c>
      <c r="C79" s="173" t="s">
        <v>3909</v>
      </c>
      <c r="D79" s="173" t="s">
        <v>16</v>
      </c>
      <c r="E79" s="190" t="s">
        <v>3914</v>
      </c>
      <c r="F79" s="190" t="s">
        <v>3915</v>
      </c>
      <c r="G79" s="173">
        <v>304</v>
      </c>
      <c r="H79" s="173" t="s">
        <v>70</v>
      </c>
      <c r="I79" s="174">
        <v>2.96</v>
      </c>
      <c r="J79" s="174">
        <v>1</v>
      </c>
      <c r="K79" s="174"/>
      <c r="L79" s="174"/>
      <c r="M79" s="191">
        <v>777</v>
      </c>
      <c r="N79" s="176">
        <v>10.734999999999999</v>
      </c>
      <c r="O79" s="176">
        <v>10.725</v>
      </c>
      <c r="P79" s="176"/>
      <c r="Q79" s="178"/>
      <c r="R79" s="179"/>
      <c r="S79" s="179"/>
      <c r="T79" s="177">
        <v>44931</v>
      </c>
      <c r="U79" s="177"/>
      <c r="V79" s="177"/>
      <c r="W79" s="177"/>
      <c r="X79" s="177"/>
      <c r="Y79" s="177"/>
      <c r="Z79" s="177"/>
      <c r="AA79" s="177">
        <v>44928</v>
      </c>
      <c r="AB79" s="177"/>
      <c r="AC79" s="177"/>
      <c r="AD79" s="180" t="s">
        <v>1345</v>
      </c>
      <c r="AE79" s="173" t="s">
        <v>69</v>
      </c>
      <c r="AF79" s="181" t="s">
        <v>142</v>
      </c>
      <c r="AG79" s="181" t="s">
        <v>1346</v>
      </c>
      <c r="AH79" s="181"/>
      <c r="AI79" s="181">
        <v>44813</v>
      </c>
      <c r="AJ79" s="181"/>
      <c r="AK79" s="181">
        <f t="shared" ca="1" si="19"/>
        <v>44958</v>
      </c>
      <c r="AL79" s="173">
        <f t="shared" ca="1" si="20"/>
        <v>145</v>
      </c>
      <c r="AM79" s="173" t="str">
        <f t="shared" si="21"/>
        <v/>
      </c>
      <c r="AN79" s="181"/>
      <c r="AO79" s="190" t="s">
        <v>3916</v>
      </c>
      <c r="AP79" s="176">
        <v>21.39</v>
      </c>
      <c r="AQ79" s="176">
        <v>21.45</v>
      </c>
      <c r="AR79" s="176">
        <v>21.475000000000001</v>
      </c>
      <c r="AS79" s="176">
        <v>21.48</v>
      </c>
      <c r="AT79" s="173" t="str">
        <f t="shared" si="17"/>
        <v/>
      </c>
      <c r="AU79" s="173">
        <v>451</v>
      </c>
      <c r="AW79" s="142" t="s">
        <v>123</v>
      </c>
    </row>
    <row r="80" spans="2:49" s="142" customFormat="1" ht="21" customHeight="1" x14ac:dyDescent="0.25">
      <c r="B80" s="173" t="str">
        <f>IF(C80="HOLD RM","HOLD RM",IF(C80="BAL","WIP",IF(C80="HOLD SLT","HOLD SLT",IF(C80="MILL","RM",IF(C80="RE SLT","WIP",IF(C80="RM","RM",IF(C80="RM BAL","RM",IF(C80="RM SLT","RM",IF(C80="RR","WIP",IF(C80="SKP","WIP",IF(C80="SLT","WIP",IF(C80="CTL","WIP",IF(C80="RM SLT RUST","RM SLT RUST",0)))))))))))))&amp;"-"&amp;G80&amp;"/"&amp;IF(H80="2B","2B",IF(H80="NO.1","1D",IF(H80="FH","FH",0)))&amp;"-"&amp;IF(J80="",(TEXT(I80,"0.00")),TEXT(J80,"0.00"))&amp;"X"&amp;M80</f>
        <v>0-304/1D-3.45X767</v>
      </c>
      <c r="C80" s="201" t="s">
        <v>3910</v>
      </c>
      <c r="D80" s="173" t="s">
        <v>13</v>
      </c>
      <c r="E80" s="190" t="s">
        <v>3924</v>
      </c>
      <c r="F80" s="190" t="s">
        <v>3925</v>
      </c>
      <c r="G80" s="173">
        <v>304</v>
      </c>
      <c r="H80" s="173" t="s">
        <v>127</v>
      </c>
      <c r="I80" s="174">
        <v>3.45</v>
      </c>
      <c r="J80" s="174"/>
      <c r="K80" s="174"/>
      <c r="L80" s="174"/>
      <c r="M80" s="191">
        <v>767</v>
      </c>
      <c r="N80" s="176">
        <v>12.185</v>
      </c>
      <c r="O80" s="176">
        <v>12.185</v>
      </c>
      <c r="P80" s="176"/>
      <c r="Q80" s="178"/>
      <c r="R80" s="179"/>
      <c r="S80" s="179"/>
      <c r="T80" s="177">
        <v>44931</v>
      </c>
      <c r="U80" s="177"/>
      <c r="V80" s="177"/>
      <c r="W80" s="177"/>
      <c r="X80" s="177"/>
      <c r="Y80" s="177"/>
      <c r="Z80" s="177"/>
      <c r="AA80" s="177">
        <v>44931</v>
      </c>
      <c r="AB80" s="177"/>
      <c r="AC80" s="177"/>
      <c r="AD80" s="180" t="s">
        <v>1345</v>
      </c>
      <c r="AE80" s="173" t="s">
        <v>69</v>
      </c>
      <c r="AF80" s="181" t="s">
        <v>142</v>
      </c>
      <c r="AG80" s="192" t="s">
        <v>1508</v>
      </c>
      <c r="AH80" s="198"/>
      <c r="AI80" s="181">
        <v>44849</v>
      </c>
      <c r="AJ80" s="181"/>
      <c r="AK80" s="181">
        <f ca="1">TODAY()</f>
        <v>44958</v>
      </c>
      <c r="AL80" s="173">
        <f ca="1">IF(AI80&lt;&gt;0,AK80-AI80,0)</f>
        <v>109</v>
      </c>
      <c r="AM80" s="173" t="str">
        <f>IF(ISNUMBER(X80)=TRUE,AK80-X80,IF(X80="","",(AK80)-(MID(RIGHT(X80,10),4,2)&amp;"/"&amp;LEFT((RIGHT(X80,10)),2)&amp;"/"&amp;RIGHT(X80,4))))</f>
        <v/>
      </c>
      <c r="AN80" s="181"/>
      <c r="AO80" s="190" t="s">
        <v>3926</v>
      </c>
      <c r="AP80" s="176">
        <v>24.335000000000001</v>
      </c>
      <c r="AQ80" s="176">
        <v>24.395</v>
      </c>
      <c r="AR80" s="176">
        <v>24.42</v>
      </c>
      <c r="AS80" s="176">
        <v>24.425000000000001</v>
      </c>
      <c r="AT80" s="173" t="str">
        <f t="shared" si="17"/>
        <v/>
      </c>
      <c r="AU80" s="173">
        <v>456</v>
      </c>
      <c r="AW80" s="142" t="s">
        <v>123</v>
      </c>
    </row>
    <row r="81" spans="2:49" s="142" customFormat="1" ht="21" customHeight="1" x14ac:dyDescent="0.25">
      <c r="B81" s="173" t="str">
        <f t="shared" ref="B81:B90" si="22">IF(C81="HOLD RM","HOLD RM",IF(C81="BAL","WIP",IF(C81="HOLD SLT","HOLD SLT",IF(C81="MILL","RM",IF(C81="RE SLT","WIP",IF(C81="RM","RM",IF(C81="RM BAL","RM",IF(C81="RM SLT","RM",IF(C81="RR","WIP",IF(C81="SKP","WIP",IF(C81="SLT","WIP",IF(C81="CTL","WIP",IF(C81="RM SLT RUST","RM SLT RUST",0)))))))))))))&amp;"-"&amp;G81&amp;"/"&amp;IF(H81="2B","2B",IF(H81="NO.1","1D",IF(H81="FH","FH",0)))&amp;"-"&amp;IF(J81="",(TEXT(I81,"0.00")),TEXT(J81,"0.00"))&amp;"X"&amp;M81</f>
        <v>0-304/FH-2.00X770</v>
      </c>
      <c r="C81" s="173" t="s">
        <v>3909</v>
      </c>
      <c r="D81" s="173" t="s">
        <v>16</v>
      </c>
      <c r="E81" s="190" t="s">
        <v>2343</v>
      </c>
      <c r="F81" s="190" t="s">
        <v>2344</v>
      </c>
      <c r="G81" s="173">
        <v>304</v>
      </c>
      <c r="H81" s="173" t="s">
        <v>70</v>
      </c>
      <c r="I81" s="174">
        <v>3.89</v>
      </c>
      <c r="J81" s="174">
        <v>2</v>
      </c>
      <c r="K81" s="174"/>
      <c r="L81" s="174"/>
      <c r="M81" s="191">
        <v>770</v>
      </c>
      <c r="N81" s="176">
        <v>10.52</v>
      </c>
      <c r="O81" s="176">
        <v>10.535</v>
      </c>
      <c r="P81" s="176"/>
      <c r="Q81" s="178"/>
      <c r="R81" s="179"/>
      <c r="S81" s="179"/>
      <c r="T81" s="177">
        <v>44931</v>
      </c>
      <c r="U81" s="177"/>
      <c r="V81" s="177"/>
      <c r="W81" s="177"/>
      <c r="X81" s="177"/>
      <c r="Y81" s="177"/>
      <c r="Z81" s="177"/>
      <c r="AA81" s="177"/>
      <c r="AB81" s="177"/>
      <c r="AC81" s="177"/>
      <c r="AD81" s="180" t="s">
        <v>1345</v>
      </c>
      <c r="AE81" s="173" t="s">
        <v>69</v>
      </c>
      <c r="AF81" s="181" t="s">
        <v>142</v>
      </c>
      <c r="AG81" s="192" t="s">
        <v>2283</v>
      </c>
      <c r="AH81" s="198"/>
      <c r="AI81" s="181">
        <v>44880</v>
      </c>
      <c r="AJ81" s="181"/>
      <c r="AK81" s="181">
        <f t="shared" ref="AK81:AK90" ca="1" si="23">TODAY()</f>
        <v>44958</v>
      </c>
      <c r="AL81" s="173">
        <f t="shared" ref="AL81:AL90" ca="1" si="24">IF(AI81&lt;&gt;0,AK81-AI81,0)</f>
        <v>78</v>
      </c>
      <c r="AM81" s="173" t="str">
        <f t="shared" ref="AM81:AM90" si="25">IF(ISNUMBER(X81)=TRUE,AK81-X81,IF(X81="","",(AK81)-(MID(RIGHT(X81,10),4,2)&amp;"/"&amp;LEFT((RIGHT(X81,10)),2)&amp;"/"&amp;RIGHT(X81,4))))</f>
        <v/>
      </c>
      <c r="AN81" s="181"/>
      <c r="AO81" s="190" t="s">
        <v>2345</v>
      </c>
      <c r="AP81" s="176">
        <v>10.52</v>
      </c>
      <c r="AQ81" s="176">
        <v>10.53</v>
      </c>
      <c r="AR81" s="176">
        <v>10.554999999999998</v>
      </c>
      <c r="AS81" s="176">
        <v>10.559999999999999</v>
      </c>
      <c r="AT81" s="173" t="str">
        <f t="shared" si="17"/>
        <v/>
      </c>
      <c r="AU81" s="173">
        <v>459</v>
      </c>
      <c r="AW81" s="142" t="s">
        <v>123</v>
      </c>
    </row>
    <row r="82" spans="2:49" s="142" customFormat="1" ht="21" customHeight="1" x14ac:dyDescent="0.25">
      <c r="B82" s="173" t="str">
        <f t="shared" si="22"/>
        <v>0-304/1D-2.90X778</v>
      </c>
      <c r="C82" s="173" t="s">
        <v>3910</v>
      </c>
      <c r="D82" s="173" t="s">
        <v>13</v>
      </c>
      <c r="E82" s="190" t="s">
        <v>3911</v>
      </c>
      <c r="F82" s="190" t="s">
        <v>3927</v>
      </c>
      <c r="G82" s="173">
        <v>304</v>
      </c>
      <c r="H82" s="173" t="s">
        <v>127</v>
      </c>
      <c r="I82" s="174">
        <v>2.9</v>
      </c>
      <c r="J82" s="174"/>
      <c r="K82" s="174"/>
      <c r="L82" s="174"/>
      <c r="M82" s="191">
        <v>778</v>
      </c>
      <c r="N82" s="176">
        <v>10.385</v>
      </c>
      <c r="O82" s="176">
        <v>10.385</v>
      </c>
      <c r="P82" s="176"/>
      <c r="Q82" s="178"/>
      <c r="R82" s="179"/>
      <c r="S82" s="179"/>
      <c r="T82" s="177">
        <v>44931</v>
      </c>
      <c r="U82" s="177"/>
      <c r="V82" s="177"/>
      <c r="W82" s="177"/>
      <c r="X82" s="177"/>
      <c r="Y82" s="177"/>
      <c r="Z82" s="177"/>
      <c r="AA82" s="177">
        <v>44926</v>
      </c>
      <c r="AB82" s="177"/>
      <c r="AC82" s="177"/>
      <c r="AD82" s="180" t="s">
        <v>1345</v>
      </c>
      <c r="AE82" s="173" t="s">
        <v>69</v>
      </c>
      <c r="AF82" s="181" t="s">
        <v>142</v>
      </c>
      <c r="AG82" s="181" t="s">
        <v>1346</v>
      </c>
      <c r="AH82" s="181"/>
      <c r="AI82" s="181">
        <v>44813</v>
      </c>
      <c r="AJ82" s="181"/>
      <c r="AK82" s="181">
        <f t="shared" ca="1" si="23"/>
        <v>44958</v>
      </c>
      <c r="AL82" s="173">
        <f t="shared" ca="1" si="24"/>
        <v>145</v>
      </c>
      <c r="AM82" s="173" t="str">
        <f t="shared" si="25"/>
        <v/>
      </c>
      <c r="AN82" s="181"/>
      <c r="AO82" s="190" t="s">
        <v>3913</v>
      </c>
      <c r="AP82" s="176">
        <v>20.73</v>
      </c>
      <c r="AQ82" s="176">
        <v>20.79</v>
      </c>
      <c r="AR82" s="176">
        <v>20.815000000000001</v>
      </c>
      <c r="AS82" s="176">
        <v>20.82</v>
      </c>
      <c r="AT82" s="173" t="str">
        <f t="shared" si="17"/>
        <v/>
      </c>
      <c r="AU82" s="173">
        <v>451</v>
      </c>
      <c r="AW82" s="142" t="s">
        <v>123</v>
      </c>
    </row>
    <row r="83" spans="2:49" s="142" customFormat="1" ht="21" customHeight="1" x14ac:dyDescent="0.25">
      <c r="B83" s="173" t="str">
        <f t="shared" si="22"/>
        <v>0-304/FH-2.21X777</v>
      </c>
      <c r="C83" s="173" t="s">
        <v>3928</v>
      </c>
      <c r="D83" s="173" t="s">
        <v>3901</v>
      </c>
      <c r="E83" s="190" t="s">
        <v>3914</v>
      </c>
      <c r="F83" s="190" t="s">
        <v>3920</v>
      </c>
      <c r="G83" s="173">
        <v>304</v>
      </c>
      <c r="H83" s="173" t="s">
        <v>70</v>
      </c>
      <c r="I83" s="174">
        <v>2.96</v>
      </c>
      <c r="J83" s="174">
        <v>2.21</v>
      </c>
      <c r="K83" s="174"/>
      <c r="L83" s="174"/>
      <c r="M83" s="191">
        <v>777</v>
      </c>
      <c r="N83" s="176">
        <v>10.69</v>
      </c>
      <c r="O83" s="176">
        <v>10.69</v>
      </c>
      <c r="P83" s="176"/>
      <c r="Q83" s="178"/>
      <c r="R83" s="179" t="s">
        <v>3929</v>
      </c>
      <c r="S83" s="179"/>
      <c r="T83" s="177">
        <v>44931</v>
      </c>
      <c r="U83" s="177"/>
      <c r="V83" s="177"/>
      <c r="W83" s="177"/>
      <c r="X83" s="177"/>
      <c r="Y83" s="177"/>
      <c r="Z83" s="177"/>
      <c r="AA83" s="177">
        <v>44928</v>
      </c>
      <c r="AB83" s="177"/>
      <c r="AC83" s="177"/>
      <c r="AD83" s="180" t="s">
        <v>1345</v>
      </c>
      <c r="AE83" s="173" t="s">
        <v>69</v>
      </c>
      <c r="AF83" s="181" t="s">
        <v>142</v>
      </c>
      <c r="AG83" s="181" t="s">
        <v>1346</v>
      </c>
      <c r="AH83" s="181"/>
      <c r="AI83" s="181">
        <v>44813</v>
      </c>
      <c r="AJ83" s="181"/>
      <c r="AK83" s="181">
        <f t="shared" ca="1" si="23"/>
        <v>44958</v>
      </c>
      <c r="AL83" s="173">
        <f t="shared" ca="1" si="24"/>
        <v>145</v>
      </c>
      <c r="AM83" s="173" t="str">
        <f t="shared" si="25"/>
        <v/>
      </c>
      <c r="AN83" s="181"/>
      <c r="AO83" s="190" t="s">
        <v>3916</v>
      </c>
      <c r="AP83" s="176">
        <v>21.39</v>
      </c>
      <c r="AQ83" s="176">
        <v>21.45</v>
      </c>
      <c r="AR83" s="176">
        <v>21.475000000000001</v>
      </c>
      <c r="AS83" s="176">
        <v>21.48</v>
      </c>
      <c r="AT83" s="173" t="str">
        <f t="shared" si="17"/>
        <v/>
      </c>
      <c r="AU83" s="173">
        <v>451</v>
      </c>
      <c r="AW83" s="142" t="s">
        <v>123</v>
      </c>
    </row>
    <row r="84" spans="2:49" s="142" customFormat="1" ht="21" customHeight="1" x14ac:dyDescent="0.25">
      <c r="B84" s="173" t="str">
        <f t="shared" si="22"/>
        <v>0-304/FH-0.90X769</v>
      </c>
      <c r="C84" s="173" t="s">
        <v>3909</v>
      </c>
      <c r="D84" s="173" t="s">
        <v>16</v>
      </c>
      <c r="E84" s="190" t="s">
        <v>3895</v>
      </c>
      <c r="F84" s="190" t="s">
        <v>3896</v>
      </c>
      <c r="G84" s="173">
        <v>304</v>
      </c>
      <c r="H84" s="173" t="s">
        <v>70</v>
      </c>
      <c r="I84" s="174">
        <v>2.89</v>
      </c>
      <c r="J84" s="174">
        <v>0.9</v>
      </c>
      <c r="K84" s="174"/>
      <c r="L84" s="174"/>
      <c r="M84" s="191">
        <v>769</v>
      </c>
      <c r="N84" s="176">
        <v>10.525</v>
      </c>
      <c r="O84" s="176">
        <v>10.52</v>
      </c>
      <c r="P84" s="176"/>
      <c r="Q84" s="178"/>
      <c r="R84" s="179"/>
      <c r="S84" s="179"/>
      <c r="T84" s="177">
        <v>44930</v>
      </c>
      <c r="U84" s="177"/>
      <c r="V84" s="177"/>
      <c r="W84" s="177"/>
      <c r="X84" s="177"/>
      <c r="Y84" s="177"/>
      <c r="Z84" s="177"/>
      <c r="AA84" s="177">
        <v>44926</v>
      </c>
      <c r="AB84" s="177"/>
      <c r="AC84" s="177"/>
      <c r="AD84" s="180" t="s">
        <v>1345</v>
      </c>
      <c r="AE84" s="173" t="s">
        <v>69</v>
      </c>
      <c r="AF84" s="181" t="s">
        <v>142</v>
      </c>
      <c r="AG84" s="192" t="s">
        <v>1508</v>
      </c>
      <c r="AH84" s="198"/>
      <c r="AI84" s="181">
        <v>44849</v>
      </c>
      <c r="AJ84" s="181"/>
      <c r="AK84" s="181">
        <f t="shared" ca="1" si="23"/>
        <v>44958</v>
      </c>
      <c r="AL84" s="173">
        <f t="shared" ca="1" si="24"/>
        <v>109</v>
      </c>
      <c r="AM84" s="173" t="str">
        <f t="shared" si="25"/>
        <v/>
      </c>
      <c r="AN84" s="181"/>
      <c r="AO84" s="190" t="s">
        <v>3897</v>
      </c>
      <c r="AP84" s="176">
        <v>20.984999999999999</v>
      </c>
      <c r="AQ84" s="176">
        <v>21.045000000000002</v>
      </c>
      <c r="AR84" s="176">
        <v>21.070000000000004</v>
      </c>
      <c r="AS84" s="176">
        <v>21.075000000000003</v>
      </c>
      <c r="AT84" s="173" t="str">
        <f t="shared" si="17"/>
        <v/>
      </c>
      <c r="AU84" s="173">
        <v>456</v>
      </c>
      <c r="AW84" s="142" t="s">
        <v>123</v>
      </c>
    </row>
    <row r="85" spans="2:49" s="142" customFormat="1" ht="21" customHeight="1" x14ac:dyDescent="0.25">
      <c r="B85" s="173" t="str">
        <f t="shared" si="22"/>
        <v>0-304L/1D-3.40X765</v>
      </c>
      <c r="C85" s="173" t="s">
        <v>3930</v>
      </c>
      <c r="D85" s="173" t="s">
        <v>13</v>
      </c>
      <c r="E85" s="190" t="s">
        <v>1579</v>
      </c>
      <c r="F85" s="190" t="s">
        <v>1580</v>
      </c>
      <c r="G85" s="173" t="s">
        <v>182</v>
      </c>
      <c r="H85" s="173" t="s">
        <v>127</v>
      </c>
      <c r="I85" s="174">
        <v>3.4</v>
      </c>
      <c r="J85" s="174"/>
      <c r="K85" s="174"/>
      <c r="L85" s="174"/>
      <c r="M85" s="191">
        <v>765</v>
      </c>
      <c r="N85" s="176">
        <v>10.345000000000001</v>
      </c>
      <c r="O85" s="176">
        <v>10.345000000000001</v>
      </c>
      <c r="P85" s="176"/>
      <c r="Q85" s="178"/>
      <c r="R85" s="179"/>
      <c r="S85" s="179"/>
      <c r="T85" s="177">
        <v>44932</v>
      </c>
      <c r="U85" s="177"/>
      <c r="V85" s="177"/>
      <c r="W85" s="177"/>
      <c r="X85" s="177"/>
      <c r="Y85" s="177"/>
      <c r="Z85" s="177"/>
      <c r="AA85" s="177">
        <v>44930</v>
      </c>
      <c r="AB85" s="177"/>
      <c r="AC85" s="177"/>
      <c r="AD85" s="180" t="s">
        <v>1345</v>
      </c>
      <c r="AE85" s="173" t="s">
        <v>69</v>
      </c>
      <c r="AF85" s="181" t="s">
        <v>142</v>
      </c>
      <c r="AG85" s="192" t="s">
        <v>1508</v>
      </c>
      <c r="AH85" s="198"/>
      <c r="AI85" s="181">
        <v>44849</v>
      </c>
      <c r="AJ85" s="181"/>
      <c r="AK85" s="181">
        <f t="shared" ca="1" si="23"/>
        <v>44958</v>
      </c>
      <c r="AL85" s="173">
        <f t="shared" ca="1" si="24"/>
        <v>109</v>
      </c>
      <c r="AM85" s="173" t="str">
        <f t="shared" si="25"/>
        <v/>
      </c>
      <c r="AN85" s="181"/>
      <c r="AO85" s="190" t="s">
        <v>1581</v>
      </c>
      <c r="AP85" s="176">
        <v>20.74</v>
      </c>
      <c r="AQ85" s="176">
        <v>20.8</v>
      </c>
      <c r="AR85" s="176">
        <v>20.825000000000003</v>
      </c>
      <c r="AS85" s="176">
        <v>20.830000000000002</v>
      </c>
      <c r="AT85" s="173" t="str">
        <f t="shared" si="17"/>
        <v/>
      </c>
      <c r="AU85" s="173">
        <v>456</v>
      </c>
      <c r="AW85" s="142" t="s">
        <v>123</v>
      </c>
    </row>
    <row r="86" spans="2:49" s="142" customFormat="1" ht="21" customHeight="1" x14ac:dyDescent="0.25">
      <c r="B86" s="173" t="str">
        <f t="shared" si="22"/>
        <v>0-304/FH-1.15X777</v>
      </c>
      <c r="C86" s="173" t="s">
        <v>3931</v>
      </c>
      <c r="D86" s="173" t="s">
        <v>16</v>
      </c>
      <c r="E86" s="190" t="s">
        <v>3914</v>
      </c>
      <c r="F86" s="190" t="s">
        <v>3932</v>
      </c>
      <c r="G86" s="173">
        <v>304</v>
      </c>
      <c r="H86" s="173" t="s">
        <v>70</v>
      </c>
      <c r="I86" s="174">
        <v>2.96</v>
      </c>
      <c r="J86" s="174">
        <v>1.1499999999999999</v>
      </c>
      <c r="K86" s="174"/>
      <c r="L86" s="174"/>
      <c r="M86" s="191">
        <v>777</v>
      </c>
      <c r="N86" s="176">
        <v>10.69</v>
      </c>
      <c r="O86" s="176">
        <v>10.69</v>
      </c>
      <c r="P86" s="176"/>
      <c r="Q86" s="178"/>
      <c r="R86" s="179"/>
      <c r="S86" s="179"/>
      <c r="T86" s="177">
        <v>44931</v>
      </c>
      <c r="U86" s="177"/>
      <c r="V86" s="177"/>
      <c r="W86" s="177"/>
      <c r="X86" s="177"/>
      <c r="Y86" s="177"/>
      <c r="Z86" s="177"/>
      <c r="AA86" s="177">
        <v>44928</v>
      </c>
      <c r="AB86" s="177"/>
      <c r="AC86" s="177"/>
      <c r="AD86" s="180" t="s">
        <v>1345</v>
      </c>
      <c r="AE86" s="173" t="s">
        <v>69</v>
      </c>
      <c r="AF86" s="181" t="s">
        <v>142</v>
      </c>
      <c r="AG86" s="181" t="s">
        <v>1346</v>
      </c>
      <c r="AH86" s="181"/>
      <c r="AI86" s="181">
        <v>44813</v>
      </c>
      <c r="AJ86" s="181"/>
      <c r="AK86" s="181">
        <f t="shared" ca="1" si="23"/>
        <v>44958</v>
      </c>
      <c r="AL86" s="173">
        <f t="shared" ca="1" si="24"/>
        <v>145</v>
      </c>
      <c r="AM86" s="173" t="str">
        <f t="shared" si="25"/>
        <v/>
      </c>
      <c r="AN86" s="181"/>
      <c r="AO86" s="190" t="s">
        <v>3916</v>
      </c>
      <c r="AP86" s="176">
        <v>21.39</v>
      </c>
      <c r="AQ86" s="176">
        <v>21.45</v>
      </c>
      <c r="AR86" s="176">
        <v>21.475000000000001</v>
      </c>
      <c r="AS86" s="176">
        <v>21.48</v>
      </c>
      <c r="AT86" s="173" t="str">
        <f t="shared" si="17"/>
        <v/>
      </c>
      <c r="AU86" s="173">
        <v>451</v>
      </c>
      <c r="AW86" s="142" t="s">
        <v>123</v>
      </c>
    </row>
    <row r="87" spans="2:49" s="142" customFormat="1" ht="21" customHeight="1" x14ac:dyDescent="0.25">
      <c r="B87" s="173" t="str">
        <f t="shared" si="22"/>
        <v>0-304/1D-2.48X641</v>
      </c>
      <c r="C87" s="173" t="s">
        <v>3930</v>
      </c>
      <c r="D87" s="173" t="s">
        <v>13</v>
      </c>
      <c r="E87" s="190" t="s">
        <v>3933</v>
      </c>
      <c r="F87" s="190" t="s">
        <v>3934</v>
      </c>
      <c r="G87" s="173">
        <v>304</v>
      </c>
      <c r="H87" s="173" t="s">
        <v>127</v>
      </c>
      <c r="I87" s="174">
        <v>2.48</v>
      </c>
      <c r="J87" s="174"/>
      <c r="K87" s="174"/>
      <c r="L87" s="174"/>
      <c r="M87" s="191">
        <v>641</v>
      </c>
      <c r="N87" s="176">
        <v>10.135</v>
      </c>
      <c r="O87" s="176">
        <v>10.135</v>
      </c>
      <c r="P87" s="176"/>
      <c r="Q87" s="178"/>
      <c r="R87" s="179"/>
      <c r="S87" s="179"/>
      <c r="T87" s="177">
        <v>44932</v>
      </c>
      <c r="U87" s="177"/>
      <c r="V87" s="177"/>
      <c r="W87" s="177"/>
      <c r="X87" s="177"/>
      <c r="Y87" s="177"/>
      <c r="Z87" s="177"/>
      <c r="AA87" s="177"/>
      <c r="AB87" s="177"/>
      <c r="AC87" s="177"/>
      <c r="AD87" s="180" t="s">
        <v>2479</v>
      </c>
      <c r="AE87" s="173" t="s">
        <v>69</v>
      </c>
      <c r="AF87" s="181" t="s">
        <v>142</v>
      </c>
      <c r="AG87" s="192" t="s">
        <v>1594</v>
      </c>
      <c r="AH87" s="198"/>
      <c r="AI87" s="181">
        <v>44849</v>
      </c>
      <c r="AJ87" s="181"/>
      <c r="AK87" s="181">
        <f t="shared" ca="1" si="23"/>
        <v>44958</v>
      </c>
      <c r="AL87" s="173">
        <f t="shared" ca="1" si="24"/>
        <v>109</v>
      </c>
      <c r="AM87" s="173" t="str">
        <f t="shared" si="25"/>
        <v/>
      </c>
      <c r="AN87" s="181"/>
      <c r="AO87" s="190" t="s">
        <v>3935</v>
      </c>
      <c r="AP87" s="176">
        <v>10.135</v>
      </c>
      <c r="AQ87" s="176">
        <v>10.145</v>
      </c>
      <c r="AR87" s="176">
        <v>10.169999999999998</v>
      </c>
      <c r="AS87" s="176">
        <v>10.174999999999999</v>
      </c>
      <c r="AT87" s="173" t="str">
        <f t="shared" si="17"/>
        <v/>
      </c>
      <c r="AU87" s="173">
        <v>456</v>
      </c>
      <c r="AW87" s="142" t="s">
        <v>123</v>
      </c>
    </row>
    <row r="88" spans="2:49" s="142" customFormat="1" ht="21" customHeight="1" x14ac:dyDescent="0.25">
      <c r="B88" s="173" t="str">
        <f t="shared" si="22"/>
        <v>0-304/FH-1.00X778</v>
      </c>
      <c r="C88" s="173" t="s">
        <v>3931</v>
      </c>
      <c r="D88" s="173" t="s">
        <v>16</v>
      </c>
      <c r="E88" s="190" t="s">
        <v>3911</v>
      </c>
      <c r="F88" s="190" t="s">
        <v>3927</v>
      </c>
      <c r="G88" s="173">
        <v>304</v>
      </c>
      <c r="H88" s="173" t="s">
        <v>70</v>
      </c>
      <c r="I88" s="174">
        <v>2.9</v>
      </c>
      <c r="J88" s="174">
        <v>1</v>
      </c>
      <c r="K88" s="174"/>
      <c r="L88" s="174"/>
      <c r="M88" s="191">
        <v>778</v>
      </c>
      <c r="N88" s="176">
        <v>10.385</v>
      </c>
      <c r="O88" s="176">
        <v>10.395</v>
      </c>
      <c r="P88" s="176"/>
      <c r="Q88" s="178"/>
      <c r="R88" s="179"/>
      <c r="S88" s="179"/>
      <c r="T88" s="177">
        <v>44931</v>
      </c>
      <c r="U88" s="177"/>
      <c r="V88" s="177"/>
      <c r="W88" s="177"/>
      <c r="X88" s="177"/>
      <c r="Y88" s="177"/>
      <c r="Z88" s="177"/>
      <c r="AA88" s="177">
        <v>44926</v>
      </c>
      <c r="AB88" s="177"/>
      <c r="AC88" s="177"/>
      <c r="AD88" s="180" t="s">
        <v>1345</v>
      </c>
      <c r="AE88" s="173" t="s">
        <v>69</v>
      </c>
      <c r="AF88" s="181" t="s">
        <v>142</v>
      </c>
      <c r="AG88" s="181" t="s">
        <v>1346</v>
      </c>
      <c r="AH88" s="181"/>
      <c r="AI88" s="181">
        <v>44813</v>
      </c>
      <c r="AJ88" s="181"/>
      <c r="AK88" s="181">
        <f t="shared" ca="1" si="23"/>
        <v>44958</v>
      </c>
      <c r="AL88" s="173">
        <f t="shared" ca="1" si="24"/>
        <v>145</v>
      </c>
      <c r="AM88" s="173" t="str">
        <f t="shared" si="25"/>
        <v/>
      </c>
      <c r="AN88" s="181"/>
      <c r="AO88" s="190" t="s">
        <v>3913</v>
      </c>
      <c r="AP88" s="176">
        <v>20.73</v>
      </c>
      <c r="AQ88" s="176">
        <v>20.79</v>
      </c>
      <c r="AR88" s="176">
        <v>20.815000000000001</v>
      </c>
      <c r="AS88" s="176">
        <v>20.82</v>
      </c>
      <c r="AT88" s="173" t="str">
        <f t="shared" si="17"/>
        <v/>
      </c>
      <c r="AU88" s="173">
        <v>451</v>
      </c>
      <c r="AW88" s="142" t="s">
        <v>123</v>
      </c>
    </row>
    <row r="89" spans="2:49" s="142" customFormat="1" ht="21" customHeight="1" x14ac:dyDescent="0.25">
      <c r="B89" s="173" t="str">
        <f t="shared" si="22"/>
        <v>0-304L/1D-2.87X639</v>
      </c>
      <c r="C89" s="173" t="s">
        <v>3936</v>
      </c>
      <c r="D89" s="173" t="s">
        <v>13</v>
      </c>
      <c r="E89" s="190" t="s">
        <v>3937</v>
      </c>
      <c r="F89" s="190" t="s">
        <v>3938</v>
      </c>
      <c r="G89" s="173" t="s">
        <v>182</v>
      </c>
      <c r="H89" s="173" t="s">
        <v>127</v>
      </c>
      <c r="I89" s="174">
        <v>2.87</v>
      </c>
      <c r="J89" s="174"/>
      <c r="K89" s="174"/>
      <c r="L89" s="174"/>
      <c r="M89" s="191">
        <v>639</v>
      </c>
      <c r="N89" s="176">
        <v>10.58</v>
      </c>
      <c r="O89" s="176">
        <v>10.58</v>
      </c>
      <c r="P89" s="176"/>
      <c r="Q89" s="178"/>
      <c r="R89" s="179"/>
      <c r="S89" s="179"/>
      <c r="T89" s="177">
        <v>44932</v>
      </c>
      <c r="U89" s="177"/>
      <c r="V89" s="177"/>
      <c r="W89" s="177"/>
      <c r="X89" s="177"/>
      <c r="Y89" s="177"/>
      <c r="Z89" s="177"/>
      <c r="AA89" s="177"/>
      <c r="AB89" s="177"/>
      <c r="AC89" s="177"/>
      <c r="AD89" s="180" t="s">
        <v>2479</v>
      </c>
      <c r="AE89" s="173" t="s">
        <v>69</v>
      </c>
      <c r="AF89" s="181" t="s">
        <v>142</v>
      </c>
      <c r="AG89" s="192" t="s">
        <v>1657</v>
      </c>
      <c r="AH89" s="198"/>
      <c r="AI89" s="181">
        <v>44849</v>
      </c>
      <c r="AJ89" s="181"/>
      <c r="AK89" s="181">
        <f t="shared" ca="1" si="23"/>
        <v>44958</v>
      </c>
      <c r="AL89" s="173">
        <f t="shared" ca="1" si="24"/>
        <v>109</v>
      </c>
      <c r="AM89" s="173" t="str">
        <f t="shared" si="25"/>
        <v/>
      </c>
      <c r="AN89" s="181"/>
      <c r="AO89" s="190" t="s">
        <v>3939</v>
      </c>
      <c r="AP89" s="176">
        <v>10.58</v>
      </c>
      <c r="AQ89" s="176">
        <v>10.59</v>
      </c>
      <c r="AR89" s="176">
        <v>10.614999999999998</v>
      </c>
      <c r="AS89" s="176">
        <v>10.62</v>
      </c>
      <c r="AT89" s="173" t="str">
        <f t="shared" si="17"/>
        <v/>
      </c>
      <c r="AU89" s="173">
        <v>456</v>
      </c>
      <c r="AW89" s="142" t="s">
        <v>123</v>
      </c>
    </row>
    <row r="90" spans="2:49" s="142" customFormat="1" ht="21" customHeight="1" x14ac:dyDescent="0.25">
      <c r="B90" s="173" t="str">
        <f t="shared" si="22"/>
        <v>0-304/1D-3.77X773</v>
      </c>
      <c r="C90" s="173" t="s">
        <v>3930</v>
      </c>
      <c r="D90" s="173" t="s">
        <v>13</v>
      </c>
      <c r="E90" s="190" t="s">
        <v>3940</v>
      </c>
      <c r="F90" s="190" t="s">
        <v>3941</v>
      </c>
      <c r="G90" s="173">
        <v>304</v>
      </c>
      <c r="H90" s="173" t="s">
        <v>127</v>
      </c>
      <c r="I90" s="174">
        <v>3.77</v>
      </c>
      <c r="J90" s="174"/>
      <c r="K90" s="174"/>
      <c r="L90" s="174"/>
      <c r="M90" s="191">
        <v>773</v>
      </c>
      <c r="N90" s="176">
        <v>10.574999999999999</v>
      </c>
      <c r="O90" s="176">
        <v>10.574999999999999</v>
      </c>
      <c r="P90" s="176"/>
      <c r="Q90" s="178"/>
      <c r="R90" s="179"/>
      <c r="S90" s="179"/>
      <c r="T90" s="177">
        <v>44932</v>
      </c>
      <c r="U90" s="177"/>
      <c r="V90" s="177"/>
      <c r="W90" s="177"/>
      <c r="X90" s="177"/>
      <c r="Y90" s="177"/>
      <c r="Z90" s="177"/>
      <c r="AA90" s="177"/>
      <c r="AB90" s="177"/>
      <c r="AC90" s="177"/>
      <c r="AD90" s="180" t="s">
        <v>1345</v>
      </c>
      <c r="AE90" s="173" t="s">
        <v>69</v>
      </c>
      <c r="AF90" s="181" t="s">
        <v>142</v>
      </c>
      <c r="AG90" s="192" t="s">
        <v>2283</v>
      </c>
      <c r="AH90" s="198"/>
      <c r="AI90" s="181">
        <v>44880</v>
      </c>
      <c r="AJ90" s="181"/>
      <c r="AK90" s="181">
        <f t="shared" ca="1" si="23"/>
        <v>44958</v>
      </c>
      <c r="AL90" s="173">
        <f t="shared" ca="1" si="24"/>
        <v>78</v>
      </c>
      <c r="AM90" s="173" t="str">
        <f t="shared" si="25"/>
        <v/>
      </c>
      <c r="AN90" s="181"/>
      <c r="AO90" s="190" t="s">
        <v>3942</v>
      </c>
      <c r="AP90" s="176">
        <v>10.574999999999999</v>
      </c>
      <c r="AQ90" s="176">
        <v>10.584999999999999</v>
      </c>
      <c r="AR90" s="176">
        <v>10.609999999999998</v>
      </c>
      <c r="AS90" s="176">
        <v>10.614999999999998</v>
      </c>
      <c r="AT90" s="173" t="str">
        <f t="shared" si="17"/>
        <v/>
      </c>
      <c r="AU90" s="173">
        <v>459</v>
      </c>
      <c r="AW90" s="142" t="s">
        <v>123</v>
      </c>
    </row>
    <row r="91" spans="2:49" s="142" customFormat="1" ht="21" customHeight="1" x14ac:dyDescent="0.25">
      <c r="B91" s="173" t="str">
        <f>IF(C91="HOLD RM","HOLD RM",IF(C91="BAL","WIP",IF(C91="HOLD SLT","HOLD SLT",IF(C91="MILL","RM",IF(C91="RE SLT","WIP",IF(C91="RM","RM",IF(C91="RM BAL","RM",IF(C91="RM SLT","RM",IF(C91="RR","WIP",IF(C91="SKP","WIP",IF(C91="SLT","WIP",IF(C91="CTL","WIP",IF(C91="RM SLT RUST","RM SLT RUST",0)))))))))))))&amp;"-"&amp;G91&amp;"/"&amp;IF(H91="2B","2B",IF(H91="NO.1","1D",IF(H91="FH","FH",0)))&amp;"-"&amp;IF(J91="",(TEXT(I91,"0.00")),TEXT(J91,"0.00"))&amp;"X"&amp;M91</f>
        <v>0-304/FH-1.15X767</v>
      </c>
      <c r="C91" s="173" t="s">
        <v>3931</v>
      </c>
      <c r="D91" s="173" t="s">
        <v>16</v>
      </c>
      <c r="E91" s="190" t="s">
        <v>3924</v>
      </c>
      <c r="F91" s="190" t="s">
        <v>3925</v>
      </c>
      <c r="G91" s="173">
        <v>304</v>
      </c>
      <c r="H91" s="173" t="s">
        <v>70</v>
      </c>
      <c r="I91" s="174">
        <v>3.45</v>
      </c>
      <c r="J91" s="174">
        <v>1.1499999999999999</v>
      </c>
      <c r="K91" s="174"/>
      <c r="L91" s="174"/>
      <c r="M91" s="191">
        <v>767</v>
      </c>
      <c r="N91" s="176">
        <v>12.185</v>
      </c>
      <c r="O91" s="176">
        <v>12.154999999999999</v>
      </c>
      <c r="P91" s="176"/>
      <c r="Q91" s="178"/>
      <c r="R91" s="179"/>
      <c r="S91" s="179"/>
      <c r="T91" s="177">
        <v>44931</v>
      </c>
      <c r="U91" s="177"/>
      <c r="V91" s="177"/>
      <c r="W91" s="177"/>
      <c r="X91" s="177"/>
      <c r="Y91" s="177"/>
      <c r="Z91" s="177"/>
      <c r="AA91" s="177">
        <v>44931</v>
      </c>
      <c r="AB91" s="177"/>
      <c r="AC91" s="177"/>
      <c r="AD91" s="180" t="s">
        <v>1345</v>
      </c>
      <c r="AE91" s="173" t="s">
        <v>69</v>
      </c>
      <c r="AF91" s="181" t="s">
        <v>142</v>
      </c>
      <c r="AG91" s="192" t="s">
        <v>1508</v>
      </c>
      <c r="AH91" s="198"/>
      <c r="AI91" s="181">
        <v>44849</v>
      </c>
      <c r="AJ91" s="181"/>
      <c r="AK91" s="181">
        <f ca="1">TODAY()</f>
        <v>44958</v>
      </c>
      <c r="AL91" s="173">
        <f ca="1">IF(AI91&lt;&gt;0,AK91-AI91,0)</f>
        <v>109</v>
      </c>
      <c r="AM91" s="173" t="str">
        <f>IF(ISNUMBER(X91)=TRUE,AK91-X91,IF(X91="","",(AK91)-(MID(RIGHT(X91,10),4,2)&amp;"/"&amp;LEFT((RIGHT(X91,10)),2)&amp;"/"&amp;RIGHT(X91,4))))</f>
        <v/>
      </c>
      <c r="AN91" s="181"/>
      <c r="AO91" s="190" t="s">
        <v>3926</v>
      </c>
      <c r="AP91" s="176">
        <v>24.335000000000001</v>
      </c>
      <c r="AQ91" s="176">
        <v>24.395</v>
      </c>
      <c r="AR91" s="176">
        <v>24.42</v>
      </c>
      <c r="AS91" s="176">
        <v>24.425000000000001</v>
      </c>
      <c r="AT91" s="173" t="str">
        <f t="shared" si="17"/>
        <v/>
      </c>
      <c r="AU91" s="173">
        <v>456</v>
      </c>
      <c r="AW91" s="142" t="s">
        <v>123</v>
      </c>
    </row>
    <row r="92" spans="2:49" s="142" customFormat="1" ht="21" customHeight="1" x14ac:dyDescent="0.25">
      <c r="B92" s="173" t="str">
        <f t="shared" ref="B92:B155" si="26">IF(C92="HOLD RM","HOLD RM",IF(C92="BAL","WIP",IF(C92="HOLD SLT","HOLD SLT",IF(C92="MILL","RM",IF(C92="RE SLT","WIP",IF(C92="RM","RM",IF(C92="RM BAL","RM",IF(C92="RM SLT","RM",IF(C92="RR","WIP",IF(C92="SKP","WIP",IF(C92="SLT","WIP",IF(C92="CTL","WIP",IF(C92="RM SLT RUST","RM SLT RUST",0)))))))))))))&amp;"-"&amp;G92&amp;"/"&amp;IF(H92="2B","2B",IF(H92="NO.1","1D",IF(H92="FH","FH",0)))&amp;"-"&amp;IF(J92="",(TEXT(I92,"0.00")),TEXT(J92,"0.00"))&amp;"X"&amp;M92</f>
        <v>0-304/1D-2.48X641</v>
      </c>
      <c r="C92" s="173" t="s">
        <v>3930</v>
      </c>
      <c r="D92" s="173" t="s">
        <v>13</v>
      </c>
      <c r="E92" s="190" t="s">
        <v>3943</v>
      </c>
      <c r="F92" s="190" t="s">
        <v>3944</v>
      </c>
      <c r="G92" s="173">
        <v>304</v>
      </c>
      <c r="H92" s="173" t="s">
        <v>127</v>
      </c>
      <c r="I92" s="174">
        <v>2.48</v>
      </c>
      <c r="J92" s="174"/>
      <c r="K92" s="174"/>
      <c r="L92" s="174"/>
      <c r="M92" s="191">
        <v>641</v>
      </c>
      <c r="N92" s="176">
        <v>10.135</v>
      </c>
      <c r="O92" s="176">
        <v>10.135</v>
      </c>
      <c r="P92" s="176"/>
      <c r="Q92" s="178"/>
      <c r="R92" s="179"/>
      <c r="S92" s="179"/>
      <c r="T92" s="177">
        <v>44932</v>
      </c>
      <c r="U92" s="177"/>
      <c r="V92" s="177"/>
      <c r="W92" s="177"/>
      <c r="X92" s="177"/>
      <c r="Y92" s="177"/>
      <c r="Z92" s="177"/>
      <c r="AA92" s="177"/>
      <c r="AB92" s="177"/>
      <c r="AC92" s="177"/>
      <c r="AD92" s="180" t="s">
        <v>2479</v>
      </c>
      <c r="AE92" s="173" t="s">
        <v>69</v>
      </c>
      <c r="AF92" s="181" t="s">
        <v>142</v>
      </c>
      <c r="AG92" s="192" t="s">
        <v>1594</v>
      </c>
      <c r="AH92" s="198"/>
      <c r="AI92" s="181">
        <v>44849</v>
      </c>
      <c r="AJ92" s="181"/>
      <c r="AK92" s="181">
        <f t="shared" ref="AK92:AK158" ca="1" si="27">TODAY()</f>
        <v>44958</v>
      </c>
      <c r="AL92" s="173">
        <f t="shared" ref="AL92:AL155" ca="1" si="28">IF(AI92&lt;&gt;0,AK92-AI92,0)</f>
        <v>109</v>
      </c>
      <c r="AM92" s="173" t="str">
        <f t="shared" ref="AM92:AM155" si="29">IF(ISNUMBER(X92)=TRUE,AK92-X92,IF(X92="","",(AK92)-(MID(RIGHT(X92,10),4,2)&amp;"/"&amp;LEFT((RIGHT(X92,10)),2)&amp;"/"&amp;RIGHT(X92,4))))</f>
        <v/>
      </c>
      <c r="AN92" s="181"/>
      <c r="AO92" s="190" t="s">
        <v>3935</v>
      </c>
      <c r="AP92" s="176">
        <v>10.135</v>
      </c>
      <c r="AQ92" s="176">
        <v>10.145</v>
      </c>
      <c r="AR92" s="176">
        <v>10.169999999999998</v>
      </c>
      <c r="AS92" s="176">
        <v>10.174999999999999</v>
      </c>
      <c r="AT92" s="173" t="str">
        <f t="shared" si="17"/>
        <v/>
      </c>
      <c r="AU92" s="173">
        <v>456</v>
      </c>
      <c r="AW92" s="142" t="s">
        <v>123</v>
      </c>
    </row>
    <row r="93" spans="2:49" s="142" customFormat="1" ht="21" customHeight="1" x14ac:dyDescent="0.25">
      <c r="B93" s="173" t="str">
        <f t="shared" si="26"/>
        <v>0-304L/FH-0.50X642</v>
      </c>
      <c r="C93" s="173" t="s">
        <v>3931</v>
      </c>
      <c r="D93" s="173" t="s">
        <v>16</v>
      </c>
      <c r="E93" s="190" t="s">
        <v>3921</v>
      </c>
      <c r="F93" s="190" t="s">
        <v>3922</v>
      </c>
      <c r="G93" s="173" t="s">
        <v>182</v>
      </c>
      <c r="H93" s="173" t="s">
        <v>70</v>
      </c>
      <c r="I93" s="174">
        <v>2.4900000000000002</v>
      </c>
      <c r="J93" s="174">
        <v>0.5</v>
      </c>
      <c r="K93" s="174"/>
      <c r="L93" s="174"/>
      <c r="M93" s="191">
        <v>642</v>
      </c>
      <c r="N93" s="176">
        <v>10.62</v>
      </c>
      <c r="O93" s="176">
        <v>10.57</v>
      </c>
      <c r="P93" s="176"/>
      <c r="Q93" s="178"/>
      <c r="R93" s="179"/>
      <c r="S93" s="179"/>
      <c r="T93" s="177">
        <v>44931</v>
      </c>
      <c r="U93" s="177"/>
      <c r="V93" s="177"/>
      <c r="W93" s="177"/>
      <c r="X93" s="177"/>
      <c r="Y93" s="177"/>
      <c r="Z93" s="177"/>
      <c r="AA93" s="177"/>
      <c r="AB93" s="177"/>
      <c r="AC93" s="177"/>
      <c r="AD93" s="180" t="s">
        <v>2479</v>
      </c>
      <c r="AE93" s="173" t="s">
        <v>69</v>
      </c>
      <c r="AF93" s="181" t="s">
        <v>142</v>
      </c>
      <c r="AG93" s="192" t="s">
        <v>1657</v>
      </c>
      <c r="AH93" s="198"/>
      <c r="AI93" s="181">
        <v>44849</v>
      </c>
      <c r="AJ93" s="181"/>
      <c r="AK93" s="181">
        <f t="shared" ca="1" si="27"/>
        <v>44958</v>
      </c>
      <c r="AL93" s="173">
        <f t="shared" ca="1" si="28"/>
        <v>109</v>
      </c>
      <c r="AM93" s="173" t="str">
        <f t="shared" si="29"/>
        <v/>
      </c>
      <c r="AN93" s="181"/>
      <c r="AO93" s="190" t="s">
        <v>3923</v>
      </c>
      <c r="AP93" s="176">
        <v>10.62</v>
      </c>
      <c r="AQ93" s="176">
        <v>10.63</v>
      </c>
      <c r="AR93" s="176">
        <v>10.654999999999999</v>
      </c>
      <c r="AS93" s="176">
        <v>10.66</v>
      </c>
      <c r="AT93" s="173" t="str">
        <f t="shared" si="17"/>
        <v/>
      </c>
      <c r="AU93" s="173">
        <v>456</v>
      </c>
      <c r="AW93" s="142" t="s">
        <v>123</v>
      </c>
    </row>
    <row r="94" spans="2:49" s="142" customFormat="1" ht="21" customHeight="1" x14ac:dyDescent="0.25">
      <c r="B94" s="173" t="str">
        <f t="shared" si="26"/>
        <v>0-304/FH-1.45X773</v>
      </c>
      <c r="C94" s="173" t="s">
        <v>3931</v>
      </c>
      <c r="D94" s="173" t="s">
        <v>16</v>
      </c>
      <c r="E94" s="190" t="s">
        <v>3940</v>
      </c>
      <c r="F94" s="190" t="s">
        <v>3941</v>
      </c>
      <c r="G94" s="173">
        <v>304</v>
      </c>
      <c r="H94" s="173" t="s">
        <v>70</v>
      </c>
      <c r="I94" s="174">
        <v>3.77</v>
      </c>
      <c r="J94" s="174">
        <v>1.45</v>
      </c>
      <c r="K94" s="174"/>
      <c r="L94" s="174"/>
      <c r="M94" s="191">
        <v>773</v>
      </c>
      <c r="N94" s="176">
        <v>10.574999999999999</v>
      </c>
      <c r="O94" s="176">
        <v>10.57</v>
      </c>
      <c r="P94" s="176"/>
      <c r="Q94" s="178"/>
      <c r="R94" s="179"/>
      <c r="S94" s="179"/>
      <c r="T94" s="177">
        <v>44932</v>
      </c>
      <c r="U94" s="177"/>
      <c r="V94" s="177"/>
      <c r="W94" s="177"/>
      <c r="X94" s="177"/>
      <c r="Y94" s="177"/>
      <c r="Z94" s="177"/>
      <c r="AA94" s="177"/>
      <c r="AB94" s="177"/>
      <c r="AC94" s="177"/>
      <c r="AD94" s="180" t="s">
        <v>1345</v>
      </c>
      <c r="AE94" s="173" t="s">
        <v>69</v>
      </c>
      <c r="AF94" s="181" t="s">
        <v>142</v>
      </c>
      <c r="AG94" s="192" t="s">
        <v>2283</v>
      </c>
      <c r="AH94" s="198"/>
      <c r="AI94" s="181">
        <v>44880</v>
      </c>
      <c r="AJ94" s="181"/>
      <c r="AK94" s="181">
        <f t="shared" ca="1" si="27"/>
        <v>44958</v>
      </c>
      <c r="AL94" s="173">
        <f t="shared" ca="1" si="28"/>
        <v>78</v>
      </c>
      <c r="AM94" s="173" t="str">
        <f t="shared" si="29"/>
        <v/>
      </c>
      <c r="AN94" s="181"/>
      <c r="AO94" s="190" t="s">
        <v>3942</v>
      </c>
      <c r="AP94" s="176">
        <v>10.574999999999999</v>
      </c>
      <c r="AQ94" s="176">
        <v>10.584999999999999</v>
      </c>
      <c r="AR94" s="176">
        <v>10.609999999999998</v>
      </c>
      <c r="AS94" s="176">
        <v>10.614999999999998</v>
      </c>
      <c r="AT94" s="173" t="str">
        <f t="shared" si="17"/>
        <v/>
      </c>
      <c r="AU94" s="173">
        <v>459</v>
      </c>
      <c r="AW94" s="142" t="s">
        <v>123</v>
      </c>
    </row>
    <row r="95" spans="2:49" s="142" customFormat="1" ht="21" customHeight="1" x14ac:dyDescent="0.25">
      <c r="B95" s="173" t="str">
        <f t="shared" si="26"/>
        <v>0-304/1D-3.49X778</v>
      </c>
      <c r="C95" s="173" t="s">
        <v>3930</v>
      </c>
      <c r="D95" s="173" t="s">
        <v>13</v>
      </c>
      <c r="E95" s="190" t="s">
        <v>3945</v>
      </c>
      <c r="F95" s="190" t="s">
        <v>3946</v>
      </c>
      <c r="G95" s="173">
        <v>304</v>
      </c>
      <c r="H95" s="173" t="s">
        <v>127</v>
      </c>
      <c r="I95" s="174">
        <v>3.49</v>
      </c>
      <c r="J95" s="174"/>
      <c r="K95" s="174"/>
      <c r="L95" s="174"/>
      <c r="M95" s="191">
        <v>778</v>
      </c>
      <c r="N95" s="176">
        <v>10.685</v>
      </c>
      <c r="O95" s="176">
        <v>10.685</v>
      </c>
      <c r="P95" s="176"/>
      <c r="Q95" s="178"/>
      <c r="R95" s="179"/>
      <c r="S95" s="179"/>
      <c r="T95" s="177">
        <v>44932</v>
      </c>
      <c r="U95" s="177"/>
      <c r="V95" s="177"/>
      <c r="W95" s="177"/>
      <c r="X95" s="177"/>
      <c r="Y95" s="177"/>
      <c r="Z95" s="177"/>
      <c r="AA95" s="177">
        <v>44929</v>
      </c>
      <c r="AB95" s="177"/>
      <c r="AC95" s="177"/>
      <c r="AD95" s="180" t="s">
        <v>1345</v>
      </c>
      <c r="AE95" s="173" t="s">
        <v>69</v>
      </c>
      <c r="AF95" s="181" t="s">
        <v>142</v>
      </c>
      <c r="AG95" s="181" t="s">
        <v>1346</v>
      </c>
      <c r="AH95" s="181"/>
      <c r="AI95" s="181">
        <v>44813</v>
      </c>
      <c r="AJ95" s="181"/>
      <c r="AK95" s="181">
        <f t="shared" ca="1" si="27"/>
        <v>44958</v>
      </c>
      <c r="AL95" s="173">
        <f t="shared" ca="1" si="28"/>
        <v>145</v>
      </c>
      <c r="AM95" s="173" t="str">
        <f t="shared" si="29"/>
        <v/>
      </c>
      <c r="AN95" s="181"/>
      <c r="AO95" s="190" t="s">
        <v>3947</v>
      </c>
      <c r="AP95" s="176">
        <v>21.434999999999999</v>
      </c>
      <c r="AQ95" s="176">
        <v>21.495000000000001</v>
      </c>
      <c r="AR95" s="176">
        <v>21.520000000000003</v>
      </c>
      <c r="AS95" s="176">
        <v>21.525000000000002</v>
      </c>
      <c r="AT95" s="173" t="str">
        <f t="shared" si="17"/>
        <v/>
      </c>
      <c r="AU95" s="173">
        <v>451</v>
      </c>
      <c r="AW95" s="142" t="s">
        <v>123</v>
      </c>
    </row>
    <row r="96" spans="2:49" s="142" customFormat="1" ht="21" customHeight="1" x14ac:dyDescent="0.25">
      <c r="B96" s="173" t="str">
        <f t="shared" si="26"/>
        <v>0-304/FH-0.50X641</v>
      </c>
      <c r="C96" s="173" t="s">
        <v>3931</v>
      </c>
      <c r="D96" s="173" t="s">
        <v>16</v>
      </c>
      <c r="E96" s="190" t="s">
        <v>3933</v>
      </c>
      <c r="F96" s="190" t="s">
        <v>3934</v>
      </c>
      <c r="G96" s="173">
        <v>304</v>
      </c>
      <c r="H96" s="173" t="s">
        <v>70</v>
      </c>
      <c r="I96" s="174">
        <v>2.48</v>
      </c>
      <c r="J96" s="174">
        <v>0.5</v>
      </c>
      <c r="K96" s="174"/>
      <c r="L96" s="174"/>
      <c r="M96" s="191">
        <v>641</v>
      </c>
      <c r="N96" s="176">
        <v>10.135</v>
      </c>
      <c r="O96" s="176">
        <v>10.52</v>
      </c>
      <c r="P96" s="176"/>
      <c r="Q96" s="178"/>
      <c r="R96" s="179"/>
      <c r="S96" s="179"/>
      <c r="T96" s="177">
        <v>44932</v>
      </c>
      <c r="U96" s="177"/>
      <c r="V96" s="177"/>
      <c r="W96" s="177"/>
      <c r="X96" s="177"/>
      <c r="Y96" s="177"/>
      <c r="Z96" s="177"/>
      <c r="AA96" s="177"/>
      <c r="AB96" s="177"/>
      <c r="AC96" s="177"/>
      <c r="AD96" s="180" t="s">
        <v>2479</v>
      </c>
      <c r="AE96" s="173" t="s">
        <v>69</v>
      </c>
      <c r="AF96" s="181" t="s">
        <v>142</v>
      </c>
      <c r="AG96" s="192" t="s">
        <v>1594</v>
      </c>
      <c r="AH96" s="198"/>
      <c r="AI96" s="181">
        <v>44849</v>
      </c>
      <c r="AJ96" s="181"/>
      <c r="AK96" s="181">
        <f t="shared" ca="1" si="27"/>
        <v>44958</v>
      </c>
      <c r="AL96" s="173">
        <f t="shared" ca="1" si="28"/>
        <v>109</v>
      </c>
      <c r="AM96" s="173" t="str">
        <f t="shared" si="29"/>
        <v/>
      </c>
      <c r="AN96" s="181"/>
      <c r="AO96" s="190" t="s">
        <v>3935</v>
      </c>
      <c r="AP96" s="176">
        <v>10.135</v>
      </c>
      <c r="AQ96" s="176">
        <v>10.145</v>
      </c>
      <c r="AR96" s="176">
        <v>10.169999999999998</v>
      </c>
      <c r="AS96" s="176">
        <v>10.174999999999999</v>
      </c>
      <c r="AT96" s="173" t="str">
        <f t="shared" si="17"/>
        <v/>
      </c>
      <c r="AU96" s="173">
        <v>456</v>
      </c>
      <c r="AW96" s="142" t="s">
        <v>123</v>
      </c>
    </row>
    <row r="97" spans="2:49" s="142" customFormat="1" ht="21" customHeight="1" x14ac:dyDescent="0.25">
      <c r="B97" s="173" t="str">
        <f t="shared" si="26"/>
        <v>0-304/1D-3.51X777</v>
      </c>
      <c r="C97" s="173" t="s">
        <v>3948</v>
      </c>
      <c r="D97" s="173" t="s">
        <v>13</v>
      </c>
      <c r="E97" s="190" t="s">
        <v>3949</v>
      </c>
      <c r="F97" s="190" t="s">
        <v>3950</v>
      </c>
      <c r="G97" s="173">
        <v>304</v>
      </c>
      <c r="H97" s="173" t="s">
        <v>127</v>
      </c>
      <c r="I97" s="174">
        <v>3.51</v>
      </c>
      <c r="J97" s="174"/>
      <c r="K97" s="174"/>
      <c r="L97" s="174"/>
      <c r="M97" s="191">
        <v>777</v>
      </c>
      <c r="N97" s="176">
        <v>10.715</v>
      </c>
      <c r="O97" s="176">
        <v>10.715</v>
      </c>
      <c r="P97" s="176"/>
      <c r="Q97" s="178"/>
      <c r="R97" s="179"/>
      <c r="S97" s="179"/>
      <c r="T97" s="177">
        <v>44933</v>
      </c>
      <c r="U97" s="177"/>
      <c r="V97" s="177"/>
      <c r="W97" s="177"/>
      <c r="X97" s="177"/>
      <c r="Y97" s="177"/>
      <c r="Z97" s="177"/>
      <c r="AA97" s="177">
        <v>44930</v>
      </c>
      <c r="AB97" s="177"/>
      <c r="AC97" s="177"/>
      <c r="AD97" s="180" t="s">
        <v>1345</v>
      </c>
      <c r="AE97" s="173" t="s">
        <v>69</v>
      </c>
      <c r="AF97" s="181" t="s">
        <v>142</v>
      </c>
      <c r="AG97" s="181" t="s">
        <v>1346</v>
      </c>
      <c r="AH97" s="181"/>
      <c r="AI97" s="181">
        <v>44813</v>
      </c>
      <c r="AJ97" s="181"/>
      <c r="AK97" s="181">
        <f t="shared" ca="1" si="27"/>
        <v>44958</v>
      </c>
      <c r="AL97" s="173">
        <f t="shared" ca="1" si="28"/>
        <v>145</v>
      </c>
      <c r="AM97" s="173" t="str">
        <f t="shared" si="29"/>
        <v/>
      </c>
      <c r="AN97" s="181"/>
      <c r="AO97" s="190" t="s">
        <v>3951</v>
      </c>
      <c r="AP97" s="176">
        <v>21.465</v>
      </c>
      <c r="AQ97" s="176">
        <v>21.524999999999999</v>
      </c>
      <c r="AR97" s="176">
        <v>21.55</v>
      </c>
      <c r="AS97" s="176">
        <v>21.555</v>
      </c>
      <c r="AT97" s="173" t="str">
        <f t="shared" si="17"/>
        <v/>
      </c>
      <c r="AU97" s="173">
        <v>451</v>
      </c>
      <c r="AW97" s="142" t="s">
        <v>123</v>
      </c>
    </row>
    <row r="98" spans="2:49" s="142" customFormat="1" ht="21" customHeight="1" x14ac:dyDescent="0.25">
      <c r="B98" s="173" t="str">
        <f t="shared" si="26"/>
        <v>0-304L/1D-2.79X644</v>
      </c>
      <c r="C98" s="173" t="s">
        <v>3952</v>
      </c>
      <c r="D98" s="173" t="s">
        <v>13</v>
      </c>
      <c r="E98" s="190" t="s">
        <v>1686</v>
      </c>
      <c r="F98" s="190" t="s">
        <v>3953</v>
      </c>
      <c r="G98" s="173" t="s">
        <v>182</v>
      </c>
      <c r="H98" s="173" t="s">
        <v>127</v>
      </c>
      <c r="I98" s="174">
        <v>2.79</v>
      </c>
      <c r="J98" s="174"/>
      <c r="K98" s="174"/>
      <c r="L98" s="174"/>
      <c r="M98" s="191">
        <v>644</v>
      </c>
      <c r="N98" s="176">
        <v>10.725</v>
      </c>
      <c r="O98" s="176">
        <v>10.725</v>
      </c>
      <c r="P98" s="176"/>
      <c r="Q98" s="178"/>
      <c r="R98" s="179"/>
      <c r="S98" s="179"/>
      <c r="T98" s="177">
        <v>44933</v>
      </c>
      <c r="U98" s="177"/>
      <c r="V98" s="177"/>
      <c r="W98" s="177"/>
      <c r="X98" s="177"/>
      <c r="Y98" s="177"/>
      <c r="Z98" s="177"/>
      <c r="AA98" s="177"/>
      <c r="AB98" s="177"/>
      <c r="AC98" s="177"/>
      <c r="AD98" s="180" t="s">
        <v>1619</v>
      </c>
      <c r="AE98" s="173" t="s">
        <v>69</v>
      </c>
      <c r="AF98" s="181" t="s">
        <v>142</v>
      </c>
      <c r="AG98" s="192" t="s">
        <v>1657</v>
      </c>
      <c r="AH98" s="198"/>
      <c r="AI98" s="181">
        <v>44849</v>
      </c>
      <c r="AJ98" s="181"/>
      <c r="AK98" s="181">
        <f t="shared" ca="1" si="27"/>
        <v>44958</v>
      </c>
      <c r="AL98" s="173">
        <f t="shared" ca="1" si="28"/>
        <v>109</v>
      </c>
      <c r="AM98" s="173" t="str">
        <f t="shared" si="29"/>
        <v/>
      </c>
      <c r="AN98" s="181"/>
      <c r="AO98" s="190" t="s">
        <v>1689</v>
      </c>
      <c r="AP98" s="176">
        <v>10.725</v>
      </c>
      <c r="AQ98" s="176">
        <v>10.734999999999999</v>
      </c>
      <c r="AR98" s="176">
        <v>10.759999999999998</v>
      </c>
      <c r="AS98" s="176">
        <v>10.764999999999999</v>
      </c>
      <c r="AT98" s="173" t="str">
        <f t="shared" si="17"/>
        <v/>
      </c>
      <c r="AU98" s="173">
        <v>456</v>
      </c>
      <c r="AW98" s="142" t="s">
        <v>123</v>
      </c>
    </row>
    <row r="99" spans="2:49" s="142" customFormat="1" ht="21" customHeight="1" x14ac:dyDescent="0.25">
      <c r="B99" s="173" t="str">
        <f t="shared" si="26"/>
        <v>0-304/1D-2.49X642</v>
      </c>
      <c r="C99" s="173" t="s">
        <v>3948</v>
      </c>
      <c r="D99" s="173" t="s">
        <v>13</v>
      </c>
      <c r="E99" s="190" t="s">
        <v>1621</v>
      </c>
      <c r="F99" s="190" t="s">
        <v>1622</v>
      </c>
      <c r="G99" s="173">
        <v>304</v>
      </c>
      <c r="H99" s="173" t="s">
        <v>127</v>
      </c>
      <c r="I99" s="174">
        <v>2.4900000000000002</v>
      </c>
      <c r="J99" s="174"/>
      <c r="K99" s="174"/>
      <c r="L99" s="174"/>
      <c r="M99" s="191">
        <v>642</v>
      </c>
      <c r="N99" s="176">
        <v>10.68</v>
      </c>
      <c r="O99" s="176">
        <v>10.68</v>
      </c>
      <c r="P99" s="176"/>
      <c r="Q99" s="178"/>
      <c r="R99" s="179"/>
      <c r="S99" s="179"/>
      <c r="T99" s="177">
        <v>44933</v>
      </c>
      <c r="U99" s="177"/>
      <c r="V99" s="177"/>
      <c r="W99" s="177"/>
      <c r="X99" s="177"/>
      <c r="Y99" s="177"/>
      <c r="Z99" s="177"/>
      <c r="AA99" s="177"/>
      <c r="AB99" s="177"/>
      <c r="AC99" s="177"/>
      <c r="AD99" s="180" t="s">
        <v>1619</v>
      </c>
      <c r="AE99" s="173" t="s">
        <v>69</v>
      </c>
      <c r="AF99" s="181" t="s">
        <v>142</v>
      </c>
      <c r="AG99" s="192" t="s">
        <v>1594</v>
      </c>
      <c r="AH99" s="198"/>
      <c r="AI99" s="181">
        <v>44849</v>
      </c>
      <c r="AJ99" s="181"/>
      <c r="AK99" s="181">
        <f t="shared" ca="1" si="27"/>
        <v>44958</v>
      </c>
      <c r="AL99" s="173">
        <f t="shared" ca="1" si="28"/>
        <v>109</v>
      </c>
      <c r="AM99" s="173" t="str">
        <f t="shared" si="29"/>
        <v/>
      </c>
      <c r="AN99" s="181"/>
      <c r="AO99" s="190" t="s">
        <v>1620</v>
      </c>
      <c r="AP99" s="176">
        <v>10.68</v>
      </c>
      <c r="AQ99" s="176">
        <v>10.69</v>
      </c>
      <c r="AR99" s="176">
        <v>10.714999999999998</v>
      </c>
      <c r="AS99" s="176">
        <v>10.719999999999999</v>
      </c>
      <c r="AT99" s="173" t="str">
        <f t="shared" si="17"/>
        <v/>
      </c>
      <c r="AU99" s="173">
        <v>456</v>
      </c>
      <c r="AW99" s="142" t="s">
        <v>123</v>
      </c>
    </row>
    <row r="100" spans="2:49" s="142" customFormat="1" ht="21" customHeight="1" x14ac:dyDescent="0.25">
      <c r="B100" s="173" t="str">
        <f t="shared" si="26"/>
        <v>0-304L/FH-1.15X765</v>
      </c>
      <c r="C100" s="173" t="s">
        <v>3954</v>
      </c>
      <c r="D100" s="173" t="s">
        <v>16</v>
      </c>
      <c r="E100" s="190" t="s">
        <v>1579</v>
      </c>
      <c r="F100" s="190" t="s">
        <v>1580</v>
      </c>
      <c r="G100" s="173" t="s">
        <v>182</v>
      </c>
      <c r="H100" s="173" t="s">
        <v>70</v>
      </c>
      <c r="I100" s="174">
        <v>3.4</v>
      </c>
      <c r="J100" s="174">
        <v>1.1499999999999999</v>
      </c>
      <c r="K100" s="174"/>
      <c r="L100" s="174"/>
      <c r="M100" s="191">
        <v>765</v>
      </c>
      <c r="N100" s="176">
        <v>10.345000000000001</v>
      </c>
      <c r="O100" s="176">
        <v>10.335000000000001</v>
      </c>
      <c r="P100" s="176"/>
      <c r="Q100" s="178"/>
      <c r="R100" s="179"/>
      <c r="S100" s="179"/>
      <c r="T100" s="177">
        <v>44932</v>
      </c>
      <c r="U100" s="177"/>
      <c r="V100" s="177"/>
      <c r="W100" s="177"/>
      <c r="X100" s="177"/>
      <c r="Y100" s="177"/>
      <c r="Z100" s="177"/>
      <c r="AA100" s="177">
        <v>44930</v>
      </c>
      <c r="AB100" s="177"/>
      <c r="AC100" s="177"/>
      <c r="AD100" s="180" t="s">
        <v>1345</v>
      </c>
      <c r="AE100" s="173" t="s">
        <v>69</v>
      </c>
      <c r="AF100" s="181" t="s">
        <v>142</v>
      </c>
      <c r="AG100" s="192" t="s">
        <v>1508</v>
      </c>
      <c r="AH100" s="198"/>
      <c r="AI100" s="181">
        <v>44849</v>
      </c>
      <c r="AJ100" s="181"/>
      <c r="AK100" s="181">
        <f t="shared" ca="1" si="27"/>
        <v>44958</v>
      </c>
      <c r="AL100" s="173">
        <f t="shared" ca="1" si="28"/>
        <v>109</v>
      </c>
      <c r="AM100" s="173" t="str">
        <f t="shared" si="29"/>
        <v/>
      </c>
      <c r="AN100" s="181"/>
      <c r="AO100" s="190" t="s">
        <v>1581</v>
      </c>
      <c r="AP100" s="176">
        <v>20.74</v>
      </c>
      <c r="AQ100" s="176">
        <v>20.8</v>
      </c>
      <c r="AR100" s="176">
        <v>20.825000000000003</v>
      </c>
      <c r="AS100" s="176">
        <v>20.830000000000002</v>
      </c>
      <c r="AT100" s="173" t="str">
        <f t="shared" si="17"/>
        <v/>
      </c>
      <c r="AU100" s="173">
        <v>456</v>
      </c>
      <c r="AW100" s="142" t="s">
        <v>123</v>
      </c>
    </row>
    <row r="101" spans="2:49" s="142" customFormat="1" ht="21" customHeight="1" x14ac:dyDescent="0.25">
      <c r="B101" s="173" t="str">
        <f t="shared" si="26"/>
        <v>0-304/1D-3.49X777</v>
      </c>
      <c r="C101" s="173" t="s">
        <v>3948</v>
      </c>
      <c r="D101" s="173" t="s">
        <v>13</v>
      </c>
      <c r="E101" s="190" t="s">
        <v>3945</v>
      </c>
      <c r="F101" s="190" t="s">
        <v>3955</v>
      </c>
      <c r="G101" s="173">
        <v>304</v>
      </c>
      <c r="H101" s="173" t="s">
        <v>127</v>
      </c>
      <c r="I101" s="174">
        <v>3.49</v>
      </c>
      <c r="J101" s="174"/>
      <c r="K101" s="174"/>
      <c r="L101" s="174"/>
      <c r="M101" s="191">
        <v>777</v>
      </c>
      <c r="N101" s="176">
        <v>10.79</v>
      </c>
      <c r="O101" s="176">
        <v>10.79</v>
      </c>
      <c r="P101" s="176"/>
      <c r="Q101" s="178"/>
      <c r="R101" s="179"/>
      <c r="S101" s="179"/>
      <c r="T101" s="177">
        <v>44933</v>
      </c>
      <c r="U101" s="177"/>
      <c r="V101" s="177"/>
      <c r="W101" s="177"/>
      <c r="X101" s="177"/>
      <c r="Y101" s="177"/>
      <c r="Z101" s="177"/>
      <c r="AA101" s="177">
        <v>44929</v>
      </c>
      <c r="AB101" s="177"/>
      <c r="AC101" s="177"/>
      <c r="AD101" s="180" t="s">
        <v>1345</v>
      </c>
      <c r="AE101" s="173" t="s">
        <v>69</v>
      </c>
      <c r="AF101" s="181" t="s">
        <v>142</v>
      </c>
      <c r="AG101" s="181" t="s">
        <v>1346</v>
      </c>
      <c r="AH101" s="181"/>
      <c r="AI101" s="181">
        <v>44813</v>
      </c>
      <c r="AJ101" s="181"/>
      <c r="AK101" s="181">
        <f t="shared" ca="1" si="27"/>
        <v>44958</v>
      </c>
      <c r="AL101" s="173">
        <f t="shared" ca="1" si="28"/>
        <v>145</v>
      </c>
      <c r="AM101" s="173" t="str">
        <f t="shared" si="29"/>
        <v/>
      </c>
      <c r="AN101" s="181"/>
      <c r="AO101" s="190" t="s">
        <v>3947</v>
      </c>
      <c r="AP101" s="176">
        <v>21.434999999999999</v>
      </c>
      <c r="AQ101" s="176">
        <v>21.495000000000001</v>
      </c>
      <c r="AR101" s="176">
        <v>21.520000000000003</v>
      </c>
      <c r="AS101" s="176">
        <v>21.525000000000002</v>
      </c>
      <c r="AT101" s="173" t="str">
        <f t="shared" si="17"/>
        <v/>
      </c>
      <c r="AU101" s="173">
        <v>451</v>
      </c>
      <c r="AW101" s="142" t="s">
        <v>123</v>
      </c>
    </row>
    <row r="102" spans="2:49" s="142" customFormat="1" ht="21" customHeight="1" x14ac:dyDescent="0.25">
      <c r="B102" s="173" t="str">
        <f t="shared" si="26"/>
        <v>0-304/FH-1.03X778</v>
      </c>
      <c r="C102" s="173" t="s">
        <v>3954</v>
      </c>
      <c r="D102" s="173" t="s">
        <v>16</v>
      </c>
      <c r="E102" s="190" t="s">
        <v>3945</v>
      </c>
      <c r="F102" s="190" t="s">
        <v>3946</v>
      </c>
      <c r="G102" s="173">
        <v>304</v>
      </c>
      <c r="H102" s="173" t="s">
        <v>70</v>
      </c>
      <c r="I102" s="174">
        <v>3.49</v>
      </c>
      <c r="J102" s="174">
        <v>1.03</v>
      </c>
      <c r="K102" s="174"/>
      <c r="L102" s="174"/>
      <c r="M102" s="191">
        <v>778</v>
      </c>
      <c r="N102" s="176">
        <v>10.685</v>
      </c>
      <c r="O102" s="176">
        <v>10.71</v>
      </c>
      <c r="P102" s="176"/>
      <c r="Q102" s="178"/>
      <c r="R102" s="179"/>
      <c r="S102" s="179"/>
      <c r="T102" s="177">
        <v>44932</v>
      </c>
      <c r="U102" s="177"/>
      <c r="V102" s="177"/>
      <c r="W102" s="177"/>
      <c r="X102" s="177"/>
      <c r="Y102" s="177"/>
      <c r="Z102" s="177"/>
      <c r="AA102" s="177">
        <v>44929</v>
      </c>
      <c r="AB102" s="177"/>
      <c r="AC102" s="177"/>
      <c r="AD102" s="180" t="s">
        <v>1345</v>
      </c>
      <c r="AE102" s="173" t="s">
        <v>69</v>
      </c>
      <c r="AF102" s="181" t="s">
        <v>142</v>
      </c>
      <c r="AG102" s="181" t="s">
        <v>1346</v>
      </c>
      <c r="AH102" s="181"/>
      <c r="AI102" s="181">
        <v>44813</v>
      </c>
      <c r="AJ102" s="181"/>
      <c r="AK102" s="181">
        <f t="shared" ca="1" si="27"/>
        <v>44958</v>
      </c>
      <c r="AL102" s="173">
        <f t="shared" ca="1" si="28"/>
        <v>145</v>
      </c>
      <c r="AM102" s="173" t="str">
        <f t="shared" si="29"/>
        <v/>
      </c>
      <c r="AN102" s="181"/>
      <c r="AO102" s="190" t="s">
        <v>3947</v>
      </c>
      <c r="AP102" s="176">
        <v>21.434999999999999</v>
      </c>
      <c r="AQ102" s="176">
        <v>21.495000000000001</v>
      </c>
      <c r="AR102" s="176">
        <v>21.520000000000003</v>
      </c>
      <c r="AS102" s="176">
        <v>21.525000000000002</v>
      </c>
      <c r="AT102" s="173" t="str">
        <f t="shared" si="17"/>
        <v/>
      </c>
      <c r="AU102" s="173">
        <v>451</v>
      </c>
      <c r="AW102" s="142" t="s">
        <v>123</v>
      </c>
    </row>
    <row r="103" spans="2:49" s="142" customFormat="1" ht="21" customHeight="1" x14ac:dyDescent="0.25">
      <c r="B103" s="173" t="str">
        <f t="shared" si="26"/>
        <v>0-304/1D-2.95X778</v>
      </c>
      <c r="C103" s="173" t="s">
        <v>3948</v>
      </c>
      <c r="D103" s="173" t="s">
        <v>13</v>
      </c>
      <c r="E103" s="190" t="s">
        <v>3892</v>
      </c>
      <c r="F103" s="190" t="s">
        <v>3956</v>
      </c>
      <c r="G103" s="173">
        <v>304</v>
      </c>
      <c r="H103" s="173" t="s">
        <v>127</v>
      </c>
      <c r="I103" s="174">
        <v>2.95</v>
      </c>
      <c r="J103" s="174"/>
      <c r="K103" s="174"/>
      <c r="L103" s="174"/>
      <c r="M103" s="191">
        <v>778</v>
      </c>
      <c r="N103" s="176">
        <v>10.755000000000001</v>
      </c>
      <c r="O103" s="176">
        <v>10.755000000000001</v>
      </c>
      <c r="P103" s="176"/>
      <c r="Q103" s="178"/>
      <c r="R103" s="179"/>
      <c r="S103" s="179"/>
      <c r="T103" s="177">
        <v>44933</v>
      </c>
      <c r="U103" s="177"/>
      <c r="V103" s="177"/>
      <c r="W103" s="177"/>
      <c r="X103" s="177"/>
      <c r="Y103" s="177"/>
      <c r="Z103" s="177"/>
      <c r="AA103" s="177">
        <v>44926</v>
      </c>
      <c r="AB103" s="177"/>
      <c r="AC103" s="177"/>
      <c r="AD103" s="180" t="s">
        <v>1345</v>
      </c>
      <c r="AE103" s="173" t="s">
        <v>69</v>
      </c>
      <c r="AF103" s="181" t="s">
        <v>142</v>
      </c>
      <c r="AG103" s="181" t="s">
        <v>1346</v>
      </c>
      <c r="AH103" s="181"/>
      <c r="AI103" s="181">
        <v>44813</v>
      </c>
      <c r="AJ103" s="181"/>
      <c r="AK103" s="181">
        <f t="shared" ca="1" si="27"/>
        <v>44958</v>
      </c>
      <c r="AL103" s="173">
        <f t="shared" ca="1" si="28"/>
        <v>145</v>
      </c>
      <c r="AM103" s="173" t="str">
        <f t="shared" si="29"/>
        <v/>
      </c>
      <c r="AN103" s="181"/>
      <c r="AO103" s="190" t="s">
        <v>3894</v>
      </c>
      <c r="AP103" s="176">
        <v>21.414999999999999</v>
      </c>
      <c r="AQ103" s="176">
        <v>21.475000000000001</v>
      </c>
      <c r="AR103" s="176">
        <v>21.500000000000004</v>
      </c>
      <c r="AS103" s="176">
        <v>21.505000000000003</v>
      </c>
      <c r="AT103" s="173" t="str">
        <f t="shared" si="17"/>
        <v/>
      </c>
      <c r="AU103" s="173">
        <v>451</v>
      </c>
      <c r="AW103" s="142" t="s">
        <v>123</v>
      </c>
    </row>
    <row r="104" spans="2:49" s="142" customFormat="1" ht="21" customHeight="1" x14ac:dyDescent="0.25">
      <c r="B104" s="173" t="str">
        <f t="shared" si="26"/>
        <v>0-304/FH-1.15X777</v>
      </c>
      <c r="C104" s="173" t="s">
        <v>3954</v>
      </c>
      <c r="D104" s="173" t="s">
        <v>16</v>
      </c>
      <c r="E104" s="190" t="s">
        <v>3949</v>
      </c>
      <c r="F104" s="190" t="s">
        <v>3950</v>
      </c>
      <c r="G104" s="173">
        <v>304</v>
      </c>
      <c r="H104" s="173" t="s">
        <v>70</v>
      </c>
      <c r="I104" s="174">
        <v>3.51</v>
      </c>
      <c r="J104" s="174">
        <v>1.1499999999999999</v>
      </c>
      <c r="K104" s="174"/>
      <c r="L104" s="174"/>
      <c r="M104" s="191">
        <v>777</v>
      </c>
      <c r="N104" s="176">
        <v>10.715</v>
      </c>
      <c r="O104" s="176">
        <v>10.725</v>
      </c>
      <c r="P104" s="176"/>
      <c r="Q104" s="178"/>
      <c r="R104" s="179"/>
      <c r="S104" s="179"/>
      <c r="T104" s="177">
        <v>44933</v>
      </c>
      <c r="U104" s="177"/>
      <c r="V104" s="177"/>
      <c r="W104" s="177"/>
      <c r="X104" s="177"/>
      <c r="Y104" s="177"/>
      <c r="Z104" s="177"/>
      <c r="AA104" s="177">
        <v>44930</v>
      </c>
      <c r="AB104" s="177"/>
      <c r="AC104" s="177"/>
      <c r="AD104" s="180" t="s">
        <v>1345</v>
      </c>
      <c r="AE104" s="173" t="s">
        <v>69</v>
      </c>
      <c r="AF104" s="181" t="s">
        <v>142</v>
      </c>
      <c r="AG104" s="181" t="s">
        <v>1346</v>
      </c>
      <c r="AH104" s="181"/>
      <c r="AI104" s="181">
        <v>44813</v>
      </c>
      <c r="AJ104" s="181"/>
      <c r="AK104" s="181">
        <f t="shared" ca="1" si="27"/>
        <v>44958</v>
      </c>
      <c r="AL104" s="173">
        <f t="shared" ca="1" si="28"/>
        <v>145</v>
      </c>
      <c r="AM104" s="173" t="str">
        <f t="shared" si="29"/>
        <v/>
      </c>
      <c r="AN104" s="181"/>
      <c r="AO104" s="190" t="s">
        <v>3951</v>
      </c>
      <c r="AP104" s="176">
        <v>21.465</v>
      </c>
      <c r="AQ104" s="176">
        <v>21.524999999999999</v>
      </c>
      <c r="AR104" s="176">
        <v>21.55</v>
      </c>
      <c r="AS104" s="176">
        <v>21.555</v>
      </c>
      <c r="AT104" s="173" t="str">
        <f t="shared" si="17"/>
        <v/>
      </c>
      <c r="AU104" s="173">
        <v>451</v>
      </c>
      <c r="AW104" s="142" t="s">
        <v>123</v>
      </c>
    </row>
    <row r="105" spans="2:49" s="142" customFormat="1" ht="21" customHeight="1" x14ac:dyDescent="0.25">
      <c r="B105" s="173" t="str">
        <f t="shared" si="26"/>
        <v>0-304L/1D-3.40X766</v>
      </c>
      <c r="C105" s="173" t="s">
        <v>3948</v>
      </c>
      <c r="D105" s="173" t="s">
        <v>13</v>
      </c>
      <c r="E105" s="190" t="s">
        <v>1579</v>
      </c>
      <c r="F105" s="190" t="s">
        <v>3957</v>
      </c>
      <c r="G105" s="173" t="s">
        <v>182</v>
      </c>
      <c r="H105" s="173" t="s">
        <v>127</v>
      </c>
      <c r="I105" s="174">
        <v>3.4</v>
      </c>
      <c r="J105" s="174"/>
      <c r="K105" s="174"/>
      <c r="L105" s="174"/>
      <c r="M105" s="191">
        <v>766</v>
      </c>
      <c r="N105" s="176">
        <v>10.385</v>
      </c>
      <c r="O105" s="176">
        <v>10.385</v>
      </c>
      <c r="P105" s="176"/>
      <c r="Q105" s="178"/>
      <c r="R105" s="179"/>
      <c r="S105" s="179"/>
      <c r="T105" s="177">
        <v>44933</v>
      </c>
      <c r="U105" s="177"/>
      <c r="V105" s="177"/>
      <c r="W105" s="177"/>
      <c r="X105" s="177"/>
      <c r="Y105" s="177"/>
      <c r="Z105" s="177"/>
      <c r="AA105" s="177">
        <v>44930</v>
      </c>
      <c r="AB105" s="177"/>
      <c r="AC105" s="177"/>
      <c r="AD105" s="180" t="s">
        <v>1345</v>
      </c>
      <c r="AE105" s="173" t="s">
        <v>69</v>
      </c>
      <c r="AF105" s="181" t="s">
        <v>142</v>
      </c>
      <c r="AG105" s="192" t="s">
        <v>1508</v>
      </c>
      <c r="AH105" s="198"/>
      <c r="AI105" s="181">
        <v>44849</v>
      </c>
      <c r="AJ105" s="181"/>
      <c r="AK105" s="181">
        <f t="shared" ca="1" si="27"/>
        <v>44958</v>
      </c>
      <c r="AL105" s="173">
        <f t="shared" ca="1" si="28"/>
        <v>109</v>
      </c>
      <c r="AM105" s="173" t="str">
        <f t="shared" si="29"/>
        <v/>
      </c>
      <c r="AN105" s="181"/>
      <c r="AO105" s="190" t="s">
        <v>1581</v>
      </c>
      <c r="AP105" s="176">
        <v>20.74</v>
      </c>
      <c r="AQ105" s="176">
        <v>20.8</v>
      </c>
      <c r="AR105" s="176">
        <v>20.825000000000003</v>
      </c>
      <c r="AS105" s="176">
        <v>20.830000000000002</v>
      </c>
      <c r="AT105" s="173" t="str">
        <f t="shared" si="17"/>
        <v/>
      </c>
      <c r="AU105" s="173">
        <v>456</v>
      </c>
      <c r="AW105" s="142" t="s">
        <v>123</v>
      </c>
    </row>
    <row r="106" spans="2:49" s="142" customFormat="1" ht="21" customHeight="1" x14ac:dyDescent="0.25">
      <c r="B106" s="173" t="str">
        <f t="shared" si="26"/>
        <v>0-304/FH-0.90X778</v>
      </c>
      <c r="C106" s="173" t="s">
        <v>3954</v>
      </c>
      <c r="D106" s="173" t="s">
        <v>16</v>
      </c>
      <c r="E106" s="190" t="s">
        <v>3892</v>
      </c>
      <c r="F106" s="190" t="s">
        <v>3956</v>
      </c>
      <c r="G106" s="173">
        <v>304</v>
      </c>
      <c r="H106" s="173" t="s">
        <v>70</v>
      </c>
      <c r="I106" s="174">
        <v>2.95</v>
      </c>
      <c r="J106" s="174">
        <v>0.9</v>
      </c>
      <c r="K106" s="174"/>
      <c r="L106" s="174"/>
      <c r="M106" s="191">
        <v>778</v>
      </c>
      <c r="N106" s="176">
        <v>10.755000000000001</v>
      </c>
      <c r="O106" s="176">
        <v>10.755000000000001</v>
      </c>
      <c r="P106" s="176"/>
      <c r="Q106" s="178"/>
      <c r="R106" s="179"/>
      <c r="S106" s="179"/>
      <c r="T106" s="177">
        <v>44933</v>
      </c>
      <c r="U106" s="177"/>
      <c r="V106" s="177"/>
      <c r="W106" s="177"/>
      <c r="X106" s="177"/>
      <c r="Y106" s="177"/>
      <c r="Z106" s="177"/>
      <c r="AA106" s="177">
        <v>44926</v>
      </c>
      <c r="AB106" s="177"/>
      <c r="AC106" s="177"/>
      <c r="AD106" s="180" t="s">
        <v>1345</v>
      </c>
      <c r="AE106" s="173" t="s">
        <v>69</v>
      </c>
      <c r="AF106" s="181" t="s">
        <v>142</v>
      </c>
      <c r="AG106" s="181" t="s">
        <v>1346</v>
      </c>
      <c r="AH106" s="181"/>
      <c r="AI106" s="181">
        <v>44813</v>
      </c>
      <c r="AJ106" s="181"/>
      <c r="AK106" s="181">
        <f t="shared" ca="1" si="27"/>
        <v>44958</v>
      </c>
      <c r="AL106" s="173">
        <f t="shared" ca="1" si="28"/>
        <v>145</v>
      </c>
      <c r="AM106" s="173" t="str">
        <f t="shared" si="29"/>
        <v/>
      </c>
      <c r="AN106" s="181"/>
      <c r="AO106" s="190" t="s">
        <v>3894</v>
      </c>
      <c r="AP106" s="176">
        <v>21.414999999999999</v>
      </c>
      <c r="AQ106" s="176">
        <v>21.475000000000001</v>
      </c>
      <c r="AR106" s="176">
        <v>21.500000000000004</v>
      </c>
      <c r="AS106" s="176">
        <v>21.505000000000003</v>
      </c>
      <c r="AT106" s="173" t="str">
        <f t="shared" si="17"/>
        <v/>
      </c>
      <c r="AU106" s="173">
        <v>451</v>
      </c>
      <c r="AW106" s="142" t="s">
        <v>123</v>
      </c>
    </row>
    <row r="107" spans="2:49" s="142" customFormat="1" ht="21" customHeight="1" x14ac:dyDescent="0.25">
      <c r="B107" s="173" t="str">
        <f t="shared" si="26"/>
        <v>0-304/1D-3.95X767</v>
      </c>
      <c r="C107" s="173" t="s">
        <v>3948</v>
      </c>
      <c r="D107" s="173" t="s">
        <v>13</v>
      </c>
      <c r="E107" s="190" t="s">
        <v>3958</v>
      </c>
      <c r="F107" s="190" t="s">
        <v>3959</v>
      </c>
      <c r="G107" s="173">
        <v>304</v>
      </c>
      <c r="H107" s="173" t="s">
        <v>127</v>
      </c>
      <c r="I107" s="174">
        <v>3.95</v>
      </c>
      <c r="J107" s="174"/>
      <c r="K107" s="174"/>
      <c r="L107" s="174"/>
      <c r="M107" s="191">
        <v>767</v>
      </c>
      <c r="N107" s="176">
        <v>10.41</v>
      </c>
      <c r="O107" s="176">
        <v>10.41</v>
      </c>
      <c r="P107" s="176"/>
      <c r="Q107" s="178"/>
      <c r="R107" s="179"/>
      <c r="S107" s="179"/>
      <c r="T107" s="177">
        <v>44933</v>
      </c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80" t="s">
        <v>1345</v>
      </c>
      <c r="AE107" s="173" t="s">
        <v>69</v>
      </c>
      <c r="AF107" s="181" t="s">
        <v>142</v>
      </c>
      <c r="AG107" s="192" t="s">
        <v>2283</v>
      </c>
      <c r="AH107" s="198"/>
      <c r="AI107" s="181">
        <v>44880</v>
      </c>
      <c r="AJ107" s="181"/>
      <c r="AK107" s="181">
        <f t="shared" ca="1" si="27"/>
        <v>44958</v>
      </c>
      <c r="AL107" s="173">
        <f t="shared" ca="1" si="28"/>
        <v>78</v>
      </c>
      <c r="AM107" s="173" t="str">
        <f t="shared" si="29"/>
        <v/>
      </c>
      <c r="AN107" s="181"/>
      <c r="AO107" s="190" t="s">
        <v>3960</v>
      </c>
      <c r="AP107" s="176">
        <v>10.41</v>
      </c>
      <c r="AQ107" s="176">
        <v>10.42</v>
      </c>
      <c r="AR107" s="176">
        <v>10.444999999999999</v>
      </c>
      <c r="AS107" s="176">
        <v>10.45</v>
      </c>
      <c r="AT107" s="173" t="str">
        <f t="shared" si="17"/>
        <v/>
      </c>
      <c r="AU107" s="173">
        <v>459</v>
      </c>
      <c r="AW107" s="142" t="s">
        <v>123</v>
      </c>
    </row>
    <row r="108" spans="2:49" s="142" customFormat="1" ht="21" customHeight="1" x14ac:dyDescent="0.25">
      <c r="B108" s="173" t="str">
        <f t="shared" si="26"/>
        <v>0-304/FH-0.40X641</v>
      </c>
      <c r="C108" s="173" t="s">
        <v>3954</v>
      </c>
      <c r="D108" s="173" t="s">
        <v>16</v>
      </c>
      <c r="E108" s="190" t="s">
        <v>3943</v>
      </c>
      <c r="F108" s="190" t="s">
        <v>3944</v>
      </c>
      <c r="G108" s="173">
        <v>304</v>
      </c>
      <c r="H108" s="173" t="s">
        <v>70</v>
      </c>
      <c r="I108" s="174">
        <v>2.48</v>
      </c>
      <c r="J108" s="174">
        <v>0.4</v>
      </c>
      <c r="K108" s="174"/>
      <c r="L108" s="174"/>
      <c r="M108" s="191">
        <v>641</v>
      </c>
      <c r="N108" s="176">
        <v>10.135</v>
      </c>
      <c r="O108" s="176">
        <v>10.154999999999999</v>
      </c>
      <c r="P108" s="176"/>
      <c r="Q108" s="178"/>
      <c r="R108" s="179"/>
      <c r="S108" s="179"/>
      <c r="T108" s="177">
        <v>44932</v>
      </c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80" t="s">
        <v>2479</v>
      </c>
      <c r="AE108" s="173" t="s">
        <v>69</v>
      </c>
      <c r="AF108" s="181" t="s">
        <v>142</v>
      </c>
      <c r="AG108" s="192" t="s">
        <v>1594</v>
      </c>
      <c r="AH108" s="198"/>
      <c r="AI108" s="181">
        <v>44849</v>
      </c>
      <c r="AJ108" s="181"/>
      <c r="AK108" s="181">
        <f t="shared" ca="1" si="27"/>
        <v>44958</v>
      </c>
      <c r="AL108" s="173">
        <f t="shared" ca="1" si="28"/>
        <v>109</v>
      </c>
      <c r="AM108" s="173" t="str">
        <f t="shared" si="29"/>
        <v/>
      </c>
      <c r="AN108" s="181"/>
      <c r="AO108" s="190" t="s">
        <v>3935</v>
      </c>
      <c r="AP108" s="176">
        <v>10.135</v>
      </c>
      <c r="AQ108" s="176">
        <v>10.145</v>
      </c>
      <c r="AR108" s="176">
        <v>10.169999999999998</v>
      </c>
      <c r="AS108" s="176">
        <v>10.174999999999999</v>
      </c>
      <c r="AT108" s="173" t="str">
        <f t="shared" si="17"/>
        <v/>
      </c>
      <c r="AU108" s="173">
        <v>456</v>
      </c>
      <c r="AW108" s="142" t="s">
        <v>123</v>
      </c>
    </row>
    <row r="109" spans="2:49" s="142" customFormat="1" ht="21" customHeight="1" x14ac:dyDescent="0.25">
      <c r="B109" s="173" t="str">
        <f t="shared" si="26"/>
        <v>0-304/1D-2.94X777</v>
      </c>
      <c r="C109" s="173" t="s">
        <v>3948</v>
      </c>
      <c r="D109" s="173" t="s">
        <v>13</v>
      </c>
      <c r="E109" s="190" t="s">
        <v>1342</v>
      </c>
      <c r="F109" s="190" t="s">
        <v>1349</v>
      </c>
      <c r="G109" s="173">
        <v>304</v>
      </c>
      <c r="H109" s="173" t="s">
        <v>127</v>
      </c>
      <c r="I109" s="174">
        <v>2.94</v>
      </c>
      <c r="J109" s="174"/>
      <c r="K109" s="174"/>
      <c r="L109" s="174"/>
      <c r="M109" s="191">
        <v>777</v>
      </c>
      <c r="N109" s="176">
        <v>10.73</v>
      </c>
      <c r="O109" s="176">
        <v>10.73</v>
      </c>
      <c r="P109" s="176"/>
      <c r="Q109" s="178"/>
      <c r="R109" s="179"/>
      <c r="S109" s="179"/>
      <c r="T109" s="177">
        <v>44933</v>
      </c>
      <c r="U109" s="177"/>
      <c r="V109" s="177"/>
      <c r="W109" s="177"/>
      <c r="X109" s="177"/>
      <c r="Y109" s="177"/>
      <c r="Z109" s="177"/>
      <c r="AA109" s="177">
        <v>44928</v>
      </c>
      <c r="AB109" s="177"/>
      <c r="AC109" s="177"/>
      <c r="AD109" s="180" t="s">
        <v>1345</v>
      </c>
      <c r="AE109" s="173" t="s">
        <v>69</v>
      </c>
      <c r="AF109" s="181" t="s">
        <v>142</v>
      </c>
      <c r="AG109" s="181" t="s">
        <v>1346</v>
      </c>
      <c r="AH109" s="181"/>
      <c r="AI109" s="181">
        <v>44813</v>
      </c>
      <c r="AJ109" s="181"/>
      <c r="AK109" s="181">
        <f t="shared" ca="1" si="27"/>
        <v>44958</v>
      </c>
      <c r="AL109" s="173">
        <f t="shared" ca="1" si="28"/>
        <v>145</v>
      </c>
      <c r="AM109" s="173" t="str">
        <f t="shared" si="29"/>
        <v/>
      </c>
      <c r="AN109" s="181"/>
      <c r="AO109" s="190" t="s">
        <v>1347</v>
      </c>
      <c r="AP109" s="176">
        <v>21.414999999999999</v>
      </c>
      <c r="AQ109" s="176">
        <v>21.475000000000001</v>
      </c>
      <c r="AR109" s="176">
        <v>21.500000000000004</v>
      </c>
      <c r="AS109" s="176">
        <v>21.505000000000003</v>
      </c>
      <c r="AT109" s="173" t="str">
        <f t="shared" si="17"/>
        <v/>
      </c>
      <c r="AU109" s="173">
        <v>451</v>
      </c>
      <c r="AW109" s="142" t="s">
        <v>123</v>
      </c>
    </row>
    <row r="110" spans="2:49" s="142" customFormat="1" ht="21" customHeight="1" x14ac:dyDescent="0.25">
      <c r="B110" s="173" t="str">
        <f t="shared" si="26"/>
        <v>0-304L/FH-1.15X766</v>
      </c>
      <c r="C110" s="173" t="s">
        <v>3954</v>
      </c>
      <c r="D110" s="173" t="s">
        <v>16</v>
      </c>
      <c r="E110" s="190" t="s">
        <v>1579</v>
      </c>
      <c r="F110" s="190" t="s">
        <v>3957</v>
      </c>
      <c r="G110" s="173" t="s">
        <v>182</v>
      </c>
      <c r="H110" s="173" t="s">
        <v>70</v>
      </c>
      <c r="I110" s="174">
        <v>3.4</v>
      </c>
      <c r="J110" s="174">
        <v>1.1499999999999999</v>
      </c>
      <c r="K110" s="174"/>
      <c r="L110" s="174"/>
      <c r="M110" s="191">
        <v>766</v>
      </c>
      <c r="N110" s="176">
        <v>10.385</v>
      </c>
      <c r="O110" s="176">
        <v>10.42</v>
      </c>
      <c r="P110" s="176"/>
      <c r="Q110" s="178"/>
      <c r="R110" s="179"/>
      <c r="S110" s="179"/>
      <c r="T110" s="177">
        <v>44933</v>
      </c>
      <c r="U110" s="177"/>
      <c r="V110" s="177"/>
      <c r="W110" s="177"/>
      <c r="X110" s="177"/>
      <c r="Y110" s="177"/>
      <c r="Z110" s="177"/>
      <c r="AA110" s="177">
        <v>44930</v>
      </c>
      <c r="AB110" s="177"/>
      <c r="AC110" s="177"/>
      <c r="AD110" s="180" t="s">
        <v>1345</v>
      </c>
      <c r="AE110" s="173" t="s">
        <v>69</v>
      </c>
      <c r="AF110" s="181" t="s">
        <v>142</v>
      </c>
      <c r="AG110" s="192" t="s">
        <v>1508</v>
      </c>
      <c r="AH110" s="198"/>
      <c r="AI110" s="181">
        <v>44849</v>
      </c>
      <c r="AJ110" s="181"/>
      <c r="AK110" s="181">
        <f t="shared" ca="1" si="27"/>
        <v>44958</v>
      </c>
      <c r="AL110" s="173">
        <f t="shared" ca="1" si="28"/>
        <v>109</v>
      </c>
      <c r="AM110" s="173" t="str">
        <f t="shared" si="29"/>
        <v/>
      </c>
      <c r="AN110" s="181"/>
      <c r="AO110" s="190" t="s">
        <v>1581</v>
      </c>
      <c r="AP110" s="176">
        <v>20.74</v>
      </c>
      <c r="AQ110" s="176">
        <v>20.8</v>
      </c>
      <c r="AR110" s="176">
        <v>20.825000000000003</v>
      </c>
      <c r="AS110" s="176">
        <v>20.830000000000002</v>
      </c>
      <c r="AT110" s="173" t="str">
        <f t="shared" si="17"/>
        <v/>
      </c>
      <c r="AU110" s="173">
        <v>456</v>
      </c>
      <c r="AW110" s="142" t="s">
        <v>123</v>
      </c>
    </row>
    <row r="111" spans="2:49" s="142" customFormat="1" ht="21" customHeight="1" x14ac:dyDescent="0.25">
      <c r="B111" s="173" t="str">
        <f t="shared" si="26"/>
        <v>0-304L/1D-2.91X639</v>
      </c>
      <c r="C111" s="173" t="s">
        <v>3952</v>
      </c>
      <c r="D111" s="173" t="s">
        <v>13</v>
      </c>
      <c r="E111" s="190" t="s">
        <v>3961</v>
      </c>
      <c r="F111" s="190" t="s">
        <v>3962</v>
      </c>
      <c r="G111" s="173" t="s">
        <v>182</v>
      </c>
      <c r="H111" s="173" t="s">
        <v>127</v>
      </c>
      <c r="I111" s="174">
        <v>2.91</v>
      </c>
      <c r="J111" s="174"/>
      <c r="K111" s="174"/>
      <c r="L111" s="174"/>
      <c r="M111" s="191">
        <v>639</v>
      </c>
      <c r="N111" s="176">
        <v>8.86</v>
      </c>
      <c r="O111" s="176">
        <v>8.86</v>
      </c>
      <c r="P111" s="176"/>
      <c r="Q111" s="178"/>
      <c r="R111" s="179"/>
      <c r="S111" s="179"/>
      <c r="T111" s="177">
        <v>44933</v>
      </c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80" t="s">
        <v>2479</v>
      </c>
      <c r="AE111" s="173" t="s">
        <v>69</v>
      </c>
      <c r="AF111" s="181" t="s">
        <v>142</v>
      </c>
      <c r="AG111" s="192" t="s">
        <v>1887</v>
      </c>
      <c r="AH111" s="198"/>
      <c r="AI111" s="181">
        <v>44880</v>
      </c>
      <c r="AJ111" s="181"/>
      <c r="AK111" s="181">
        <f t="shared" ca="1" si="27"/>
        <v>44958</v>
      </c>
      <c r="AL111" s="173">
        <f t="shared" ca="1" si="28"/>
        <v>78</v>
      </c>
      <c r="AM111" s="173" t="str">
        <f t="shared" si="29"/>
        <v/>
      </c>
      <c r="AN111" s="181"/>
      <c r="AO111" s="190" t="s">
        <v>2273</v>
      </c>
      <c r="AP111" s="176">
        <v>8.86</v>
      </c>
      <c r="AQ111" s="176">
        <v>8.8699999999999992</v>
      </c>
      <c r="AR111" s="176">
        <v>8.8949999999999978</v>
      </c>
      <c r="AS111" s="176">
        <v>8.8999999999999986</v>
      </c>
      <c r="AT111" s="173" t="str">
        <f t="shared" si="17"/>
        <v/>
      </c>
      <c r="AU111" s="173">
        <v>459</v>
      </c>
      <c r="AW111" s="142" t="s">
        <v>123</v>
      </c>
    </row>
    <row r="112" spans="2:49" s="142" customFormat="1" ht="21" customHeight="1" x14ac:dyDescent="0.25">
      <c r="B112" s="173" t="str">
        <f t="shared" si="26"/>
        <v>0-304L/1D-3.57X765</v>
      </c>
      <c r="C112" s="173" t="s">
        <v>3963</v>
      </c>
      <c r="D112" s="173" t="s">
        <v>13</v>
      </c>
      <c r="E112" s="190" t="s">
        <v>1586</v>
      </c>
      <c r="F112" s="190" t="s">
        <v>3964</v>
      </c>
      <c r="G112" s="173" t="s">
        <v>182</v>
      </c>
      <c r="H112" s="173" t="s">
        <v>127</v>
      </c>
      <c r="I112" s="174">
        <v>3.57</v>
      </c>
      <c r="J112" s="174"/>
      <c r="K112" s="174"/>
      <c r="L112" s="174"/>
      <c r="M112" s="191">
        <v>765</v>
      </c>
      <c r="N112" s="176">
        <v>10.48</v>
      </c>
      <c r="O112" s="176">
        <v>10.48</v>
      </c>
      <c r="P112" s="176"/>
      <c r="Q112" s="178"/>
      <c r="R112" s="179"/>
      <c r="S112" s="179"/>
      <c r="T112" s="177">
        <v>44934</v>
      </c>
      <c r="U112" s="177"/>
      <c r="V112" s="177"/>
      <c r="W112" s="177"/>
      <c r="X112" s="177"/>
      <c r="Y112" s="177"/>
      <c r="Z112" s="177"/>
      <c r="AA112" s="177">
        <v>44929</v>
      </c>
      <c r="AB112" s="177"/>
      <c r="AC112" s="177"/>
      <c r="AD112" s="180" t="s">
        <v>1345</v>
      </c>
      <c r="AE112" s="173" t="s">
        <v>69</v>
      </c>
      <c r="AF112" s="181" t="s">
        <v>142</v>
      </c>
      <c r="AG112" s="192" t="s">
        <v>1508</v>
      </c>
      <c r="AH112" s="198"/>
      <c r="AI112" s="181">
        <v>44849</v>
      </c>
      <c r="AJ112" s="181"/>
      <c r="AK112" s="181">
        <f t="shared" ca="1" si="27"/>
        <v>44958</v>
      </c>
      <c r="AL112" s="173">
        <f t="shared" ca="1" si="28"/>
        <v>109</v>
      </c>
      <c r="AM112" s="173" t="str">
        <f t="shared" si="29"/>
        <v/>
      </c>
      <c r="AN112" s="181"/>
      <c r="AO112" s="190" t="s">
        <v>1588</v>
      </c>
      <c r="AP112" s="176">
        <v>20.92</v>
      </c>
      <c r="AQ112" s="176">
        <v>20.98</v>
      </c>
      <c r="AR112" s="176">
        <v>21.005000000000003</v>
      </c>
      <c r="AS112" s="176">
        <v>21.01</v>
      </c>
      <c r="AT112" s="173" t="str">
        <f t="shared" si="17"/>
        <v/>
      </c>
      <c r="AU112" s="173">
        <v>456</v>
      </c>
      <c r="AW112" s="142" t="s">
        <v>123</v>
      </c>
    </row>
    <row r="113" spans="2:49" s="142" customFormat="1" ht="21" customHeight="1" x14ac:dyDescent="0.25">
      <c r="B113" s="173" t="str">
        <f t="shared" si="26"/>
        <v>0-304L/2B-0.58X630</v>
      </c>
      <c r="C113" s="173" t="s">
        <v>3965</v>
      </c>
      <c r="D113" s="173" t="s">
        <v>1237</v>
      </c>
      <c r="E113" s="190" t="s">
        <v>3966</v>
      </c>
      <c r="F113" s="190" t="s">
        <v>3967</v>
      </c>
      <c r="G113" s="173" t="s">
        <v>182</v>
      </c>
      <c r="H113" s="173" t="s">
        <v>114</v>
      </c>
      <c r="I113" s="174">
        <v>2.88</v>
      </c>
      <c r="J113" s="174">
        <v>0.57999999999999996</v>
      </c>
      <c r="K113" s="174">
        <v>0.56000000000000005</v>
      </c>
      <c r="L113" s="174">
        <v>0.56999999999999995</v>
      </c>
      <c r="M113" s="191">
        <v>630</v>
      </c>
      <c r="N113" s="176">
        <v>10.555</v>
      </c>
      <c r="O113" s="176">
        <v>10.555</v>
      </c>
      <c r="P113" s="176"/>
      <c r="Q113" s="178" t="s">
        <v>1344</v>
      </c>
      <c r="R113" s="179"/>
      <c r="S113" s="179" t="s">
        <v>230</v>
      </c>
      <c r="T113" s="177" t="s">
        <v>3968</v>
      </c>
      <c r="U113" s="177"/>
      <c r="V113" s="177"/>
      <c r="W113" s="177">
        <v>44922</v>
      </c>
      <c r="X113" s="177">
        <v>44930</v>
      </c>
      <c r="Y113" s="177"/>
      <c r="Z113" s="177" t="s">
        <v>3969</v>
      </c>
      <c r="AA113" s="177"/>
      <c r="AB113" s="177"/>
      <c r="AC113" s="177"/>
      <c r="AD113" s="180" t="s">
        <v>2479</v>
      </c>
      <c r="AE113" s="173" t="s">
        <v>69</v>
      </c>
      <c r="AF113" s="181" t="s">
        <v>142</v>
      </c>
      <c r="AG113" s="192" t="s">
        <v>1594</v>
      </c>
      <c r="AH113" s="198"/>
      <c r="AI113" s="181">
        <v>44849</v>
      </c>
      <c r="AJ113" s="181"/>
      <c r="AK113" s="181">
        <f t="shared" ca="1" si="27"/>
        <v>44958</v>
      </c>
      <c r="AL113" s="173">
        <f t="shared" ca="1" si="28"/>
        <v>109</v>
      </c>
      <c r="AM113" s="173">
        <f t="shared" ca="1" si="29"/>
        <v>28</v>
      </c>
      <c r="AN113" s="181"/>
      <c r="AO113" s="190" t="s">
        <v>3970</v>
      </c>
      <c r="AP113" s="176">
        <v>10.715</v>
      </c>
      <c r="AQ113" s="176">
        <v>10.725</v>
      </c>
      <c r="AR113" s="176">
        <v>10.749999999999998</v>
      </c>
      <c r="AS113" s="176">
        <v>10.754999999999999</v>
      </c>
      <c r="AT113" s="173" t="str">
        <f t="shared" si="17"/>
        <v/>
      </c>
      <c r="AU113" s="173">
        <v>456</v>
      </c>
      <c r="AW113" s="142" t="s">
        <v>123</v>
      </c>
    </row>
    <row r="114" spans="2:49" s="142" customFormat="1" ht="21" customHeight="1" x14ac:dyDescent="0.25">
      <c r="B114" s="173" t="str">
        <f t="shared" si="26"/>
        <v>0-304/FH-1.15X777</v>
      </c>
      <c r="C114" s="173" t="s">
        <v>3971</v>
      </c>
      <c r="D114" s="173" t="s">
        <v>16</v>
      </c>
      <c r="E114" s="190" t="s">
        <v>3945</v>
      </c>
      <c r="F114" s="190" t="s">
        <v>3955</v>
      </c>
      <c r="G114" s="173">
        <v>304</v>
      </c>
      <c r="H114" s="173" t="s">
        <v>70</v>
      </c>
      <c r="I114" s="174">
        <v>3.49</v>
      </c>
      <c r="J114" s="174">
        <v>1.1499999999999999</v>
      </c>
      <c r="K114" s="174"/>
      <c r="L114" s="174"/>
      <c r="M114" s="191">
        <v>777</v>
      </c>
      <c r="N114" s="176">
        <v>10.79</v>
      </c>
      <c r="O114" s="176">
        <v>10.765000000000001</v>
      </c>
      <c r="P114" s="176"/>
      <c r="Q114" s="178"/>
      <c r="R114" s="179"/>
      <c r="S114" s="179"/>
      <c r="T114" s="177">
        <v>44933</v>
      </c>
      <c r="U114" s="177"/>
      <c r="V114" s="177"/>
      <c r="W114" s="177"/>
      <c r="X114" s="177"/>
      <c r="Y114" s="177"/>
      <c r="Z114" s="177"/>
      <c r="AA114" s="177">
        <v>44929</v>
      </c>
      <c r="AB114" s="177"/>
      <c r="AC114" s="177"/>
      <c r="AD114" s="180" t="s">
        <v>1345</v>
      </c>
      <c r="AE114" s="173" t="s">
        <v>69</v>
      </c>
      <c r="AF114" s="181" t="s">
        <v>142</v>
      </c>
      <c r="AG114" s="181" t="s">
        <v>1346</v>
      </c>
      <c r="AH114" s="181"/>
      <c r="AI114" s="181">
        <v>44813</v>
      </c>
      <c r="AJ114" s="181"/>
      <c r="AK114" s="181">
        <f t="shared" ca="1" si="27"/>
        <v>44958</v>
      </c>
      <c r="AL114" s="173">
        <f t="shared" ca="1" si="28"/>
        <v>145</v>
      </c>
      <c r="AM114" s="173" t="str">
        <f t="shared" si="29"/>
        <v/>
      </c>
      <c r="AN114" s="181"/>
      <c r="AO114" s="190" t="s">
        <v>3947</v>
      </c>
      <c r="AP114" s="176">
        <v>21.434999999999999</v>
      </c>
      <c r="AQ114" s="176">
        <v>21.495000000000001</v>
      </c>
      <c r="AR114" s="176">
        <v>21.520000000000003</v>
      </c>
      <c r="AS114" s="176">
        <v>21.525000000000002</v>
      </c>
      <c r="AT114" s="173" t="str">
        <f t="shared" si="17"/>
        <v/>
      </c>
      <c r="AU114" s="173">
        <v>451</v>
      </c>
      <c r="AW114" s="142" t="s">
        <v>123</v>
      </c>
    </row>
    <row r="115" spans="2:49" s="142" customFormat="1" ht="21" customHeight="1" x14ac:dyDescent="0.25">
      <c r="B115" s="173" t="str">
        <f t="shared" si="26"/>
        <v>0-304L/1D-3.79X774</v>
      </c>
      <c r="C115" s="173" t="s">
        <v>3963</v>
      </c>
      <c r="D115" s="173" t="s">
        <v>13</v>
      </c>
      <c r="E115" s="190" t="s">
        <v>3972</v>
      </c>
      <c r="F115" s="190" t="s">
        <v>3973</v>
      </c>
      <c r="G115" s="173" t="s">
        <v>182</v>
      </c>
      <c r="H115" s="173" t="s">
        <v>127</v>
      </c>
      <c r="I115" s="174">
        <v>3.79</v>
      </c>
      <c r="J115" s="174"/>
      <c r="K115" s="174"/>
      <c r="L115" s="174"/>
      <c r="M115" s="191">
        <v>774</v>
      </c>
      <c r="N115" s="176">
        <v>11.88</v>
      </c>
      <c r="O115" s="176">
        <v>11.88</v>
      </c>
      <c r="P115" s="176"/>
      <c r="Q115" s="178"/>
      <c r="R115" s="179"/>
      <c r="S115" s="179"/>
      <c r="T115" s="177">
        <v>44934</v>
      </c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80" t="s">
        <v>1345</v>
      </c>
      <c r="AE115" s="173" t="s">
        <v>69</v>
      </c>
      <c r="AF115" s="181" t="s">
        <v>142</v>
      </c>
      <c r="AG115" s="192" t="s">
        <v>1653</v>
      </c>
      <c r="AH115" s="198"/>
      <c r="AI115" s="181">
        <v>44880</v>
      </c>
      <c r="AJ115" s="181"/>
      <c r="AK115" s="181">
        <f t="shared" ca="1" si="27"/>
        <v>44958</v>
      </c>
      <c r="AL115" s="173">
        <f t="shared" ca="1" si="28"/>
        <v>78</v>
      </c>
      <c r="AM115" s="173" t="str">
        <f t="shared" si="29"/>
        <v/>
      </c>
      <c r="AN115" s="181"/>
      <c r="AO115" s="190" t="s">
        <v>3974</v>
      </c>
      <c r="AP115" s="176">
        <v>11.88</v>
      </c>
      <c r="AQ115" s="176">
        <v>11.89</v>
      </c>
      <c r="AR115" s="176">
        <v>11.914999999999999</v>
      </c>
      <c r="AS115" s="176">
        <v>11.92</v>
      </c>
      <c r="AT115" s="173" t="str">
        <f t="shared" si="17"/>
        <v/>
      </c>
      <c r="AU115" s="173">
        <v>459</v>
      </c>
      <c r="AW115" s="142" t="s">
        <v>123</v>
      </c>
    </row>
    <row r="116" spans="2:49" s="142" customFormat="1" ht="21" customHeight="1" x14ac:dyDescent="0.25">
      <c r="B116" s="173" t="str">
        <f t="shared" si="26"/>
        <v>0-304/FH-1.95X767</v>
      </c>
      <c r="C116" s="173" t="s">
        <v>3971</v>
      </c>
      <c r="D116" s="173" t="s">
        <v>16</v>
      </c>
      <c r="E116" s="190" t="s">
        <v>3958</v>
      </c>
      <c r="F116" s="190" t="s">
        <v>3959</v>
      </c>
      <c r="G116" s="173">
        <v>304</v>
      </c>
      <c r="H116" s="173" t="s">
        <v>70</v>
      </c>
      <c r="I116" s="174">
        <v>3.95</v>
      </c>
      <c r="J116" s="174">
        <v>1.95</v>
      </c>
      <c r="K116" s="174"/>
      <c r="L116" s="174"/>
      <c r="M116" s="191">
        <v>767</v>
      </c>
      <c r="N116" s="176">
        <v>10.41</v>
      </c>
      <c r="O116" s="176">
        <v>10.42</v>
      </c>
      <c r="P116" s="176"/>
      <c r="Q116" s="178"/>
      <c r="R116" s="179"/>
      <c r="S116" s="179"/>
      <c r="T116" s="177">
        <v>44933</v>
      </c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80" t="s">
        <v>1345</v>
      </c>
      <c r="AE116" s="173" t="s">
        <v>69</v>
      </c>
      <c r="AF116" s="181" t="s">
        <v>142</v>
      </c>
      <c r="AG116" s="192" t="s">
        <v>2283</v>
      </c>
      <c r="AH116" s="198"/>
      <c r="AI116" s="181">
        <v>44880</v>
      </c>
      <c r="AJ116" s="181"/>
      <c r="AK116" s="181">
        <f t="shared" ca="1" si="27"/>
        <v>44958</v>
      </c>
      <c r="AL116" s="173">
        <f t="shared" ca="1" si="28"/>
        <v>78</v>
      </c>
      <c r="AM116" s="173" t="str">
        <f t="shared" si="29"/>
        <v/>
      </c>
      <c r="AN116" s="181"/>
      <c r="AO116" s="190" t="s">
        <v>3960</v>
      </c>
      <c r="AP116" s="176">
        <v>10.41</v>
      </c>
      <c r="AQ116" s="176">
        <v>10.42</v>
      </c>
      <c r="AR116" s="176">
        <v>10.444999999999999</v>
      </c>
      <c r="AS116" s="176">
        <v>10.45</v>
      </c>
      <c r="AT116" s="173" t="str">
        <f t="shared" si="17"/>
        <v/>
      </c>
      <c r="AU116" s="173">
        <v>459</v>
      </c>
      <c r="AW116" s="142" t="s">
        <v>123</v>
      </c>
    </row>
    <row r="117" spans="2:49" s="142" customFormat="1" ht="21" customHeight="1" x14ac:dyDescent="0.25">
      <c r="B117" s="173" t="str">
        <f t="shared" si="26"/>
        <v>0-304L/1D-3.80X767</v>
      </c>
      <c r="C117" s="173" t="s">
        <v>3963</v>
      </c>
      <c r="D117" s="173" t="s">
        <v>13</v>
      </c>
      <c r="E117" s="190" t="s">
        <v>3975</v>
      </c>
      <c r="F117" s="190" t="s">
        <v>3976</v>
      </c>
      <c r="G117" s="173" t="s">
        <v>182</v>
      </c>
      <c r="H117" s="173" t="s">
        <v>127</v>
      </c>
      <c r="I117" s="174">
        <v>3.8</v>
      </c>
      <c r="J117" s="174"/>
      <c r="K117" s="174"/>
      <c r="L117" s="174"/>
      <c r="M117" s="191">
        <v>767</v>
      </c>
      <c r="N117" s="176">
        <v>12.275</v>
      </c>
      <c r="O117" s="176">
        <v>12.275</v>
      </c>
      <c r="P117" s="176"/>
      <c r="Q117" s="178"/>
      <c r="R117" s="179"/>
      <c r="S117" s="179"/>
      <c r="T117" s="177">
        <v>44934</v>
      </c>
      <c r="U117" s="177"/>
      <c r="V117" s="177"/>
      <c r="W117" s="177"/>
      <c r="X117" s="177"/>
      <c r="Y117" s="177"/>
      <c r="Z117" s="177"/>
      <c r="AA117" s="177">
        <v>44933</v>
      </c>
      <c r="AB117" s="177"/>
      <c r="AC117" s="177"/>
      <c r="AD117" s="180" t="s">
        <v>1507</v>
      </c>
      <c r="AE117" s="173" t="s">
        <v>69</v>
      </c>
      <c r="AF117" s="181" t="s">
        <v>142</v>
      </c>
      <c r="AG117" s="192" t="s">
        <v>1508</v>
      </c>
      <c r="AH117" s="198"/>
      <c r="AI117" s="181">
        <v>44849</v>
      </c>
      <c r="AJ117" s="181"/>
      <c r="AK117" s="181">
        <f t="shared" ca="1" si="27"/>
        <v>44958</v>
      </c>
      <c r="AL117" s="173">
        <f t="shared" ca="1" si="28"/>
        <v>109</v>
      </c>
      <c r="AM117" s="173" t="str">
        <f t="shared" si="29"/>
        <v/>
      </c>
      <c r="AN117" s="181"/>
      <c r="AO117" s="190" t="s">
        <v>3977</v>
      </c>
      <c r="AP117" s="176">
        <v>24.56</v>
      </c>
      <c r="AQ117" s="176">
        <v>24.62</v>
      </c>
      <c r="AR117" s="176">
        <v>24.645000000000003</v>
      </c>
      <c r="AS117" s="176">
        <v>24.650000000000002</v>
      </c>
      <c r="AT117" s="173" t="str">
        <f t="shared" si="17"/>
        <v/>
      </c>
      <c r="AU117" s="173">
        <v>456</v>
      </c>
      <c r="AW117" s="142" t="s">
        <v>123</v>
      </c>
    </row>
    <row r="118" spans="2:49" s="142" customFormat="1" ht="21" customHeight="1" x14ac:dyDescent="0.25">
      <c r="B118" s="173" t="str">
        <f t="shared" si="26"/>
        <v>0-304L/FH-1.15X765</v>
      </c>
      <c r="C118" s="173" t="s">
        <v>3971</v>
      </c>
      <c r="D118" s="173" t="s">
        <v>16</v>
      </c>
      <c r="E118" s="190" t="s">
        <v>1586</v>
      </c>
      <c r="F118" s="190" t="s">
        <v>3964</v>
      </c>
      <c r="G118" s="173" t="s">
        <v>182</v>
      </c>
      <c r="H118" s="173" t="s">
        <v>70</v>
      </c>
      <c r="I118" s="174">
        <v>3.57</v>
      </c>
      <c r="J118" s="174">
        <v>1.1499999999999999</v>
      </c>
      <c r="K118" s="174"/>
      <c r="L118" s="174"/>
      <c r="M118" s="191">
        <v>765</v>
      </c>
      <c r="N118" s="176">
        <v>10.48</v>
      </c>
      <c r="O118" s="176">
        <v>10.5</v>
      </c>
      <c r="P118" s="176"/>
      <c r="Q118" s="178"/>
      <c r="R118" s="179"/>
      <c r="S118" s="179"/>
      <c r="T118" s="177">
        <v>44934</v>
      </c>
      <c r="U118" s="177"/>
      <c r="V118" s="177"/>
      <c r="W118" s="177"/>
      <c r="X118" s="177"/>
      <c r="Y118" s="177"/>
      <c r="Z118" s="177"/>
      <c r="AA118" s="177">
        <v>44929</v>
      </c>
      <c r="AB118" s="177"/>
      <c r="AC118" s="177"/>
      <c r="AD118" s="180" t="s">
        <v>1345</v>
      </c>
      <c r="AE118" s="173" t="s">
        <v>69</v>
      </c>
      <c r="AF118" s="181" t="s">
        <v>142</v>
      </c>
      <c r="AG118" s="192" t="s">
        <v>1508</v>
      </c>
      <c r="AH118" s="198"/>
      <c r="AI118" s="181">
        <v>44849</v>
      </c>
      <c r="AJ118" s="181"/>
      <c r="AK118" s="181">
        <f t="shared" ca="1" si="27"/>
        <v>44958</v>
      </c>
      <c r="AL118" s="173">
        <f t="shared" ca="1" si="28"/>
        <v>109</v>
      </c>
      <c r="AM118" s="173" t="str">
        <f t="shared" si="29"/>
        <v/>
      </c>
      <c r="AN118" s="181"/>
      <c r="AO118" s="190" t="s">
        <v>1588</v>
      </c>
      <c r="AP118" s="176">
        <v>20.92</v>
      </c>
      <c r="AQ118" s="176">
        <v>20.98</v>
      </c>
      <c r="AR118" s="176">
        <v>21.005000000000003</v>
      </c>
      <c r="AS118" s="176">
        <v>21.01</v>
      </c>
      <c r="AT118" s="173" t="str">
        <f t="shared" si="17"/>
        <v/>
      </c>
      <c r="AU118" s="173">
        <v>456</v>
      </c>
      <c r="AW118" s="142" t="s">
        <v>123</v>
      </c>
    </row>
    <row r="119" spans="2:49" s="142" customFormat="1" ht="21" customHeight="1" x14ac:dyDescent="0.25">
      <c r="B119" s="173" t="str">
        <f t="shared" si="26"/>
        <v>0-304/1D-2.96X777</v>
      </c>
      <c r="C119" s="173" t="s">
        <v>3963</v>
      </c>
      <c r="D119" s="173" t="s">
        <v>13</v>
      </c>
      <c r="E119" s="190" t="s">
        <v>3880</v>
      </c>
      <c r="F119" s="190" t="s">
        <v>3978</v>
      </c>
      <c r="G119" s="173">
        <v>304</v>
      </c>
      <c r="H119" s="173" t="s">
        <v>127</v>
      </c>
      <c r="I119" s="174">
        <v>2.96</v>
      </c>
      <c r="J119" s="174"/>
      <c r="K119" s="174"/>
      <c r="L119" s="174"/>
      <c r="M119" s="191">
        <v>777</v>
      </c>
      <c r="N119" s="176">
        <v>10.7</v>
      </c>
      <c r="O119" s="176">
        <v>10.7</v>
      </c>
      <c r="P119" s="176"/>
      <c r="Q119" s="178"/>
      <c r="R119" s="179"/>
      <c r="S119" s="179"/>
      <c r="T119" s="177">
        <v>44934</v>
      </c>
      <c r="U119" s="177"/>
      <c r="V119" s="177"/>
      <c r="W119" s="177"/>
      <c r="X119" s="177"/>
      <c r="Y119" s="177"/>
      <c r="Z119" s="177"/>
      <c r="AA119" s="177">
        <v>44926</v>
      </c>
      <c r="AB119" s="177"/>
      <c r="AC119" s="177"/>
      <c r="AD119" s="180" t="s">
        <v>1345</v>
      </c>
      <c r="AE119" s="173" t="s">
        <v>69</v>
      </c>
      <c r="AF119" s="181" t="s">
        <v>142</v>
      </c>
      <c r="AG119" s="181" t="s">
        <v>1346</v>
      </c>
      <c r="AH119" s="181"/>
      <c r="AI119" s="181">
        <v>44813</v>
      </c>
      <c r="AJ119" s="181"/>
      <c r="AK119" s="181">
        <f t="shared" ca="1" si="27"/>
        <v>44958</v>
      </c>
      <c r="AL119" s="173">
        <f t="shared" ca="1" si="28"/>
        <v>145</v>
      </c>
      <c r="AM119" s="173" t="str">
        <f t="shared" si="29"/>
        <v/>
      </c>
      <c r="AN119" s="181"/>
      <c r="AO119" s="190" t="s">
        <v>3882</v>
      </c>
      <c r="AP119" s="176">
        <v>21.445</v>
      </c>
      <c r="AQ119" s="176">
        <v>21.504999999999999</v>
      </c>
      <c r="AR119" s="176">
        <v>21.53</v>
      </c>
      <c r="AS119" s="176">
        <v>21.535</v>
      </c>
      <c r="AT119" s="173" t="str">
        <f t="shared" si="17"/>
        <v/>
      </c>
      <c r="AU119" s="173">
        <v>451</v>
      </c>
      <c r="AW119" s="142" t="s">
        <v>123</v>
      </c>
    </row>
    <row r="120" spans="2:49" s="142" customFormat="1" ht="21" customHeight="1" x14ac:dyDescent="0.25">
      <c r="B120" s="173" t="str">
        <f t="shared" si="26"/>
        <v>0-304L/FH-1.45X774</v>
      </c>
      <c r="C120" s="173" t="s">
        <v>3971</v>
      </c>
      <c r="D120" s="173" t="s">
        <v>16</v>
      </c>
      <c r="E120" s="190" t="s">
        <v>3972</v>
      </c>
      <c r="F120" s="190" t="s">
        <v>3973</v>
      </c>
      <c r="G120" s="173" t="s">
        <v>182</v>
      </c>
      <c r="H120" s="173" t="s">
        <v>70</v>
      </c>
      <c r="I120" s="174">
        <v>3.79</v>
      </c>
      <c r="J120" s="174">
        <v>1.45</v>
      </c>
      <c r="K120" s="174"/>
      <c r="L120" s="174"/>
      <c r="M120" s="191">
        <v>774</v>
      </c>
      <c r="N120" s="176">
        <v>11.88</v>
      </c>
      <c r="O120" s="176">
        <v>11.885</v>
      </c>
      <c r="P120" s="176"/>
      <c r="Q120" s="178"/>
      <c r="R120" s="179"/>
      <c r="S120" s="179"/>
      <c r="T120" s="177">
        <v>44934</v>
      </c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80" t="s">
        <v>1345</v>
      </c>
      <c r="AE120" s="173" t="s">
        <v>69</v>
      </c>
      <c r="AF120" s="181" t="s">
        <v>142</v>
      </c>
      <c r="AG120" s="192" t="s">
        <v>1653</v>
      </c>
      <c r="AH120" s="198"/>
      <c r="AI120" s="181">
        <v>44880</v>
      </c>
      <c r="AJ120" s="181"/>
      <c r="AK120" s="181">
        <f t="shared" ca="1" si="27"/>
        <v>44958</v>
      </c>
      <c r="AL120" s="173">
        <f t="shared" ca="1" si="28"/>
        <v>78</v>
      </c>
      <c r="AM120" s="173" t="str">
        <f t="shared" si="29"/>
        <v/>
      </c>
      <c r="AN120" s="181"/>
      <c r="AO120" s="190" t="s">
        <v>3974</v>
      </c>
      <c r="AP120" s="176">
        <v>11.88</v>
      </c>
      <c r="AQ120" s="176">
        <v>11.89</v>
      </c>
      <c r="AR120" s="176">
        <v>11.914999999999999</v>
      </c>
      <c r="AS120" s="176">
        <v>11.92</v>
      </c>
      <c r="AT120" s="173" t="str">
        <f t="shared" si="17"/>
        <v/>
      </c>
      <c r="AU120" s="173">
        <v>459</v>
      </c>
      <c r="AW120" s="142" t="s">
        <v>123</v>
      </c>
    </row>
    <row r="121" spans="2:49" s="142" customFormat="1" ht="21" customHeight="1" x14ac:dyDescent="0.25">
      <c r="B121" s="173" t="str">
        <f t="shared" si="26"/>
        <v>0-304L/1D-2.92X768</v>
      </c>
      <c r="C121" s="173" t="s">
        <v>3963</v>
      </c>
      <c r="D121" s="173" t="s">
        <v>13</v>
      </c>
      <c r="E121" s="190" t="s">
        <v>3906</v>
      </c>
      <c r="F121" s="190" t="s">
        <v>3979</v>
      </c>
      <c r="G121" s="173" t="s">
        <v>182</v>
      </c>
      <c r="H121" s="173" t="s">
        <v>127</v>
      </c>
      <c r="I121" s="174">
        <v>2.92</v>
      </c>
      <c r="J121" s="174"/>
      <c r="K121" s="174"/>
      <c r="L121" s="174"/>
      <c r="M121" s="191">
        <v>768</v>
      </c>
      <c r="N121" s="176">
        <v>12.25</v>
      </c>
      <c r="O121" s="176">
        <v>12.25</v>
      </c>
      <c r="P121" s="176"/>
      <c r="Q121" s="178"/>
      <c r="R121" s="179"/>
      <c r="S121" s="179"/>
      <c r="T121" s="177">
        <v>44934</v>
      </c>
      <c r="U121" s="177"/>
      <c r="V121" s="177"/>
      <c r="W121" s="177"/>
      <c r="X121" s="177"/>
      <c r="Y121" s="177"/>
      <c r="Z121" s="177"/>
      <c r="AA121" s="177">
        <v>44930</v>
      </c>
      <c r="AB121" s="177"/>
      <c r="AC121" s="177"/>
      <c r="AD121" s="180" t="s">
        <v>1345</v>
      </c>
      <c r="AE121" s="173" t="s">
        <v>69</v>
      </c>
      <c r="AF121" s="181" t="s">
        <v>142</v>
      </c>
      <c r="AG121" s="192" t="s">
        <v>1508</v>
      </c>
      <c r="AH121" s="198"/>
      <c r="AI121" s="181">
        <v>44849</v>
      </c>
      <c r="AJ121" s="181"/>
      <c r="AK121" s="181">
        <f t="shared" ca="1" si="27"/>
        <v>44958</v>
      </c>
      <c r="AL121" s="173">
        <f t="shared" ca="1" si="28"/>
        <v>109</v>
      </c>
      <c r="AM121" s="173" t="str">
        <f t="shared" si="29"/>
        <v/>
      </c>
      <c r="AN121" s="181"/>
      <c r="AO121" s="190" t="s">
        <v>3908</v>
      </c>
      <c r="AP121" s="176">
        <v>24.495000000000001</v>
      </c>
      <c r="AQ121" s="176">
        <v>24.555</v>
      </c>
      <c r="AR121" s="176">
        <v>24.580000000000002</v>
      </c>
      <c r="AS121" s="176">
        <v>24.585000000000001</v>
      </c>
      <c r="AT121" s="173" t="str">
        <f t="shared" si="17"/>
        <v/>
      </c>
      <c r="AU121" s="173">
        <v>456</v>
      </c>
      <c r="AW121" s="142" t="s">
        <v>123</v>
      </c>
    </row>
    <row r="122" spans="2:49" s="142" customFormat="1" ht="21" customHeight="1" x14ac:dyDescent="0.25">
      <c r="B122" s="173" t="str">
        <f t="shared" si="26"/>
        <v>0-304/FH-0.90X777</v>
      </c>
      <c r="C122" s="173" t="s">
        <v>3971</v>
      </c>
      <c r="D122" s="173" t="s">
        <v>16</v>
      </c>
      <c r="E122" s="190" t="s">
        <v>1342</v>
      </c>
      <c r="F122" s="190" t="s">
        <v>1349</v>
      </c>
      <c r="G122" s="173">
        <v>304</v>
      </c>
      <c r="H122" s="173" t="s">
        <v>70</v>
      </c>
      <c r="I122" s="174">
        <v>2.94</v>
      </c>
      <c r="J122" s="174">
        <v>0.9</v>
      </c>
      <c r="K122" s="174"/>
      <c r="L122" s="174"/>
      <c r="M122" s="191">
        <v>777</v>
      </c>
      <c r="N122" s="176">
        <v>10.73</v>
      </c>
      <c r="O122" s="176">
        <v>10.74</v>
      </c>
      <c r="P122" s="176"/>
      <c r="Q122" s="178"/>
      <c r="R122" s="179"/>
      <c r="S122" s="179"/>
      <c r="T122" s="177">
        <v>44933</v>
      </c>
      <c r="U122" s="177"/>
      <c r="V122" s="177"/>
      <c r="W122" s="177"/>
      <c r="X122" s="177"/>
      <c r="Y122" s="177"/>
      <c r="Z122" s="177"/>
      <c r="AA122" s="177">
        <v>44928</v>
      </c>
      <c r="AB122" s="177"/>
      <c r="AC122" s="177"/>
      <c r="AD122" s="180" t="s">
        <v>1345</v>
      </c>
      <c r="AE122" s="173" t="s">
        <v>69</v>
      </c>
      <c r="AF122" s="181" t="s">
        <v>142</v>
      </c>
      <c r="AG122" s="181" t="s">
        <v>1346</v>
      </c>
      <c r="AH122" s="181"/>
      <c r="AI122" s="181">
        <v>44813</v>
      </c>
      <c r="AJ122" s="181"/>
      <c r="AK122" s="181">
        <f t="shared" ca="1" si="27"/>
        <v>44958</v>
      </c>
      <c r="AL122" s="173">
        <f t="shared" ca="1" si="28"/>
        <v>145</v>
      </c>
      <c r="AM122" s="173" t="str">
        <f t="shared" si="29"/>
        <v/>
      </c>
      <c r="AN122" s="181"/>
      <c r="AO122" s="190" t="s">
        <v>1347</v>
      </c>
      <c r="AP122" s="176">
        <v>21.414999999999999</v>
      </c>
      <c r="AQ122" s="176">
        <v>21.475000000000001</v>
      </c>
      <c r="AR122" s="176">
        <v>21.500000000000004</v>
      </c>
      <c r="AS122" s="176">
        <v>21.505000000000003</v>
      </c>
      <c r="AT122" s="173" t="str">
        <f t="shared" si="17"/>
        <v/>
      </c>
      <c r="AU122" s="173">
        <v>451</v>
      </c>
      <c r="AW122" s="142" t="s">
        <v>123</v>
      </c>
    </row>
    <row r="123" spans="2:49" s="142" customFormat="1" ht="21" customHeight="1" x14ac:dyDescent="0.25">
      <c r="B123" s="173" t="str">
        <f t="shared" si="26"/>
        <v>0-304/1D-2.92X780</v>
      </c>
      <c r="C123" s="173" t="s">
        <v>3963</v>
      </c>
      <c r="D123" s="173" t="s">
        <v>13</v>
      </c>
      <c r="E123" s="190" t="s">
        <v>3902</v>
      </c>
      <c r="F123" s="190" t="s">
        <v>3980</v>
      </c>
      <c r="G123" s="173">
        <v>304</v>
      </c>
      <c r="H123" s="173" t="s">
        <v>127</v>
      </c>
      <c r="I123" s="174">
        <v>2.92</v>
      </c>
      <c r="J123" s="174"/>
      <c r="K123" s="174"/>
      <c r="L123" s="174"/>
      <c r="M123" s="191">
        <v>780</v>
      </c>
      <c r="N123" s="176">
        <v>10.734999999999999</v>
      </c>
      <c r="O123" s="176">
        <v>10.734999999999999</v>
      </c>
      <c r="P123" s="176"/>
      <c r="Q123" s="178"/>
      <c r="R123" s="179"/>
      <c r="S123" s="179"/>
      <c r="T123" s="177">
        <v>44934</v>
      </c>
      <c r="U123" s="177"/>
      <c r="V123" s="177"/>
      <c r="W123" s="177"/>
      <c r="X123" s="177"/>
      <c r="Y123" s="177"/>
      <c r="Z123" s="177"/>
      <c r="AA123" s="177">
        <v>44929</v>
      </c>
      <c r="AB123" s="177"/>
      <c r="AC123" s="177"/>
      <c r="AD123" s="180" t="s">
        <v>1345</v>
      </c>
      <c r="AE123" s="173" t="s">
        <v>69</v>
      </c>
      <c r="AF123" s="181" t="s">
        <v>142</v>
      </c>
      <c r="AG123" s="181" t="s">
        <v>1346</v>
      </c>
      <c r="AH123" s="181"/>
      <c r="AI123" s="181">
        <v>44813</v>
      </c>
      <c r="AJ123" s="181"/>
      <c r="AK123" s="181">
        <f t="shared" ca="1" si="27"/>
        <v>44958</v>
      </c>
      <c r="AL123" s="173">
        <f t="shared" ca="1" si="28"/>
        <v>145</v>
      </c>
      <c r="AM123" s="173" t="str">
        <f t="shared" si="29"/>
        <v/>
      </c>
      <c r="AN123" s="181"/>
      <c r="AO123" s="190" t="s">
        <v>3904</v>
      </c>
      <c r="AP123" s="176">
        <v>21.43</v>
      </c>
      <c r="AQ123" s="176">
        <v>21.49</v>
      </c>
      <c r="AR123" s="176">
        <v>21.515000000000001</v>
      </c>
      <c r="AS123" s="176">
        <v>21.52</v>
      </c>
      <c r="AT123" s="173" t="str">
        <f t="shared" si="17"/>
        <v/>
      </c>
      <c r="AU123" s="173">
        <v>451</v>
      </c>
      <c r="AW123" s="142" t="s">
        <v>123</v>
      </c>
    </row>
    <row r="124" spans="2:49" s="142" customFormat="1" ht="21" customHeight="1" x14ac:dyDescent="0.25">
      <c r="B124" s="173" t="str">
        <f t="shared" si="26"/>
        <v>0-304/FH-1.00X777</v>
      </c>
      <c r="C124" s="173" t="s">
        <v>3971</v>
      </c>
      <c r="D124" s="173" t="s">
        <v>16</v>
      </c>
      <c r="E124" s="190" t="s">
        <v>3880</v>
      </c>
      <c r="F124" s="190" t="s">
        <v>3978</v>
      </c>
      <c r="G124" s="173">
        <v>304</v>
      </c>
      <c r="H124" s="173" t="s">
        <v>70</v>
      </c>
      <c r="I124" s="174">
        <v>2.96</v>
      </c>
      <c r="J124" s="174">
        <v>1</v>
      </c>
      <c r="K124" s="174"/>
      <c r="L124" s="174"/>
      <c r="M124" s="191">
        <v>777</v>
      </c>
      <c r="N124" s="176">
        <v>10.7</v>
      </c>
      <c r="O124" s="176">
        <v>10.715</v>
      </c>
      <c r="P124" s="176"/>
      <c r="Q124" s="178"/>
      <c r="R124" s="179"/>
      <c r="S124" s="179"/>
      <c r="T124" s="177">
        <v>44934</v>
      </c>
      <c r="U124" s="177"/>
      <c r="V124" s="177"/>
      <c r="W124" s="177"/>
      <c r="X124" s="177"/>
      <c r="Y124" s="177"/>
      <c r="Z124" s="177"/>
      <c r="AA124" s="177">
        <v>44926</v>
      </c>
      <c r="AB124" s="177"/>
      <c r="AC124" s="177"/>
      <c r="AD124" s="180" t="s">
        <v>1345</v>
      </c>
      <c r="AE124" s="173" t="s">
        <v>69</v>
      </c>
      <c r="AF124" s="181" t="s">
        <v>142</v>
      </c>
      <c r="AG124" s="181" t="s">
        <v>1346</v>
      </c>
      <c r="AH124" s="181"/>
      <c r="AI124" s="181">
        <v>44813</v>
      </c>
      <c r="AJ124" s="181"/>
      <c r="AK124" s="181">
        <f t="shared" ca="1" si="27"/>
        <v>44958</v>
      </c>
      <c r="AL124" s="173">
        <f t="shared" ca="1" si="28"/>
        <v>145</v>
      </c>
      <c r="AM124" s="173" t="str">
        <f t="shared" si="29"/>
        <v/>
      </c>
      <c r="AN124" s="181"/>
      <c r="AO124" s="190" t="s">
        <v>3882</v>
      </c>
      <c r="AP124" s="176">
        <v>21.445</v>
      </c>
      <c r="AQ124" s="176">
        <v>21.504999999999999</v>
      </c>
      <c r="AR124" s="176">
        <v>21.53</v>
      </c>
      <c r="AS124" s="176">
        <v>21.535</v>
      </c>
      <c r="AT124" s="173" t="str">
        <f t="shared" si="17"/>
        <v/>
      </c>
      <c r="AU124" s="173">
        <v>451</v>
      </c>
      <c r="AW124" s="142" t="s">
        <v>123</v>
      </c>
    </row>
    <row r="125" spans="2:49" s="142" customFormat="1" ht="21" customHeight="1" x14ac:dyDescent="0.25">
      <c r="B125" s="173" t="str">
        <f t="shared" si="26"/>
        <v>0-304/1D-3.51X778</v>
      </c>
      <c r="C125" s="173" t="s">
        <v>3963</v>
      </c>
      <c r="D125" s="173" t="s">
        <v>13</v>
      </c>
      <c r="E125" s="190" t="s">
        <v>3949</v>
      </c>
      <c r="F125" s="190" t="s">
        <v>3981</v>
      </c>
      <c r="G125" s="173">
        <v>304</v>
      </c>
      <c r="H125" s="173" t="s">
        <v>127</v>
      </c>
      <c r="I125" s="174">
        <v>3.51</v>
      </c>
      <c r="J125" s="174"/>
      <c r="K125" s="174"/>
      <c r="L125" s="174"/>
      <c r="M125" s="191">
        <v>778</v>
      </c>
      <c r="N125" s="176">
        <v>10.734999999999999</v>
      </c>
      <c r="O125" s="176">
        <v>10.734999999999999</v>
      </c>
      <c r="P125" s="176"/>
      <c r="Q125" s="178"/>
      <c r="R125" s="179"/>
      <c r="S125" s="179"/>
      <c r="T125" s="177">
        <v>44934</v>
      </c>
      <c r="U125" s="177"/>
      <c r="V125" s="177"/>
      <c r="W125" s="177"/>
      <c r="X125" s="177"/>
      <c r="Y125" s="177"/>
      <c r="Z125" s="177"/>
      <c r="AA125" s="177">
        <v>44930</v>
      </c>
      <c r="AB125" s="177"/>
      <c r="AC125" s="177"/>
      <c r="AD125" s="180" t="s">
        <v>1345</v>
      </c>
      <c r="AE125" s="173" t="s">
        <v>69</v>
      </c>
      <c r="AF125" s="181" t="s">
        <v>142</v>
      </c>
      <c r="AG125" s="181" t="s">
        <v>1346</v>
      </c>
      <c r="AH125" s="181"/>
      <c r="AI125" s="181">
        <v>44813</v>
      </c>
      <c r="AJ125" s="181"/>
      <c r="AK125" s="181">
        <f t="shared" ca="1" si="27"/>
        <v>44958</v>
      </c>
      <c r="AL125" s="173">
        <f t="shared" ca="1" si="28"/>
        <v>145</v>
      </c>
      <c r="AM125" s="173" t="str">
        <f t="shared" si="29"/>
        <v/>
      </c>
      <c r="AN125" s="181"/>
      <c r="AO125" s="190" t="s">
        <v>3951</v>
      </c>
      <c r="AP125" s="176">
        <v>21.465</v>
      </c>
      <c r="AQ125" s="176">
        <v>21.524999999999999</v>
      </c>
      <c r="AR125" s="176">
        <v>21.55</v>
      </c>
      <c r="AS125" s="176">
        <v>21.555</v>
      </c>
      <c r="AT125" s="173" t="str">
        <f t="shared" si="17"/>
        <v/>
      </c>
      <c r="AU125" s="173">
        <v>451</v>
      </c>
      <c r="AW125" s="142" t="s">
        <v>123</v>
      </c>
    </row>
    <row r="126" spans="2:49" s="142" customFormat="1" ht="21" customHeight="1" x14ac:dyDescent="0.25">
      <c r="B126" s="173" t="str">
        <f t="shared" si="26"/>
        <v>0-304L/FH-0.90X768</v>
      </c>
      <c r="C126" s="173" t="s">
        <v>3971</v>
      </c>
      <c r="D126" s="173" t="s">
        <v>16</v>
      </c>
      <c r="E126" s="190" t="s">
        <v>3906</v>
      </c>
      <c r="F126" s="190" t="s">
        <v>3979</v>
      </c>
      <c r="G126" s="173" t="s">
        <v>182</v>
      </c>
      <c r="H126" s="173" t="s">
        <v>70</v>
      </c>
      <c r="I126" s="174">
        <v>2.92</v>
      </c>
      <c r="J126" s="174">
        <v>0.9</v>
      </c>
      <c r="K126" s="174"/>
      <c r="L126" s="174"/>
      <c r="M126" s="191">
        <v>768</v>
      </c>
      <c r="N126" s="176">
        <v>12.25</v>
      </c>
      <c r="O126" s="176">
        <v>12.275</v>
      </c>
      <c r="P126" s="176"/>
      <c r="Q126" s="178"/>
      <c r="R126" s="179"/>
      <c r="S126" s="179"/>
      <c r="T126" s="177">
        <v>44934</v>
      </c>
      <c r="U126" s="177"/>
      <c r="V126" s="177"/>
      <c r="W126" s="177"/>
      <c r="X126" s="177"/>
      <c r="Y126" s="177"/>
      <c r="Z126" s="177"/>
      <c r="AA126" s="177">
        <v>44930</v>
      </c>
      <c r="AB126" s="177"/>
      <c r="AC126" s="177"/>
      <c r="AD126" s="180" t="s">
        <v>1345</v>
      </c>
      <c r="AE126" s="173" t="s">
        <v>69</v>
      </c>
      <c r="AF126" s="181" t="s">
        <v>142</v>
      </c>
      <c r="AG126" s="192" t="s">
        <v>1508</v>
      </c>
      <c r="AH126" s="198"/>
      <c r="AI126" s="181">
        <v>44849</v>
      </c>
      <c r="AJ126" s="181"/>
      <c r="AK126" s="181">
        <f t="shared" ca="1" si="27"/>
        <v>44958</v>
      </c>
      <c r="AL126" s="173">
        <f t="shared" ca="1" si="28"/>
        <v>109</v>
      </c>
      <c r="AM126" s="173" t="str">
        <f t="shared" si="29"/>
        <v/>
      </c>
      <c r="AN126" s="181"/>
      <c r="AO126" s="190" t="s">
        <v>3908</v>
      </c>
      <c r="AP126" s="176">
        <v>24.495000000000001</v>
      </c>
      <c r="AQ126" s="176">
        <v>24.555</v>
      </c>
      <c r="AR126" s="176">
        <v>24.580000000000002</v>
      </c>
      <c r="AS126" s="176">
        <v>24.585000000000001</v>
      </c>
      <c r="AT126" s="173" t="str">
        <f t="shared" si="17"/>
        <v/>
      </c>
      <c r="AU126" s="173">
        <v>456</v>
      </c>
      <c r="AW126" s="142" t="s">
        <v>123</v>
      </c>
    </row>
    <row r="127" spans="2:49" s="142" customFormat="1" ht="21" customHeight="1" x14ac:dyDescent="0.25">
      <c r="B127" s="173" t="str">
        <f t="shared" si="26"/>
        <v>0-304/1D-3.45X767</v>
      </c>
      <c r="C127" s="173" t="s">
        <v>3963</v>
      </c>
      <c r="D127" s="173" t="s">
        <v>13</v>
      </c>
      <c r="E127" s="190" t="s">
        <v>3924</v>
      </c>
      <c r="F127" s="190" t="s">
        <v>3982</v>
      </c>
      <c r="G127" s="173">
        <v>304</v>
      </c>
      <c r="H127" s="173" t="s">
        <v>127</v>
      </c>
      <c r="I127" s="174">
        <v>3.45</v>
      </c>
      <c r="J127" s="174"/>
      <c r="K127" s="174"/>
      <c r="L127" s="174"/>
      <c r="M127" s="191">
        <v>767</v>
      </c>
      <c r="N127" s="176">
        <v>12.275</v>
      </c>
      <c r="O127" s="176">
        <v>12.275</v>
      </c>
      <c r="P127" s="176"/>
      <c r="Q127" s="178"/>
      <c r="R127" s="179"/>
      <c r="S127" s="179"/>
      <c r="T127" s="177">
        <v>44934</v>
      </c>
      <c r="U127" s="177"/>
      <c r="V127" s="177"/>
      <c r="W127" s="177"/>
      <c r="X127" s="177"/>
      <c r="Y127" s="177"/>
      <c r="Z127" s="177"/>
      <c r="AA127" s="177">
        <v>44931</v>
      </c>
      <c r="AB127" s="177"/>
      <c r="AC127" s="177"/>
      <c r="AD127" s="180" t="s">
        <v>1345</v>
      </c>
      <c r="AE127" s="173" t="s">
        <v>69</v>
      </c>
      <c r="AF127" s="181" t="s">
        <v>142</v>
      </c>
      <c r="AG127" s="192" t="s">
        <v>1508</v>
      </c>
      <c r="AH127" s="198"/>
      <c r="AI127" s="181">
        <v>44849</v>
      </c>
      <c r="AJ127" s="181"/>
      <c r="AK127" s="181">
        <f t="shared" ca="1" si="27"/>
        <v>44958</v>
      </c>
      <c r="AL127" s="173">
        <f t="shared" ca="1" si="28"/>
        <v>109</v>
      </c>
      <c r="AM127" s="173" t="str">
        <f t="shared" si="29"/>
        <v/>
      </c>
      <c r="AN127" s="181"/>
      <c r="AO127" s="190" t="s">
        <v>3926</v>
      </c>
      <c r="AP127" s="176">
        <v>24.335000000000001</v>
      </c>
      <c r="AQ127" s="176">
        <v>24.395</v>
      </c>
      <c r="AR127" s="176">
        <v>24.42</v>
      </c>
      <c r="AS127" s="176">
        <v>24.425000000000001</v>
      </c>
      <c r="AT127" s="173" t="str">
        <f t="shared" si="17"/>
        <v/>
      </c>
      <c r="AU127" s="173">
        <v>456</v>
      </c>
      <c r="AW127" s="142" t="s">
        <v>123</v>
      </c>
    </row>
    <row r="128" spans="2:49" s="142" customFormat="1" ht="21" customHeight="1" x14ac:dyDescent="0.25">
      <c r="B128" s="173" t="str">
        <f t="shared" si="26"/>
        <v>0-304/FH-1.15X778</v>
      </c>
      <c r="C128" s="173" t="s">
        <v>3983</v>
      </c>
      <c r="D128" s="173" t="s">
        <v>16</v>
      </c>
      <c r="E128" s="190" t="s">
        <v>3949</v>
      </c>
      <c r="F128" s="190" t="s">
        <v>3981</v>
      </c>
      <c r="G128" s="173">
        <v>304</v>
      </c>
      <c r="H128" s="173" t="s">
        <v>70</v>
      </c>
      <c r="I128" s="174">
        <v>3.51</v>
      </c>
      <c r="J128" s="174">
        <v>1.1499999999999999</v>
      </c>
      <c r="K128" s="174"/>
      <c r="L128" s="174"/>
      <c r="M128" s="191">
        <v>778</v>
      </c>
      <c r="N128" s="176">
        <v>10.734999999999999</v>
      </c>
      <c r="O128" s="176">
        <v>10.77</v>
      </c>
      <c r="P128" s="176"/>
      <c r="Q128" s="178"/>
      <c r="R128" s="179"/>
      <c r="S128" s="179"/>
      <c r="T128" s="177">
        <v>44934</v>
      </c>
      <c r="U128" s="177"/>
      <c r="V128" s="177"/>
      <c r="W128" s="177"/>
      <c r="X128" s="177"/>
      <c r="Y128" s="177"/>
      <c r="Z128" s="177"/>
      <c r="AA128" s="177">
        <v>44930</v>
      </c>
      <c r="AB128" s="177"/>
      <c r="AC128" s="177"/>
      <c r="AD128" s="180" t="s">
        <v>1345</v>
      </c>
      <c r="AE128" s="173" t="s">
        <v>69</v>
      </c>
      <c r="AF128" s="181" t="s">
        <v>142</v>
      </c>
      <c r="AG128" s="181" t="s">
        <v>1346</v>
      </c>
      <c r="AH128" s="181"/>
      <c r="AI128" s="181">
        <v>44813</v>
      </c>
      <c r="AJ128" s="181"/>
      <c r="AK128" s="181">
        <f t="shared" ca="1" si="27"/>
        <v>44958</v>
      </c>
      <c r="AL128" s="173">
        <f t="shared" ca="1" si="28"/>
        <v>145</v>
      </c>
      <c r="AM128" s="173" t="str">
        <f t="shared" si="29"/>
        <v/>
      </c>
      <c r="AN128" s="181"/>
      <c r="AO128" s="190" t="s">
        <v>3951</v>
      </c>
      <c r="AP128" s="176">
        <v>21.465</v>
      </c>
      <c r="AQ128" s="176">
        <v>21.524999999999999</v>
      </c>
      <c r="AR128" s="176">
        <v>21.55</v>
      </c>
      <c r="AS128" s="176">
        <v>21.555</v>
      </c>
      <c r="AT128" s="173" t="str">
        <f t="shared" si="17"/>
        <v/>
      </c>
      <c r="AU128" s="173">
        <v>451</v>
      </c>
      <c r="AW128" s="142" t="s">
        <v>123</v>
      </c>
    </row>
    <row r="129" spans="2:49" s="142" customFormat="1" ht="21" customHeight="1" x14ac:dyDescent="0.25">
      <c r="B129" s="173" t="str">
        <f t="shared" si="26"/>
        <v>0-304/1D-3.39X770</v>
      </c>
      <c r="C129" s="173" t="s">
        <v>3984</v>
      </c>
      <c r="D129" s="173" t="s">
        <v>13</v>
      </c>
      <c r="E129" s="190" t="s">
        <v>2545</v>
      </c>
      <c r="F129" s="190" t="s">
        <v>3985</v>
      </c>
      <c r="G129" s="173">
        <v>304</v>
      </c>
      <c r="H129" s="173" t="s">
        <v>127</v>
      </c>
      <c r="I129" s="174">
        <v>3.39</v>
      </c>
      <c r="J129" s="174"/>
      <c r="K129" s="174"/>
      <c r="L129" s="174"/>
      <c r="M129" s="191">
        <v>770</v>
      </c>
      <c r="N129" s="176">
        <v>10.555</v>
      </c>
      <c r="O129" s="176">
        <v>10.555</v>
      </c>
      <c r="P129" s="176"/>
      <c r="Q129" s="178"/>
      <c r="R129" s="179"/>
      <c r="S129" s="179"/>
      <c r="T129" s="177">
        <v>44935</v>
      </c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80" t="s">
        <v>1507</v>
      </c>
      <c r="AE129" s="173" t="s">
        <v>69</v>
      </c>
      <c r="AF129" s="181" t="s">
        <v>142</v>
      </c>
      <c r="AG129" s="192" t="s">
        <v>1584</v>
      </c>
      <c r="AH129" s="198"/>
      <c r="AI129" s="181">
        <v>44914</v>
      </c>
      <c r="AJ129" s="181"/>
      <c r="AK129" s="181">
        <f t="shared" ca="1" si="27"/>
        <v>44958</v>
      </c>
      <c r="AL129" s="173">
        <f t="shared" ca="1" si="28"/>
        <v>44</v>
      </c>
      <c r="AM129" s="173" t="str">
        <f t="shared" si="29"/>
        <v/>
      </c>
      <c r="AN129" s="181"/>
      <c r="AO129" s="190" t="s">
        <v>2548</v>
      </c>
      <c r="AP129" s="176">
        <v>10.555</v>
      </c>
      <c r="AQ129" s="176">
        <v>10.565</v>
      </c>
      <c r="AR129" s="176">
        <v>10.589999999999998</v>
      </c>
      <c r="AS129" s="176">
        <v>10.594999999999999</v>
      </c>
      <c r="AT129" s="173" t="str">
        <f t="shared" si="17"/>
        <v/>
      </c>
      <c r="AU129" s="173">
        <v>462</v>
      </c>
      <c r="AW129" s="142" t="s">
        <v>123</v>
      </c>
    </row>
    <row r="130" spans="2:49" s="142" customFormat="1" ht="21" customHeight="1" x14ac:dyDescent="0.25">
      <c r="B130" s="173" t="str">
        <f t="shared" si="26"/>
        <v>0-304L/FH-1.45X767</v>
      </c>
      <c r="C130" s="173" t="s">
        <v>3983</v>
      </c>
      <c r="D130" s="173" t="s">
        <v>16</v>
      </c>
      <c r="E130" s="190" t="s">
        <v>3975</v>
      </c>
      <c r="F130" s="190" t="s">
        <v>3986</v>
      </c>
      <c r="G130" s="173" t="s">
        <v>182</v>
      </c>
      <c r="H130" s="173" t="s">
        <v>70</v>
      </c>
      <c r="I130" s="174">
        <v>3.8</v>
      </c>
      <c r="J130" s="174">
        <v>1.45</v>
      </c>
      <c r="K130" s="174"/>
      <c r="L130" s="174"/>
      <c r="M130" s="191">
        <v>767</v>
      </c>
      <c r="N130" s="176">
        <v>4.9050000000000002</v>
      </c>
      <c r="O130" s="176">
        <v>4.9050000000000002</v>
      </c>
      <c r="P130" s="176"/>
      <c r="Q130" s="178"/>
      <c r="R130" s="179"/>
      <c r="S130" s="179"/>
      <c r="T130" s="177">
        <v>44934</v>
      </c>
      <c r="U130" s="177"/>
      <c r="V130" s="177"/>
      <c r="W130" s="177"/>
      <c r="X130" s="177"/>
      <c r="Y130" s="177"/>
      <c r="Z130" s="177"/>
      <c r="AA130" s="177">
        <v>44933</v>
      </c>
      <c r="AB130" s="177"/>
      <c r="AC130" s="177"/>
      <c r="AD130" s="180" t="s">
        <v>1507</v>
      </c>
      <c r="AE130" s="173" t="s">
        <v>69</v>
      </c>
      <c r="AF130" s="181" t="s">
        <v>142</v>
      </c>
      <c r="AG130" s="192" t="s">
        <v>1508</v>
      </c>
      <c r="AH130" s="198"/>
      <c r="AI130" s="181">
        <v>44849</v>
      </c>
      <c r="AJ130" s="181"/>
      <c r="AK130" s="181">
        <f t="shared" ca="1" si="27"/>
        <v>44958</v>
      </c>
      <c r="AL130" s="173">
        <f t="shared" ca="1" si="28"/>
        <v>109</v>
      </c>
      <c r="AM130" s="173" t="str">
        <f t="shared" si="29"/>
        <v/>
      </c>
      <c r="AN130" s="181"/>
      <c r="AO130" s="190" t="s">
        <v>3977</v>
      </c>
      <c r="AP130" s="176">
        <v>24.56</v>
      </c>
      <c r="AQ130" s="176">
        <v>24.62</v>
      </c>
      <c r="AR130" s="176">
        <v>24.645000000000003</v>
      </c>
      <c r="AS130" s="176">
        <v>24.650000000000002</v>
      </c>
      <c r="AT130" s="173" t="str">
        <f t="shared" si="17"/>
        <v/>
      </c>
      <c r="AU130" s="173">
        <v>456</v>
      </c>
      <c r="AW130" s="142" t="s">
        <v>123</v>
      </c>
    </row>
    <row r="131" spans="2:49" s="142" customFormat="1" ht="21" customHeight="1" x14ac:dyDescent="0.25">
      <c r="B131" s="173" t="str">
        <f t="shared" si="26"/>
        <v>0-304/FH-0.90X780</v>
      </c>
      <c r="C131" s="173" t="s">
        <v>3983</v>
      </c>
      <c r="D131" s="173" t="s">
        <v>16</v>
      </c>
      <c r="E131" s="190" t="s">
        <v>3902</v>
      </c>
      <c r="F131" s="190" t="s">
        <v>3980</v>
      </c>
      <c r="G131" s="173">
        <v>304</v>
      </c>
      <c r="H131" s="173" t="s">
        <v>70</v>
      </c>
      <c r="I131" s="174">
        <v>2.92</v>
      </c>
      <c r="J131" s="174">
        <v>0.9</v>
      </c>
      <c r="K131" s="174"/>
      <c r="L131" s="174"/>
      <c r="M131" s="191">
        <v>780</v>
      </c>
      <c r="N131" s="176">
        <v>10.734999999999999</v>
      </c>
      <c r="O131" s="176">
        <v>10.715</v>
      </c>
      <c r="P131" s="176"/>
      <c r="Q131" s="178"/>
      <c r="R131" s="179"/>
      <c r="S131" s="179"/>
      <c r="T131" s="177">
        <v>44934</v>
      </c>
      <c r="U131" s="177"/>
      <c r="V131" s="177"/>
      <c r="W131" s="177"/>
      <c r="X131" s="177"/>
      <c r="Y131" s="177"/>
      <c r="Z131" s="177"/>
      <c r="AA131" s="177">
        <v>44929</v>
      </c>
      <c r="AB131" s="177"/>
      <c r="AC131" s="177"/>
      <c r="AD131" s="180" t="s">
        <v>1345</v>
      </c>
      <c r="AE131" s="173" t="s">
        <v>69</v>
      </c>
      <c r="AF131" s="181" t="s">
        <v>142</v>
      </c>
      <c r="AG131" s="181" t="s">
        <v>1346</v>
      </c>
      <c r="AH131" s="181"/>
      <c r="AI131" s="181">
        <v>44813</v>
      </c>
      <c r="AJ131" s="181"/>
      <c r="AK131" s="181">
        <f t="shared" ca="1" si="27"/>
        <v>44958</v>
      </c>
      <c r="AL131" s="173">
        <f t="shared" ca="1" si="28"/>
        <v>145</v>
      </c>
      <c r="AM131" s="173" t="str">
        <f t="shared" si="29"/>
        <v/>
      </c>
      <c r="AN131" s="181"/>
      <c r="AO131" s="190" t="s">
        <v>3904</v>
      </c>
      <c r="AP131" s="176">
        <v>21.43</v>
      </c>
      <c r="AQ131" s="176">
        <v>21.49</v>
      </c>
      <c r="AR131" s="176">
        <v>21.515000000000001</v>
      </c>
      <c r="AS131" s="176">
        <v>21.52</v>
      </c>
      <c r="AT131" s="173" t="str">
        <f t="shared" si="17"/>
        <v/>
      </c>
      <c r="AU131" s="173">
        <v>451</v>
      </c>
      <c r="AW131" s="142" t="s">
        <v>123</v>
      </c>
    </row>
    <row r="132" spans="2:49" s="142" customFormat="1" ht="21" customHeight="1" x14ac:dyDescent="0.25">
      <c r="B132" s="173" t="str">
        <f t="shared" si="26"/>
        <v>0-304/1D-2.84X773</v>
      </c>
      <c r="C132" s="173" t="s">
        <v>3984</v>
      </c>
      <c r="D132" s="173" t="s">
        <v>13</v>
      </c>
      <c r="E132" s="190" t="s">
        <v>3987</v>
      </c>
      <c r="F132" s="190" t="s">
        <v>3988</v>
      </c>
      <c r="G132" s="173">
        <v>304</v>
      </c>
      <c r="H132" s="173" t="s">
        <v>127</v>
      </c>
      <c r="I132" s="174">
        <v>2.84</v>
      </c>
      <c r="J132" s="174"/>
      <c r="K132" s="174"/>
      <c r="L132" s="174"/>
      <c r="M132" s="191">
        <v>773</v>
      </c>
      <c r="N132" s="176">
        <v>9.8249999999999993</v>
      </c>
      <c r="O132" s="176">
        <v>9.8249999999999993</v>
      </c>
      <c r="P132" s="176"/>
      <c r="Q132" s="178"/>
      <c r="R132" s="179"/>
      <c r="S132" s="179"/>
      <c r="T132" s="177">
        <v>44935</v>
      </c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80" t="s">
        <v>1507</v>
      </c>
      <c r="AE132" s="173" t="s">
        <v>69</v>
      </c>
      <c r="AF132" s="181" t="s">
        <v>142</v>
      </c>
      <c r="AG132" s="192" t="s">
        <v>1584</v>
      </c>
      <c r="AH132" s="198"/>
      <c r="AI132" s="181">
        <v>44914</v>
      </c>
      <c r="AJ132" s="181"/>
      <c r="AK132" s="181">
        <f t="shared" ca="1" si="27"/>
        <v>44958</v>
      </c>
      <c r="AL132" s="173">
        <f t="shared" ca="1" si="28"/>
        <v>44</v>
      </c>
      <c r="AM132" s="173" t="str">
        <f t="shared" si="29"/>
        <v/>
      </c>
      <c r="AN132" s="181"/>
      <c r="AO132" s="190" t="s">
        <v>3989</v>
      </c>
      <c r="AP132" s="176">
        <v>9.8249999999999993</v>
      </c>
      <c r="AQ132" s="176">
        <v>9.8350000000000009</v>
      </c>
      <c r="AR132" s="176">
        <v>9.86</v>
      </c>
      <c r="AS132" s="176">
        <v>9.8650000000000002</v>
      </c>
      <c r="AT132" s="173" t="str">
        <f t="shared" ref="AT132:AT195" si="30">IF(ISNUMBER(V132)=TRUE,AK132-V132,IF(V132="","",(AK132)-(MID(RIGHT(V132,10),4,2)&amp;"/"&amp;LEFT((RIGHT(V132,10)),2)&amp;"/"&amp;RIGHT(V132,4))))</f>
        <v/>
      </c>
      <c r="AU132" s="173">
        <v>462</v>
      </c>
      <c r="AW132" s="142" t="s">
        <v>123</v>
      </c>
    </row>
    <row r="133" spans="2:49" s="142" customFormat="1" ht="21" customHeight="1" x14ac:dyDescent="0.25">
      <c r="B133" s="173" t="str">
        <f t="shared" si="26"/>
        <v>0-304/FH-0.40X642</v>
      </c>
      <c r="C133" s="173" t="s">
        <v>3983</v>
      </c>
      <c r="D133" s="173" t="s">
        <v>16</v>
      </c>
      <c r="E133" s="190" t="s">
        <v>1621</v>
      </c>
      <c r="F133" s="190" t="s">
        <v>3990</v>
      </c>
      <c r="G133" s="173">
        <v>304</v>
      </c>
      <c r="H133" s="173" t="s">
        <v>70</v>
      </c>
      <c r="I133" s="174">
        <v>2.4900000000000002</v>
      </c>
      <c r="J133" s="174">
        <v>0.4</v>
      </c>
      <c r="K133" s="174"/>
      <c r="L133" s="174"/>
      <c r="M133" s="191">
        <v>642</v>
      </c>
      <c r="N133" s="176">
        <v>8.2100000000000009</v>
      </c>
      <c r="O133" s="176">
        <v>8.2100000000000009</v>
      </c>
      <c r="P133" s="176"/>
      <c r="Q133" s="178"/>
      <c r="R133" s="179"/>
      <c r="S133" s="179"/>
      <c r="T133" s="177">
        <v>44933</v>
      </c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80" t="s">
        <v>1619</v>
      </c>
      <c r="AE133" s="173" t="s">
        <v>69</v>
      </c>
      <c r="AF133" s="181" t="s">
        <v>142</v>
      </c>
      <c r="AG133" s="192" t="s">
        <v>1594</v>
      </c>
      <c r="AH133" s="198"/>
      <c r="AI133" s="181">
        <v>44849</v>
      </c>
      <c r="AJ133" s="181"/>
      <c r="AK133" s="181">
        <f t="shared" ca="1" si="27"/>
        <v>44958</v>
      </c>
      <c r="AL133" s="173">
        <f t="shared" ca="1" si="28"/>
        <v>109</v>
      </c>
      <c r="AM133" s="173" t="str">
        <f t="shared" si="29"/>
        <v/>
      </c>
      <c r="AN133" s="181"/>
      <c r="AO133" s="190" t="s">
        <v>1620</v>
      </c>
      <c r="AP133" s="176">
        <v>10.68</v>
      </c>
      <c r="AQ133" s="176">
        <v>10.69</v>
      </c>
      <c r="AR133" s="176">
        <v>10.714999999999998</v>
      </c>
      <c r="AS133" s="176">
        <v>10.719999999999999</v>
      </c>
      <c r="AT133" s="173" t="str">
        <f t="shared" si="30"/>
        <v/>
      </c>
      <c r="AU133" s="173">
        <v>456</v>
      </c>
      <c r="AW133" s="142" t="s">
        <v>123</v>
      </c>
    </row>
    <row r="134" spans="2:49" s="142" customFormat="1" ht="21" customHeight="1" x14ac:dyDescent="0.25">
      <c r="B134" s="173" t="str">
        <f t="shared" si="26"/>
        <v>0-304L/2B-0.58X630</v>
      </c>
      <c r="C134" s="173" t="s">
        <v>3991</v>
      </c>
      <c r="D134" s="173" t="s">
        <v>1237</v>
      </c>
      <c r="E134" s="190" t="s">
        <v>3992</v>
      </c>
      <c r="F134" s="190" t="s">
        <v>3993</v>
      </c>
      <c r="G134" s="173" t="s">
        <v>182</v>
      </c>
      <c r="H134" s="173" t="s">
        <v>114</v>
      </c>
      <c r="I134" s="174">
        <v>2.88</v>
      </c>
      <c r="J134" s="174">
        <v>0.57999999999999996</v>
      </c>
      <c r="K134" s="174">
        <v>0.56999999999999995</v>
      </c>
      <c r="L134" s="174">
        <v>0.59</v>
      </c>
      <c r="M134" s="191">
        <v>630</v>
      </c>
      <c r="N134" s="176">
        <v>10.58</v>
      </c>
      <c r="O134" s="176">
        <v>10.58</v>
      </c>
      <c r="P134" s="176"/>
      <c r="Q134" s="178" t="s">
        <v>1344</v>
      </c>
      <c r="R134" s="179"/>
      <c r="S134" s="179" t="s">
        <v>230</v>
      </c>
      <c r="T134" s="177" t="s">
        <v>3994</v>
      </c>
      <c r="U134" s="177"/>
      <c r="V134" s="177"/>
      <c r="W134" s="177">
        <v>44923</v>
      </c>
      <c r="X134" s="177">
        <v>44929</v>
      </c>
      <c r="Y134" s="177"/>
      <c r="Z134" s="177" t="s">
        <v>3969</v>
      </c>
      <c r="AA134" s="177"/>
      <c r="AB134" s="177"/>
      <c r="AC134" s="177"/>
      <c r="AD134" s="180" t="s">
        <v>2479</v>
      </c>
      <c r="AE134" s="173" t="s">
        <v>69</v>
      </c>
      <c r="AF134" s="181" t="s">
        <v>142</v>
      </c>
      <c r="AG134" s="192" t="s">
        <v>1594</v>
      </c>
      <c r="AH134" s="198"/>
      <c r="AI134" s="181">
        <v>44849</v>
      </c>
      <c r="AJ134" s="181"/>
      <c r="AK134" s="181">
        <f t="shared" ca="1" si="27"/>
        <v>44958</v>
      </c>
      <c r="AL134" s="173">
        <f t="shared" ca="1" si="28"/>
        <v>109</v>
      </c>
      <c r="AM134" s="173">
        <f t="shared" ca="1" si="29"/>
        <v>29</v>
      </c>
      <c r="AN134" s="181"/>
      <c r="AO134" s="190" t="s">
        <v>3995</v>
      </c>
      <c r="AP134" s="176">
        <v>10.705</v>
      </c>
      <c r="AQ134" s="176">
        <v>10.715</v>
      </c>
      <c r="AR134" s="176">
        <v>10.739999999999998</v>
      </c>
      <c r="AS134" s="176">
        <v>10.744999999999999</v>
      </c>
      <c r="AT134" s="173" t="str">
        <f t="shared" si="30"/>
        <v/>
      </c>
      <c r="AU134" s="173">
        <v>456</v>
      </c>
      <c r="AW134" s="142" t="s">
        <v>123</v>
      </c>
    </row>
    <row r="135" spans="2:49" s="142" customFormat="1" ht="21" customHeight="1" x14ac:dyDescent="0.25">
      <c r="B135" s="173" t="str">
        <f t="shared" si="26"/>
        <v>0-304/FH-1.15X767</v>
      </c>
      <c r="C135" s="173" t="s">
        <v>3983</v>
      </c>
      <c r="D135" s="173" t="s">
        <v>16</v>
      </c>
      <c r="E135" s="190" t="s">
        <v>3924</v>
      </c>
      <c r="F135" s="190" t="s">
        <v>3982</v>
      </c>
      <c r="G135" s="173">
        <v>304</v>
      </c>
      <c r="H135" s="173" t="s">
        <v>70</v>
      </c>
      <c r="I135" s="174">
        <v>3.45</v>
      </c>
      <c r="J135" s="174">
        <v>1.1499999999999999</v>
      </c>
      <c r="K135" s="174"/>
      <c r="L135" s="174"/>
      <c r="M135" s="191">
        <v>767</v>
      </c>
      <c r="N135" s="176">
        <v>12.275</v>
      </c>
      <c r="O135" s="176">
        <v>12.244999999999999</v>
      </c>
      <c r="P135" s="176"/>
      <c r="Q135" s="178"/>
      <c r="R135" s="179"/>
      <c r="S135" s="179"/>
      <c r="T135" s="177">
        <v>44934</v>
      </c>
      <c r="U135" s="177"/>
      <c r="V135" s="177"/>
      <c r="W135" s="177"/>
      <c r="X135" s="177"/>
      <c r="Y135" s="177"/>
      <c r="Z135" s="177"/>
      <c r="AA135" s="177">
        <v>44931</v>
      </c>
      <c r="AB135" s="177"/>
      <c r="AC135" s="177"/>
      <c r="AD135" s="180" t="s">
        <v>1345</v>
      </c>
      <c r="AE135" s="173" t="s">
        <v>69</v>
      </c>
      <c r="AF135" s="181" t="s">
        <v>142</v>
      </c>
      <c r="AG135" s="192" t="s">
        <v>1508</v>
      </c>
      <c r="AH135" s="198"/>
      <c r="AI135" s="181">
        <v>44849</v>
      </c>
      <c r="AJ135" s="181"/>
      <c r="AK135" s="181">
        <f t="shared" ca="1" si="27"/>
        <v>44958</v>
      </c>
      <c r="AL135" s="173">
        <f t="shared" ca="1" si="28"/>
        <v>109</v>
      </c>
      <c r="AM135" s="173" t="str">
        <f t="shared" si="29"/>
        <v/>
      </c>
      <c r="AN135" s="181"/>
      <c r="AO135" s="190" t="s">
        <v>3926</v>
      </c>
      <c r="AP135" s="176">
        <v>24.335000000000001</v>
      </c>
      <c r="AQ135" s="176">
        <v>24.395</v>
      </c>
      <c r="AR135" s="176">
        <v>24.42</v>
      </c>
      <c r="AS135" s="176">
        <v>24.425000000000001</v>
      </c>
      <c r="AT135" s="173" t="str">
        <f t="shared" si="30"/>
        <v/>
      </c>
      <c r="AU135" s="173">
        <v>456</v>
      </c>
      <c r="AW135" s="142" t="s">
        <v>123</v>
      </c>
    </row>
    <row r="136" spans="2:49" s="142" customFormat="1" ht="21" customHeight="1" x14ac:dyDescent="0.25">
      <c r="B136" s="173" t="str">
        <f t="shared" si="26"/>
        <v>0-304L/1D-3.80X767</v>
      </c>
      <c r="C136" s="173" t="s">
        <v>3984</v>
      </c>
      <c r="D136" s="173" t="s">
        <v>13</v>
      </c>
      <c r="E136" s="190" t="s">
        <v>1519</v>
      </c>
      <c r="F136" s="190" t="s">
        <v>3996</v>
      </c>
      <c r="G136" s="173" t="s">
        <v>182</v>
      </c>
      <c r="H136" s="173" t="s">
        <v>127</v>
      </c>
      <c r="I136" s="174">
        <v>3.8</v>
      </c>
      <c r="J136" s="174"/>
      <c r="K136" s="174"/>
      <c r="L136" s="174"/>
      <c r="M136" s="191">
        <v>767</v>
      </c>
      <c r="N136" s="176">
        <v>12.234999999999999</v>
      </c>
      <c r="O136" s="176">
        <v>12.234999999999999</v>
      </c>
      <c r="P136" s="176"/>
      <c r="Q136" s="178"/>
      <c r="R136" s="179"/>
      <c r="S136" s="179"/>
      <c r="T136" s="177">
        <v>44935</v>
      </c>
      <c r="U136" s="177"/>
      <c r="V136" s="177"/>
      <c r="W136" s="177"/>
      <c r="X136" s="177"/>
      <c r="Y136" s="177"/>
      <c r="Z136" s="177"/>
      <c r="AA136" s="177">
        <v>44934</v>
      </c>
      <c r="AB136" s="177"/>
      <c r="AC136" s="177"/>
      <c r="AD136" s="180" t="s">
        <v>1507</v>
      </c>
      <c r="AE136" s="173" t="s">
        <v>69</v>
      </c>
      <c r="AF136" s="181" t="s">
        <v>142</v>
      </c>
      <c r="AG136" s="192" t="s">
        <v>1508</v>
      </c>
      <c r="AH136" s="198"/>
      <c r="AI136" s="181">
        <v>44849</v>
      </c>
      <c r="AJ136" s="181"/>
      <c r="AK136" s="181">
        <f t="shared" ca="1" si="27"/>
        <v>44958</v>
      </c>
      <c r="AL136" s="173">
        <f t="shared" ca="1" si="28"/>
        <v>109</v>
      </c>
      <c r="AM136" s="173" t="str">
        <f t="shared" si="29"/>
        <v/>
      </c>
      <c r="AN136" s="181"/>
      <c r="AO136" s="190" t="s">
        <v>1521</v>
      </c>
      <c r="AP136" s="176">
        <v>24.605</v>
      </c>
      <c r="AQ136" s="176">
        <v>24.664999999999999</v>
      </c>
      <c r="AR136" s="176">
        <v>24.69</v>
      </c>
      <c r="AS136" s="176">
        <v>24.695</v>
      </c>
      <c r="AT136" s="173" t="str">
        <f t="shared" si="30"/>
        <v/>
      </c>
      <c r="AU136" s="173">
        <v>456</v>
      </c>
      <c r="AW136" s="142" t="s">
        <v>123</v>
      </c>
    </row>
    <row r="137" spans="2:49" s="142" customFormat="1" ht="21" customHeight="1" x14ac:dyDescent="0.25">
      <c r="B137" s="173" t="str">
        <f t="shared" si="26"/>
        <v>0-304/FH-1.15X770</v>
      </c>
      <c r="C137" s="173" t="s">
        <v>3983</v>
      </c>
      <c r="D137" s="173" t="s">
        <v>16</v>
      </c>
      <c r="E137" s="190" t="s">
        <v>2545</v>
      </c>
      <c r="F137" s="190" t="s">
        <v>3985</v>
      </c>
      <c r="G137" s="173">
        <v>304</v>
      </c>
      <c r="H137" s="173" t="s">
        <v>70</v>
      </c>
      <c r="I137" s="174">
        <v>3.39</v>
      </c>
      <c r="J137" s="174">
        <v>1.1499999999999999</v>
      </c>
      <c r="K137" s="174"/>
      <c r="L137" s="174"/>
      <c r="M137" s="191">
        <v>770</v>
      </c>
      <c r="N137" s="176">
        <v>10.555</v>
      </c>
      <c r="O137" s="176">
        <v>10.535</v>
      </c>
      <c r="P137" s="176"/>
      <c r="Q137" s="178"/>
      <c r="R137" s="179"/>
      <c r="S137" s="179"/>
      <c r="T137" s="177">
        <v>44935</v>
      </c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80" t="s">
        <v>1507</v>
      </c>
      <c r="AE137" s="173" t="s">
        <v>69</v>
      </c>
      <c r="AF137" s="181" t="s">
        <v>142</v>
      </c>
      <c r="AG137" s="192" t="s">
        <v>1584</v>
      </c>
      <c r="AH137" s="198"/>
      <c r="AI137" s="181">
        <v>44914</v>
      </c>
      <c r="AJ137" s="181"/>
      <c r="AK137" s="181">
        <f t="shared" ca="1" si="27"/>
        <v>44958</v>
      </c>
      <c r="AL137" s="173">
        <f t="shared" ca="1" si="28"/>
        <v>44</v>
      </c>
      <c r="AM137" s="173" t="str">
        <f t="shared" si="29"/>
        <v/>
      </c>
      <c r="AN137" s="181"/>
      <c r="AO137" s="190" t="s">
        <v>2548</v>
      </c>
      <c r="AP137" s="176">
        <v>10.555</v>
      </c>
      <c r="AQ137" s="176">
        <v>10.565</v>
      </c>
      <c r="AR137" s="176">
        <v>10.589999999999998</v>
      </c>
      <c r="AS137" s="176">
        <v>10.594999999999999</v>
      </c>
      <c r="AT137" s="173" t="str">
        <f t="shared" si="30"/>
        <v/>
      </c>
      <c r="AU137" s="173">
        <v>462</v>
      </c>
      <c r="AW137" s="142" t="s">
        <v>123</v>
      </c>
    </row>
    <row r="138" spans="2:49" s="142" customFormat="1" ht="21" customHeight="1" x14ac:dyDescent="0.25">
      <c r="B138" s="173" t="str">
        <f t="shared" si="26"/>
        <v>0-304L/1D-2.80X771</v>
      </c>
      <c r="C138" s="173" t="s">
        <v>3984</v>
      </c>
      <c r="D138" s="173" t="s">
        <v>13</v>
      </c>
      <c r="E138" s="190" t="s">
        <v>3997</v>
      </c>
      <c r="F138" s="190" t="s">
        <v>3998</v>
      </c>
      <c r="G138" s="173" t="s">
        <v>182</v>
      </c>
      <c r="H138" s="173" t="s">
        <v>127</v>
      </c>
      <c r="I138" s="174">
        <v>2.8</v>
      </c>
      <c r="J138" s="174"/>
      <c r="K138" s="174"/>
      <c r="L138" s="174"/>
      <c r="M138" s="191">
        <v>771</v>
      </c>
      <c r="N138" s="176">
        <v>10.55</v>
      </c>
      <c r="O138" s="176">
        <v>10.55</v>
      </c>
      <c r="P138" s="176"/>
      <c r="Q138" s="178"/>
      <c r="R138" s="179"/>
      <c r="S138" s="179"/>
      <c r="T138" s="177">
        <v>44935</v>
      </c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80" t="s">
        <v>1507</v>
      </c>
      <c r="AE138" s="173" t="s">
        <v>69</v>
      </c>
      <c r="AF138" s="181" t="s">
        <v>142</v>
      </c>
      <c r="AG138" s="192" t="s">
        <v>1584</v>
      </c>
      <c r="AH138" s="198"/>
      <c r="AI138" s="181">
        <v>44914</v>
      </c>
      <c r="AJ138" s="181"/>
      <c r="AK138" s="181">
        <f t="shared" ca="1" si="27"/>
        <v>44958</v>
      </c>
      <c r="AL138" s="173">
        <f t="shared" ca="1" si="28"/>
        <v>44</v>
      </c>
      <c r="AM138" s="173" t="str">
        <f t="shared" si="29"/>
        <v/>
      </c>
      <c r="AN138" s="181"/>
      <c r="AO138" s="190" t="s">
        <v>2723</v>
      </c>
      <c r="AP138" s="176">
        <v>10.55</v>
      </c>
      <c r="AQ138" s="176">
        <v>10.56</v>
      </c>
      <c r="AR138" s="176">
        <v>10.584999999999999</v>
      </c>
      <c r="AS138" s="176">
        <v>10.59</v>
      </c>
      <c r="AT138" s="173" t="str">
        <f t="shared" si="30"/>
        <v/>
      </c>
      <c r="AU138" s="173">
        <v>462</v>
      </c>
      <c r="AW138" s="142" t="s">
        <v>123</v>
      </c>
    </row>
    <row r="139" spans="2:49" s="142" customFormat="1" ht="21" customHeight="1" x14ac:dyDescent="0.25">
      <c r="B139" s="173" t="str">
        <f t="shared" si="26"/>
        <v>0-304/FH-0.40X642</v>
      </c>
      <c r="C139" s="173" t="s">
        <v>3983</v>
      </c>
      <c r="D139" s="173" t="s">
        <v>16</v>
      </c>
      <c r="E139" s="190" t="s">
        <v>1621</v>
      </c>
      <c r="F139" s="190" t="s">
        <v>3990</v>
      </c>
      <c r="G139" s="173">
        <v>304</v>
      </c>
      <c r="H139" s="173" t="s">
        <v>70</v>
      </c>
      <c r="I139" s="174">
        <v>2.4900000000000002</v>
      </c>
      <c r="J139" s="174">
        <v>0.4</v>
      </c>
      <c r="K139" s="174"/>
      <c r="L139" s="174"/>
      <c r="M139" s="191">
        <v>642</v>
      </c>
      <c r="N139" s="176">
        <v>2.31</v>
      </c>
      <c r="O139" s="176">
        <v>2.31</v>
      </c>
      <c r="P139" s="176"/>
      <c r="Q139" s="178"/>
      <c r="R139" s="179"/>
      <c r="S139" s="179"/>
      <c r="T139" s="177">
        <v>44933</v>
      </c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80" t="s">
        <v>1619</v>
      </c>
      <c r="AE139" s="173" t="s">
        <v>69</v>
      </c>
      <c r="AF139" s="181" t="s">
        <v>142</v>
      </c>
      <c r="AG139" s="192" t="s">
        <v>1594</v>
      </c>
      <c r="AH139" s="198"/>
      <c r="AI139" s="181">
        <v>44849</v>
      </c>
      <c r="AJ139" s="181"/>
      <c r="AK139" s="181">
        <f t="shared" ca="1" si="27"/>
        <v>44958</v>
      </c>
      <c r="AL139" s="173">
        <f t="shared" ca="1" si="28"/>
        <v>109</v>
      </c>
      <c r="AM139" s="173" t="str">
        <f t="shared" si="29"/>
        <v/>
      </c>
      <c r="AN139" s="181"/>
      <c r="AO139" s="190" t="s">
        <v>1620</v>
      </c>
      <c r="AP139" s="176">
        <v>10.68</v>
      </c>
      <c r="AQ139" s="176">
        <v>10.69</v>
      </c>
      <c r="AR139" s="176">
        <v>10.714999999999998</v>
      </c>
      <c r="AS139" s="176">
        <v>10.719999999999999</v>
      </c>
      <c r="AT139" s="173" t="str">
        <f t="shared" si="30"/>
        <v/>
      </c>
      <c r="AU139" s="173">
        <v>456</v>
      </c>
      <c r="AW139" s="142" t="s">
        <v>123</v>
      </c>
    </row>
    <row r="140" spans="2:49" s="142" customFormat="1" ht="21" customHeight="1" x14ac:dyDescent="0.25">
      <c r="B140" s="173" t="str">
        <f t="shared" si="26"/>
        <v>0-304L/FH-1.95X767</v>
      </c>
      <c r="C140" s="173" t="s">
        <v>3983</v>
      </c>
      <c r="D140" s="173" t="s">
        <v>16</v>
      </c>
      <c r="E140" s="190" t="s">
        <v>1519</v>
      </c>
      <c r="F140" s="190" t="s">
        <v>3996</v>
      </c>
      <c r="G140" s="173" t="s">
        <v>182</v>
      </c>
      <c r="H140" s="173" t="s">
        <v>70</v>
      </c>
      <c r="I140" s="174">
        <v>3.8</v>
      </c>
      <c r="J140" s="174">
        <v>1.95</v>
      </c>
      <c r="K140" s="174"/>
      <c r="L140" s="174"/>
      <c r="M140" s="191">
        <v>767</v>
      </c>
      <c r="N140" s="176">
        <v>12.234999999999999</v>
      </c>
      <c r="O140" s="176">
        <v>12.225</v>
      </c>
      <c r="P140" s="176"/>
      <c r="Q140" s="178"/>
      <c r="R140" s="179"/>
      <c r="S140" s="179"/>
      <c r="T140" s="177">
        <v>44935</v>
      </c>
      <c r="U140" s="177"/>
      <c r="V140" s="177"/>
      <c r="W140" s="177"/>
      <c r="X140" s="177"/>
      <c r="Y140" s="177"/>
      <c r="Z140" s="177"/>
      <c r="AA140" s="177">
        <v>44934</v>
      </c>
      <c r="AB140" s="177"/>
      <c r="AC140" s="177"/>
      <c r="AD140" s="180" t="s">
        <v>1507</v>
      </c>
      <c r="AE140" s="173" t="s">
        <v>69</v>
      </c>
      <c r="AF140" s="181" t="s">
        <v>142</v>
      </c>
      <c r="AG140" s="192" t="s">
        <v>1508</v>
      </c>
      <c r="AH140" s="198"/>
      <c r="AI140" s="181">
        <v>44849</v>
      </c>
      <c r="AJ140" s="181"/>
      <c r="AK140" s="181">
        <f t="shared" ca="1" si="27"/>
        <v>44958</v>
      </c>
      <c r="AL140" s="173">
        <f t="shared" ca="1" si="28"/>
        <v>109</v>
      </c>
      <c r="AM140" s="173" t="str">
        <f t="shared" si="29"/>
        <v/>
      </c>
      <c r="AN140" s="181"/>
      <c r="AO140" s="190" t="s">
        <v>1521</v>
      </c>
      <c r="AP140" s="176">
        <v>24.605</v>
      </c>
      <c r="AQ140" s="176">
        <v>24.664999999999999</v>
      </c>
      <c r="AR140" s="176">
        <v>24.69</v>
      </c>
      <c r="AS140" s="176">
        <v>24.695</v>
      </c>
      <c r="AT140" s="173" t="str">
        <f t="shared" si="30"/>
        <v/>
      </c>
      <c r="AU140" s="173">
        <v>456</v>
      </c>
      <c r="AW140" s="142" t="s">
        <v>123</v>
      </c>
    </row>
    <row r="141" spans="2:49" s="142" customFormat="1" ht="21" customHeight="1" x14ac:dyDescent="0.25">
      <c r="B141" s="173" t="str">
        <f t="shared" si="26"/>
        <v>0-304L/1D-2.80X773</v>
      </c>
      <c r="C141" s="173" t="s">
        <v>3984</v>
      </c>
      <c r="D141" s="173" t="s">
        <v>13</v>
      </c>
      <c r="E141" s="190" t="s">
        <v>3999</v>
      </c>
      <c r="F141" s="190" t="s">
        <v>4000</v>
      </c>
      <c r="G141" s="173" t="s">
        <v>182</v>
      </c>
      <c r="H141" s="173" t="s">
        <v>127</v>
      </c>
      <c r="I141" s="174">
        <v>2.8</v>
      </c>
      <c r="J141" s="174"/>
      <c r="K141" s="174"/>
      <c r="L141" s="174"/>
      <c r="M141" s="191">
        <v>773</v>
      </c>
      <c r="N141" s="176">
        <v>10.574999999999999</v>
      </c>
      <c r="O141" s="176">
        <v>10.574999999999999</v>
      </c>
      <c r="P141" s="176"/>
      <c r="Q141" s="178"/>
      <c r="R141" s="179"/>
      <c r="S141" s="179"/>
      <c r="T141" s="177">
        <v>44935</v>
      </c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80" t="s">
        <v>1507</v>
      </c>
      <c r="AE141" s="173" t="s">
        <v>69</v>
      </c>
      <c r="AF141" s="181" t="s">
        <v>142</v>
      </c>
      <c r="AG141" s="192" t="s">
        <v>1584</v>
      </c>
      <c r="AH141" s="198"/>
      <c r="AI141" s="181">
        <v>44914</v>
      </c>
      <c r="AJ141" s="181"/>
      <c r="AK141" s="181">
        <f t="shared" ca="1" si="27"/>
        <v>44958</v>
      </c>
      <c r="AL141" s="173">
        <f t="shared" ca="1" si="28"/>
        <v>44</v>
      </c>
      <c r="AM141" s="173" t="str">
        <f t="shared" si="29"/>
        <v/>
      </c>
      <c r="AN141" s="181"/>
      <c r="AO141" s="190" t="s">
        <v>4001</v>
      </c>
      <c r="AP141" s="176">
        <v>10.574999999999999</v>
      </c>
      <c r="AQ141" s="176">
        <v>10.585000000000001</v>
      </c>
      <c r="AR141" s="176">
        <v>10.61</v>
      </c>
      <c r="AS141" s="176">
        <v>10.615</v>
      </c>
      <c r="AT141" s="173" t="str">
        <f t="shared" si="30"/>
        <v/>
      </c>
      <c r="AU141" s="173">
        <v>462</v>
      </c>
      <c r="AW141" s="142" t="s">
        <v>123</v>
      </c>
    </row>
    <row r="142" spans="2:49" s="142" customFormat="1" ht="21" customHeight="1" x14ac:dyDescent="0.25">
      <c r="B142" s="173" t="str">
        <f t="shared" si="26"/>
        <v>0-304L/FH-0.95X771</v>
      </c>
      <c r="C142" s="173" t="s">
        <v>3983</v>
      </c>
      <c r="D142" s="173" t="s">
        <v>16</v>
      </c>
      <c r="E142" s="190" t="s">
        <v>3997</v>
      </c>
      <c r="F142" s="190" t="s">
        <v>3998</v>
      </c>
      <c r="G142" s="173" t="s">
        <v>182</v>
      </c>
      <c r="H142" s="173" t="s">
        <v>70</v>
      </c>
      <c r="I142" s="174">
        <v>2.8</v>
      </c>
      <c r="J142" s="174">
        <v>0.95</v>
      </c>
      <c r="K142" s="174"/>
      <c r="L142" s="174"/>
      <c r="M142" s="191">
        <v>771</v>
      </c>
      <c r="N142" s="176">
        <v>10.55</v>
      </c>
      <c r="O142" s="176">
        <v>10.56</v>
      </c>
      <c r="P142" s="176"/>
      <c r="Q142" s="178"/>
      <c r="R142" s="179"/>
      <c r="S142" s="179"/>
      <c r="T142" s="177">
        <v>44935</v>
      </c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80" t="s">
        <v>1507</v>
      </c>
      <c r="AE142" s="173" t="s">
        <v>69</v>
      </c>
      <c r="AF142" s="181" t="s">
        <v>142</v>
      </c>
      <c r="AG142" s="192" t="s">
        <v>1584</v>
      </c>
      <c r="AH142" s="198"/>
      <c r="AI142" s="181">
        <v>44914</v>
      </c>
      <c r="AJ142" s="181"/>
      <c r="AK142" s="181">
        <f t="shared" ca="1" si="27"/>
        <v>44958</v>
      </c>
      <c r="AL142" s="173">
        <f t="shared" ca="1" si="28"/>
        <v>44</v>
      </c>
      <c r="AM142" s="173" t="str">
        <f t="shared" si="29"/>
        <v/>
      </c>
      <c r="AN142" s="181"/>
      <c r="AO142" s="190" t="s">
        <v>2723</v>
      </c>
      <c r="AP142" s="176">
        <v>10.55</v>
      </c>
      <c r="AQ142" s="176">
        <v>10.56</v>
      </c>
      <c r="AR142" s="176">
        <v>10.584999999999999</v>
      </c>
      <c r="AS142" s="176">
        <v>10.59</v>
      </c>
      <c r="AT142" s="173" t="str">
        <f t="shared" si="30"/>
        <v/>
      </c>
      <c r="AU142" s="173">
        <v>462</v>
      </c>
      <c r="AW142" s="142" t="s">
        <v>123</v>
      </c>
    </row>
    <row r="143" spans="2:49" s="142" customFormat="1" ht="21" customHeight="1" x14ac:dyDescent="0.25">
      <c r="B143" s="173" t="str">
        <f t="shared" si="26"/>
        <v>0-304L/1D-3.44X768</v>
      </c>
      <c r="C143" s="173" t="s">
        <v>3984</v>
      </c>
      <c r="D143" s="173" t="s">
        <v>13</v>
      </c>
      <c r="E143" s="190" t="s">
        <v>4002</v>
      </c>
      <c r="F143" s="190" t="s">
        <v>4003</v>
      </c>
      <c r="G143" s="173" t="s">
        <v>182</v>
      </c>
      <c r="H143" s="173" t="s">
        <v>127</v>
      </c>
      <c r="I143" s="174">
        <v>3.44</v>
      </c>
      <c r="J143" s="174"/>
      <c r="K143" s="174"/>
      <c r="L143" s="174"/>
      <c r="M143" s="191">
        <v>768</v>
      </c>
      <c r="N143" s="176">
        <v>10.39</v>
      </c>
      <c r="O143" s="176">
        <v>10.39</v>
      </c>
      <c r="P143" s="176"/>
      <c r="Q143" s="178"/>
      <c r="R143" s="179"/>
      <c r="S143" s="179"/>
      <c r="T143" s="177">
        <v>44935</v>
      </c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80" t="s">
        <v>1507</v>
      </c>
      <c r="AE143" s="173" t="s">
        <v>69</v>
      </c>
      <c r="AF143" s="181" t="s">
        <v>142</v>
      </c>
      <c r="AG143" s="192" t="s">
        <v>1584</v>
      </c>
      <c r="AH143" s="198"/>
      <c r="AI143" s="181">
        <v>44914</v>
      </c>
      <c r="AJ143" s="181"/>
      <c r="AK143" s="181">
        <f t="shared" ca="1" si="27"/>
        <v>44958</v>
      </c>
      <c r="AL143" s="173">
        <f t="shared" ca="1" si="28"/>
        <v>44</v>
      </c>
      <c r="AM143" s="173" t="str">
        <f t="shared" si="29"/>
        <v/>
      </c>
      <c r="AN143" s="181"/>
      <c r="AO143" s="190" t="s">
        <v>4004</v>
      </c>
      <c r="AP143" s="176">
        <v>10.39</v>
      </c>
      <c r="AQ143" s="176">
        <v>10.4</v>
      </c>
      <c r="AR143" s="176">
        <v>10.424999999999999</v>
      </c>
      <c r="AS143" s="176">
        <v>10.43</v>
      </c>
      <c r="AT143" s="173" t="str">
        <f t="shared" si="30"/>
        <v/>
      </c>
      <c r="AU143" s="173">
        <v>462</v>
      </c>
      <c r="AW143" s="142" t="s">
        <v>123</v>
      </c>
    </row>
    <row r="144" spans="2:49" s="142" customFormat="1" ht="21" customHeight="1" x14ac:dyDescent="0.25">
      <c r="B144" s="173" t="str">
        <f t="shared" si="26"/>
        <v>0-304/FH-0.90X773</v>
      </c>
      <c r="C144" s="173" t="s">
        <v>3983</v>
      </c>
      <c r="D144" s="173" t="s">
        <v>16</v>
      </c>
      <c r="E144" s="190" t="s">
        <v>3987</v>
      </c>
      <c r="F144" s="190" t="s">
        <v>3988</v>
      </c>
      <c r="G144" s="173">
        <v>304</v>
      </c>
      <c r="H144" s="173" t="s">
        <v>70</v>
      </c>
      <c r="I144" s="174">
        <v>2.84</v>
      </c>
      <c r="J144" s="174">
        <v>0.9</v>
      </c>
      <c r="K144" s="174"/>
      <c r="L144" s="174"/>
      <c r="M144" s="191">
        <v>773</v>
      </c>
      <c r="N144" s="176">
        <v>9.8249999999999993</v>
      </c>
      <c r="O144" s="176">
        <v>9.8000000000000007</v>
      </c>
      <c r="P144" s="176"/>
      <c r="Q144" s="178"/>
      <c r="R144" s="179"/>
      <c r="S144" s="179"/>
      <c r="T144" s="177">
        <v>44935</v>
      </c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80" t="s">
        <v>1507</v>
      </c>
      <c r="AE144" s="173" t="s">
        <v>69</v>
      </c>
      <c r="AF144" s="181" t="s">
        <v>142</v>
      </c>
      <c r="AG144" s="192" t="s">
        <v>1584</v>
      </c>
      <c r="AH144" s="198"/>
      <c r="AI144" s="181">
        <v>44914</v>
      </c>
      <c r="AJ144" s="181"/>
      <c r="AK144" s="181">
        <f t="shared" ca="1" si="27"/>
        <v>44958</v>
      </c>
      <c r="AL144" s="173">
        <f t="shared" ca="1" si="28"/>
        <v>44</v>
      </c>
      <c r="AM144" s="173" t="str">
        <f t="shared" si="29"/>
        <v/>
      </c>
      <c r="AN144" s="181"/>
      <c r="AO144" s="190" t="s">
        <v>3989</v>
      </c>
      <c r="AP144" s="176">
        <v>9.8249999999999993</v>
      </c>
      <c r="AQ144" s="176">
        <v>9.8350000000000009</v>
      </c>
      <c r="AR144" s="176">
        <v>9.86</v>
      </c>
      <c r="AS144" s="176">
        <v>9.8650000000000002</v>
      </c>
      <c r="AT144" s="173" t="str">
        <f t="shared" si="30"/>
        <v/>
      </c>
      <c r="AU144" s="173">
        <v>462</v>
      </c>
      <c r="AW144" s="142" t="s">
        <v>123</v>
      </c>
    </row>
    <row r="145" spans="2:49" s="142" customFormat="1" ht="21" customHeight="1" x14ac:dyDescent="0.25">
      <c r="B145" s="173" t="str">
        <f t="shared" si="26"/>
        <v>0-304/1D-3.39X772</v>
      </c>
      <c r="C145" s="173" t="s">
        <v>3984</v>
      </c>
      <c r="D145" s="173" t="s">
        <v>13</v>
      </c>
      <c r="E145" s="190" t="s">
        <v>2549</v>
      </c>
      <c r="F145" s="190" t="s">
        <v>4005</v>
      </c>
      <c r="G145" s="173">
        <v>304</v>
      </c>
      <c r="H145" s="173" t="s">
        <v>127</v>
      </c>
      <c r="I145" s="174">
        <v>3.39</v>
      </c>
      <c r="J145" s="174"/>
      <c r="K145" s="174"/>
      <c r="L145" s="174"/>
      <c r="M145" s="191">
        <v>772</v>
      </c>
      <c r="N145" s="176">
        <v>10.62</v>
      </c>
      <c r="O145" s="176">
        <v>10.62</v>
      </c>
      <c r="P145" s="176"/>
      <c r="Q145" s="178"/>
      <c r="R145" s="179"/>
      <c r="S145" s="179"/>
      <c r="T145" s="177">
        <v>44935</v>
      </c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80" t="s">
        <v>1507</v>
      </c>
      <c r="AE145" s="173" t="s">
        <v>69</v>
      </c>
      <c r="AF145" s="181" t="s">
        <v>142</v>
      </c>
      <c r="AG145" s="192" t="s">
        <v>1584</v>
      </c>
      <c r="AH145" s="198"/>
      <c r="AI145" s="181">
        <v>44914</v>
      </c>
      <c r="AJ145" s="181"/>
      <c r="AK145" s="181">
        <f t="shared" ca="1" si="27"/>
        <v>44958</v>
      </c>
      <c r="AL145" s="173">
        <f t="shared" ca="1" si="28"/>
        <v>44</v>
      </c>
      <c r="AM145" s="173" t="str">
        <f t="shared" si="29"/>
        <v/>
      </c>
      <c r="AN145" s="181"/>
      <c r="AO145" s="190" t="s">
        <v>2548</v>
      </c>
      <c r="AP145" s="176">
        <v>10.62</v>
      </c>
      <c r="AQ145" s="176">
        <v>10.63</v>
      </c>
      <c r="AR145" s="176">
        <v>10.654999999999999</v>
      </c>
      <c r="AS145" s="176">
        <v>10.66</v>
      </c>
      <c r="AT145" s="173" t="str">
        <f t="shared" si="30"/>
        <v/>
      </c>
      <c r="AU145" s="173">
        <v>462</v>
      </c>
      <c r="AW145" s="142" t="s">
        <v>123</v>
      </c>
    </row>
    <row r="146" spans="2:49" s="142" customFormat="1" ht="21" customHeight="1" x14ac:dyDescent="0.25">
      <c r="B146" s="173" t="str">
        <f t="shared" si="26"/>
        <v>0-304L/FH-1.15X768</v>
      </c>
      <c r="C146" s="173" t="s">
        <v>3983</v>
      </c>
      <c r="D146" s="173" t="s">
        <v>16</v>
      </c>
      <c r="E146" s="190" t="s">
        <v>4002</v>
      </c>
      <c r="F146" s="190" t="s">
        <v>4003</v>
      </c>
      <c r="G146" s="173" t="s">
        <v>182</v>
      </c>
      <c r="H146" s="173" t="s">
        <v>70</v>
      </c>
      <c r="I146" s="174">
        <v>3.44</v>
      </c>
      <c r="J146" s="174">
        <v>1.1499999999999999</v>
      </c>
      <c r="K146" s="174"/>
      <c r="L146" s="174"/>
      <c r="M146" s="191">
        <v>768</v>
      </c>
      <c r="N146" s="176">
        <v>10.39</v>
      </c>
      <c r="O146" s="176">
        <v>10.38</v>
      </c>
      <c r="P146" s="176"/>
      <c r="Q146" s="178"/>
      <c r="R146" s="179"/>
      <c r="S146" s="179"/>
      <c r="T146" s="177">
        <v>44935</v>
      </c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80" t="s">
        <v>1507</v>
      </c>
      <c r="AE146" s="173" t="s">
        <v>69</v>
      </c>
      <c r="AF146" s="181" t="s">
        <v>142</v>
      </c>
      <c r="AG146" s="192" t="s">
        <v>1584</v>
      </c>
      <c r="AH146" s="198"/>
      <c r="AI146" s="181">
        <v>44914</v>
      </c>
      <c r="AJ146" s="181"/>
      <c r="AK146" s="181">
        <f t="shared" ca="1" si="27"/>
        <v>44958</v>
      </c>
      <c r="AL146" s="173">
        <f t="shared" ca="1" si="28"/>
        <v>44</v>
      </c>
      <c r="AM146" s="173" t="str">
        <f t="shared" si="29"/>
        <v/>
      </c>
      <c r="AN146" s="181"/>
      <c r="AO146" s="190" t="s">
        <v>4004</v>
      </c>
      <c r="AP146" s="176">
        <v>10.39</v>
      </c>
      <c r="AQ146" s="176">
        <v>10.4</v>
      </c>
      <c r="AR146" s="176">
        <v>10.424999999999999</v>
      </c>
      <c r="AS146" s="176">
        <v>10.43</v>
      </c>
      <c r="AT146" s="173" t="str">
        <f t="shared" si="30"/>
        <v/>
      </c>
      <c r="AU146" s="173">
        <v>462</v>
      </c>
      <c r="AW146" s="142" t="s">
        <v>123</v>
      </c>
    </row>
    <row r="147" spans="2:49" s="142" customFormat="1" ht="21" customHeight="1" x14ac:dyDescent="0.25">
      <c r="B147" s="173" t="str">
        <f t="shared" si="26"/>
        <v>0-304/1D-3.82X772</v>
      </c>
      <c r="C147" s="173" t="s">
        <v>3984</v>
      </c>
      <c r="D147" s="173" t="s">
        <v>13</v>
      </c>
      <c r="E147" s="190" t="s">
        <v>4006</v>
      </c>
      <c r="F147" s="190" t="s">
        <v>4007</v>
      </c>
      <c r="G147" s="173">
        <v>304</v>
      </c>
      <c r="H147" s="173" t="s">
        <v>127</v>
      </c>
      <c r="I147" s="174">
        <v>3.82</v>
      </c>
      <c r="J147" s="174"/>
      <c r="K147" s="174"/>
      <c r="L147" s="174"/>
      <c r="M147" s="191">
        <v>772</v>
      </c>
      <c r="N147" s="176">
        <v>9.1850000000000005</v>
      </c>
      <c r="O147" s="176">
        <v>9.1850000000000005</v>
      </c>
      <c r="P147" s="176"/>
      <c r="Q147" s="178"/>
      <c r="R147" s="179"/>
      <c r="S147" s="179"/>
      <c r="T147" s="177">
        <v>44935</v>
      </c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80" t="s">
        <v>1507</v>
      </c>
      <c r="AE147" s="173" t="s">
        <v>69</v>
      </c>
      <c r="AF147" s="181" t="s">
        <v>142</v>
      </c>
      <c r="AG147" s="192" t="s">
        <v>1584</v>
      </c>
      <c r="AH147" s="198"/>
      <c r="AI147" s="181">
        <v>44914</v>
      </c>
      <c r="AJ147" s="181"/>
      <c r="AK147" s="181">
        <f t="shared" ca="1" si="27"/>
        <v>44958</v>
      </c>
      <c r="AL147" s="173">
        <f t="shared" ca="1" si="28"/>
        <v>44</v>
      </c>
      <c r="AM147" s="173" t="str">
        <f t="shared" si="29"/>
        <v/>
      </c>
      <c r="AN147" s="181"/>
      <c r="AO147" s="190" t="s">
        <v>2601</v>
      </c>
      <c r="AP147" s="176">
        <v>9.1850000000000005</v>
      </c>
      <c r="AQ147" s="176">
        <v>9.1950000000000003</v>
      </c>
      <c r="AR147" s="176">
        <v>9.2199999999999989</v>
      </c>
      <c r="AS147" s="176">
        <v>9.2249999999999996</v>
      </c>
      <c r="AT147" s="173" t="str">
        <f t="shared" si="30"/>
        <v/>
      </c>
      <c r="AU147" s="173">
        <v>462</v>
      </c>
      <c r="AW147" s="142" t="s">
        <v>123</v>
      </c>
    </row>
    <row r="148" spans="2:49" s="142" customFormat="1" ht="21" customHeight="1" x14ac:dyDescent="0.25">
      <c r="B148" s="173" t="str">
        <f t="shared" si="26"/>
        <v>0-304L/FH-1.45X767</v>
      </c>
      <c r="C148" s="173" t="s">
        <v>4008</v>
      </c>
      <c r="D148" s="173" t="s">
        <v>16</v>
      </c>
      <c r="E148" s="190" t="s">
        <v>3975</v>
      </c>
      <c r="F148" s="190" t="s">
        <v>4009</v>
      </c>
      <c r="G148" s="173" t="s">
        <v>182</v>
      </c>
      <c r="H148" s="173" t="s">
        <v>70</v>
      </c>
      <c r="I148" s="174">
        <v>3.8</v>
      </c>
      <c r="J148" s="174">
        <v>1.45</v>
      </c>
      <c r="K148" s="174"/>
      <c r="L148" s="174"/>
      <c r="M148" s="191">
        <v>767</v>
      </c>
      <c r="N148" s="176">
        <v>7.2850000000000001</v>
      </c>
      <c r="O148" s="176">
        <v>7.2850000000000001</v>
      </c>
      <c r="P148" s="176"/>
      <c r="Q148" s="178"/>
      <c r="R148" s="179"/>
      <c r="S148" s="179"/>
      <c r="T148" s="177">
        <v>44934</v>
      </c>
      <c r="U148" s="177"/>
      <c r="V148" s="177"/>
      <c r="W148" s="177"/>
      <c r="X148" s="177"/>
      <c r="Y148" s="177"/>
      <c r="Z148" s="177"/>
      <c r="AA148" s="177">
        <v>44933</v>
      </c>
      <c r="AB148" s="177"/>
      <c r="AC148" s="177"/>
      <c r="AD148" s="180" t="s">
        <v>1507</v>
      </c>
      <c r="AE148" s="173" t="s">
        <v>69</v>
      </c>
      <c r="AF148" s="181" t="s">
        <v>142</v>
      </c>
      <c r="AG148" s="192" t="s">
        <v>1508</v>
      </c>
      <c r="AH148" s="198"/>
      <c r="AI148" s="181">
        <v>44849</v>
      </c>
      <c r="AJ148" s="181"/>
      <c r="AK148" s="181">
        <f t="shared" ca="1" si="27"/>
        <v>44958</v>
      </c>
      <c r="AL148" s="173">
        <f t="shared" ca="1" si="28"/>
        <v>109</v>
      </c>
      <c r="AM148" s="173" t="str">
        <f t="shared" si="29"/>
        <v/>
      </c>
      <c r="AN148" s="181"/>
      <c r="AO148" s="190" t="s">
        <v>3977</v>
      </c>
      <c r="AP148" s="176">
        <v>24.56</v>
      </c>
      <c r="AQ148" s="176">
        <v>24.62</v>
      </c>
      <c r="AR148" s="176">
        <v>24.645000000000003</v>
      </c>
      <c r="AS148" s="176">
        <v>24.650000000000002</v>
      </c>
      <c r="AT148" s="173" t="str">
        <f t="shared" si="30"/>
        <v/>
      </c>
      <c r="AU148" s="173">
        <v>456</v>
      </c>
      <c r="AW148" s="142" t="s">
        <v>123</v>
      </c>
    </row>
    <row r="149" spans="2:49" s="142" customFormat="1" ht="21" customHeight="1" x14ac:dyDescent="0.25">
      <c r="B149" s="173" t="str">
        <f t="shared" si="26"/>
        <v>0-304L/1D-2.90X637</v>
      </c>
      <c r="C149" s="173" t="s">
        <v>4010</v>
      </c>
      <c r="D149" s="173" t="s">
        <v>13</v>
      </c>
      <c r="E149" s="190" t="s">
        <v>4011</v>
      </c>
      <c r="F149" s="190" t="s">
        <v>4012</v>
      </c>
      <c r="G149" s="173" t="s">
        <v>182</v>
      </c>
      <c r="H149" s="173" t="s">
        <v>127</v>
      </c>
      <c r="I149" s="174">
        <v>2.9</v>
      </c>
      <c r="J149" s="174"/>
      <c r="K149" s="174"/>
      <c r="L149" s="174"/>
      <c r="M149" s="191">
        <v>637</v>
      </c>
      <c r="N149" s="176">
        <v>10.455</v>
      </c>
      <c r="O149" s="176">
        <v>10.455</v>
      </c>
      <c r="P149" s="176"/>
      <c r="Q149" s="178"/>
      <c r="R149" s="179"/>
      <c r="S149" s="179"/>
      <c r="T149" s="177">
        <v>44936</v>
      </c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80" t="s">
        <v>2479</v>
      </c>
      <c r="AE149" s="173" t="s">
        <v>69</v>
      </c>
      <c r="AF149" s="181" t="s">
        <v>142</v>
      </c>
      <c r="AG149" s="192" t="s">
        <v>1594</v>
      </c>
      <c r="AH149" s="198"/>
      <c r="AI149" s="181">
        <v>44849</v>
      </c>
      <c r="AJ149" s="181"/>
      <c r="AK149" s="181">
        <f t="shared" ca="1" si="27"/>
        <v>44958</v>
      </c>
      <c r="AL149" s="173">
        <f t="shared" ca="1" si="28"/>
        <v>109</v>
      </c>
      <c r="AM149" s="173" t="str">
        <f t="shared" si="29"/>
        <v/>
      </c>
      <c r="AN149" s="181"/>
      <c r="AO149" s="190" t="s">
        <v>4013</v>
      </c>
      <c r="AP149" s="176">
        <v>10.455</v>
      </c>
      <c r="AQ149" s="176">
        <v>10.465</v>
      </c>
      <c r="AR149" s="176">
        <v>10.489999999999998</v>
      </c>
      <c r="AS149" s="176">
        <v>10.494999999999999</v>
      </c>
      <c r="AT149" s="173" t="str">
        <f t="shared" si="30"/>
        <v/>
      </c>
      <c r="AU149" s="173">
        <v>456</v>
      </c>
      <c r="AW149" s="142" t="s">
        <v>123</v>
      </c>
    </row>
    <row r="150" spans="2:49" s="142" customFormat="1" ht="21" customHeight="1" x14ac:dyDescent="0.25">
      <c r="B150" s="173" t="str">
        <f t="shared" si="26"/>
        <v>0-304L/1D-2.89X639</v>
      </c>
      <c r="C150" s="173" t="s">
        <v>4010</v>
      </c>
      <c r="D150" s="173" t="s">
        <v>13</v>
      </c>
      <c r="E150" s="190" t="s">
        <v>4014</v>
      </c>
      <c r="F150" s="190" t="s">
        <v>4015</v>
      </c>
      <c r="G150" s="173" t="s">
        <v>182</v>
      </c>
      <c r="H150" s="173" t="s">
        <v>127</v>
      </c>
      <c r="I150" s="174">
        <v>2.89</v>
      </c>
      <c r="J150" s="174"/>
      <c r="K150" s="174"/>
      <c r="L150" s="174"/>
      <c r="M150" s="191">
        <v>639</v>
      </c>
      <c r="N150" s="176">
        <v>10.215</v>
      </c>
      <c r="O150" s="176">
        <v>10.215</v>
      </c>
      <c r="P150" s="176"/>
      <c r="Q150" s="178"/>
      <c r="R150" s="179"/>
      <c r="S150" s="179"/>
      <c r="T150" s="177">
        <v>44936</v>
      </c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80" t="s">
        <v>2479</v>
      </c>
      <c r="AE150" s="173" t="s">
        <v>69</v>
      </c>
      <c r="AF150" s="181" t="s">
        <v>142</v>
      </c>
      <c r="AG150" s="192" t="s">
        <v>1657</v>
      </c>
      <c r="AH150" s="198"/>
      <c r="AI150" s="181">
        <v>44849</v>
      </c>
      <c r="AJ150" s="181"/>
      <c r="AK150" s="181">
        <f t="shared" ca="1" si="27"/>
        <v>44958</v>
      </c>
      <c r="AL150" s="173">
        <f t="shared" ca="1" si="28"/>
        <v>109</v>
      </c>
      <c r="AM150" s="173" t="str">
        <f t="shared" si="29"/>
        <v/>
      </c>
      <c r="AN150" s="181"/>
      <c r="AO150" s="190" t="s">
        <v>4016</v>
      </c>
      <c r="AP150" s="176">
        <v>10.215</v>
      </c>
      <c r="AQ150" s="176">
        <v>10.225</v>
      </c>
      <c r="AR150" s="176">
        <v>10.249999999999998</v>
      </c>
      <c r="AS150" s="176">
        <v>10.254999999999999</v>
      </c>
      <c r="AT150" s="173" t="str">
        <f t="shared" si="30"/>
        <v/>
      </c>
      <c r="AU150" s="173">
        <v>456</v>
      </c>
      <c r="AW150" s="142" t="s">
        <v>123</v>
      </c>
    </row>
    <row r="151" spans="2:49" s="142" customFormat="1" ht="21" customHeight="1" x14ac:dyDescent="0.25">
      <c r="B151" s="173" t="str">
        <f t="shared" si="26"/>
        <v>0-304L/1D-3.80X770</v>
      </c>
      <c r="C151" s="173" t="s">
        <v>4017</v>
      </c>
      <c r="D151" s="173" t="s">
        <v>13</v>
      </c>
      <c r="E151" s="190" t="s">
        <v>3975</v>
      </c>
      <c r="F151" s="190" t="s">
        <v>4018</v>
      </c>
      <c r="G151" s="173" t="s">
        <v>182</v>
      </c>
      <c r="H151" s="173" t="s">
        <v>127</v>
      </c>
      <c r="I151" s="174">
        <v>3.8</v>
      </c>
      <c r="J151" s="174"/>
      <c r="K151" s="174"/>
      <c r="L151" s="174"/>
      <c r="M151" s="191">
        <v>770</v>
      </c>
      <c r="N151" s="176">
        <v>12.305</v>
      </c>
      <c r="O151" s="176">
        <v>12.305</v>
      </c>
      <c r="P151" s="176"/>
      <c r="Q151" s="178"/>
      <c r="R151" s="179"/>
      <c r="S151" s="179"/>
      <c r="T151" s="177">
        <v>44936</v>
      </c>
      <c r="U151" s="177"/>
      <c r="V151" s="177"/>
      <c r="W151" s="177"/>
      <c r="X151" s="177"/>
      <c r="Y151" s="177"/>
      <c r="Z151" s="177"/>
      <c r="AA151" s="177">
        <v>44933</v>
      </c>
      <c r="AB151" s="177"/>
      <c r="AC151" s="177"/>
      <c r="AD151" s="180" t="s">
        <v>1507</v>
      </c>
      <c r="AE151" s="173" t="s">
        <v>69</v>
      </c>
      <c r="AF151" s="181" t="s">
        <v>142</v>
      </c>
      <c r="AG151" s="192" t="s">
        <v>1508</v>
      </c>
      <c r="AH151" s="198"/>
      <c r="AI151" s="181">
        <v>44849</v>
      </c>
      <c r="AJ151" s="181"/>
      <c r="AK151" s="181">
        <f t="shared" ca="1" si="27"/>
        <v>44958</v>
      </c>
      <c r="AL151" s="173">
        <f t="shared" ca="1" si="28"/>
        <v>109</v>
      </c>
      <c r="AM151" s="173" t="str">
        <f t="shared" si="29"/>
        <v/>
      </c>
      <c r="AN151" s="181"/>
      <c r="AO151" s="190" t="s">
        <v>3977</v>
      </c>
      <c r="AP151" s="176">
        <v>24.56</v>
      </c>
      <c r="AQ151" s="176">
        <v>24.62</v>
      </c>
      <c r="AR151" s="176">
        <v>24.645000000000003</v>
      </c>
      <c r="AS151" s="176">
        <v>24.650000000000002</v>
      </c>
      <c r="AT151" s="173" t="str">
        <f t="shared" si="30"/>
        <v/>
      </c>
      <c r="AU151" s="173">
        <v>456</v>
      </c>
      <c r="AW151" s="142" t="s">
        <v>123</v>
      </c>
    </row>
    <row r="152" spans="2:49" s="142" customFormat="1" ht="21" customHeight="1" x14ac:dyDescent="0.25">
      <c r="B152" s="173" t="str">
        <f t="shared" si="26"/>
        <v>0-304L/FH-0.30X630</v>
      </c>
      <c r="C152" s="173" t="s">
        <v>4008</v>
      </c>
      <c r="D152" s="173" t="s">
        <v>16</v>
      </c>
      <c r="E152" s="190" t="s">
        <v>3992</v>
      </c>
      <c r="F152" s="190" t="s">
        <v>3993</v>
      </c>
      <c r="G152" s="173" t="s">
        <v>182</v>
      </c>
      <c r="H152" s="173" t="s">
        <v>70</v>
      </c>
      <c r="I152" s="174">
        <v>0.57999999999999996</v>
      </c>
      <c r="J152" s="174">
        <v>0.3</v>
      </c>
      <c r="K152" s="174"/>
      <c r="L152" s="174"/>
      <c r="M152" s="191">
        <v>630</v>
      </c>
      <c r="N152" s="176">
        <v>10.58</v>
      </c>
      <c r="O152" s="176">
        <v>10.57</v>
      </c>
      <c r="P152" s="176"/>
      <c r="Q152" s="178" t="s">
        <v>1344</v>
      </c>
      <c r="R152" s="179"/>
      <c r="S152" s="179" t="s">
        <v>230</v>
      </c>
      <c r="T152" s="177" t="s">
        <v>3994</v>
      </c>
      <c r="U152" s="177"/>
      <c r="V152" s="177"/>
      <c r="W152" s="177">
        <v>44923</v>
      </c>
      <c r="X152" s="177">
        <v>44929</v>
      </c>
      <c r="Y152" s="177"/>
      <c r="Z152" s="177" t="s">
        <v>3969</v>
      </c>
      <c r="AA152" s="177"/>
      <c r="AB152" s="177"/>
      <c r="AC152" s="177"/>
      <c r="AD152" s="180" t="s">
        <v>2479</v>
      </c>
      <c r="AE152" s="173" t="s">
        <v>69</v>
      </c>
      <c r="AF152" s="181" t="s">
        <v>142</v>
      </c>
      <c r="AG152" s="192" t="s">
        <v>1594</v>
      </c>
      <c r="AH152" s="198"/>
      <c r="AI152" s="181">
        <v>44849</v>
      </c>
      <c r="AJ152" s="181"/>
      <c r="AK152" s="181">
        <f t="shared" ca="1" si="27"/>
        <v>44958</v>
      </c>
      <c r="AL152" s="173">
        <f t="shared" ca="1" si="28"/>
        <v>109</v>
      </c>
      <c r="AM152" s="173">
        <f t="shared" ca="1" si="29"/>
        <v>29</v>
      </c>
      <c r="AN152" s="181"/>
      <c r="AO152" s="190" t="s">
        <v>3995</v>
      </c>
      <c r="AP152" s="176">
        <v>10.705</v>
      </c>
      <c r="AQ152" s="176">
        <v>10.715</v>
      </c>
      <c r="AR152" s="176">
        <v>10.739999999999998</v>
      </c>
      <c r="AS152" s="176">
        <v>10.744999999999999</v>
      </c>
      <c r="AT152" s="173" t="str">
        <f t="shared" si="30"/>
        <v/>
      </c>
      <c r="AU152" s="173">
        <v>456</v>
      </c>
      <c r="AW152" s="142" t="s">
        <v>123</v>
      </c>
    </row>
    <row r="153" spans="2:49" s="142" customFormat="1" ht="21" customHeight="1" x14ac:dyDescent="0.25">
      <c r="B153" s="173" t="str">
        <f t="shared" si="26"/>
        <v>0-304L/1D-2.89X638</v>
      </c>
      <c r="C153" s="173" t="s">
        <v>4010</v>
      </c>
      <c r="D153" s="173" t="s">
        <v>13</v>
      </c>
      <c r="E153" s="190" t="s">
        <v>4019</v>
      </c>
      <c r="F153" s="190" t="s">
        <v>4020</v>
      </c>
      <c r="G153" s="173" t="s">
        <v>182</v>
      </c>
      <c r="H153" s="173" t="s">
        <v>127</v>
      </c>
      <c r="I153" s="174">
        <v>2.89</v>
      </c>
      <c r="J153" s="174"/>
      <c r="K153" s="174"/>
      <c r="L153" s="174"/>
      <c r="M153" s="191">
        <v>638</v>
      </c>
      <c r="N153" s="176">
        <v>9.9949999999999992</v>
      </c>
      <c r="O153" s="176">
        <v>9.9949999999999992</v>
      </c>
      <c r="P153" s="176"/>
      <c r="Q153" s="178"/>
      <c r="R153" s="179"/>
      <c r="S153" s="179"/>
      <c r="T153" s="177">
        <v>44936</v>
      </c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80" t="s">
        <v>2479</v>
      </c>
      <c r="AE153" s="173" t="s">
        <v>69</v>
      </c>
      <c r="AF153" s="181" t="s">
        <v>142</v>
      </c>
      <c r="AG153" s="192" t="s">
        <v>1594</v>
      </c>
      <c r="AH153" s="198"/>
      <c r="AI153" s="181">
        <v>44849</v>
      </c>
      <c r="AJ153" s="181"/>
      <c r="AK153" s="181">
        <f t="shared" ca="1" si="27"/>
        <v>44958</v>
      </c>
      <c r="AL153" s="173">
        <f t="shared" ca="1" si="28"/>
        <v>109</v>
      </c>
      <c r="AM153" s="173" t="str">
        <f t="shared" si="29"/>
        <v/>
      </c>
      <c r="AN153" s="181"/>
      <c r="AO153" s="190" t="s">
        <v>4013</v>
      </c>
      <c r="AP153" s="176">
        <v>9.9949999999999992</v>
      </c>
      <c r="AQ153" s="176">
        <v>10.005000000000001</v>
      </c>
      <c r="AR153" s="176">
        <v>10.029999999999999</v>
      </c>
      <c r="AS153" s="176">
        <v>10.035</v>
      </c>
      <c r="AT153" s="173" t="str">
        <f t="shared" si="30"/>
        <v/>
      </c>
      <c r="AU153" s="173">
        <v>456</v>
      </c>
      <c r="AW153" s="142" t="s">
        <v>123</v>
      </c>
    </row>
    <row r="154" spans="2:49" s="142" customFormat="1" ht="21" customHeight="1" x14ac:dyDescent="0.25">
      <c r="B154" s="173" t="str">
        <f t="shared" si="26"/>
        <v>0-304/FH-1.50X772</v>
      </c>
      <c r="C154" s="173" t="s">
        <v>4008</v>
      </c>
      <c r="D154" s="173" t="s">
        <v>16</v>
      </c>
      <c r="E154" s="190" t="s">
        <v>4006</v>
      </c>
      <c r="F154" s="190" t="s">
        <v>4007</v>
      </c>
      <c r="G154" s="173">
        <v>304</v>
      </c>
      <c r="H154" s="173" t="s">
        <v>70</v>
      </c>
      <c r="I154" s="174">
        <v>3.82</v>
      </c>
      <c r="J154" s="174">
        <v>1.5</v>
      </c>
      <c r="K154" s="174"/>
      <c r="L154" s="174"/>
      <c r="M154" s="191">
        <v>772</v>
      </c>
      <c r="N154" s="176">
        <v>9.1850000000000005</v>
      </c>
      <c r="O154" s="176">
        <v>9.1750000000000007</v>
      </c>
      <c r="P154" s="176"/>
      <c r="Q154" s="178"/>
      <c r="R154" s="179"/>
      <c r="S154" s="179"/>
      <c r="T154" s="177">
        <v>44935</v>
      </c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80" t="s">
        <v>1507</v>
      </c>
      <c r="AE154" s="173" t="s">
        <v>69</v>
      </c>
      <c r="AF154" s="181" t="s">
        <v>142</v>
      </c>
      <c r="AG154" s="192" t="s">
        <v>1584</v>
      </c>
      <c r="AH154" s="198"/>
      <c r="AI154" s="181">
        <v>44914</v>
      </c>
      <c r="AJ154" s="181"/>
      <c r="AK154" s="181">
        <f t="shared" ca="1" si="27"/>
        <v>44958</v>
      </c>
      <c r="AL154" s="173">
        <f t="shared" ca="1" si="28"/>
        <v>44</v>
      </c>
      <c r="AM154" s="173" t="str">
        <f t="shared" si="29"/>
        <v/>
      </c>
      <c r="AN154" s="181"/>
      <c r="AO154" s="190" t="s">
        <v>2601</v>
      </c>
      <c r="AP154" s="176">
        <v>9.1850000000000005</v>
      </c>
      <c r="AQ154" s="176">
        <v>9.1950000000000003</v>
      </c>
      <c r="AR154" s="176">
        <v>9.2199999999999989</v>
      </c>
      <c r="AS154" s="176">
        <v>9.2249999999999996</v>
      </c>
      <c r="AT154" s="173" t="str">
        <f t="shared" si="30"/>
        <v/>
      </c>
      <c r="AU154" s="173">
        <v>462</v>
      </c>
      <c r="AW154" s="142" t="s">
        <v>123</v>
      </c>
    </row>
    <row r="155" spans="2:49" s="142" customFormat="1" ht="21" customHeight="1" x14ac:dyDescent="0.25">
      <c r="B155" s="173" t="str">
        <f t="shared" si="26"/>
        <v>0-304/1D-3.76X767</v>
      </c>
      <c r="C155" s="173" t="s">
        <v>4017</v>
      </c>
      <c r="D155" s="173" t="s">
        <v>13</v>
      </c>
      <c r="E155" s="190" t="s">
        <v>1582</v>
      </c>
      <c r="F155" s="190" t="s">
        <v>4021</v>
      </c>
      <c r="G155" s="173">
        <v>304</v>
      </c>
      <c r="H155" s="173" t="s">
        <v>127</v>
      </c>
      <c r="I155" s="174">
        <v>3.76</v>
      </c>
      <c r="J155" s="174"/>
      <c r="K155" s="174"/>
      <c r="L155" s="174"/>
      <c r="M155" s="191">
        <v>767</v>
      </c>
      <c r="N155" s="176">
        <v>10.305</v>
      </c>
      <c r="O155" s="176">
        <v>10.305</v>
      </c>
      <c r="P155" s="176"/>
      <c r="Q155" s="178"/>
      <c r="R155" s="179"/>
      <c r="S155" s="179"/>
      <c r="T155" s="177">
        <v>44936</v>
      </c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80" t="s">
        <v>1507</v>
      </c>
      <c r="AE155" s="173" t="s">
        <v>69</v>
      </c>
      <c r="AF155" s="181" t="s">
        <v>142</v>
      </c>
      <c r="AG155" s="192" t="s">
        <v>1584</v>
      </c>
      <c r="AH155" s="198"/>
      <c r="AI155" s="181">
        <v>44914</v>
      </c>
      <c r="AJ155" s="181"/>
      <c r="AK155" s="181">
        <f t="shared" ca="1" si="27"/>
        <v>44958</v>
      </c>
      <c r="AL155" s="173">
        <f t="shared" ca="1" si="28"/>
        <v>44</v>
      </c>
      <c r="AM155" s="173" t="str">
        <f t="shared" si="29"/>
        <v/>
      </c>
      <c r="AN155" s="181"/>
      <c r="AO155" s="190" t="s">
        <v>1585</v>
      </c>
      <c r="AP155" s="176">
        <v>10.305</v>
      </c>
      <c r="AQ155" s="176">
        <v>10.315</v>
      </c>
      <c r="AR155" s="176">
        <v>10.339999999999998</v>
      </c>
      <c r="AS155" s="176">
        <v>10.344999999999999</v>
      </c>
      <c r="AT155" s="173" t="str">
        <f t="shared" si="30"/>
        <v/>
      </c>
      <c r="AU155" s="173">
        <v>462</v>
      </c>
      <c r="AW155" s="142" t="s">
        <v>123</v>
      </c>
    </row>
    <row r="156" spans="2:49" s="142" customFormat="1" ht="21" customHeight="1" x14ac:dyDescent="0.25">
      <c r="B156" s="173" t="str">
        <f t="shared" ref="B156:B183" si="31">IF(C156="HOLD RM","HOLD RM",IF(C156="BAL","WIP",IF(C156="HOLD SLT","HOLD SLT",IF(C156="MILL","RM",IF(C156="RE SLT","WIP",IF(C156="RM","RM",IF(C156="RM BAL","RM",IF(C156="RM SLT","RM",IF(C156="RR","WIP",IF(C156="SKP","WIP",IF(C156="SLT","WIP",IF(C156="CTL","WIP",IF(C156="RM SLT RUST","RM SLT RUST",0)))))))))))))&amp;"-"&amp;G156&amp;"/"&amp;IF(H156="2B","2B",IF(H156="NO.1","1D",IF(H156="FH","FH",0)))&amp;"-"&amp;IF(J156="",(TEXT(I156,"0.00")),TEXT(J156,"0.00"))&amp;"X"&amp;M156</f>
        <v>0-304L/FH-1.45X770</v>
      </c>
      <c r="C156" s="173" t="s">
        <v>4008</v>
      </c>
      <c r="D156" s="173" t="s">
        <v>16</v>
      </c>
      <c r="E156" s="190" t="s">
        <v>3975</v>
      </c>
      <c r="F156" s="190" t="s">
        <v>4018</v>
      </c>
      <c r="G156" s="173" t="s">
        <v>182</v>
      </c>
      <c r="H156" s="173" t="s">
        <v>70</v>
      </c>
      <c r="I156" s="174">
        <v>3.8</v>
      </c>
      <c r="J156" s="174">
        <v>1.45</v>
      </c>
      <c r="K156" s="174"/>
      <c r="L156" s="174"/>
      <c r="M156" s="191">
        <v>770</v>
      </c>
      <c r="N156" s="176">
        <v>12.305</v>
      </c>
      <c r="O156" s="176">
        <v>12.34</v>
      </c>
      <c r="P156" s="176"/>
      <c r="Q156" s="178"/>
      <c r="R156" s="179"/>
      <c r="S156" s="179"/>
      <c r="T156" s="177">
        <v>44936</v>
      </c>
      <c r="U156" s="177"/>
      <c r="V156" s="177"/>
      <c r="W156" s="177"/>
      <c r="X156" s="177"/>
      <c r="Y156" s="177"/>
      <c r="Z156" s="177"/>
      <c r="AA156" s="177">
        <v>44933</v>
      </c>
      <c r="AB156" s="177"/>
      <c r="AC156" s="177"/>
      <c r="AD156" s="180" t="s">
        <v>1507</v>
      </c>
      <c r="AE156" s="173" t="s">
        <v>69</v>
      </c>
      <c r="AF156" s="181" t="s">
        <v>142</v>
      </c>
      <c r="AG156" s="192" t="s">
        <v>1508</v>
      </c>
      <c r="AH156" s="198"/>
      <c r="AI156" s="181">
        <v>44849</v>
      </c>
      <c r="AJ156" s="181"/>
      <c r="AK156" s="181">
        <f t="shared" ca="1" si="27"/>
        <v>44958</v>
      </c>
      <c r="AL156" s="173">
        <f t="shared" ref="AL156:AL183" ca="1" si="32">IF(AI156&lt;&gt;0,AK156-AI156,0)</f>
        <v>109</v>
      </c>
      <c r="AM156" s="173" t="str">
        <f t="shared" ref="AM156:AM183" si="33">IF(ISNUMBER(X156)=TRUE,AK156-X156,IF(X156="","",(AK156)-(MID(RIGHT(X156,10),4,2)&amp;"/"&amp;LEFT((RIGHT(X156,10)),2)&amp;"/"&amp;RIGHT(X156,4))))</f>
        <v/>
      </c>
      <c r="AN156" s="181"/>
      <c r="AO156" s="190" t="s">
        <v>3977</v>
      </c>
      <c r="AP156" s="176">
        <v>24.56</v>
      </c>
      <c r="AQ156" s="176">
        <v>24.62</v>
      </c>
      <c r="AR156" s="176">
        <v>24.645000000000003</v>
      </c>
      <c r="AS156" s="176">
        <v>24.650000000000002</v>
      </c>
      <c r="AT156" s="173" t="str">
        <f t="shared" si="30"/>
        <v/>
      </c>
      <c r="AU156" s="173">
        <v>456</v>
      </c>
      <c r="AW156" s="142" t="s">
        <v>123</v>
      </c>
    </row>
    <row r="157" spans="2:49" s="142" customFormat="1" ht="21" customHeight="1" x14ac:dyDescent="0.25">
      <c r="B157" s="173" t="str">
        <f t="shared" si="31"/>
        <v>0-304L/1D-3.80X767</v>
      </c>
      <c r="C157" s="173" t="s">
        <v>4017</v>
      </c>
      <c r="D157" s="173" t="s">
        <v>13</v>
      </c>
      <c r="E157" s="190" t="s">
        <v>1522</v>
      </c>
      <c r="F157" s="190" t="s">
        <v>4022</v>
      </c>
      <c r="G157" s="173" t="s">
        <v>182</v>
      </c>
      <c r="H157" s="173" t="s">
        <v>127</v>
      </c>
      <c r="I157" s="174">
        <v>3.8</v>
      </c>
      <c r="J157" s="174"/>
      <c r="K157" s="174"/>
      <c r="L157" s="174"/>
      <c r="M157" s="191">
        <v>767</v>
      </c>
      <c r="N157" s="176">
        <v>12.1</v>
      </c>
      <c r="O157" s="176">
        <v>12.1</v>
      </c>
      <c r="P157" s="176"/>
      <c r="Q157" s="178"/>
      <c r="R157" s="179"/>
      <c r="S157" s="179"/>
      <c r="T157" s="177">
        <v>44936</v>
      </c>
      <c r="U157" s="177"/>
      <c r="V157" s="177"/>
      <c r="W157" s="177"/>
      <c r="X157" s="177"/>
      <c r="Y157" s="177"/>
      <c r="Z157" s="177"/>
      <c r="AA157" s="177">
        <v>44935</v>
      </c>
      <c r="AB157" s="177"/>
      <c r="AC157" s="177"/>
      <c r="AD157" s="180" t="s">
        <v>1507</v>
      </c>
      <c r="AE157" s="173" t="s">
        <v>69</v>
      </c>
      <c r="AF157" s="181" t="s">
        <v>142</v>
      </c>
      <c r="AG157" s="192" t="s">
        <v>1508</v>
      </c>
      <c r="AH157" s="198"/>
      <c r="AI157" s="181">
        <v>44849</v>
      </c>
      <c r="AJ157" s="181"/>
      <c r="AK157" s="181">
        <f t="shared" ca="1" si="27"/>
        <v>44958</v>
      </c>
      <c r="AL157" s="173">
        <f t="shared" ca="1" si="32"/>
        <v>109</v>
      </c>
      <c r="AM157" s="173" t="str">
        <f t="shared" si="33"/>
        <v/>
      </c>
      <c r="AN157" s="181"/>
      <c r="AO157" s="190" t="s">
        <v>1525</v>
      </c>
      <c r="AP157" s="176">
        <v>24.204999999999998</v>
      </c>
      <c r="AQ157" s="176">
        <v>24.265000000000001</v>
      </c>
      <c r="AR157" s="176">
        <v>24.290000000000003</v>
      </c>
      <c r="AS157" s="176">
        <v>24.295000000000002</v>
      </c>
      <c r="AT157" s="173" t="str">
        <f t="shared" si="30"/>
        <v/>
      </c>
      <c r="AU157" s="173">
        <v>456</v>
      </c>
      <c r="AW157" s="142" t="s">
        <v>123</v>
      </c>
    </row>
    <row r="158" spans="2:49" s="142" customFormat="1" ht="21" customHeight="1" x14ac:dyDescent="0.25">
      <c r="B158" s="173" t="str">
        <f t="shared" si="31"/>
        <v>0-304L/FH-0.80X773</v>
      </c>
      <c r="C158" s="173" t="s">
        <v>4008</v>
      </c>
      <c r="D158" s="173" t="s">
        <v>16</v>
      </c>
      <c r="E158" s="190" t="s">
        <v>3999</v>
      </c>
      <c r="F158" s="190" t="s">
        <v>4000</v>
      </c>
      <c r="G158" s="173" t="s">
        <v>182</v>
      </c>
      <c r="H158" s="173" t="s">
        <v>70</v>
      </c>
      <c r="I158" s="174">
        <v>2.8</v>
      </c>
      <c r="J158" s="174">
        <v>0.8</v>
      </c>
      <c r="K158" s="174"/>
      <c r="L158" s="174"/>
      <c r="M158" s="191">
        <v>773</v>
      </c>
      <c r="N158" s="176">
        <v>10.574999999999999</v>
      </c>
      <c r="O158" s="176">
        <v>10.58</v>
      </c>
      <c r="P158" s="176"/>
      <c r="Q158" s="178"/>
      <c r="R158" s="179"/>
      <c r="S158" s="179"/>
      <c r="T158" s="177">
        <v>44935</v>
      </c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80" t="s">
        <v>1507</v>
      </c>
      <c r="AE158" s="173" t="s">
        <v>69</v>
      </c>
      <c r="AF158" s="181" t="s">
        <v>142</v>
      </c>
      <c r="AG158" s="192" t="s">
        <v>1584</v>
      </c>
      <c r="AH158" s="198"/>
      <c r="AI158" s="181">
        <v>44914</v>
      </c>
      <c r="AJ158" s="181"/>
      <c r="AK158" s="181">
        <f t="shared" ca="1" si="27"/>
        <v>44958</v>
      </c>
      <c r="AL158" s="173">
        <f t="shared" ca="1" si="32"/>
        <v>44</v>
      </c>
      <c r="AM158" s="173" t="str">
        <f t="shared" si="33"/>
        <v/>
      </c>
      <c r="AN158" s="181"/>
      <c r="AO158" s="190" t="s">
        <v>4001</v>
      </c>
      <c r="AP158" s="176">
        <v>10.574999999999999</v>
      </c>
      <c r="AQ158" s="176">
        <v>10.585000000000001</v>
      </c>
      <c r="AR158" s="176">
        <v>10.61</v>
      </c>
      <c r="AS158" s="176">
        <v>10.615</v>
      </c>
      <c r="AT158" s="173" t="str">
        <f t="shared" si="30"/>
        <v/>
      </c>
      <c r="AU158" s="173">
        <v>462</v>
      </c>
      <c r="AW158" s="142" t="s">
        <v>123</v>
      </c>
    </row>
    <row r="159" spans="2:49" s="142" customFormat="1" ht="21" customHeight="1" x14ac:dyDescent="0.25">
      <c r="B159" s="173" t="str">
        <f t="shared" si="31"/>
        <v>0-304L/1D-2.81X644</v>
      </c>
      <c r="C159" s="173" t="s">
        <v>4010</v>
      </c>
      <c r="D159" s="173" t="s">
        <v>13</v>
      </c>
      <c r="E159" s="190" t="s">
        <v>4023</v>
      </c>
      <c r="F159" s="190" t="s">
        <v>4024</v>
      </c>
      <c r="G159" s="173" t="s">
        <v>182</v>
      </c>
      <c r="H159" s="173" t="s">
        <v>127</v>
      </c>
      <c r="I159" s="174">
        <v>2.81</v>
      </c>
      <c r="J159" s="174"/>
      <c r="K159" s="174"/>
      <c r="L159" s="174"/>
      <c r="M159" s="191">
        <v>644</v>
      </c>
      <c r="N159" s="176">
        <v>10.67</v>
      </c>
      <c r="O159" s="176">
        <v>10.67</v>
      </c>
      <c r="P159" s="176"/>
      <c r="Q159" s="178"/>
      <c r="R159" s="179"/>
      <c r="S159" s="179"/>
      <c r="T159" s="177">
        <v>44936</v>
      </c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80" t="s">
        <v>2479</v>
      </c>
      <c r="AE159" s="173" t="s">
        <v>69</v>
      </c>
      <c r="AF159" s="181" t="s">
        <v>142</v>
      </c>
      <c r="AG159" s="192" t="s">
        <v>1653</v>
      </c>
      <c r="AH159" s="198"/>
      <c r="AI159" s="181">
        <v>44880</v>
      </c>
      <c r="AJ159" s="181"/>
      <c r="AK159" s="181">
        <f t="shared" ref="AK159:AK228" ca="1" si="34">TODAY()</f>
        <v>44958</v>
      </c>
      <c r="AL159" s="173">
        <f t="shared" ca="1" si="32"/>
        <v>78</v>
      </c>
      <c r="AM159" s="173" t="str">
        <f t="shared" si="33"/>
        <v/>
      </c>
      <c r="AN159" s="181"/>
      <c r="AO159" s="190" t="s">
        <v>2085</v>
      </c>
      <c r="AP159" s="176">
        <v>10.67</v>
      </c>
      <c r="AQ159" s="176">
        <v>10.68</v>
      </c>
      <c r="AR159" s="176">
        <v>10.704999999999998</v>
      </c>
      <c r="AS159" s="176">
        <v>10.709999999999999</v>
      </c>
      <c r="AT159" s="173" t="str">
        <f t="shared" si="30"/>
        <v/>
      </c>
      <c r="AU159" s="173">
        <v>459</v>
      </c>
      <c r="AW159" s="142" t="s">
        <v>123</v>
      </c>
    </row>
    <row r="160" spans="2:49" s="142" customFormat="1" ht="21" customHeight="1" x14ac:dyDescent="0.25">
      <c r="B160" s="173" t="str">
        <f t="shared" si="31"/>
        <v>0-304L/1D-3.80X768</v>
      </c>
      <c r="C160" s="173" t="s">
        <v>4017</v>
      </c>
      <c r="D160" s="173" t="s">
        <v>13</v>
      </c>
      <c r="E160" s="190" t="s">
        <v>4025</v>
      </c>
      <c r="F160" s="190" t="s">
        <v>4026</v>
      </c>
      <c r="G160" s="173" t="s">
        <v>182</v>
      </c>
      <c r="H160" s="173" t="s">
        <v>127</v>
      </c>
      <c r="I160" s="174">
        <v>3.8</v>
      </c>
      <c r="J160" s="174"/>
      <c r="K160" s="174"/>
      <c r="L160" s="174"/>
      <c r="M160" s="191">
        <v>768</v>
      </c>
      <c r="N160" s="176">
        <v>12.324999999999999</v>
      </c>
      <c r="O160" s="176">
        <v>12.324999999999999</v>
      </c>
      <c r="P160" s="176"/>
      <c r="Q160" s="178"/>
      <c r="R160" s="179"/>
      <c r="S160" s="179"/>
      <c r="T160" s="177">
        <v>44936</v>
      </c>
      <c r="U160" s="177"/>
      <c r="V160" s="177"/>
      <c r="W160" s="177"/>
      <c r="X160" s="177"/>
      <c r="Y160" s="177"/>
      <c r="Z160" s="177"/>
      <c r="AA160" s="177">
        <v>44932</v>
      </c>
      <c r="AB160" s="177"/>
      <c r="AC160" s="177"/>
      <c r="AD160" s="180" t="s">
        <v>1507</v>
      </c>
      <c r="AE160" s="173" t="s">
        <v>69</v>
      </c>
      <c r="AF160" s="181" t="s">
        <v>142</v>
      </c>
      <c r="AG160" s="192" t="s">
        <v>1508</v>
      </c>
      <c r="AH160" s="198"/>
      <c r="AI160" s="181">
        <v>44849</v>
      </c>
      <c r="AJ160" s="181"/>
      <c r="AK160" s="181">
        <f t="shared" ca="1" si="34"/>
        <v>44958</v>
      </c>
      <c r="AL160" s="173">
        <f t="shared" ca="1" si="32"/>
        <v>109</v>
      </c>
      <c r="AM160" s="173" t="str">
        <f t="shared" si="33"/>
        <v/>
      </c>
      <c r="AN160" s="181"/>
      <c r="AO160" s="190" t="s">
        <v>4027</v>
      </c>
      <c r="AP160" s="176">
        <v>24.6</v>
      </c>
      <c r="AQ160" s="176">
        <v>24.66</v>
      </c>
      <c r="AR160" s="176">
        <v>24.685000000000002</v>
      </c>
      <c r="AS160" s="176">
        <v>24.69</v>
      </c>
      <c r="AT160" s="173" t="str">
        <f t="shared" si="30"/>
        <v/>
      </c>
      <c r="AU160" s="173">
        <v>456</v>
      </c>
      <c r="AW160" s="142" t="s">
        <v>123</v>
      </c>
    </row>
    <row r="161" spans="2:49" s="142" customFormat="1" ht="21" customHeight="1" x14ac:dyDescent="0.25">
      <c r="B161" s="173" t="str">
        <f t="shared" si="31"/>
        <v>0-304L/FH-0.30X630</v>
      </c>
      <c r="C161" s="173" t="s">
        <v>4028</v>
      </c>
      <c r="D161" s="173" t="s">
        <v>16</v>
      </c>
      <c r="E161" s="190" t="s">
        <v>3966</v>
      </c>
      <c r="F161" s="190" t="s">
        <v>3967</v>
      </c>
      <c r="G161" s="173" t="s">
        <v>182</v>
      </c>
      <c r="H161" s="173" t="s">
        <v>70</v>
      </c>
      <c r="I161" s="174">
        <v>0.57999999999999996</v>
      </c>
      <c r="J161" s="174">
        <v>0.3</v>
      </c>
      <c r="K161" s="174"/>
      <c r="L161" s="174"/>
      <c r="M161" s="191">
        <v>630</v>
      </c>
      <c r="N161" s="176">
        <v>10.555</v>
      </c>
      <c r="O161" s="176">
        <v>10.58</v>
      </c>
      <c r="P161" s="176"/>
      <c r="Q161" s="178" t="s">
        <v>1344</v>
      </c>
      <c r="R161" s="179"/>
      <c r="S161" s="179" t="s">
        <v>230</v>
      </c>
      <c r="T161" s="177" t="s">
        <v>3968</v>
      </c>
      <c r="U161" s="177"/>
      <c r="V161" s="177"/>
      <c r="W161" s="177">
        <v>44922</v>
      </c>
      <c r="X161" s="177">
        <v>44930</v>
      </c>
      <c r="Y161" s="177"/>
      <c r="Z161" s="177" t="s">
        <v>3969</v>
      </c>
      <c r="AA161" s="177"/>
      <c r="AB161" s="177"/>
      <c r="AC161" s="177"/>
      <c r="AD161" s="180" t="s">
        <v>2479</v>
      </c>
      <c r="AE161" s="173" t="s">
        <v>69</v>
      </c>
      <c r="AF161" s="181" t="s">
        <v>142</v>
      </c>
      <c r="AG161" s="192" t="s">
        <v>1594</v>
      </c>
      <c r="AH161" s="198"/>
      <c r="AI161" s="181">
        <v>44849</v>
      </c>
      <c r="AJ161" s="181"/>
      <c r="AK161" s="181">
        <f t="shared" ca="1" si="34"/>
        <v>44958</v>
      </c>
      <c r="AL161" s="173">
        <f t="shared" ca="1" si="32"/>
        <v>109</v>
      </c>
      <c r="AM161" s="173">
        <f t="shared" ca="1" si="33"/>
        <v>28</v>
      </c>
      <c r="AN161" s="181"/>
      <c r="AO161" s="190" t="s">
        <v>3970</v>
      </c>
      <c r="AP161" s="176">
        <v>10.715</v>
      </c>
      <c r="AQ161" s="176">
        <v>10.725</v>
      </c>
      <c r="AR161" s="176">
        <v>10.749999999999998</v>
      </c>
      <c r="AS161" s="176">
        <v>10.754999999999999</v>
      </c>
      <c r="AT161" s="173" t="str">
        <f t="shared" si="30"/>
        <v/>
      </c>
      <c r="AU161" s="173">
        <v>456</v>
      </c>
      <c r="AW161" s="142" t="s">
        <v>123</v>
      </c>
    </row>
    <row r="162" spans="2:49" s="142" customFormat="1" ht="21" customHeight="1" x14ac:dyDescent="0.25">
      <c r="B162" s="173" t="str">
        <f t="shared" si="31"/>
        <v>0-304/1D-2.93X642</v>
      </c>
      <c r="C162" s="173" t="s">
        <v>4029</v>
      </c>
      <c r="D162" s="173" t="s">
        <v>13</v>
      </c>
      <c r="E162" s="190" t="s">
        <v>4030</v>
      </c>
      <c r="F162" s="190" t="s">
        <v>4031</v>
      </c>
      <c r="G162" s="173">
        <v>304</v>
      </c>
      <c r="H162" s="173" t="s">
        <v>127</v>
      </c>
      <c r="I162" s="174">
        <v>2.93</v>
      </c>
      <c r="J162" s="174"/>
      <c r="K162" s="174"/>
      <c r="L162" s="174"/>
      <c r="M162" s="191">
        <v>642</v>
      </c>
      <c r="N162" s="176">
        <v>10.58</v>
      </c>
      <c r="O162" s="176">
        <v>10.58</v>
      </c>
      <c r="P162" s="176"/>
      <c r="Q162" s="178"/>
      <c r="R162" s="179"/>
      <c r="S162" s="179"/>
      <c r="T162" s="177">
        <v>44937</v>
      </c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80" t="s">
        <v>1619</v>
      </c>
      <c r="AE162" s="173" t="s">
        <v>69</v>
      </c>
      <c r="AF162" s="181" t="s">
        <v>142</v>
      </c>
      <c r="AG162" s="192" t="s">
        <v>1594</v>
      </c>
      <c r="AH162" s="198"/>
      <c r="AI162" s="181">
        <v>44849</v>
      </c>
      <c r="AJ162" s="181"/>
      <c r="AK162" s="181">
        <f t="shared" ca="1" si="34"/>
        <v>44958</v>
      </c>
      <c r="AL162" s="173">
        <f t="shared" ca="1" si="32"/>
        <v>109</v>
      </c>
      <c r="AM162" s="173" t="str">
        <f t="shared" si="33"/>
        <v/>
      </c>
      <c r="AN162" s="181"/>
      <c r="AO162" s="190" t="s">
        <v>4032</v>
      </c>
      <c r="AP162" s="176">
        <v>10.58</v>
      </c>
      <c r="AQ162" s="176">
        <v>10.59</v>
      </c>
      <c r="AR162" s="176">
        <v>10.614999999999998</v>
      </c>
      <c r="AS162" s="176">
        <v>10.62</v>
      </c>
      <c r="AT162" s="173" t="str">
        <f t="shared" si="30"/>
        <v/>
      </c>
      <c r="AU162" s="173">
        <v>456</v>
      </c>
      <c r="AW162" s="142" t="s">
        <v>123</v>
      </c>
    </row>
    <row r="163" spans="2:49" s="142" customFormat="1" ht="21" customHeight="1" x14ac:dyDescent="0.25">
      <c r="B163" s="173" t="str">
        <f t="shared" si="31"/>
        <v>0-304/FH-1.20X767</v>
      </c>
      <c r="C163" s="173" t="s">
        <v>4028</v>
      </c>
      <c r="D163" s="173" t="s">
        <v>16</v>
      </c>
      <c r="E163" s="190" t="s">
        <v>1582</v>
      </c>
      <c r="F163" s="190" t="s">
        <v>4021</v>
      </c>
      <c r="G163" s="173">
        <v>304</v>
      </c>
      <c r="H163" s="173" t="s">
        <v>70</v>
      </c>
      <c r="I163" s="174">
        <v>3.76</v>
      </c>
      <c r="J163" s="174">
        <v>1.2</v>
      </c>
      <c r="K163" s="174"/>
      <c r="L163" s="174"/>
      <c r="M163" s="191">
        <v>767</v>
      </c>
      <c r="N163" s="176">
        <v>10.305</v>
      </c>
      <c r="O163" s="176">
        <v>10.32</v>
      </c>
      <c r="P163" s="176"/>
      <c r="Q163" s="178"/>
      <c r="R163" s="179"/>
      <c r="S163" s="179"/>
      <c r="T163" s="177">
        <v>44936</v>
      </c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80" t="s">
        <v>1507</v>
      </c>
      <c r="AE163" s="173" t="s">
        <v>69</v>
      </c>
      <c r="AF163" s="181" t="s">
        <v>142</v>
      </c>
      <c r="AG163" s="192" t="s">
        <v>1584</v>
      </c>
      <c r="AH163" s="198"/>
      <c r="AI163" s="181">
        <v>44914</v>
      </c>
      <c r="AJ163" s="181"/>
      <c r="AK163" s="181">
        <f t="shared" ca="1" si="34"/>
        <v>44958</v>
      </c>
      <c r="AL163" s="173">
        <f t="shared" ca="1" si="32"/>
        <v>44</v>
      </c>
      <c r="AM163" s="173" t="str">
        <f t="shared" si="33"/>
        <v/>
      </c>
      <c r="AN163" s="181"/>
      <c r="AO163" s="190" t="s">
        <v>1585</v>
      </c>
      <c r="AP163" s="176">
        <v>10.305</v>
      </c>
      <c r="AQ163" s="176">
        <v>10.315</v>
      </c>
      <c r="AR163" s="176">
        <v>10.339999999999998</v>
      </c>
      <c r="AS163" s="176">
        <v>10.344999999999999</v>
      </c>
      <c r="AT163" s="173" t="str">
        <f t="shared" si="30"/>
        <v/>
      </c>
      <c r="AU163" s="173">
        <v>462</v>
      </c>
      <c r="AW163" s="142" t="s">
        <v>123</v>
      </c>
    </row>
    <row r="164" spans="2:49" s="142" customFormat="1" ht="21" customHeight="1" x14ac:dyDescent="0.25">
      <c r="B164" s="173" t="str">
        <f t="shared" si="31"/>
        <v>0-304L/1D-3.80X765</v>
      </c>
      <c r="C164" s="173" t="s">
        <v>4033</v>
      </c>
      <c r="D164" s="173" t="s">
        <v>13</v>
      </c>
      <c r="E164" s="190" t="s">
        <v>1576</v>
      </c>
      <c r="F164" s="190" t="s">
        <v>4034</v>
      </c>
      <c r="G164" s="173" t="s">
        <v>182</v>
      </c>
      <c r="H164" s="173" t="s">
        <v>127</v>
      </c>
      <c r="I164" s="174">
        <v>3.79666666666667</v>
      </c>
      <c r="J164" s="174"/>
      <c r="K164" s="174"/>
      <c r="L164" s="174"/>
      <c r="M164" s="191">
        <v>765</v>
      </c>
      <c r="N164" s="176">
        <v>10.33</v>
      </c>
      <c r="O164" s="176">
        <v>10.33</v>
      </c>
      <c r="P164" s="176"/>
      <c r="Q164" s="178"/>
      <c r="R164" s="179"/>
      <c r="S164" s="179"/>
      <c r="T164" s="177">
        <v>44937</v>
      </c>
      <c r="U164" s="177"/>
      <c r="V164" s="177"/>
      <c r="W164" s="177"/>
      <c r="X164" s="177"/>
      <c r="Y164" s="177"/>
      <c r="Z164" s="177"/>
      <c r="AA164" s="177">
        <v>44935</v>
      </c>
      <c r="AB164" s="177"/>
      <c r="AC164" s="177"/>
      <c r="AD164" s="180" t="s">
        <v>1507</v>
      </c>
      <c r="AE164" s="173" t="s">
        <v>69</v>
      </c>
      <c r="AF164" s="181" t="s">
        <v>142</v>
      </c>
      <c r="AG164" s="192" t="s">
        <v>1508</v>
      </c>
      <c r="AH164" s="198"/>
      <c r="AI164" s="181">
        <v>44849</v>
      </c>
      <c r="AJ164" s="181"/>
      <c r="AK164" s="181">
        <f t="shared" ca="1" si="34"/>
        <v>44958</v>
      </c>
      <c r="AL164" s="173">
        <f t="shared" ca="1" si="32"/>
        <v>109</v>
      </c>
      <c r="AM164" s="173" t="str">
        <f t="shared" si="33"/>
        <v/>
      </c>
      <c r="AN164" s="181"/>
      <c r="AO164" s="190" t="s">
        <v>1578</v>
      </c>
      <c r="AP164" s="176">
        <v>20.625</v>
      </c>
      <c r="AQ164" s="176">
        <v>20.684999999999999</v>
      </c>
      <c r="AR164" s="176">
        <v>20.71</v>
      </c>
      <c r="AS164" s="176">
        <v>20.715</v>
      </c>
      <c r="AT164" s="173" t="str">
        <f t="shared" si="30"/>
        <v/>
      </c>
      <c r="AU164" s="173">
        <v>456</v>
      </c>
      <c r="AW164" s="142" t="s">
        <v>123</v>
      </c>
    </row>
    <row r="165" spans="2:49" s="142" customFormat="1" ht="21" customHeight="1" x14ac:dyDescent="0.25">
      <c r="B165" s="173" t="str">
        <f t="shared" si="31"/>
        <v>0-304/FH-1.15X772</v>
      </c>
      <c r="C165" s="173" t="s">
        <v>4028</v>
      </c>
      <c r="D165" s="173" t="s">
        <v>16</v>
      </c>
      <c r="E165" s="190" t="s">
        <v>2549</v>
      </c>
      <c r="F165" s="190" t="s">
        <v>4005</v>
      </c>
      <c r="G165" s="173">
        <v>304</v>
      </c>
      <c r="H165" s="173" t="s">
        <v>70</v>
      </c>
      <c r="I165" s="174">
        <v>3.39</v>
      </c>
      <c r="J165" s="174">
        <v>1.1499999999999999</v>
      </c>
      <c r="K165" s="174"/>
      <c r="L165" s="174"/>
      <c r="M165" s="191">
        <v>772</v>
      </c>
      <c r="N165" s="176">
        <v>10.62</v>
      </c>
      <c r="O165" s="176">
        <v>10.64</v>
      </c>
      <c r="P165" s="176"/>
      <c r="Q165" s="178"/>
      <c r="R165" s="179"/>
      <c r="S165" s="179"/>
      <c r="T165" s="177">
        <v>44935</v>
      </c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80" t="s">
        <v>1507</v>
      </c>
      <c r="AE165" s="173" t="s">
        <v>69</v>
      </c>
      <c r="AF165" s="181" t="s">
        <v>142</v>
      </c>
      <c r="AG165" s="192" t="s">
        <v>1584</v>
      </c>
      <c r="AH165" s="198"/>
      <c r="AI165" s="181">
        <v>44914</v>
      </c>
      <c r="AJ165" s="181"/>
      <c r="AK165" s="181">
        <f t="shared" ca="1" si="34"/>
        <v>44958</v>
      </c>
      <c r="AL165" s="173">
        <f t="shared" ca="1" si="32"/>
        <v>44</v>
      </c>
      <c r="AM165" s="173" t="str">
        <f t="shared" si="33"/>
        <v/>
      </c>
      <c r="AN165" s="181"/>
      <c r="AO165" s="190" t="s">
        <v>2548</v>
      </c>
      <c r="AP165" s="176">
        <v>10.62</v>
      </c>
      <c r="AQ165" s="176">
        <v>10.63</v>
      </c>
      <c r="AR165" s="176">
        <v>10.654999999999999</v>
      </c>
      <c r="AS165" s="176">
        <v>10.66</v>
      </c>
      <c r="AT165" s="173" t="str">
        <f t="shared" si="30"/>
        <v/>
      </c>
      <c r="AU165" s="173">
        <v>462</v>
      </c>
      <c r="AW165" s="142" t="s">
        <v>123</v>
      </c>
    </row>
    <row r="166" spans="2:49" s="142" customFormat="1" ht="21" customHeight="1" x14ac:dyDescent="0.25">
      <c r="B166" s="173" t="str">
        <f t="shared" si="31"/>
        <v>0-304L/1D-2.88X642</v>
      </c>
      <c r="C166" s="173" t="s">
        <v>4029</v>
      </c>
      <c r="D166" s="173" t="s">
        <v>13</v>
      </c>
      <c r="E166" s="190" t="s">
        <v>4035</v>
      </c>
      <c r="F166" s="190" t="s">
        <v>4036</v>
      </c>
      <c r="G166" s="173" t="s">
        <v>182</v>
      </c>
      <c r="H166" s="173" t="s">
        <v>127</v>
      </c>
      <c r="I166" s="174">
        <v>2.88</v>
      </c>
      <c r="J166" s="174"/>
      <c r="K166" s="174"/>
      <c r="L166" s="174"/>
      <c r="M166" s="191">
        <v>642</v>
      </c>
      <c r="N166" s="176">
        <v>8.81</v>
      </c>
      <c r="O166" s="176">
        <v>8.81</v>
      </c>
      <c r="P166" s="176"/>
      <c r="Q166" s="178"/>
      <c r="R166" s="179"/>
      <c r="S166" s="179"/>
      <c r="T166" s="177">
        <v>44937</v>
      </c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80" t="s">
        <v>2479</v>
      </c>
      <c r="AE166" s="173" t="s">
        <v>69</v>
      </c>
      <c r="AF166" s="181" t="s">
        <v>142</v>
      </c>
      <c r="AG166" s="192" t="s">
        <v>1657</v>
      </c>
      <c r="AH166" s="198"/>
      <c r="AI166" s="181">
        <v>44849</v>
      </c>
      <c r="AJ166" s="181"/>
      <c r="AK166" s="181">
        <f t="shared" ca="1" si="34"/>
        <v>44958</v>
      </c>
      <c r="AL166" s="173">
        <f t="shared" ca="1" si="32"/>
        <v>109</v>
      </c>
      <c r="AM166" s="173" t="str">
        <f t="shared" si="33"/>
        <v/>
      </c>
      <c r="AN166" s="181"/>
      <c r="AO166" s="190" t="s">
        <v>4037</v>
      </c>
      <c r="AP166" s="176">
        <v>8.81</v>
      </c>
      <c r="AQ166" s="176">
        <v>8.82</v>
      </c>
      <c r="AR166" s="176">
        <v>8.8449999999999989</v>
      </c>
      <c r="AS166" s="176">
        <v>8.85</v>
      </c>
      <c r="AT166" s="173" t="str">
        <f t="shared" si="30"/>
        <v/>
      </c>
      <c r="AU166" s="173">
        <v>456</v>
      </c>
      <c r="AW166" s="142" t="s">
        <v>123</v>
      </c>
    </row>
    <row r="167" spans="2:49" s="142" customFormat="1" ht="21" customHeight="1" x14ac:dyDescent="0.25">
      <c r="B167" s="173" t="str">
        <f t="shared" si="31"/>
        <v>0-304/1D-3.77X763</v>
      </c>
      <c r="C167" s="173" t="s">
        <v>4038</v>
      </c>
      <c r="D167" s="173" t="s">
        <v>13</v>
      </c>
      <c r="E167" s="190" t="s">
        <v>4039</v>
      </c>
      <c r="F167" s="190" t="s">
        <v>4040</v>
      </c>
      <c r="G167" s="173">
        <v>304</v>
      </c>
      <c r="H167" s="173" t="s">
        <v>127</v>
      </c>
      <c r="I167" s="174">
        <v>3.77</v>
      </c>
      <c r="J167" s="174"/>
      <c r="K167" s="174"/>
      <c r="L167" s="174"/>
      <c r="M167" s="191">
        <v>763</v>
      </c>
      <c r="N167" s="176">
        <v>10.31</v>
      </c>
      <c r="O167" s="176">
        <v>10.31</v>
      </c>
      <c r="P167" s="176"/>
      <c r="Q167" s="178"/>
      <c r="R167" s="179"/>
      <c r="S167" s="179"/>
      <c r="T167" s="177">
        <v>44937</v>
      </c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80" t="s">
        <v>1507</v>
      </c>
      <c r="AE167" s="173" t="s">
        <v>69</v>
      </c>
      <c r="AF167" s="181" t="s">
        <v>142</v>
      </c>
      <c r="AG167" s="192" t="s">
        <v>1584</v>
      </c>
      <c r="AH167" s="198"/>
      <c r="AI167" s="181">
        <v>44914</v>
      </c>
      <c r="AJ167" s="181"/>
      <c r="AK167" s="181">
        <f t="shared" ca="1" si="34"/>
        <v>44958</v>
      </c>
      <c r="AL167" s="173">
        <f t="shared" ca="1" si="32"/>
        <v>44</v>
      </c>
      <c r="AM167" s="173" t="str">
        <f t="shared" si="33"/>
        <v/>
      </c>
      <c r="AN167" s="181"/>
      <c r="AO167" s="190" t="s">
        <v>4041</v>
      </c>
      <c r="AP167" s="176">
        <v>10.31</v>
      </c>
      <c r="AQ167" s="176">
        <v>10.32</v>
      </c>
      <c r="AR167" s="176">
        <v>10.344999999999999</v>
      </c>
      <c r="AS167" s="176">
        <v>10.35</v>
      </c>
      <c r="AT167" s="173" t="str">
        <f t="shared" si="30"/>
        <v/>
      </c>
      <c r="AU167" s="173">
        <v>462</v>
      </c>
      <c r="AW167" s="142" t="s">
        <v>123</v>
      </c>
    </row>
    <row r="168" spans="2:49" s="142" customFormat="1" ht="21" customHeight="1" x14ac:dyDescent="0.25">
      <c r="B168" s="173" t="str">
        <f t="shared" si="31"/>
        <v>0-304L/FH-2.00X768</v>
      </c>
      <c r="C168" s="173" t="s">
        <v>4028</v>
      </c>
      <c r="D168" s="173" t="s">
        <v>16</v>
      </c>
      <c r="E168" s="190" t="s">
        <v>4025</v>
      </c>
      <c r="F168" s="190" t="s">
        <v>4026</v>
      </c>
      <c r="G168" s="173" t="s">
        <v>182</v>
      </c>
      <c r="H168" s="173" t="s">
        <v>70</v>
      </c>
      <c r="I168" s="174">
        <v>3.8</v>
      </c>
      <c r="J168" s="174">
        <v>2</v>
      </c>
      <c r="K168" s="174"/>
      <c r="L168" s="174"/>
      <c r="M168" s="191">
        <v>768</v>
      </c>
      <c r="N168" s="176">
        <v>12.324999999999999</v>
      </c>
      <c r="O168" s="176">
        <v>12.32</v>
      </c>
      <c r="P168" s="176"/>
      <c r="Q168" s="178"/>
      <c r="R168" s="179"/>
      <c r="S168" s="179"/>
      <c r="T168" s="177">
        <v>44936</v>
      </c>
      <c r="U168" s="177"/>
      <c r="V168" s="177"/>
      <c r="W168" s="177"/>
      <c r="X168" s="177"/>
      <c r="Y168" s="177"/>
      <c r="Z168" s="177"/>
      <c r="AA168" s="177">
        <v>44932</v>
      </c>
      <c r="AB168" s="177"/>
      <c r="AC168" s="177"/>
      <c r="AD168" s="180" t="s">
        <v>1507</v>
      </c>
      <c r="AE168" s="173" t="s">
        <v>69</v>
      </c>
      <c r="AF168" s="181" t="s">
        <v>142</v>
      </c>
      <c r="AG168" s="192" t="s">
        <v>1508</v>
      </c>
      <c r="AH168" s="198"/>
      <c r="AI168" s="181">
        <v>44849</v>
      </c>
      <c r="AJ168" s="181"/>
      <c r="AK168" s="181">
        <f t="shared" ca="1" si="34"/>
        <v>44958</v>
      </c>
      <c r="AL168" s="173">
        <f t="shared" ca="1" si="32"/>
        <v>109</v>
      </c>
      <c r="AM168" s="173" t="str">
        <f t="shared" si="33"/>
        <v/>
      </c>
      <c r="AN168" s="181"/>
      <c r="AO168" s="190" t="s">
        <v>4027</v>
      </c>
      <c r="AP168" s="176">
        <v>24.6</v>
      </c>
      <c r="AQ168" s="176">
        <v>24.66</v>
      </c>
      <c r="AR168" s="176">
        <v>24.685000000000002</v>
      </c>
      <c r="AS168" s="176">
        <v>24.69</v>
      </c>
      <c r="AT168" s="173" t="str">
        <f t="shared" si="30"/>
        <v/>
      </c>
      <c r="AU168" s="173">
        <v>456</v>
      </c>
      <c r="AW168" s="142" t="s">
        <v>123</v>
      </c>
    </row>
    <row r="169" spans="2:49" s="142" customFormat="1" ht="21" customHeight="1" x14ac:dyDescent="0.25">
      <c r="B169" s="173" t="str">
        <f>IF(C169="HOLD RM","HOLD RM",IF(C169="BAL","WIP",IF(C169="HOLD SLT","HOLD SLT",IF(C169="MILL","RM",IF(C169="RE SLT","WIP",IF(C169="RM","RM",IF(C169="RM BAL","RM",IF(C169="RM SLT","RM",IF(C169="RR","WIP",IF(C169="SKP","WIP",IF(C169="SLT","WIP",IF(C169="CTL","WIP",IF(C169="RM SLT RUST","RM SLT RUST",0)))))))))))))&amp;"-"&amp;G169&amp;"/"&amp;IF(H169="2B","2B",IF(H169="NO.1","1D",IF(H169="FH","FH",0)))&amp;"-"&amp;IF(J169="",(TEXT(I169,"0.00")),TEXT(J169,"0.00"))&amp;"X"&amp;M169</f>
        <v>0-304L/1D-3.79X767</v>
      </c>
      <c r="C169" s="173" t="s">
        <v>4038</v>
      </c>
      <c r="D169" s="173" t="s">
        <v>13</v>
      </c>
      <c r="E169" s="190" t="s">
        <v>4042</v>
      </c>
      <c r="F169" s="190" t="s">
        <v>4043</v>
      </c>
      <c r="G169" s="173" t="s">
        <v>182</v>
      </c>
      <c r="H169" s="173" t="s">
        <v>127</v>
      </c>
      <c r="I169" s="174">
        <v>3.79</v>
      </c>
      <c r="J169" s="174"/>
      <c r="K169" s="174"/>
      <c r="L169" s="174"/>
      <c r="M169" s="191">
        <v>767</v>
      </c>
      <c r="N169" s="176">
        <v>12.19</v>
      </c>
      <c r="O169" s="176">
        <v>12.19</v>
      </c>
      <c r="P169" s="176"/>
      <c r="Q169" s="178"/>
      <c r="R169" s="179"/>
      <c r="S169" s="179"/>
      <c r="T169" s="177">
        <v>44937</v>
      </c>
      <c r="U169" s="177"/>
      <c r="V169" s="177"/>
      <c r="W169" s="177"/>
      <c r="X169" s="177"/>
      <c r="Y169" s="177"/>
      <c r="Z169" s="177"/>
      <c r="AA169" s="177">
        <v>44933</v>
      </c>
      <c r="AB169" s="177"/>
      <c r="AC169" s="177"/>
      <c r="AD169" s="180" t="s">
        <v>1507</v>
      </c>
      <c r="AE169" s="173" t="s">
        <v>69</v>
      </c>
      <c r="AF169" s="181" t="s">
        <v>142</v>
      </c>
      <c r="AG169" s="192" t="s">
        <v>1508</v>
      </c>
      <c r="AH169" s="198"/>
      <c r="AI169" s="181">
        <v>44849</v>
      </c>
      <c r="AJ169" s="181"/>
      <c r="AK169" s="181">
        <f t="shared" ca="1" si="34"/>
        <v>44958</v>
      </c>
      <c r="AL169" s="173">
        <f ca="1">IF(AI169&lt;&gt;0,AK169-AI169,0)</f>
        <v>109</v>
      </c>
      <c r="AM169" s="173" t="str">
        <f>IF(ISNUMBER(X169)=TRUE,AK169-X169,IF(X169="","",(AK169)-(MID(RIGHT(X169,10),4,2)&amp;"/"&amp;LEFT((RIGHT(X169,10)),2)&amp;"/"&amp;RIGHT(X169,4))))</f>
        <v/>
      </c>
      <c r="AN169" s="181"/>
      <c r="AO169" s="190" t="s">
        <v>4044</v>
      </c>
      <c r="AP169" s="176">
        <v>24.504999999999999</v>
      </c>
      <c r="AQ169" s="176">
        <v>24.565000000000001</v>
      </c>
      <c r="AR169" s="176">
        <v>24.590000000000003</v>
      </c>
      <c r="AS169" s="176">
        <v>24.595000000000002</v>
      </c>
      <c r="AT169" s="173" t="str">
        <f t="shared" si="30"/>
        <v/>
      </c>
      <c r="AU169" s="173">
        <v>456</v>
      </c>
      <c r="AW169" s="142" t="s">
        <v>123</v>
      </c>
    </row>
    <row r="170" spans="2:49" s="142" customFormat="1" ht="21" customHeight="1" x14ac:dyDescent="0.25">
      <c r="B170" s="173" t="str">
        <f t="shared" si="31"/>
        <v>0-304L/1D-2.95X642</v>
      </c>
      <c r="C170" s="173" t="s">
        <v>4038</v>
      </c>
      <c r="D170" s="173" t="s">
        <v>13</v>
      </c>
      <c r="E170" s="190" t="s">
        <v>4045</v>
      </c>
      <c r="F170" s="190" t="s">
        <v>4046</v>
      </c>
      <c r="G170" s="173" t="s">
        <v>182</v>
      </c>
      <c r="H170" s="173" t="s">
        <v>127</v>
      </c>
      <c r="I170" s="174">
        <v>2.95</v>
      </c>
      <c r="J170" s="174"/>
      <c r="K170" s="174"/>
      <c r="L170" s="174"/>
      <c r="M170" s="191">
        <v>642</v>
      </c>
      <c r="N170" s="176">
        <v>10.035</v>
      </c>
      <c r="O170" s="176">
        <v>10.035</v>
      </c>
      <c r="P170" s="176"/>
      <c r="Q170" s="178"/>
      <c r="R170" s="179"/>
      <c r="S170" s="179"/>
      <c r="T170" s="177">
        <v>44937</v>
      </c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80" t="s">
        <v>1619</v>
      </c>
      <c r="AE170" s="173" t="s">
        <v>69</v>
      </c>
      <c r="AF170" s="181" t="s">
        <v>142</v>
      </c>
      <c r="AG170" s="192" t="s">
        <v>1657</v>
      </c>
      <c r="AH170" s="198"/>
      <c r="AI170" s="181">
        <v>44849</v>
      </c>
      <c r="AJ170" s="181"/>
      <c r="AK170" s="181">
        <f t="shared" ca="1" si="34"/>
        <v>44958</v>
      </c>
      <c r="AL170" s="173">
        <f t="shared" ca="1" si="32"/>
        <v>109</v>
      </c>
      <c r="AM170" s="173" t="str">
        <f t="shared" si="33"/>
        <v/>
      </c>
      <c r="AN170" s="181"/>
      <c r="AO170" s="190" t="s">
        <v>1737</v>
      </c>
      <c r="AP170" s="176">
        <v>10.035</v>
      </c>
      <c r="AQ170" s="176">
        <v>10.045</v>
      </c>
      <c r="AR170" s="176">
        <v>10.069999999999999</v>
      </c>
      <c r="AS170" s="176">
        <v>10.074999999999999</v>
      </c>
      <c r="AT170" s="173" t="str">
        <f t="shared" si="30"/>
        <v/>
      </c>
      <c r="AU170" s="173">
        <v>456</v>
      </c>
      <c r="AW170" s="142" t="s">
        <v>123</v>
      </c>
    </row>
    <row r="171" spans="2:49" s="142" customFormat="1" ht="21" customHeight="1" x14ac:dyDescent="0.25">
      <c r="B171" s="173" t="str">
        <f t="shared" si="31"/>
        <v>0-304L/1D-3.78X768</v>
      </c>
      <c r="C171" s="173" t="s">
        <v>4038</v>
      </c>
      <c r="D171" s="173" t="s">
        <v>13</v>
      </c>
      <c r="E171" s="190" t="s">
        <v>1558</v>
      </c>
      <c r="F171" s="190" t="s">
        <v>4047</v>
      </c>
      <c r="G171" s="173" t="s">
        <v>182</v>
      </c>
      <c r="H171" s="173" t="s">
        <v>127</v>
      </c>
      <c r="I171" s="174">
        <v>3.78</v>
      </c>
      <c r="J171" s="174"/>
      <c r="K171" s="174"/>
      <c r="L171" s="174"/>
      <c r="M171" s="191">
        <v>768</v>
      </c>
      <c r="N171" s="176">
        <v>12.295</v>
      </c>
      <c r="O171" s="176">
        <v>12.295</v>
      </c>
      <c r="P171" s="176"/>
      <c r="Q171" s="178"/>
      <c r="R171" s="179"/>
      <c r="S171" s="179"/>
      <c r="T171" s="177">
        <v>44937</v>
      </c>
      <c r="U171" s="177"/>
      <c r="V171" s="177"/>
      <c r="W171" s="177"/>
      <c r="X171" s="177"/>
      <c r="Y171" s="177"/>
      <c r="Z171" s="177"/>
      <c r="AA171" s="177">
        <v>44934</v>
      </c>
      <c r="AB171" s="177"/>
      <c r="AC171" s="177"/>
      <c r="AD171" s="180" t="s">
        <v>1507</v>
      </c>
      <c r="AE171" s="173" t="s">
        <v>69</v>
      </c>
      <c r="AF171" s="181" t="s">
        <v>142</v>
      </c>
      <c r="AG171" s="192" t="s">
        <v>1508</v>
      </c>
      <c r="AH171" s="198"/>
      <c r="AI171" s="181">
        <v>44849</v>
      </c>
      <c r="AJ171" s="181"/>
      <c r="AK171" s="181">
        <f t="shared" ca="1" si="34"/>
        <v>44958</v>
      </c>
      <c r="AL171" s="173">
        <f t="shared" ca="1" si="32"/>
        <v>109</v>
      </c>
      <c r="AM171" s="173" t="str">
        <f t="shared" si="33"/>
        <v/>
      </c>
      <c r="AN171" s="181"/>
      <c r="AO171" s="190" t="s">
        <v>1560</v>
      </c>
      <c r="AP171" s="176">
        <v>24.535</v>
      </c>
      <c r="AQ171" s="176">
        <v>24.594999999999999</v>
      </c>
      <c r="AR171" s="176">
        <v>24.62</v>
      </c>
      <c r="AS171" s="176">
        <v>24.625</v>
      </c>
      <c r="AT171" s="173" t="str">
        <f t="shared" si="30"/>
        <v/>
      </c>
      <c r="AU171" s="173">
        <v>456</v>
      </c>
      <c r="AW171" s="142" t="s">
        <v>123</v>
      </c>
    </row>
    <row r="172" spans="2:49" s="142" customFormat="1" ht="21" customHeight="1" x14ac:dyDescent="0.25">
      <c r="B172" s="173" t="str">
        <f t="shared" si="31"/>
        <v>0-304/1D-3.77X765</v>
      </c>
      <c r="C172" s="173" t="s">
        <v>4038</v>
      </c>
      <c r="D172" s="173" t="s">
        <v>13</v>
      </c>
      <c r="E172" s="190" t="s">
        <v>2349</v>
      </c>
      <c r="F172" s="190" t="s">
        <v>2350</v>
      </c>
      <c r="G172" s="173">
        <v>304</v>
      </c>
      <c r="H172" s="173" t="s">
        <v>127</v>
      </c>
      <c r="I172" s="174">
        <v>3.77</v>
      </c>
      <c r="J172" s="174"/>
      <c r="K172" s="174"/>
      <c r="L172" s="174"/>
      <c r="M172" s="191">
        <v>765</v>
      </c>
      <c r="N172" s="176">
        <v>10.425000000000001</v>
      </c>
      <c r="O172" s="176">
        <v>10.425000000000001</v>
      </c>
      <c r="P172" s="176"/>
      <c r="Q172" s="178"/>
      <c r="R172" s="179"/>
      <c r="S172" s="179"/>
      <c r="T172" s="177">
        <v>44937</v>
      </c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80" t="s">
        <v>1345</v>
      </c>
      <c r="AE172" s="173" t="s">
        <v>69</v>
      </c>
      <c r="AF172" s="181" t="s">
        <v>142</v>
      </c>
      <c r="AG172" s="192" t="s">
        <v>2283</v>
      </c>
      <c r="AH172" s="198"/>
      <c r="AI172" s="181">
        <v>44880</v>
      </c>
      <c r="AJ172" s="181"/>
      <c r="AK172" s="181">
        <f t="shared" ca="1" si="34"/>
        <v>44958</v>
      </c>
      <c r="AL172" s="173">
        <f t="shared" ca="1" si="32"/>
        <v>78</v>
      </c>
      <c r="AM172" s="173" t="str">
        <f t="shared" si="33"/>
        <v/>
      </c>
      <c r="AN172" s="181"/>
      <c r="AO172" s="190" t="s">
        <v>2351</v>
      </c>
      <c r="AP172" s="176">
        <v>10.425000000000001</v>
      </c>
      <c r="AQ172" s="176">
        <v>10.435</v>
      </c>
      <c r="AR172" s="176">
        <v>10.459999999999999</v>
      </c>
      <c r="AS172" s="176">
        <v>10.465</v>
      </c>
      <c r="AT172" s="173" t="str">
        <f t="shared" si="30"/>
        <v/>
      </c>
      <c r="AU172" s="173">
        <v>459</v>
      </c>
      <c r="AW172" s="142" t="s">
        <v>123</v>
      </c>
    </row>
    <row r="173" spans="2:49" s="142" customFormat="1" ht="21" customHeight="1" x14ac:dyDescent="0.25">
      <c r="B173" s="173" t="str">
        <f t="shared" si="31"/>
        <v>0-304/FH-1.20X763</v>
      </c>
      <c r="C173" s="173" t="s">
        <v>4028</v>
      </c>
      <c r="D173" s="173" t="s">
        <v>16</v>
      </c>
      <c r="E173" s="190" t="s">
        <v>4039</v>
      </c>
      <c r="F173" s="190" t="s">
        <v>4040</v>
      </c>
      <c r="G173" s="173">
        <v>304</v>
      </c>
      <c r="H173" s="173" t="s">
        <v>70</v>
      </c>
      <c r="I173" s="174">
        <v>3.77</v>
      </c>
      <c r="J173" s="174">
        <v>1.2</v>
      </c>
      <c r="K173" s="174"/>
      <c r="L173" s="174"/>
      <c r="M173" s="191">
        <v>763</v>
      </c>
      <c r="N173" s="176">
        <v>10.31</v>
      </c>
      <c r="O173" s="176">
        <v>10.32</v>
      </c>
      <c r="P173" s="176"/>
      <c r="Q173" s="178"/>
      <c r="R173" s="179"/>
      <c r="S173" s="179"/>
      <c r="T173" s="177">
        <v>44937</v>
      </c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80" t="s">
        <v>1507</v>
      </c>
      <c r="AE173" s="173" t="s">
        <v>69</v>
      </c>
      <c r="AF173" s="181" t="s">
        <v>142</v>
      </c>
      <c r="AG173" s="192" t="s">
        <v>1584</v>
      </c>
      <c r="AH173" s="198"/>
      <c r="AI173" s="181">
        <v>44914</v>
      </c>
      <c r="AJ173" s="181"/>
      <c r="AK173" s="181">
        <f t="shared" ca="1" si="34"/>
        <v>44958</v>
      </c>
      <c r="AL173" s="173">
        <f t="shared" ca="1" si="32"/>
        <v>44</v>
      </c>
      <c r="AM173" s="173" t="str">
        <f t="shared" si="33"/>
        <v/>
      </c>
      <c r="AN173" s="181"/>
      <c r="AO173" s="190" t="s">
        <v>4041</v>
      </c>
      <c r="AP173" s="176">
        <v>10.31</v>
      </c>
      <c r="AQ173" s="176">
        <v>10.32</v>
      </c>
      <c r="AR173" s="176">
        <v>10.344999999999999</v>
      </c>
      <c r="AS173" s="176">
        <v>10.35</v>
      </c>
      <c r="AT173" s="173" t="str">
        <f t="shared" si="30"/>
        <v/>
      </c>
      <c r="AU173" s="173">
        <v>462</v>
      </c>
      <c r="AW173" s="142" t="s">
        <v>123</v>
      </c>
    </row>
    <row r="174" spans="2:49" s="142" customFormat="1" ht="21" customHeight="1" x14ac:dyDescent="0.25">
      <c r="B174" s="173" t="str">
        <f t="shared" si="31"/>
        <v>0-304/1D-3.46X770</v>
      </c>
      <c r="C174" s="173" t="s">
        <v>4029</v>
      </c>
      <c r="D174" s="173" t="s">
        <v>13</v>
      </c>
      <c r="E174" s="190" t="s">
        <v>4048</v>
      </c>
      <c r="F174" s="190" t="s">
        <v>4049</v>
      </c>
      <c r="G174" s="173">
        <v>304</v>
      </c>
      <c r="H174" s="173" t="s">
        <v>127</v>
      </c>
      <c r="I174" s="174">
        <v>3.46</v>
      </c>
      <c r="J174" s="174"/>
      <c r="K174" s="174"/>
      <c r="L174" s="174"/>
      <c r="M174" s="191">
        <v>770</v>
      </c>
      <c r="N174" s="176">
        <v>7.53</v>
      </c>
      <c r="O174" s="176">
        <v>7.53</v>
      </c>
      <c r="P174" s="176"/>
      <c r="Q174" s="178"/>
      <c r="R174" s="179"/>
      <c r="S174" s="179"/>
      <c r="T174" s="177">
        <v>44937</v>
      </c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80" t="s">
        <v>1507</v>
      </c>
      <c r="AE174" s="173" t="s">
        <v>69</v>
      </c>
      <c r="AF174" s="181" t="s">
        <v>142</v>
      </c>
      <c r="AG174" s="192" t="s">
        <v>1584</v>
      </c>
      <c r="AH174" s="198"/>
      <c r="AI174" s="181">
        <v>44914</v>
      </c>
      <c r="AJ174" s="181"/>
      <c r="AK174" s="181">
        <f t="shared" ca="1" si="34"/>
        <v>44958</v>
      </c>
      <c r="AL174" s="173">
        <f t="shared" ca="1" si="32"/>
        <v>44</v>
      </c>
      <c r="AM174" s="173" t="str">
        <f t="shared" si="33"/>
        <v/>
      </c>
      <c r="AN174" s="181"/>
      <c r="AO174" s="190" t="s">
        <v>4050</v>
      </c>
      <c r="AP174" s="176">
        <v>7.53</v>
      </c>
      <c r="AQ174" s="176">
        <v>7.54</v>
      </c>
      <c r="AR174" s="176">
        <v>7.5650000000000004</v>
      </c>
      <c r="AS174" s="176">
        <v>7.57</v>
      </c>
      <c r="AT174" s="173" t="str">
        <f t="shared" si="30"/>
        <v/>
      </c>
      <c r="AU174" s="173">
        <v>462</v>
      </c>
      <c r="AW174" s="142" t="s">
        <v>123</v>
      </c>
    </row>
    <row r="175" spans="2:49" s="142" customFormat="1" ht="21" customHeight="1" x14ac:dyDescent="0.25">
      <c r="B175" s="173" t="str">
        <f t="shared" si="31"/>
        <v>0-304/1D-3.78X765</v>
      </c>
      <c r="C175" s="173" t="s">
        <v>4038</v>
      </c>
      <c r="D175" s="173" t="s">
        <v>13</v>
      </c>
      <c r="E175" s="190" t="s">
        <v>4051</v>
      </c>
      <c r="F175" s="190" t="s">
        <v>4052</v>
      </c>
      <c r="G175" s="173">
        <v>304</v>
      </c>
      <c r="H175" s="173" t="s">
        <v>127</v>
      </c>
      <c r="I175" s="174">
        <v>3.78</v>
      </c>
      <c r="J175" s="174"/>
      <c r="K175" s="174"/>
      <c r="L175" s="174"/>
      <c r="M175" s="191">
        <v>765</v>
      </c>
      <c r="N175" s="176">
        <v>10.475</v>
      </c>
      <c r="O175" s="176">
        <v>10.475</v>
      </c>
      <c r="P175" s="176"/>
      <c r="Q175" s="178"/>
      <c r="R175" s="179"/>
      <c r="S175" s="179"/>
      <c r="T175" s="177">
        <v>44937</v>
      </c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80" t="s">
        <v>1345</v>
      </c>
      <c r="AE175" s="173" t="s">
        <v>69</v>
      </c>
      <c r="AF175" s="181" t="s">
        <v>142</v>
      </c>
      <c r="AG175" s="192" t="s">
        <v>2283</v>
      </c>
      <c r="AH175" s="198"/>
      <c r="AI175" s="181">
        <v>44880</v>
      </c>
      <c r="AJ175" s="181"/>
      <c r="AK175" s="181">
        <f t="shared" ca="1" si="34"/>
        <v>44958</v>
      </c>
      <c r="AL175" s="173">
        <f t="shared" ca="1" si="32"/>
        <v>78</v>
      </c>
      <c r="AM175" s="173" t="str">
        <f t="shared" si="33"/>
        <v/>
      </c>
      <c r="AN175" s="181"/>
      <c r="AO175" s="190" t="s">
        <v>3942</v>
      </c>
      <c r="AP175" s="176">
        <v>10.475</v>
      </c>
      <c r="AQ175" s="176">
        <v>10.484999999999999</v>
      </c>
      <c r="AR175" s="176">
        <v>10.509999999999998</v>
      </c>
      <c r="AS175" s="176">
        <v>10.514999999999999</v>
      </c>
      <c r="AT175" s="173" t="str">
        <f t="shared" si="30"/>
        <v/>
      </c>
      <c r="AU175" s="173">
        <v>459</v>
      </c>
      <c r="AW175" s="142" t="s">
        <v>123</v>
      </c>
    </row>
    <row r="176" spans="2:49" s="142" customFormat="1" ht="21" customHeight="1" x14ac:dyDescent="0.25">
      <c r="B176" s="173" t="str">
        <f t="shared" si="31"/>
        <v>0-304L/FH-1.20X765</v>
      </c>
      <c r="C176" s="173" t="s">
        <v>4028</v>
      </c>
      <c r="D176" s="173" t="s">
        <v>16</v>
      </c>
      <c r="E176" s="190" t="s">
        <v>1576</v>
      </c>
      <c r="F176" s="190" t="s">
        <v>4034</v>
      </c>
      <c r="G176" s="173" t="s">
        <v>182</v>
      </c>
      <c r="H176" s="173" t="s">
        <v>70</v>
      </c>
      <c r="I176" s="174">
        <v>3.79666666666667</v>
      </c>
      <c r="J176" s="174">
        <v>1.2</v>
      </c>
      <c r="K176" s="174"/>
      <c r="L176" s="174"/>
      <c r="M176" s="191">
        <v>765</v>
      </c>
      <c r="N176" s="176">
        <v>10.33</v>
      </c>
      <c r="O176" s="176">
        <v>10.33</v>
      </c>
      <c r="P176" s="176"/>
      <c r="Q176" s="178"/>
      <c r="R176" s="179"/>
      <c r="S176" s="179"/>
      <c r="T176" s="177">
        <v>44937</v>
      </c>
      <c r="U176" s="177"/>
      <c r="V176" s="177"/>
      <c r="W176" s="177"/>
      <c r="X176" s="177"/>
      <c r="Y176" s="177"/>
      <c r="Z176" s="177"/>
      <c r="AA176" s="177">
        <v>44935</v>
      </c>
      <c r="AB176" s="177"/>
      <c r="AC176" s="177"/>
      <c r="AD176" s="180" t="s">
        <v>1507</v>
      </c>
      <c r="AE176" s="173" t="s">
        <v>69</v>
      </c>
      <c r="AF176" s="181" t="s">
        <v>142</v>
      </c>
      <c r="AG176" s="192" t="s">
        <v>1508</v>
      </c>
      <c r="AH176" s="198"/>
      <c r="AI176" s="181">
        <v>44849</v>
      </c>
      <c r="AJ176" s="181"/>
      <c r="AK176" s="181">
        <f t="shared" ca="1" si="34"/>
        <v>44958</v>
      </c>
      <c r="AL176" s="173">
        <f t="shared" ca="1" si="32"/>
        <v>109</v>
      </c>
      <c r="AM176" s="173" t="str">
        <f t="shared" si="33"/>
        <v/>
      </c>
      <c r="AN176" s="181"/>
      <c r="AO176" s="190" t="s">
        <v>1578</v>
      </c>
      <c r="AP176" s="176">
        <v>20.625</v>
      </c>
      <c r="AQ176" s="176">
        <v>20.684999999999999</v>
      </c>
      <c r="AR176" s="176">
        <v>20.71</v>
      </c>
      <c r="AS176" s="176">
        <v>20.715</v>
      </c>
      <c r="AT176" s="173" t="str">
        <f t="shared" si="30"/>
        <v/>
      </c>
      <c r="AU176" s="173">
        <v>456</v>
      </c>
      <c r="AW176" s="142" t="s">
        <v>123</v>
      </c>
    </row>
    <row r="177" spans="2:49" s="142" customFormat="1" ht="21" customHeight="1" x14ac:dyDescent="0.25">
      <c r="B177" s="173" t="str">
        <f t="shared" si="31"/>
        <v>0-304L/1D-3.80X767</v>
      </c>
      <c r="C177" s="173" t="s">
        <v>4053</v>
      </c>
      <c r="D177" s="173" t="s">
        <v>13</v>
      </c>
      <c r="E177" s="190" t="s">
        <v>4025</v>
      </c>
      <c r="F177" s="190" t="s">
        <v>4054</v>
      </c>
      <c r="G177" s="173" t="s">
        <v>182</v>
      </c>
      <c r="H177" s="173" t="s">
        <v>127</v>
      </c>
      <c r="I177" s="174">
        <v>3.8</v>
      </c>
      <c r="J177" s="174"/>
      <c r="K177" s="174"/>
      <c r="L177" s="174"/>
      <c r="M177" s="191">
        <v>767</v>
      </c>
      <c r="N177" s="176">
        <v>12.29</v>
      </c>
      <c r="O177" s="176">
        <v>12.29</v>
      </c>
      <c r="P177" s="176"/>
      <c r="Q177" s="178"/>
      <c r="R177" s="179"/>
      <c r="S177" s="179"/>
      <c r="T177" s="177">
        <v>44938</v>
      </c>
      <c r="U177" s="177"/>
      <c r="V177" s="177"/>
      <c r="W177" s="177"/>
      <c r="X177" s="177"/>
      <c r="Y177" s="177"/>
      <c r="Z177" s="177"/>
      <c r="AA177" s="177">
        <v>44932</v>
      </c>
      <c r="AB177" s="177"/>
      <c r="AC177" s="177"/>
      <c r="AD177" s="180" t="s">
        <v>1507</v>
      </c>
      <c r="AE177" s="173" t="s">
        <v>69</v>
      </c>
      <c r="AF177" s="181" t="s">
        <v>142</v>
      </c>
      <c r="AG177" s="192" t="s">
        <v>1508</v>
      </c>
      <c r="AH177" s="198"/>
      <c r="AI177" s="181">
        <v>44849</v>
      </c>
      <c r="AJ177" s="181"/>
      <c r="AK177" s="181">
        <f t="shared" ca="1" si="34"/>
        <v>44958</v>
      </c>
      <c r="AL177" s="173">
        <f t="shared" ca="1" si="32"/>
        <v>109</v>
      </c>
      <c r="AM177" s="173" t="str">
        <f t="shared" si="33"/>
        <v/>
      </c>
      <c r="AN177" s="181"/>
      <c r="AO177" s="190" t="s">
        <v>4027</v>
      </c>
      <c r="AP177" s="176">
        <v>24.6</v>
      </c>
      <c r="AQ177" s="176">
        <v>24.66</v>
      </c>
      <c r="AR177" s="176">
        <v>24.685000000000002</v>
      </c>
      <c r="AS177" s="176">
        <v>24.69</v>
      </c>
      <c r="AT177" s="173" t="str">
        <f t="shared" si="30"/>
        <v/>
      </c>
      <c r="AU177" s="173">
        <v>456</v>
      </c>
      <c r="AW177" s="142" t="s">
        <v>123</v>
      </c>
    </row>
    <row r="178" spans="2:49" s="142" customFormat="1" ht="21" customHeight="1" x14ac:dyDescent="0.25">
      <c r="B178" s="173" t="str">
        <f t="shared" si="31"/>
        <v>0-304/FH-1.20X765</v>
      </c>
      <c r="C178" s="173" t="s">
        <v>4055</v>
      </c>
      <c r="D178" s="173" t="s">
        <v>16</v>
      </c>
      <c r="E178" s="190" t="s">
        <v>2349</v>
      </c>
      <c r="F178" s="190" t="s">
        <v>2350</v>
      </c>
      <c r="G178" s="173">
        <v>304</v>
      </c>
      <c r="H178" s="173" t="s">
        <v>70</v>
      </c>
      <c r="I178" s="174">
        <v>3.77</v>
      </c>
      <c r="J178" s="174">
        <v>1.2</v>
      </c>
      <c r="K178" s="174"/>
      <c r="L178" s="174"/>
      <c r="M178" s="191">
        <v>765</v>
      </c>
      <c r="N178" s="176">
        <v>10.425000000000001</v>
      </c>
      <c r="O178" s="176">
        <v>10.42</v>
      </c>
      <c r="P178" s="176"/>
      <c r="Q178" s="178"/>
      <c r="R178" s="179"/>
      <c r="S178" s="179"/>
      <c r="T178" s="177">
        <v>44937</v>
      </c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80" t="s">
        <v>1345</v>
      </c>
      <c r="AE178" s="173" t="s">
        <v>69</v>
      </c>
      <c r="AF178" s="181" t="s">
        <v>142</v>
      </c>
      <c r="AG178" s="192" t="s">
        <v>2283</v>
      </c>
      <c r="AH178" s="198"/>
      <c r="AI178" s="181">
        <v>44880</v>
      </c>
      <c r="AJ178" s="181"/>
      <c r="AK178" s="181">
        <f t="shared" ca="1" si="34"/>
        <v>44958</v>
      </c>
      <c r="AL178" s="173">
        <f t="shared" ca="1" si="32"/>
        <v>78</v>
      </c>
      <c r="AM178" s="173" t="str">
        <f t="shared" si="33"/>
        <v/>
      </c>
      <c r="AN178" s="181"/>
      <c r="AO178" s="190" t="s">
        <v>2351</v>
      </c>
      <c r="AP178" s="176">
        <v>10.425000000000001</v>
      </c>
      <c r="AQ178" s="176">
        <v>10.435</v>
      </c>
      <c r="AR178" s="176">
        <v>10.459999999999999</v>
      </c>
      <c r="AS178" s="176">
        <v>10.465</v>
      </c>
      <c r="AT178" s="173" t="str">
        <f t="shared" si="30"/>
        <v/>
      </c>
      <c r="AU178" s="173">
        <v>459</v>
      </c>
      <c r="AW178" s="142" t="s">
        <v>123</v>
      </c>
    </row>
    <row r="179" spans="2:49" s="142" customFormat="1" ht="21" customHeight="1" x14ac:dyDescent="0.25">
      <c r="B179" s="173" t="str">
        <f t="shared" si="31"/>
        <v>0-304/1D-3.46X770</v>
      </c>
      <c r="C179" s="173" t="s">
        <v>4056</v>
      </c>
      <c r="D179" s="173" t="s">
        <v>13</v>
      </c>
      <c r="E179" s="190" t="s">
        <v>4048</v>
      </c>
      <c r="F179" s="190" t="s">
        <v>4049</v>
      </c>
      <c r="G179" s="173">
        <v>304</v>
      </c>
      <c r="H179" s="173" t="s">
        <v>127</v>
      </c>
      <c r="I179" s="174">
        <v>3.46</v>
      </c>
      <c r="J179" s="174"/>
      <c r="K179" s="174"/>
      <c r="L179" s="174"/>
      <c r="M179" s="191">
        <v>770</v>
      </c>
      <c r="N179" s="176">
        <v>7.53</v>
      </c>
      <c r="O179" s="176">
        <v>7.53</v>
      </c>
      <c r="P179" s="176"/>
      <c r="Q179" s="178"/>
      <c r="R179" s="178" t="s">
        <v>4057</v>
      </c>
      <c r="S179" s="179"/>
      <c r="T179" s="177">
        <v>44937</v>
      </c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80" t="s">
        <v>1507</v>
      </c>
      <c r="AE179" s="173" t="s">
        <v>69</v>
      </c>
      <c r="AF179" s="181" t="s">
        <v>142</v>
      </c>
      <c r="AG179" s="192" t="s">
        <v>1584</v>
      </c>
      <c r="AH179" s="198"/>
      <c r="AI179" s="181">
        <v>44914</v>
      </c>
      <c r="AJ179" s="181"/>
      <c r="AK179" s="181">
        <f t="shared" ca="1" si="34"/>
        <v>44958</v>
      </c>
      <c r="AL179" s="173">
        <f t="shared" ca="1" si="32"/>
        <v>44</v>
      </c>
      <c r="AM179" s="173" t="str">
        <f t="shared" si="33"/>
        <v/>
      </c>
      <c r="AN179" s="181"/>
      <c r="AO179" s="190" t="s">
        <v>4050</v>
      </c>
      <c r="AP179" s="176">
        <v>7.53</v>
      </c>
      <c r="AQ179" s="176">
        <v>7.54</v>
      </c>
      <c r="AR179" s="176">
        <v>7.5650000000000004</v>
      </c>
      <c r="AS179" s="176">
        <v>7.57</v>
      </c>
      <c r="AT179" s="173" t="str">
        <f t="shared" si="30"/>
        <v/>
      </c>
      <c r="AU179" s="173">
        <v>462</v>
      </c>
      <c r="AW179" s="142" t="s">
        <v>123</v>
      </c>
    </row>
    <row r="180" spans="2:49" s="142" customFormat="1" ht="21" customHeight="1" x14ac:dyDescent="0.25">
      <c r="B180" s="173" t="str">
        <f t="shared" si="31"/>
        <v>0-304L/1D-3.78X768</v>
      </c>
      <c r="C180" s="173" t="s">
        <v>4053</v>
      </c>
      <c r="D180" s="173" t="s">
        <v>13</v>
      </c>
      <c r="E180" s="190" t="s">
        <v>1561</v>
      </c>
      <c r="F180" s="190" t="s">
        <v>1564</v>
      </c>
      <c r="G180" s="173" t="s">
        <v>182</v>
      </c>
      <c r="H180" s="173" t="s">
        <v>127</v>
      </c>
      <c r="I180" s="174">
        <v>3.78</v>
      </c>
      <c r="J180" s="174"/>
      <c r="K180" s="174"/>
      <c r="L180" s="174"/>
      <c r="M180" s="191">
        <v>768</v>
      </c>
      <c r="N180" s="176">
        <v>12.28</v>
      </c>
      <c r="O180" s="176">
        <v>12.28</v>
      </c>
      <c r="P180" s="176"/>
      <c r="Q180" s="178"/>
      <c r="R180" s="178"/>
      <c r="S180" s="179"/>
      <c r="T180" s="177">
        <v>44938</v>
      </c>
      <c r="U180" s="177"/>
      <c r="V180" s="177"/>
      <c r="W180" s="177"/>
      <c r="X180" s="177"/>
      <c r="Y180" s="177"/>
      <c r="Z180" s="177"/>
      <c r="AA180" s="177">
        <v>44932</v>
      </c>
      <c r="AB180" s="177"/>
      <c r="AC180" s="177"/>
      <c r="AD180" s="180" t="s">
        <v>1507</v>
      </c>
      <c r="AE180" s="173" t="s">
        <v>69</v>
      </c>
      <c r="AF180" s="181" t="s">
        <v>142</v>
      </c>
      <c r="AG180" s="192" t="s">
        <v>1508</v>
      </c>
      <c r="AH180" s="198"/>
      <c r="AI180" s="181">
        <v>44849</v>
      </c>
      <c r="AJ180" s="181"/>
      <c r="AK180" s="181">
        <f t="shared" ca="1" si="34"/>
        <v>44958</v>
      </c>
      <c r="AL180" s="173">
        <f t="shared" ca="1" si="32"/>
        <v>109</v>
      </c>
      <c r="AM180" s="173" t="str">
        <f t="shared" si="33"/>
        <v/>
      </c>
      <c r="AN180" s="181"/>
      <c r="AO180" s="190" t="s">
        <v>1563</v>
      </c>
      <c r="AP180" s="176">
        <v>24.54</v>
      </c>
      <c r="AQ180" s="176">
        <v>24.6</v>
      </c>
      <c r="AR180" s="176">
        <v>24.625000000000004</v>
      </c>
      <c r="AS180" s="176">
        <v>24.630000000000003</v>
      </c>
      <c r="AT180" s="173" t="str">
        <f t="shared" si="30"/>
        <v/>
      </c>
      <c r="AU180" s="173">
        <v>456</v>
      </c>
      <c r="AW180" s="142" t="s">
        <v>123</v>
      </c>
    </row>
    <row r="181" spans="2:49" s="142" customFormat="1" ht="21" customHeight="1" x14ac:dyDescent="0.25">
      <c r="B181" s="173" t="str">
        <f t="shared" si="31"/>
        <v>0-304L/FH-1.50X767</v>
      </c>
      <c r="C181" s="173" t="s">
        <v>4056</v>
      </c>
      <c r="D181" s="173" t="s">
        <v>13</v>
      </c>
      <c r="E181" s="190" t="s">
        <v>1522</v>
      </c>
      <c r="F181" s="190" t="s">
        <v>4022</v>
      </c>
      <c r="G181" s="173" t="s">
        <v>182</v>
      </c>
      <c r="H181" s="173" t="s">
        <v>70</v>
      </c>
      <c r="I181" s="174">
        <v>3.8</v>
      </c>
      <c r="J181" s="174">
        <v>1.5</v>
      </c>
      <c r="K181" s="174"/>
      <c r="L181" s="174"/>
      <c r="M181" s="191">
        <v>767</v>
      </c>
      <c r="N181" s="176">
        <v>12.1</v>
      </c>
      <c r="O181" s="176">
        <v>12.1</v>
      </c>
      <c r="P181" s="176"/>
      <c r="Q181" s="178"/>
      <c r="R181" s="178" t="s">
        <v>4058</v>
      </c>
      <c r="S181" s="179"/>
      <c r="T181" s="177">
        <v>44936</v>
      </c>
      <c r="U181" s="177"/>
      <c r="V181" s="177"/>
      <c r="W181" s="177"/>
      <c r="X181" s="177"/>
      <c r="Y181" s="177"/>
      <c r="Z181" s="177"/>
      <c r="AA181" s="177">
        <v>44935</v>
      </c>
      <c r="AB181" s="177"/>
      <c r="AC181" s="177"/>
      <c r="AD181" s="180" t="s">
        <v>1507</v>
      </c>
      <c r="AE181" s="173" t="s">
        <v>69</v>
      </c>
      <c r="AF181" s="181" t="s">
        <v>142</v>
      </c>
      <c r="AG181" s="192" t="s">
        <v>1508</v>
      </c>
      <c r="AH181" s="198"/>
      <c r="AI181" s="181">
        <v>44849</v>
      </c>
      <c r="AJ181" s="181"/>
      <c r="AK181" s="181">
        <f t="shared" ca="1" si="34"/>
        <v>44958</v>
      </c>
      <c r="AL181" s="173">
        <f t="shared" ca="1" si="32"/>
        <v>109</v>
      </c>
      <c r="AM181" s="173" t="str">
        <f t="shared" si="33"/>
        <v/>
      </c>
      <c r="AN181" s="181"/>
      <c r="AO181" s="190" t="s">
        <v>1525</v>
      </c>
      <c r="AP181" s="176">
        <v>24.204999999999998</v>
      </c>
      <c r="AQ181" s="176">
        <v>24.265000000000001</v>
      </c>
      <c r="AR181" s="176">
        <v>24.290000000000003</v>
      </c>
      <c r="AS181" s="176">
        <v>24.295000000000002</v>
      </c>
      <c r="AT181" s="173" t="str">
        <f t="shared" si="30"/>
        <v/>
      </c>
      <c r="AU181" s="173">
        <v>456</v>
      </c>
      <c r="AW181" s="142" t="s">
        <v>123</v>
      </c>
    </row>
    <row r="182" spans="2:49" s="142" customFormat="1" ht="21" customHeight="1" x14ac:dyDescent="0.25">
      <c r="B182" s="173" t="str">
        <f t="shared" si="31"/>
        <v>0-304/FH-1.20X765</v>
      </c>
      <c r="C182" s="173" t="s">
        <v>4055</v>
      </c>
      <c r="D182" s="173" t="s">
        <v>16</v>
      </c>
      <c r="E182" s="190" t="s">
        <v>4051</v>
      </c>
      <c r="F182" s="190" t="s">
        <v>4052</v>
      </c>
      <c r="G182" s="173">
        <v>304</v>
      </c>
      <c r="H182" s="173" t="s">
        <v>70</v>
      </c>
      <c r="I182" s="174">
        <v>3.78</v>
      </c>
      <c r="J182" s="174">
        <v>1.2</v>
      </c>
      <c r="K182" s="174"/>
      <c r="L182" s="174"/>
      <c r="M182" s="191">
        <v>765</v>
      </c>
      <c r="N182" s="176">
        <v>10.475</v>
      </c>
      <c r="O182" s="176">
        <v>10.47</v>
      </c>
      <c r="P182" s="176"/>
      <c r="Q182" s="178"/>
      <c r="R182" s="179"/>
      <c r="S182" s="179"/>
      <c r="T182" s="177">
        <v>44937</v>
      </c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80" t="s">
        <v>1345</v>
      </c>
      <c r="AE182" s="173" t="s">
        <v>69</v>
      </c>
      <c r="AF182" s="181" t="s">
        <v>142</v>
      </c>
      <c r="AG182" s="192" t="s">
        <v>2283</v>
      </c>
      <c r="AH182" s="198"/>
      <c r="AI182" s="181">
        <v>44880</v>
      </c>
      <c r="AJ182" s="181"/>
      <c r="AK182" s="181">
        <f t="shared" ca="1" si="34"/>
        <v>44958</v>
      </c>
      <c r="AL182" s="173">
        <f t="shared" ca="1" si="32"/>
        <v>78</v>
      </c>
      <c r="AM182" s="173" t="str">
        <f t="shared" si="33"/>
        <v/>
      </c>
      <c r="AN182" s="181"/>
      <c r="AO182" s="190" t="s">
        <v>3942</v>
      </c>
      <c r="AP182" s="176">
        <v>10.475</v>
      </c>
      <c r="AQ182" s="176">
        <v>10.484999999999999</v>
      </c>
      <c r="AR182" s="176">
        <v>10.509999999999998</v>
      </c>
      <c r="AS182" s="176">
        <v>10.514999999999999</v>
      </c>
      <c r="AT182" s="173" t="str">
        <f t="shared" si="30"/>
        <v/>
      </c>
      <c r="AU182" s="173">
        <v>459</v>
      </c>
      <c r="AW182" s="142" t="s">
        <v>123</v>
      </c>
    </row>
    <row r="183" spans="2:49" s="142" customFormat="1" ht="21" customHeight="1" x14ac:dyDescent="0.25">
      <c r="B183" s="173" t="str">
        <f t="shared" si="31"/>
        <v>0-304L/1D-3.79X768</v>
      </c>
      <c r="C183" s="173" t="s">
        <v>4053</v>
      </c>
      <c r="D183" s="173" t="s">
        <v>13</v>
      </c>
      <c r="E183" s="190" t="s">
        <v>1565</v>
      </c>
      <c r="F183" s="190" t="s">
        <v>1566</v>
      </c>
      <c r="G183" s="173" t="s">
        <v>182</v>
      </c>
      <c r="H183" s="173" t="s">
        <v>127</v>
      </c>
      <c r="I183" s="174">
        <v>3.79</v>
      </c>
      <c r="J183" s="174"/>
      <c r="K183" s="174"/>
      <c r="L183" s="174"/>
      <c r="M183" s="191">
        <v>768</v>
      </c>
      <c r="N183" s="176">
        <v>12.27</v>
      </c>
      <c r="O183" s="176">
        <v>12.27</v>
      </c>
      <c r="P183" s="176"/>
      <c r="Q183" s="178"/>
      <c r="R183" s="179"/>
      <c r="S183" s="179"/>
      <c r="T183" s="177">
        <v>44938</v>
      </c>
      <c r="U183" s="177"/>
      <c r="V183" s="177"/>
      <c r="W183" s="177"/>
      <c r="X183" s="177"/>
      <c r="Y183" s="177"/>
      <c r="Z183" s="177"/>
      <c r="AA183" s="177">
        <v>44933</v>
      </c>
      <c r="AB183" s="177"/>
      <c r="AC183" s="177"/>
      <c r="AD183" s="180" t="s">
        <v>1507</v>
      </c>
      <c r="AE183" s="173" t="s">
        <v>69</v>
      </c>
      <c r="AF183" s="181" t="s">
        <v>142</v>
      </c>
      <c r="AG183" s="192" t="s">
        <v>1508</v>
      </c>
      <c r="AH183" s="198"/>
      <c r="AI183" s="181">
        <v>44849</v>
      </c>
      <c r="AJ183" s="181"/>
      <c r="AK183" s="181">
        <f t="shared" ca="1" si="34"/>
        <v>44958</v>
      </c>
      <c r="AL183" s="173">
        <f t="shared" ca="1" si="32"/>
        <v>109</v>
      </c>
      <c r="AM183" s="173" t="str">
        <f t="shared" si="33"/>
        <v/>
      </c>
      <c r="AN183" s="181"/>
      <c r="AO183" s="190" t="s">
        <v>1567</v>
      </c>
      <c r="AP183" s="176">
        <v>24.59</v>
      </c>
      <c r="AQ183" s="176">
        <v>24.65</v>
      </c>
      <c r="AR183" s="176">
        <v>24.675000000000001</v>
      </c>
      <c r="AS183" s="176">
        <v>24.68</v>
      </c>
      <c r="AT183" s="173" t="str">
        <f t="shared" si="30"/>
        <v/>
      </c>
      <c r="AU183" s="173">
        <v>456</v>
      </c>
      <c r="AW183" s="142" t="s">
        <v>123</v>
      </c>
    </row>
    <row r="184" spans="2:49" s="142" customFormat="1" ht="21" customHeight="1" x14ac:dyDescent="0.25">
      <c r="B184" s="173" t="str">
        <f>IF(C184="HOLD RM","HOLD RM",IF(C184="BAL","WIP",IF(C184="HOLD SLT","HOLD SLT",IF(C184="MILL","RM",IF(C184="RE SLT","WIP",IF(C184="RM","RM",IF(C184="RM BAL","RM",IF(C184="RM SLT","RM",IF(C184="RR","WIP",IF(C184="SKP","WIP",IF(C184="SLT","WIP",IF(C184="CTL","WIP",IF(C184="RM SLT RUST","RM SLT RUST",0)))))))))))))&amp;"-"&amp;G184&amp;"/"&amp;IF(H184="2B","2B",IF(H184="NO.1","1D",IF(H184="FH","FH",0)))&amp;"-"&amp;IF(J184="",(TEXT(I184,"0.00")),TEXT(J184,"0.00"))&amp;"X"&amp;M184</f>
        <v>0-304L/FH-1.50X767</v>
      </c>
      <c r="C184" s="173" t="s">
        <v>4055</v>
      </c>
      <c r="D184" s="173" t="s">
        <v>16</v>
      </c>
      <c r="E184" s="190" t="s">
        <v>4042</v>
      </c>
      <c r="F184" s="190" t="s">
        <v>4043</v>
      </c>
      <c r="G184" s="173" t="s">
        <v>182</v>
      </c>
      <c r="H184" s="173" t="s">
        <v>70</v>
      </c>
      <c r="I184" s="174">
        <v>3.79</v>
      </c>
      <c r="J184" s="174">
        <v>1.5</v>
      </c>
      <c r="K184" s="174"/>
      <c r="L184" s="174"/>
      <c r="M184" s="191">
        <v>767</v>
      </c>
      <c r="N184" s="176">
        <v>12.19</v>
      </c>
      <c r="O184" s="176">
        <v>12.25</v>
      </c>
      <c r="P184" s="176"/>
      <c r="Q184" s="178"/>
      <c r="R184" s="179"/>
      <c r="S184" s="179"/>
      <c r="T184" s="177">
        <v>44937</v>
      </c>
      <c r="U184" s="177"/>
      <c r="V184" s="177"/>
      <c r="W184" s="177"/>
      <c r="X184" s="177"/>
      <c r="Y184" s="177"/>
      <c r="Z184" s="177"/>
      <c r="AA184" s="177">
        <v>44933</v>
      </c>
      <c r="AB184" s="177"/>
      <c r="AC184" s="177"/>
      <c r="AD184" s="180" t="s">
        <v>1507</v>
      </c>
      <c r="AE184" s="173" t="s">
        <v>69</v>
      </c>
      <c r="AF184" s="181" t="s">
        <v>142</v>
      </c>
      <c r="AG184" s="192" t="s">
        <v>1508</v>
      </c>
      <c r="AH184" s="198"/>
      <c r="AI184" s="181">
        <v>44849</v>
      </c>
      <c r="AJ184" s="181"/>
      <c r="AK184" s="181">
        <f t="shared" ca="1" si="34"/>
        <v>44958</v>
      </c>
      <c r="AL184" s="173">
        <f ca="1">IF(AI184&lt;&gt;0,AK184-AI184,0)</f>
        <v>109</v>
      </c>
      <c r="AM184" s="173" t="str">
        <f>IF(ISNUMBER(X184)=TRUE,AK184-X184,IF(X184="","",(AK184)-(MID(RIGHT(X184,10),4,2)&amp;"/"&amp;LEFT((RIGHT(X184,10)),2)&amp;"/"&amp;RIGHT(X184,4))))</f>
        <v/>
      </c>
      <c r="AN184" s="181"/>
      <c r="AO184" s="190" t="s">
        <v>4044</v>
      </c>
      <c r="AP184" s="176">
        <v>24.504999999999999</v>
      </c>
      <c r="AQ184" s="176">
        <v>24.565000000000001</v>
      </c>
      <c r="AR184" s="176">
        <v>24.590000000000003</v>
      </c>
      <c r="AS184" s="176">
        <v>24.595000000000002</v>
      </c>
      <c r="AT184" s="173" t="str">
        <f t="shared" si="30"/>
        <v/>
      </c>
      <c r="AU184" s="173">
        <v>456</v>
      </c>
      <c r="AW184" s="142" t="s">
        <v>123</v>
      </c>
    </row>
    <row r="185" spans="2:49" s="142" customFormat="1" ht="21" customHeight="1" x14ac:dyDescent="0.25">
      <c r="B185" s="173" t="str">
        <f t="shared" ref="B185:B248" si="35">IF(C185="HOLD RM","HOLD RM",IF(C185="BAL","WIP",IF(C185="HOLD SLT","HOLD SLT",IF(C185="MILL","RM",IF(C185="RE SLT","WIP",IF(C185="RM","RM",IF(C185="RM BAL","RM",IF(C185="RM SLT","RM",IF(C185="RR","WIP",IF(C185="SKP","WIP",IF(C185="SLT","WIP",IF(C185="CTL","WIP",IF(C185="RM SLT RUST","RM SLT RUST",0)))))))))))))&amp;"-"&amp;G185&amp;"/"&amp;IF(H185="2B","2B",IF(H185="NO.1","1D",IF(H185="FH","FH",0)))&amp;"-"&amp;IF(J185="",(TEXT(I185,"0.00")),TEXT(J185,"0.00"))&amp;"X"&amp;M185</f>
        <v>0-304/1D-2.99X642</v>
      </c>
      <c r="C185" s="173" t="s">
        <v>4053</v>
      </c>
      <c r="D185" s="173" t="s">
        <v>13</v>
      </c>
      <c r="E185" s="190" t="s">
        <v>4059</v>
      </c>
      <c r="F185" s="190" t="s">
        <v>4060</v>
      </c>
      <c r="G185" s="173">
        <v>304</v>
      </c>
      <c r="H185" s="173" t="s">
        <v>127</v>
      </c>
      <c r="I185" s="174">
        <v>2.99</v>
      </c>
      <c r="J185" s="174"/>
      <c r="K185" s="174"/>
      <c r="L185" s="174"/>
      <c r="M185" s="191">
        <v>642</v>
      </c>
      <c r="N185" s="176">
        <v>10.635</v>
      </c>
      <c r="O185" s="176">
        <v>10.635</v>
      </c>
      <c r="P185" s="176"/>
      <c r="Q185" s="178"/>
      <c r="R185" s="179"/>
      <c r="S185" s="179"/>
      <c r="T185" s="177">
        <v>44938</v>
      </c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80" t="s">
        <v>2479</v>
      </c>
      <c r="AE185" s="173" t="s">
        <v>69</v>
      </c>
      <c r="AF185" s="181" t="s">
        <v>142</v>
      </c>
      <c r="AG185" s="192" t="s">
        <v>1657</v>
      </c>
      <c r="AH185" s="198"/>
      <c r="AI185" s="181">
        <v>44849</v>
      </c>
      <c r="AJ185" s="181"/>
      <c r="AK185" s="181">
        <f t="shared" ca="1" si="34"/>
        <v>44958</v>
      </c>
      <c r="AL185" s="173">
        <f t="shared" ref="AL185:AL248" ca="1" si="36">IF(AI185&lt;&gt;0,AK185-AI185,0)</f>
        <v>109</v>
      </c>
      <c r="AM185" s="173" t="str">
        <f t="shared" ref="AM185:AM248" si="37">IF(ISNUMBER(X185)=TRUE,AK185-X185,IF(X185="","",(AK185)-(MID(RIGHT(X185,10),4,2)&amp;"/"&amp;LEFT((RIGHT(X185,10)),2)&amp;"/"&amp;RIGHT(X185,4))))</f>
        <v/>
      </c>
      <c r="AN185" s="181"/>
      <c r="AO185" s="190" t="s">
        <v>4061</v>
      </c>
      <c r="AP185" s="176">
        <v>10.635</v>
      </c>
      <c r="AQ185" s="176">
        <v>10.645</v>
      </c>
      <c r="AR185" s="176">
        <v>10.669999999999998</v>
      </c>
      <c r="AS185" s="176">
        <v>10.674999999999999</v>
      </c>
      <c r="AT185" s="173" t="str">
        <f t="shared" si="30"/>
        <v/>
      </c>
      <c r="AU185" s="173">
        <v>456</v>
      </c>
      <c r="AW185" s="142" t="s">
        <v>123</v>
      </c>
    </row>
    <row r="186" spans="2:49" s="142" customFormat="1" ht="21" customHeight="1" x14ac:dyDescent="0.25">
      <c r="B186" s="173" t="str">
        <f t="shared" si="35"/>
        <v>0-304L/1D-3.77X768</v>
      </c>
      <c r="C186" s="173" t="s">
        <v>4053</v>
      </c>
      <c r="D186" s="173" t="s">
        <v>13</v>
      </c>
      <c r="E186" s="190" t="s">
        <v>1511</v>
      </c>
      <c r="F186" s="190" t="s">
        <v>1512</v>
      </c>
      <c r="G186" s="173" t="s">
        <v>182</v>
      </c>
      <c r="H186" s="173" t="s">
        <v>127</v>
      </c>
      <c r="I186" s="174">
        <v>3.77</v>
      </c>
      <c r="J186" s="174"/>
      <c r="K186" s="174"/>
      <c r="L186" s="174"/>
      <c r="M186" s="191">
        <v>768</v>
      </c>
      <c r="N186" s="176">
        <v>12.28</v>
      </c>
      <c r="O186" s="176">
        <v>12.28</v>
      </c>
      <c r="P186" s="176"/>
      <c r="Q186" s="178"/>
      <c r="R186" s="179"/>
      <c r="S186" s="179"/>
      <c r="T186" s="177">
        <v>44938</v>
      </c>
      <c r="U186" s="177"/>
      <c r="V186" s="177"/>
      <c r="W186" s="177"/>
      <c r="X186" s="177"/>
      <c r="Y186" s="177"/>
      <c r="Z186" s="177"/>
      <c r="AA186" s="177">
        <v>44938</v>
      </c>
      <c r="AB186" s="177"/>
      <c r="AC186" s="177"/>
      <c r="AD186" s="180" t="s">
        <v>1507</v>
      </c>
      <c r="AE186" s="173" t="s">
        <v>69</v>
      </c>
      <c r="AF186" s="181" t="s">
        <v>142</v>
      </c>
      <c r="AG186" s="192" t="s">
        <v>1508</v>
      </c>
      <c r="AH186" s="198"/>
      <c r="AI186" s="181">
        <v>44849</v>
      </c>
      <c r="AJ186" s="181"/>
      <c r="AK186" s="181">
        <f t="shared" ca="1" si="34"/>
        <v>44958</v>
      </c>
      <c r="AL186" s="173">
        <f t="shared" ca="1" si="36"/>
        <v>109</v>
      </c>
      <c r="AM186" s="173" t="str">
        <f t="shared" si="37"/>
        <v/>
      </c>
      <c r="AN186" s="181"/>
      <c r="AO186" s="190" t="s">
        <v>1514</v>
      </c>
      <c r="AP186" s="176">
        <v>24.54</v>
      </c>
      <c r="AQ186" s="176">
        <v>24.6</v>
      </c>
      <c r="AR186" s="176">
        <v>24.625000000000004</v>
      </c>
      <c r="AS186" s="176">
        <v>24.630000000000003</v>
      </c>
      <c r="AT186" s="173" t="str">
        <f t="shared" si="30"/>
        <v/>
      </c>
      <c r="AU186" s="173">
        <v>456</v>
      </c>
      <c r="AW186" s="142" t="s">
        <v>123</v>
      </c>
    </row>
    <row r="187" spans="2:49" s="142" customFormat="1" ht="21" customHeight="1" x14ac:dyDescent="0.25">
      <c r="B187" s="173" t="str">
        <f t="shared" si="35"/>
        <v>0-304L/FH-1.20X768</v>
      </c>
      <c r="C187" s="173" t="s">
        <v>4055</v>
      </c>
      <c r="D187" s="173" t="s">
        <v>16</v>
      </c>
      <c r="E187" s="190" t="s">
        <v>1565</v>
      </c>
      <c r="F187" s="190" t="s">
        <v>1566</v>
      </c>
      <c r="G187" s="173" t="s">
        <v>182</v>
      </c>
      <c r="H187" s="173" t="s">
        <v>70</v>
      </c>
      <c r="I187" s="174">
        <v>3.79</v>
      </c>
      <c r="J187" s="174">
        <v>1.2</v>
      </c>
      <c r="K187" s="174"/>
      <c r="L187" s="174"/>
      <c r="M187" s="191">
        <v>768</v>
      </c>
      <c r="N187" s="176">
        <v>12.27</v>
      </c>
      <c r="O187" s="176">
        <v>12.26</v>
      </c>
      <c r="P187" s="176"/>
      <c r="Q187" s="178"/>
      <c r="R187" s="179"/>
      <c r="S187" s="179"/>
      <c r="T187" s="177">
        <v>44938</v>
      </c>
      <c r="U187" s="177"/>
      <c r="V187" s="177"/>
      <c r="W187" s="177"/>
      <c r="X187" s="177"/>
      <c r="Y187" s="177"/>
      <c r="Z187" s="177"/>
      <c r="AA187" s="177">
        <v>44933</v>
      </c>
      <c r="AB187" s="177"/>
      <c r="AC187" s="177"/>
      <c r="AD187" s="180" t="s">
        <v>1507</v>
      </c>
      <c r="AE187" s="173" t="s">
        <v>69</v>
      </c>
      <c r="AF187" s="181" t="s">
        <v>142</v>
      </c>
      <c r="AG187" s="192" t="s">
        <v>1508</v>
      </c>
      <c r="AH187" s="198"/>
      <c r="AI187" s="181">
        <v>44849</v>
      </c>
      <c r="AJ187" s="181"/>
      <c r="AK187" s="181">
        <f t="shared" ca="1" si="34"/>
        <v>44958</v>
      </c>
      <c r="AL187" s="173">
        <f t="shared" ca="1" si="36"/>
        <v>109</v>
      </c>
      <c r="AM187" s="173" t="str">
        <f t="shared" si="37"/>
        <v/>
      </c>
      <c r="AN187" s="181"/>
      <c r="AO187" s="190" t="s">
        <v>1567</v>
      </c>
      <c r="AP187" s="176">
        <v>24.59</v>
      </c>
      <c r="AQ187" s="176">
        <v>24.65</v>
      </c>
      <c r="AR187" s="176">
        <v>24.675000000000001</v>
      </c>
      <c r="AS187" s="176">
        <v>24.68</v>
      </c>
      <c r="AT187" s="173" t="str">
        <f t="shared" si="30"/>
        <v/>
      </c>
      <c r="AU187" s="173">
        <v>456</v>
      </c>
      <c r="AW187" s="142" t="s">
        <v>123</v>
      </c>
    </row>
    <row r="188" spans="2:49" s="142" customFormat="1" ht="21" customHeight="1" x14ac:dyDescent="0.25">
      <c r="B188" s="173" t="str">
        <f t="shared" si="35"/>
        <v>0-304L/1D-3.77X767</v>
      </c>
      <c r="C188" s="173" t="s">
        <v>4053</v>
      </c>
      <c r="D188" s="173" t="s">
        <v>13</v>
      </c>
      <c r="E188" s="190" t="s">
        <v>1511</v>
      </c>
      <c r="F188" s="190" t="s">
        <v>4062</v>
      </c>
      <c r="G188" s="173" t="s">
        <v>182</v>
      </c>
      <c r="H188" s="173" t="s">
        <v>127</v>
      </c>
      <c r="I188" s="174">
        <v>3.77</v>
      </c>
      <c r="J188" s="174"/>
      <c r="K188" s="174"/>
      <c r="L188" s="174"/>
      <c r="M188" s="191">
        <v>767</v>
      </c>
      <c r="N188" s="176">
        <v>12.26</v>
      </c>
      <c r="O188" s="176">
        <v>12.26</v>
      </c>
      <c r="P188" s="176"/>
      <c r="Q188" s="178"/>
      <c r="R188" s="179"/>
      <c r="S188" s="179"/>
      <c r="T188" s="177">
        <v>44938</v>
      </c>
      <c r="U188" s="177"/>
      <c r="V188" s="177"/>
      <c r="W188" s="177"/>
      <c r="X188" s="177"/>
      <c r="Y188" s="177"/>
      <c r="Z188" s="177"/>
      <c r="AA188" s="177">
        <v>44938</v>
      </c>
      <c r="AB188" s="177"/>
      <c r="AC188" s="177"/>
      <c r="AD188" s="180" t="s">
        <v>1507</v>
      </c>
      <c r="AE188" s="173" t="s">
        <v>69</v>
      </c>
      <c r="AF188" s="181" t="s">
        <v>142</v>
      </c>
      <c r="AG188" s="192" t="s">
        <v>1508</v>
      </c>
      <c r="AH188" s="198"/>
      <c r="AI188" s="181">
        <v>44849</v>
      </c>
      <c r="AJ188" s="181"/>
      <c r="AK188" s="181">
        <f t="shared" ca="1" si="34"/>
        <v>44958</v>
      </c>
      <c r="AL188" s="173">
        <f t="shared" ca="1" si="36"/>
        <v>109</v>
      </c>
      <c r="AM188" s="173" t="str">
        <f t="shared" si="37"/>
        <v/>
      </c>
      <c r="AN188" s="181"/>
      <c r="AO188" s="190" t="s">
        <v>1514</v>
      </c>
      <c r="AP188" s="176">
        <v>24.54</v>
      </c>
      <c r="AQ188" s="176">
        <v>24.6</v>
      </c>
      <c r="AR188" s="176">
        <v>24.625000000000004</v>
      </c>
      <c r="AS188" s="176">
        <v>24.630000000000003</v>
      </c>
      <c r="AT188" s="173" t="str">
        <f t="shared" si="30"/>
        <v/>
      </c>
      <c r="AU188" s="173">
        <v>456</v>
      </c>
      <c r="AW188" s="142" t="s">
        <v>123</v>
      </c>
    </row>
    <row r="189" spans="2:49" s="142" customFormat="1" ht="21" customHeight="1" x14ac:dyDescent="0.25">
      <c r="B189" s="173" t="str">
        <f t="shared" si="35"/>
        <v>0-304L/FH-1.50X767</v>
      </c>
      <c r="C189" s="173" t="s">
        <v>4055</v>
      </c>
      <c r="D189" s="173" t="s">
        <v>16</v>
      </c>
      <c r="E189" s="190" t="s">
        <v>4025</v>
      </c>
      <c r="F189" s="190" t="s">
        <v>4054</v>
      </c>
      <c r="G189" s="173" t="s">
        <v>182</v>
      </c>
      <c r="H189" s="173" t="s">
        <v>70</v>
      </c>
      <c r="I189" s="174">
        <v>3.8</v>
      </c>
      <c r="J189" s="174">
        <v>1.5</v>
      </c>
      <c r="K189" s="174"/>
      <c r="L189" s="174"/>
      <c r="M189" s="191">
        <v>767</v>
      </c>
      <c r="N189" s="176">
        <v>12.29</v>
      </c>
      <c r="O189" s="176">
        <v>12.28</v>
      </c>
      <c r="P189" s="176"/>
      <c r="Q189" s="178"/>
      <c r="R189" s="179"/>
      <c r="S189" s="179"/>
      <c r="T189" s="177">
        <v>44938</v>
      </c>
      <c r="U189" s="177"/>
      <c r="V189" s="177"/>
      <c r="W189" s="177"/>
      <c r="X189" s="177"/>
      <c r="Y189" s="177"/>
      <c r="Z189" s="177"/>
      <c r="AA189" s="177">
        <v>44932</v>
      </c>
      <c r="AB189" s="177"/>
      <c r="AC189" s="177"/>
      <c r="AD189" s="180" t="s">
        <v>1507</v>
      </c>
      <c r="AE189" s="173" t="s">
        <v>69</v>
      </c>
      <c r="AF189" s="181" t="s">
        <v>142</v>
      </c>
      <c r="AG189" s="192" t="s">
        <v>1508</v>
      </c>
      <c r="AH189" s="198"/>
      <c r="AI189" s="181">
        <v>44849</v>
      </c>
      <c r="AJ189" s="181"/>
      <c r="AK189" s="181">
        <f t="shared" ca="1" si="34"/>
        <v>44958</v>
      </c>
      <c r="AL189" s="173">
        <f t="shared" ca="1" si="36"/>
        <v>109</v>
      </c>
      <c r="AM189" s="173" t="str">
        <f t="shared" si="37"/>
        <v/>
      </c>
      <c r="AN189" s="181"/>
      <c r="AO189" s="190" t="s">
        <v>4027</v>
      </c>
      <c r="AP189" s="176">
        <v>24.6</v>
      </c>
      <c r="AQ189" s="176">
        <v>24.66</v>
      </c>
      <c r="AR189" s="176">
        <v>24.685000000000002</v>
      </c>
      <c r="AS189" s="176">
        <v>24.69</v>
      </c>
      <c r="AT189" s="173" t="str">
        <f t="shared" si="30"/>
        <v/>
      </c>
      <c r="AU189" s="173">
        <v>456</v>
      </c>
      <c r="AW189" s="142" t="s">
        <v>123</v>
      </c>
    </row>
    <row r="190" spans="2:49" s="142" customFormat="1" ht="21" customHeight="1" x14ac:dyDescent="0.25">
      <c r="B190" s="173" t="str">
        <f t="shared" si="35"/>
        <v>0-304L/1D-3.78X770</v>
      </c>
      <c r="C190" s="173" t="s">
        <v>4053</v>
      </c>
      <c r="D190" s="173" t="s">
        <v>13</v>
      </c>
      <c r="E190" s="190" t="s">
        <v>1561</v>
      </c>
      <c r="F190" s="190" t="s">
        <v>1562</v>
      </c>
      <c r="G190" s="173" t="s">
        <v>182</v>
      </c>
      <c r="H190" s="173" t="s">
        <v>127</v>
      </c>
      <c r="I190" s="174">
        <v>3.78</v>
      </c>
      <c r="J190" s="174"/>
      <c r="K190" s="174"/>
      <c r="L190" s="174"/>
      <c r="M190" s="191">
        <v>770</v>
      </c>
      <c r="N190" s="176">
        <v>12.335000000000001</v>
      </c>
      <c r="O190" s="176">
        <v>12.335000000000001</v>
      </c>
      <c r="P190" s="176"/>
      <c r="Q190" s="178"/>
      <c r="R190" s="179"/>
      <c r="S190" s="179"/>
      <c r="T190" s="177">
        <v>44938</v>
      </c>
      <c r="U190" s="177"/>
      <c r="V190" s="177"/>
      <c r="W190" s="177"/>
      <c r="X190" s="177"/>
      <c r="Y190" s="177"/>
      <c r="Z190" s="177"/>
      <c r="AA190" s="177">
        <v>44932</v>
      </c>
      <c r="AB190" s="177"/>
      <c r="AC190" s="177"/>
      <c r="AD190" s="180" t="s">
        <v>1507</v>
      </c>
      <c r="AE190" s="173" t="s">
        <v>69</v>
      </c>
      <c r="AF190" s="181" t="s">
        <v>142</v>
      </c>
      <c r="AG190" s="192" t="s">
        <v>1508</v>
      </c>
      <c r="AH190" s="198"/>
      <c r="AI190" s="181">
        <v>44849</v>
      </c>
      <c r="AJ190" s="181"/>
      <c r="AK190" s="181">
        <f t="shared" ca="1" si="34"/>
        <v>44958</v>
      </c>
      <c r="AL190" s="173">
        <f t="shared" ca="1" si="36"/>
        <v>109</v>
      </c>
      <c r="AM190" s="173" t="str">
        <f t="shared" si="37"/>
        <v/>
      </c>
      <c r="AN190" s="181"/>
      <c r="AO190" s="190" t="s">
        <v>1563</v>
      </c>
      <c r="AP190" s="176">
        <v>24.54</v>
      </c>
      <c r="AQ190" s="176">
        <v>24.6</v>
      </c>
      <c r="AR190" s="176">
        <v>24.625000000000004</v>
      </c>
      <c r="AS190" s="176">
        <v>24.630000000000003</v>
      </c>
      <c r="AT190" s="173" t="str">
        <f t="shared" si="30"/>
        <v/>
      </c>
      <c r="AU190" s="173">
        <v>456</v>
      </c>
      <c r="AW190" s="142" t="s">
        <v>123</v>
      </c>
    </row>
    <row r="191" spans="2:49" s="142" customFormat="1" ht="21" customHeight="1" x14ac:dyDescent="0.25">
      <c r="B191" s="173" t="str">
        <f t="shared" si="35"/>
        <v>0-304L/FH-1.20X768</v>
      </c>
      <c r="C191" s="173" t="s">
        <v>4055</v>
      </c>
      <c r="D191" s="173" t="s">
        <v>16</v>
      </c>
      <c r="E191" s="190" t="s">
        <v>1511</v>
      </c>
      <c r="F191" s="190" t="s">
        <v>1512</v>
      </c>
      <c r="G191" s="173" t="s">
        <v>182</v>
      </c>
      <c r="H191" s="173" t="s">
        <v>70</v>
      </c>
      <c r="I191" s="174">
        <v>3.77</v>
      </c>
      <c r="J191" s="174">
        <v>1.2</v>
      </c>
      <c r="K191" s="174"/>
      <c r="L191" s="174"/>
      <c r="M191" s="191">
        <v>768</v>
      </c>
      <c r="N191" s="176">
        <v>12.28</v>
      </c>
      <c r="O191" s="176">
        <v>12.27</v>
      </c>
      <c r="P191" s="176"/>
      <c r="Q191" s="178"/>
      <c r="R191" s="179"/>
      <c r="S191" s="179"/>
      <c r="T191" s="177">
        <v>44938</v>
      </c>
      <c r="U191" s="177"/>
      <c r="V191" s="177"/>
      <c r="W191" s="177"/>
      <c r="X191" s="177"/>
      <c r="Y191" s="177"/>
      <c r="Z191" s="177"/>
      <c r="AA191" s="177">
        <v>44938</v>
      </c>
      <c r="AB191" s="177"/>
      <c r="AC191" s="177"/>
      <c r="AD191" s="180" t="s">
        <v>1507</v>
      </c>
      <c r="AE191" s="173" t="s">
        <v>69</v>
      </c>
      <c r="AF191" s="181" t="s">
        <v>142</v>
      </c>
      <c r="AG191" s="192" t="s">
        <v>1508</v>
      </c>
      <c r="AH191" s="198"/>
      <c r="AI191" s="181">
        <v>44849</v>
      </c>
      <c r="AJ191" s="181"/>
      <c r="AK191" s="181">
        <f t="shared" ca="1" si="34"/>
        <v>44958</v>
      </c>
      <c r="AL191" s="173">
        <f t="shared" ca="1" si="36"/>
        <v>109</v>
      </c>
      <c r="AM191" s="173" t="str">
        <f t="shared" si="37"/>
        <v/>
      </c>
      <c r="AN191" s="181"/>
      <c r="AO191" s="190" t="s">
        <v>1514</v>
      </c>
      <c r="AP191" s="176">
        <v>24.54</v>
      </c>
      <c r="AQ191" s="176">
        <v>24.6</v>
      </c>
      <c r="AR191" s="176">
        <v>24.625000000000004</v>
      </c>
      <c r="AS191" s="176">
        <v>24.630000000000003</v>
      </c>
      <c r="AT191" s="173" t="str">
        <f t="shared" si="30"/>
        <v/>
      </c>
      <c r="AU191" s="173">
        <v>456</v>
      </c>
      <c r="AW191" s="142" t="s">
        <v>123</v>
      </c>
    </row>
    <row r="192" spans="2:49" s="142" customFormat="1" ht="21" customHeight="1" x14ac:dyDescent="0.25">
      <c r="B192" s="173" t="str">
        <f t="shared" si="35"/>
        <v>0-304L/1D-3.79X768</v>
      </c>
      <c r="C192" s="173" t="s">
        <v>4053</v>
      </c>
      <c r="D192" s="173" t="s">
        <v>13</v>
      </c>
      <c r="E192" s="190" t="s">
        <v>1551</v>
      </c>
      <c r="F192" s="190" t="s">
        <v>1552</v>
      </c>
      <c r="G192" s="173" t="s">
        <v>182</v>
      </c>
      <c r="H192" s="173" t="s">
        <v>127</v>
      </c>
      <c r="I192" s="174">
        <v>3.79</v>
      </c>
      <c r="J192" s="174"/>
      <c r="K192" s="174"/>
      <c r="L192" s="174"/>
      <c r="M192" s="191">
        <v>768</v>
      </c>
      <c r="N192" s="176">
        <v>12.265000000000001</v>
      </c>
      <c r="O192" s="176">
        <v>12.265000000000001</v>
      </c>
      <c r="P192" s="176"/>
      <c r="Q192" s="178"/>
      <c r="R192" s="179"/>
      <c r="S192" s="179"/>
      <c r="T192" s="177">
        <v>44938</v>
      </c>
      <c r="U192" s="177"/>
      <c r="V192" s="177"/>
      <c r="W192" s="177"/>
      <c r="X192" s="177"/>
      <c r="Y192" s="177"/>
      <c r="Z192" s="177"/>
      <c r="AA192" s="177">
        <v>44934</v>
      </c>
      <c r="AB192" s="177"/>
      <c r="AC192" s="177"/>
      <c r="AD192" s="180" t="s">
        <v>1507</v>
      </c>
      <c r="AE192" s="173" t="s">
        <v>69</v>
      </c>
      <c r="AF192" s="181" t="s">
        <v>142</v>
      </c>
      <c r="AG192" s="192" t="s">
        <v>1508</v>
      </c>
      <c r="AH192" s="198"/>
      <c r="AI192" s="181">
        <v>44849</v>
      </c>
      <c r="AJ192" s="181"/>
      <c r="AK192" s="181">
        <f t="shared" ca="1" si="34"/>
        <v>44958</v>
      </c>
      <c r="AL192" s="173">
        <f t="shared" ca="1" si="36"/>
        <v>109</v>
      </c>
      <c r="AM192" s="173" t="str">
        <f t="shared" si="37"/>
        <v/>
      </c>
      <c r="AN192" s="181"/>
      <c r="AO192" s="190" t="s">
        <v>1553</v>
      </c>
      <c r="AP192" s="176">
        <v>24.51</v>
      </c>
      <c r="AQ192" s="176">
        <v>24.57</v>
      </c>
      <c r="AR192" s="176">
        <v>24.595000000000002</v>
      </c>
      <c r="AS192" s="176">
        <v>24.6</v>
      </c>
      <c r="AT192" s="173" t="str">
        <f t="shared" si="30"/>
        <v/>
      </c>
      <c r="AU192" s="173">
        <v>456</v>
      </c>
      <c r="AW192" s="142" t="s">
        <v>123</v>
      </c>
    </row>
    <row r="193" spans="2:49" s="142" customFormat="1" ht="21" customHeight="1" x14ac:dyDescent="0.25">
      <c r="B193" s="173" t="str">
        <f t="shared" si="35"/>
        <v>0-304L/FH-1.20X767</v>
      </c>
      <c r="C193" s="173" t="s">
        <v>4055</v>
      </c>
      <c r="D193" s="173" t="s">
        <v>16</v>
      </c>
      <c r="E193" s="190" t="s">
        <v>1522</v>
      </c>
      <c r="F193" s="190" t="s">
        <v>4022</v>
      </c>
      <c r="G193" s="173" t="s">
        <v>182</v>
      </c>
      <c r="H193" s="173" t="s">
        <v>70</v>
      </c>
      <c r="I193" s="174">
        <v>3.8</v>
      </c>
      <c r="J193" s="174">
        <v>1.2</v>
      </c>
      <c r="K193" s="174"/>
      <c r="L193" s="174"/>
      <c r="M193" s="191">
        <v>767</v>
      </c>
      <c r="N193" s="176">
        <v>12.1</v>
      </c>
      <c r="O193" s="176">
        <v>12.11</v>
      </c>
      <c r="P193" s="176"/>
      <c r="Q193" s="178"/>
      <c r="R193" s="179"/>
      <c r="S193" s="179"/>
      <c r="T193" s="177">
        <v>44936</v>
      </c>
      <c r="U193" s="177"/>
      <c r="V193" s="177"/>
      <c r="W193" s="177"/>
      <c r="X193" s="177"/>
      <c r="Y193" s="177"/>
      <c r="Z193" s="177"/>
      <c r="AA193" s="177">
        <v>44935</v>
      </c>
      <c r="AB193" s="177"/>
      <c r="AC193" s="177"/>
      <c r="AD193" s="180" t="s">
        <v>1507</v>
      </c>
      <c r="AE193" s="173" t="s">
        <v>69</v>
      </c>
      <c r="AF193" s="181" t="s">
        <v>142</v>
      </c>
      <c r="AG193" s="192" t="s">
        <v>1508</v>
      </c>
      <c r="AH193" s="198"/>
      <c r="AI193" s="181">
        <v>44849</v>
      </c>
      <c r="AJ193" s="181"/>
      <c r="AK193" s="181">
        <f t="shared" ca="1" si="34"/>
        <v>44958</v>
      </c>
      <c r="AL193" s="173">
        <f t="shared" ca="1" si="36"/>
        <v>109</v>
      </c>
      <c r="AM193" s="173" t="str">
        <f t="shared" si="37"/>
        <v/>
      </c>
      <c r="AN193" s="181"/>
      <c r="AO193" s="190" t="s">
        <v>1525</v>
      </c>
      <c r="AP193" s="176">
        <v>24.204999999999998</v>
      </c>
      <c r="AQ193" s="176">
        <v>24.265000000000001</v>
      </c>
      <c r="AR193" s="176">
        <v>24.290000000000003</v>
      </c>
      <c r="AS193" s="176">
        <v>24.295000000000002</v>
      </c>
      <c r="AT193" s="173" t="str">
        <f t="shared" si="30"/>
        <v/>
      </c>
      <c r="AU193" s="173">
        <v>456</v>
      </c>
      <c r="AW193" s="142" t="s">
        <v>123</v>
      </c>
    </row>
    <row r="194" spans="2:49" s="142" customFormat="1" ht="21" customHeight="1" x14ac:dyDescent="0.25">
      <c r="B194" s="173" t="str">
        <f t="shared" si="35"/>
        <v>0-304L/1D-3.79X768</v>
      </c>
      <c r="C194" s="173" t="s">
        <v>4053</v>
      </c>
      <c r="D194" s="173" t="s">
        <v>13</v>
      </c>
      <c r="E194" s="190" t="s">
        <v>1551</v>
      </c>
      <c r="F194" s="190" t="s">
        <v>4063</v>
      </c>
      <c r="G194" s="173" t="s">
        <v>182</v>
      </c>
      <c r="H194" s="173" t="s">
        <v>127</v>
      </c>
      <c r="I194" s="174">
        <v>3.79</v>
      </c>
      <c r="J194" s="174"/>
      <c r="K194" s="174"/>
      <c r="L194" s="174"/>
      <c r="M194" s="191">
        <v>768</v>
      </c>
      <c r="N194" s="176">
        <v>12.25</v>
      </c>
      <c r="O194" s="176">
        <v>12.25</v>
      </c>
      <c r="P194" s="176"/>
      <c r="Q194" s="178"/>
      <c r="R194" s="179"/>
      <c r="S194" s="179"/>
      <c r="T194" s="177">
        <v>44938</v>
      </c>
      <c r="U194" s="177"/>
      <c r="V194" s="177"/>
      <c r="W194" s="177"/>
      <c r="X194" s="177"/>
      <c r="Y194" s="177"/>
      <c r="Z194" s="177"/>
      <c r="AA194" s="177">
        <v>44934</v>
      </c>
      <c r="AB194" s="177"/>
      <c r="AC194" s="177"/>
      <c r="AD194" s="180" t="s">
        <v>1507</v>
      </c>
      <c r="AE194" s="173" t="s">
        <v>69</v>
      </c>
      <c r="AF194" s="181" t="s">
        <v>142</v>
      </c>
      <c r="AG194" s="192" t="s">
        <v>1508</v>
      </c>
      <c r="AH194" s="198"/>
      <c r="AI194" s="181">
        <v>44849</v>
      </c>
      <c r="AJ194" s="181"/>
      <c r="AK194" s="181">
        <f t="shared" ca="1" si="34"/>
        <v>44958</v>
      </c>
      <c r="AL194" s="173">
        <f t="shared" ca="1" si="36"/>
        <v>109</v>
      </c>
      <c r="AM194" s="173" t="str">
        <f t="shared" si="37"/>
        <v/>
      </c>
      <c r="AN194" s="181"/>
      <c r="AO194" s="190" t="s">
        <v>1553</v>
      </c>
      <c r="AP194" s="176">
        <v>24.51</v>
      </c>
      <c r="AQ194" s="176">
        <v>24.57</v>
      </c>
      <c r="AR194" s="176">
        <v>24.595000000000002</v>
      </c>
      <c r="AS194" s="176">
        <v>24.6</v>
      </c>
      <c r="AT194" s="173" t="str">
        <f t="shared" si="30"/>
        <v/>
      </c>
      <c r="AU194" s="173">
        <v>456</v>
      </c>
      <c r="AW194" s="142" t="s">
        <v>123</v>
      </c>
    </row>
    <row r="195" spans="2:49" s="142" customFormat="1" ht="21" customHeight="1" x14ac:dyDescent="0.25">
      <c r="B195" s="173" t="str">
        <f t="shared" si="35"/>
        <v>0-304/1D-2.91X642</v>
      </c>
      <c r="C195" s="173" t="s">
        <v>4053</v>
      </c>
      <c r="D195" s="173" t="s">
        <v>13</v>
      </c>
      <c r="E195" s="190" t="s">
        <v>4064</v>
      </c>
      <c r="F195" s="190" t="s">
        <v>4065</v>
      </c>
      <c r="G195" s="173">
        <v>304</v>
      </c>
      <c r="H195" s="173" t="s">
        <v>127</v>
      </c>
      <c r="I195" s="174">
        <v>2.91</v>
      </c>
      <c r="J195" s="174"/>
      <c r="K195" s="174"/>
      <c r="L195" s="174"/>
      <c r="M195" s="191">
        <v>642</v>
      </c>
      <c r="N195" s="176">
        <v>8.5950000000000006</v>
      </c>
      <c r="O195" s="176">
        <v>8.5950000000000006</v>
      </c>
      <c r="P195" s="176"/>
      <c r="Q195" s="178"/>
      <c r="R195" s="179"/>
      <c r="S195" s="179"/>
      <c r="T195" s="177">
        <v>44938</v>
      </c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80" t="s">
        <v>2479</v>
      </c>
      <c r="AE195" s="173" t="s">
        <v>69</v>
      </c>
      <c r="AF195" s="181" t="s">
        <v>142</v>
      </c>
      <c r="AG195" s="192" t="s">
        <v>1657</v>
      </c>
      <c r="AH195" s="198"/>
      <c r="AI195" s="181">
        <v>44849</v>
      </c>
      <c r="AJ195" s="181"/>
      <c r="AK195" s="181">
        <f t="shared" ca="1" si="34"/>
        <v>44958</v>
      </c>
      <c r="AL195" s="173">
        <f t="shared" ca="1" si="36"/>
        <v>109</v>
      </c>
      <c r="AM195" s="173" t="str">
        <f t="shared" si="37"/>
        <v/>
      </c>
      <c r="AN195" s="181"/>
      <c r="AO195" s="190" t="s">
        <v>4066</v>
      </c>
      <c r="AP195" s="176">
        <v>8.5950000000000006</v>
      </c>
      <c r="AQ195" s="176">
        <v>8.6050000000000004</v>
      </c>
      <c r="AR195" s="176">
        <v>8.629999999999999</v>
      </c>
      <c r="AS195" s="176">
        <v>8.6349999999999998</v>
      </c>
      <c r="AT195" s="173" t="str">
        <f t="shared" si="30"/>
        <v/>
      </c>
      <c r="AU195" s="173">
        <v>456</v>
      </c>
      <c r="AW195" s="142" t="s">
        <v>123</v>
      </c>
    </row>
    <row r="196" spans="2:49" s="142" customFormat="1" ht="21" customHeight="1" x14ac:dyDescent="0.25">
      <c r="B196" s="173" t="str">
        <f t="shared" si="35"/>
        <v>0-304L/FH-1.20X770</v>
      </c>
      <c r="C196" s="173" t="s">
        <v>4067</v>
      </c>
      <c r="D196" s="173" t="s">
        <v>16</v>
      </c>
      <c r="E196" s="190" t="s">
        <v>1561</v>
      </c>
      <c r="F196" s="190" t="s">
        <v>1562</v>
      </c>
      <c r="G196" s="173" t="s">
        <v>182</v>
      </c>
      <c r="H196" s="173" t="s">
        <v>70</v>
      </c>
      <c r="I196" s="174">
        <v>3.78</v>
      </c>
      <c r="J196" s="174">
        <v>1.2</v>
      </c>
      <c r="K196" s="174"/>
      <c r="L196" s="174"/>
      <c r="M196" s="191">
        <v>770</v>
      </c>
      <c r="N196" s="176">
        <v>12.335000000000001</v>
      </c>
      <c r="O196" s="176">
        <v>12.33</v>
      </c>
      <c r="P196" s="176"/>
      <c r="Q196" s="178"/>
      <c r="R196" s="179"/>
      <c r="S196" s="179"/>
      <c r="T196" s="177">
        <v>44938</v>
      </c>
      <c r="U196" s="177"/>
      <c r="V196" s="177"/>
      <c r="W196" s="177"/>
      <c r="X196" s="177"/>
      <c r="Y196" s="177"/>
      <c r="Z196" s="177"/>
      <c r="AA196" s="177">
        <v>44932</v>
      </c>
      <c r="AB196" s="177"/>
      <c r="AC196" s="177"/>
      <c r="AD196" s="180" t="s">
        <v>1507</v>
      </c>
      <c r="AE196" s="173" t="s">
        <v>69</v>
      </c>
      <c r="AF196" s="181" t="s">
        <v>142</v>
      </c>
      <c r="AG196" s="192" t="s">
        <v>1508</v>
      </c>
      <c r="AH196" s="198"/>
      <c r="AI196" s="181">
        <v>44849</v>
      </c>
      <c r="AJ196" s="181"/>
      <c r="AK196" s="181">
        <f t="shared" ca="1" si="34"/>
        <v>44958</v>
      </c>
      <c r="AL196" s="173">
        <f t="shared" ca="1" si="36"/>
        <v>109</v>
      </c>
      <c r="AM196" s="173" t="str">
        <f t="shared" si="37"/>
        <v/>
      </c>
      <c r="AN196" s="181"/>
      <c r="AO196" s="190" t="s">
        <v>1563</v>
      </c>
      <c r="AP196" s="176">
        <v>24.54</v>
      </c>
      <c r="AQ196" s="176">
        <v>24.6</v>
      </c>
      <c r="AR196" s="176">
        <v>24.625000000000004</v>
      </c>
      <c r="AS196" s="176">
        <v>24.630000000000003</v>
      </c>
      <c r="AT196" s="173" t="str">
        <f t="shared" ref="AT196:AT259" si="38">IF(ISNUMBER(V196)=TRUE,AK196-V196,IF(V196="","",(AK196)-(MID(RIGHT(V196,10),4,2)&amp;"/"&amp;LEFT((RIGHT(V196,10)),2)&amp;"/"&amp;RIGHT(V196,4))))</f>
        <v/>
      </c>
      <c r="AU196" s="173">
        <v>456</v>
      </c>
      <c r="AW196" s="142" t="s">
        <v>123</v>
      </c>
    </row>
    <row r="197" spans="2:49" s="142" customFormat="1" ht="21" customHeight="1" x14ac:dyDescent="0.25">
      <c r="B197" s="173" t="str">
        <f t="shared" si="35"/>
        <v>0-304L/1D-3.80X767</v>
      </c>
      <c r="C197" s="173" t="s">
        <v>4068</v>
      </c>
      <c r="D197" s="173" t="s">
        <v>13</v>
      </c>
      <c r="E197" s="190" t="s">
        <v>1522</v>
      </c>
      <c r="F197" s="190" t="s">
        <v>1523</v>
      </c>
      <c r="G197" s="173" t="s">
        <v>182</v>
      </c>
      <c r="H197" s="173" t="s">
        <v>127</v>
      </c>
      <c r="I197" s="174">
        <v>3.8</v>
      </c>
      <c r="J197" s="174"/>
      <c r="K197" s="174"/>
      <c r="L197" s="174"/>
      <c r="M197" s="191">
        <v>767</v>
      </c>
      <c r="N197" s="176">
        <v>12.15</v>
      </c>
      <c r="O197" s="176">
        <v>12.15</v>
      </c>
      <c r="P197" s="176"/>
      <c r="Q197" s="178"/>
      <c r="R197" s="179"/>
      <c r="S197" s="179"/>
      <c r="T197" s="177">
        <v>44939</v>
      </c>
      <c r="U197" s="177"/>
      <c r="V197" s="177"/>
      <c r="W197" s="177"/>
      <c r="X197" s="177"/>
      <c r="Y197" s="177"/>
      <c r="Z197" s="177"/>
      <c r="AA197" s="177">
        <v>44935</v>
      </c>
      <c r="AB197" s="177"/>
      <c r="AC197" s="177"/>
      <c r="AD197" s="180" t="s">
        <v>1507</v>
      </c>
      <c r="AE197" s="173" t="s">
        <v>69</v>
      </c>
      <c r="AF197" s="181" t="s">
        <v>142</v>
      </c>
      <c r="AG197" s="192" t="s">
        <v>1508</v>
      </c>
      <c r="AH197" s="198"/>
      <c r="AI197" s="181">
        <v>44849</v>
      </c>
      <c r="AJ197" s="181"/>
      <c r="AK197" s="181">
        <f t="shared" ca="1" si="34"/>
        <v>44958</v>
      </c>
      <c r="AL197" s="173">
        <f t="shared" ca="1" si="36"/>
        <v>109</v>
      </c>
      <c r="AM197" s="173" t="str">
        <f t="shared" si="37"/>
        <v/>
      </c>
      <c r="AN197" s="181"/>
      <c r="AO197" s="190" t="s">
        <v>1525</v>
      </c>
      <c r="AP197" s="176">
        <v>24.204999999999998</v>
      </c>
      <c r="AQ197" s="176">
        <v>24.265000000000001</v>
      </c>
      <c r="AR197" s="176">
        <v>24.290000000000003</v>
      </c>
      <c r="AS197" s="176">
        <v>24.295000000000002</v>
      </c>
      <c r="AT197" s="173" t="str">
        <f t="shared" si="38"/>
        <v/>
      </c>
      <c r="AU197" s="173">
        <v>456</v>
      </c>
      <c r="AW197" s="142" t="s">
        <v>123</v>
      </c>
    </row>
    <row r="198" spans="2:49" s="142" customFormat="1" ht="21" customHeight="1" x14ac:dyDescent="0.25">
      <c r="B198" s="173" t="str">
        <f t="shared" si="35"/>
        <v>0-304L/FH-1.50X768</v>
      </c>
      <c r="C198" s="173" t="s">
        <v>4067</v>
      </c>
      <c r="D198" s="173" t="s">
        <v>16</v>
      </c>
      <c r="E198" s="190" t="s">
        <v>1551</v>
      </c>
      <c r="F198" s="190" t="s">
        <v>1552</v>
      </c>
      <c r="G198" s="173" t="s">
        <v>182</v>
      </c>
      <c r="H198" s="173" t="s">
        <v>70</v>
      </c>
      <c r="I198" s="174">
        <v>3.79</v>
      </c>
      <c r="J198" s="174">
        <v>1.5</v>
      </c>
      <c r="K198" s="174"/>
      <c r="L198" s="174"/>
      <c r="M198" s="191">
        <v>768</v>
      </c>
      <c r="N198" s="176">
        <v>12.265000000000001</v>
      </c>
      <c r="O198" s="176">
        <v>12.255000000000001</v>
      </c>
      <c r="P198" s="176"/>
      <c r="Q198" s="178"/>
      <c r="R198" s="179"/>
      <c r="S198" s="179"/>
      <c r="T198" s="177">
        <v>44938</v>
      </c>
      <c r="U198" s="177"/>
      <c r="V198" s="177"/>
      <c r="W198" s="177"/>
      <c r="X198" s="177"/>
      <c r="Y198" s="177"/>
      <c r="Z198" s="177"/>
      <c r="AA198" s="177">
        <v>44934</v>
      </c>
      <c r="AB198" s="177"/>
      <c r="AC198" s="177"/>
      <c r="AD198" s="180" t="s">
        <v>1507</v>
      </c>
      <c r="AE198" s="173" t="s">
        <v>69</v>
      </c>
      <c r="AF198" s="181" t="s">
        <v>142</v>
      </c>
      <c r="AG198" s="192" t="s">
        <v>1508</v>
      </c>
      <c r="AH198" s="198"/>
      <c r="AI198" s="181">
        <v>44849</v>
      </c>
      <c r="AJ198" s="181"/>
      <c r="AK198" s="181">
        <f t="shared" ca="1" si="34"/>
        <v>44958</v>
      </c>
      <c r="AL198" s="173">
        <f t="shared" ca="1" si="36"/>
        <v>109</v>
      </c>
      <c r="AM198" s="173" t="str">
        <f t="shared" si="37"/>
        <v/>
      </c>
      <c r="AN198" s="181"/>
      <c r="AO198" s="190" t="s">
        <v>1553</v>
      </c>
      <c r="AP198" s="176">
        <v>24.51</v>
      </c>
      <c r="AQ198" s="176">
        <v>24.57</v>
      </c>
      <c r="AR198" s="176">
        <v>24.595000000000002</v>
      </c>
      <c r="AS198" s="176">
        <v>24.6</v>
      </c>
      <c r="AT198" s="173" t="str">
        <f t="shared" si="38"/>
        <v/>
      </c>
      <c r="AU198" s="173">
        <v>456</v>
      </c>
      <c r="AW198" s="142" t="s">
        <v>123</v>
      </c>
    </row>
    <row r="199" spans="2:49" s="142" customFormat="1" ht="21" customHeight="1" x14ac:dyDescent="0.25">
      <c r="B199" s="173" t="str">
        <f t="shared" si="35"/>
        <v>0-304L/1D-2.98X640</v>
      </c>
      <c r="C199" s="173" t="s">
        <v>4069</v>
      </c>
      <c r="D199" s="173" t="s">
        <v>13</v>
      </c>
      <c r="E199" s="190" t="s">
        <v>4070</v>
      </c>
      <c r="F199" s="190" t="s">
        <v>4071</v>
      </c>
      <c r="G199" s="173" t="s">
        <v>182</v>
      </c>
      <c r="H199" s="173" t="s">
        <v>127</v>
      </c>
      <c r="I199" s="174">
        <v>2.98</v>
      </c>
      <c r="J199" s="174"/>
      <c r="K199" s="174"/>
      <c r="L199" s="174"/>
      <c r="M199" s="191">
        <v>640</v>
      </c>
      <c r="N199" s="176">
        <v>10.385</v>
      </c>
      <c r="O199" s="176">
        <v>10.385</v>
      </c>
      <c r="P199" s="176"/>
      <c r="Q199" s="178"/>
      <c r="R199" s="179"/>
      <c r="S199" s="179"/>
      <c r="T199" s="177">
        <v>44939</v>
      </c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80" t="s">
        <v>2479</v>
      </c>
      <c r="AE199" s="173" t="s">
        <v>69</v>
      </c>
      <c r="AF199" s="181" t="s">
        <v>142</v>
      </c>
      <c r="AG199" s="192" t="s">
        <v>1887</v>
      </c>
      <c r="AH199" s="198"/>
      <c r="AI199" s="181">
        <v>44880</v>
      </c>
      <c r="AJ199" s="181"/>
      <c r="AK199" s="181">
        <f t="shared" ca="1" si="34"/>
        <v>44958</v>
      </c>
      <c r="AL199" s="173">
        <f t="shared" ca="1" si="36"/>
        <v>78</v>
      </c>
      <c r="AM199" s="173" t="str">
        <f t="shared" si="37"/>
        <v/>
      </c>
      <c r="AN199" s="181"/>
      <c r="AO199" s="190" t="s">
        <v>2302</v>
      </c>
      <c r="AP199" s="176">
        <v>10.385</v>
      </c>
      <c r="AQ199" s="176">
        <v>10.395</v>
      </c>
      <c r="AR199" s="176">
        <v>10.419999999999998</v>
      </c>
      <c r="AS199" s="176">
        <v>10.424999999999999</v>
      </c>
      <c r="AT199" s="173" t="str">
        <f t="shared" si="38"/>
        <v/>
      </c>
      <c r="AU199" s="173">
        <v>459</v>
      </c>
      <c r="AW199" s="142" t="s">
        <v>123</v>
      </c>
    </row>
    <row r="200" spans="2:49" s="142" customFormat="1" ht="21" customHeight="1" x14ac:dyDescent="0.25">
      <c r="B200" s="173" t="str">
        <f t="shared" si="35"/>
        <v>0-304L/1D-3.80X768</v>
      </c>
      <c r="C200" s="173" t="s">
        <v>4068</v>
      </c>
      <c r="D200" s="173" t="s">
        <v>13</v>
      </c>
      <c r="E200" s="190" t="s">
        <v>1519</v>
      </c>
      <c r="F200" s="190" t="s">
        <v>1520</v>
      </c>
      <c r="G200" s="173" t="s">
        <v>182</v>
      </c>
      <c r="H200" s="173" t="s">
        <v>127</v>
      </c>
      <c r="I200" s="174">
        <v>3.8</v>
      </c>
      <c r="J200" s="174"/>
      <c r="K200" s="174"/>
      <c r="L200" s="174"/>
      <c r="M200" s="191">
        <v>768</v>
      </c>
      <c r="N200" s="176">
        <v>12.315</v>
      </c>
      <c r="O200" s="176">
        <v>12.315</v>
      </c>
      <c r="P200" s="176"/>
      <c r="Q200" s="178"/>
      <c r="R200" s="179"/>
      <c r="S200" s="179"/>
      <c r="T200" s="177">
        <v>44939</v>
      </c>
      <c r="U200" s="177"/>
      <c r="V200" s="177"/>
      <c r="W200" s="177"/>
      <c r="X200" s="177"/>
      <c r="Y200" s="177"/>
      <c r="Z200" s="177"/>
      <c r="AA200" s="177">
        <v>44934</v>
      </c>
      <c r="AB200" s="177"/>
      <c r="AC200" s="177"/>
      <c r="AD200" s="180" t="s">
        <v>1507</v>
      </c>
      <c r="AE200" s="173" t="s">
        <v>69</v>
      </c>
      <c r="AF200" s="181" t="s">
        <v>142</v>
      </c>
      <c r="AG200" s="192" t="s">
        <v>1508</v>
      </c>
      <c r="AH200" s="198"/>
      <c r="AI200" s="181">
        <v>44849</v>
      </c>
      <c r="AJ200" s="181"/>
      <c r="AK200" s="181">
        <f t="shared" ca="1" si="34"/>
        <v>44958</v>
      </c>
      <c r="AL200" s="173">
        <f t="shared" ca="1" si="36"/>
        <v>109</v>
      </c>
      <c r="AM200" s="173" t="str">
        <f t="shared" si="37"/>
        <v/>
      </c>
      <c r="AN200" s="181"/>
      <c r="AO200" s="190" t="s">
        <v>1521</v>
      </c>
      <c r="AP200" s="176">
        <v>24.605</v>
      </c>
      <c r="AQ200" s="176">
        <v>24.664999999999999</v>
      </c>
      <c r="AR200" s="176">
        <v>24.69</v>
      </c>
      <c r="AS200" s="176">
        <v>24.695</v>
      </c>
      <c r="AT200" s="173" t="str">
        <f t="shared" si="38"/>
        <v/>
      </c>
      <c r="AU200" s="173">
        <v>456</v>
      </c>
      <c r="AW200" s="142" t="s">
        <v>123</v>
      </c>
    </row>
    <row r="201" spans="2:49" s="142" customFormat="1" ht="21" customHeight="1" x14ac:dyDescent="0.25">
      <c r="B201" s="173" t="str">
        <f t="shared" si="35"/>
        <v>0-304L/FH-1.50X767</v>
      </c>
      <c r="C201" s="173" t="s">
        <v>4067</v>
      </c>
      <c r="D201" s="173" t="s">
        <v>16</v>
      </c>
      <c r="E201" s="190" t="s">
        <v>1522</v>
      </c>
      <c r="F201" s="190" t="s">
        <v>1523</v>
      </c>
      <c r="G201" s="173" t="s">
        <v>182</v>
      </c>
      <c r="H201" s="173" t="s">
        <v>70</v>
      </c>
      <c r="I201" s="174">
        <v>3.8</v>
      </c>
      <c r="J201" s="174">
        <v>1.5</v>
      </c>
      <c r="K201" s="174"/>
      <c r="L201" s="174"/>
      <c r="M201" s="191">
        <v>767</v>
      </c>
      <c r="N201" s="176">
        <v>12.15</v>
      </c>
      <c r="O201" s="176">
        <v>12.175000000000001</v>
      </c>
      <c r="P201" s="176"/>
      <c r="Q201" s="178"/>
      <c r="R201" s="179"/>
      <c r="S201" s="179"/>
      <c r="T201" s="177">
        <v>44939</v>
      </c>
      <c r="U201" s="177"/>
      <c r="V201" s="177"/>
      <c r="W201" s="177"/>
      <c r="X201" s="177"/>
      <c r="Y201" s="177"/>
      <c r="Z201" s="177"/>
      <c r="AA201" s="177">
        <v>44935</v>
      </c>
      <c r="AB201" s="177"/>
      <c r="AC201" s="177"/>
      <c r="AD201" s="180" t="s">
        <v>1507</v>
      </c>
      <c r="AE201" s="173" t="s">
        <v>69</v>
      </c>
      <c r="AF201" s="181" t="s">
        <v>142</v>
      </c>
      <c r="AG201" s="192" t="s">
        <v>1508</v>
      </c>
      <c r="AH201" s="198"/>
      <c r="AI201" s="181">
        <v>44849</v>
      </c>
      <c r="AJ201" s="181"/>
      <c r="AK201" s="181">
        <f t="shared" ca="1" si="34"/>
        <v>44958</v>
      </c>
      <c r="AL201" s="173">
        <f t="shared" ca="1" si="36"/>
        <v>109</v>
      </c>
      <c r="AM201" s="173" t="str">
        <f t="shared" si="37"/>
        <v/>
      </c>
      <c r="AN201" s="181"/>
      <c r="AO201" s="190" t="s">
        <v>1525</v>
      </c>
      <c r="AP201" s="176">
        <v>24.204999999999998</v>
      </c>
      <c r="AQ201" s="176">
        <v>24.265000000000001</v>
      </c>
      <c r="AR201" s="176">
        <v>24.290000000000003</v>
      </c>
      <c r="AS201" s="176">
        <v>24.295000000000002</v>
      </c>
      <c r="AT201" s="173" t="str">
        <f t="shared" si="38"/>
        <v/>
      </c>
      <c r="AU201" s="173">
        <v>456</v>
      </c>
      <c r="AW201" s="142" t="s">
        <v>123</v>
      </c>
    </row>
    <row r="202" spans="2:49" s="142" customFormat="1" ht="21" customHeight="1" x14ac:dyDescent="0.25">
      <c r="B202" s="173" t="str">
        <f t="shared" si="35"/>
        <v>0-304L/1D-3.79X768</v>
      </c>
      <c r="C202" s="173" t="s">
        <v>4068</v>
      </c>
      <c r="D202" s="173" t="s">
        <v>13</v>
      </c>
      <c r="E202" s="190" t="s">
        <v>1573</v>
      </c>
      <c r="F202" s="190" t="s">
        <v>4072</v>
      </c>
      <c r="G202" s="173" t="s">
        <v>182</v>
      </c>
      <c r="H202" s="173" t="s">
        <v>127</v>
      </c>
      <c r="I202" s="174">
        <v>3.79</v>
      </c>
      <c r="J202" s="174"/>
      <c r="K202" s="174"/>
      <c r="L202" s="174"/>
      <c r="M202" s="191">
        <v>768</v>
      </c>
      <c r="N202" s="176">
        <v>12.305</v>
      </c>
      <c r="O202" s="176">
        <v>12.305</v>
      </c>
      <c r="P202" s="176"/>
      <c r="Q202" s="178"/>
      <c r="R202" s="179"/>
      <c r="S202" s="179"/>
      <c r="T202" s="177">
        <v>44939</v>
      </c>
      <c r="U202" s="177"/>
      <c r="V202" s="177"/>
      <c r="W202" s="177"/>
      <c r="X202" s="177"/>
      <c r="Y202" s="177"/>
      <c r="Z202" s="177"/>
      <c r="AA202" s="177">
        <v>44934</v>
      </c>
      <c r="AB202" s="177"/>
      <c r="AC202" s="177"/>
      <c r="AD202" s="180" t="s">
        <v>1507</v>
      </c>
      <c r="AE202" s="173" t="s">
        <v>69</v>
      </c>
      <c r="AF202" s="181" t="s">
        <v>142</v>
      </c>
      <c r="AG202" s="192" t="s">
        <v>1508</v>
      </c>
      <c r="AH202" s="198"/>
      <c r="AI202" s="181">
        <v>44849</v>
      </c>
      <c r="AJ202" s="181"/>
      <c r="AK202" s="181">
        <f t="shared" ca="1" si="34"/>
        <v>44958</v>
      </c>
      <c r="AL202" s="173">
        <f t="shared" ca="1" si="36"/>
        <v>109</v>
      </c>
      <c r="AM202" s="173" t="str">
        <f t="shared" si="37"/>
        <v/>
      </c>
      <c r="AN202" s="181"/>
      <c r="AO202" s="190" t="s">
        <v>1575</v>
      </c>
      <c r="AP202" s="176">
        <v>24.63</v>
      </c>
      <c r="AQ202" s="176">
        <v>24.69</v>
      </c>
      <c r="AR202" s="176">
        <v>24.715000000000003</v>
      </c>
      <c r="AS202" s="176">
        <v>24.720000000000002</v>
      </c>
      <c r="AT202" s="173" t="str">
        <f t="shared" si="38"/>
        <v/>
      </c>
      <c r="AU202" s="173">
        <v>456</v>
      </c>
      <c r="AW202" s="142" t="s">
        <v>123</v>
      </c>
    </row>
    <row r="203" spans="2:49" s="142" customFormat="1" ht="21" customHeight="1" x14ac:dyDescent="0.25">
      <c r="B203" s="173" t="str">
        <f t="shared" si="35"/>
        <v>0-304L/FH-1.50X768</v>
      </c>
      <c r="C203" s="173" t="s">
        <v>4067</v>
      </c>
      <c r="D203" s="173" t="s">
        <v>16</v>
      </c>
      <c r="E203" s="190" t="s">
        <v>1519</v>
      </c>
      <c r="F203" s="190" t="s">
        <v>1520</v>
      </c>
      <c r="G203" s="173" t="s">
        <v>182</v>
      </c>
      <c r="H203" s="173" t="s">
        <v>70</v>
      </c>
      <c r="I203" s="174">
        <v>3.8</v>
      </c>
      <c r="J203" s="174">
        <v>1.5</v>
      </c>
      <c r="K203" s="174"/>
      <c r="L203" s="174"/>
      <c r="M203" s="191">
        <v>768</v>
      </c>
      <c r="N203" s="176">
        <v>12.315</v>
      </c>
      <c r="O203" s="176">
        <v>12.31</v>
      </c>
      <c r="P203" s="176"/>
      <c r="Q203" s="178"/>
      <c r="R203" s="179"/>
      <c r="S203" s="179"/>
      <c r="T203" s="177">
        <v>44939</v>
      </c>
      <c r="U203" s="177"/>
      <c r="V203" s="177"/>
      <c r="W203" s="177"/>
      <c r="X203" s="177"/>
      <c r="Y203" s="177"/>
      <c r="Z203" s="177"/>
      <c r="AA203" s="177">
        <v>44934</v>
      </c>
      <c r="AB203" s="177"/>
      <c r="AC203" s="177"/>
      <c r="AD203" s="180" t="s">
        <v>1507</v>
      </c>
      <c r="AE203" s="173" t="s">
        <v>69</v>
      </c>
      <c r="AF203" s="181" t="s">
        <v>142</v>
      </c>
      <c r="AG203" s="192" t="s">
        <v>1508</v>
      </c>
      <c r="AH203" s="198"/>
      <c r="AI203" s="181">
        <v>44849</v>
      </c>
      <c r="AJ203" s="181"/>
      <c r="AK203" s="181">
        <f t="shared" ca="1" si="34"/>
        <v>44958</v>
      </c>
      <c r="AL203" s="173">
        <f t="shared" ca="1" si="36"/>
        <v>109</v>
      </c>
      <c r="AM203" s="173" t="str">
        <f t="shared" si="37"/>
        <v/>
      </c>
      <c r="AN203" s="181"/>
      <c r="AO203" s="190" t="s">
        <v>1521</v>
      </c>
      <c r="AP203" s="176">
        <v>24.605</v>
      </c>
      <c r="AQ203" s="176">
        <v>24.664999999999999</v>
      </c>
      <c r="AR203" s="176">
        <v>24.69</v>
      </c>
      <c r="AS203" s="176">
        <v>24.695</v>
      </c>
      <c r="AT203" s="173" t="str">
        <f t="shared" si="38"/>
        <v/>
      </c>
      <c r="AU203" s="173">
        <v>456</v>
      </c>
      <c r="AW203" s="142" t="s">
        <v>123</v>
      </c>
    </row>
    <row r="204" spans="2:49" s="142" customFormat="1" ht="21" customHeight="1" x14ac:dyDescent="0.25">
      <c r="B204" s="173" t="str">
        <f t="shared" si="35"/>
        <v>0-304/1D-3.90X635</v>
      </c>
      <c r="C204" s="173" t="s">
        <v>4069</v>
      </c>
      <c r="D204" s="173" t="s">
        <v>13</v>
      </c>
      <c r="E204" s="190" t="s">
        <v>4073</v>
      </c>
      <c r="F204" s="190" t="s">
        <v>4074</v>
      </c>
      <c r="G204" s="173">
        <v>304</v>
      </c>
      <c r="H204" s="173" t="s">
        <v>127</v>
      </c>
      <c r="I204" s="174">
        <v>3.9</v>
      </c>
      <c r="J204" s="174"/>
      <c r="K204" s="174"/>
      <c r="L204" s="174"/>
      <c r="M204" s="191">
        <v>635</v>
      </c>
      <c r="N204" s="176">
        <v>10.25</v>
      </c>
      <c r="O204" s="176">
        <v>10.25</v>
      </c>
      <c r="P204" s="176"/>
      <c r="Q204" s="178"/>
      <c r="R204" s="179"/>
      <c r="S204" s="179"/>
      <c r="T204" s="177">
        <v>44939</v>
      </c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80" t="s">
        <v>2479</v>
      </c>
      <c r="AE204" s="173" t="s">
        <v>69</v>
      </c>
      <c r="AF204" s="181" t="s">
        <v>142</v>
      </c>
      <c r="AG204" s="192" t="s">
        <v>1594</v>
      </c>
      <c r="AH204" s="198"/>
      <c r="AI204" s="181">
        <v>44849</v>
      </c>
      <c r="AJ204" s="181"/>
      <c r="AK204" s="181">
        <f t="shared" ca="1" si="34"/>
        <v>44958</v>
      </c>
      <c r="AL204" s="173">
        <f t="shared" ca="1" si="36"/>
        <v>109</v>
      </c>
      <c r="AM204" s="173" t="str">
        <f t="shared" si="37"/>
        <v/>
      </c>
      <c r="AN204" s="181"/>
      <c r="AO204" s="190" t="s">
        <v>4075</v>
      </c>
      <c r="AP204" s="176">
        <v>10.25</v>
      </c>
      <c r="AQ204" s="176">
        <v>10.26</v>
      </c>
      <c r="AR204" s="176">
        <v>10.284999999999998</v>
      </c>
      <c r="AS204" s="176">
        <v>10.29</v>
      </c>
      <c r="AT204" s="173" t="str">
        <f t="shared" si="38"/>
        <v/>
      </c>
      <c r="AU204" s="173">
        <v>456</v>
      </c>
      <c r="AW204" s="142" t="s">
        <v>123</v>
      </c>
    </row>
    <row r="205" spans="2:49" s="142" customFormat="1" ht="21" customHeight="1" x14ac:dyDescent="0.25">
      <c r="B205" s="173" t="str">
        <f t="shared" si="35"/>
        <v>0-304L/1D-3.79X769</v>
      </c>
      <c r="C205" s="173" t="s">
        <v>4068</v>
      </c>
      <c r="D205" s="173" t="s">
        <v>13</v>
      </c>
      <c r="E205" s="190" t="s">
        <v>1573</v>
      </c>
      <c r="F205" s="190" t="s">
        <v>4076</v>
      </c>
      <c r="G205" s="173" t="s">
        <v>182</v>
      </c>
      <c r="H205" s="173" t="s">
        <v>127</v>
      </c>
      <c r="I205" s="174">
        <v>3.79</v>
      </c>
      <c r="J205" s="174"/>
      <c r="K205" s="174"/>
      <c r="L205" s="174"/>
      <c r="M205" s="191">
        <v>769</v>
      </c>
      <c r="N205" s="176">
        <v>12.34</v>
      </c>
      <c r="O205" s="176">
        <v>12.34</v>
      </c>
      <c r="P205" s="176"/>
      <c r="Q205" s="178"/>
      <c r="R205" s="179"/>
      <c r="S205" s="179"/>
      <c r="T205" s="177">
        <v>44939</v>
      </c>
      <c r="U205" s="177"/>
      <c r="V205" s="177"/>
      <c r="W205" s="177"/>
      <c r="X205" s="177"/>
      <c r="Y205" s="177"/>
      <c r="Z205" s="177"/>
      <c r="AA205" s="177">
        <v>44934</v>
      </c>
      <c r="AB205" s="177"/>
      <c r="AC205" s="177"/>
      <c r="AD205" s="180" t="s">
        <v>1507</v>
      </c>
      <c r="AE205" s="173" t="s">
        <v>69</v>
      </c>
      <c r="AF205" s="181" t="s">
        <v>142</v>
      </c>
      <c r="AG205" s="192" t="s">
        <v>1508</v>
      </c>
      <c r="AH205" s="198"/>
      <c r="AI205" s="181">
        <v>44849</v>
      </c>
      <c r="AJ205" s="181"/>
      <c r="AK205" s="181">
        <f t="shared" ca="1" si="34"/>
        <v>44958</v>
      </c>
      <c r="AL205" s="173">
        <f t="shared" ca="1" si="36"/>
        <v>109</v>
      </c>
      <c r="AM205" s="173" t="str">
        <f t="shared" si="37"/>
        <v/>
      </c>
      <c r="AN205" s="181"/>
      <c r="AO205" s="190" t="s">
        <v>1575</v>
      </c>
      <c r="AP205" s="176">
        <v>24.63</v>
      </c>
      <c r="AQ205" s="176">
        <v>24.69</v>
      </c>
      <c r="AR205" s="176">
        <v>24.715000000000003</v>
      </c>
      <c r="AS205" s="176">
        <v>24.720000000000002</v>
      </c>
      <c r="AT205" s="173" t="str">
        <f t="shared" si="38"/>
        <v/>
      </c>
      <c r="AU205" s="173">
        <v>456</v>
      </c>
      <c r="AW205" s="142" t="s">
        <v>123</v>
      </c>
    </row>
    <row r="206" spans="2:49" s="142" customFormat="1" ht="21" customHeight="1" x14ac:dyDescent="0.25">
      <c r="B206" s="173" t="str">
        <f t="shared" si="35"/>
        <v>0-304L/FH-1.20X768</v>
      </c>
      <c r="C206" s="173" t="s">
        <v>4067</v>
      </c>
      <c r="D206" s="173" t="s">
        <v>16</v>
      </c>
      <c r="E206" s="190" t="s">
        <v>1573</v>
      </c>
      <c r="F206" s="190" t="s">
        <v>4072</v>
      </c>
      <c r="G206" s="173" t="s">
        <v>182</v>
      </c>
      <c r="H206" s="173" t="s">
        <v>70</v>
      </c>
      <c r="I206" s="174">
        <v>3.79</v>
      </c>
      <c r="J206" s="174">
        <v>1.2</v>
      </c>
      <c r="K206" s="174"/>
      <c r="L206" s="174"/>
      <c r="M206" s="191">
        <v>768</v>
      </c>
      <c r="N206" s="176">
        <v>12.305</v>
      </c>
      <c r="O206" s="176">
        <v>12.31</v>
      </c>
      <c r="P206" s="176"/>
      <c r="Q206" s="178"/>
      <c r="R206" s="179"/>
      <c r="S206" s="179"/>
      <c r="T206" s="177">
        <v>44939</v>
      </c>
      <c r="U206" s="177"/>
      <c r="V206" s="177"/>
      <c r="W206" s="177"/>
      <c r="X206" s="177"/>
      <c r="Y206" s="177"/>
      <c r="Z206" s="177"/>
      <c r="AA206" s="177">
        <v>44934</v>
      </c>
      <c r="AB206" s="177"/>
      <c r="AC206" s="177"/>
      <c r="AD206" s="180" t="s">
        <v>1507</v>
      </c>
      <c r="AE206" s="173" t="s">
        <v>69</v>
      </c>
      <c r="AF206" s="181" t="s">
        <v>142</v>
      </c>
      <c r="AG206" s="192" t="s">
        <v>1508</v>
      </c>
      <c r="AH206" s="198"/>
      <c r="AI206" s="181">
        <v>44849</v>
      </c>
      <c r="AJ206" s="181"/>
      <c r="AK206" s="181">
        <f t="shared" ca="1" si="34"/>
        <v>44958</v>
      </c>
      <c r="AL206" s="173">
        <f t="shared" ca="1" si="36"/>
        <v>109</v>
      </c>
      <c r="AM206" s="173" t="str">
        <f t="shared" si="37"/>
        <v/>
      </c>
      <c r="AN206" s="181"/>
      <c r="AO206" s="190" t="s">
        <v>1575</v>
      </c>
      <c r="AP206" s="176">
        <v>24.63</v>
      </c>
      <c r="AQ206" s="176">
        <v>24.69</v>
      </c>
      <c r="AR206" s="176">
        <v>24.715000000000003</v>
      </c>
      <c r="AS206" s="176">
        <v>24.720000000000002</v>
      </c>
      <c r="AT206" s="173" t="str">
        <f t="shared" si="38"/>
        <v/>
      </c>
      <c r="AU206" s="173">
        <v>456</v>
      </c>
      <c r="AW206" s="142" t="s">
        <v>123</v>
      </c>
    </row>
    <row r="207" spans="2:49" s="142" customFormat="1" ht="21" customHeight="1" x14ac:dyDescent="0.25">
      <c r="B207" s="173" t="str">
        <f t="shared" si="35"/>
        <v>0-304/1D-4.38X765</v>
      </c>
      <c r="C207" s="173" t="s">
        <v>4068</v>
      </c>
      <c r="D207" s="173" t="s">
        <v>13</v>
      </c>
      <c r="E207" s="190" t="s">
        <v>4077</v>
      </c>
      <c r="F207" s="190" t="s">
        <v>4078</v>
      </c>
      <c r="G207" s="173">
        <v>304</v>
      </c>
      <c r="H207" s="173" t="s">
        <v>127</v>
      </c>
      <c r="I207" s="174">
        <v>4.38</v>
      </c>
      <c r="J207" s="174"/>
      <c r="K207" s="174"/>
      <c r="L207" s="174"/>
      <c r="M207" s="191">
        <v>765</v>
      </c>
      <c r="N207" s="176">
        <v>10.47</v>
      </c>
      <c r="O207" s="176">
        <v>10.47</v>
      </c>
      <c r="P207" s="176"/>
      <c r="Q207" s="178"/>
      <c r="R207" s="179"/>
      <c r="S207" s="179"/>
      <c r="T207" s="177">
        <v>44939</v>
      </c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80" t="s">
        <v>1619</v>
      </c>
      <c r="AE207" s="173" t="s">
        <v>69</v>
      </c>
      <c r="AF207" s="181" t="s">
        <v>142</v>
      </c>
      <c r="AG207" s="192" t="s">
        <v>1887</v>
      </c>
      <c r="AH207" s="198"/>
      <c r="AI207" s="181">
        <v>44880</v>
      </c>
      <c r="AJ207" s="181"/>
      <c r="AK207" s="181">
        <f t="shared" ca="1" si="34"/>
        <v>44958</v>
      </c>
      <c r="AL207" s="173">
        <f t="shared" ca="1" si="36"/>
        <v>78</v>
      </c>
      <c r="AM207" s="173" t="str">
        <f t="shared" si="37"/>
        <v/>
      </c>
      <c r="AN207" s="181"/>
      <c r="AO207" s="190" t="s">
        <v>4079</v>
      </c>
      <c r="AP207" s="176">
        <v>10.47</v>
      </c>
      <c r="AQ207" s="176">
        <v>10.48</v>
      </c>
      <c r="AR207" s="176">
        <v>10.504999999999999</v>
      </c>
      <c r="AS207" s="176">
        <v>10.51</v>
      </c>
      <c r="AT207" s="173" t="str">
        <f t="shared" si="38"/>
        <v/>
      </c>
      <c r="AU207" s="173">
        <v>459</v>
      </c>
      <c r="AW207" s="142" t="s">
        <v>123</v>
      </c>
    </row>
    <row r="208" spans="2:49" s="142" customFormat="1" ht="21" customHeight="1" x14ac:dyDescent="0.25">
      <c r="B208" s="173" t="str">
        <f t="shared" si="35"/>
        <v>0-304L/FH-1.20X769</v>
      </c>
      <c r="C208" s="173" t="s">
        <v>4067</v>
      </c>
      <c r="D208" s="173" t="s">
        <v>16</v>
      </c>
      <c r="E208" s="190" t="s">
        <v>1573</v>
      </c>
      <c r="F208" s="190" t="s">
        <v>4076</v>
      </c>
      <c r="G208" s="173" t="s">
        <v>182</v>
      </c>
      <c r="H208" s="173" t="s">
        <v>70</v>
      </c>
      <c r="I208" s="174">
        <v>3.79</v>
      </c>
      <c r="J208" s="174">
        <v>1.2</v>
      </c>
      <c r="K208" s="174"/>
      <c r="L208" s="174"/>
      <c r="M208" s="191">
        <v>769</v>
      </c>
      <c r="N208" s="176">
        <v>12.34</v>
      </c>
      <c r="O208" s="176">
        <v>12.375</v>
      </c>
      <c r="P208" s="176"/>
      <c r="Q208" s="178"/>
      <c r="R208" s="179"/>
      <c r="S208" s="179"/>
      <c r="T208" s="177">
        <v>44939</v>
      </c>
      <c r="U208" s="177"/>
      <c r="V208" s="177"/>
      <c r="W208" s="177"/>
      <c r="X208" s="177"/>
      <c r="Y208" s="177"/>
      <c r="Z208" s="177"/>
      <c r="AA208" s="177">
        <v>44934</v>
      </c>
      <c r="AB208" s="177"/>
      <c r="AC208" s="177"/>
      <c r="AD208" s="180" t="s">
        <v>1507</v>
      </c>
      <c r="AE208" s="173" t="s">
        <v>69</v>
      </c>
      <c r="AF208" s="181" t="s">
        <v>142</v>
      </c>
      <c r="AG208" s="192" t="s">
        <v>1508</v>
      </c>
      <c r="AH208" s="198"/>
      <c r="AI208" s="181">
        <v>44849</v>
      </c>
      <c r="AJ208" s="181"/>
      <c r="AK208" s="181">
        <f t="shared" ca="1" si="34"/>
        <v>44958</v>
      </c>
      <c r="AL208" s="173">
        <f t="shared" ca="1" si="36"/>
        <v>109</v>
      </c>
      <c r="AM208" s="173" t="str">
        <f t="shared" si="37"/>
        <v/>
      </c>
      <c r="AN208" s="181"/>
      <c r="AO208" s="190" t="s">
        <v>1575</v>
      </c>
      <c r="AP208" s="176">
        <v>24.63</v>
      </c>
      <c r="AQ208" s="176">
        <v>24.69</v>
      </c>
      <c r="AR208" s="176">
        <v>24.715000000000003</v>
      </c>
      <c r="AS208" s="176">
        <v>24.720000000000002</v>
      </c>
      <c r="AT208" s="173" t="str">
        <f t="shared" si="38"/>
        <v/>
      </c>
      <c r="AU208" s="173">
        <v>456</v>
      </c>
      <c r="AW208" s="142" t="s">
        <v>123</v>
      </c>
    </row>
    <row r="209" spans="2:49" s="142" customFormat="1" ht="21" customHeight="1" x14ac:dyDescent="0.25">
      <c r="B209" s="173" t="str">
        <f t="shared" si="35"/>
        <v>0-304L/1D-3.80X767</v>
      </c>
      <c r="C209" s="173" t="s">
        <v>4068</v>
      </c>
      <c r="D209" s="173" t="s">
        <v>13</v>
      </c>
      <c r="E209" s="190" t="s">
        <v>1576</v>
      </c>
      <c r="F209" s="190" t="s">
        <v>1577</v>
      </c>
      <c r="G209" s="173" t="s">
        <v>182</v>
      </c>
      <c r="H209" s="173" t="s">
        <v>127</v>
      </c>
      <c r="I209" s="174">
        <v>3.79666666666667</v>
      </c>
      <c r="J209" s="174"/>
      <c r="K209" s="174"/>
      <c r="L209" s="174"/>
      <c r="M209" s="191">
        <v>767</v>
      </c>
      <c r="N209" s="176">
        <v>10.31</v>
      </c>
      <c r="O209" s="176">
        <v>10.31</v>
      </c>
      <c r="P209" s="176"/>
      <c r="Q209" s="178"/>
      <c r="R209" s="179"/>
      <c r="S209" s="179"/>
      <c r="T209" s="177">
        <v>44939</v>
      </c>
      <c r="U209" s="177"/>
      <c r="V209" s="177"/>
      <c r="W209" s="177"/>
      <c r="X209" s="177"/>
      <c r="Y209" s="177"/>
      <c r="Z209" s="177"/>
      <c r="AA209" s="177">
        <v>44935</v>
      </c>
      <c r="AB209" s="177"/>
      <c r="AC209" s="177"/>
      <c r="AD209" s="180" t="s">
        <v>1507</v>
      </c>
      <c r="AE209" s="173" t="s">
        <v>69</v>
      </c>
      <c r="AF209" s="181" t="s">
        <v>142</v>
      </c>
      <c r="AG209" s="192" t="s">
        <v>1508</v>
      </c>
      <c r="AH209" s="198"/>
      <c r="AI209" s="181">
        <v>44849</v>
      </c>
      <c r="AJ209" s="181"/>
      <c r="AK209" s="181">
        <f t="shared" ca="1" si="34"/>
        <v>44958</v>
      </c>
      <c r="AL209" s="173">
        <f t="shared" ca="1" si="36"/>
        <v>109</v>
      </c>
      <c r="AM209" s="173" t="str">
        <f t="shared" si="37"/>
        <v/>
      </c>
      <c r="AN209" s="181"/>
      <c r="AO209" s="190" t="s">
        <v>1578</v>
      </c>
      <c r="AP209" s="176">
        <v>20.625</v>
      </c>
      <c r="AQ209" s="176">
        <v>20.684999999999999</v>
      </c>
      <c r="AR209" s="176">
        <v>20.71</v>
      </c>
      <c r="AS209" s="176">
        <v>20.715</v>
      </c>
      <c r="AT209" s="173" t="str">
        <f t="shared" si="38"/>
        <v/>
      </c>
      <c r="AU209" s="173">
        <v>456</v>
      </c>
      <c r="AW209" s="142" t="s">
        <v>123</v>
      </c>
    </row>
    <row r="210" spans="2:49" s="142" customFormat="1" ht="21" customHeight="1" x14ac:dyDescent="0.25">
      <c r="B210" s="173" t="str">
        <f t="shared" si="35"/>
        <v>0-304L/FH-1.20X767</v>
      </c>
      <c r="C210" s="173" t="s">
        <v>4067</v>
      </c>
      <c r="D210" s="173" t="s">
        <v>16</v>
      </c>
      <c r="E210" s="190" t="s">
        <v>1511</v>
      </c>
      <c r="F210" s="190" t="s">
        <v>4062</v>
      </c>
      <c r="G210" s="173" t="s">
        <v>182</v>
      </c>
      <c r="H210" s="173" t="s">
        <v>70</v>
      </c>
      <c r="I210" s="174">
        <v>3.77</v>
      </c>
      <c r="J210" s="174">
        <v>1.2</v>
      </c>
      <c r="K210" s="174"/>
      <c r="L210" s="174"/>
      <c r="M210" s="191">
        <v>767</v>
      </c>
      <c r="N210" s="176">
        <v>12.26</v>
      </c>
      <c r="O210" s="176">
        <v>12.26</v>
      </c>
      <c r="P210" s="176"/>
      <c r="Q210" s="178"/>
      <c r="R210" s="179"/>
      <c r="S210" s="179"/>
      <c r="T210" s="177">
        <v>44938</v>
      </c>
      <c r="U210" s="177"/>
      <c r="V210" s="177"/>
      <c r="W210" s="177"/>
      <c r="X210" s="177"/>
      <c r="Y210" s="177"/>
      <c r="Z210" s="177"/>
      <c r="AA210" s="177">
        <v>44938</v>
      </c>
      <c r="AB210" s="177"/>
      <c r="AC210" s="177"/>
      <c r="AD210" s="180" t="s">
        <v>1507</v>
      </c>
      <c r="AE210" s="173" t="s">
        <v>69</v>
      </c>
      <c r="AF210" s="181" t="s">
        <v>142</v>
      </c>
      <c r="AG210" s="192" t="s">
        <v>1508</v>
      </c>
      <c r="AH210" s="198"/>
      <c r="AI210" s="181">
        <v>44849</v>
      </c>
      <c r="AJ210" s="181"/>
      <c r="AK210" s="181">
        <f t="shared" ca="1" si="34"/>
        <v>44958</v>
      </c>
      <c r="AL210" s="173">
        <f t="shared" ca="1" si="36"/>
        <v>109</v>
      </c>
      <c r="AM210" s="173" t="str">
        <f t="shared" si="37"/>
        <v/>
      </c>
      <c r="AN210" s="181"/>
      <c r="AO210" s="190" t="s">
        <v>1514</v>
      </c>
      <c r="AP210" s="176">
        <v>24.54</v>
      </c>
      <c r="AQ210" s="176">
        <v>24.6</v>
      </c>
      <c r="AR210" s="176">
        <v>24.625000000000004</v>
      </c>
      <c r="AS210" s="176">
        <v>24.630000000000003</v>
      </c>
      <c r="AT210" s="173" t="str">
        <f t="shared" si="38"/>
        <v/>
      </c>
      <c r="AU210" s="173">
        <v>456</v>
      </c>
      <c r="AW210" s="142" t="s">
        <v>123</v>
      </c>
    </row>
    <row r="211" spans="2:49" s="142" customFormat="1" ht="21" customHeight="1" x14ac:dyDescent="0.25">
      <c r="B211" s="173" t="str">
        <f t="shared" si="35"/>
        <v>0-304L/1D-3.79X767</v>
      </c>
      <c r="C211" s="173" t="s">
        <v>4068</v>
      </c>
      <c r="D211" s="173" t="s">
        <v>13</v>
      </c>
      <c r="E211" s="190" t="s">
        <v>1515</v>
      </c>
      <c r="F211" s="190" t="s">
        <v>1518</v>
      </c>
      <c r="G211" s="173" t="s">
        <v>182</v>
      </c>
      <c r="H211" s="173" t="s">
        <v>127</v>
      </c>
      <c r="I211" s="174">
        <v>3.79</v>
      </c>
      <c r="J211" s="174"/>
      <c r="K211" s="174"/>
      <c r="L211" s="174"/>
      <c r="M211" s="191">
        <v>767</v>
      </c>
      <c r="N211" s="176">
        <v>12.13</v>
      </c>
      <c r="O211" s="176">
        <v>12.13</v>
      </c>
      <c r="P211" s="176"/>
      <c r="Q211" s="178"/>
      <c r="R211" s="179"/>
      <c r="S211" s="179"/>
      <c r="T211" s="177">
        <v>44939</v>
      </c>
      <c r="U211" s="177"/>
      <c r="V211" s="177"/>
      <c r="W211" s="177"/>
      <c r="X211" s="177"/>
      <c r="Y211" s="177"/>
      <c r="Z211" s="177"/>
      <c r="AA211" s="177">
        <v>44932</v>
      </c>
      <c r="AB211" s="177"/>
      <c r="AC211" s="177"/>
      <c r="AD211" s="180" t="s">
        <v>1507</v>
      </c>
      <c r="AE211" s="173" t="s">
        <v>69</v>
      </c>
      <c r="AF211" s="181" t="s">
        <v>142</v>
      </c>
      <c r="AG211" s="192" t="s">
        <v>1508</v>
      </c>
      <c r="AH211" s="198"/>
      <c r="AI211" s="181">
        <v>44849</v>
      </c>
      <c r="AJ211" s="181"/>
      <c r="AK211" s="181">
        <f t="shared" ca="1" si="34"/>
        <v>44958</v>
      </c>
      <c r="AL211" s="173">
        <f t="shared" ca="1" si="36"/>
        <v>109</v>
      </c>
      <c r="AM211" s="173" t="str">
        <f t="shared" si="37"/>
        <v/>
      </c>
      <c r="AN211" s="181"/>
      <c r="AO211" s="190" t="s">
        <v>1517</v>
      </c>
      <c r="AP211" s="176">
        <v>24.25</v>
      </c>
      <c r="AQ211" s="176">
        <v>24.31</v>
      </c>
      <c r="AR211" s="176">
        <v>24.335000000000001</v>
      </c>
      <c r="AS211" s="176">
        <v>24.34</v>
      </c>
      <c r="AT211" s="173" t="str">
        <f t="shared" si="38"/>
        <v/>
      </c>
      <c r="AU211" s="173">
        <v>456</v>
      </c>
      <c r="AW211" s="142" t="s">
        <v>123</v>
      </c>
    </row>
    <row r="212" spans="2:49" s="142" customFormat="1" ht="21" customHeight="1" x14ac:dyDescent="0.25">
      <c r="B212" s="173" t="str">
        <f t="shared" si="35"/>
        <v>0-304L/1D-3.79X768</v>
      </c>
      <c r="C212" s="173" t="s">
        <v>4068</v>
      </c>
      <c r="D212" s="173" t="s">
        <v>13</v>
      </c>
      <c r="E212" s="190" t="s">
        <v>1544</v>
      </c>
      <c r="F212" s="190" t="s">
        <v>1549</v>
      </c>
      <c r="G212" s="173" t="s">
        <v>182</v>
      </c>
      <c r="H212" s="173" t="s">
        <v>127</v>
      </c>
      <c r="I212" s="174">
        <v>3.79</v>
      </c>
      <c r="J212" s="174"/>
      <c r="K212" s="174"/>
      <c r="L212" s="174"/>
      <c r="M212" s="191">
        <v>768</v>
      </c>
      <c r="N212" s="176">
        <v>12.27</v>
      </c>
      <c r="O212" s="176">
        <v>12.27</v>
      </c>
      <c r="P212" s="176"/>
      <c r="Q212" s="178"/>
      <c r="R212" s="179"/>
      <c r="S212" s="179"/>
      <c r="T212" s="177">
        <v>44939</v>
      </c>
      <c r="U212" s="177"/>
      <c r="V212" s="177"/>
      <c r="W212" s="177"/>
      <c r="X212" s="177"/>
      <c r="Y212" s="177"/>
      <c r="Z212" s="177"/>
      <c r="AA212" s="177">
        <v>44934</v>
      </c>
      <c r="AB212" s="177"/>
      <c r="AC212" s="177"/>
      <c r="AD212" s="180" t="s">
        <v>1507</v>
      </c>
      <c r="AE212" s="173" t="s">
        <v>69</v>
      </c>
      <c r="AF212" s="181" t="s">
        <v>142</v>
      </c>
      <c r="AG212" s="192" t="s">
        <v>1508</v>
      </c>
      <c r="AH212" s="198"/>
      <c r="AI212" s="181">
        <v>44849</v>
      </c>
      <c r="AJ212" s="181"/>
      <c r="AK212" s="181">
        <f t="shared" ca="1" si="34"/>
        <v>44958</v>
      </c>
      <c r="AL212" s="173">
        <f t="shared" ca="1" si="36"/>
        <v>109</v>
      </c>
      <c r="AM212" s="173" t="str">
        <f t="shared" si="37"/>
        <v/>
      </c>
      <c r="AN212" s="181"/>
      <c r="AO212" s="190" t="s">
        <v>1548</v>
      </c>
      <c r="AP212" s="176">
        <v>24.535</v>
      </c>
      <c r="AQ212" s="176">
        <v>24.594999999999999</v>
      </c>
      <c r="AR212" s="176">
        <v>24.62</v>
      </c>
      <c r="AS212" s="176">
        <v>24.625</v>
      </c>
      <c r="AT212" s="173" t="str">
        <f t="shared" si="38"/>
        <v/>
      </c>
      <c r="AU212" s="173">
        <v>456</v>
      </c>
      <c r="AW212" s="142" t="s">
        <v>123</v>
      </c>
    </row>
    <row r="213" spans="2:49" s="142" customFormat="1" ht="21" customHeight="1" x14ac:dyDescent="0.25">
      <c r="B213" s="173" t="str">
        <f t="shared" si="35"/>
        <v>0-304L/FH-1.50X767</v>
      </c>
      <c r="C213" s="173" t="s">
        <v>4067</v>
      </c>
      <c r="D213" s="173" t="s">
        <v>16</v>
      </c>
      <c r="E213" s="190" t="s">
        <v>1515</v>
      </c>
      <c r="F213" s="190" t="s">
        <v>1518</v>
      </c>
      <c r="G213" s="173" t="s">
        <v>182</v>
      </c>
      <c r="H213" s="173" t="s">
        <v>70</v>
      </c>
      <c r="I213" s="174">
        <v>3.79</v>
      </c>
      <c r="J213" s="174">
        <v>1.5</v>
      </c>
      <c r="K213" s="174"/>
      <c r="L213" s="174"/>
      <c r="M213" s="191">
        <v>767</v>
      </c>
      <c r="N213" s="176">
        <v>12.13</v>
      </c>
      <c r="O213" s="176">
        <v>12.12</v>
      </c>
      <c r="P213" s="176"/>
      <c r="Q213" s="178"/>
      <c r="R213" s="179"/>
      <c r="S213" s="179"/>
      <c r="T213" s="177">
        <v>44939</v>
      </c>
      <c r="U213" s="177"/>
      <c r="V213" s="177"/>
      <c r="W213" s="177"/>
      <c r="X213" s="177"/>
      <c r="Y213" s="177"/>
      <c r="Z213" s="177"/>
      <c r="AA213" s="177">
        <v>44932</v>
      </c>
      <c r="AB213" s="177"/>
      <c r="AC213" s="177"/>
      <c r="AD213" s="180" t="s">
        <v>1507</v>
      </c>
      <c r="AE213" s="173" t="s">
        <v>69</v>
      </c>
      <c r="AF213" s="181" t="s">
        <v>142</v>
      </c>
      <c r="AG213" s="192" t="s">
        <v>1508</v>
      </c>
      <c r="AH213" s="198"/>
      <c r="AI213" s="181">
        <v>44849</v>
      </c>
      <c r="AJ213" s="181"/>
      <c r="AK213" s="181">
        <f t="shared" ca="1" si="34"/>
        <v>44958</v>
      </c>
      <c r="AL213" s="173">
        <f t="shared" ca="1" si="36"/>
        <v>109</v>
      </c>
      <c r="AM213" s="173" t="str">
        <f t="shared" si="37"/>
        <v/>
      </c>
      <c r="AN213" s="181"/>
      <c r="AO213" s="190" t="s">
        <v>1517</v>
      </c>
      <c r="AP213" s="176">
        <v>24.25</v>
      </c>
      <c r="AQ213" s="176">
        <v>24.31</v>
      </c>
      <c r="AR213" s="176">
        <v>24.335000000000001</v>
      </c>
      <c r="AS213" s="176">
        <v>24.34</v>
      </c>
      <c r="AT213" s="173" t="str">
        <f t="shared" si="38"/>
        <v/>
      </c>
      <c r="AU213" s="173">
        <v>456</v>
      </c>
      <c r="AW213" s="142" t="s">
        <v>123</v>
      </c>
    </row>
    <row r="214" spans="2:49" s="142" customFormat="1" ht="21" customHeight="1" x14ac:dyDescent="0.25">
      <c r="B214" s="173" t="str">
        <f t="shared" si="35"/>
        <v>0-304L/1D-2.87X639</v>
      </c>
      <c r="C214" s="173" t="s">
        <v>4080</v>
      </c>
      <c r="D214" s="173" t="s">
        <v>13</v>
      </c>
      <c r="E214" s="190" t="s">
        <v>4081</v>
      </c>
      <c r="F214" s="190" t="s">
        <v>4082</v>
      </c>
      <c r="G214" s="173" t="s">
        <v>182</v>
      </c>
      <c r="H214" s="173" t="s">
        <v>127</v>
      </c>
      <c r="I214" s="174">
        <v>2.87</v>
      </c>
      <c r="J214" s="174"/>
      <c r="K214" s="174"/>
      <c r="L214" s="174"/>
      <c r="M214" s="191">
        <v>639</v>
      </c>
      <c r="N214" s="176">
        <v>10.585000000000001</v>
      </c>
      <c r="O214" s="176">
        <v>10.585000000000001</v>
      </c>
      <c r="P214" s="176"/>
      <c r="Q214" s="178"/>
      <c r="R214" s="179"/>
      <c r="S214" s="179"/>
      <c r="T214" s="177">
        <v>44940</v>
      </c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80" t="s">
        <v>2479</v>
      </c>
      <c r="AE214" s="173" t="s">
        <v>69</v>
      </c>
      <c r="AF214" s="181" t="s">
        <v>142</v>
      </c>
      <c r="AG214" s="192" t="s">
        <v>1657</v>
      </c>
      <c r="AH214" s="198"/>
      <c r="AI214" s="181">
        <v>44849</v>
      </c>
      <c r="AJ214" s="181"/>
      <c r="AK214" s="181">
        <f t="shared" ca="1" si="34"/>
        <v>44958</v>
      </c>
      <c r="AL214" s="173">
        <f t="shared" ca="1" si="36"/>
        <v>109</v>
      </c>
      <c r="AM214" s="173" t="str">
        <f t="shared" si="37"/>
        <v/>
      </c>
      <c r="AN214" s="181"/>
      <c r="AO214" s="190" t="s">
        <v>3939</v>
      </c>
      <c r="AP214" s="176">
        <v>10.585000000000001</v>
      </c>
      <c r="AQ214" s="176">
        <v>10.595000000000001</v>
      </c>
      <c r="AR214" s="176">
        <v>10.62</v>
      </c>
      <c r="AS214" s="176">
        <v>10.625</v>
      </c>
      <c r="AT214" s="173" t="str">
        <f t="shared" si="38"/>
        <v/>
      </c>
      <c r="AU214" s="173">
        <v>456</v>
      </c>
      <c r="AW214" s="142" t="s">
        <v>123</v>
      </c>
    </row>
    <row r="215" spans="2:49" s="142" customFormat="1" ht="21" customHeight="1" x14ac:dyDescent="0.25">
      <c r="B215" s="173" t="str">
        <f t="shared" si="35"/>
        <v>0-304L/1D-3.79X770</v>
      </c>
      <c r="C215" s="173" t="s">
        <v>4083</v>
      </c>
      <c r="D215" s="173" t="s">
        <v>13</v>
      </c>
      <c r="E215" s="190" t="s">
        <v>4042</v>
      </c>
      <c r="F215" s="190" t="s">
        <v>4084</v>
      </c>
      <c r="G215" s="173" t="s">
        <v>182</v>
      </c>
      <c r="H215" s="173" t="s">
        <v>127</v>
      </c>
      <c r="I215" s="174">
        <v>3.79</v>
      </c>
      <c r="J215" s="174"/>
      <c r="K215" s="174"/>
      <c r="L215" s="174"/>
      <c r="M215" s="191">
        <v>770</v>
      </c>
      <c r="N215" s="176">
        <v>12.29</v>
      </c>
      <c r="O215" s="176">
        <v>12.29</v>
      </c>
      <c r="P215" s="176"/>
      <c r="Q215" s="178"/>
      <c r="R215" s="179"/>
      <c r="S215" s="179"/>
      <c r="T215" s="177">
        <v>44940</v>
      </c>
      <c r="U215" s="177"/>
      <c r="V215" s="177"/>
      <c r="W215" s="177"/>
      <c r="X215" s="177"/>
      <c r="Y215" s="177"/>
      <c r="Z215" s="177"/>
      <c r="AA215" s="177">
        <v>44933</v>
      </c>
      <c r="AB215" s="177"/>
      <c r="AC215" s="177"/>
      <c r="AD215" s="180" t="s">
        <v>1507</v>
      </c>
      <c r="AE215" s="173" t="s">
        <v>69</v>
      </c>
      <c r="AF215" s="181" t="s">
        <v>142</v>
      </c>
      <c r="AG215" s="192" t="s">
        <v>1508</v>
      </c>
      <c r="AH215" s="198"/>
      <c r="AI215" s="181">
        <v>44849</v>
      </c>
      <c r="AJ215" s="181"/>
      <c r="AK215" s="181">
        <f t="shared" ca="1" si="34"/>
        <v>44958</v>
      </c>
      <c r="AL215" s="173">
        <f t="shared" ca="1" si="36"/>
        <v>109</v>
      </c>
      <c r="AM215" s="173" t="str">
        <f t="shared" si="37"/>
        <v/>
      </c>
      <c r="AN215" s="181"/>
      <c r="AO215" s="190" t="s">
        <v>4044</v>
      </c>
      <c r="AP215" s="176">
        <v>24.504999999999999</v>
      </c>
      <c r="AQ215" s="176">
        <v>24.565000000000001</v>
      </c>
      <c r="AR215" s="176">
        <v>24.590000000000003</v>
      </c>
      <c r="AS215" s="176">
        <v>24.595000000000002</v>
      </c>
      <c r="AT215" s="173" t="str">
        <f t="shared" si="38"/>
        <v/>
      </c>
      <c r="AU215" s="173">
        <v>456</v>
      </c>
      <c r="AW215" s="142" t="s">
        <v>123</v>
      </c>
    </row>
    <row r="216" spans="2:49" s="142" customFormat="1" ht="21" customHeight="1" x14ac:dyDescent="0.25">
      <c r="B216" s="173" t="str">
        <f t="shared" si="35"/>
        <v>0-304L/FH-1.50X767</v>
      </c>
      <c r="C216" s="173" t="s">
        <v>4085</v>
      </c>
      <c r="D216" s="173" t="s">
        <v>16</v>
      </c>
      <c r="E216" s="190" t="s">
        <v>1576</v>
      </c>
      <c r="F216" s="190" t="s">
        <v>1577</v>
      </c>
      <c r="G216" s="173" t="s">
        <v>182</v>
      </c>
      <c r="H216" s="173" t="s">
        <v>70</v>
      </c>
      <c r="I216" s="174">
        <v>3.79666666666667</v>
      </c>
      <c r="J216" s="174">
        <v>1.5</v>
      </c>
      <c r="K216" s="174"/>
      <c r="L216" s="174"/>
      <c r="M216" s="191">
        <v>767</v>
      </c>
      <c r="N216" s="176">
        <v>10.31</v>
      </c>
      <c r="O216" s="176">
        <v>10.115</v>
      </c>
      <c r="P216" s="176"/>
      <c r="Q216" s="178"/>
      <c r="R216" s="179"/>
      <c r="S216" s="179"/>
      <c r="T216" s="177">
        <v>44939</v>
      </c>
      <c r="U216" s="177"/>
      <c r="V216" s="177"/>
      <c r="W216" s="177"/>
      <c r="X216" s="177"/>
      <c r="Y216" s="177"/>
      <c r="Z216" s="177"/>
      <c r="AA216" s="177">
        <v>44935</v>
      </c>
      <c r="AB216" s="177"/>
      <c r="AC216" s="177"/>
      <c r="AD216" s="180" t="s">
        <v>1507</v>
      </c>
      <c r="AE216" s="173" t="s">
        <v>69</v>
      </c>
      <c r="AF216" s="181" t="s">
        <v>142</v>
      </c>
      <c r="AG216" s="192" t="s">
        <v>1508</v>
      </c>
      <c r="AH216" s="198"/>
      <c r="AI216" s="181">
        <v>44849</v>
      </c>
      <c r="AJ216" s="181"/>
      <c r="AK216" s="181">
        <f t="shared" ca="1" si="34"/>
        <v>44958</v>
      </c>
      <c r="AL216" s="173">
        <f t="shared" ca="1" si="36"/>
        <v>109</v>
      </c>
      <c r="AM216" s="173" t="str">
        <f t="shared" si="37"/>
        <v/>
      </c>
      <c r="AN216" s="181"/>
      <c r="AO216" s="190" t="s">
        <v>1578</v>
      </c>
      <c r="AP216" s="176">
        <v>20.625</v>
      </c>
      <c r="AQ216" s="176">
        <v>20.684999999999999</v>
      </c>
      <c r="AR216" s="176">
        <v>20.71</v>
      </c>
      <c r="AS216" s="176">
        <v>20.715</v>
      </c>
      <c r="AT216" s="173" t="str">
        <f t="shared" si="38"/>
        <v/>
      </c>
      <c r="AU216" s="173">
        <v>456</v>
      </c>
      <c r="AW216" s="142" t="s">
        <v>123</v>
      </c>
    </row>
    <row r="217" spans="2:49" s="142" customFormat="1" ht="21" customHeight="1" x14ac:dyDescent="0.25">
      <c r="B217" s="173" t="str">
        <f t="shared" si="35"/>
        <v>0-304L/1D-3.79X769</v>
      </c>
      <c r="C217" s="173" t="s">
        <v>4086</v>
      </c>
      <c r="D217" s="173" t="s">
        <v>13</v>
      </c>
      <c r="E217" s="190" t="s">
        <v>1565</v>
      </c>
      <c r="F217" s="190" t="s">
        <v>1568</v>
      </c>
      <c r="G217" s="173" t="s">
        <v>182</v>
      </c>
      <c r="H217" s="173" t="s">
        <v>127</v>
      </c>
      <c r="I217" s="174">
        <v>3.79</v>
      </c>
      <c r="J217" s="174"/>
      <c r="K217" s="174"/>
      <c r="L217" s="174"/>
      <c r="M217" s="191">
        <v>769</v>
      </c>
      <c r="N217" s="176">
        <v>12.315</v>
      </c>
      <c r="O217" s="176">
        <v>12.315</v>
      </c>
      <c r="P217" s="176"/>
      <c r="Q217" s="178"/>
      <c r="R217" s="179"/>
      <c r="S217" s="179"/>
      <c r="T217" s="177">
        <v>44940</v>
      </c>
      <c r="U217" s="177"/>
      <c r="V217" s="177"/>
      <c r="W217" s="177"/>
      <c r="X217" s="177"/>
      <c r="Y217" s="177"/>
      <c r="Z217" s="177"/>
      <c r="AA217" s="177">
        <v>44933</v>
      </c>
      <c r="AB217" s="177"/>
      <c r="AC217" s="177"/>
      <c r="AD217" s="180" t="s">
        <v>1507</v>
      </c>
      <c r="AE217" s="173" t="s">
        <v>69</v>
      </c>
      <c r="AF217" s="181" t="s">
        <v>142</v>
      </c>
      <c r="AG217" s="192" t="s">
        <v>1508</v>
      </c>
      <c r="AH217" s="198"/>
      <c r="AI217" s="181">
        <v>44849</v>
      </c>
      <c r="AJ217" s="181"/>
      <c r="AK217" s="181">
        <f t="shared" ca="1" si="34"/>
        <v>44958</v>
      </c>
      <c r="AL217" s="173">
        <f t="shared" ca="1" si="36"/>
        <v>109</v>
      </c>
      <c r="AM217" s="173" t="str">
        <f t="shared" si="37"/>
        <v/>
      </c>
      <c r="AN217" s="181"/>
      <c r="AO217" s="190" t="s">
        <v>1567</v>
      </c>
      <c r="AP217" s="176">
        <v>24.59</v>
      </c>
      <c r="AQ217" s="176">
        <v>24.65</v>
      </c>
      <c r="AR217" s="176">
        <v>24.675000000000001</v>
      </c>
      <c r="AS217" s="176">
        <v>24.68</v>
      </c>
      <c r="AT217" s="173" t="str">
        <f t="shared" si="38"/>
        <v/>
      </c>
      <c r="AU217" s="173">
        <v>456</v>
      </c>
      <c r="AW217" s="142" t="s">
        <v>123</v>
      </c>
    </row>
    <row r="218" spans="2:49" s="142" customFormat="1" ht="21" customHeight="1" x14ac:dyDescent="0.25">
      <c r="B218" s="173" t="str">
        <f t="shared" si="35"/>
        <v>0-304/FH-2.00X765</v>
      </c>
      <c r="C218" s="173" t="s">
        <v>4085</v>
      </c>
      <c r="D218" s="173" t="s">
        <v>16</v>
      </c>
      <c r="E218" s="190" t="s">
        <v>4077</v>
      </c>
      <c r="F218" s="190" t="s">
        <v>4078</v>
      </c>
      <c r="G218" s="173">
        <v>304</v>
      </c>
      <c r="H218" s="173" t="s">
        <v>70</v>
      </c>
      <c r="I218" s="174">
        <v>4.38</v>
      </c>
      <c r="J218" s="174">
        <v>2</v>
      </c>
      <c r="K218" s="174"/>
      <c r="L218" s="174"/>
      <c r="M218" s="191">
        <v>765</v>
      </c>
      <c r="N218" s="176">
        <v>10.47</v>
      </c>
      <c r="O218" s="176">
        <v>10.465</v>
      </c>
      <c r="P218" s="176"/>
      <c r="Q218" s="178"/>
      <c r="R218" s="179"/>
      <c r="S218" s="179"/>
      <c r="T218" s="177">
        <v>44939</v>
      </c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80" t="s">
        <v>1619</v>
      </c>
      <c r="AE218" s="173" t="s">
        <v>69</v>
      </c>
      <c r="AF218" s="181" t="s">
        <v>142</v>
      </c>
      <c r="AG218" s="192" t="s">
        <v>1887</v>
      </c>
      <c r="AH218" s="198"/>
      <c r="AI218" s="181">
        <v>44880</v>
      </c>
      <c r="AJ218" s="181"/>
      <c r="AK218" s="181">
        <f t="shared" ca="1" si="34"/>
        <v>44958</v>
      </c>
      <c r="AL218" s="173">
        <f t="shared" ca="1" si="36"/>
        <v>78</v>
      </c>
      <c r="AM218" s="173" t="str">
        <f t="shared" si="37"/>
        <v/>
      </c>
      <c r="AN218" s="181"/>
      <c r="AO218" s="190" t="s">
        <v>4079</v>
      </c>
      <c r="AP218" s="176">
        <v>10.47</v>
      </c>
      <c r="AQ218" s="176">
        <v>10.48</v>
      </c>
      <c r="AR218" s="176">
        <v>10.504999999999999</v>
      </c>
      <c r="AS218" s="176">
        <v>10.51</v>
      </c>
      <c r="AT218" s="173" t="str">
        <f t="shared" si="38"/>
        <v/>
      </c>
      <c r="AU218" s="173">
        <v>459</v>
      </c>
      <c r="AW218" s="142" t="s">
        <v>123</v>
      </c>
    </row>
    <row r="219" spans="2:49" s="142" customFormat="1" ht="21" customHeight="1" x14ac:dyDescent="0.25">
      <c r="B219" s="173" t="str">
        <f t="shared" si="35"/>
        <v>0-304L/1D-3.79X642</v>
      </c>
      <c r="C219" s="173" t="s">
        <v>4087</v>
      </c>
      <c r="D219" s="173" t="s">
        <v>13</v>
      </c>
      <c r="E219" s="190" t="s">
        <v>4088</v>
      </c>
      <c r="F219" s="190" t="s">
        <v>4089</v>
      </c>
      <c r="G219" s="173" t="s">
        <v>182</v>
      </c>
      <c r="H219" s="173" t="s">
        <v>127</v>
      </c>
      <c r="I219" s="174">
        <v>3.79</v>
      </c>
      <c r="J219" s="174"/>
      <c r="K219" s="174"/>
      <c r="L219" s="174"/>
      <c r="M219" s="191">
        <v>642</v>
      </c>
      <c r="N219" s="176">
        <v>9.875</v>
      </c>
      <c r="O219" s="176">
        <v>9.875</v>
      </c>
      <c r="P219" s="176"/>
      <c r="Q219" s="178"/>
      <c r="R219" s="179"/>
      <c r="S219" s="179"/>
      <c r="T219" s="177">
        <v>44940</v>
      </c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80" t="s">
        <v>1609</v>
      </c>
      <c r="AE219" s="173" t="s">
        <v>69</v>
      </c>
      <c r="AF219" s="181" t="s">
        <v>142</v>
      </c>
      <c r="AG219" s="192" t="s">
        <v>1594</v>
      </c>
      <c r="AH219" s="198"/>
      <c r="AI219" s="181">
        <v>44849</v>
      </c>
      <c r="AJ219" s="181"/>
      <c r="AK219" s="181">
        <f t="shared" ca="1" si="34"/>
        <v>44958</v>
      </c>
      <c r="AL219" s="173">
        <f t="shared" ca="1" si="36"/>
        <v>109</v>
      </c>
      <c r="AM219" s="173" t="str">
        <f t="shared" si="37"/>
        <v/>
      </c>
      <c r="AN219" s="181"/>
      <c r="AO219" s="190" t="s">
        <v>4090</v>
      </c>
      <c r="AP219" s="176">
        <v>9.875</v>
      </c>
      <c r="AQ219" s="176">
        <v>9.8849999999999998</v>
      </c>
      <c r="AR219" s="176">
        <v>9.9099999999999984</v>
      </c>
      <c r="AS219" s="176">
        <v>9.9149999999999991</v>
      </c>
      <c r="AT219" s="173" t="str">
        <f t="shared" si="38"/>
        <v/>
      </c>
      <c r="AU219" s="173">
        <v>456</v>
      </c>
      <c r="AW219" s="142" t="s">
        <v>123</v>
      </c>
    </row>
    <row r="220" spans="2:49" s="142" customFormat="1" ht="21" customHeight="1" x14ac:dyDescent="0.25">
      <c r="B220" s="173" t="str">
        <f t="shared" si="35"/>
        <v>0-304L/1D-3.96X765</v>
      </c>
      <c r="C220" s="173" t="s">
        <v>4083</v>
      </c>
      <c r="D220" s="173" t="s">
        <v>13</v>
      </c>
      <c r="E220" s="190" t="s">
        <v>2352</v>
      </c>
      <c r="F220" s="190" t="s">
        <v>2353</v>
      </c>
      <c r="G220" s="173" t="s">
        <v>182</v>
      </c>
      <c r="H220" s="173" t="s">
        <v>127</v>
      </c>
      <c r="I220" s="174">
        <v>3.96</v>
      </c>
      <c r="J220" s="174"/>
      <c r="K220" s="174"/>
      <c r="L220" s="174"/>
      <c r="M220" s="191">
        <v>765</v>
      </c>
      <c r="N220" s="176">
        <v>10.61</v>
      </c>
      <c r="O220" s="176">
        <v>10.61</v>
      </c>
      <c r="P220" s="176"/>
      <c r="Q220" s="178"/>
      <c r="R220" s="179"/>
      <c r="S220" s="179"/>
      <c r="T220" s="177">
        <v>44940</v>
      </c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80" t="s">
        <v>1345</v>
      </c>
      <c r="AE220" s="173" t="s">
        <v>69</v>
      </c>
      <c r="AF220" s="181" t="s">
        <v>142</v>
      </c>
      <c r="AG220" s="192" t="s">
        <v>1653</v>
      </c>
      <c r="AH220" s="198"/>
      <c r="AI220" s="181">
        <v>44880</v>
      </c>
      <c r="AJ220" s="181"/>
      <c r="AK220" s="181">
        <f t="shared" ca="1" si="34"/>
        <v>44958</v>
      </c>
      <c r="AL220" s="173">
        <f t="shared" ca="1" si="36"/>
        <v>78</v>
      </c>
      <c r="AM220" s="173" t="str">
        <f t="shared" si="37"/>
        <v/>
      </c>
      <c r="AN220" s="181"/>
      <c r="AO220" s="190" t="s">
        <v>2355</v>
      </c>
      <c r="AP220" s="176">
        <v>10.61</v>
      </c>
      <c r="AQ220" s="176">
        <v>10.62</v>
      </c>
      <c r="AR220" s="176">
        <v>10.644999999999998</v>
      </c>
      <c r="AS220" s="176">
        <v>10.649999999999999</v>
      </c>
      <c r="AT220" s="173" t="str">
        <f t="shared" si="38"/>
        <v/>
      </c>
      <c r="AU220" s="173">
        <v>459</v>
      </c>
      <c r="AW220" s="142" t="s">
        <v>123</v>
      </c>
    </row>
    <row r="221" spans="2:49" s="142" customFormat="1" ht="21" customHeight="1" x14ac:dyDescent="0.25">
      <c r="B221" s="173" t="str">
        <f t="shared" si="35"/>
        <v>0-304L/FH-1.20X768</v>
      </c>
      <c r="C221" s="173" t="s">
        <v>4085</v>
      </c>
      <c r="D221" s="173" t="s">
        <v>16</v>
      </c>
      <c r="E221" s="190" t="s">
        <v>1544</v>
      </c>
      <c r="F221" s="190" t="s">
        <v>1549</v>
      </c>
      <c r="G221" s="173" t="s">
        <v>182</v>
      </c>
      <c r="H221" s="173" t="s">
        <v>70</v>
      </c>
      <c r="I221" s="174">
        <v>3.79</v>
      </c>
      <c r="J221" s="174">
        <v>1.2</v>
      </c>
      <c r="K221" s="174"/>
      <c r="L221" s="174"/>
      <c r="M221" s="191">
        <v>768</v>
      </c>
      <c r="N221" s="176">
        <v>12.27</v>
      </c>
      <c r="O221" s="176">
        <v>12.275</v>
      </c>
      <c r="P221" s="176"/>
      <c r="Q221" s="178"/>
      <c r="R221" s="179"/>
      <c r="S221" s="179"/>
      <c r="T221" s="177">
        <v>44939</v>
      </c>
      <c r="U221" s="177"/>
      <c r="V221" s="177"/>
      <c r="W221" s="177"/>
      <c r="X221" s="177"/>
      <c r="Y221" s="177"/>
      <c r="Z221" s="177"/>
      <c r="AA221" s="177">
        <v>44934</v>
      </c>
      <c r="AB221" s="177"/>
      <c r="AC221" s="177"/>
      <c r="AD221" s="180" t="s">
        <v>1507</v>
      </c>
      <c r="AE221" s="173" t="s">
        <v>69</v>
      </c>
      <c r="AF221" s="181" t="s">
        <v>142</v>
      </c>
      <c r="AG221" s="192" t="s">
        <v>1508</v>
      </c>
      <c r="AH221" s="198"/>
      <c r="AI221" s="181">
        <v>44849</v>
      </c>
      <c r="AJ221" s="181"/>
      <c r="AK221" s="181">
        <f t="shared" ca="1" si="34"/>
        <v>44958</v>
      </c>
      <c r="AL221" s="173">
        <f t="shared" ca="1" si="36"/>
        <v>109</v>
      </c>
      <c r="AM221" s="173" t="str">
        <f t="shared" si="37"/>
        <v/>
      </c>
      <c r="AN221" s="181"/>
      <c r="AO221" s="190" t="s">
        <v>1548</v>
      </c>
      <c r="AP221" s="176">
        <v>24.535</v>
      </c>
      <c r="AQ221" s="176">
        <v>24.594999999999999</v>
      </c>
      <c r="AR221" s="176">
        <v>24.62</v>
      </c>
      <c r="AS221" s="176">
        <v>24.625</v>
      </c>
      <c r="AT221" s="173" t="str">
        <f t="shared" si="38"/>
        <v/>
      </c>
      <c r="AU221" s="173">
        <v>456</v>
      </c>
      <c r="AW221" s="142" t="s">
        <v>123</v>
      </c>
    </row>
    <row r="222" spans="2:49" s="142" customFormat="1" ht="21" customHeight="1" x14ac:dyDescent="0.25">
      <c r="B222" s="173" t="str">
        <f t="shared" si="35"/>
        <v>0-304L/1D-2.89X641</v>
      </c>
      <c r="C222" s="173" t="s">
        <v>4080</v>
      </c>
      <c r="D222" s="173" t="s">
        <v>13</v>
      </c>
      <c r="E222" s="190" t="s">
        <v>4091</v>
      </c>
      <c r="F222" s="190" t="s">
        <v>4092</v>
      </c>
      <c r="G222" s="173" t="s">
        <v>182</v>
      </c>
      <c r="H222" s="173" t="s">
        <v>127</v>
      </c>
      <c r="I222" s="174">
        <v>2.89</v>
      </c>
      <c r="J222" s="174"/>
      <c r="K222" s="174"/>
      <c r="L222" s="174"/>
      <c r="M222" s="191">
        <v>641</v>
      </c>
      <c r="N222" s="176">
        <v>10.734999999999999</v>
      </c>
      <c r="O222" s="176">
        <v>10.734999999999999</v>
      </c>
      <c r="P222" s="176"/>
      <c r="Q222" s="178"/>
      <c r="R222" s="179"/>
      <c r="S222" s="179"/>
      <c r="T222" s="177">
        <v>44940</v>
      </c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80" t="s">
        <v>2479</v>
      </c>
      <c r="AE222" s="173" t="s">
        <v>69</v>
      </c>
      <c r="AF222" s="181" t="s">
        <v>142</v>
      </c>
      <c r="AG222" s="192" t="s">
        <v>1594</v>
      </c>
      <c r="AH222" s="198"/>
      <c r="AI222" s="181">
        <v>44849</v>
      </c>
      <c r="AJ222" s="181"/>
      <c r="AK222" s="181">
        <f t="shared" ca="1" si="34"/>
        <v>44958</v>
      </c>
      <c r="AL222" s="173">
        <f t="shared" ca="1" si="36"/>
        <v>109</v>
      </c>
      <c r="AM222" s="173" t="str">
        <f t="shared" si="37"/>
        <v/>
      </c>
      <c r="AN222" s="181"/>
      <c r="AO222" s="190" t="s">
        <v>3970</v>
      </c>
      <c r="AP222" s="176">
        <v>10.734999999999999</v>
      </c>
      <c r="AQ222" s="176">
        <v>10.744999999999999</v>
      </c>
      <c r="AR222" s="176">
        <v>10.769999999999998</v>
      </c>
      <c r="AS222" s="176">
        <v>10.774999999999999</v>
      </c>
      <c r="AT222" s="173" t="str">
        <f t="shared" si="38"/>
        <v/>
      </c>
      <c r="AU222" s="173">
        <v>456</v>
      </c>
      <c r="AW222" s="142" t="s">
        <v>123</v>
      </c>
    </row>
    <row r="223" spans="2:49" s="142" customFormat="1" ht="21" customHeight="1" x14ac:dyDescent="0.25">
      <c r="B223" s="173" t="str">
        <f t="shared" si="35"/>
        <v>0-304L/1D-3.78X768</v>
      </c>
      <c r="C223" s="173" t="s">
        <v>4086</v>
      </c>
      <c r="D223" s="173" t="s">
        <v>13</v>
      </c>
      <c r="E223" s="190" t="s">
        <v>1558</v>
      </c>
      <c r="F223" s="190" t="s">
        <v>4093</v>
      </c>
      <c r="G223" s="173" t="s">
        <v>182</v>
      </c>
      <c r="H223" s="173" t="s">
        <v>127</v>
      </c>
      <c r="I223" s="174">
        <v>3.78</v>
      </c>
      <c r="J223" s="174"/>
      <c r="K223" s="174"/>
      <c r="L223" s="174"/>
      <c r="M223" s="191">
        <v>768</v>
      </c>
      <c r="N223" s="176">
        <v>12.285</v>
      </c>
      <c r="O223" s="176">
        <v>12.285</v>
      </c>
      <c r="P223" s="176"/>
      <c r="Q223" s="178"/>
      <c r="R223" s="179"/>
      <c r="S223" s="179"/>
      <c r="T223" s="177">
        <v>44940</v>
      </c>
      <c r="U223" s="177"/>
      <c r="V223" s="177"/>
      <c r="W223" s="177"/>
      <c r="X223" s="177"/>
      <c r="Y223" s="177"/>
      <c r="Z223" s="177"/>
      <c r="AA223" s="177">
        <v>44934</v>
      </c>
      <c r="AB223" s="177"/>
      <c r="AC223" s="177"/>
      <c r="AD223" s="180" t="s">
        <v>1507</v>
      </c>
      <c r="AE223" s="173" t="s">
        <v>69</v>
      </c>
      <c r="AF223" s="181" t="s">
        <v>142</v>
      </c>
      <c r="AG223" s="192" t="s">
        <v>1508</v>
      </c>
      <c r="AH223" s="198"/>
      <c r="AI223" s="181">
        <v>44849</v>
      </c>
      <c r="AJ223" s="181"/>
      <c r="AK223" s="181">
        <f t="shared" ca="1" si="34"/>
        <v>44958</v>
      </c>
      <c r="AL223" s="173">
        <f t="shared" ca="1" si="36"/>
        <v>109</v>
      </c>
      <c r="AM223" s="173" t="str">
        <f t="shared" si="37"/>
        <v/>
      </c>
      <c r="AN223" s="181"/>
      <c r="AO223" s="190" t="s">
        <v>1560</v>
      </c>
      <c r="AP223" s="176">
        <v>24.535</v>
      </c>
      <c r="AQ223" s="176">
        <v>24.594999999999999</v>
      </c>
      <c r="AR223" s="176">
        <v>24.62</v>
      </c>
      <c r="AS223" s="176">
        <v>24.625</v>
      </c>
      <c r="AT223" s="173" t="str">
        <f t="shared" si="38"/>
        <v/>
      </c>
      <c r="AU223" s="173">
        <v>456</v>
      </c>
      <c r="AW223" s="142" t="s">
        <v>123</v>
      </c>
    </row>
    <row r="224" spans="2:49" s="142" customFormat="1" ht="21" customHeight="1" x14ac:dyDescent="0.25">
      <c r="B224" s="173" t="str">
        <f t="shared" si="35"/>
        <v>0-304L/FH-1.20X769</v>
      </c>
      <c r="C224" s="173" t="s">
        <v>4085</v>
      </c>
      <c r="D224" s="173" t="s">
        <v>16</v>
      </c>
      <c r="E224" s="190" t="s">
        <v>1565</v>
      </c>
      <c r="F224" s="190" t="s">
        <v>1568</v>
      </c>
      <c r="G224" s="173" t="s">
        <v>182</v>
      </c>
      <c r="H224" s="173" t="s">
        <v>70</v>
      </c>
      <c r="I224" s="174">
        <v>3.79</v>
      </c>
      <c r="J224" s="174">
        <v>1.2</v>
      </c>
      <c r="K224" s="174"/>
      <c r="L224" s="174"/>
      <c r="M224" s="191">
        <v>769</v>
      </c>
      <c r="N224" s="176">
        <v>12.315</v>
      </c>
      <c r="O224" s="176">
        <v>12.33</v>
      </c>
      <c r="P224" s="176"/>
      <c r="Q224" s="178"/>
      <c r="R224" s="179"/>
      <c r="S224" s="179"/>
      <c r="T224" s="177">
        <v>44940</v>
      </c>
      <c r="U224" s="177"/>
      <c r="V224" s="177"/>
      <c r="W224" s="177"/>
      <c r="X224" s="177"/>
      <c r="Y224" s="177"/>
      <c r="Z224" s="177"/>
      <c r="AA224" s="177">
        <v>44933</v>
      </c>
      <c r="AB224" s="177"/>
      <c r="AC224" s="177"/>
      <c r="AD224" s="180" t="s">
        <v>1507</v>
      </c>
      <c r="AE224" s="173" t="s">
        <v>69</v>
      </c>
      <c r="AF224" s="181" t="s">
        <v>142</v>
      </c>
      <c r="AG224" s="192" t="s">
        <v>1508</v>
      </c>
      <c r="AH224" s="198"/>
      <c r="AI224" s="181">
        <v>44849</v>
      </c>
      <c r="AJ224" s="181"/>
      <c r="AK224" s="181">
        <f t="shared" ca="1" si="34"/>
        <v>44958</v>
      </c>
      <c r="AL224" s="173">
        <f t="shared" ca="1" si="36"/>
        <v>109</v>
      </c>
      <c r="AM224" s="173" t="str">
        <f t="shared" si="37"/>
        <v/>
      </c>
      <c r="AN224" s="181"/>
      <c r="AO224" s="190" t="s">
        <v>1567</v>
      </c>
      <c r="AP224" s="176">
        <v>24.59</v>
      </c>
      <c r="AQ224" s="176">
        <v>24.65</v>
      </c>
      <c r="AR224" s="176">
        <v>24.675000000000001</v>
      </c>
      <c r="AS224" s="176">
        <v>24.68</v>
      </c>
      <c r="AT224" s="173" t="str">
        <f t="shared" si="38"/>
        <v/>
      </c>
      <c r="AU224" s="173">
        <v>456</v>
      </c>
      <c r="AW224" s="142" t="s">
        <v>123</v>
      </c>
    </row>
    <row r="225" spans="2:49" s="142" customFormat="1" ht="21" customHeight="1" x14ac:dyDescent="0.25">
      <c r="B225" s="173" t="str">
        <f t="shared" si="35"/>
        <v>0-304L/1D-3.81X768</v>
      </c>
      <c r="C225" s="173" t="s">
        <v>4086</v>
      </c>
      <c r="D225" s="173" t="s">
        <v>13</v>
      </c>
      <c r="E225" s="190" t="s">
        <v>1569</v>
      </c>
      <c r="F225" s="190" t="s">
        <v>1570</v>
      </c>
      <c r="G225" s="173" t="s">
        <v>182</v>
      </c>
      <c r="H225" s="173" t="s">
        <v>127</v>
      </c>
      <c r="I225" s="174">
        <v>3.81</v>
      </c>
      <c r="J225" s="174"/>
      <c r="K225" s="174"/>
      <c r="L225" s="174"/>
      <c r="M225" s="191">
        <v>768</v>
      </c>
      <c r="N225" s="176">
        <v>12.3</v>
      </c>
      <c r="O225" s="176">
        <v>12.3</v>
      </c>
      <c r="P225" s="176"/>
      <c r="Q225" s="178"/>
      <c r="R225" s="179"/>
      <c r="S225" s="179"/>
      <c r="T225" s="177">
        <v>44940</v>
      </c>
      <c r="U225" s="177"/>
      <c r="V225" s="177"/>
      <c r="W225" s="177"/>
      <c r="X225" s="177"/>
      <c r="Y225" s="177"/>
      <c r="Z225" s="177">
        <v>44934</v>
      </c>
      <c r="AA225" s="177">
        <v>44934</v>
      </c>
      <c r="AB225" s="177"/>
      <c r="AC225" s="177"/>
      <c r="AD225" s="180" t="s">
        <v>1507</v>
      </c>
      <c r="AE225" s="173" t="s">
        <v>69</v>
      </c>
      <c r="AF225" s="181" t="s">
        <v>142</v>
      </c>
      <c r="AG225" s="192" t="s">
        <v>1508</v>
      </c>
      <c r="AH225" s="198"/>
      <c r="AI225" s="181">
        <v>44849</v>
      </c>
      <c r="AJ225" s="181"/>
      <c r="AK225" s="181">
        <f t="shared" ca="1" si="34"/>
        <v>44958</v>
      </c>
      <c r="AL225" s="173">
        <f t="shared" ca="1" si="36"/>
        <v>109</v>
      </c>
      <c r="AM225" s="173" t="str">
        <f t="shared" si="37"/>
        <v/>
      </c>
      <c r="AN225" s="181"/>
      <c r="AO225" s="190" t="s">
        <v>1572</v>
      </c>
      <c r="AP225" s="176">
        <v>24.53</v>
      </c>
      <c r="AQ225" s="176">
        <v>24.59</v>
      </c>
      <c r="AR225" s="176">
        <v>24.615000000000002</v>
      </c>
      <c r="AS225" s="176">
        <v>24.62</v>
      </c>
      <c r="AT225" s="173" t="str">
        <f t="shared" si="38"/>
        <v/>
      </c>
      <c r="AU225" s="173">
        <v>456</v>
      </c>
      <c r="AW225" s="142" t="s">
        <v>123</v>
      </c>
    </row>
    <row r="226" spans="2:49" s="142" customFormat="1" ht="21" customHeight="1" x14ac:dyDescent="0.25">
      <c r="B226" s="173" t="str">
        <f t="shared" si="35"/>
        <v>0-304L/FH-1.20X768</v>
      </c>
      <c r="C226" s="173" t="s">
        <v>4085</v>
      </c>
      <c r="D226" s="173" t="s">
        <v>16</v>
      </c>
      <c r="E226" s="190" t="s">
        <v>1558</v>
      </c>
      <c r="F226" s="190" t="s">
        <v>4047</v>
      </c>
      <c r="G226" s="173" t="s">
        <v>182</v>
      </c>
      <c r="H226" s="173" t="s">
        <v>70</v>
      </c>
      <c r="I226" s="174">
        <v>3.78</v>
      </c>
      <c r="J226" s="174">
        <v>1.2</v>
      </c>
      <c r="K226" s="174"/>
      <c r="L226" s="174"/>
      <c r="M226" s="191">
        <v>768</v>
      </c>
      <c r="N226" s="176">
        <v>12.295</v>
      </c>
      <c r="O226" s="176">
        <v>12.285</v>
      </c>
      <c r="P226" s="176"/>
      <c r="Q226" s="178"/>
      <c r="R226" s="179"/>
      <c r="S226" s="179"/>
      <c r="T226" s="177">
        <v>44937</v>
      </c>
      <c r="U226" s="177"/>
      <c r="V226" s="177"/>
      <c r="W226" s="177"/>
      <c r="X226" s="177"/>
      <c r="Y226" s="177"/>
      <c r="Z226" s="177"/>
      <c r="AA226" s="177">
        <v>44934</v>
      </c>
      <c r="AB226" s="177"/>
      <c r="AC226" s="177"/>
      <c r="AD226" s="180" t="s">
        <v>1507</v>
      </c>
      <c r="AE226" s="173" t="s">
        <v>69</v>
      </c>
      <c r="AF226" s="181" t="s">
        <v>142</v>
      </c>
      <c r="AG226" s="192" t="s">
        <v>1508</v>
      </c>
      <c r="AH226" s="198"/>
      <c r="AI226" s="181">
        <v>44849</v>
      </c>
      <c r="AJ226" s="181"/>
      <c r="AK226" s="181">
        <f t="shared" ca="1" si="34"/>
        <v>44958</v>
      </c>
      <c r="AL226" s="173">
        <f t="shared" ca="1" si="36"/>
        <v>109</v>
      </c>
      <c r="AM226" s="173" t="str">
        <f t="shared" si="37"/>
        <v/>
      </c>
      <c r="AN226" s="181"/>
      <c r="AO226" s="190" t="s">
        <v>1560</v>
      </c>
      <c r="AP226" s="176">
        <v>24.535</v>
      </c>
      <c r="AQ226" s="176">
        <v>24.594999999999999</v>
      </c>
      <c r="AR226" s="176">
        <v>24.62</v>
      </c>
      <c r="AS226" s="176">
        <v>24.625</v>
      </c>
      <c r="AT226" s="173" t="str">
        <f t="shared" si="38"/>
        <v/>
      </c>
      <c r="AU226" s="173">
        <v>456</v>
      </c>
      <c r="AW226" s="142" t="s">
        <v>123</v>
      </c>
    </row>
    <row r="227" spans="2:49" s="142" customFormat="1" ht="21" customHeight="1" x14ac:dyDescent="0.25">
      <c r="B227" s="173" t="str">
        <f t="shared" si="35"/>
        <v>0-304/1D-3.82X764</v>
      </c>
      <c r="C227" s="173" t="s">
        <v>4083</v>
      </c>
      <c r="D227" s="173" t="s">
        <v>13</v>
      </c>
      <c r="E227" s="190" t="s">
        <v>2598</v>
      </c>
      <c r="F227" s="190" t="s">
        <v>2599</v>
      </c>
      <c r="G227" s="173">
        <v>304</v>
      </c>
      <c r="H227" s="173" t="s">
        <v>127</v>
      </c>
      <c r="I227" s="174">
        <v>3.82</v>
      </c>
      <c r="J227" s="174"/>
      <c r="K227" s="174"/>
      <c r="L227" s="174"/>
      <c r="M227" s="191">
        <v>764</v>
      </c>
      <c r="N227" s="176">
        <v>9.15</v>
      </c>
      <c r="O227" s="176">
        <v>9.15</v>
      </c>
      <c r="P227" s="176"/>
      <c r="Q227" s="178"/>
      <c r="R227" s="179"/>
      <c r="S227" s="179"/>
      <c r="T227" s="177">
        <v>44940</v>
      </c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80" t="s">
        <v>1507</v>
      </c>
      <c r="AE227" s="173" t="s">
        <v>69</v>
      </c>
      <c r="AF227" s="181" t="s">
        <v>142</v>
      </c>
      <c r="AG227" s="192" t="s">
        <v>1584</v>
      </c>
      <c r="AH227" s="198"/>
      <c r="AI227" s="181">
        <v>44914</v>
      </c>
      <c r="AJ227" s="181"/>
      <c r="AK227" s="181">
        <f t="shared" ca="1" si="34"/>
        <v>44958</v>
      </c>
      <c r="AL227" s="173">
        <f t="shared" ca="1" si="36"/>
        <v>44</v>
      </c>
      <c r="AM227" s="173" t="str">
        <f t="shared" si="37"/>
        <v/>
      </c>
      <c r="AN227" s="181"/>
      <c r="AO227" s="190" t="s">
        <v>2601</v>
      </c>
      <c r="AP227" s="176">
        <v>9.15</v>
      </c>
      <c r="AQ227" s="176">
        <v>9.16</v>
      </c>
      <c r="AR227" s="176">
        <v>9.1849999999999987</v>
      </c>
      <c r="AS227" s="176">
        <v>9.19</v>
      </c>
      <c r="AT227" s="173" t="str">
        <f t="shared" si="38"/>
        <v/>
      </c>
      <c r="AU227" s="173">
        <v>462</v>
      </c>
      <c r="AW227" s="142" t="s">
        <v>123</v>
      </c>
    </row>
    <row r="228" spans="2:49" s="142" customFormat="1" ht="21" customHeight="1" x14ac:dyDescent="0.25">
      <c r="B228" s="173" t="str">
        <f t="shared" si="35"/>
        <v>0-304L/FH-2.00X765</v>
      </c>
      <c r="C228" s="173" t="s">
        <v>4085</v>
      </c>
      <c r="D228" s="173" t="s">
        <v>16</v>
      </c>
      <c r="E228" s="190" t="s">
        <v>2352</v>
      </c>
      <c r="F228" s="190" t="s">
        <v>2353</v>
      </c>
      <c r="G228" s="173" t="s">
        <v>182</v>
      </c>
      <c r="H228" s="173" t="s">
        <v>70</v>
      </c>
      <c r="I228" s="174">
        <v>3.96</v>
      </c>
      <c r="J228" s="174">
        <v>2</v>
      </c>
      <c r="K228" s="174"/>
      <c r="L228" s="174"/>
      <c r="M228" s="191">
        <v>765</v>
      </c>
      <c r="N228" s="176">
        <v>10.61</v>
      </c>
      <c r="O228" s="176">
        <v>10.615</v>
      </c>
      <c r="P228" s="176"/>
      <c r="Q228" s="178"/>
      <c r="R228" s="179"/>
      <c r="S228" s="179"/>
      <c r="T228" s="177">
        <v>44940</v>
      </c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80" t="s">
        <v>1345</v>
      </c>
      <c r="AE228" s="173" t="s">
        <v>69</v>
      </c>
      <c r="AF228" s="181" t="s">
        <v>142</v>
      </c>
      <c r="AG228" s="192" t="s">
        <v>1653</v>
      </c>
      <c r="AH228" s="198"/>
      <c r="AI228" s="181">
        <v>44880</v>
      </c>
      <c r="AJ228" s="181"/>
      <c r="AK228" s="181">
        <f t="shared" ca="1" si="34"/>
        <v>44958</v>
      </c>
      <c r="AL228" s="173">
        <f t="shared" ca="1" si="36"/>
        <v>78</v>
      </c>
      <c r="AM228" s="173" t="str">
        <f t="shared" si="37"/>
        <v/>
      </c>
      <c r="AN228" s="181"/>
      <c r="AO228" s="190" t="s">
        <v>2355</v>
      </c>
      <c r="AP228" s="176">
        <v>10.61</v>
      </c>
      <c r="AQ228" s="176">
        <v>10.62</v>
      </c>
      <c r="AR228" s="176">
        <v>10.644999999999998</v>
      </c>
      <c r="AS228" s="176">
        <v>10.649999999999999</v>
      </c>
      <c r="AT228" s="173" t="str">
        <f t="shared" si="38"/>
        <v/>
      </c>
      <c r="AU228" s="173">
        <v>459</v>
      </c>
      <c r="AW228" s="142" t="s">
        <v>123</v>
      </c>
    </row>
    <row r="229" spans="2:49" s="142" customFormat="1" ht="21" customHeight="1" x14ac:dyDescent="0.25">
      <c r="B229" s="173" t="str">
        <f t="shared" si="35"/>
        <v>0-304L/1D-2.89X767</v>
      </c>
      <c r="C229" s="173" t="s">
        <v>4083</v>
      </c>
      <c r="D229" s="173" t="s">
        <v>13</v>
      </c>
      <c r="E229" s="190" t="s">
        <v>4094</v>
      </c>
      <c r="F229" s="190" t="s">
        <v>4095</v>
      </c>
      <c r="G229" s="173" t="s">
        <v>182</v>
      </c>
      <c r="H229" s="173" t="s">
        <v>127</v>
      </c>
      <c r="I229" s="174">
        <v>2.89</v>
      </c>
      <c r="J229" s="174"/>
      <c r="K229" s="174"/>
      <c r="L229" s="174"/>
      <c r="M229" s="191">
        <v>767</v>
      </c>
      <c r="N229" s="176">
        <v>8.4649999999999999</v>
      </c>
      <c r="O229" s="176">
        <v>8.4649999999999999</v>
      </c>
      <c r="P229" s="176"/>
      <c r="Q229" s="178"/>
      <c r="R229" s="179"/>
      <c r="S229" s="179"/>
      <c r="T229" s="177">
        <v>44940</v>
      </c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80" t="s">
        <v>2448</v>
      </c>
      <c r="AE229" s="173" t="s">
        <v>69</v>
      </c>
      <c r="AF229" s="181" t="s">
        <v>142</v>
      </c>
      <c r="AG229" s="192" t="s">
        <v>1584</v>
      </c>
      <c r="AH229" s="198"/>
      <c r="AI229" s="181">
        <v>44914</v>
      </c>
      <c r="AJ229" s="181"/>
      <c r="AK229" s="181">
        <f t="shared" ref="AK229:AK299" ca="1" si="39">TODAY()</f>
        <v>44958</v>
      </c>
      <c r="AL229" s="173">
        <f t="shared" ca="1" si="36"/>
        <v>44</v>
      </c>
      <c r="AM229" s="173" t="str">
        <f t="shared" si="37"/>
        <v/>
      </c>
      <c r="AN229" s="181"/>
      <c r="AO229" s="190" t="s">
        <v>4096</v>
      </c>
      <c r="AP229" s="176">
        <v>8.4649999999999999</v>
      </c>
      <c r="AQ229" s="176">
        <v>8.4749999999999996</v>
      </c>
      <c r="AR229" s="176">
        <v>8.4999999999999982</v>
      </c>
      <c r="AS229" s="176">
        <v>8.504999999999999</v>
      </c>
      <c r="AT229" s="173" t="str">
        <f t="shared" si="38"/>
        <v/>
      </c>
      <c r="AU229" s="173">
        <v>462</v>
      </c>
      <c r="AW229" s="142" t="s">
        <v>123</v>
      </c>
    </row>
    <row r="230" spans="2:49" s="142" customFormat="1" ht="21" customHeight="1" x14ac:dyDescent="0.25">
      <c r="B230" s="173" t="str">
        <f t="shared" si="35"/>
        <v>0-304L/FH-1.20X768</v>
      </c>
      <c r="C230" s="173" t="s">
        <v>4085</v>
      </c>
      <c r="D230" s="173" t="s">
        <v>16</v>
      </c>
      <c r="E230" s="190" t="s">
        <v>1558</v>
      </c>
      <c r="F230" s="190" t="s">
        <v>4093</v>
      </c>
      <c r="G230" s="173" t="s">
        <v>182</v>
      </c>
      <c r="H230" s="173" t="s">
        <v>70</v>
      </c>
      <c r="I230" s="174">
        <v>3.78</v>
      </c>
      <c r="J230" s="174">
        <v>1.2</v>
      </c>
      <c r="K230" s="174"/>
      <c r="L230" s="174"/>
      <c r="M230" s="191">
        <v>768</v>
      </c>
      <c r="N230" s="176">
        <v>12.285</v>
      </c>
      <c r="O230" s="176">
        <v>12.29</v>
      </c>
      <c r="P230" s="176"/>
      <c r="Q230" s="178"/>
      <c r="R230" s="179"/>
      <c r="S230" s="179"/>
      <c r="T230" s="177">
        <v>44940</v>
      </c>
      <c r="U230" s="177"/>
      <c r="V230" s="177"/>
      <c r="W230" s="177"/>
      <c r="X230" s="177"/>
      <c r="Y230" s="177"/>
      <c r="Z230" s="177"/>
      <c r="AA230" s="177">
        <v>44934</v>
      </c>
      <c r="AB230" s="177"/>
      <c r="AC230" s="177"/>
      <c r="AD230" s="180" t="s">
        <v>1507</v>
      </c>
      <c r="AE230" s="173" t="s">
        <v>69</v>
      </c>
      <c r="AF230" s="181" t="s">
        <v>142</v>
      </c>
      <c r="AG230" s="192" t="s">
        <v>1508</v>
      </c>
      <c r="AH230" s="198"/>
      <c r="AI230" s="181">
        <v>44849</v>
      </c>
      <c r="AJ230" s="181"/>
      <c r="AK230" s="181">
        <f t="shared" ca="1" si="39"/>
        <v>44958</v>
      </c>
      <c r="AL230" s="173">
        <f t="shared" ca="1" si="36"/>
        <v>109</v>
      </c>
      <c r="AM230" s="173" t="str">
        <f t="shared" si="37"/>
        <v/>
      </c>
      <c r="AN230" s="181"/>
      <c r="AO230" s="190" t="s">
        <v>1560</v>
      </c>
      <c r="AP230" s="176">
        <v>24.535</v>
      </c>
      <c r="AQ230" s="176">
        <v>24.594999999999999</v>
      </c>
      <c r="AR230" s="176">
        <v>24.62</v>
      </c>
      <c r="AS230" s="176">
        <v>24.625</v>
      </c>
      <c r="AT230" s="173" t="str">
        <f t="shared" si="38"/>
        <v/>
      </c>
      <c r="AU230" s="173">
        <v>456</v>
      </c>
      <c r="AW230" s="142" t="s">
        <v>123</v>
      </c>
    </row>
    <row r="231" spans="2:49" s="142" customFormat="1" ht="21" customHeight="1" x14ac:dyDescent="0.25">
      <c r="B231" s="173" t="str">
        <f t="shared" si="35"/>
        <v>0-304L/1D-3.79X770</v>
      </c>
      <c r="C231" s="173" t="s">
        <v>4083</v>
      </c>
      <c r="D231" s="173" t="s">
        <v>13</v>
      </c>
      <c r="E231" s="190" t="s">
        <v>1515</v>
      </c>
      <c r="F231" s="190" t="s">
        <v>1516</v>
      </c>
      <c r="G231" s="173" t="s">
        <v>182</v>
      </c>
      <c r="H231" s="173" t="s">
        <v>127</v>
      </c>
      <c r="I231" s="174">
        <v>3.79</v>
      </c>
      <c r="J231" s="174"/>
      <c r="K231" s="174"/>
      <c r="L231" s="174"/>
      <c r="M231" s="191">
        <v>770</v>
      </c>
      <c r="N231" s="176">
        <v>12.14</v>
      </c>
      <c r="O231" s="176">
        <v>12.14</v>
      </c>
      <c r="P231" s="176"/>
      <c r="Q231" s="178"/>
      <c r="R231" s="179"/>
      <c r="S231" s="179"/>
      <c r="T231" s="177">
        <v>44940</v>
      </c>
      <c r="U231" s="177"/>
      <c r="V231" s="177"/>
      <c r="W231" s="177"/>
      <c r="X231" s="177"/>
      <c r="Y231" s="177"/>
      <c r="Z231" s="177"/>
      <c r="AA231" s="177">
        <v>44932</v>
      </c>
      <c r="AB231" s="177"/>
      <c r="AC231" s="177"/>
      <c r="AD231" s="180" t="s">
        <v>1507</v>
      </c>
      <c r="AE231" s="173" t="s">
        <v>69</v>
      </c>
      <c r="AF231" s="181" t="s">
        <v>142</v>
      </c>
      <c r="AG231" s="192" t="s">
        <v>1508</v>
      </c>
      <c r="AH231" s="198"/>
      <c r="AI231" s="181">
        <v>44849</v>
      </c>
      <c r="AJ231" s="181"/>
      <c r="AK231" s="181">
        <f t="shared" ca="1" si="39"/>
        <v>44958</v>
      </c>
      <c r="AL231" s="173">
        <f t="shared" ca="1" si="36"/>
        <v>109</v>
      </c>
      <c r="AM231" s="173" t="str">
        <f t="shared" si="37"/>
        <v/>
      </c>
      <c r="AN231" s="181"/>
      <c r="AO231" s="190" t="s">
        <v>1517</v>
      </c>
      <c r="AP231" s="176">
        <v>24.25</v>
      </c>
      <c r="AQ231" s="176">
        <v>24.31</v>
      </c>
      <c r="AR231" s="176">
        <v>24.335000000000001</v>
      </c>
      <c r="AS231" s="176">
        <v>24.34</v>
      </c>
      <c r="AT231" s="173" t="str">
        <f t="shared" si="38"/>
        <v/>
      </c>
      <c r="AU231" s="173">
        <v>456</v>
      </c>
      <c r="AW231" s="142" t="s">
        <v>123</v>
      </c>
    </row>
    <row r="232" spans="2:49" s="142" customFormat="1" ht="21" customHeight="1" x14ac:dyDescent="0.25">
      <c r="B232" s="173" t="str">
        <f t="shared" si="35"/>
        <v>0-304L/1D-2.89X637</v>
      </c>
      <c r="C232" s="173" t="s">
        <v>4083</v>
      </c>
      <c r="D232" s="173" t="s">
        <v>13</v>
      </c>
      <c r="E232" s="190" t="s">
        <v>4097</v>
      </c>
      <c r="F232" s="190" t="s">
        <v>4098</v>
      </c>
      <c r="G232" s="173" t="s">
        <v>182</v>
      </c>
      <c r="H232" s="173" t="s">
        <v>127</v>
      </c>
      <c r="I232" s="174">
        <v>2.89</v>
      </c>
      <c r="J232" s="174"/>
      <c r="K232" s="174"/>
      <c r="L232" s="174"/>
      <c r="M232" s="191">
        <v>637</v>
      </c>
      <c r="N232" s="176">
        <v>10.185</v>
      </c>
      <c r="O232" s="176">
        <v>10.185</v>
      </c>
      <c r="P232" s="176"/>
      <c r="Q232" s="178"/>
      <c r="R232" s="179"/>
      <c r="S232" s="179"/>
      <c r="T232" s="177">
        <v>44940</v>
      </c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80" t="s">
        <v>2479</v>
      </c>
      <c r="AE232" s="173" t="s">
        <v>69</v>
      </c>
      <c r="AF232" s="181" t="s">
        <v>142</v>
      </c>
      <c r="AG232" s="192" t="s">
        <v>1657</v>
      </c>
      <c r="AH232" s="198"/>
      <c r="AI232" s="181">
        <v>44849</v>
      </c>
      <c r="AJ232" s="181"/>
      <c r="AK232" s="181">
        <f t="shared" ca="1" si="39"/>
        <v>44958</v>
      </c>
      <c r="AL232" s="173">
        <f t="shared" ca="1" si="36"/>
        <v>109</v>
      </c>
      <c r="AM232" s="173" t="str">
        <f t="shared" si="37"/>
        <v/>
      </c>
      <c r="AN232" s="181"/>
      <c r="AO232" s="190" t="s">
        <v>4016</v>
      </c>
      <c r="AP232" s="176">
        <v>10.185</v>
      </c>
      <c r="AQ232" s="176">
        <v>10.195</v>
      </c>
      <c r="AR232" s="176">
        <v>10.219999999999999</v>
      </c>
      <c r="AS232" s="176">
        <v>10.225</v>
      </c>
      <c r="AT232" s="173" t="str">
        <f t="shared" si="38"/>
        <v/>
      </c>
      <c r="AU232" s="173">
        <v>456</v>
      </c>
      <c r="AW232" s="142" t="s">
        <v>123</v>
      </c>
    </row>
    <row r="233" spans="2:49" s="142" customFormat="1" ht="21" customHeight="1" x14ac:dyDescent="0.25">
      <c r="B233" s="173" t="str">
        <f t="shared" si="35"/>
        <v>0-304/FH-2.00X764</v>
      </c>
      <c r="C233" s="173" t="s">
        <v>4099</v>
      </c>
      <c r="D233" s="173" t="s">
        <v>16</v>
      </c>
      <c r="E233" s="190" t="s">
        <v>2598</v>
      </c>
      <c r="F233" s="190" t="s">
        <v>2599</v>
      </c>
      <c r="G233" s="173">
        <v>304</v>
      </c>
      <c r="H233" s="173" t="s">
        <v>70</v>
      </c>
      <c r="I233" s="174">
        <v>3.82</v>
      </c>
      <c r="J233" s="174">
        <v>2</v>
      </c>
      <c r="K233" s="174"/>
      <c r="L233" s="174"/>
      <c r="M233" s="191">
        <v>764</v>
      </c>
      <c r="N233" s="176">
        <v>9.15</v>
      </c>
      <c r="O233" s="176">
        <v>9.15</v>
      </c>
      <c r="P233" s="176"/>
      <c r="Q233" s="178"/>
      <c r="R233" s="179"/>
      <c r="S233" s="179"/>
      <c r="T233" s="177">
        <v>44940</v>
      </c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80" t="s">
        <v>1507</v>
      </c>
      <c r="AE233" s="173" t="s">
        <v>69</v>
      </c>
      <c r="AF233" s="181" t="s">
        <v>142</v>
      </c>
      <c r="AG233" s="192" t="s">
        <v>1584</v>
      </c>
      <c r="AH233" s="198"/>
      <c r="AI233" s="181">
        <v>44914</v>
      </c>
      <c r="AJ233" s="181"/>
      <c r="AK233" s="181">
        <f t="shared" ca="1" si="39"/>
        <v>44958</v>
      </c>
      <c r="AL233" s="173">
        <f t="shared" ca="1" si="36"/>
        <v>44</v>
      </c>
      <c r="AM233" s="173" t="str">
        <f t="shared" si="37"/>
        <v/>
      </c>
      <c r="AN233" s="181"/>
      <c r="AO233" s="190" t="s">
        <v>2601</v>
      </c>
      <c r="AP233" s="176">
        <v>9.15</v>
      </c>
      <c r="AQ233" s="176">
        <v>9.16</v>
      </c>
      <c r="AR233" s="176">
        <v>9.1849999999999987</v>
      </c>
      <c r="AS233" s="176">
        <v>9.19</v>
      </c>
      <c r="AT233" s="173" t="str">
        <f t="shared" si="38"/>
        <v/>
      </c>
      <c r="AU233" s="173">
        <v>462</v>
      </c>
      <c r="AW233" s="142" t="s">
        <v>123</v>
      </c>
    </row>
    <row r="234" spans="2:49" s="142" customFormat="1" ht="21" customHeight="1" x14ac:dyDescent="0.25">
      <c r="B234" s="173" t="str">
        <f t="shared" si="35"/>
        <v>0-304L/1D-3.79X768</v>
      </c>
      <c r="C234" s="173" t="s">
        <v>4100</v>
      </c>
      <c r="D234" s="173" t="s">
        <v>13</v>
      </c>
      <c r="E234" s="190" t="s">
        <v>1544</v>
      </c>
      <c r="F234" s="190" t="s">
        <v>4101</v>
      </c>
      <c r="G234" s="173" t="s">
        <v>182</v>
      </c>
      <c r="H234" s="173" t="s">
        <v>127</v>
      </c>
      <c r="I234" s="174">
        <v>3.79</v>
      </c>
      <c r="J234" s="174"/>
      <c r="K234" s="174"/>
      <c r="L234" s="174"/>
      <c r="M234" s="191">
        <v>768</v>
      </c>
      <c r="N234" s="176">
        <v>12.27</v>
      </c>
      <c r="O234" s="176">
        <v>12.27</v>
      </c>
      <c r="P234" s="176"/>
      <c r="Q234" s="178"/>
      <c r="R234" s="179"/>
      <c r="S234" s="179"/>
      <c r="T234" s="177">
        <v>44941</v>
      </c>
      <c r="U234" s="177"/>
      <c r="V234" s="177"/>
      <c r="W234" s="177"/>
      <c r="X234" s="177"/>
      <c r="Y234" s="177"/>
      <c r="Z234" s="177">
        <v>44935</v>
      </c>
      <c r="AA234" s="177">
        <v>44934</v>
      </c>
      <c r="AB234" s="177"/>
      <c r="AC234" s="177"/>
      <c r="AD234" s="180" t="s">
        <v>1507</v>
      </c>
      <c r="AE234" s="173" t="s">
        <v>69</v>
      </c>
      <c r="AF234" s="181" t="s">
        <v>142</v>
      </c>
      <c r="AG234" s="192" t="s">
        <v>1508</v>
      </c>
      <c r="AH234" s="198"/>
      <c r="AI234" s="181">
        <v>44849</v>
      </c>
      <c r="AJ234" s="181"/>
      <c r="AK234" s="181">
        <f t="shared" ca="1" si="39"/>
        <v>44958</v>
      </c>
      <c r="AL234" s="173">
        <f t="shared" ca="1" si="36"/>
        <v>109</v>
      </c>
      <c r="AM234" s="173" t="str">
        <f t="shared" si="37"/>
        <v/>
      </c>
      <c r="AN234" s="181"/>
      <c r="AO234" s="190" t="s">
        <v>1548</v>
      </c>
      <c r="AP234" s="176">
        <v>24.535</v>
      </c>
      <c r="AQ234" s="176">
        <v>24.594999999999999</v>
      </c>
      <c r="AR234" s="176">
        <v>24.62</v>
      </c>
      <c r="AS234" s="176">
        <v>24.625</v>
      </c>
      <c r="AT234" s="173" t="str">
        <f t="shared" si="38"/>
        <v/>
      </c>
      <c r="AU234" s="173">
        <v>456</v>
      </c>
      <c r="AW234" s="142" t="s">
        <v>123</v>
      </c>
    </row>
    <row r="235" spans="2:49" s="142" customFormat="1" ht="21" customHeight="1" x14ac:dyDescent="0.25">
      <c r="B235" s="173" t="str">
        <f t="shared" si="35"/>
        <v>0-304L/FH-1.50X768</v>
      </c>
      <c r="C235" s="173" t="s">
        <v>4099</v>
      </c>
      <c r="D235" s="173" t="s">
        <v>16</v>
      </c>
      <c r="E235" s="190" t="s">
        <v>1569</v>
      </c>
      <c r="F235" s="190" t="s">
        <v>1570</v>
      </c>
      <c r="G235" s="173" t="s">
        <v>182</v>
      </c>
      <c r="H235" s="173" t="s">
        <v>70</v>
      </c>
      <c r="I235" s="174">
        <v>3.81</v>
      </c>
      <c r="J235" s="174">
        <v>1.5</v>
      </c>
      <c r="K235" s="174"/>
      <c r="L235" s="174"/>
      <c r="M235" s="191">
        <v>768</v>
      </c>
      <c r="N235" s="176">
        <v>12.3</v>
      </c>
      <c r="O235" s="176">
        <v>12.28</v>
      </c>
      <c r="P235" s="176"/>
      <c r="Q235" s="178"/>
      <c r="R235" s="179"/>
      <c r="S235" s="179"/>
      <c r="T235" s="177">
        <v>44940</v>
      </c>
      <c r="U235" s="177"/>
      <c r="V235" s="177"/>
      <c r="W235" s="177"/>
      <c r="X235" s="177"/>
      <c r="Y235" s="177"/>
      <c r="Z235" s="177">
        <v>44934</v>
      </c>
      <c r="AA235" s="177">
        <v>44934</v>
      </c>
      <c r="AB235" s="177"/>
      <c r="AC235" s="177"/>
      <c r="AD235" s="180" t="s">
        <v>1507</v>
      </c>
      <c r="AE235" s="173" t="s">
        <v>69</v>
      </c>
      <c r="AF235" s="181" t="s">
        <v>142</v>
      </c>
      <c r="AG235" s="192" t="s">
        <v>1508</v>
      </c>
      <c r="AH235" s="198"/>
      <c r="AI235" s="181">
        <v>44849</v>
      </c>
      <c r="AJ235" s="181"/>
      <c r="AK235" s="181">
        <f t="shared" ca="1" si="39"/>
        <v>44958</v>
      </c>
      <c r="AL235" s="173">
        <f t="shared" ca="1" si="36"/>
        <v>109</v>
      </c>
      <c r="AM235" s="173" t="str">
        <f t="shared" si="37"/>
        <v/>
      </c>
      <c r="AN235" s="181"/>
      <c r="AO235" s="190" t="s">
        <v>1572</v>
      </c>
      <c r="AP235" s="176">
        <v>24.53</v>
      </c>
      <c r="AQ235" s="176">
        <v>24.59</v>
      </c>
      <c r="AR235" s="176">
        <v>24.615000000000002</v>
      </c>
      <c r="AS235" s="176">
        <v>24.62</v>
      </c>
      <c r="AT235" s="173" t="str">
        <f t="shared" si="38"/>
        <v/>
      </c>
      <c r="AU235" s="173">
        <v>456</v>
      </c>
      <c r="AW235" s="142" t="s">
        <v>123</v>
      </c>
    </row>
    <row r="236" spans="2:49" s="142" customFormat="1" ht="21" customHeight="1" x14ac:dyDescent="0.25">
      <c r="B236" s="173" t="str">
        <f t="shared" si="35"/>
        <v>0-304L/1D-2.82X644</v>
      </c>
      <c r="C236" s="173" t="s">
        <v>4102</v>
      </c>
      <c r="D236" s="173" t="s">
        <v>13</v>
      </c>
      <c r="E236" s="190" t="s">
        <v>4103</v>
      </c>
      <c r="F236" s="190" t="s">
        <v>4104</v>
      </c>
      <c r="G236" s="173" t="s">
        <v>182</v>
      </c>
      <c r="H236" s="173" t="s">
        <v>127</v>
      </c>
      <c r="I236" s="174">
        <v>2.82</v>
      </c>
      <c r="J236" s="174"/>
      <c r="K236" s="174"/>
      <c r="L236" s="174"/>
      <c r="M236" s="191">
        <v>644</v>
      </c>
      <c r="N236" s="176">
        <v>10.71</v>
      </c>
      <c r="O236" s="176">
        <v>10.71</v>
      </c>
      <c r="P236" s="176"/>
      <c r="Q236" s="178"/>
      <c r="R236" s="179"/>
      <c r="S236" s="179"/>
      <c r="T236" s="177">
        <v>44941</v>
      </c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80" t="s">
        <v>2479</v>
      </c>
      <c r="AE236" s="173" t="s">
        <v>69</v>
      </c>
      <c r="AF236" s="181" t="s">
        <v>142</v>
      </c>
      <c r="AG236" s="192" t="s">
        <v>1653</v>
      </c>
      <c r="AH236" s="198"/>
      <c r="AI236" s="181">
        <v>44880</v>
      </c>
      <c r="AJ236" s="181"/>
      <c r="AK236" s="181">
        <f t="shared" ca="1" si="39"/>
        <v>44958</v>
      </c>
      <c r="AL236" s="173">
        <f t="shared" ca="1" si="36"/>
        <v>78</v>
      </c>
      <c r="AM236" s="173" t="str">
        <f t="shared" si="37"/>
        <v/>
      </c>
      <c r="AN236" s="181"/>
      <c r="AO236" s="190" t="s">
        <v>1967</v>
      </c>
      <c r="AP236" s="176">
        <v>10.71</v>
      </c>
      <c r="AQ236" s="176">
        <v>10.72</v>
      </c>
      <c r="AR236" s="176">
        <v>10.744999999999999</v>
      </c>
      <c r="AS236" s="176">
        <v>10.75</v>
      </c>
      <c r="AT236" s="173" t="str">
        <f t="shared" si="38"/>
        <v/>
      </c>
      <c r="AU236" s="173">
        <v>459</v>
      </c>
      <c r="AW236" s="142" t="s">
        <v>123</v>
      </c>
    </row>
    <row r="237" spans="2:49" s="142" customFormat="1" ht="21" customHeight="1" x14ac:dyDescent="0.25">
      <c r="B237" s="173" t="str">
        <f t="shared" si="35"/>
        <v>0-304L/1D-3.80X768.5</v>
      </c>
      <c r="C237" s="173" t="s">
        <v>4100</v>
      </c>
      <c r="D237" s="173" t="s">
        <v>13</v>
      </c>
      <c r="E237" s="190" t="s">
        <v>1530</v>
      </c>
      <c r="F237" s="190" t="s">
        <v>1531</v>
      </c>
      <c r="G237" s="173" t="s">
        <v>182</v>
      </c>
      <c r="H237" s="173" t="s">
        <v>127</v>
      </c>
      <c r="I237" s="174">
        <v>3.8</v>
      </c>
      <c r="J237" s="174"/>
      <c r="K237" s="174"/>
      <c r="L237" s="174"/>
      <c r="M237" s="191">
        <f>1537/2</f>
        <v>768.5</v>
      </c>
      <c r="N237" s="176">
        <v>12.28</v>
      </c>
      <c r="O237" s="176">
        <v>12.28</v>
      </c>
      <c r="P237" s="176"/>
      <c r="Q237" s="178"/>
      <c r="R237" s="179"/>
      <c r="S237" s="179"/>
      <c r="T237" s="177">
        <v>44941</v>
      </c>
      <c r="U237" s="177"/>
      <c r="V237" s="177"/>
      <c r="W237" s="177"/>
      <c r="X237" s="177"/>
      <c r="Y237" s="177"/>
      <c r="Z237" s="177"/>
      <c r="AA237" s="177">
        <v>44935</v>
      </c>
      <c r="AB237" s="177"/>
      <c r="AC237" s="177"/>
      <c r="AD237" s="180" t="s">
        <v>1507</v>
      </c>
      <c r="AE237" s="173" t="s">
        <v>69</v>
      </c>
      <c r="AF237" s="181" t="s">
        <v>142</v>
      </c>
      <c r="AG237" s="192" t="s">
        <v>1508</v>
      </c>
      <c r="AH237" s="198"/>
      <c r="AI237" s="181">
        <v>44849</v>
      </c>
      <c r="AJ237" s="181"/>
      <c r="AK237" s="181">
        <f t="shared" ca="1" si="39"/>
        <v>44958</v>
      </c>
      <c r="AL237" s="173">
        <f t="shared" ca="1" si="36"/>
        <v>109</v>
      </c>
      <c r="AM237" s="173" t="str">
        <f t="shared" si="37"/>
        <v/>
      </c>
      <c r="AN237" s="181"/>
      <c r="AO237" s="190" t="s">
        <v>1532</v>
      </c>
      <c r="AP237" s="176">
        <v>24.57</v>
      </c>
      <c r="AQ237" s="176">
        <v>24.63</v>
      </c>
      <c r="AR237" s="176">
        <v>24.655000000000001</v>
      </c>
      <c r="AS237" s="176">
        <v>24.66</v>
      </c>
      <c r="AT237" s="173" t="str">
        <f t="shared" si="38"/>
        <v/>
      </c>
      <c r="AU237" s="173">
        <v>456</v>
      </c>
      <c r="AW237" s="142" t="s">
        <v>123</v>
      </c>
    </row>
    <row r="238" spans="2:49" s="142" customFormat="1" ht="21" customHeight="1" x14ac:dyDescent="0.25">
      <c r="B238" s="173" t="str">
        <f t="shared" si="35"/>
        <v>0-304L/FH-0.80X767</v>
      </c>
      <c r="C238" s="173" t="s">
        <v>4099</v>
      </c>
      <c r="D238" s="173" t="s">
        <v>16</v>
      </c>
      <c r="E238" s="190" t="s">
        <v>4094</v>
      </c>
      <c r="F238" s="190" t="s">
        <v>4095</v>
      </c>
      <c r="G238" s="173" t="s">
        <v>182</v>
      </c>
      <c r="H238" s="173" t="s">
        <v>70</v>
      </c>
      <c r="I238" s="174">
        <v>2.89</v>
      </c>
      <c r="J238" s="174">
        <v>0.8</v>
      </c>
      <c r="K238" s="174"/>
      <c r="L238" s="174"/>
      <c r="M238" s="191">
        <v>767</v>
      </c>
      <c r="N238" s="176">
        <v>8.4649999999999999</v>
      </c>
      <c r="O238" s="176">
        <v>8.4649999999999999</v>
      </c>
      <c r="P238" s="176"/>
      <c r="Q238" s="178"/>
      <c r="R238" s="179"/>
      <c r="S238" s="179"/>
      <c r="T238" s="177">
        <v>44940</v>
      </c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80" t="s">
        <v>2448</v>
      </c>
      <c r="AE238" s="173" t="s">
        <v>69</v>
      </c>
      <c r="AF238" s="181" t="s">
        <v>142</v>
      </c>
      <c r="AG238" s="192" t="s">
        <v>1584</v>
      </c>
      <c r="AH238" s="198"/>
      <c r="AI238" s="181">
        <v>44914</v>
      </c>
      <c r="AJ238" s="181"/>
      <c r="AK238" s="181">
        <f t="shared" ca="1" si="39"/>
        <v>44958</v>
      </c>
      <c r="AL238" s="173">
        <f t="shared" ca="1" si="36"/>
        <v>44</v>
      </c>
      <c r="AM238" s="173" t="str">
        <f t="shared" si="37"/>
        <v/>
      </c>
      <c r="AN238" s="181"/>
      <c r="AO238" s="190" t="s">
        <v>4096</v>
      </c>
      <c r="AP238" s="176">
        <v>8.4649999999999999</v>
      </c>
      <c r="AQ238" s="176">
        <v>8.4749999999999996</v>
      </c>
      <c r="AR238" s="176">
        <v>8.4999999999999982</v>
      </c>
      <c r="AS238" s="176">
        <v>8.504999999999999</v>
      </c>
      <c r="AT238" s="173" t="str">
        <f t="shared" si="38"/>
        <v/>
      </c>
      <c r="AU238" s="173">
        <v>462</v>
      </c>
      <c r="AW238" s="142" t="s">
        <v>123</v>
      </c>
    </row>
    <row r="239" spans="2:49" s="142" customFormat="1" ht="21" customHeight="1" x14ac:dyDescent="0.25">
      <c r="B239" s="173" t="str">
        <f t="shared" si="35"/>
        <v>0-304L/1D-3.82X769</v>
      </c>
      <c r="C239" s="173" t="s">
        <v>4100</v>
      </c>
      <c r="D239" s="173" t="s">
        <v>13</v>
      </c>
      <c r="E239" s="190" t="s">
        <v>1526</v>
      </c>
      <c r="F239" s="190" t="s">
        <v>1527</v>
      </c>
      <c r="G239" s="173" t="s">
        <v>182</v>
      </c>
      <c r="H239" s="173" t="s">
        <v>127</v>
      </c>
      <c r="I239" s="174">
        <v>3.82</v>
      </c>
      <c r="J239" s="174"/>
      <c r="K239" s="174"/>
      <c r="L239" s="174"/>
      <c r="M239" s="191">
        <v>769</v>
      </c>
      <c r="N239" s="176">
        <v>12.285</v>
      </c>
      <c r="O239" s="176">
        <v>12.285</v>
      </c>
      <c r="P239" s="176"/>
      <c r="Q239" s="178"/>
      <c r="R239" s="179"/>
      <c r="S239" s="179"/>
      <c r="T239" s="177">
        <v>44941</v>
      </c>
      <c r="U239" s="177"/>
      <c r="V239" s="177"/>
      <c r="W239" s="177"/>
      <c r="X239" s="177"/>
      <c r="Y239" s="177"/>
      <c r="Z239" s="177"/>
      <c r="AA239" s="177">
        <v>44933</v>
      </c>
      <c r="AB239" s="177"/>
      <c r="AC239" s="177"/>
      <c r="AD239" s="180" t="s">
        <v>1507</v>
      </c>
      <c r="AE239" s="173" t="s">
        <v>69</v>
      </c>
      <c r="AF239" s="181" t="s">
        <v>142</v>
      </c>
      <c r="AG239" s="192" t="s">
        <v>1508</v>
      </c>
      <c r="AH239" s="198"/>
      <c r="AI239" s="181">
        <v>44849</v>
      </c>
      <c r="AJ239" s="181"/>
      <c r="AK239" s="181">
        <f t="shared" ca="1" si="39"/>
        <v>44958</v>
      </c>
      <c r="AL239" s="173">
        <f t="shared" ca="1" si="36"/>
        <v>109</v>
      </c>
      <c r="AM239" s="173" t="str">
        <f t="shared" si="37"/>
        <v/>
      </c>
      <c r="AN239" s="181"/>
      <c r="AO239" s="190" t="s">
        <v>1528</v>
      </c>
      <c r="AP239" s="176">
        <v>24.565000000000001</v>
      </c>
      <c r="AQ239" s="176">
        <v>24.625</v>
      </c>
      <c r="AR239" s="176">
        <v>24.650000000000002</v>
      </c>
      <c r="AS239" s="176">
        <v>24.655000000000001</v>
      </c>
      <c r="AT239" s="173" t="str">
        <f t="shared" si="38"/>
        <v/>
      </c>
      <c r="AU239" s="173">
        <v>456</v>
      </c>
      <c r="AW239" s="142" t="s">
        <v>123</v>
      </c>
    </row>
    <row r="240" spans="2:49" s="142" customFormat="1" ht="21" customHeight="1" x14ac:dyDescent="0.25">
      <c r="B240" s="173" t="str">
        <f t="shared" si="35"/>
        <v>0-304L/FH-1.20X768</v>
      </c>
      <c r="C240" s="173" t="s">
        <v>4099</v>
      </c>
      <c r="D240" s="173" t="s">
        <v>16</v>
      </c>
      <c r="E240" s="190" t="s">
        <v>1544</v>
      </c>
      <c r="F240" s="190" t="s">
        <v>4101</v>
      </c>
      <c r="G240" s="173" t="s">
        <v>182</v>
      </c>
      <c r="H240" s="173" t="s">
        <v>70</v>
      </c>
      <c r="I240" s="174">
        <v>3.79</v>
      </c>
      <c r="J240" s="174">
        <v>1.2</v>
      </c>
      <c r="K240" s="174"/>
      <c r="L240" s="174"/>
      <c r="M240" s="191">
        <v>768</v>
      </c>
      <c r="N240" s="176">
        <v>12.27</v>
      </c>
      <c r="O240" s="176">
        <v>12.23</v>
      </c>
      <c r="P240" s="176"/>
      <c r="Q240" s="178"/>
      <c r="R240" s="179"/>
      <c r="S240" s="179"/>
      <c r="T240" s="177">
        <v>44941</v>
      </c>
      <c r="U240" s="177"/>
      <c r="V240" s="177"/>
      <c r="W240" s="177"/>
      <c r="X240" s="177"/>
      <c r="Y240" s="177"/>
      <c r="Z240" s="177">
        <v>44935</v>
      </c>
      <c r="AA240" s="177">
        <v>44934</v>
      </c>
      <c r="AB240" s="177"/>
      <c r="AC240" s="177"/>
      <c r="AD240" s="180" t="s">
        <v>1507</v>
      </c>
      <c r="AE240" s="173" t="s">
        <v>69</v>
      </c>
      <c r="AF240" s="181" t="s">
        <v>142</v>
      </c>
      <c r="AG240" s="192" t="s">
        <v>1508</v>
      </c>
      <c r="AH240" s="198"/>
      <c r="AI240" s="181">
        <v>44849</v>
      </c>
      <c r="AJ240" s="181"/>
      <c r="AK240" s="181">
        <f t="shared" ca="1" si="39"/>
        <v>44958</v>
      </c>
      <c r="AL240" s="173">
        <f t="shared" ca="1" si="36"/>
        <v>109</v>
      </c>
      <c r="AM240" s="173" t="str">
        <f t="shared" si="37"/>
        <v/>
      </c>
      <c r="AN240" s="181"/>
      <c r="AO240" s="190" t="s">
        <v>1548</v>
      </c>
      <c r="AP240" s="176">
        <v>24.535</v>
      </c>
      <c r="AQ240" s="176">
        <v>24.594999999999999</v>
      </c>
      <c r="AR240" s="176">
        <v>24.62</v>
      </c>
      <c r="AS240" s="176">
        <v>24.625</v>
      </c>
      <c r="AT240" s="173" t="str">
        <f t="shared" si="38"/>
        <v/>
      </c>
      <c r="AU240" s="173">
        <v>456</v>
      </c>
      <c r="AW240" s="142" t="s">
        <v>123</v>
      </c>
    </row>
    <row r="241" spans="2:49" s="142" customFormat="1" ht="21" customHeight="1" x14ac:dyDescent="0.25">
      <c r="B241" s="173" t="str">
        <f t="shared" si="35"/>
        <v>0-304L/1D-2.82X778</v>
      </c>
      <c r="C241" s="173" t="s">
        <v>4100</v>
      </c>
      <c r="D241" s="173" t="s">
        <v>13</v>
      </c>
      <c r="E241" s="190" t="s">
        <v>4105</v>
      </c>
      <c r="F241" s="190" t="s">
        <v>4106</v>
      </c>
      <c r="G241" s="173" t="s">
        <v>182</v>
      </c>
      <c r="H241" s="173" t="s">
        <v>127</v>
      </c>
      <c r="I241" s="174">
        <v>2.82</v>
      </c>
      <c r="J241" s="174"/>
      <c r="K241" s="174"/>
      <c r="L241" s="174"/>
      <c r="M241" s="191">
        <v>778</v>
      </c>
      <c r="N241" s="176">
        <v>8.9849999999999994</v>
      </c>
      <c r="O241" s="176">
        <v>8.9849999999999994</v>
      </c>
      <c r="P241" s="176"/>
      <c r="Q241" s="178"/>
      <c r="R241" s="179"/>
      <c r="S241" s="179"/>
      <c r="T241" s="177">
        <v>44941</v>
      </c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80" t="s">
        <v>2448</v>
      </c>
      <c r="AE241" s="173" t="s">
        <v>69</v>
      </c>
      <c r="AF241" s="181" t="s">
        <v>142</v>
      </c>
      <c r="AG241" s="192" t="s">
        <v>1584</v>
      </c>
      <c r="AH241" s="198"/>
      <c r="AI241" s="181">
        <v>44914</v>
      </c>
      <c r="AJ241" s="181"/>
      <c r="AK241" s="181">
        <f t="shared" ca="1" si="39"/>
        <v>44958</v>
      </c>
      <c r="AL241" s="173">
        <f t="shared" ca="1" si="36"/>
        <v>44</v>
      </c>
      <c r="AM241" s="173" t="str">
        <f t="shared" si="37"/>
        <v/>
      </c>
      <c r="AN241" s="181"/>
      <c r="AO241" s="190" t="s">
        <v>4107</v>
      </c>
      <c r="AP241" s="176">
        <v>8.9849999999999994</v>
      </c>
      <c r="AQ241" s="176">
        <v>8.9949999999999992</v>
      </c>
      <c r="AR241" s="176">
        <v>9.0199999999999978</v>
      </c>
      <c r="AS241" s="176">
        <v>9.0249999999999986</v>
      </c>
      <c r="AT241" s="173" t="str">
        <f t="shared" si="38"/>
        <v/>
      </c>
      <c r="AU241" s="173">
        <v>462</v>
      </c>
      <c r="AW241" s="142" t="s">
        <v>123</v>
      </c>
    </row>
    <row r="242" spans="2:49" s="142" customFormat="1" ht="21" customHeight="1" x14ac:dyDescent="0.25">
      <c r="B242" s="173" t="str">
        <f t="shared" si="35"/>
        <v>0-304L/FH-1.20X768.5</v>
      </c>
      <c r="C242" s="173" t="s">
        <v>4099</v>
      </c>
      <c r="D242" s="173" t="s">
        <v>16</v>
      </c>
      <c r="E242" s="190" t="s">
        <v>1530</v>
      </c>
      <c r="F242" s="190" t="s">
        <v>1531</v>
      </c>
      <c r="G242" s="173" t="s">
        <v>182</v>
      </c>
      <c r="H242" s="173" t="s">
        <v>70</v>
      </c>
      <c r="I242" s="174">
        <v>3.8</v>
      </c>
      <c r="J242" s="174">
        <v>1.2</v>
      </c>
      <c r="K242" s="174"/>
      <c r="L242" s="174"/>
      <c r="M242" s="191">
        <f>1537/2</f>
        <v>768.5</v>
      </c>
      <c r="N242" s="176">
        <v>12.28</v>
      </c>
      <c r="O242" s="176">
        <v>12.285</v>
      </c>
      <c r="P242" s="176"/>
      <c r="Q242" s="178"/>
      <c r="R242" s="179"/>
      <c r="S242" s="179"/>
      <c r="T242" s="177">
        <v>44941</v>
      </c>
      <c r="U242" s="177"/>
      <c r="V242" s="177"/>
      <c r="W242" s="177"/>
      <c r="X242" s="177"/>
      <c r="Y242" s="177"/>
      <c r="Z242" s="177"/>
      <c r="AA242" s="177">
        <v>44935</v>
      </c>
      <c r="AB242" s="177"/>
      <c r="AC242" s="177"/>
      <c r="AD242" s="180" t="s">
        <v>1507</v>
      </c>
      <c r="AE242" s="173" t="s">
        <v>69</v>
      </c>
      <c r="AF242" s="181" t="s">
        <v>142</v>
      </c>
      <c r="AG242" s="192" t="s">
        <v>1508</v>
      </c>
      <c r="AH242" s="198"/>
      <c r="AI242" s="181">
        <v>44849</v>
      </c>
      <c r="AJ242" s="181"/>
      <c r="AK242" s="181">
        <f t="shared" ca="1" si="39"/>
        <v>44958</v>
      </c>
      <c r="AL242" s="173">
        <f t="shared" ca="1" si="36"/>
        <v>109</v>
      </c>
      <c r="AM242" s="173" t="str">
        <f t="shared" si="37"/>
        <v/>
      </c>
      <c r="AN242" s="181"/>
      <c r="AO242" s="190" t="s">
        <v>1532</v>
      </c>
      <c r="AP242" s="176">
        <v>24.57</v>
      </c>
      <c r="AQ242" s="176">
        <v>24.63</v>
      </c>
      <c r="AR242" s="176">
        <v>24.655000000000001</v>
      </c>
      <c r="AS242" s="176">
        <v>24.66</v>
      </c>
      <c r="AT242" s="173" t="str">
        <f t="shared" si="38"/>
        <v/>
      </c>
      <c r="AU242" s="173">
        <v>456</v>
      </c>
      <c r="AW242" s="142" t="s">
        <v>123</v>
      </c>
    </row>
    <row r="243" spans="2:49" s="142" customFormat="1" ht="21" customHeight="1" x14ac:dyDescent="0.25">
      <c r="B243" s="173" t="str">
        <f t="shared" si="35"/>
        <v>0-304L/1D-2.89X641</v>
      </c>
      <c r="C243" s="173" t="s">
        <v>4102</v>
      </c>
      <c r="D243" s="173" t="s">
        <v>13</v>
      </c>
      <c r="E243" s="190" t="s">
        <v>4108</v>
      </c>
      <c r="F243" s="190" t="s">
        <v>4109</v>
      </c>
      <c r="G243" s="173" t="s">
        <v>182</v>
      </c>
      <c r="H243" s="173" t="s">
        <v>127</v>
      </c>
      <c r="I243" s="174">
        <v>2.89</v>
      </c>
      <c r="J243" s="174"/>
      <c r="K243" s="174"/>
      <c r="L243" s="174"/>
      <c r="M243" s="191">
        <v>641</v>
      </c>
      <c r="N243" s="176">
        <v>10.695</v>
      </c>
      <c r="O243" s="176">
        <v>10.695</v>
      </c>
      <c r="P243" s="176"/>
      <c r="Q243" s="178"/>
      <c r="R243" s="179"/>
      <c r="S243" s="179"/>
      <c r="T243" s="177">
        <v>44941</v>
      </c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80" t="s">
        <v>2479</v>
      </c>
      <c r="AE243" s="173" t="s">
        <v>69</v>
      </c>
      <c r="AF243" s="181" t="s">
        <v>142</v>
      </c>
      <c r="AG243" s="192" t="s">
        <v>1594</v>
      </c>
      <c r="AH243" s="198"/>
      <c r="AI243" s="181">
        <v>44849</v>
      </c>
      <c r="AJ243" s="181"/>
      <c r="AK243" s="181">
        <f t="shared" ca="1" si="39"/>
        <v>44958</v>
      </c>
      <c r="AL243" s="173">
        <f t="shared" ca="1" si="36"/>
        <v>109</v>
      </c>
      <c r="AM243" s="173" t="str">
        <f t="shared" si="37"/>
        <v/>
      </c>
      <c r="AN243" s="181"/>
      <c r="AO243" s="190" t="s">
        <v>3995</v>
      </c>
      <c r="AP243" s="176">
        <v>10.695</v>
      </c>
      <c r="AQ243" s="176">
        <v>10.705</v>
      </c>
      <c r="AR243" s="176">
        <v>10.729999999999999</v>
      </c>
      <c r="AS243" s="176">
        <v>10.734999999999999</v>
      </c>
      <c r="AT243" s="173" t="str">
        <f t="shared" si="38"/>
        <v/>
      </c>
      <c r="AU243" s="173">
        <v>456</v>
      </c>
      <c r="AW243" s="142" t="s">
        <v>123</v>
      </c>
    </row>
    <row r="244" spans="2:49" s="142" customFormat="1" ht="21" customHeight="1" x14ac:dyDescent="0.25">
      <c r="B244" s="173" t="str">
        <f t="shared" si="35"/>
        <v>0-304/1D-2.90X777</v>
      </c>
      <c r="C244" s="173" t="s">
        <v>4100</v>
      </c>
      <c r="D244" s="173" t="s">
        <v>13</v>
      </c>
      <c r="E244" s="190" t="s">
        <v>2515</v>
      </c>
      <c r="F244" s="190" t="s">
        <v>2516</v>
      </c>
      <c r="G244" s="173">
        <v>304</v>
      </c>
      <c r="H244" s="173" t="s">
        <v>127</v>
      </c>
      <c r="I244" s="174">
        <v>2.9</v>
      </c>
      <c r="J244" s="174"/>
      <c r="K244" s="174"/>
      <c r="L244" s="174"/>
      <c r="M244" s="191">
        <v>777</v>
      </c>
      <c r="N244" s="176">
        <v>10.26</v>
      </c>
      <c r="O244" s="176">
        <v>10.26</v>
      </c>
      <c r="P244" s="176"/>
      <c r="Q244" s="178"/>
      <c r="R244" s="179"/>
      <c r="S244" s="179"/>
      <c r="T244" s="177">
        <v>44941</v>
      </c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80" t="s">
        <v>2448</v>
      </c>
      <c r="AE244" s="173" t="s">
        <v>69</v>
      </c>
      <c r="AF244" s="181" t="s">
        <v>142</v>
      </c>
      <c r="AG244" s="192" t="s">
        <v>1584</v>
      </c>
      <c r="AH244" s="198"/>
      <c r="AI244" s="181">
        <v>44914</v>
      </c>
      <c r="AJ244" s="181"/>
      <c r="AK244" s="181">
        <f t="shared" ca="1" si="39"/>
        <v>44958</v>
      </c>
      <c r="AL244" s="173">
        <f t="shared" ca="1" si="36"/>
        <v>44</v>
      </c>
      <c r="AM244" s="173" t="str">
        <f t="shared" si="37"/>
        <v/>
      </c>
      <c r="AN244" s="181"/>
      <c r="AO244" s="190" t="s">
        <v>2514</v>
      </c>
      <c r="AP244" s="176">
        <v>10.26</v>
      </c>
      <c r="AQ244" s="176">
        <v>10.27</v>
      </c>
      <c r="AR244" s="176">
        <v>10.294999999999998</v>
      </c>
      <c r="AS244" s="176">
        <v>10.299999999999999</v>
      </c>
      <c r="AT244" s="173" t="str">
        <f t="shared" si="38"/>
        <v/>
      </c>
      <c r="AU244" s="173">
        <v>462</v>
      </c>
      <c r="AW244" s="142" t="s">
        <v>123</v>
      </c>
    </row>
    <row r="245" spans="2:49" s="142" customFormat="1" ht="21" customHeight="1" x14ac:dyDescent="0.25">
      <c r="B245" s="173" t="str">
        <f t="shared" si="35"/>
        <v>0-304L/FH-1.45X770</v>
      </c>
      <c r="C245" s="173" t="s">
        <v>4099</v>
      </c>
      <c r="D245" s="173" t="s">
        <v>16</v>
      </c>
      <c r="E245" s="190" t="s">
        <v>1515</v>
      </c>
      <c r="F245" s="190" t="s">
        <v>1516</v>
      </c>
      <c r="G245" s="173" t="s">
        <v>182</v>
      </c>
      <c r="H245" s="173" t="s">
        <v>70</v>
      </c>
      <c r="I245" s="174">
        <v>3.79</v>
      </c>
      <c r="J245" s="174">
        <v>1.45</v>
      </c>
      <c r="K245" s="174"/>
      <c r="L245" s="174"/>
      <c r="M245" s="191">
        <v>770</v>
      </c>
      <c r="N245" s="176">
        <v>12.14</v>
      </c>
      <c r="O245" s="176">
        <v>12.15</v>
      </c>
      <c r="P245" s="176"/>
      <c r="Q245" s="178"/>
      <c r="R245" s="179"/>
      <c r="S245" s="179"/>
      <c r="T245" s="177">
        <v>44940</v>
      </c>
      <c r="U245" s="177"/>
      <c r="V245" s="177"/>
      <c r="W245" s="177"/>
      <c r="X245" s="177"/>
      <c r="Y245" s="177"/>
      <c r="Z245" s="177"/>
      <c r="AA245" s="177">
        <v>44932</v>
      </c>
      <c r="AB245" s="177"/>
      <c r="AC245" s="177"/>
      <c r="AD245" s="180" t="s">
        <v>1507</v>
      </c>
      <c r="AE245" s="173" t="s">
        <v>69</v>
      </c>
      <c r="AF245" s="181" t="s">
        <v>142</v>
      </c>
      <c r="AG245" s="192" t="s">
        <v>1508</v>
      </c>
      <c r="AH245" s="198"/>
      <c r="AI245" s="181">
        <v>44849</v>
      </c>
      <c r="AJ245" s="181"/>
      <c r="AK245" s="181">
        <f t="shared" ca="1" si="39"/>
        <v>44958</v>
      </c>
      <c r="AL245" s="173">
        <f t="shared" ca="1" si="36"/>
        <v>109</v>
      </c>
      <c r="AM245" s="173" t="str">
        <f t="shared" si="37"/>
        <v/>
      </c>
      <c r="AN245" s="181"/>
      <c r="AO245" s="190" t="s">
        <v>1517</v>
      </c>
      <c r="AP245" s="176">
        <v>24.25</v>
      </c>
      <c r="AQ245" s="176">
        <v>24.31</v>
      </c>
      <c r="AR245" s="176">
        <v>24.335000000000001</v>
      </c>
      <c r="AS245" s="176">
        <v>24.34</v>
      </c>
      <c r="AT245" s="173" t="str">
        <f t="shared" si="38"/>
        <v/>
      </c>
      <c r="AU245" s="173">
        <v>456</v>
      </c>
      <c r="AW245" s="142" t="s">
        <v>123</v>
      </c>
    </row>
    <row r="246" spans="2:49" s="142" customFormat="1" ht="21" customHeight="1" x14ac:dyDescent="0.25">
      <c r="B246" s="173" t="str">
        <f t="shared" si="35"/>
        <v>0-304/1D-3.94X768</v>
      </c>
      <c r="C246" s="173" t="s">
        <v>4100</v>
      </c>
      <c r="D246" s="173" t="s">
        <v>13</v>
      </c>
      <c r="E246" s="190" t="s">
        <v>4110</v>
      </c>
      <c r="F246" s="190" t="s">
        <v>4111</v>
      </c>
      <c r="G246" s="173">
        <v>304</v>
      </c>
      <c r="H246" s="173" t="s">
        <v>127</v>
      </c>
      <c r="I246" s="174">
        <v>3.94</v>
      </c>
      <c r="J246" s="174"/>
      <c r="K246" s="174"/>
      <c r="L246" s="174"/>
      <c r="M246" s="191">
        <v>768</v>
      </c>
      <c r="N246" s="176">
        <v>9.6300000000000008</v>
      </c>
      <c r="O246" s="176">
        <v>9.6300000000000008</v>
      </c>
      <c r="P246" s="176"/>
      <c r="Q246" s="178"/>
      <c r="R246" s="179"/>
      <c r="S246" s="179"/>
      <c r="T246" s="177">
        <v>44941</v>
      </c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80" t="s">
        <v>2448</v>
      </c>
      <c r="AE246" s="173" t="s">
        <v>69</v>
      </c>
      <c r="AF246" s="181" t="s">
        <v>142</v>
      </c>
      <c r="AG246" s="192" t="s">
        <v>1584</v>
      </c>
      <c r="AH246" s="198"/>
      <c r="AI246" s="181">
        <v>44914</v>
      </c>
      <c r="AJ246" s="181"/>
      <c r="AK246" s="181">
        <f t="shared" ca="1" si="39"/>
        <v>44958</v>
      </c>
      <c r="AL246" s="173">
        <f t="shared" ca="1" si="36"/>
        <v>44</v>
      </c>
      <c r="AM246" s="173" t="str">
        <f t="shared" si="37"/>
        <v/>
      </c>
      <c r="AN246" s="181"/>
      <c r="AO246" s="190" t="s">
        <v>2564</v>
      </c>
      <c r="AP246" s="176">
        <v>9.6300000000000008</v>
      </c>
      <c r="AQ246" s="176">
        <v>9.64</v>
      </c>
      <c r="AR246" s="176">
        <v>9.6649999999999991</v>
      </c>
      <c r="AS246" s="176">
        <v>9.67</v>
      </c>
      <c r="AT246" s="173" t="str">
        <f t="shared" si="38"/>
        <v/>
      </c>
      <c r="AU246" s="173">
        <v>462</v>
      </c>
      <c r="AW246" s="142" t="s">
        <v>123</v>
      </c>
    </row>
    <row r="247" spans="2:49" s="142" customFormat="1" ht="21" customHeight="1" x14ac:dyDescent="0.25">
      <c r="B247" s="173" t="str">
        <f t="shared" si="35"/>
        <v>0-304L/FH-1.50X769</v>
      </c>
      <c r="C247" s="173" t="s">
        <v>4099</v>
      </c>
      <c r="D247" s="173" t="s">
        <v>16</v>
      </c>
      <c r="E247" s="190" t="s">
        <v>1526</v>
      </c>
      <c r="F247" s="190" t="s">
        <v>1527</v>
      </c>
      <c r="G247" s="173" t="s">
        <v>182</v>
      </c>
      <c r="H247" s="173" t="s">
        <v>70</v>
      </c>
      <c r="I247" s="174">
        <v>3.82</v>
      </c>
      <c r="J247" s="174">
        <v>1.5</v>
      </c>
      <c r="K247" s="174"/>
      <c r="L247" s="174"/>
      <c r="M247" s="191">
        <v>769</v>
      </c>
      <c r="N247" s="176">
        <v>12.285</v>
      </c>
      <c r="O247" s="176">
        <v>12.305</v>
      </c>
      <c r="P247" s="176"/>
      <c r="Q247" s="178"/>
      <c r="R247" s="179"/>
      <c r="S247" s="179"/>
      <c r="T247" s="177">
        <v>44941</v>
      </c>
      <c r="U247" s="177"/>
      <c r="V247" s="177"/>
      <c r="W247" s="177"/>
      <c r="X247" s="177"/>
      <c r="Y247" s="177"/>
      <c r="Z247" s="177"/>
      <c r="AA247" s="177">
        <v>44933</v>
      </c>
      <c r="AB247" s="177"/>
      <c r="AC247" s="177"/>
      <c r="AD247" s="180" t="s">
        <v>1507</v>
      </c>
      <c r="AE247" s="173" t="s">
        <v>69</v>
      </c>
      <c r="AF247" s="181" t="s">
        <v>142</v>
      </c>
      <c r="AG247" s="192" t="s">
        <v>1508</v>
      </c>
      <c r="AH247" s="198"/>
      <c r="AI247" s="181">
        <v>44849</v>
      </c>
      <c r="AJ247" s="181"/>
      <c r="AK247" s="181">
        <f t="shared" ca="1" si="39"/>
        <v>44958</v>
      </c>
      <c r="AL247" s="173">
        <f t="shared" ca="1" si="36"/>
        <v>109</v>
      </c>
      <c r="AM247" s="173" t="str">
        <f t="shared" si="37"/>
        <v/>
      </c>
      <c r="AN247" s="181"/>
      <c r="AO247" s="190" t="s">
        <v>1528</v>
      </c>
      <c r="AP247" s="176">
        <v>24.565000000000001</v>
      </c>
      <c r="AQ247" s="176">
        <v>24.625</v>
      </c>
      <c r="AR247" s="176">
        <v>24.650000000000002</v>
      </c>
      <c r="AS247" s="176">
        <v>24.655000000000001</v>
      </c>
      <c r="AT247" s="173" t="str">
        <f t="shared" si="38"/>
        <v/>
      </c>
      <c r="AU247" s="173">
        <v>456</v>
      </c>
      <c r="AW247" s="142" t="s">
        <v>123</v>
      </c>
    </row>
    <row r="248" spans="2:49" s="142" customFormat="1" ht="21" customHeight="1" x14ac:dyDescent="0.25">
      <c r="B248" s="173" t="str">
        <f t="shared" si="35"/>
        <v>0-304L/1D-3.81X768</v>
      </c>
      <c r="C248" s="173" t="s">
        <v>4100</v>
      </c>
      <c r="D248" s="173" t="s">
        <v>13</v>
      </c>
      <c r="E248" s="190" t="s">
        <v>1569</v>
      </c>
      <c r="F248" s="190" t="s">
        <v>4112</v>
      </c>
      <c r="G248" s="173" t="s">
        <v>182</v>
      </c>
      <c r="H248" s="173" t="s">
        <v>127</v>
      </c>
      <c r="I248" s="174">
        <v>3.81</v>
      </c>
      <c r="J248" s="174"/>
      <c r="K248" s="174"/>
      <c r="L248" s="174"/>
      <c r="M248" s="191">
        <v>768</v>
      </c>
      <c r="N248" s="176">
        <v>12.285</v>
      </c>
      <c r="O248" s="176">
        <v>12.285</v>
      </c>
      <c r="P248" s="176"/>
      <c r="Q248" s="178"/>
      <c r="R248" s="179"/>
      <c r="S248" s="179"/>
      <c r="T248" s="177">
        <v>44941</v>
      </c>
      <c r="U248" s="177"/>
      <c r="V248" s="177"/>
      <c r="W248" s="177"/>
      <c r="X248" s="177"/>
      <c r="Y248" s="177"/>
      <c r="Z248" s="177"/>
      <c r="AA248" s="177">
        <v>44934</v>
      </c>
      <c r="AB248" s="177"/>
      <c r="AC248" s="177"/>
      <c r="AD248" s="180" t="s">
        <v>1507</v>
      </c>
      <c r="AE248" s="173" t="s">
        <v>69</v>
      </c>
      <c r="AF248" s="181" t="s">
        <v>142</v>
      </c>
      <c r="AG248" s="192" t="s">
        <v>1508</v>
      </c>
      <c r="AH248" s="198"/>
      <c r="AI248" s="181">
        <v>44849</v>
      </c>
      <c r="AJ248" s="181"/>
      <c r="AK248" s="181">
        <f t="shared" ca="1" si="39"/>
        <v>44958</v>
      </c>
      <c r="AL248" s="173">
        <f t="shared" ca="1" si="36"/>
        <v>109</v>
      </c>
      <c r="AM248" s="173" t="str">
        <f t="shared" si="37"/>
        <v/>
      </c>
      <c r="AN248" s="181"/>
      <c r="AO248" s="190" t="s">
        <v>1572</v>
      </c>
      <c r="AP248" s="176">
        <v>24.53</v>
      </c>
      <c r="AQ248" s="176">
        <v>24.59</v>
      </c>
      <c r="AR248" s="176">
        <v>24.615000000000002</v>
      </c>
      <c r="AS248" s="176">
        <v>24.62</v>
      </c>
      <c r="AT248" s="173" t="str">
        <f t="shared" si="38"/>
        <v/>
      </c>
      <c r="AU248" s="173">
        <v>456</v>
      </c>
      <c r="AW248" s="142" t="s">
        <v>123</v>
      </c>
    </row>
    <row r="249" spans="2:49" s="142" customFormat="1" ht="21" customHeight="1" x14ac:dyDescent="0.25">
      <c r="B249" s="173" t="str">
        <f t="shared" ref="B249:B312" si="40">IF(C249="HOLD RM","HOLD RM",IF(C249="BAL","WIP",IF(C249="HOLD SLT","HOLD SLT",IF(C249="MILL","RM",IF(C249="RE SLT","WIP",IF(C249="RM","RM",IF(C249="RM BAL","RM",IF(C249="RM SLT","RM",IF(C249="RR","WIP",IF(C249="SKP","WIP",IF(C249="SLT","WIP",IF(C249="CTL","WIP",IF(C249="RM SLT RUST","RM SLT RUST",0)))))))))))))&amp;"-"&amp;G249&amp;"/"&amp;IF(H249="2B","2B",IF(H249="NO.1","1D",IF(H249="FH","FH",0)))&amp;"-"&amp;IF(J249="",(TEXT(I249,"0.00")),TEXT(J249,"0.00"))&amp;"X"&amp;M249</f>
        <v>0-304L/FH-1.50X770</v>
      </c>
      <c r="C249" s="173" t="s">
        <v>4099</v>
      </c>
      <c r="D249" s="173" t="s">
        <v>16</v>
      </c>
      <c r="E249" s="190" t="s">
        <v>4042</v>
      </c>
      <c r="F249" s="190" t="s">
        <v>4084</v>
      </c>
      <c r="G249" s="173" t="s">
        <v>182</v>
      </c>
      <c r="H249" s="173" t="s">
        <v>70</v>
      </c>
      <c r="I249" s="174">
        <v>3.79</v>
      </c>
      <c r="J249" s="174">
        <v>1.5</v>
      </c>
      <c r="K249" s="174"/>
      <c r="L249" s="174"/>
      <c r="M249" s="191">
        <v>770</v>
      </c>
      <c r="N249" s="176">
        <v>12.29</v>
      </c>
      <c r="O249" s="176">
        <v>12.244999999999999</v>
      </c>
      <c r="P249" s="176"/>
      <c r="Q249" s="178"/>
      <c r="R249" s="179"/>
      <c r="S249" s="179"/>
      <c r="T249" s="177">
        <v>44940</v>
      </c>
      <c r="U249" s="177"/>
      <c r="V249" s="177"/>
      <c r="W249" s="177"/>
      <c r="X249" s="177"/>
      <c r="Y249" s="177"/>
      <c r="Z249" s="177"/>
      <c r="AA249" s="177">
        <v>44933</v>
      </c>
      <c r="AB249" s="177"/>
      <c r="AC249" s="177"/>
      <c r="AD249" s="180" t="s">
        <v>1507</v>
      </c>
      <c r="AE249" s="173" t="s">
        <v>69</v>
      </c>
      <c r="AF249" s="181" t="s">
        <v>142</v>
      </c>
      <c r="AG249" s="192" t="s">
        <v>1508</v>
      </c>
      <c r="AH249" s="198"/>
      <c r="AI249" s="181">
        <v>44849</v>
      </c>
      <c r="AJ249" s="181"/>
      <c r="AK249" s="181">
        <f t="shared" ca="1" si="39"/>
        <v>44958</v>
      </c>
      <c r="AL249" s="173">
        <f t="shared" ref="AL249:AL312" ca="1" si="41">IF(AI249&lt;&gt;0,AK249-AI249,0)</f>
        <v>109</v>
      </c>
      <c r="AM249" s="173" t="str">
        <f t="shared" ref="AM249:AM312" si="42">IF(ISNUMBER(X249)=TRUE,AK249-X249,IF(X249="","",(AK249)-(MID(RIGHT(X249,10),4,2)&amp;"/"&amp;LEFT((RIGHT(X249,10)),2)&amp;"/"&amp;RIGHT(X249,4))))</f>
        <v/>
      </c>
      <c r="AN249" s="181"/>
      <c r="AO249" s="190" t="s">
        <v>4044</v>
      </c>
      <c r="AP249" s="176">
        <v>24.504999999999999</v>
      </c>
      <c r="AQ249" s="176">
        <v>24.565000000000001</v>
      </c>
      <c r="AR249" s="176">
        <v>24.590000000000003</v>
      </c>
      <c r="AS249" s="176">
        <v>24.595000000000002</v>
      </c>
      <c r="AT249" s="173" t="str">
        <f t="shared" si="38"/>
        <v/>
      </c>
      <c r="AU249" s="173">
        <v>456</v>
      </c>
      <c r="AW249" s="142" t="s">
        <v>123</v>
      </c>
    </row>
    <row r="250" spans="2:49" s="142" customFormat="1" ht="21" customHeight="1" x14ac:dyDescent="0.25">
      <c r="B250" s="173" t="str">
        <f t="shared" si="40"/>
        <v>0-304/1D-2.90X778</v>
      </c>
      <c r="C250" s="173" t="s">
        <v>4100</v>
      </c>
      <c r="D250" s="173" t="s">
        <v>13</v>
      </c>
      <c r="E250" s="190" t="s">
        <v>2512</v>
      </c>
      <c r="F250" s="190" t="s">
        <v>2513</v>
      </c>
      <c r="G250" s="173">
        <v>304</v>
      </c>
      <c r="H250" s="173" t="s">
        <v>127</v>
      </c>
      <c r="I250" s="174">
        <v>2.9</v>
      </c>
      <c r="J250" s="174"/>
      <c r="K250" s="174"/>
      <c r="L250" s="174"/>
      <c r="M250" s="191">
        <v>778</v>
      </c>
      <c r="N250" s="176">
        <v>10.3</v>
      </c>
      <c r="O250" s="176">
        <v>10.3</v>
      </c>
      <c r="P250" s="176"/>
      <c r="Q250" s="178"/>
      <c r="R250" s="179"/>
      <c r="S250" s="179"/>
      <c r="T250" s="177">
        <v>44941</v>
      </c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80" t="s">
        <v>2448</v>
      </c>
      <c r="AE250" s="173" t="s">
        <v>69</v>
      </c>
      <c r="AF250" s="181" t="s">
        <v>142</v>
      </c>
      <c r="AG250" s="192" t="s">
        <v>1584</v>
      </c>
      <c r="AH250" s="198"/>
      <c r="AI250" s="181">
        <v>44914</v>
      </c>
      <c r="AJ250" s="181"/>
      <c r="AK250" s="181">
        <f t="shared" ca="1" si="39"/>
        <v>44958</v>
      </c>
      <c r="AL250" s="173">
        <f t="shared" ca="1" si="41"/>
        <v>44</v>
      </c>
      <c r="AM250" s="173" t="str">
        <f t="shared" si="42"/>
        <v/>
      </c>
      <c r="AN250" s="181"/>
      <c r="AO250" s="190" t="s">
        <v>2514</v>
      </c>
      <c r="AP250" s="176">
        <v>10.3</v>
      </c>
      <c r="AQ250" s="176">
        <v>10.31</v>
      </c>
      <c r="AR250" s="176">
        <v>10.334999999999999</v>
      </c>
      <c r="AS250" s="176">
        <v>10.34</v>
      </c>
      <c r="AT250" s="173" t="str">
        <f t="shared" si="38"/>
        <v/>
      </c>
      <c r="AU250" s="173">
        <v>462</v>
      </c>
      <c r="AW250" s="142" t="s">
        <v>123</v>
      </c>
    </row>
    <row r="251" spans="2:49" s="142" customFormat="1" ht="21" customHeight="1" x14ac:dyDescent="0.25">
      <c r="B251" s="173" t="str">
        <f t="shared" si="40"/>
        <v>0-304L/FH-0.80X778</v>
      </c>
      <c r="C251" s="173" t="s">
        <v>4099</v>
      </c>
      <c r="D251" s="173" t="s">
        <v>16</v>
      </c>
      <c r="E251" s="190" t="s">
        <v>4105</v>
      </c>
      <c r="F251" s="190" t="s">
        <v>4106</v>
      </c>
      <c r="G251" s="173" t="s">
        <v>182</v>
      </c>
      <c r="H251" s="173" t="s">
        <v>70</v>
      </c>
      <c r="I251" s="174">
        <v>2.82</v>
      </c>
      <c r="J251" s="174">
        <v>0.8</v>
      </c>
      <c r="K251" s="174"/>
      <c r="L251" s="174"/>
      <c r="M251" s="191">
        <v>778</v>
      </c>
      <c r="N251" s="176">
        <v>8.9849999999999994</v>
      </c>
      <c r="O251" s="176">
        <v>8.98</v>
      </c>
      <c r="P251" s="176"/>
      <c r="Q251" s="178"/>
      <c r="R251" s="179"/>
      <c r="S251" s="179"/>
      <c r="T251" s="177">
        <v>44941</v>
      </c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80" t="s">
        <v>2448</v>
      </c>
      <c r="AE251" s="173" t="s">
        <v>69</v>
      </c>
      <c r="AF251" s="181" t="s">
        <v>142</v>
      </c>
      <c r="AG251" s="192" t="s">
        <v>1584</v>
      </c>
      <c r="AH251" s="198"/>
      <c r="AI251" s="181">
        <v>44914</v>
      </c>
      <c r="AJ251" s="181"/>
      <c r="AK251" s="181">
        <f t="shared" ca="1" si="39"/>
        <v>44958</v>
      </c>
      <c r="AL251" s="173">
        <f t="shared" ca="1" si="41"/>
        <v>44</v>
      </c>
      <c r="AM251" s="173" t="str">
        <f t="shared" si="42"/>
        <v/>
      </c>
      <c r="AN251" s="181"/>
      <c r="AO251" s="190" t="s">
        <v>4107</v>
      </c>
      <c r="AP251" s="176">
        <v>8.9849999999999994</v>
      </c>
      <c r="AQ251" s="176">
        <v>8.9949999999999992</v>
      </c>
      <c r="AR251" s="176">
        <v>9.0199999999999978</v>
      </c>
      <c r="AS251" s="176">
        <v>9.0249999999999986</v>
      </c>
      <c r="AT251" s="173" t="str">
        <f t="shared" si="38"/>
        <v/>
      </c>
      <c r="AU251" s="173">
        <v>462</v>
      </c>
      <c r="AW251" s="142" t="s">
        <v>123</v>
      </c>
    </row>
    <row r="252" spans="2:49" s="142" customFormat="1" ht="21" customHeight="1" x14ac:dyDescent="0.25">
      <c r="B252" s="173" t="str">
        <f t="shared" si="40"/>
        <v>0-304/1D-3.88X768</v>
      </c>
      <c r="C252" s="173" t="s">
        <v>4102</v>
      </c>
      <c r="D252" s="173" t="s">
        <v>13</v>
      </c>
      <c r="E252" s="190" t="s">
        <v>2494</v>
      </c>
      <c r="F252" s="190" t="s">
        <v>2495</v>
      </c>
      <c r="G252" s="173">
        <v>304</v>
      </c>
      <c r="H252" s="173" t="s">
        <v>127</v>
      </c>
      <c r="I252" s="174">
        <v>3.88</v>
      </c>
      <c r="J252" s="174"/>
      <c r="K252" s="174"/>
      <c r="L252" s="174"/>
      <c r="M252" s="191">
        <v>768</v>
      </c>
      <c r="N252" s="176">
        <v>10.385</v>
      </c>
      <c r="O252" s="176">
        <v>10.385</v>
      </c>
      <c r="P252" s="176"/>
      <c r="Q252" s="178"/>
      <c r="R252" s="179"/>
      <c r="S252" s="179"/>
      <c r="T252" s="177">
        <v>44941</v>
      </c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80" t="s">
        <v>2448</v>
      </c>
      <c r="AE252" s="173" t="s">
        <v>69</v>
      </c>
      <c r="AF252" s="181" t="s">
        <v>142</v>
      </c>
      <c r="AG252" s="192" t="s">
        <v>1584</v>
      </c>
      <c r="AH252" s="198"/>
      <c r="AI252" s="181">
        <v>44914</v>
      </c>
      <c r="AJ252" s="181"/>
      <c r="AK252" s="181">
        <f t="shared" ca="1" si="39"/>
        <v>44958</v>
      </c>
      <c r="AL252" s="173">
        <f t="shared" ca="1" si="41"/>
        <v>44</v>
      </c>
      <c r="AM252" s="173" t="str">
        <f t="shared" si="42"/>
        <v/>
      </c>
      <c r="AN252" s="181"/>
      <c r="AO252" s="190" t="s">
        <v>2496</v>
      </c>
      <c r="AP252" s="176">
        <v>10.385</v>
      </c>
      <c r="AQ252" s="176">
        <v>10.395</v>
      </c>
      <c r="AR252" s="176">
        <v>10.419999999999998</v>
      </c>
      <c r="AS252" s="176">
        <v>10.424999999999999</v>
      </c>
      <c r="AT252" s="173" t="str">
        <f t="shared" si="38"/>
        <v/>
      </c>
      <c r="AU252" s="173">
        <v>462</v>
      </c>
      <c r="AW252" s="142" t="s">
        <v>123</v>
      </c>
    </row>
    <row r="253" spans="2:49" s="142" customFormat="1" ht="21" customHeight="1" x14ac:dyDescent="0.25">
      <c r="B253" s="173" t="str">
        <f t="shared" si="40"/>
        <v>0-304/FH-0.88X777</v>
      </c>
      <c r="C253" s="173" t="s">
        <v>4099</v>
      </c>
      <c r="D253" s="173" t="s">
        <v>16</v>
      </c>
      <c r="E253" s="190" t="s">
        <v>2515</v>
      </c>
      <c r="F253" s="190" t="s">
        <v>2516</v>
      </c>
      <c r="G253" s="173">
        <v>304</v>
      </c>
      <c r="H253" s="173" t="s">
        <v>70</v>
      </c>
      <c r="I253" s="174">
        <v>2.9</v>
      </c>
      <c r="J253" s="174">
        <v>0.88</v>
      </c>
      <c r="K253" s="174"/>
      <c r="L253" s="174"/>
      <c r="M253" s="191">
        <v>777</v>
      </c>
      <c r="N253" s="176">
        <v>10.26</v>
      </c>
      <c r="O253" s="176">
        <v>10.26</v>
      </c>
      <c r="P253" s="176"/>
      <c r="Q253" s="178"/>
      <c r="R253" s="179"/>
      <c r="S253" s="179"/>
      <c r="T253" s="177">
        <v>44941</v>
      </c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80" t="s">
        <v>2448</v>
      </c>
      <c r="AE253" s="173" t="s">
        <v>69</v>
      </c>
      <c r="AF253" s="181" t="s">
        <v>142</v>
      </c>
      <c r="AG253" s="192" t="s">
        <v>1584</v>
      </c>
      <c r="AH253" s="198"/>
      <c r="AI253" s="181">
        <v>44914</v>
      </c>
      <c r="AJ253" s="181"/>
      <c r="AK253" s="181">
        <f t="shared" ca="1" si="39"/>
        <v>44958</v>
      </c>
      <c r="AL253" s="173">
        <f t="shared" ca="1" si="41"/>
        <v>44</v>
      </c>
      <c r="AM253" s="173" t="str">
        <f t="shared" si="42"/>
        <v/>
      </c>
      <c r="AN253" s="181"/>
      <c r="AO253" s="190" t="s">
        <v>2514</v>
      </c>
      <c r="AP253" s="176">
        <v>10.26</v>
      </c>
      <c r="AQ253" s="176">
        <v>10.27</v>
      </c>
      <c r="AR253" s="176">
        <v>10.294999999999998</v>
      </c>
      <c r="AS253" s="176">
        <v>10.299999999999999</v>
      </c>
      <c r="AT253" s="173" t="str">
        <f t="shared" si="38"/>
        <v/>
      </c>
      <c r="AU253" s="173">
        <v>462</v>
      </c>
      <c r="AW253" s="142" t="s">
        <v>123</v>
      </c>
    </row>
    <row r="254" spans="2:49" s="142" customFormat="1" ht="21" customHeight="1" x14ac:dyDescent="0.25">
      <c r="B254" s="173" t="str">
        <f t="shared" si="40"/>
        <v>0-304/1D-2.90X770</v>
      </c>
      <c r="C254" s="173" t="s">
        <v>4113</v>
      </c>
      <c r="D254" s="173" t="s">
        <v>13</v>
      </c>
      <c r="E254" s="190" t="s">
        <v>2632</v>
      </c>
      <c r="F254" s="190" t="s">
        <v>2633</v>
      </c>
      <c r="G254" s="173">
        <v>304</v>
      </c>
      <c r="H254" s="173" t="s">
        <v>127</v>
      </c>
      <c r="I254" s="174">
        <v>2.9</v>
      </c>
      <c r="J254" s="174"/>
      <c r="K254" s="174"/>
      <c r="L254" s="174"/>
      <c r="M254" s="191">
        <v>770</v>
      </c>
      <c r="N254" s="176">
        <v>10.535</v>
      </c>
      <c r="O254" s="176">
        <v>10.535</v>
      </c>
      <c r="P254" s="176"/>
      <c r="Q254" s="178"/>
      <c r="R254" s="179"/>
      <c r="S254" s="179"/>
      <c r="T254" s="177">
        <v>44942</v>
      </c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80" t="s">
        <v>2448</v>
      </c>
      <c r="AE254" s="173" t="s">
        <v>69</v>
      </c>
      <c r="AF254" s="181" t="s">
        <v>142</v>
      </c>
      <c r="AG254" s="192" t="s">
        <v>1584</v>
      </c>
      <c r="AH254" s="198"/>
      <c r="AI254" s="181">
        <v>44914</v>
      </c>
      <c r="AJ254" s="181"/>
      <c r="AK254" s="181">
        <f t="shared" ca="1" si="39"/>
        <v>44958</v>
      </c>
      <c r="AL254" s="173">
        <f t="shared" ca="1" si="41"/>
        <v>44</v>
      </c>
      <c r="AM254" s="173" t="str">
        <f t="shared" si="42"/>
        <v/>
      </c>
      <c r="AN254" s="181"/>
      <c r="AO254" s="190" t="s">
        <v>2634</v>
      </c>
      <c r="AP254" s="176">
        <v>10.535</v>
      </c>
      <c r="AQ254" s="176">
        <v>10.545</v>
      </c>
      <c r="AR254" s="176">
        <v>10.569999999999999</v>
      </c>
      <c r="AS254" s="176">
        <v>10.574999999999999</v>
      </c>
      <c r="AT254" s="173" t="str">
        <f t="shared" si="38"/>
        <v/>
      </c>
      <c r="AU254" s="173">
        <v>462</v>
      </c>
      <c r="AW254" s="142" t="s">
        <v>123</v>
      </c>
    </row>
    <row r="255" spans="2:49" s="142" customFormat="1" ht="21" customHeight="1" x14ac:dyDescent="0.25">
      <c r="B255" s="173" t="str">
        <f t="shared" si="40"/>
        <v>0-304L/FH-1.50X768</v>
      </c>
      <c r="C255" s="173" t="s">
        <v>4114</v>
      </c>
      <c r="D255" s="173" t="s">
        <v>16</v>
      </c>
      <c r="E255" s="190" t="s">
        <v>1569</v>
      </c>
      <c r="F255" s="190" t="s">
        <v>4112</v>
      </c>
      <c r="G255" s="173" t="s">
        <v>182</v>
      </c>
      <c r="H255" s="173" t="s">
        <v>70</v>
      </c>
      <c r="I255" s="174">
        <v>3.81</v>
      </c>
      <c r="J255" s="174">
        <v>1.5</v>
      </c>
      <c r="K255" s="174"/>
      <c r="L255" s="174"/>
      <c r="M255" s="191">
        <v>768</v>
      </c>
      <c r="N255" s="176">
        <v>12.285</v>
      </c>
      <c r="O255" s="176">
        <v>12.315</v>
      </c>
      <c r="P255" s="176"/>
      <c r="Q255" s="178"/>
      <c r="R255" s="179"/>
      <c r="S255" s="179"/>
      <c r="T255" s="177">
        <v>44941</v>
      </c>
      <c r="U255" s="177"/>
      <c r="V255" s="177"/>
      <c r="W255" s="177"/>
      <c r="X255" s="177"/>
      <c r="Y255" s="177"/>
      <c r="Z255" s="177"/>
      <c r="AA255" s="177">
        <v>44934</v>
      </c>
      <c r="AB255" s="177"/>
      <c r="AC255" s="177"/>
      <c r="AD255" s="180" t="s">
        <v>1507</v>
      </c>
      <c r="AE255" s="173" t="s">
        <v>69</v>
      </c>
      <c r="AF255" s="181" t="s">
        <v>142</v>
      </c>
      <c r="AG255" s="192" t="s">
        <v>1508</v>
      </c>
      <c r="AH255" s="198"/>
      <c r="AI255" s="181">
        <v>44849</v>
      </c>
      <c r="AJ255" s="181"/>
      <c r="AK255" s="181">
        <f t="shared" ca="1" si="39"/>
        <v>44958</v>
      </c>
      <c r="AL255" s="173">
        <f t="shared" ca="1" si="41"/>
        <v>109</v>
      </c>
      <c r="AM255" s="173" t="str">
        <f t="shared" si="42"/>
        <v/>
      </c>
      <c r="AN255" s="181"/>
      <c r="AO255" s="190" t="s">
        <v>1572</v>
      </c>
      <c r="AP255" s="176">
        <v>24.53</v>
      </c>
      <c r="AQ255" s="176">
        <v>24.59</v>
      </c>
      <c r="AR255" s="176">
        <v>24.615000000000002</v>
      </c>
      <c r="AS255" s="176">
        <v>24.62</v>
      </c>
      <c r="AT255" s="173" t="str">
        <f t="shared" si="38"/>
        <v/>
      </c>
      <c r="AU255" s="173">
        <v>456</v>
      </c>
      <c r="AW255" s="142" t="s">
        <v>123</v>
      </c>
    </row>
    <row r="256" spans="2:49" s="142" customFormat="1" ht="21" customHeight="1" x14ac:dyDescent="0.25">
      <c r="B256" s="173" t="str">
        <f t="shared" si="40"/>
        <v>0-304L/1D-3.82X770</v>
      </c>
      <c r="C256" s="173" t="s">
        <v>4113</v>
      </c>
      <c r="D256" s="173" t="s">
        <v>13</v>
      </c>
      <c r="E256" s="190" t="s">
        <v>1526</v>
      </c>
      <c r="F256" s="190" t="s">
        <v>1529</v>
      </c>
      <c r="G256" s="173" t="s">
        <v>182</v>
      </c>
      <c r="H256" s="173" t="s">
        <v>127</v>
      </c>
      <c r="I256" s="174">
        <v>3.82</v>
      </c>
      <c r="J256" s="174"/>
      <c r="K256" s="174"/>
      <c r="L256" s="174"/>
      <c r="M256" s="191">
        <v>770</v>
      </c>
      <c r="N256" s="176">
        <v>12.3</v>
      </c>
      <c r="O256" s="176">
        <v>12.3</v>
      </c>
      <c r="P256" s="176"/>
      <c r="Q256" s="178"/>
      <c r="R256" s="179"/>
      <c r="S256" s="179"/>
      <c r="T256" s="177">
        <v>44942</v>
      </c>
      <c r="U256" s="177"/>
      <c r="V256" s="177"/>
      <c r="W256" s="177"/>
      <c r="X256" s="177"/>
      <c r="Y256" s="177"/>
      <c r="Z256" s="177"/>
      <c r="AA256" s="177">
        <v>44933</v>
      </c>
      <c r="AB256" s="177"/>
      <c r="AC256" s="177"/>
      <c r="AD256" s="180" t="s">
        <v>1507</v>
      </c>
      <c r="AE256" s="173" t="s">
        <v>69</v>
      </c>
      <c r="AF256" s="181" t="s">
        <v>142</v>
      </c>
      <c r="AG256" s="192" t="s">
        <v>1508</v>
      </c>
      <c r="AH256" s="198"/>
      <c r="AI256" s="181">
        <v>44849</v>
      </c>
      <c r="AJ256" s="181"/>
      <c r="AK256" s="181">
        <f t="shared" ca="1" si="39"/>
        <v>44958</v>
      </c>
      <c r="AL256" s="173">
        <f t="shared" ca="1" si="41"/>
        <v>109</v>
      </c>
      <c r="AM256" s="173" t="str">
        <f t="shared" si="42"/>
        <v/>
      </c>
      <c r="AN256" s="181"/>
      <c r="AO256" s="190" t="s">
        <v>1528</v>
      </c>
      <c r="AP256" s="176">
        <v>24.565000000000001</v>
      </c>
      <c r="AQ256" s="176">
        <v>24.625</v>
      </c>
      <c r="AR256" s="176">
        <v>24.650000000000002</v>
      </c>
      <c r="AS256" s="176">
        <v>24.655000000000001</v>
      </c>
      <c r="AT256" s="173" t="str">
        <f t="shared" si="38"/>
        <v/>
      </c>
      <c r="AU256" s="173">
        <v>456</v>
      </c>
      <c r="AW256" s="142" t="s">
        <v>123</v>
      </c>
    </row>
    <row r="257" spans="2:49" s="142" customFormat="1" ht="21" customHeight="1" x14ac:dyDescent="0.25">
      <c r="B257" s="173" t="str">
        <f t="shared" si="40"/>
        <v>0-304/FH-0.88X778</v>
      </c>
      <c r="C257" s="173" t="s">
        <v>4114</v>
      </c>
      <c r="D257" s="173" t="s">
        <v>16</v>
      </c>
      <c r="E257" s="190" t="s">
        <v>2512</v>
      </c>
      <c r="F257" s="190" t="s">
        <v>2513</v>
      </c>
      <c r="G257" s="173">
        <v>304</v>
      </c>
      <c r="H257" s="173" t="s">
        <v>70</v>
      </c>
      <c r="I257" s="174">
        <v>2.9</v>
      </c>
      <c r="J257" s="174">
        <v>0.88</v>
      </c>
      <c r="K257" s="174"/>
      <c r="L257" s="174"/>
      <c r="M257" s="191">
        <v>778</v>
      </c>
      <c r="N257" s="176">
        <v>10.3</v>
      </c>
      <c r="O257" s="176">
        <v>10.31</v>
      </c>
      <c r="P257" s="176"/>
      <c r="Q257" s="178"/>
      <c r="R257" s="179"/>
      <c r="S257" s="179"/>
      <c r="T257" s="177">
        <v>44941</v>
      </c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80" t="s">
        <v>2448</v>
      </c>
      <c r="AE257" s="173" t="s">
        <v>69</v>
      </c>
      <c r="AF257" s="181" t="s">
        <v>142</v>
      </c>
      <c r="AG257" s="192" t="s">
        <v>1584</v>
      </c>
      <c r="AH257" s="198"/>
      <c r="AI257" s="181">
        <v>44914</v>
      </c>
      <c r="AJ257" s="181"/>
      <c r="AK257" s="181">
        <f t="shared" ca="1" si="39"/>
        <v>44958</v>
      </c>
      <c r="AL257" s="173">
        <f t="shared" ca="1" si="41"/>
        <v>44</v>
      </c>
      <c r="AM257" s="173" t="str">
        <f t="shared" si="42"/>
        <v/>
      </c>
      <c r="AN257" s="181"/>
      <c r="AO257" s="190" t="s">
        <v>2514</v>
      </c>
      <c r="AP257" s="176">
        <v>10.3</v>
      </c>
      <c r="AQ257" s="176">
        <v>10.31</v>
      </c>
      <c r="AR257" s="176">
        <v>10.334999999999999</v>
      </c>
      <c r="AS257" s="176">
        <v>10.34</v>
      </c>
      <c r="AT257" s="173" t="str">
        <f t="shared" si="38"/>
        <v/>
      </c>
      <c r="AU257" s="173">
        <v>462</v>
      </c>
      <c r="AW257" s="142" t="s">
        <v>123</v>
      </c>
    </row>
    <row r="258" spans="2:49" s="142" customFormat="1" ht="21" customHeight="1" x14ac:dyDescent="0.25">
      <c r="B258" s="173" t="str">
        <f t="shared" si="40"/>
        <v>0-304/1D-2.90X773</v>
      </c>
      <c r="C258" s="173" t="s">
        <v>4113</v>
      </c>
      <c r="D258" s="173" t="s">
        <v>13</v>
      </c>
      <c r="E258" s="190" t="s">
        <v>2635</v>
      </c>
      <c r="F258" s="190" t="s">
        <v>2636</v>
      </c>
      <c r="G258" s="173">
        <v>304</v>
      </c>
      <c r="H258" s="173" t="s">
        <v>127</v>
      </c>
      <c r="I258" s="174">
        <v>2.9</v>
      </c>
      <c r="J258" s="174"/>
      <c r="K258" s="174"/>
      <c r="L258" s="174"/>
      <c r="M258" s="191">
        <v>773</v>
      </c>
      <c r="N258" s="176">
        <v>10.025</v>
      </c>
      <c r="O258" s="176">
        <v>10.025</v>
      </c>
      <c r="P258" s="176"/>
      <c r="Q258" s="178"/>
      <c r="R258" s="179"/>
      <c r="S258" s="179"/>
      <c r="T258" s="177">
        <v>44942</v>
      </c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80" t="s">
        <v>2448</v>
      </c>
      <c r="AE258" s="173" t="s">
        <v>69</v>
      </c>
      <c r="AF258" s="181" t="s">
        <v>142</v>
      </c>
      <c r="AG258" s="192" t="s">
        <v>1584</v>
      </c>
      <c r="AH258" s="198"/>
      <c r="AI258" s="181">
        <v>44914</v>
      </c>
      <c r="AJ258" s="181"/>
      <c r="AK258" s="181">
        <f t="shared" ca="1" si="39"/>
        <v>44958</v>
      </c>
      <c r="AL258" s="173">
        <f t="shared" ca="1" si="41"/>
        <v>44</v>
      </c>
      <c r="AM258" s="173" t="str">
        <f t="shared" si="42"/>
        <v/>
      </c>
      <c r="AN258" s="181"/>
      <c r="AO258" s="190" t="s">
        <v>2637</v>
      </c>
      <c r="AP258" s="176">
        <v>10.025</v>
      </c>
      <c r="AQ258" s="176">
        <v>10.035</v>
      </c>
      <c r="AR258" s="176">
        <v>10.059999999999999</v>
      </c>
      <c r="AS258" s="176">
        <v>10.065</v>
      </c>
      <c r="AT258" s="173" t="str">
        <f t="shared" si="38"/>
        <v/>
      </c>
      <c r="AU258" s="173">
        <v>462</v>
      </c>
      <c r="AW258" s="142" t="s">
        <v>123</v>
      </c>
    </row>
    <row r="259" spans="2:49" s="142" customFormat="1" ht="21" customHeight="1" x14ac:dyDescent="0.25">
      <c r="B259" s="173" t="str">
        <f t="shared" si="40"/>
        <v>0-304/FH-2.00X768</v>
      </c>
      <c r="C259" s="173" t="s">
        <v>4114</v>
      </c>
      <c r="D259" s="173" t="s">
        <v>16</v>
      </c>
      <c r="E259" s="190" t="s">
        <v>4110</v>
      </c>
      <c r="F259" s="190" t="s">
        <v>4111</v>
      </c>
      <c r="G259" s="173">
        <v>304</v>
      </c>
      <c r="H259" s="173" t="s">
        <v>70</v>
      </c>
      <c r="I259" s="174">
        <v>3.94</v>
      </c>
      <c r="J259" s="174">
        <v>2</v>
      </c>
      <c r="K259" s="174"/>
      <c r="L259" s="174"/>
      <c r="M259" s="191">
        <v>768</v>
      </c>
      <c r="N259" s="176">
        <v>9.6300000000000008</v>
      </c>
      <c r="O259" s="176">
        <v>9.6300000000000008</v>
      </c>
      <c r="P259" s="176"/>
      <c r="Q259" s="178"/>
      <c r="R259" s="179"/>
      <c r="S259" s="179"/>
      <c r="T259" s="177">
        <v>44941</v>
      </c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80" t="s">
        <v>2448</v>
      </c>
      <c r="AE259" s="173" t="s">
        <v>69</v>
      </c>
      <c r="AF259" s="181" t="s">
        <v>142</v>
      </c>
      <c r="AG259" s="192" t="s">
        <v>1584</v>
      </c>
      <c r="AH259" s="198"/>
      <c r="AI259" s="181">
        <v>44914</v>
      </c>
      <c r="AJ259" s="181"/>
      <c r="AK259" s="181">
        <f t="shared" ca="1" si="39"/>
        <v>44958</v>
      </c>
      <c r="AL259" s="173">
        <f t="shared" ca="1" si="41"/>
        <v>44</v>
      </c>
      <c r="AM259" s="173" t="str">
        <f t="shared" si="42"/>
        <v/>
      </c>
      <c r="AN259" s="181"/>
      <c r="AO259" s="190" t="s">
        <v>2564</v>
      </c>
      <c r="AP259" s="176">
        <v>9.6300000000000008</v>
      </c>
      <c r="AQ259" s="176">
        <v>9.64</v>
      </c>
      <c r="AR259" s="176">
        <v>9.6649999999999991</v>
      </c>
      <c r="AS259" s="176">
        <v>9.67</v>
      </c>
      <c r="AT259" s="173" t="str">
        <f t="shared" si="38"/>
        <v/>
      </c>
      <c r="AU259" s="173">
        <v>462</v>
      </c>
      <c r="AW259" s="142" t="s">
        <v>123</v>
      </c>
    </row>
    <row r="260" spans="2:49" s="142" customFormat="1" ht="21" customHeight="1" x14ac:dyDescent="0.25">
      <c r="B260" s="173" t="str">
        <f t="shared" si="40"/>
        <v>0-304L/1D-3.88X774</v>
      </c>
      <c r="C260" s="173" t="s">
        <v>4113</v>
      </c>
      <c r="D260" s="173" t="s">
        <v>13</v>
      </c>
      <c r="E260" s="190" t="s">
        <v>4115</v>
      </c>
      <c r="F260" s="190" t="s">
        <v>4116</v>
      </c>
      <c r="G260" s="173" t="s">
        <v>182</v>
      </c>
      <c r="H260" s="173" t="s">
        <v>127</v>
      </c>
      <c r="I260" s="174">
        <v>3.88</v>
      </c>
      <c r="J260" s="174"/>
      <c r="K260" s="174"/>
      <c r="L260" s="174"/>
      <c r="M260" s="191">
        <v>774</v>
      </c>
      <c r="N260" s="176">
        <v>12.234999999999999</v>
      </c>
      <c r="O260" s="176">
        <v>12.234999999999999</v>
      </c>
      <c r="P260" s="176"/>
      <c r="Q260" s="178"/>
      <c r="R260" s="179"/>
      <c r="S260" s="179"/>
      <c r="T260" s="177">
        <v>44942</v>
      </c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80" t="s">
        <v>2448</v>
      </c>
      <c r="AE260" s="173" t="s">
        <v>69</v>
      </c>
      <c r="AF260" s="181" t="s">
        <v>142</v>
      </c>
      <c r="AG260" s="192" t="s">
        <v>1584</v>
      </c>
      <c r="AH260" s="198"/>
      <c r="AI260" s="181">
        <v>44914</v>
      </c>
      <c r="AJ260" s="181"/>
      <c r="AK260" s="181">
        <f t="shared" ca="1" si="39"/>
        <v>44958</v>
      </c>
      <c r="AL260" s="173">
        <f t="shared" ca="1" si="41"/>
        <v>44</v>
      </c>
      <c r="AM260" s="173" t="str">
        <f t="shared" si="42"/>
        <v/>
      </c>
      <c r="AN260" s="181"/>
      <c r="AO260" s="190" t="s">
        <v>2452</v>
      </c>
      <c r="AP260" s="176">
        <v>12.234999999999999</v>
      </c>
      <c r="AQ260" s="176">
        <v>12.244999999999999</v>
      </c>
      <c r="AR260" s="176">
        <v>12.269999999999998</v>
      </c>
      <c r="AS260" s="176">
        <v>12.274999999999999</v>
      </c>
      <c r="AT260" s="173" t="str">
        <f t="shared" ref="AT260:AT323" si="43">IF(ISNUMBER(V260)=TRUE,AK260-V260,IF(V260="","",(AK260)-(MID(RIGHT(V260,10),4,2)&amp;"/"&amp;LEFT((RIGHT(V260,10)),2)&amp;"/"&amp;RIGHT(V260,4))))</f>
        <v/>
      </c>
      <c r="AU260" s="173">
        <v>462</v>
      </c>
      <c r="AW260" s="142" t="s">
        <v>123</v>
      </c>
    </row>
    <row r="261" spans="2:49" s="142" customFormat="1" ht="21" customHeight="1" x14ac:dyDescent="0.25">
      <c r="B261" s="173" t="str">
        <f t="shared" si="40"/>
        <v>0-304L/FH-2.20X768</v>
      </c>
      <c r="C261" s="173" t="s">
        <v>4114</v>
      </c>
      <c r="D261" s="173" t="s">
        <v>16</v>
      </c>
      <c r="E261" s="190" t="s">
        <v>1551</v>
      </c>
      <c r="F261" s="190" t="s">
        <v>1554</v>
      </c>
      <c r="G261" s="173" t="s">
        <v>182</v>
      </c>
      <c r="H261" s="173" t="s">
        <v>70</v>
      </c>
      <c r="I261" s="174">
        <v>3.79</v>
      </c>
      <c r="J261" s="174">
        <v>2.2000000000000002</v>
      </c>
      <c r="K261" s="174"/>
      <c r="L261" s="174"/>
      <c r="M261" s="191">
        <v>768</v>
      </c>
      <c r="N261" s="349">
        <v>12.25</v>
      </c>
      <c r="O261" s="176">
        <v>1.2849999999999999</v>
      </c>
      <c r="P261" s="176"/>
      <c r="Q261" s="178" t="s">
        <v>1555</v>
      </c>
      <c r="R261" s="179" t="s">
        <v>1556</v>
      </c>
      <c r="S261" s="179"/>
      <c r="T261" s="177">
        <v>44938</v>
      </c>
      <c r="U261" s="177"/>
      <c r="V261" s="177"/>
      <c r="W261" s="177"/>
      <c r="X261" s="177"/>
      <c r="Y261" s="177"/>
      <c r="Z261" s="177"/>
      <c r="AA261" s="177">
        <v>44934</v>
      </c>
      <c r="AB261" s="177"/>
      <c r="AC261" s="177"/>
      <c r="AD261" s="180" t="s">
        <v>1507</v>
      </c>
      <c r="AE261" s="173" t="s">
        <v>69</v>
      </c>
      <c r="AF261" s="181" t="s">
        <v>142</v>
      </c>
      <c r="AG261" s="192" t="s">
        <v>1508</v>
      </c>
      <c r="AH261" s="198"/>
      <c r="AI261" s="181">
        <v>44849</v>
      </c>
      <c r="AJ261" s="181"/>
      <c r="AK261" s="181">
        <f t="shared" ca="1" si="39"/>
        <v>44958</v>
      </c>
      <c r="AL261" s="173">
        <f t="shared" ca="1" si="41"/>
        <v>109</v>
      </c>
      <c r="AM261" s="173" t="str">
        <f t="shared" si="42"/>
        <v/>
      </c>
      <c r="AN261" s="181"/>
      <c r="AO261" s="190" t="s">
        <v>1553</v>
      </c>
      <c r="AP261" s="176">
        <v>24.51</v>
      </c>
      <c r="AQ261" s="176">
        <v>24.57</v>
      </c>
      <c r="AR261" s="176">
        <v>24.595000000000002</v>
      </c>
      <c r="AS261" s="176">
        <v>24.6</v>
      </c>
      <c r="AT261" s="173" t="str">
        <f t="shared" si="43"/>
        <v/>
      </c>
      <c r="AU261" s="173">
        <v>456</v>
      </c>
      <c r="AW261" s="142" t="s">
        <v>123</v>
      </c>
    </row>
    <row r="262" spans="2:49" s="142" customFormat="1" ht="21" customHeight="1" x14ac:dyDescent="0.25">
      <c r="B262" s="173" t="str">
        <f t="shared" si="40"/>
        <v>0-304L/FH-1.50X768</v>
      </c>
      <c r="C262" s="173" t="s">
        <v>4114</v>
      </c>
      <c r="D262" s="173" t="s">
        <v>16</v>
      </c>
      <c r="E262" s="190" t="s">
        <v>1551</v>
      </c>
      <c r="F262" s="190" t="s">
        <v>1557</v>
      </c>
      <c r="G262" s="173" t="s">
        <v>182</v>
      </c>
      <c r="H262" s="173" t="s">
        <v>70</v>
      </c>
      <c r="I262" s="174">
        <v>3.79</v>
      </c>
      <c r="J262" s="174">
        <v>1.5</v>
      </c>
      <c r="K262" s="174"/>
      <c r="L262" s="174"/>
      <c r="M262" s="191">
        <v>768</v>
      </c>
      <c r="N262" s="350"/>
      <c r="O262" s="176">
        <v>10.958</v>
      </c>
      <c r="P262" s="176"/>
      <c r="Q262" s="178"/>
      <c r="R262" s="179"/>
      <c r="S262" s="179"/>
      <c r="T262" s="177">
        <v>44938</v>
      </c>
      <c r="U262" s="177"/>
      <c r="V262" s="177"/>
      <c r="W262" s="177"/>
      <c r="X262" s="177"/>
      <c r="Y262" s="177"/>
      <c r="Z262" s="177"/>
      <c r="AA262" s="177">
        <v>44934</v>
      </c>
      <c r="AB262" s="177"/>
      <c r="AC262" s="177"/>
      <c r="AD262" s="180" t="s">
        <v>1507</v>
      </c>
      <c r="AE262" s="173" t="s">
        <v>69</v>
      </c>
      <c r="AF262" s="181" t="s">
        <v>142</v>
      </c>
      <c r="AG262" s="192" t="s">
        <v>1508</v>
      </c>
      <c r="AH262" s="198"/>
      <c r="AI262" s="181">
        <v>44849</v>
      </c>
      <c r="AJ262" s="181"/>
      <c r="AK262" s="181">
        <f t="shared" ca="1" si="39"/>
        <v>44958</v>
      </c>
      <c r="AL262" s="173">
        <f t="shared" ca="1" si="41"/>
        <v>109</v>
      </c>
      <c r="AM262" s="173" t="str">
        <f t="shared" si="42"/>
        <v/>
      </c>
      <c r="AN262" s="181"/>
      <c r="AO262" s="190" t="s">
        <v>1553</v>
      </c>
      <c r="AP262" s="176">
        <v>24.51</v>
      </c>
      <c r="AQ262" s="176">
        <v>24.57</v>
      </c>
      <c r="AR262" s="176">
        <v>24.595000000000002</v>
      </c>
      <c r="AS262" s="176">
        <v>24.6</v>
      </c>
      <c r="AT262" s="173" t="str">
        <f t="shared" si="43"/>
        <v/>
      </c>
      <c r="AU262" s="173">
        <v>456</v>
      </c>
      <c r="AW262" s="142" t="s">
        <v>123</v>
      </c>
    </row>
    <row r="263" spans="2:49" s="142" customFormat="1" ht="21" customHeight="1" x14ac:dyDescent="0.25">
      <c r="B263" s="173" t="str">
        <f t="shared" si="40"/>
        <v>0-304/1D-2.75X641</v>
      </c>
      <c r="C263" s="173" t="s">
        <v>4117</v>
      </c>
      <c r="D263" s="173" t="s">
        <v>13</v>
      </c>
      <c r="E263" s="190" t="s">
        <v>4118</v>
      </c>
      <c r="F263" s="190" t="s">
        <v>4119</v>
      </c>
      <c r="G263" s="173">
        <v>304</v>
      </c>
      <c r="H263" s="173" t="s">
        <v>127</v>
      </c>
      <c r="I263" s="174">
        <v>2.75</v>
      </c>
      <c r="J263" s="174"/>
      <c r="K263" s="174"/>
      <c r="L263" s="174"/>
      <c r="M263" s="191">
        <v>641</v>
      </c>
      <c r="N263" s="176">
        <v>10.565</v>
      </c>
      <c r="O263" s="176">
        <v>10.565</v>
      </c>
      <c r="P263" s="176"/>
      <c r="Q263" s="178"/>
      <c r="R263" s="179" t="s">
        <v>4120</v>
      </c>
      <c r="S263" s="179"/>
      <c r="T263" s="177">
        <v>44942</v>
      </c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80" t="s">
        <v>1619</v>
      </c>
      <c r="AE263" s="173" t="s">
        <v>69</v>
      </c>
      <c r="AF263" s="181" t="s">
        <v>142</v>
      </c>
      <c r="AG263" s="192" t="s">
        <v>1657</v>
      </c>
      <c r="AH263" s="198"/>
      <c r="AI263" s="181">
        <v>44849</v>
      </c>
      <c r="AJ263" s="181"/>
      <c r="AK263" s="181">
        <f t="shared" ca="1" si="39"/>
        <v>44958</v>
      </c>
      <c r="AL263" s="173">
        <f t="shared" ca="1" si="41"/>
        <v>109</v>
      </c>
      <c r="AM263" s="173" t="str">
        <f t="shared" si="42"/>
        <v/>
      </c>
      <c r="AN263" s="181"/>
      <c r="AO263" s="190" t="s">
        <v>4121</v>
      </c>
      <c r="AP263" s="176">
        <v>10.565</v>
      </c>
      <c r="AQ263" s="176">
        <v>10.574999999999999</v>
      </c>
      <c r="AR263" s="176">
        <v>10.599999999999998</v>
      </c>
      <c r="AS263" s="176">
        <v>10.604999999999999</v>
      </c>
      <c r="AT263" s="173" t="str">
        <f t="shared" si="43"/>
        <v/>
      </c>
      <c r="AU263" s="173">
        <v>456</v>
      </c>
      <c r="AW263" s="142" t="s">
        <v>123</v>
      </c>
    </row>
    <row r="264" spans="2:49" s="142" customFormat="1" ht="21" customHeight="1" x14ac:dyDescent="0.25">
      <c r="B264" s="173" t="str">
        <f t="shared" si="40"/>
        <v>0-304L/1D-3.81X769</v>
      </c>
      <c r="C264" s="173" t="s">
        <v>4113</v>
      </c>
      <c r="D264" s="173" t="s">
        <v>13</v>
      </c>
      <c r="E264" s="190" t="s">
        <v>1504</v>
      </c>
      <c r="F264" s="190" t="s">
        <v>1510</v>
      </c>
      <c r="G264" s="173" t="s">
        <v>182</v>
      </c>
      <c r="H264" s="173" t="s">
        <v>127</v>
      </c>
      <c r="I264" s="174">
        <v>3.81</v>
      </c>
      <c r="J264" s="174"/>
      <c r="K264" s="174"/>
      <c r="L264" s="174"/>
      <c r="M264" s="191">
        <v>769</v>
      </c>
      <c r="N264" s="176">
        <v>12.26</v>
      </c>
      <c r="O264" s="176">
        <v>12.26</v>
      </c>
      <c r="P264" s="176"/>
      <c r="Q264" s="178"/>
      <c r="R264" s="179"/>
      <c r="S264" s="179"/>
      <c r="T264" s="177">
        <v>44942</v>
      </c>
      <c r="U264" s="177"/>
      <c r="V264" s="177"/>
      <c r="W264" s="177"/>
      <c r="X264" s="177"/>
      <c r="Y264" s="177"/>
      <c r="Z264" s="177"/>
      <c r="AA264" s="177">
        <v>44940</v>
      </c>
      <c r="AB264" s="177"/>
      <c r="AC264" s="177"/>
      <c r="AD264" s="180" t="s">
        <v>1507</v>
      </c>
      <c r="AE264" s="173" t="s">
        <v>69</v>
      </c>
      <c r="AF264" s="181" t="s">
        <v>142</v>
      </c>
      <c r="AG264" s="192" t="s">
        <v>1508</v>
      </c>
      <c r="AH264" s="198"/>
      <c r="AI264" s="181">
        <v>44849</v>
      </c>
      <c r="AJ264" s="181"/>
      <c r="AK264" s="181">
        <f t="shared" ca="1" si="39"/>
        <v>44958</v>
      </c>
      <c r="AL264" s="173">
        <f t="shared" ca="1" si="41"/>
        <v>109</v>
      </c>
      <c r="AM264" s="173" t="str">
        <f t="shared" si="42"/>
        <v/>
      </c>
      <c r="AN264" s="181"/>
      <c r="AO264" s="190" t="s">
        <v>1509</v>
      </c>
      <c r="AP264" s="176">
        <v>24.504999999999999</v>
      </c>
      <c r="AQ264" s="176">
        <v>24.565000000000001</v>
      </c>
      <c r="AR264" s="176">
        <v>24.590000000000003</v>
      </c>
      <c r="AS264" s="176">
        <v>24.595000000000002</v>
      </c>
      <c r="AT264" s="173" t="str">
        <f t="shared" si="43"/>
        <v/>
      </c>
      <c r="AU264" s="173">
        <v>456</v>
      </c>
      <c r="AW264" s="142" t="s">
        <v>123</v>
      </c>
    </row>
    <row r="265" spans="2:49" s="142" customFormat="1" ht="21" customHeight="1" x14ac:dyDescent="0.25">
      <c r="B265" s="173" t="str">
        <f t="shared" si="40"/>
        <v>0-304/1D-3.76X776</v>
      </c>
      <c r="C265" s="173" t="s">
        <v>4117</v>
      </c>
      <c r="D265" s="173" t="s">
        <v>13</v>
      </c>
      <c r="E265" s="190" t="s">
        <v>2463</v>
      </c>
      <c r="F265" s="190" t="s">
        <v>2464</v>
      </c>
      <c r="G265" s="173">
        <v>304</v>
      </c>
      <c r="H265" s="173" t="s">
        <v>127</v>
      </c>
      <c r="I265" s="174">
        <v>3.76</v>
      </c>
      <c r="J265" s="174"/>
      <c r="K265" s="174"/>
      <c r="L265" s="174"/>
      <c r="M265" s="191">
        <v>776</v>
      </c>
      <c r="N265" s="176">
        <v>10.685</v>
      </c>
      <c r="O265" s="176">
        <v>10.685</v>
      </c>
      <c r="P265" s="176"/>
      <c r="Q265" s="178"/>
      <c r="R265" s="179"/>
      <c r="S265" s="179"/>
      <c r="T265" s="177">
        <v>44942</v>
      </c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80" t="s">
        <v>2448</v>
      </c>
      <c r="AE265" s="173" t="s">
        <v>69</v>
      </c>
      <c r="AF265" s="181" t="s">
        <v>142</v>
      </c>
      <c r="AG265" s="192" t="s">
        <v>1584</v>
      </c>
      <c r="AH265" s="198"/>
      <c r="AI265" s="181">
        <v>44914</v>
      </c>
      <c r="AJ265" s="181"/>
      <c r="AK265" s="181">
        <f t="shared" ca="1" si="39"/>
        <v>44958</v>
      </c>
      <c r="AL265" s="173">
        <f t="shared" ca="1" si="41"/>
        <v>44</v>
      </c>
      <c r="AM265" s="173" t="str">
        <f t="shared" si="42"/>
        <v/>
      </c>
      <c r="AN265" s="181"/>
      <c r="AO265" s="190" t="s">
        <v>2465</v>
      </c>
      <c r="AP265" s="176">
        <v>10.685</v>
      </c>
      <c r="AQ265" s="176">
        <v>10.695</v>
      </c>
      <c r="AR265" s="176">
        <v>10.719999999999999</v>
      </c>
      <c r="AS265" s="176">
        <v>10.725</v>
      </c>
      <c r="AT265" s="173" t="str">
        <f t="shared" si="43"/>
        <v/>
      </c>
      <c r="AU265" s="173">
        <v>462</v>
      </c>
      <c r="AW265" s="142" t="s">
        <v>123</v>
      </c>
    </row>
    <row r="266" spans="2:49" s="142" customFormat="1" ht="21" customHeight="1" x14ac:dyDescent="0.25">
      <c r="B266" s="173" t="str">
        <f t="shared" si="40"/>
        <v>0-304/1D-3.97X770</v>
      </c>
      <c r="C266" s="173" t="s">
        <v>4117</v>
      </c>
      <c r="D266" s="173" t="s">
        <v>13</v>
      </c>
      <c r="E266" s="190" t="s">
        <v>2629</v>
      </c>
      <c r="F266" s="190" t="s">
        <v>2630</v>
      </c>
      <c r="G266" s="173">
        <v>304</v>
      </c>
      <c r="H266" s="173" t="s">
        <v>127</v>
      </c>
      <c r="I266" s="174">
        <v>3.97</v>
      </c>
      <c r="J266" s="174"/>
      <c r="K266" s="174"/>
      <c r="L266" s="174"/>
      <c r="M266" s="191">
        <v>770</v>
      </c>
      <c r="N266" s="176">
        <v>10.515000000000001</v>
      </c>
      <c r="O266" s="176">
        <v>10.515000000000001</v>
      </c>
      <c r="P266" s="176"/>
      <c r="Q266" s="178"/>
      <c r="R266" s="179"/>
      <c r="S266" s="179"/>
      <c r="T266" s="177">
        <v>44942</v>
      </c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80" t="s">
        <v>1507</v>
      </c>
      <c r="AE266" s="173" t="s">
        <v>69</v>
      </c>
      <c r="AF266" s="181" t="s">
        <v>142</v>
      </c>
      <c r="AG266" s="192" t="s">
        <v>1584</v>
      </c>
      <c r="AH266" s="198"/>
      <c r="AI266" s="181">
        <v>44914</v>
      </c>
      <c r="AJ266" s="181"/>
      <c r="AK266" s="181">
        <f t="shared" ca="1" si="39"/>
        <v>44958</v>
      </c>
      <c r="AL266" s="173">
        <f t="shared" ca="1" si="41"/>
        <v>44</v>
      </c>
      <c r="AM266" s="173" t="str">
        <f t="shared" si="42"/>
        <v/>
      </c>
      <c r="AN266" s="181"/>
      <c r="AO266" s="190" t="s">
        <v>2631</v>
      </c>
      <c r="AP266" s="176">
        <v>10.515000000000001</v>
      </c>
      <c r="AQ266" s="176">
        <v>10.525</v>
      </c>
      <c r="AR266" s="176">
        <v>10.549999999999999</v>
      </c>
      <c r="AS266" s="176">
        <v>10.555</v>
      </c>
      <c r="AT266" s="173" t="str">
        <f t="shared" si="43"/>
        <v/>
      </c>
      <c r="AU266" s="173">
        <v>462</v>
      </c>
      <c r="AW266" s="142" t="s">
        <v>123</v>
      </c>
    </row>
    <row r="267" spans="2:49" s="142" customFormat="1" ht="21" customHeight="1" x14ac:dyDescent="0.25">
      <c r="B267" s="173" t="str">
        <f t="shared" si="40"/>
        <v>0-304/1D-3.76X777</v>
      </c>
      <c r="C267" s="173" t="s">
        <v>4117</v>
      </c>
      <c r="D267" s="173" t="s">
        <v>13</v>
      </c>
      <c r="E267" s="190" t="s">
        <v>2466</v>
      </c>
      <c r="F267" s="190" t="s">
        <v>2467</v>
      </c>
      <c r="G267" s="173">
        <v>304</v>
      </c>
      <c r="H267" s="173" t="s">
        <v>127</v>
      </c>
      <c r="I267" s="174">
        <v>3.76</v>
      </c>
      <c r="J267" s="174"/>
      <c r="K267" s="174"/>
      <c r="L267" s="174"/>
      <c r="M267" s="191">
        <v>777</v>
      </c>
      <c r="N267" s="176">
        <v>10.715</v>
      </c>
      <c r="O267" s="176">
        <v>10.715</v>
      </c>
      <c r="P267" s="176"/>
      <c r="Q267" s="178"/>
      <c r="R267" s="179"/>
      <c r="S267" s="179"/>
      <c r="T267" s="177">
        <v>44942</v>
      </c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80" t="s">
        <v>2448</v>
      </c>
      <c r="AE267" s="173" t="s">
        <v>69</v>
      </c>
      <c r="AF267" s="181" t="s">
        <v>142</v>
      </c>
      <c r="AG267" s="192" t="s">
        <v>1584</v>
      </c>
      <c r="AH267" s="198"/>
      <c r="AI267" s="181">
        <v>44914</v>
      </c>
      <c r="AJ267" s="181"/>
      <c r="AK267" s="181">
        <f t="shared" ca="1" si="39"/>
        <v>44958</v>
      </c>
      <c r="AL267" s="173">
        <f t="shared" ca="1" si="41"/>
        <v>44</v>
      </c>
      <c r="AM267" s="173" t="str">
        <f t="shared" si="42"/>
        <v/>
      </c>
      <c r="AN267" s="181"/>
      <c r="AO267" s="190" t="s">
        <v>2465</v>
      </c>
      <c r="AP267" s="176">
        <v>10.715</v>
      </c>
      <c r="AQ267" s="176">
        <v>10.725</v>
      </c>
      <c r="AR267" s="176">
        <v>10.749999999999998</v>
      </c>
      <c r="AS267" s="176">
        <v>10.754999999999999</v>
      </c>
      <c r="AT267" s="173" t="str">
        <f t="shared" si="43"/>
        <v/>
      </c>
      <c r="AU267" s="173">
        <v>462</v>
      </c>
      <c r="AW267" s="142" t="s">
        <v>123</v>
      </c>
    </row>
    <row r="268" spans="2:49" s="142" customFormat="1" ht="21" customHeight="1" x14ac:dyDescent="0.25">
      <c r="B268" s="173" t="str">
        <f t="shared" si="40"/>
        <v>0-J3/1D-2.40X620</v>
      </c>
      <c r="C268" s="173" t="s">
        <v>4122</v>
      </c>
      <c r="D268" s="173" t="s">
        <v>13</v>
      </c>
      <c r="E268" s="190" t="s">
        <v>920</v>
      </c>
      <c r="F268" s="190" t="s">
        <v>921</v>
      </c>
      <c r="G268" s="173" t="s">
        <v>34</v>
      </c>
      <c r="H268" s="173" t="s">
        <v>127</v>
      </c>
      <c r="I268" s="174">
        <v>2.4</v>
      </c>
      <c r="J268" s="174"/>
      <c r="K268" s="174"/>
      <c r="L268" s="174"/>
      <c r="M268" s="191">
        <v>620</v>
      </c>
      <c r="N268" s="176">
        <v>10.022</v>
      </c>
      <c r="O268" s="176">
        <v>10.022</v>
      </c>
      <c r="P268" s="176"/>
      <c r="Q268" s="178"/>
      <c r="R268" s="179"/>
      <c r="S268" s="179"/>
      <c r="T268" s="177">
        <v>44943</v>
      </c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80"/>
      <c r="AE268" s="173" t="s">
        <v>69</v>
      </c>
      <c r="AF268" s="181" t="s">
        <v>119</v>
      </c>
      <c r="AG268" s="181" t="s">
        <v>891</v>
      </c>
      <c r="AH268" s="181">
        <v>44667</v>
      </c>
      <c r="AI268" s="181">
        <v>44706</v>
      </c>
      <c r="AJ268" s="181"/>
      <c r="AK268" s="181">
        <f t="shared" ca="1" si="39"/>
        <v>44958</v>
      </c>
      <c r="AL268" s="173">
        <f t="shared" ca="1" si="41"/>
        <v>252</v>
      </c>
      <c r="AM268" s="173" t="str">
        <f t="shared" si="42"/>
        <v/>
      </c>
      <c r="AN268" s="181" t="s">
        <v>919</v>
      </c>
      <c r="AO268" s="190" t="s">
        <v>916</v>
      </c>
      <c r="AP268" s="176">
        <v>10.022</v>
      </c>
      <c r="AQ268" s="176">
        <v>10.042</v>
      </c>
      <c r="AR268" s="176">
        <v>10.066999999999998</v>
      </c>
      <c r="AS268" s="176">
        <v>10.071999999999999</v>
      </c>
      <c r="AT268" s="173" t="str">
        <f t="shared" si="43"/>
        <v/>
      </c>
      <c r="AU268" s="173">
        <v>437</v>
      </c>
      <c r="AW268" s="142" t="s">
        <v>123</v>
      </c>
    </row>
    <row r="269" spans="2:49" s="142" customFormat="1" ht="21" customHeight="1" x14ac:dyDescent="0.25">
      <c r="B269" s="173" t="str">
        <f t="shared" si="40"/>
        <v>0-304L/FH-1.50X769</v>
      </c>
      <c r="C269" s="173" t="s">
        <v>4123</v>
      </c>
      <c r="D269" s="173" t="s">
        <v>16</v>
      </c>
      <c r="E269" s="190" t="s">
        <v>1504</v>
      </c>
      <c r="F269" s="190" t="s">
        <v>1510</v>
      </c>
      <c r="G269" s="173" t="s">
        <v>182</v>
      </c>
      <c r="H269" s="173" t="s">
        <v>70</v>
      </c>
      <c r="I269" s="174">
        <v>3.81</v>
      </c>
      <c r="J269" s="174">
        <v>1.5</v>
      </c>
      <c r="K269" s="174"/>
      <c r="L269" s="174"/>
      <c r="M269" s="191">
        <v>769</v>
      </c>
      <c r="N269" s="176">
        <v>12.26</v>
      </c>
      <c r="O269" s="176">
        <v>12.3</v>
      </c>
      <c r="P269" s="176"/>
      <c r="Q269" s="178"/>
      <c r="R269" s="179"/>
      <c r="S269" s="179"/>
      <c r="T269" s="177">
        <v>44942</v>
      </c>
      <c r="U269" s="177"/>
      <c r="V269" s="177"/>
      <c r="W269" s="177"/>
      <c r="X269" s="177"/>
      <c r="Y269" s="177"/>
      <c r="Z269" s="177"/>
      <c r="AA269" s="177">
        <v>44940</v>
      </c>
      <c r="AB269" s="177"/>
      <c r="AC269" s="177"/>
      <c r="AD269" s="180" t="s">
        <v>1507</v>
      </c>
      <c r="AE269" s="173" t="s">
        <v>69</v>
      </c>
      <c r="AF269" s="181" t="s">
        <v>142</v>
      </c>
      <c r="AG269" s="192" t="s">
        <v>1508</v>
      </c>
      <c r="AH269" s="198"/>
      <c r="AI269" s="181">
        <v>44849</v>
      </c>
      <c r="AJ269" s="181"/>
      <c r="AK269" s="181">
        <f t="shared" ca="1" si="39"/>
        <v>44958</v>
      </c>
      <c r="AL269" s="173">
        <f t="shared" ca="1" si="41"/>
        <v>109</v>
      </c>
      <c r="AM269" s="173" t="str">
        <f t="shared" si="42"/>
        <v/>
      </c>
      <c r="AN269" s="181"/>
      <c r="AO269" s="190" t="s">
        <v>1509</v>
      </c>
      <c r="AP269" s="176">
        <v>24.504999999999999</v>
      </c>
      <c r="AQ269" s="176">
        <v>24.565000000000001</v>
      </c>
      <c r="AR269" s="176">
        <v>24.590000000000003</v>
      </c>
      <c r="AS269" s="176">
        <v>24.595000000000002</v>
      </c>
      <c r="AT269" s="173" t="str">
        <f t="shared" si="43"/>
        <v/>
      </c>
      <c r="AU269" s="173">
        <v>456</v>
      </c>
      <c r="AW269" s="142" t="s">
        <v>123</v>
      </c>
    </row>
    <row r="270" spans="2:49" s="142" customFormat="1" ht="21" customHeight="1" x14ac:dyDescent="0.25">
      <c r="B270" s="173" t="str">
        <f t="shared" si="40"/>
        <v>0-304L/1D-3.79X768</v>
      </c>
      <c r="C270" s="173" t="s">
        <v>4124</v>
      </c>
      <c r="D270" s="173" t="s">
        <v>13</v>
      </c>
      <c r="E270" s="190" t="s">
        <v>1534</v>
      </c>
      <c r="F270" s="190" t="s">
        <v>1535</v>
      </c>
      <c r="G270" s="173" t="s">
        <v>182</v>
      </c>
      <c r="H270" s="173" t="s">
        <v>127</v>
      </c>
      <c r="I270" s="174">
        <v>3.79</v>
      </c>
      <c r="J270" s="174"/>
      <c r="K270" s="174"/>
      <c r="L270" s="174"/>
      <c r="M270" s="191">
        <v>768</v>
      </c>
      <c r="N270" s="176">
        <v>12.27</v>
      </c>
      <c r="O270" s="176">
        <v>12.27</v>
      </c>
      <c r="P270" s="176"/>
      <c r="Q270" s="178"/>
      <c r="R270" s="179"/>
      <c r="S270" s="179"/>
      <c r="T270" s="177">
        <v>44943</v>
      </c>
      <c r="U270" s="177"/>
      <c r="V270" s="177"/>
      <c r="W270" s="177"/>
      <c r="X270" s="177"/>
      <c r="Y270" s="177"/>
      <c r="Z270" s="177"/>
      <c r="AA270" s="177">
        <v>44940</v>
      </c>
      <c r="AB270" s="177"/>
      <c r="AC270" s="177"/>
      <c r="AD270" s="180" t="s">
        <v>1507</v>
      </c>
      <c r="AE270" s="173" t="s">
        <v>69</v>
      </c>
      <c r="AF270" s="181" t="s">
        <v>142</v>
      </c>
      <c r="AG270" s="192" t="s">
        <v>1508</v>
      </c>
      <c r="AH270" s="198"/>
      <c r="AI270" s="181">
        <v>44849</v>
      </c>
      <c r="AJ270" s="181"/>
      <c r="AK270" s="181">
        <f t="shared" ca="1" si="39"/>
        <v>44958</v>
      </c>
      <c r="AL270" s="173">
        <f t="shared" ca="1" si="41"/>
        <v>109</v>
      </c>
      <c r="AM270" s="173" t="str">
        <f t="shared" si="42"/>
        <v/>
      </c>
      <c r="AN270" s="181"/>
      <c r="AO270" s="190" t="s">
        <v>1537</v>
      </c>
      <c r="AP270" s="176">
        <v>24.545000000000002</v>
      </c>
      <c r="AQ270" s="176">
        <v>24.605</v>
      </c>
      <c r="AR270" s="176">
        <v>24.630000000000003</v>
      </c>
      <c r="AS270" s="176">
        <v>24.635000000000002</v>
      </c>
      <c r="AT270" s="173" t="str">
        <f t="shared" si="43"/>
        <v/>
      </c>
      <c r="AU270" s="173">
        <v>456</v>
      </c>
      <c r="AW270" s="142" t="s">
        <v>123</v>
      </c>
    </row>
    <row r="271" spans="2:49" s="142" customFormat="1" ht="21" customHeight="1" x14ac:dyDescent="0.25">
      <c r="B271" s="173" t="str">
        <f t="shared" si="40"/>
        <v>0-304L/FH-1.50X770</v>
      </c>
      <c r="C271" s="173" t="s">
        <v>4123</v>
      </c>
      <c r="D271" s="173" t="s">
        <v>16</v>
      </c>
      <c r="E271" s="190" t="s">
        <v>1526</v>
      </c>
      <c r="F271" s="190" t="s">
        <v>1529</v>
      </c>
      <c r="G271" s="173" t="s">
        <v>182</v>
      </c>
      <c r="H271" s="173" t="s">
        <v>70</v>
      </c>
      <c r="I271" s="174">
        <v>3.82</v>
      </c>
      <c r="J271" s="174">
        <v>1.5</v>
      </c>
      <c r="K271" s="174"/>
      <c r="L271" s="174"/>
      <c r="M271" s="191">
        <v>770</v>
      </c>
      <c r="N271" s="176">
        <v>12.3</v>
      </c>
      <c r="O271" s="176">
        <v>12.315</v>
      </c>
      <c r="P271" s="176"/>
      <c r="Q271" s="178"/>
      <c r="R271" s="179"/>
      <c r="S271" s="179"/>
      <c r="T271" s="177">
        <v>44942</v>
      </c>
      <c r="U271" s="177"/>
      <c r="V271" s="177"/>
      <c r="W271" s="177"/>
      <c r="X271" s="177"/>
      <c r="Y271" s="177"/>
      <c r="Z271" s="177"/>
      <c r="AA271" s="177">
        <v>44933</v>
      </c>
      <c r="AB271" s="177"/>
      <c r="AC271" s="177"/>
      <c r="AD271" s="180" t="s">
        <v>1507</v>
      </c>
      <c r="AE271" s="173" t="s">
        <v>69</v>
      </c>
      <c r="AF271" s="181" t="s">
        <v>142</v>
      </c>
      <c r="AG271" s="192" t="s">
        <v>1508</v>
      </c>
      <c r="AH271" s="198"/>
      <c r="AI271" s="181">
        <v>44849</v>
      </c>
      <c r="AJ271" s="181"/>
      <c r="AK271" s="181">
        <f t="shared" ca="1" si="39"/>
        <v>44958</v>
      </c>
      <c r="AL271" s="173">
        <f t="shared" ca="1" si="41"/>
        <v>109</v>
      </c>
      <c r="AM271" s="173" t="str">
        <f t="shared" si="42"/>
        <v/>
      </c>
      <c r="AN271" s="181"/>
      <c r="AO271" s="190" t="s">
        <v>1528</v>
      </c>
      <c r="AP271" s="176">
        <v>24.565000000000001</v>
      </c>
      <c r="AQ271" s="176">
        <v>24.625</v>
      </c>
      <c r="AR271" s="176">
        <v>24.650000000000002</v>
      </c>
      <c r="AS271" s="176">
        <v>24.655000000000001</v>
      </c>
      <c r="AT271" s="173" t="str">
        <f t="shared" si="43"/>
        <v/>
      </c>
      <c r="AU271" s="173">
        <v>456</v>
      </c>
      <c r="AW271" s="142" t="s">
        <v>123</v>
      </c>
    </row>
    <row r="272" spans="2:49" s="142" customFormat="1" ht="21" customHeight="1" x14ac:dyDescent="0.25">
      <c r="B272" s="173" t="str">
        <f t="shared" si="40"/>
        <v>0-304L/1D-2.89X767</v>
      </c>
      <c r="C272" s="173" t="s">
        <v>4124</v>
      </c>
      <c r="D272" s="173" t="s">
        <v>13</v>
      </c>
      <c r="E272" s="190" t="s">
        <v>4125</v>
      </c>
      <c r="F272" s="190" t="s">
        <v>4126</v>
      </c>
      <c r="G272" s="173" t="s">
        <v>182</v>
      </c>
      <c r="H272" s="173" t="s">
        <v>127</v>
      </c>
      <c r="I272" s="174">
        <v>2.89</v>
      </c>
      <c r="J272" s="174"/>
      <c r="K272" s="174"/>
      <c r="L272" s="174"/>
      <c r="M272" s="191">
        <v>767</v>
      </c>
      <c r="N272" s="176">
        <v>8.48</v>
      </c>
      <c r="O272" s="176">
        <v>8.48</v>
      </c>
      <c r="P272" s="176"/>
      <c r="Q272" s="178"/>
      <c r="R272" s="179"/>
      <c r="S272" s="179"/>
      <c r="T272" s="177">
        <v>44943</v>
      </c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80" t="s">
        <v>2448</v>
      </c>
      <c r="AE272" s="173" t="s">
        <v>69</v>
      </c>
      <c r="AF272" s="181" t="s">
        <v>142</v>
      </c>
      <c r="AG272" s="192" t="s">
        <v>1584</v>
      </c>
      <c r="AH272" s="198"/>
      <c r="AI272" s="181">
        <v>44914</v>
      </c>
      <c r="AJ272" s="181"/>
      <c r="AK272" s="181">
        <f t="shared" ca="1" si="39"/>
        <v>44958</v>
      </c>
      <c r="AL272" s="173">
        <f t="shared" ca="1" si="41"/>
        <v>44</v>
      </c>
      <c r="AM272" s="173" t="str">
        <f t="shared" si="42"/>
        <v/>
      </c>
      <c r="AN272" s="181"/>
      <c r="AO272" s="190" t="s">
        <v>4096</v>
      </c>
      <c r="AP272" s="176">
        <v>8.48</v>
      </c>
      <c r="AQ272" s="176">
        <v>8.49</v>
      </c>
      <c r="AR272" s="176">
        <v>8.5149999999999988</v>
      </c>
      <c r="AS272" s="176">
        <v>8.52</v>
      </c>
      <c r="AT272" s="173" t="str">
        <f t="shared" si="43"/>
        <v/>
      </c>
      <c r="AU272" s="173">
        <v>462</v>
      </c>
      <c r="AW272" s="142" t="s">
        <v>123</v>
      </c>
    </row>
    <row r="273" spans="2:49" s="142" customFormat="1" ht="21" customHeight="1" x14ac:dyDescent="0.25">
      <c r="B273" s="173" t="str">
        <f t="shared" si="40"/>
        <v>0-304L/FH-1.50X774</v>
      </c>
      <c r="C273" s="173" t="s">
        <v>4123</v>
      </c>
      <c r="D273" s="173" t="s">
        <v>16</v>
      </c>
      <c r="E273" s="190" t="s">
        <v>4115</v>
      </c>
      <c r="F273" s="190" t="s">
        <v>4116</v>
      </c>
      <c r="G273" s="173" t="s">
        <v>182</v>
      </c>
      <c r="H273" s="173" t="s">
        <v>70</v>
      </c>
      <c r="I273" s="174">
        <v>3.88</v>
      </c>
      <c r="J273" s="174">
        <v>1.5</v>
      </c>
      <c r="K273" s="174"/>
      <c r="L273" s="174"/>
      <c r="M273" s="191">
        <v>774</v>
      </c>
      <c r="N273" s="176">
        <v>12.234999999999999</v>
      </c>
      <c r="O273" s="176">
        <v>12.25</v>
      </c>
      <c r="P273" s="176"/>
      <c r="Q273" s="178"/>
      <c r="R273" s="179"/>
      <c r="S273" s="179"/>
      <c r="T273" s="177">
        <v>44942</v>
      </c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80" t="s">
        <v>2448</v>
      </c>
      <c r="AE273" s="173" t="s">
        <v>69</v>
      </c>
      <c r="AF273" s="181" t="s">
        <v>142</v>
      </c>
      <c r="AG273" s="192" t="s">
        <v>1584</v>
      </c>
      <c r="AH273" s="198"/>
      <c r="AI273" s="181">
        <v>44914</v>
      </c>
      <c r="AJ273" s="181"/>
      <c r="AK273" s="181">
        <f t="shared" ca="1" si="39"/>
        <v>44958</v>
      </c>
      <c r="AL273" s="173">
        <f t="shared" ca="1" si="41"/>
        <v>44</v>
      </c>
      <c r="AM273" s="173" t="str">
        <f t="shared" si="42"/>
        <v/>
      </c>
      <c r="AN273" s="181"/>
      <c r="AO273" s="190" t="s">
        <v>2452</v>
      </c>
      <c r="AP273" s="176">
        <v>12.234999999999999</v>
      </c>
      <c r="AQ273" s="176">
        <v>12.244999999999999</v>
      </c>
      <c r="AR273" s="176">
        <v>12.269999999999998</v>
      </c>
      <c r="AS273" s="176">
        <v>12.274999999999999</v>
      </c>
      <c r="AT273" s="173" t="str">
        <f t="shared" si="43"/>
        <v/>
      </c>
      <c r="AU273" s="173">
        <v>462</v>
      </c>
      <c r="AW273" s="142" t="s">
        <v>123</v>
      </c>
    </row>
    <row r="274" spans="2:49" s="142" customFormat="1" ht="21" customHeight="1" x14ac:dyDescent="0.25">
      <c r="B274" s="173" t="str">
        <f t="shared" si="40"/>
        <v>0-304L/1D-3.80X768.5</v>
      </c>
      <c r="C274" s="173" t="s">
        <v>4124</v>
      </c>
      <c r="D274" s="173" t="s">
        <v>13</v>
      </c>
      <c r="E274" s="190" t="s">
        <v>1530</v>
      </c>
      <c r="F274" s="190" t="s">
        <v>1533</v>
      </c>
      <c r="G274" s="173" t="s">
        <v>182</v>
      </c>
      <c r="H274" s="173" t="s">
        <v>127</v>
      </c>
      <c r="I274" s="174">
        <v>3.8</v>
      </c>
      <c r="J274" s="174"/>
      <c r="K274" s="174"/>
      <c r="L274" s="174"/>
      <c r="M274" s="191">
        <f>1537/2</f>
        <v>768.5</v>
      </c>
      <c r="N274" s="176">
        <v>12.34</v>
      </c>
      <c r="O274" s="176">
        <v>12.34</v>
      </c>
      <c r="P274" s="176"/>
      <c r="Q274" s="178"/>
      <c r="R274" s="179"/>
      <c r="S274" s="179"/>
      <c r="T274" s="177">
        <v>44943</v>
      </c>
      <c r="U274" s="177"/>
      <c r="V274" s="177"/>
      <c r="W274" s="177"/>
      <c r="X274" s="177"/>
      <c r="Y274" s="177"/>
      <c r="Z274" s="177"/>
      <c r="AA274" s="177">
        <v>44935</v>
      </c>
      <c r="AB274" s="177"/>
      <c r="AC274" s="177"/>
      <c r="AD274" s="180" t="s">
        <v>1507</v>
      </c>
      <c r="AE274" s="173" t="s">
        <v>69</v>
      </c>
      <c r="AF274" s="181" t="s">
        <v>142</v>
      </c>
      <c r="AG274" s="192" t="s">
        <v>1508</v>
      </c>
      <c r="AH274" s="198"/>
      <c r="AI274" s="181">
        <v>44849</v>
      </c>
      <c r="AJ274" s="181"/>
      <c r="AK274" s="181">
        <f t="shared" ca="1" si="39"/>
        <v>44958</v>
      </c>
      <c r="AL274" s="173">
        <f t="shared" ca="1" si="41"/>
        <v>109</v>
      </c>
      <c r="AM274" s="173" t="str">
        <f t="shared" si="42"/>
        <v/>
      </c>
      <c r="AN274" s="181"/>
      <c r="AO274" s="190" t="s">
        <v>1532</v>
      </c>
      <c r="AP274" s="176">
        <v>24.57</v>
      </c>
      <c r="AQ274" s="176">
        <v>24.63</v>
      </c>
      <c r="AR274" s="176">
        <v>24.655000000000001</v>
      </c>
      <c r="AS274" s="176">
        <v>24.66</v>
      </c>
      <c r="AT274" s="173" t="str">
        <f t="shared" si="43"/>
        <v/>
      </c>
      <c r="AU274" s="173">
        <v>456</v>
      </c>
      <c r="AW274" s="142" t="s">
        <v>123</v>
      </c>
    </row>
    <row r="275" spans="2:49" s="142" customFormat="1" ht="21" customHeight="1" x14ac:dyDescent="0.25">
      <c r="B275" s="173" t="str">
        <f t="shared" si="40"/>
        <v>0-304L/FH-1.50X768</v>
      </c>
      <c r="C275" s="173" t="s">
        <v>4123</v>
      </c>
      <c r="D275" s="173" t="s">
        <v>16</v>
      </c>
      <c r="E275" s="190" t="s">
        <v>1534</v>
      </c>
      <c r="F275" s="190" t="s">
        <v>1535</v>
      </c>
      <c r="G275" s="173" t="s">
        <v>182</v>
      </c>
      <c r="H275" s="173" t="s">
        <v>70</v>
      </c>
      <c r="I275" s="174">
        <v>3.79</v>
      </c>
      <c r="J275" s="174">
        <v>1.5</v>
      </c>
      <c r="K275" s="174"/>
      <c r="L275" s="174"/>
      <c r="M275" s="191">
        <v>768</v>
      </c>
      <c r="N275" s="176">
        <v>12.27</v>
      </c>
      <c r="O275" s="176">
        <v>12.28</v>
      </c>
      <c r="P275" s="176"/>
      <c r="Q275" s="178"/>
      <c r="R275" s="179"/>
      <c r="S275" s="179"/>
      <c r="T275" s="177">
        <v>44943</v>
      </c>
      <c r="U275" s="177"/>
      <c r="V275" s="177"/>
      <c r="W275" s="177"/>
      <c r="X275" s="177"/>
      <c r="Y275" s="177"/>
      <c r="Z275" s="177"/>
      <c r="AA275" s="177">
        <v>44940</v>
      </c>
      <c r="AB275" s="177"/>
      <c r="AC275" s="177"/>
      <c r="AD275" s="180" t="s">
        <v>1507</v>
      </c>
      <c r="AE275" s="173" t="s">
        <v>69</v>
      </c>
      <c r="AF275" s="181" t="s">
        <v>142</v>
      </c>
      <c r="AG275" s="192" t="s">
        <v>1508</v>
      </c>
      <c r="AH275" s="198"/>
      <c r="AI275" s="181">
        <v>44849</v>
      </c>
      <c r="AJ275" s="181"/>
      <c r="AK275" s="181">
        <f t="shared" ca="1" si="39"/>
        <v>44958</v>
      </c>
      <c r="AL275" s="173">
        <f t="shared" ca="1" si="41"/>
        <v>109</v>
      </c>
      <c r="AM275" s="173" t="str">
        <f t="shared" si="42"/>
        <v/>
      </c>
      <c r="AN275" s="181"/>
      <c r="AO275" s="190" t="s">
        <v>1537</v>
      </c>
      <c r="AP275" s="176">
        <v>24.545000000000002</v>
      </c>
      <c r="AQ275" s="176">
        <v>24.605</v>
      </c>
      <c r="AR275" s="176">
        <v>24.630000000000003</v>
      </c>
      <c r="AS275" s="176">
        <v>24.635000000000002</v>
      </c>
      <c r="AT275" s="173" t="str">
        <f t="shared" si="43"/>
        <v/>
      </c>
      <c r="AU275" s="173">
        <v>456</v>
      </c>
      <c r="AW275" s="142" t="s">
        <v>123</v>
      </c>
    </row>
    <row r="276" spans="2:49" s="142" customFormat="1" ht="21" customHeight="1" x14ac:dyDescent="0.25">
      <c r="B276" s="173" t="str">
        <f t="shared" si="40"/>
        <v>0-304L/1D-3.11X643</v>
      </c>
      <c r="C276" s="173" t="s">
        <v>4122</v>
      </c>
      <c r="D276" s="173" t="s">
        <v>13</v>
      </c>
      <c r="E276" s="190" t="s">
        <v>4127</v>
      </c>
      <c r="F276" s="190" t="s">
        <v>4128</v>
      </c>
      <c r="G276" s="173" t="s">
        <v>182</v>
      </c>
      <c r="H276" s="173" t="s">
        <v>127</v>
      </c>
      <c r="I276" s="174">
        <v>3.11</v>
      </c>
      <c r="J276" s="174"/>
      <c r="K276" s="174"/>
      <c r="L276" s="174"/>
      <c r="M276" s="191">
        <v>643</v>
      </c>
      <c r="N276" s="176">
        <v>10.605</v>
      </c>
      <c r="O276" s="176">
        <v>10.605</v>
      </c>
      <c r="P276" s="176"/>
      <c r="Q276" s="178"/>
      <c r="R276" s="179"/>
      <c r="S276" s="179"/>
      <c r="T276" s="177">
        <v>44943</v>
      </c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80" t="s">
        <v>2448</v>
      </c>
      <c r="AE276" s="173" t="s">
        <v>69</v>
      </c>
      <c r="AF276" s="181" t="s">
        <v>142</v>
      </c>
      <c r="AG276" s="192" t="s">
        <v>1657</v>
      </c>
      <c r="AH276" s="198"/>
      <c r="AI276" s="181">
        <v>44849</v>
      </c>
      <c r="AJ276" s="181"/>
      <c r="AK276" s="181">
        <f t="shared" ca="1" si="39"/>
        <v>44958</v>
      </c>
      <c r="AL276" s="173">
        <f t="shared" ca="1" si="41"/>
        <v>109</v>
      </c>
      <c r="AM276" s="173" t="str">
        <f t="shared" si="42"/>
        <v/>
      </c>
      <c r="AN276" s="181"/>
      <c r="AO276" s="190" t="s">
        <v>4129</v>
      </c>
      <c r="AP276" s="176">
        <v>10.605</v>
      </c>
      <c r="AQ276" s="176">
        <v>10.615</v>
      </c>
      <c r="AR276" s="176">
        <v>10.639999999999999</v>
      </c>
      <c r="AS276" s="176">
        <v>10.645</v>
      </c>
      <c r="AT276" s="173" t="str">
        <f t="shared" si="43"/>
        <v/>
      </c>
      <c r="AU276" s="173">
        <v>456</v>
      </c>
      <c r="AW276" s="142" t="s">
        <v>123</v>
      </c>
    </row>
    <row r="277" spans="2:49" s="142" customFormat="1" ht="21" customHeight="1" x14ac:dyDescent="0.25">
      <c r="B277" s="173" t="str">
        <f t="shared" si="40"/>
        <v>0-304L/1D-3.81X768</v>
      </c>
      <c r="C277" s="173" t="s">
        <v>4124</v>
      </c>
      <c r="D277" s="173" t="s">
        <v>13</v>
      </c>
      <c r="E277" s="190" t="s">
        <v>1504</v>
      </c>
      <c r="F277" s="190" t="s">
        <v>1505</v>
      </c>
      <c r="G277" s="173" t="s">
        <v>182</v>
      </c>
      <c r="H277" s="173" t="s">
        <v>127</v>
      </c>
      <c r="I277" s="174">
        <v>3.81</v>
      </c>
      <c r="J277" s="174"/>
      <c r="K277" s="174"/>
      <c r="L277" s="174"/>
      <c r="M277" s="191">
        <v>768</v>
      </c>
      <c r="N277" s="176">
        <v>12.26</v>
      </c>
      <c r="O277" s="176">
        <v>12.26</v>
      </c>
      <c r="P277" s="176"/>
      <c r="Q277" s="178"/>
      <c r="R277" s="179"/>
      <c r="S277" s="179"/>
      <c r="T277" s="177">
        <v>44943</v>
      </c>
      <c r="U277" s="177"/>
      <c r="V277" s="177"/>
      <c r="W277" s="177"/>
      <c r="X277" s="177"/>
      <c r="Y277" s="177"/>
      <c r="Z277" s="177"/>
      <c r="AA277" s="177">
        <v>44940</v>
      </c>
      <c r="AB277" s="177"/>
      <c r="AC277" s="177"/>
      <c r="AD277" s="180" t="s">
        <v>1507</v>
      </c>
      <c r="AE277" s="173" t="s">
        <v>69</v>
      </c>
      <c r="AF277" s="181" t="s">
        <v>142</v>
      </c>
      <c r="AG277" s="192" t="s">
        <v>1508</v>
      </c>
      <c r="AH277" s="198"/>
      <c r="AI277" s="181">
        <v>44849</v>
      </c>
      <c r="AJ277" s="181"/>
      <c r="AK277" s="181">
        <f t="shared" ca="1" si="39"/>
        <v>44958</v>
      </c>
      <c r="AL277" s="173">
        <f t="shared" ca="1" si="41"/>
        <v>109</v>
      </c>
      <c r="AM277" s="173" t="str">
        <f t="shared" si="42"/>
        <v/>
      </c>
      <c r="AN277" s="181"/>
      <c r="AO277" s="190" t="s">
        <v>1509</v>
      </c>
      <c r="AP277" s="176">
        <v>24.504999999999999</v>
      </c>
      <c r="AQ277" s="176">
        <v>24.565000000000001</v>
      </c>
      <c r="AR277" s="176">
        <v>24.590000000000003</v>
      </c>
      <c r="AS277" s="176">
        <v>24.595000000000002</v>
      </c>
      <c r="AT277" s="173" t="str">
        <f t="shared" si="43"/>
        <v/>
      </c>
      <c r="AU277" s="173">
        <v>456</v>
      </c>
      <c r="AW277" s="142" t="s">
        <v>123</v>
      </c>
    </row>
    <row r="278" spans="2:49" s="142" customFormat="1" ht="21" customHeight="1" x14ac:dyDescent="0.25">
      <c r="B278" s="173" t="str">
        <f t="shared" si="40"/>
        <v>0-304L/FH-1.00X767</v>
      </c>
      <c r="C278" s="173" t="s">
        <v>4123</v>
      </c>
      <c r="D278" s="173" t="s">
        <v>16</v>
      </c>
      <c r="E278" s="190" t="s">
        <v>4125</v>
      </c>
      <c r="F278" s="190" t="s">
        <v>4126</v>
      </c>
      <c r="G278" s="173" t="s">
        <v>182</v>
      </c>
      <c r="H278" s="173" t="s">
        <v>70</v>
      </c>
      <c r="I278" s="174">
        <v>2.89</v>
      </c>
      <c r="J278" s="174">
        <v>1</v>
      </c>
      <c r="K278" s="174"/>
      <c r="L278" s="174"/>
      <c r="M278" s="191">
        <v>767</v>
      </c>
      <c r="N278" s="176">
        <v>8.48</v>
      </c>
      <c r="O278" s="176">
        <v>8.4700000000000006</v>
      </c>
      <c r="P278" s="176"/>
      <c r="Q278" s="178"/>
      <c r="R278" s="179"/>
      <c r="S278" s="179"/>
      <c r="T278" s="177">
        <v>44943</v>
      </c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80" t="s">
        <v>2448</v>
      </c>
      <c r="AE278" s="173" t="s">
        <v>69</v>
      </c>
      <c r="AF278" s="181" t="s">
        <v>142</v>
      </c>
      <c r="AG278" s="192" t="s">
        <v>1584</v>
      </c>
      <c r="AH278" s="198"/>
      <c r="AI278" s="181">
        <v>44914</v>
      </c>
      <c r="AJ278" s="181"/>
      <c r="AK278" s="181">
        <f t="shared" ca="1" si="39"/>
        <v>44958</v>
      </c>
      <c r="AL278" s="173">
        <f t="shared" ca="1" si="41"/>
        <v>44</v>
      </c>
      <c r="AM278" s="173" t="str">
        <f t="shared" si="42"/>
        <v/>
      </c>
      <c r="AN278" s="181"/>
      <c r="AO278" s="190" t="s">
        <v>4096</v>
      </c>
      <c r="AP278" s="176">
        <v>8.48</v>
      </c>
      <c r="AQ278" s="176">
        <v>8.49</v>
      </c>
      <c r="AR278" s="176">
        <v>8.5149999999999988</v>
      </c>
      <c r="AS278" s="176">
        <v>8.52</v>
      </c>
      <c r="AT278" s="173" t="str">
        <f t="shared" si="43"/>
        <v/>
      </c>
      <c r="AU278" s="173">
        <v>462</v>
      </c>
      <c r="AW278" s="142" t="s">
        <v>123</v>
      </c>
    </row>
    <row r="279" spans="2:49" s="142" customFormat="1" ht="21" customHeight="1" x14ac:dyDescent="0.25">
      <c r="B279" s="173" t="str">
        <f t="shared" si="40"/>
        <v>0-304L/1D-3.79X768</v>
      </c>
      <c r="C279" s="173" t="s">
        <v>4124</v>
      </c>
      <c r="D279" s="173" t="s">
        <v>13</v>
      </c>
      <c r="E279" s="190" t="s">
        <v>1541</v>
      </c>
      <c r="F279" s="190" t="s">
        <v>1542</v>
      </c>
      <c r="G279" s="173" t="s">
        <v>182</v>
      </c>
      <c r="H279" s="173" t="s">
        <v>127</v>
      </c>
      <c r="I279" s="174">
        <v>3.79</v>
      </c>
      <c r="J279" s="174"/>
      <c r="K279" s="174"/>
      <c r="L279" s="174"/>
      <c r="M279" s="191">
        <v>768</v>
      </c>
      <c r="N279" s="176">
        <v>12.244999999999999</v>
      </c>
      <c r="O279" s="176">
        <v>12.244999999999999</v>
      </c>
      <c r="P279" s="176"/>
      <c r="Q279" s="178"/>
      <c r="R279" s="179"/>
      <c r="S279" s="179"/>
      <c r="T279" s="177">
        <v>44943</v>
      </c>
      <c r="U279" s="177"/>
      <c r="V279" s="177"/>
      <c r="W279" s="177"/>
      <c r="X279" s="177"/>
      <c r="Y279" s="177"/>
      <c r="Z279" s="177"/>
      <c r="AA279" s="177">
        <v>44940</v>
      </c>
      <c r="AB279" s="177"/>
      <c r="AC279" s="177"/>
      <c r="AD279" s="180" t="s">
        <v>1507</v>
      </c>
      <c r="AE279" s="173" t="s">
        <v>69</v>
      </c>
      <c r="AF279" s="181" t="s">
        <v>142</v>
      </c>
      <c r="AG279" s="192" t="s">
        <v>1508</v>
      </c>
      <c r="AH279" s="198"/>
      <c r="AI279" s="181">
        <v>44849</v>
      </c>
      <c r="AJ279" s="181"/>
      <c r="AK279" s="181">
        <f t="shared" ca="1" si="39"/>
        <v>44958</v>
      </c>
      <c r="AL279" s="173">
        <f t="shared" ca="1" si="41"/>
        <v>109</v>
      </c>
      <c r="AM279" s="173" t="str">
        <f t="shared" si="42"/>
        <v/>
      </c>
      <c r="AN279" s="181"/>
      <c r="AO279" s="190" t="s">
        <v>1543</v>
      </c>
      <c r="AP279" s="176">
        <v>24.51</v>
      </c>
      <c r="AQ279" s="176">
        <v>24.57</v>
      </c>
      <c r="AR279" s="176">
        <v>24.595000000000002</v>
      </c>
      <c r="AS279" s="176">
        <v>24.6</v>
      </c>
      <c r="AT279" s="173" t="str">
        <f t="shared" si="43"/>
        <v/>
      </c>
      <c r="AU279" s="173">
        <v>456</v>
      </c>
      <c r="AW279" s="142" t="s">
        <v>123</v>
      </c>
    </row>
    <row r="280" spans="2:49" s="142" customFormat="1" ht="21" customHeight="1" x14ac:dyDescent="0.25">
      <c r="B280" s="173" t="str">
        <f t="shared" si="40"/>
        <v>0-304/FH-1.00X770</v>
      </c>
      <c r="C280" s="173" t="s">
        <v>4123</v>
      </c>
      <c r="D280" s="173" t="s">
        <v>16</v>
      </c>
      <c r="E280" s="190" t="s">
        <v>2632</v>
      </c>
      <c r="F280" s="190" t="s">
        <v>2633</v>
      </c>
      <c r="G280" s="173">
        <v>304</v>
      </c>
      <c r="H280" s="173" t="s">
        <v>70</v>
      </c>
      <c r="I280" s="174">
        <v>2.9</v>
      </c>
      <c r="J280" s="174">
        <v>1</v>
      </c>
      <c r="K280" s="174"/>
      <c r="L280" s="174"/>
      <c r="M280" s="191">
        <v>770</v>
      </c>
      <c r="N280" s="176">
        <v>10.535</v>
      </c>
      <c r="O280" s="176">
        <v>10.515000000000001</v>
      </c>
      <c r="P280" s="176"/>
      <c r="Q280" s="178"/>
      <c r="R280" s="179"/>
      <c r="S280" s="179"/>
      <c r="T280" s="177">
        <v>44942</v>
      </c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80" t="s">
        <v>2448</v>
      </c>
      <c r="AE280" s="173" t="s">
        <v>69</v>
      </c>
      <c r="AF280" s="181" t="s">
        <v>142</v>
      </c>
      <c r="AG280" s="192" t="s">
        <v>1584</v>
      </c>
      <c r="AH280" s="198"/>
      <c r="AI280" s="181">
        <v>44914</v>
      </c>
      <c r="AJ280" s="181"/>
      <c r="AK280" s="181">
        <f t="shared" ca="1" si="39"/>
        <v>44958</v>
      </c>
      <c r="AL280" s="173">
        <f t="shared" ca="1" si="41"/>
        <v>44</v>
      </c>
      <c r="AM280" s="173" t="str">
        <f t="shared" si="42"/>
        <v/>
      </c>
      <c r="AN280" s="181"/>
      <c r="AO280" s="190" t="s">
        <v>2634</v>
      </c>
      <c r="AP280" s="176">
        <v>10.535</v>
      </c>
      <c r="AQ280" s="176">
        <v>10.545</v>
      </c>
      <c r="AR280" s="176">
        <v>10.569999999999999</v>
      </c>
      <c r="AS280" s="176">
        <v>10.574999999999999</v>
      </c>
      <c r="AT280" s="173" t="str">
        <f t="shared" si="43"/>
        <v/>
      </c>
      <c r="AU280" s="173">
        <v>462</v>
      </c>
      <c r="AW280" s="142" t="s">
        <v>123</v>
      </c>
    </row>
    <row r="281" spans="2:49" s="142" customFormat="1" ht="21" customHeight="1" x14ac:dyDescent="0.25">
      <c r="B281" s="173" t="str">
        <f t="shared" si="40"/>
        <v>0-304/1D-2.90X769</v>
      </c>
      <c r="C281" s="173" t="s">
        <v>4124</v>
      </c>
      <c r="D281" s="173" t="s">
        <v>13</v>
      </c>
      <c r="E281" s="190" t="s">
        <v>4130</v>
      </c>
      <c r="F281" s="190" t="s">
        <v>4131</v>
      </c>
      <c r="G281" s="173">
        <v>304</v>
      </c>
      <c r="H281" s="173" t="s">
        <v>127</v>
      </c>
      <c r="I281" s="174">
        <v>2.9</v>
      </c>
      <c r="J281" s="174"/>
      <c r="K281" s="174"/>
      <c r="L281" s="174"/>
      <c r="M281" s="191">
        <v>769</v>
      </c>
      <c r="N281" s="176">
        <v>10.595000000000001</v>
      </c>
      <c r="O281" s="176">
        <v>10.595000000000001</v>
      </c>
      <c r="P281" s="176"/>
      <c r="Q281" s="178"/>
      <c r="R281" s="179"/>
      <c r="S281" s="179"/>
      <c r="T281" s="177">
        <v>44943</v>
      </c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80" t="s">
        <v>2448</v>
      </c>
      <c r="AE281" s="173" t="s">
        <v>69</v>
      </c>
      <c r="AF281" s="181" t="s">
        <v>142</v>
      </c>
      <c r="AG281" s="192" t="s">
        <v>1584</v>
      </c>
      <c r="AH281" s="198"/>
      <c r="AI281" s="181">
        <v>44914</v>
      </c>
      <c r="AJ281" s="181"/>
      <c r="AK281" s="181">
        <f t="shared" ca="1" si="39"/>
        <v>44958</v>
      </c>
      <c r="AL281" s="173">
        <f t="shared" ca="1" si="41"/>
        <v>44</v>
      </c>
      <c r="AM281" s="173" t="str">
        <f t="shared" si="42"/>
        <v/>
      </c>
      <c r="AN281" s="181"/>
      <c r="AO281" s="190" t="s">
        <v>4132</v>
      </c>
      <c r="AP281" s="176">
        <v>10.595000000000001</v>
      </c>
      <c r="AQ281" s="176">
        <v>10.605</v>
      </c>
      <c r="AR281" s="176">
        <v>10.629999999999999</v>
      </c>
      <c r="AS281" s="176">
        <v>10.635</v>
      </c>
      <c r="AT281" s="173" t="str">
        <f t="shared" si="43"/>
        <v/>
      </c>
      <c r="AU281" s="173">
        <v>462</v>
      </c>
      <c r="AW281" s="142" t="s">
        <v>123</v>
      </c>
    </row>
    <row r="282" spans="2:49" s="142" customFormat="1" ht="21" customHeight="1" x14ac:dyDescent="0.25">
      <c r="B282" s="173" t="str">
        <f t="shared" si="40"/>
        <v>0-304L/FH-1.50X768</v>
      </c>
      <c r="C282" s="173" t="s">
        <v>4123</v>
      </c>
      <c r="D282" s="173" t="s">
        <v>16</v>
      </c>
      <c r="E282" s="190" t="s">
        <v>1504</v>
      </c>
      <c r="F282" s="190" t="s">
        <v>1505</v>
      </c>
      <c r="G282" s="173" t="s">
        <v>182</v>
      </c>
      <c r="H282" s="173" t="s">
        <v>70</v>
      </c>
      <c r="I282" s="174">
        <v>3.81</v>
      </c>
      <c r="J282" s="174">
        <v>1.5</v>
      </c>
      <c r="K282" s="174"/>
      <c r="L282" s="174"/>
      <c r="M282" s="191">
        <v>768</v>
      </c>
      <c r="N282" s="176">
        <v>12.26</v>
      </c>
      <c r="O282" s="176">
        <v>12.27</v>
      </c>
      <c r="P282" s="176"/>
      <c r="Q282" s="178"/>
      <c r="R282" s="179"/>
      <c r="S282" s="179"/>
      <c r="T282" s="177">
        <v>44943</v>
      </c>
      <c r="U282" s="177"/>
      <c r="V282" s="177"/>
      <c r="W282" s="177"/>
      <c r="X282" s="177"/>
      <c r="Y282" s="177"/>
      <c r="Z282" s="177"/>
      <c r="AA282" s="177">
        <v>44940</v>
      </c>
      <c r="AB282" s="177"/>
      <c r="AC282" s="177"/>
      <c r="AD282" s="180" t="s">
        <v>1507</v>
      </c>
      <c r="AE282" s="173" t="s">
        <v>69</v>
      </c>
      <c r="AF282" s="181" t="s">
        <v>142</v>
      </c>
      <c r="AG282" s="192" t="s">
        <v>1508</v>
      </c>
      <c r="AH282" s="198"/>
      <c r="AI282" s="181">
        <v>44849</v>
      </c>
      <c r="AJ282" s="181"/>
      <c r="AK282" s="181">
        <f t="shared" ca="1" si="39"/>
        <v>44958</v>
      </c>
      <c r="AL282" s="173">
        <f t="shared" ca="1" si="41"/>
        <v>109</v>
      </c>
      <c r="AM282" s="173" t="str">
        <f t="shared" si="42"/>
        <v/>
      </c>
      <c r="AN282" s="181"/>
      <c r="AO282" s="190" t="s">
        <v>1509</v>
      </c>
      <c r="AP282" s="176">
        <v>24.504999999999999</v>
      </c>
      <c r="AQ282" s="176">
        <v>24.565000000000001</v>
      </c>
      <c r="AR282" s="176">
        <v>24.590000000000003</v>
      </c>
      <c r="AS282" s="176">
        <v>24.595000000000002</v>
      </c>
      <c r="AT282" s="173" t="str">
        <f t="shared" si="43"/>
        <v/>
      </c>
      <c r="AU282" s="173">
        <v>456</v>
      </c>
      <c r="AW282" s="142" t="s">
        <v>123</v>
      </c>
    </row>
    <row r="283" spans="2:49" s="142" customFormat="1" ht="21" customHeight="1" x14ac:dyDescent="0.25">
      <c r="B283" s="173" t="str">
        <f t="shared" si="40"/>
        <v>0-304L/1D-3.50X643</v>
      </c>
      <c r="C283" s="173" t="s">
        <v>4122</v>
      </c>
      <c r="D283" s="173" t="s">
        <v>13</v>
      </c>
      <c r="E283" s="190" t="s">
        <v>1677</v>
      </c>
      <c r="F283" s="190" t="s">
        <v>1678</v>
      </c>
      <c r="G283" s="173" t="s">
        <v>182</v>
      </c>
      <c r="H283" s="173" t="s">
        <v>127</v>
      </c>
      <c r="I283" s="174">
        <v>3.5</v>
      </c>
      <c r="J283" s="174"/>
      <c r="K283" s="174"/>
      <c r="L283" s="174"/>
      <c r="M283" s="191">
        <v>643</v>
      </c>
      <c r="N283" s="176">
        <v>10.664999999999999</v>
      </c>
      <c r="O283" s="176">
        <v>10.664999999999999</v>
      </c>
      <c r="P283" s="176"/>
      <c r="Q283" s="178"/>
      <c r="R283" s="179"/>
      <c r="S283" s="179"/>
      <c r="T283" s="177">
        <v>44943</v>
      </c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80" t="s">
        <v>1605</v>
      </c>
      <c r="AE283" s="173" t="s">
        <v>69</v>
      </c>
      <c r="AF283" s="181" t="s">
        <v>142</v>
      </c>
      <c r="AG283" s="192" t="s">
        <v>1657</v>
      </c>
      <c r="AH283" s="198"/>
      <c r="AI283" s="181">
        <v>44849</v>
      </c>
      <c r="AJ283" s="181"/>
      <c r="AK283" s="181">
        <f t="shared" ca="1" si="39"/>
        <v>44958</v>
      </c>
      <c r="AL283" s="173">
        <f t="shared" ca="1" si="41"/>
        <v>109</v>
      </c>
      <c r="AM283" s="173" t="str">
        <f t="shared" si="42"/>
        <v/>
      </c>
      <c r="AN283" s="181"/>
      <c r="AO283" s="190" t="s">
        <v>1679</v>
      </c>
      <c r="AP283" s="176">
        <v>10.664999999999999</v>
      </c>
      <c r="AQ283" s="176">
        <v>10.675000000000001</v>
      </c>
      <c r="AR283" s="176">
        <v>10.7</v>
      </c>
      <c r="AS283" s="176">
        <v>10.705</v>
      </c>
      <c r="AT283" s="173" t="str">
        <f t="shared" si="43"/>
        <v/>
      </c>
      <c r="AU283" s="173">
        <v>456</v>
      </c>
      <c r="AW283" s="142" t="s">
        <v>123</v>
      </c>
    </row>
    <row r="284" spans="2:49" s="142" customFormat="1" ht="21" customHeight="1" x14ac:dyDescent="0.25">
      <c r="B284" s="173" t="str">
        <f t="shared" si="40"/>
        <v>0-304L/1D-2.99X769</v>
      </c>
      <c r="C284" s="173" t="s">
        <v>4133</v>
      </c>
      <c r="D284" s="173" t="s">
        <v>13</v>
      </c>
      <c r="E284" s="190" t="s">
        <v>4134</v>
      </c>
      <c r="F284" s="190" t="s">
        <v>4135</v>
      </c>
      <c r="G284" s="173" t="s">
        <v>182</v>
      </c>
      <c r="H284" s="173" t="s">
        <v>127</v>
      </c>
      <c r="I284" s="174">
        <v>2.99</v>
      </c>
      <c r="J284" s="174"/>
      <c r="K284" s="174"/>
      <c r="L284" s="174"/>
      <c r="M284" s="191">
        <v>769</v>
      </c>
      <c r="N284" s="176">
        <v>7.98</v>
      </c>
      <c r="O284" s="176">
        <v>7.98</v>
      </c>
      <c r="P284" s="176"/>
      <c r="Q284" s="178"/>
      <c r="R284" s="179"/>
      <c r="S284" s="179"/>
      <c r="T284" s="177">
        <v>44944</v>
      </c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80" t="s">
        <v>2448</v>
      </c>
      <c r="AE284" s="173" t="s">
        <v>69</v>
      </c>
      <c r="AF284" s="181" t="s">
        <v>142</v>
      </c>
      <c r="AG284" s="192" t="s">
        <v>1584</v>
      </c>
      <c r="AH284" s="198"/>
      <c r="AI284" s="181">
        <v>44914</v>
      </c>
      <c r="AJ284" s="181"/>
      <c r="AK284" s="181">
        <f t="shared" ca="1" si="39"/>
        <v>44958</v>
      </c>
      <c r="AL284" s="173">
        <f t="shared" ca="1" si="41"/>
        <v>44</v>
      </c>
      <c r="AM284" s="173" t="str">
        <f t="shared" si="42"/>
        <v/>
      </c>
      <c r="AN284" s="181"/>
      <c r="AO284" s="190" t="s">
        <v>4136</v>
      </c>
      <c r="AP284" s="176">
        <v>7.98</v>
      </c>
      <c r="AQ284" s="176">
        <v>7.99</v>
      </c>
      <c r="AR284" s="176">
        <v>8.0149999999999988</v>
      </c>
      <c r="AS284" s="176">
        <v>8.02</v>
      </c>
      <c r="AT284" s="173" t="str">
        <f t="shared" si="43"/>
        <v/>
      </c>
      <c r="AU284" s="173">
        <v>462</v>
      </c>
      <c r="AW284" s="142" t="s">
        <v>123</v>
      </c>
    </row>
    <row r="285" spans="2:49" s="142" customFormat="1" ht="21" customHeight="1" x14ac:dyDescent="0.25">
      <c r="B285" s="173" t="str">
        <f t="shared" si="40"/>
        <v>0-304L/FH-1.20X768</v>
      </c>
      <c r="C285" s="173" t="s">
        <v>4137</v>
      </c>
      <c r="D285" s="173" t="s">
        <v>16</v>
      </c>
      <c r="E285" s="190" t="s">
        <v>1541</v>
      </c>
      <c r="F285" s="190" t="s">
        <v>1542</v>
      </c>
      <c r="G285" s="173" t="s">
        <v>182</v>
      </c>
      <c r="H285" s="173" t="s">
        <v>70</v>
      </c>
      <c r="I285" s="174">
        <v>3.79</v>
      </c>
      <c r="J285" s="174">
        <v>1.2</v>
      </c>
      <c r="K285" s="174"/>
      <c r="L285" s="174"/>
      <c r="M285" s="191">
        <v>768</v>
      </c>
      <c r="N285" s="176">
        <v>12.244999999999999</v>
      </c>
      <c r="O285" s="176">
        <v>12.244999999999999</v>
      </c>
      <c r="P285" s="176"/>
      <c r="Q285" s="178"/>
      <c r="R285" s="179"/>
      <c r="S285" s="179"/>
      <c r="T285" s="177">
        <v>44943</v>
      </c>
      <c r="U285" s="177"/>
      <c r="V285" s="177"/>
      <c r="W285" s="177"/>
      <c r="X285" s="177"/>
      <c r="Y285" s="177"/>
      <c r="Z285" s="177"/>
      <c r="AA285" s="177">
        <v>44940</v>
      </c>
      <c r="AB285" s="177"/>
      <c r="AC285" s="177"/>
      <c r="AD285" s="180" t="s">
        <v>1507</v>
      </c>
      <c r="AE285" s="173" t="s">
        <v>69</v>
      </c>
      <c r="AF285" s="181" t="s">
        <v>142</v>
      </c>
      <c r="AG285" s="192" t="s">
        <v>1508</v>
      </c>
      <c r="AH285" s="198"/>
      <c r="AI285" s="181">
        <v>44849</v>
      </c>
      <c r="AJ285" s="181"/>
      <c r="AK285" s="181">
        <f t="shared" ca="1" si="39"/>
        <v>44958</v>
      </c>
      <c r="AL285" s="173">
        <f t="shared" ca="1" si="41"/>
        <v>109</v>
      </c>
      <c r="AM285" s="173" t="str">
        <f t="shared" si="42"/>
        <v/>
      </c>
      <c r="AN285" s="181"/>
      <c r="AO285" s="190" t="s">
        <v>1543</v>
      </c>
      <c r="AP285" s="176">
        <v>24.51</v>
      </c>
      <c r="AQ285" s="176">
        <v>24.57</v>
      </c>
      <c r="AR285" s="176">
        <v>24.595000000000002</v>
      </c>
      <c r="AS285" s="176">
        <v>24.6</v>
      </c>
      <c r="AT285" s="173" t="str">
        <f t="shared" si="43"/>
        <v/>
      </c>
      <c r="AU285" s="173">
        <v>456</v>
      </c>
      <c r="AW285" s="142" t="s">
        <v>123</v>
      </c>
    </row>
    <row r="286" spans="2:49" s="142" customFormat="1" ht="21" customHeight="1" x14ac:dyDescent="0.25">
      <c r="B286" s="173" t="str">
        <f t="shared" si="40"/>
        <v>0-304/1D-2.90X769</v>
      </c>
      <c r="C286" s="173" t="s">
        <v>4133</v>
      </c>
      <c r="D286" s="173" t="s">
        <v>13</v>
      </c>
      <c r="E286" s="190" t="s">
        <v>4138</v>
      </c>
      <c r="F286" s="190" t="s">
        <v>4139</v>
      </c>
      <c r="G286" s="173">
        <v>304</v>
      </c>
      <c r="H286" s="173" t="s">
        <v>127</v>
      </c>
      <c r="I286" s="174">
        <v>2.9</v>
      </c>
      <c r="J286" s="174"/>
      <c r="K286" s="174"/>
      <c r="L286" s="174"/>
      <c r="M286" s="191">
        <v>769</v>
      </c>
      <c r="N286" s="176">
        <v>10.545</v>
      </c>
      <c r="O286" s="176">
        <v>10.545</v>
      </c>
      <c r="P286" s="176"/>
      <c r="Q286" s="178"/>
      <c r="R286" s="179"/>
      <c r="S286" s="179"/>
      <c r="T286" s="177">
        <v>44944</v>
      </c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80" t="s">
        <v>2448</v>
      </c>
      <c r="AE286" s="173" t="s">
        <v>69</v>
      </c>
      <c r="AF286" s="181" t="s">
        <v>142</v>
      </c>
      <c r="AG286" s="192" t="s">
        <v>1584</v>
      </c>
      <c r="AH286" s="198"/>
      <c r="AI286" s="181">
        <v>44914</v>
      </c>
      <c r="AJ286" s="181"/>
      <c r="AK286" s="181">
        <f t="shared" ca="1" si="39"/>
        <v>44958</v>
      </c>
      <c r="AL286" s="173">
        <f t="shared" ca="1" si="41"/>
        <v>44</v>
      </c>
      <c r="AM286" s="173" t="str">
        <f t="shared" si="42"/>
        <v/>
      </c>
      <c r="AN286" s="181"/>
      <c r="AO286" s="190" t="s">
        <v>4140</v>
      </c>
      <c r="AP286" s="176">
        <v>10.545</v>
      </c>
      <c r="AQ286" s="176">
        <v>10.555</v>
      </c>
      <c r="AR286" s="176">
        <v>10.579999999999998</v>
      </c>
      <c r="AS286" s="176">
        <v>10.584999999999999</v>
      </c>
      <c r="AT286" s="173" t="str">
        <f t="shared" si="43"/>
        <v/>
      </c>
      <c r="AU286" s="173">
        <v>462</v>
      </c>
      <c r="AW286" s="142" t="s">
        <v>123</v>
      </c>
    </row>
    <row r="287" spans="2:49" s="142" customFormat="1" ht="21" customHeight="1" x14ac:dyDescent="0.25">
      <c r="B287" s="173" t="str">
        <f t="shared" si="40"/>
        <v>0-304L/2B-0.60X631</v>
      </c>
      <c r="C287" s="173" t="s">
        <v>4141</v>
      </c>
      <c r="D287" s="173" t="s">
        <v>1237</v>
      </c>
      <c r="E287" s="190" t="s">
        <v>4142</v>
      </c>
      <c r="F287" s="190" t="s">
        <v>4143</v>
      </c>
      <c r="G287" s="173" t="s">
        <v>182</v>
      </c>
      <c r="H287" s="173" t="s">
        <v>114</v>
      </c>
      <c r="I287" s="174">
        <v>2.79</v>
      </c>
      <c r="J287" s="174">
        <v>0.6</v>
      </c>
      <c r="K287" s="174"/>
      <c r="L287" s="174"/>
      <c r="M287" s="191">
        <v>631</v>
      </c>
      <c r="N287" s="176">
        <v>10.595000000000001</v>
      </c>
      <c r="O287" s="176">
        <v>10.595000000000001</v>
      </c>
      <c r="P287" s="176"/>
      <c r="Q287" s="178" t="s">
        <v>1344</v>
      </c>
      <c r="R287" s="179"/>
      <c r="S287" s="179" t="s">
        <v>230</v>
      </c>
      <c r="T287" s="177" t="s">
        <v>4144</v>
      </c>
      <c r="U287" s="177"/>
      <c r="V287" s="177">
        <v>44918</v>
      </c>
      <c r="W287" s="177"/>
      <c r="X287" s="177">
        <v>44939</v>
      </c>
      <c r="Y287" s="177"/>
      <c r="Z287" s="177">
        <v>44939</v>
      </c>
      <c r="AA287" s="177"/>
      <c r="AB287" s="177"/>
      <c r="AC287" s="177"/>
      <c r="AD287" s="180" t="s">
        <v>1619</v>
      </c>
      <c r="AE287" s="173" t="s">
        <v>69</v>
      </c>
      <c r="AF287" s="181" t="s">
        <v>142</v>
      </c>
      <c r="AG287" s="192" t="s">
        <v>1657</v>
      </c>
      <c r="AH287" s="198"/>
      <c r="AI287" s="181">
        <v>44849</v>
      </c>
      <c r="AJ287" s="181"/>
      <c r="AK287" s="181">
        <f t="shared" ca="1" si="39"/>
        <v>44958</v>
      </c>
      <c r="AL287" s="173">
        <f t="shared" ca="1" si="41"/>
        <v>109</v>
      </c>
      <c r="AM287" s="173">
        <f t="shared" ca="1" si="42"/>
        <v>19</v>
      </c>
      <c r="AN287" s="181"/>
      <c r="AO287" s="190" t="s">
        <v>1689</v>
      </c>
      <c r="AP287" s="176">
        <v>10.695</v>
      </c>
      <c r="AQ287" s="176">
        <v>10.705</v>
      </c>
      <c r="AR287" s="176">
        <v>10.729999999999999</v>
      </c>
      <c r="AS287" s="176">
        <v>10.734999999999999</v>
      </c>
      <c r="AT287" s="173">
        <f t="shared" ca="1" si="43"/>
        <v>40</v>
      </c>
      <c r="AU287" s="173">
        <v>456</v>
      </c>
      <c r="AW287" s="142" t="s">
        <v>123</v>
      </c>
    </row>
    <row r="288" spans="2:49" s="142" customFormat="1" ht="21" customHeight="1" x14ac:dyDescent="0.25">
      <c r="B288" s="173" t="str">
        <f t="shared" si="40"/>
        <v>0-304L/FH-1.20X768.5</v>
      </c>
      <c r="C288" s="173" t="s">
        <v>4137</v>
      </c>
      <c r="D288" s="173" t="s">
        <v>16</v>
      </c>
      <c r="E288" s="190" t="s">
        <v>1530</v>
      </c>
      <c r="F288" s="190" t="s">
        <v>1533</v>
      </c>
      <c r="G288" s="173" t="s">
        <v>182</v>
      </c>
      <c r="H288" s="173" t="s">
        <v>70</v>
      </c>
      <c r="I288" s="174">
        <v>3.8</v>
      </c>
      <c r="J288" s="174">
        <v>1.2</v>
      </c>
      <c r="K288" s="174"/>
      <c r="L288" s="174"/>
      <c r="M288" s="191">
        <f>1537/2</f>
        <v>768.5</v>
      </c>
      <c r="N288" s="176">
        <v>12.34</v>
      </c>
      <c r="O288" s="176">
        <v>12.35</v>
      </c>
      <c r="P288" s="176"/>
      <c r="Q288" s="178"/>
      <c r="R288" s="179"/>
      <c r="S288" s="179"/>
      <c r="T288" s="177">
        <v>44943</v>
      </c>
      <c r="U288" s="177"/>
      <c r="V288" s="177"/>
      <c r="W288" s="177"/>
      <c r="X288" s="177"/>
      <c r="Y288" s="177"/>
      <c r="Z288" s="177"/>
      <c r="AA288" s="177">
        <v>44935</v>
      </c>
      <c r="AB288" s="177"/>
      <c r="AC288" s="177"/>
      <c r="AD288" s="180" t="s">
        <v>1507</v>
      </c>
      <c r="AE288" s="173" t="s">
        <v>69</v>
      </c>
      <c r="AF288" s="181" t="s">
        <v>142</v>
      </c>
      <c r="AG288" s="192" t="s">
        <v>1508</v>
      </c>
      <c r="AH288" s="198"/>
      <c r="AI288" s="181">
        <v>44849</v>
      </c>
      <c r="AJ288" s="181"/>
      <c r="AK288" s="181">
        <f t="shared" ca="1" si="39"/>
        <v>44958</v>
      </c>
      <c r="AL288" s="173">
        <f t="shared" ca="1" si="41"/>
        <v>109</v>
      </c>
      <c r="AM288" s="173" t="str">
        <f t="shared" si="42"/>
        <v/>
      </c>
      <c r="AN288" s="181"/>
      <c r="AO288" s="190" t="s">
        <v>1532</v>
      </c>
      <c r="AP288" s="176">
        <v>24.57</v>
      </c>
      <c r="AQ288" s="176">
        <v>24.63</v>
      </c>
      <c r="AR288" s="176">
        <v>24.655000000000001</v>
      </c>
      <c r="AS288" s="176">
        <v>24.66</v>
      </c>
      <c r="AT288" s="173" t="str">
        <f t="shared" si="43"/>
        <v/>
      </c>
      <c r="AU288" s="173">
        <v>456</v>
      </c>
      <c r="AW288" s="142" t="s">
        <v>123</v>
      </c>
    </row>
    <row r="289" spans="2:49" s="142" customFormat="1" ht="21" customHeight="1" x14ac:dyDescent="0.25">
      <c r="B289" s="173" t="str">
        <f t="shared" si="40"/>
        <v>0-304/1D-2.89X770</v>
      </c>
      <c r="C289" s="173" t="s">
        <v>4133</v>
      </c>
      <c r="D289" s="173" t="s">
        <v>13</v>
      </c>
      <c r="E289" s="190" t="s">
        <v>2665</v>
      </c>
      <c r="F289" s="190" t="s">
        <v>4145</v>
      </c>
      <c r="G289" s="173">
        <v>304</v>
      </c>
      <c r="H289" s="173" t="s">
        <v>127</v>
      </c>
      <c r="I289" s="174">
        <v>2.89</v>
      </c>
      <c r="J289" s="174"/>
      <c r="K289" s="174"/>
      <c r="L289" s="174"/>
      <c r="M289" s="191">
        <v>770</v>
      </c>
      <c r="N289" s="176">
        <v>10.525</v>
      </c>
      <c r="O289" s="176">
        <v>10.525</v>
      </c>
      <c r="P289" s="176"/>
      <c r="Q289" s="178"/>
      <c r="R289" s="179"/>
      <c r="S289" s="179"/>
      <c r="T289" s="177">
        <v>44944</v>
      </c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80" t="s">
        <v>2448</v>
      </c>
      <c r="AE289" s="173" t="s">
        <v>69</v>
      </c>
      <c r="AF289" s="181" t="s">
        <v>142</v>
      </c>
      <c r="AG289" s="192" t="s">
        <v>1584</v>
      </c>
      <c r="AH289" s="198"/>
      <c r="AI289" s="181">
        <v>44914</v>
      </c>
      <c r="AJ289" s="181"/>
      <c r="AK289" s="181">
        <f t="shared" ca="1" si="39"/>
        <v>44958</v>
      </c>
      <c r="AL289" s="173">
        <f t="shared" ca="1" si="41"/>
        <v>44</v>
      </c>
      <c r="AM289" s="173" t="str">
        <f t="shared" si="42"/>
        <v/>
      </c>
      <c r="AN289" s="181"/>
      <c r="AO289" s="190" t="s">
        <v>2667</v>
      </c>
      <c r="AP289" s="176">
        <v>10.525</v>
      </c>
      <c r="AQ289" s="176">
        <v>10.535</v>
      </c>
      <c r="AR289" s="176">
        <v>10.559999999999999</v>
      </c>
      <c r="AS289" s="176">
        <v>10.565</v>
      </c>
      <c r="AT289" s="173" t="str">
        <f t="shared" si="43"/>
        <v/>
      </c>
      <c r="AU289" s="173">
        <v>462</v>
      </c>
      <c r="AW289" s="142" t="s">
        <v>123</v>
      </c>
    </row>
    <row r="290" spans="2:49" s="142" customFormat="1" ht="21" customHeight="1" x14ac:dyDescent="0.25">
      <c r="B290" s="173" t="str">
        <f t="shared" si="40"/>
        <v>0-304/FH-1.00X769</v>
      </c>
      <c r="C290" s="173" t="s">
        <v>4137</v>
      </c>
      <c r="D290" s="173" t="s">
        <v>16</v>
      </c>
      <c r="E290" s="190" t="s">
        <v>4138</v>
      </c>
      <c r="F290" s="190" t="s">
        <v>4139</v>
      </c>
      <c r="G290" s="173">
        <v>304</v>
      </c>
      <c r="H290" s="173" t="s">
        <v>70</v>
      </c>
      <c r="I290" s="174">
        <v>2.9</v>
      </c>
      <c r="J290" s="174">
        <v>1</v>
      </c>
      <c r="K290" s="174"/>
      <c r="L290" s="174"/>
      <c r="M290" s="191">
        <v>769</v>
      </c>
      <c r="N290" s="176">
        <v>10.545</v>
      </c>
      <c r="O290" s="176">
        <v>10.56</v>
      </c>
      <c r="P290" s="176"/>
      <c r="Q290" s="178"/>
      <c r="R290" s="179"/>
      <c r="S290" s="179"/>
      <c r="T290" s="177">
        <v>44944</v>
      </c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80" t="s">
        <v>2448</v>
      </c>
      <c r="AE290" s="173" t="s">
        <v>69</v>
      </c>
      <c r="AF290" s="181" t="s">
        <v>142</v>
      </c>
      <c r="AG290" s="192" t="s">
        <v>1584</v>
      </c>
      <c r="AH290" s="198"/>
      <c r="AI290" s="181">
        <v>44914</v>
      </c>
      <c r="AJ290" s="181"/>
      <c r="AK290" s="181">
        <f t="shared" ca="1" si="39"/>
        <v>44958</v>
      </c>
      <c r="AL290" s="173">
        <f t="shared" ca="1" si="41"/>
        <v>44</v>
      </c>
      <c r="AM290" s="173" t="str">
        <f t="shared" si="42"/>
        <v/>
      </c>
      <c r="AN290" s="181"/>
      <c r="AO290" s="190" t="s">
        <v>4140</v>
      </c>
      <c r="AP290" s="176">
        <v>10.545</v>
      </c>
      <c r="AQ290" s="176">
        <v>10.555</v>
      </c>
      <c r="AR290" s="176">
        <v>10.579999999999998</v>
      </c>
      <c r="AS290" s="176">
        <v>10.584999999999999</v>
      </c>
      <c r="AT290" s="173" t="str">
        <f t="shared" si="43"/>
        <v/>
      </c>
      <c r="AU290" s="173">
        <v>462</v>
      </c>
      <c r="AW290" s="142" t="s">
        <v>123</v>
      </c>
    </row>
    <row r="291" spans="2:49" s="142" customFormat="1" ht="21" customHeight="1" x14ac:dyDescent="0.25">
      <c r="B291" s="173" t="str">
        <f t="shared" si="40"/>
        <v>0-304L/1D-3.38X642</v>
      </c>
      <c r="C291" s="173" t="s">
        <v>4146</v>
      </c>
      <c r="D291" s="173" t="s">
        <v>13</v>
      </c>
      <c r="E291" s="190" t="s">
        <v>4147</v>
      </c>
      <c r="F291" s="190" t="s">
        <v>4148</v>
      </c>
      <c r="G291" s="173" t="s">
        <v>182</v>
      </c>
      <c r="H291" s="173" t="s">
        <v>127</v>
      </c>
      <c r="I291" s="174">
        <v>3.38</v>
      </c>
      <c r="J291" s="174"/>
      <c r="K291" s="174"/>
      <c r="L291" s="174"/>
      <c r="M291" s="191">
        <v>642</v>
      </c>
      <c r="N291" s="176">
        <v>10.61</v>
      </c>
      <c r="O291" s="176">
        <v>10.61</v>
      </c>
      <c r="P291" s="176"/>
      <c r="Q291" s="178"/>
      <c r="R291" s="179"/>
      <c r="S291" s="179"/>
      <c r="T291" s="177">
        <v>44944</v>
      </c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80" t="s">
        <v>1605</v>
      </c>
      <c r="AE291" s="173" t="s">
        <v>69</v>
      </c>
      <c r="AF291" s="181" t="s">
        <v>142</v>
      </c>
      <c r="AG291" s="192" t="s">
        <v>1657</v>
      </c>
      <c r="AH291" s="198"/>
      <c r="AI291" s="181">
        <v>44849</v>
      </c>
      <c r="AJ291" s="181"/>
      <c r="AK291" s="181">
        <f t="shared" ca="1" si="39"/>
        <v>44958</v>
      </c>
      <c r="AL291" s="173">
        <f t="shared" ca="1" si="41"/>
        <v>109</v>
      </c>
      <c r="AM291" s="173" t="str">
        <f t="shared" si="42"/>
        <v/>
      </c>
      <c r="AN291" s="181"/>
      <c r="AO291" s="190" t="s">
        <v>1706</v>
      </c>
      <c r="AP291" s="176">
        <v>10.61</v>
      </c>
      <c r="AQ291" s="176">
        <v>10.62</v>
      </c>
      <c r="AR291" s="176">
        <v>10.644999999999998</v>
      </c>
      <c r="AS291" s="176">
        <v>10.649999999999999</v>
      </c>
      <c r="AT291" s="173" t="str">
        <f t="shared" si="43"/>
        <v/>
      </c>
      <c r="AU291" s="173">
        <v>456</v>
      </c>
      <c r="AW291" s="142" t="s">
        <v>123</v>
      </c>
    </row>
    <row r="292" spans="2:49" s="142" customFormat="1" ht="21" customHeight="1" x14ac:dyDescent="0.25">
      <c r="B292" s="173" t="str">
        <f t="shared" si="40"/>
        <v>0-304L/1D-2.81X773</v>
      </c>
      <c r="C292" s="173" t="s">
        <v>4133</v>
      </c>
      <c r="D292" s="173" t="s">
        <v>13</v>
      </c>
      <c r="E292" s="190" t="s">
        <v>2772</v>
      </c>
      <c r="F292" s="190" t="s">
        <v>2773</v>
      </c>
      <c r="G292" s="173" t="s">
        <v>182</v>
      </c>
      <c r="H292" s="173" t="s">
        <v>127</v>
      </c>
      <c r="I292" s="174">
        <v>2.81</v>
      </c>
      <c r="J292" s="174"/>
      <c r="K292" s="174"/>
      <c r="L292" s="174"/>
      <c r="M292" s="191">
        <v>773</v>
      </c>
      <c r="N292" s="176">
        <v>10.44</v>
      </c>
      <c r="O292" s="176">
        <v>10.44</v>
      </c>
      <c r="P292" s="176"/>
      <c r="Q292" s="178"/>
      <c r="R292" s="179"/>
      <c r="S292" s="179"/>
      <c r="T292" s="177">
        <v>44944</v>
      </c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80" t="s">
        <v>1605</v>
      </c>
      <c r="AE292" s="173" t="s">
        <v>69</v>
      </c>
      <c r="AF292" s="181" t="s">
        <v>142</v>
      </c>
      <c r="AG292" s="192" t="s">
        <v>1584</v>
      </c>
      <c r="AH292" s="198"/>
      <c r="AI292" s="181">
        <v>44914</v>
      </c>
      <c r="AJ292" s="181"/>
      <c r="AK292" s="181">
        <f t="shared" ca="1" si="39"/>
        <v>44958</v>
      </c>
      <c r="AL292" s="173">
        <f t="shared" ca="1" si="41"/>
        <v>44</v>
      </c>
      <c r="AM292" s="173" t="str">
        <f t="shared" si="42"/>
        <v/>
      </c>
      <c r="AN292" s="181"/>
      <c r="AO292" s="190" t="s">
        <v>2771</v>
      </c>
      <c r="AP292" s="176">
        <v>10.44</v>
      </c>
      <c r="AQ292" s="176">
        <v>10.45</v>
      </c>
      <c r="AR292" s="176">
        <v>10.474999999999998</v>
      </c>
      <c r="AS292" s="176">
        <v>10.479999999999999</v>
      </c>
      <c r="AT292" s="173" t="str">
        <f t="shared" si="43"/>
        <v/>
      </c>
      <c r="AU292" s="173">
        <v>462</v>
      </c>
      <c r="AW292" s="142" t="s">
        <v>123</v>
      </c>
    </row>
    <row r="293" spans="2:49" s="142" customFormat="1" ht="21" customHeight="1" x14ac:dyDescent="0.25">
      <c r="B293" s="173" t="str">
        <f t="shared" si="40"/>
        <v>0-304L/FH-1.00X769</v>
      </c>
      <c r="C293" s="173" t="s">
        <v>4137</v>
      </c>
      <c r="D293" s="173" t="s">
        <v>16</v>
      </c>
      <c r="E293" s="190" t="s">
        <v>4134</v>
      </c>
      <c r="F293" s="190" t="s">
        <v>4135</v>
      </c>
      <c r="G293" s="173" t="s">
        <v>182</v>
      </c>
      <c r="H293" s="173" t="s">
        <v>70</v>
      </c>
      <c r="I293" s="174">
        <v>2.99</v>
      </c>
      <c r="J293" s="174">
        <v>1</v>
      </c>
      <c r="K293" s="174"/>
      <c r="L293" s="174"/>
      <c r="M293" s="191">
        <v>769</v>
      </c>
      <c r="N293" s="176">
        <v>7.98</v>
      </c>
      <c r="O293" s="176">
        <v>7.96</v>
      </c>
      <c r="P293" s="176"/>
      <c r="Q293" s="178"/>
      <c r="R293" s="179"/>
      <c r="S293" s="179"/>
      <c r="T293" s="177">
        <v>44944</v>
      </c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80" t="s">
        <v>2448</v>
      </c>
      <c r="AE293" s="173" t="s">
        <v>69</v>
      </c>
      <c r="AF293" s="181" t="s">
        <v>142</v>
      </c>
      <c r="AG293" s="192" t="s">
        <v>1584</v>
      </c>
      <c r="AH293" s="198"/>
      <c r="AI293" s="181">
        <v>44914</v>
      </c>
      <c r="AJ293" s="181"/>
      <c r="AK293" s="181">
        <f t="shared" ca="1" si="39"/>
        <v>44958</v>
      </c>
      <c r="AL293" s="173">
        <f t="shared" ca="1" si="41"/>
        <v>44</v>
      </c>
      <c r="AM293" s="173" t="str">
        <f t="shared" si="42"/>
        <v/>
      </c>
      <c r="AN293" s="181"/>
      <c r="AO293" s="190" t="s">
        <v>4136</v>
      </c>
      <c r="AP293" s="176">
        <v>7.98</v>
      </c>
      <c r="AQ293" s="176">
        <v>7.99</v>
      </c>
      <c r="AR293" s="176">
        <v>8.0149999999999988</v>
      </c>
      <c r="AS293" s="176">
        <v>8.02</v>
      </c>
      <c r="AT293" s="173" t="str">
        <f t="shared" si="43"/>
        <v/>
      </c>
      <c r="AU293" s="173">
        <v>462</v>
      </c>
      <c r="AW293" s="142" t="s">
        <v>123</v>
      </c>
    </row>
    <row r="294" spans="2:49" s="142" customFormat="1" ht="21" customHeight="1" x14ac:dyDescent="0.25">
      <c r="B294" s="173" t="str">
        <f t="shared" si="40"/>
        <v>0-304L/1D-2.95X770</v>
      </c>
      <c r="C294" s="173" t="s">
        <v>4133</v>
      </c>
      <c r="D294" s="173" t="s">
        <v>13</v>
      </c>
      <c r="E294" s="190" t="s">
        <v>2647</v>
      </c>
      <c r="F294" s="190" t="s">
        <v>2648</v>
      </c>
      <c r="G294" s="173" t="s">
        <v>182</v>
      </c>
      <c r="H294" s="173" t="s">
        <v>127</v>
      </c>
      <c r="I294" s="174">
        <v>2.95</v>
      </c>
      <c r="J294" s="174"/>
      <c r="K294" s="174"/>
      <c r="L294" s="174"/>
      <c r="M294" s="191">
        <v>770</v>
      </c>
      <c r="N294" s="176">
        <v>10.555</v>
      </c>
      <c r="O294" s="176">
        <v>10.555</v>
      </c>
      <c r="P294" s="176"/>
      <c r="Q294" s="178"/>
      <c r="R294" s="179"/>
      <c r="S294" s="179"/>
      <c r="T294" s="177">
        <v>44944</v>
      </c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80" t="s">
        <v>2448</v>
      </c>
      <c r="AE294" s="173" t="s">
        <v>69</v>
      </c>
      <c r="AF294" s="181" t="s">
        <v>142</v>
      </c>
      <c r="AG294" s="192" t="s">
        <v>1584</v>
      </c>
      <c r="AH294" s="198"/>
      <c r="AI294" s="181">
        <v>44914</v>
      </c>
      <c r="AJ294" s="181"/>
      <c r="AK294" s="181">
        <f t="shared" ca="1" si="39"/>
        <v>44958</v>
      </c>
      <c r="AL294" s="173">
        <f t="shared" ca="1" si="41"/>
        <v>44</v>
      </c>
      <c r="AM294" s="173" t="str">
        <f t="shared" si="42"/>
        <v/>
      </c>
      <c r="AN294" s="181"/>
      <c r="AO294" s="190" t="s">
        <v>2649</v>
      </c>
      <c r="AP294" s="176">
        <v>10.555</v>
      </c>
      <c r="AQ294" s="176">
        <v>10.565</v>
      </c>
      <c r="AR294" s="176">
        <v>10.589999999999998</v>
      </c>
      <c r="AS294" s="176">
        <v>10.594999999999999</v>
      </c>
      <c r="AT294" s="173" t="str">
        <f t="shared" si="43"/>
        <v/>
      </c>
      <c r="AU294" s="173">
        <v>462</v>
      </c>
      <c r="AW294" s="142" t="s">
        <v>123</v>
      </c>
    </row>
    <row r="295" spans="2:49" s="142" customFormat="1" ht="21" customHeight="1" x14ac:dyDescent="0.25">
      <c r="B295" s="173" t="str">
        <f t="shared" si="40"/>
        <v>0-304/FH-0.88X773</v>
      </c>
      <c r="C295" s="173" t="s">
        <v>4137</v>
      </c>
      <c r="D295" s="173" t="s">
        <v>16</v>
      </c>
      <c r="E295" s="190" t="s">
        <v>2635</v>
      </c>
      <c r="F295" s="190" t="s">
        <v>2636</v>
      </c>
      <c r="G295" s="173">
        <v>304</v>
      </c>
      <c r="H295" s="173" t="s">
        <v>70</v>
      </c>
      <c r="I295" s="174">
        <v>2.9</v>
      </c>
      <c r="J295" s="174">
        <v>0.88</v>
      </c>
      <c r="K295" s="174"/>
      <c r="L295" s="174"/>
      <c r="M295" s="191">
        <v>773</v>
      </c>
      <c r="N295" s="176">
        <v>10.025</v>
      </c>
      <c r="O295" s="176">
        <v>10.045</v>
      </c>
      <c r="P295" s="176"/>
      <c r="Q295" s="178"/>
      <c r="R295" s="179"/>
      <c r="S295" s="179"/>
      <c r="T295" s="177">
        <v>44942</v>
      </c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80" t="s">
        <v>2448</v>
      </c>
      <c r="AE295" s="173" t="s">
        <v>69</v>
      </c>
      <c r="AF295" s="181" t="s">
        <v>142</v>
      </c>
      <c r="AG295" s="192" t="s">
        <v>1584</v>
      </c>
      <c r="AH295" s="198"/>
      <c r="AI295" s="181">
        <v>44914</v>
      </c>
      <c r="AJ295" s="181"/>
      <c r="AK295" s="181">
        <f t="shared" ca="1" si="39"/>
        <v>44958</v>
      </c>
      <c r="AL295" s="173">
        <f t="shared" ca="1" si="41"/>
        <v>44</v>
      </c>
      <c r="AM295" s="173" t="str">
        <f t="shared" si="42"/>
        <v/>
      </c>
      <c r="AN295" s="181"/>
      <c r="AO295" s="190" t="s">
        <v>2637</v>
      </c>
      <c r="AP295" s="176">
        <v>10.025</v>
      </c>
      <c r="AQ295" s="176">
        <v>10.035</v>
      </c>
      <c r="AR295" s="176">
        <v>10.059999999999999</v>
      </c>
      <c r="AS295" s="176">
        <v>10.065</v>
      </c>
      <c r="AT295" s="173" t="str">
        <f t="shared" si="43"/>
        <v/>
      </c>
      <c r="AU295" s="173">
        <v>462</v>
      </c>
      <c r="AW295" s="142" t="s">
        <v>123</v>
      </c>
    </row>
    <row r="296" spans="2:49" s="142" customFormat="1" ht="21" customHeight="1" x14ac:dyDescent="0.25">
      <c r="B296" s="173" t="str">
        <f t="shared" si="40"/>
        <v>0-304/1D-3.87X768</v>
      </c>
      <c r="C296" s="173" t="s">
        <v>4133</v>
      </c>
      <c r="D296" s="173" t="s">
        <v>13</v>
      </c>
      <c r="E296" s="190" t="s">
        <v>2644</v>
      </c>
      <c r="F296" s="190" t="s">
        <v>2645</v>
      </c>
      <c r="G296" s="173">
        <v>304</v>
      </c>
      <c r="H296" s="173" t="s">
        <v>127</v>
      </c>
      <c r="I296" s="174">
        <v>3.87</v>
      </c>
      <c r="J296" s="174"/>
      <c r="K296" s="174"/>
      <c r="L296" s="174"/>
      <c r="M296" s="191">
        <v>768</v>
      </c>
      <c r="N296" s="176">
        <v>9.36</v>
      </c>
      <c r="O296" s="176">
        <v>9.36</v>
      </c>
      <c r="P296" s="176"/>
      <c r="Q296" s="178"/>
      <c r="R296" s="179"/>
      <c r="S296" s="179"/>
      <c r="T296" s="177">
        <v>44944</v>
      </c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80" t="s">
        <v>1507</v>
      </c>
      <c r="AE296" s="173" t="s">
        <v>69</v>
      </c>
      <c r="AF296" s="181" t="s">
        <v>142</v>
      </c>
      <c r="AG296" s="192" t="s">
        <v>1584</v>
      </c>
      <c r="AH296" s="198"/>
      <c r="AI296" s="181">
        <v>44914</v>
      </c>
      <c r="AJ296" s="181"/>
      <c r="AK296" s="181">
        <f t="shared" ca="1" si="39"/>
        <v>44958</v>
      </c>
      <c r="AL296" s="173">
        <f t="shared" ca="1" si="41"/>
        <v>44</v>
      </c>
      <c r="AM296" s="173" t="str">
        <f t="shared" si="42"/>
        <v/>
      </c>
      <c r="AN296" s="181"/>
      <c r="AO296" s="190" t="s">
        <v>2646</v>
      </c>
      <c r="AP296" s="176">
        <v>9.36</v>
      </c>
      <c r="AQ296" s="176">
        <v>9.3699999999999992</v>
      </c>
      <c r="AR296" s="176">
        <v>9.3949999999999978</v>
      </c>
      <c r="AS296" s="176">
        <v>9.3999999999999986</v>
      </c>
      <c r="AT296" s="173" t="str">
        <f t="shared" si="43"/>
        <v/>
      </c>
      <c r="AU296" s="173">
        <v>462</v>
      </c>
      <c r="AW296" s="142" t="s">
        <v>123</v>
      </c>
    </row>
    <row r="297" spans="2:49" s="142" customFormat="1" ht="21" customHeight="1" x14ac:dyDescent="0.25">
      <c r="B297" s="173" t="str">
        <f t="shared" si="40"/>
        <v>0-304/FH-1.00X769</v>
      </c>
      <c r="C297" s="173" t="s">
        <v>4137</v>
      </c>
      <c r="D297" s="173" t="s">
        <v>16</v>
      </c>
      <c r="E297" s="190" t="s">
        <v>4130</v>
      </c>
      <c r="F297" s="190" t="s">
        <v>4131</v>
      </c>
      <c r="G297" s="173">
        <v>304</v>
      </c>
      <c r="H297" s="173" t="s">
        <v>70</v>
      </c>
      <c r="I297" s="174">
        <v>2.9</v>
      </c>
      <c r="J297" s="174">
        <v>1</v>
      </c>
      <c r="K297" s="174"/>
      <c r="L297" s="174"/>
      <c r="M297" s="191">
        <v>769</v>
      </c>
      <c r="N297" s="176">
        <v>10.595000000000001</v>
      </c>
      <c r="O297" s="176">
        <v>10.6</v>
      </c>
      <c r="P297" s="176"/>
      <c r="Q297" s="178"/>
      <c r="R297" s="179"/>
      <c r="S297" s="179"/>
      <c r="T297" s="177">
        <v>44943</v>
      </c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80" t="s">
        <v>2448</v>
      </c>
      <c r="AE297" s="173" t="s">
        <v>69</v>
      </c>
      <c r="AF297" s="181" t="s">
        <v>142</v>
      </c>
      <c r="AG297" s="192" t="s">
        <v>1584</v>
      </c>
      <c r="AH297" s="198"/>
      <c r="AI297" s="181">
        <v>44914</v>
      </c>
      <c r="AJ297" s="181"/>
      <c r="AK297" s="181">
        <f t="shared" ca="1" si="39"/>
        <v>44958</v>
      </c>
      <c r="AL297" s="173">
        <f t="shared" ca="1" si="41"/>
        <v>44</v>
      </c>
      <c r="AM297" s="173" t="str">
        <f t="shared" si="42"/>
        <v/>
      </c>
      <c r="AN297" s="181"/>
      <c r="AO297" s="190" t="s">
        <v>4132</v>
      </c>
      <c r="AP297" s="176">
        <v>10.595000000000001</v>
      </c>
      <c r="AQ297" s="176">
        <v>10.605</v>
      </c>
      <c r="AR297" s="176">
        <v>10.629999999999999</v>
      </c>
      <c r="AS297" s="176">
        <v>10.635</v>
      </c>
      <c r="AT297" s="173" t="str">
        <f t="shared" si="43"/>
        <v/>
      </c>
      <c r="AU297" s="173">
        <v>462</v>
      </c>
      <c r="AW297" s="142" t="s">
        <v>123</v>
      </c>
    </row>
    <row r="298" spans="2:49" s="142" customFormat="1" ht="21" customHeight="1" x14ac:dyDescent="0.25">
      <c r="B298" s="173" t="str">
        <f t="shared" si="40"/>
        <v>0-304/1D-3.80X775</v>
      </c>
      <c r="C298" s="173" t="s">
        <v>4133</v>
      </c>
      <c r="D298" s="173" t="s">
        <v>13</v>
      </c>
      <c r="E298" s="190" t="s">
        <v>2472</v>
      </c>
      <c r="F298" s="190" t="s">
        <v>2473</v>
      </c>
      <c r="G298" s="173">
        <v>304</v>
      </c>
      <c r="H298" s="173" t="s">
        <v>127</v>
      </c>
      <c r="I298" s="174">
        <v>3.8</v>
      </c>
      <c r="J298" s="174"/>
      <c r="K298" s="174"/>
      <c r="L298" s="174"/>
      <c r="M298" s="191">
        <v>775</v>
      </c>
      <c r="N298" s="176">
        <v>10.51</v>
      </c>
      <c r="O298" s="176">
        <v>10.51</v>
      </c>
      <c r="P298" s="176"/>
      <c r="Q298" s="178"/>
      <c r="R298" s="179"/>
      <c r="S298" s="179"/>
      <c r="T298" s="177">
        <v>44944</v>
      </c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80" t="s">
        <v>1605</v>
      </c>
      <c r="AE298" s="173" t="s">
        <v>69</v>
      </c>
      <c r="AF298" s="181" t="s">
        <v>142</v>
      </c>
      <c r="AG298" s="192" t="s">
        <v>1584</v>
      </c>
      <c r="AH298" s="198"/>
      <c r="AI298" s="181">
        <v>44914</v>
      </c>
      <c r="AJ298" s="181"/>
      <c r="AK298" s="181">
        <f t="shared" ca="1" si="39"/>
        <v>44958</v>
      </c>
      <c r="AL298" s="173">
        <f t="shared" ca="1" si="41"/>
        <v>44</v>
      </c>
      <c r="AM298" s="173" t="str">
        <f t="shared" si="42"/>
        <v/>
      </c>
      <c r="AN298" s="181"/>
      <c r="AO298" s="190" t="s">
        <v>2474</v>
      </c>
      <c r="AP298" s="176">
        <v>10.51</v>
      </c>
      <c r="AQ298" s="176">
        <v>10.52</v>
      </c>
      <c r="AR298" s="176">
        <v>10.544999999999998</v>
      </c>
      <c r="AS298" s="176">
        <v>10.549999999999999</v>
      </c>
      <c r="AT298" s="173" t="str">
        <f t="shared" si="43"/>
        <v/>
      </c>
      <c r="AU298" s="173">
        <v>462</v>
      </c>
      <c r="AW298" s="142" t="s">
        <v>123</v>
      </c>
    </row>
    <row r="299" spans="2:49" s="142" customFormat="1" ht="21" customHeight="1" x14ac:dyDescent="0.25">
      <c r="B299" s="173" t="str">
        <f t="shared" si="40"/>
        <v>0-304L/FH-0.88X773</v>
      </c>
      <c r="C299" s="173" t="s">
        <v>4137</v>
      </c>
      <c r="D299" s="173" t="s">
        <v>16</v>
      </c>
      <c r="E299" s="190" t="s">
        <v>2772</v>
      </c>
      <c r="F299" s="190" t="s">
        <v>2773</v>
      </c>
      <c r="G299" s="173" t="s">
        <v>182</v>
      </c>
      <c r="H299" s="173" t="s">
        <v>70</v>
      </c>
      <c r="I299" s="174">
        <v>2.81</v>
      </c>
      <c r="J299" s="174">
        <v>0.88</v>
      </c>
      <c r="K299" s="174"/>
      <c r="L299" s="174"/>
      <c r="M299" s="191">
        <v>773</v>
      </c>
      <c r="N299" s="176">
        <v>10.44</v>
      </c>
      <c r="O299" s="176">
        <v>10.46</v>
      </c>
      <c r="P299" s="176"/>
      <c r="Q299" s="178"/>
      <c r="R299" s="179"/>
      <c r="S299" s="179"/>
      <c r="T299" s="177">
        <v>44944</v>
      </c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80" t="s">
        <v>1605</v>
      </c>
      <c r="AE299" s="173" t="s">
        <v>69</v>
      </c>
      <c r="AF299" s="181" t="s">
        <v>142</v>
      </c>
      <c r="AG299" s="192" t="s">
        <v>1584</v>
      </c>
      <c r="AH299" s="198"/>
      <c r="AI299" s="181">
        <v>44914</v>
      </c>
      <c r="AJ299" s="181"/>
      <c r="AK299" s="181">
        <f t="shared" ca="1" si="39"/>
        <v>44958</v>
      </c>
      <c r="AL299" s="173">
        <f t="shared" ca="1" si="41"/>
        <v>44</v>
      </c>
      <c r="AM299" s="173" t="str">
        <f t="shared" si="42"/>
        <v/>
      </c>
      <c r="AN299" s="181"/>
      <c r="AO299" s="190" t="s">
        <v>2771</v>
      </c>
      <c r="AP299" s="176">
        <v>10.44</v>
      </c>
      <c r="AQ299" s="176">
        <v>10.45</v>
      </c>
      <c r="AR299" s="176">
        <v>10.474999999999998</v>
      </c>
      <c r="AS299" s="176">
        <v>10.479999999999999</v>
      </c>
      <c r="AT299" s="173" t="str">
        <f t="shared" si="43"/>
        <v/>
      </c>
      <c r="AU299" s="173">
        <v>462</v>
      </c>
      <c r="AW299" s="142" t="s">
        <v>123</v>
      </c>
    </row>
    <row r="300" spans="2:49" s="142" customFormat="1" ht="21" customHeight="1" x14ac:dyDescent="0.25">
      <c r="B300" s="173" t="str">
        <f t="shared" si="40"/>
        <v>0-304/1D-2.90X770</v>
      </c>
      <c r="C300" s="173" t="s">
        <v>4133</v>
      </c>
      <c r="D300" s="173" t="s">
        <v>13</v>
      </c>
      <c r="E300" s="190" t="s">
        <v>4149</v>
      </c>
      <c r="F300" s="190" t="s">
        <v>4150</v>
      </c>
      <c r="G300" s="173">
        <v>304</v>
      </c>
      <c r="H300" s="173" t="s">
        <v>127</v>
      </c>
      <c r="I300" s="174">
        <v>2.9</v>
      </c>
      <c r="J300" s="174"/>
      <c r="K300" s="174"/>
      <c r="L300" s="174"/>
      <c r="M300" s="191">
        <v>770</v>
      </c>
      <c r="N300" s="176">
        <v>10.58</v>
      </c>
      <c r="O300" s="176">
        <v>10.58</v>
      </c>
      <c r="P300" s="176"/>
      <c r="Q300" s="178"/>
      <c r="R300" s="179"/>
      <c r="S300" s="179"/>
      <c r="T300" s="177">
        <v>44944</v>
      </c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80" t="s">
        <v>1605</v>
      </c>
      <c r="AE300" s="173" t="s">
        <v>69</v>
      </c>
      <c r="AF300" s="181" t="s">
        <v>142</v>
      </c>
      <c r="AG300" s="192" t="s">
        <v>1584</v>
      </c>
      <c r="AH300" s="198"/>
      <c r="AI300" s="181">
        <v>44914</v>
      </c>
      <c r="AJ300" s="181"/>
      <c r="AK300" s="181">
        <f t="shared" ref="AK300:AK370" ca="1" si="44">TODAY()</f>
        <v>44958</v>
      </c>
      <c r="AL300" s="173">
        <f t="shared" ca="1" si="41"/>
        <v>44</v>
      </c>
      <c r="AM300" s="173" t="str">
        <f t="shared" si="42"/>
        <v/>
      </c>
      <c r="AN300" s="181"/>
      <c r="AO300" s="190" t="s">
        <v>4132</v>
      </c>
      <c r="AP300" s="176">
        <v>10.58</v>
      </c>
      <c r="AQ300" s="176">
        <v>10.59</v>
      </c>
      <c r="AR300" s="176">
        <v>10.614999999999998</v>
      </c>
      <c r="AS300" s="176">
        <v>10.62</v>
      </c>
      <c r="AT300" s="173" t="str">
        <f t="shared" si="43"/>
        <v/>
      </c>
      <c r="AU300" s="173">
        <v>462</v>
      </c>
      <c r="AW300" s="142" t="s">
        <v>123</v>
      </c>
    </row>
    <row r="301" spans="2:49" s="142" customFormat="1" ht="21" customHeight="1" x14ac:dyDescent="0.25">
      <c r="B301" s="173" t="str">
        <f t="shared" si="40"/>
        <v>0-304L/1D-2.90X646</v>
      </c>
      <c r="C301" s="173" t="s">
        <v>4146</v>
      </c>
      <c r="D301" s="173" t="s">
        <v>13</v>
      </c>
      <c r="E301" s="190" t="s">
        <v>4151</v>
      </c>
      <c r="F301" s="190" t="s">
        <v>4152</v>
      </c>
      <c r="G301" s="173" t="s">
        <v>182</v>
      </c>
      <c r="H301" s="173" t="s">
        <v>127</v>
      </c>
      <c r="I301" s="174">
        <v>2.9</v>
      </c>
      <c r="J301" s="174"/>
      <c r="K301" s="174"/>
      <c r="L301" s="174"/>
      <c r="M301" s="191">
        <v>646</v>
      </c>
      <c r="N301" s="176">
        <v>10.195</v>
      </c>
      <c r="O301" s="176">
        <v>10.195</v>
      </c>
      <c r="P301" s="176"/>
      <c r="Q301" s="178"/>
      <c r="R301" s="179"/>
      <c r="S301" s="179"/>
      <c r="T301" s="177">
        <v>44944</v>
      </c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80" t="s">
        <v>2448</v>
      </c>
      <c r="AE301" s="173" t="s">
        <v>69</v>
      </c>
      <c r="AF301" s="181" t="s">
        <v>142</v>
      </c>
      <c r="AG301" s="192" t="s">
        <v>1657</v>
      </c>
      <c r="AH301" s="198"/>
      <c r="AI301" s="181">
        <v>44849</v>
      </c>
      <c r="AJ301" s="181"/>
      <c r="AK301" s="181">
        <f t="shared" ca="1" si="44"/>
        <v>44958</v>
      </c>
      <c r="AL301" s="173">
        <f t="shared" ca="1" si="41"/>
        <v>109</v>
      </c>
      <c r="AM301" s="173" t="str">
        <f t="shared" si="42"/>
        <v/>
      </c>
      <c r="AN301" s="181"/>
      <c r="AO301" s="190" t="s">
        <v>1766</v>
      </c>
      <c r="AP301" s="176">
        <v>10.195</v>
      </c>
      <c r="AQ301" s="176">
        <v>10.205</v>
      </c>
      <c r="AR301" s="176">
        <v>10.229999999999999</v>
      </c>
      <c r="AS301" s="176">
        <v>10.234999999999999</v>
      </c>
      <c r="AT301" s="173" t="str">
        <f t="shared" si="43"/>
        <v/>
      </c>
      <c r="AU301" s="173">
        <v>456</v>
      </c>
      <c r="AW301" s="142" t="s">
        <v>123</v>
      </c>
    </row>
    <row r="302" spans="2:49" s="142" customFormat="1" ht="21" customHeight="1" x14ac:dyDescent="0.25">
      <c r="B302" s="173" t="str">
        <f t="shared" si="40"/>
        <v>0-304/FH-1.50X768</v>
      </c>
      <c r="C302" s="173" t="s">
        <v>4137</v>
      </c>
      <c r="D302" s="173" t="s">
        <v>16</v>
      </c>
      <c r="E302" s="190" t="s">
        <v>2644</v>
      </c>
      <c r="F302" s="190" t="s">
        <v>2645</v>
      </c>
      <c r="G302" s="173">
        <v>304</v>
      </c>
      <c r="H302" s="173" t="s">
        <v>70</v>
      </c>
      <c r="I302" s="174">
        <v>3.87</v>
      </c>
      <c r="J302" s="174">
        <v>1.5</v>
      </c>
      <c r="K302" s="174"/>
      <c r="L302" s="174"/>
      <c r="M302" s="191">
        <v>768</v>
      </c>
      <c r="N302" s="176">
        <v>9.36</v>
      </c>
      <c r="O302" s="176">
        <v>9.3550000000000004</v>
      </c>
      <c r="P302" s="176"/>
      <c r="Q302" s="178"/>
      <c r="R302" s="179"/>
      <c r="S302" s="179"/>
      <c r="T302" s="177">
        <v>44944</v>
      </c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80" t="s">
        <v>1507</v>
      </c>
      <c r="AE302" s="173" t="s">
        <v>69</v>
      </c>
      <c r="AF302" s="181" t="s">
        <v>142</v>
      </c>
      <c r="AG302" s="192" t="s">
        <v>1584</v>
      </c>
      <c r="AH302" s="198"/>
      <c r="AI302" s="181">
        <v>44914</v>
      </c>
      <c r="AJ302" s="181"/>
      <c r="AK302" s="181">
        <f t="shared" ca="1" si="44"/>
        <v>44958</v>
      </c>
      <c r="AL302" s="173">
        <f t="shared" ca="1" si="41"/>
        <v>44</v>
      </c>
      <c r="AM302" s="173" t="str">
        <f t="shared" si="42"/>
        <v/>
      </c>
      <c r="AN302" s="181"/>
      <c r="AO302" s="190" t="s">
        <v>2646</v>
      </c>
      <c r="AP302" s="176">
        <v>9.36</v>
      </c>
      <c r="AQ302" s="176">
        <v>9.3699999999999992</v>
      </c>
      <c r="AR302" s="176">
        <v>9.3949999999999978</v>
      </c>
      <c r="AS302" s="176">
        <v>9.3999999999999986</v>
      </c>
      <c r="AT302" s="173" t="str">
        <f t="shared" si="43"/>
        <v/>
      </c>
      <c r="AU302" s="173">
        <v>462</v>
      </c>
      <c r="AW302" s="142" t="s">
        <v>123</v>
      </c>
    </row>
    <row r="303" spans="2:49" s="142" customFormat="1" ht="21" customHeight="1" x14ac:dyDescent="0.25">
      <c r="B303" s="173" t="str">
        <f t="shared" si="40"/>
        <v>0-304/1D-3.80X775</v>
      </c>
      <c r="C303" s="173" t="s">
        <v>4153</v>
      </c>
      <c r="D303" s="173" t="s">
        <v>13</v>
      </c>
      <c r="E303" s="190" t="s">
        <v>2475</v>
      </c>
      <c r="F303" s="190" t="s">
        <v>2476</v>
      </c>
      <c r="G303" s="173">
        <v>304</v>
      </c>
      <c r="H303" s="173" t="s">
        <v>127</v>
      </c>
      <c r="I303" s="174">
        <v>3.8</v>
      </c>
      <c r="J303" s="174"/>
      <c r="K303" s="174"/>
      <c r="L303" s="174"/>
      <c r="M303" s="191">
        <v>775</v>
      </c>
      <c r="N303" s="176">
        <v>10.484999999999999</v>
      </c>
      <c r="O303" s="176">
        <v>10.484999999999999</v>
      </c>
      <c r="P303" s="176"/>
      <c r="Q303" s="178"/>
      <c r="R303" s="179"/>
      <c r="S303" s="179"/>
      <c r="T303" s="177">
        <v>44945</v>
      </c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80" t="s">
        <v>1605</v>
      </c>
      <c r="AE303" s="173" t="s">
        <v>69</v>
      </c>
      <c r="AF303" s="181" t="s">
        <v>142</v>
      </c>
      <c r="AG303" s="192" t="s">
        <v>1584</v>
      </c>
      <c r="AH303" s="198"/>
      <c r="AI303" s="181">
        <v>44914</v>
      </c>
      <c r="AJ303" s="181"/>
      <c r="AK303" s="181">
        <f t="shared" ca="1" si="44"/>
        <v>44958</v>
      </c>
      <c r="AL303" s="173">
        <f t="shared" ca="1" si="41"/>
        <v>44</v>
      </c>
      <c r="AM303" s="173" t="str">
        <f t="shared" si="42"/>
        <v/>
      </c>
      <c r="AN303" s="181"/>
      <c r="AO303" s="190" t="s">
        <v>2474</v>
      </c>
      <c r="AP303" s="176">
        <v>10.484999999999999</v>
      </c>
      <c r="AQ303" s="176">
        <v>10.494999999999999</v>
      </c>
      <c r="AR303" s="176">
        <v>10.519999999999998</v>
      </c>
      <c r="AS303" s="176">
        <v>10.524999999999999</v>
      </c>
      <c r="AT303" s="173" t="str">
        <f t="shared" si="43"/>
        <v/>
      </c>
      <c r="AU303" s="173">
        <v>462</v>
      </c>
      <c r="AW303" s="142" t="s">
        <v>123</v>
      </c>
    </row>
    <row r="304" spans="2:49" s="142" customFormat="1" ht="21" customHeight="1" x14ac:dyDescent="0.25">
      <c r="B304" s="173" t="str">
        <f t="shared" si="40"/>
        <v>0-304/2B-0.60X631</v>
      </c>
      <c r="C304" s="173" t="s">
        <v>4154</v>
      </c>
      <c r="D304" s="173" t="s">
        <v>1237</v>
      </c>
      <c r="E304" s="190" t="s">
        <v>4155</v>
      </c>
      <c r="F304" s="190" t="s">
        <v>4156</v>
      </c>
      <c r="G304" s="173">
        <v>304</v>
      </c>
      <c r="H304" s="173" t="s">
        <v>114</v>
      </c>
      <c r="I304" s="174">
        <v>2.75</v>
      </c>
      <c r="J304" s="174">
        <v>0.6</v>
      </c>
      <c r="K304" s="174">
        <v>0.56999999999999995</v>
      </c>
      <c r="L304" s="174">
        <v>0.59</v>
      </c>
      <c r="M304" s="191">
        <v>631</v>
      </c>
      <c r="N304" s="176">
        <v>4.1399999999999997</v>
      </c>
      <c r="O304" s="349">
        <v>10.34</v>
      </c>
      <c r="P304" s="176"/>
      <c r="Q304" s="178" t="s">
        <v>1344</v>
      </c>
      <c r="R304" s="179"/>
      <c r="S304" s="179" t="s">
        <v>230</v>
      </c>
      <c r="T304" s="177" t="s">
        <v>4157</v>
      </c>
      <c r="U304" s="177"/>
      <c r="V304" s="177"/>
      <c r="W304" s="177">
        <v>44917</v>
      </c>
      <c r="X304" s="177">
        <v>44940</v>
      </c>
      <c r="Y304" s="177"/>
      <c r="Z304" s="177" t="s">
        <v>4158</v>
      </c>
      <c r="AA304" s="177"/>
      <c r="AB304" s="177"/>
      <c r="AC304" s="177"/>
      <c r="AD304" s="180" t="s">
        <v>1619</v>
      </c>
      <c r="AE304" s="173" t="s">
        <v>69</v>
      </c>
      <c r="AF304" s="181" t="s">
        <v>142</v>
      </c>
      <c r="AG304" s="192" t="s">
        <v>1657</v>
      </c>
      <c r="AH304" s="198"/>
      <c r="AI304" s="181">
        <v>44849</v>
      </c>
      <c r="AJ304" s="181"/>
      <c r="AK304" s="181">
        <f t="shared" ca="1" si="44"/>
        <v>44958</v>
      </c>
      <c r="AL304" s="173">
        <f t="shared" ca="1" si="41"/>
        <v>109</v>
      </c>
      <c r="AM304" s="173">
        <f t="shared" ca="1" si="42"/>
        <v>18</v>
      </c>
      <c r="AN304" s="181"/>
      <c r="AO304" s="190" t="s">
        <v>4121</v>
      </c>
      <c r="AP304" s="176">
        <v>10.525</v>
      </c>
      <c r="AQ304" s="176">
        <v>10.535</v>
      </c>
      <c r="AR304" s="176">
        <v>10.559999999999999</v>
      </c>
      <c r="AS304" s="176">
        <v>10.565</v>
      </c>
      <c r="AT304" s="173" t="str">
        <f t="shared" si="43"/>
        <v/>
      </c>
      <c r="AU304" s="173">
        <v>456</v>
      </c>
      <c r="AW304" s="142" t="s">
        <v>123</v>
      </c>
    </row>
    <row r="305" spans="2:49" s="142" customFormat="1" ht="21" customHeight="1" x14ac:dyDescent="0.25">
      <c r="B305" s="173" t="str">
        <f t="shared" si="40"/>
        <v>0-304/2B-0.60X630</v>
      </c>
      <c r="C305" s="173" t="s">
        <v>4154</v>
      </c>
      <c r="D305" s="173" t="s">
        <v>1237</v>
      </c>
      <c r="E305" s="190" t="s">
        <v>4155</v>
      </c>
      <c r="F305" s="190" t="s">
        <v>4159</v>
      </c>
      <c r="G305" s="173">
        <v>304</v>
      </c>
      <c r="H305" s="173" t="s">
        <v>114</v>
      </c>
      <c r="I305" s="174">
        <v>2.75</v>
      </c>
      <c r="J305" s="174">
        <v>0.6</v>
      </c>
      <c r="K305" s="174">
        <v>0.56999999999999995</v>
      </c>
      <c r="L305" s="174">
        <v>0.59</v>
      </c>
      <c r="M305" s="191">
        <v>630</v>
      </c>
      <c r="N305" s="176">
        <v>6.2</v>
      </c>
      <c r="O305" s="350"/>
      <c r="P305" s="176"/>
      <c r="Q305" s="178" t="s">
        <v>1344</v>
      </c>
      <c r="R305" s="179"/>
      <c r="S305" s="179" t="s">
        <v>230</v>
      </c>
      <c r="T305" s="177" t="s">
        <v>4157</v>
      </c>
      <c r="U305" s="177"/>
      <c r="V305" s="177"/>
      <c r="W305" s="177">
        <v>44917</v>
      </c>
      <c r="X305" s="177">
        <v>44940</v>
      </c>
      <c r="Y305" s="177"/>
      <c r="Z305" s="177" t="s">
        <v>4160</v>
      </c>
      <c r="AA305" s="177"/>
      <c r="AB305" s="177"/>
      <c r="AC305" s="177"/>
      <c r="AD305" s="180" t="s">
        <v>1619</v>
      </c>
      <c r="AE305" s="173" t="s">
        <v>69</v>
      </c>
      <c r="AF305" s="181" t="s">
        <v>142</v>
      </c>
      <c r="AG305" s="192" t="s">
        <v>1657</v>
      </c>
      <c r="AH305" s="198"/>
      <c r="AI305" s="181">
        <v>44849</v>
      </c>
      <c r="AJ305" s="181"/>
      <c r="AK305" s="181">
        <f t="shared" ca="1" si="44"/>
        <v>44958</v>
      </c>
      <c r="AL305" s="173">
        <f t="shared" ca="1" si="41"/>
        <v>109</v>
      </c>
      <c r="AM305" s="173">
        <f t="shared" ca="1" si="42"/>
        <v>18</v>
      </c>
      <c r="AN305" s="181"/>
      <c r="AO305" s="190" t="s">
        <v>4121</v>
      </c>
      <c r="AP305" s="176">
        <v>10.525</v>
      </c>
      <c r="AQ305" s="176">
        <v>10.535</v>
      </c>
      <c r="AR305" s="176">
        <v>10.559999999999999</v>
      </c>
      <c r="AS305" s="176">
        <v>10.565</v>
      </c>
      <c r="AT305" s="173" t="str">
        <f t="shared" si="43"/>
        <v/>
      </c>
      <c r="AU305" s="173">
        <v>456</v>
      </c>
      <c r="AW305" s="142" t="s">
        <v>123</v>
      </c>
    </row>
    <row r="306" spans="2:49" s="142" customFormat="1" ht="21" customHeight="1" x14ac:dyDescent="0.25">
      <c r="B306" s="173" t="str">
        <f t="shared" si="40"/>
        <v>0-304L/FH-0.80X770</v>
      </c>
      <c r="C306" s="173" t="s">
        <v>4161</v>
      </c>
      <c r="D306" s="173" t="s">
        <v>16</v>
      </c>
      <c r="E306" s="190" t="s">
        <v>2647</v>
      </c>
      <c r="F306" s="190" t="s">
        <v>2648</v>
      </c>
      <c r="G306" s="173" t="s">
        <v>182</v>
      </c>
      <c r="H306" s="173" t="s">
        <v>70</v>
      </c>
      <c r="I306" s="174">
        <v>2.95</v>
      </c>
      <c r="J306" s="174">
        <v>0.8</v>
      </c>
      <c r="K306" s="174"/>
      <c r="L306" s="174"/>
      <c r="M306" s="191">
        <v>770</v>
      </c>
      <c r="N306" s="176">
        <v>10.555</v>
      </c>
      <c r="O306" s="176">
        <v>10.53</v>
      </c>
      <c r="P306" s="176"/>
      <c r="Q306" s="178"/>
      <c r="R306" s="179"/>
      <c r="S306" s="179"/>
      <c r="T306" s="177">
        <v>44944</v>
      </c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80" t="s">
        <v>2448</v>
      </c>
      <c r="AE306" s="173" t="s">
        <v>69</v>
      </c>
      <c r="AF306" s="181" t="s">
        <v>142</v>
      </c>
      <c r="AG306" s="192" t="s">
        <v>1584</v>
      </c>
      <c r="AH306" s="198"/>
      <c r="AI306" s="181">
        <v>44914</v>
      </c>
      <c r="AJ306" s="181"/>
      <c r="AK306" s="181">
        <f t="shared" ca="1" si="44"/>
        <v>44958</v>
      </c>
      <c r="AL306" s="173">
        <f t="shared" ca="1" si="41"/>
        <v>44</v>
      </c>
      <c r="AM306" s="173" t="str">
        <f t="shared" si="42"/>
        <v/>
      </c>
      <c r="AN306" s="181"/>
      <c r="AO306" s="190" t="s">
        <v>2649</v>
      </c>
      <c r="AP306" s="176">
        <v>10.555</v>
      </c>
      <c r="AQ306" s="176">
        <v>10.565</v>
      </c>
      <c r="AR306" s="176">
        <v>10.589999999999998</v>
      </c>
      <c r="AS306" s="176">
        <v>10.594999999999999</v>
      </c>
      <c r="AT306" s="173" t="str">
        <f t="shared" si="43"/>
        <v/>
      </c>
      <c r="AU306" s="173">
        <v>462</v>
      </c>
      <c r="AW306" s="142" t="s">
        <v>123</v>
      </c>
    </row>
    <row r="307" spans="2:49" s="142" customFormat="1" ht="21" customHeight="1" x14ac:dyDescent="0.25">
      <c r="B307" s="173" t="str">
        <f t="shared" si="40"/>
        <v>0-304L/1D-3.88X763</v>
      </c>
      <c r="C307" s="173" t="s">
        <v>4153</v>
      </c>
      <c r="D307" s="173" t="s">
        <v>13</v>
      </c>
      <c r="E307" s="190" t="s">
        <v>2449</v>
      </c>
      <c r="F307" s="190" t="s">
        <v>2450</v>
      </c>
      <c r="G307" s="173" t="s">
        <v>182</v>
      </c>
      <c r="H307" s="173" t="s">
        <v>127</v>
      </c>
      <c r="I307" s="174">
        <v>3.88</v>
      </c>
      <c r="J307" s="174"/>
      <c r="K307" s="174"/>
      <c r="L307" s="174"/>
      <c r="M307" s="191">
        <v>763</v>
      </c>
      <c r="N307" s="176">
        <v>12.074999999999999</v>
      </c>
      <c r="O307" s="176">
        <v>12.074999999999999</v>
      </c>
      <c r="P307" s="176"/>
      <c r="Q307" s="178"/>
      <c r="R307" s="179"/>
      <c r="S307" s="179"/>
      <c r="T307" s="177">
        <v>44945</v>
      </c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80" t="s">
        <v>2448</v>
      </c>
      <c r="AE307" s="173" t="s">
        <v>69</v>
      </c>
      <c r="AF307" s="181" t="s">
        <v>142</v>
      </c>
      <c r="AG307" s="192" t="s">
        <v>1584</v>
      </c>
      <c r="AH307" s="198"/>
      <c r="AI307" s="181">
        <v>44914</v>
      </c>
      <c r="AJ307" s="181"/>
      <c r="AK307" s="181">
        <f t="shared" ca="1" si="44"/>
        <v>44958</v>
      </c>
      <c r="AL307" s="173">
        <f t="shared" ca="1" si="41"/>
        <v>44</v>
      </c>
      <c r="AM307" s="173" t="str">
        <f t="shared" si="42"/>
        <v/>
      </c>
      <c r="AN307" s="181"/>
      <c r="AO307" s="190" t="s">
        <v>2452</v>
      </c>
      <c r="AP307" s="176">
        <v>12.074999999999999</v>
      </c>
      <c r="AQ307" s="176">
        <v>12.085000000000001</v>
      </c>
      <c r="AR307" s="176">
        <v>12.11</v>
      </c>
      <c r="AS307" s="176">
        <v>12.115</v>
      </c>
      <c r="AT307" s="173" t="str">
        <f t="shared" si="43"/>
        <v/>
      </c>
      <c r="AU307" s="173">
        <v>462</v>
      </c>
      <c r="AW307" s="142" t="s">
        <v>123</v>
      </c>
    </row>
    <row r="308" spans="2:49" s="142" customFormat="1" ht="21" customHeight="1" x14ac:dyDescent="0.25">
      <c r="B308" s="173" t="str">
        <f t="shared" si="40"/>
        <v>0-304/FH-1.00X770</v>
      </c>
      <c r="C308" s="173" t="s">
        <v>4161</v>
      </c>
      <c r="D308" s="173" t="s">
        <v>16</v>
      </c>
      <c r="E308" s="190" t="s">
        <v>2665</v>
      </c>
      <c r="F308" s="190" t="s">
        <v>4145</v>
      </c>
      <c r="G308" s="173">
        <v>304</v>
      </c>
      <c r="H308" s="173" t="s">
        <v>70</v>
      </c>
      <c r="I308" s="174">
        <v>2.89</v>
      </c>
      <c r="J308" s="174">
        <v>1</v>
      </c>
      <c r="K308" s="174"/>
      <c r="L308" s="174"/>
      <c r="M308" s="191">
        <v>770</v>
      </c>
      <c r="N308" s="176">
        <v>10.525</v>
      </c>
      <c r="O308" s="176">
        <v>10.595000000000001</v>
      </c>
      <c r="P308" s="176"/>
      <c r="Q308" s="178"/>
      <c r="R308" s="179"/>
      <c r="S308" s="179"/>
      <c r="T308" s="177">
        <v>44944</v>
      </c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80" t="s">
        <v>2448</v>
      </c>
      <c r="AE308" s="173" t="s">
        <v>69</v>
      </c>
      <c r="AF308" s="181" t="s">
        <v>142</v>
      </c>
      <c r="AG308" s="192" t="s">
        <v>1584</v>
      </c>
      <c r="AH308" s="198"/>
      <c r="AI308" s="181">
        <v>44914</v>
      </c>
      <c r="AJ308" s="181"/>
      <c r="AK308" s="181">
        <f t="shared" ca="1" si="44"/>
        <v>44958</v>
      </c>
      <c r="AL308" s="173">
        <f t="shared" ca="1" si="41"/>
        <v>44</v>
      </c>
      <c r="AM308" s="173" t="str">
        <f t="shared" si="42"/>
        <v/>
      </c>
      <c r="AN308" s="181"/>
      <c r="AO308" s="190" t="s">
        <v>2667</v>
      </c>
      <c r="AP308" s="176">
        <v>10.525</v>
      </c>
      <c r="AQ308" s="176">
        <v>10.535</v>
      </c>
      <c r="AR308" s="176">
        <v>10.559999999999999</v>
      </c>
      <c r="AS308" s="176">
        <v>10.565</v>
      </c>
      <c r="AT308" s="173" t="str">
        <f t="shared" si="43"/>
        <v/>
      </c>
      <c r="AU308" s="173">
        <v>462</v>
      </c>
      <c r="AW308" s="142" t="s">
        <v>123</v>
      </c>
    </row>
    <row r="309" spans="2:49" s="142" customFormat="1" ht="21" customHeight="1" x14ac:dyDescent="0.25">
      <c r="B309" s="173" t="str">
        <f t="shared" si="40"/>
        <v>0-304L/1D-3.10X642</v>
      </c>
      <c r="C309" s="173" t="s">
        <v>4162</v>
      </c>
      <c r="D309" s="173" t="s">
        <v>13</v>
      </c>
      <c r="E309" s="190" t="s">
        <v>4163</v>
      </c>
      <c r="F309" s="190" t="s">
        <v>4164</v>
      </c>
      <c r="G309" s="173" t="s">
        <v>182</v>
      </c>
      <c r="H309" s="173" t="s">
        <v>127</v>
      </c>
      <c r="I309" s="174">
        <v>3.1</v>
      </c>
      <c r="J309" s="174"/>
      <c r="K309" s="174"/>
      <c r="L309" s="174"/>
      <c r="M309" s="191">
        <v>642</v>
      </c>
      <c r="N309" s="176">
        <v>10.64</v>
      </c>
      <c r="O309" s="176">
        <v>10.64</v>
      </c>
      <c r="P309" s="176"/>
      <c r="Q309" s="178"/>
      <c r="R309" s="179"/>
      <c r="S309" s="179"/>
      <c r="T309" s="177">
        <v>44945</v>
      </c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80" t="s">
        <v>1605</v>
      </c>
      <c r="AE309" s="173" t="s">
        <v>69</v>
      </c>
      <c r="AF309" s="181" t="s">
        <v>142</v>
      </c>
      <c r="AG309" s="192" t="s">
        <v>1657</v>
      </c>
      <c r="AH309" s="198"/>
      <c r="AI309" s="181">
        <v>44849</v>
      </c>
      <c r="AJ309" s="181"/>
      <c r="AK309" s="181">
        <f t="shared" ca="1" si="44"/>
        <v>44958</v>
      </c>
      <c r="AL309" s="173">
        <f t="shared" ca="1" si="41"/>
        <v>109</v>
      </c>
      <c r="AM309" s="173" t="str">
        <f t="shared" si="42"/>
        <v/>
      </c>
      <c r="AN309" s="181"/>
      <c r="AO309" s="190" t="s">
        <v>1670</v>
      </c>
      <c r="AP309" s="176">
        <v>10.64</v>
      </c>
      <c r="AQ309" s="176">
        <v>10.65</v>
      </c>
      <c r="AR309" s="176">
        <v>10.674999999999999</v>
      </c>
      <c r="AS309" s="176">
        <v>10.68</v>
      </c>
      <c r="AT309" s="173" t="str">
        <f t="shared" si="43"/>
        <v/>
      </c>
      <c r="AU309" s="173">
        <v>456</v>
      </c>
      <c r="AW309" s="142" t="s">
        <v>123</v>
      </c>
    </row>
    <row r="310" spans="2:49" s="142" customFormat="1" ht="21" customHeight="1" x14ac:dyDescent="0.25">
      <c r="B310" s="173" t="str">
        <f t="shared" si="40"/>
        <v>0-304L/1D-3.79X769</v>
      </c>
      <c r="C310" s="173" t="s">
        <v>4153</v>
      </c>
      <c r="D310" s="173" t="s">
        <v>13</v>
      </c>
      <c r="E310" s="190" t="s">
        <v>1534</v>
      </c>
      <c r="F310" s="190" t="s">
        <v>4165</v>
      </c>
      <c r="G310" s="173" t="s">
        <v>182</v>
      </c>
      <c r="H310" s="173" t="s">
        <v>127</v>
      </c>
      <c r="I310" s="174">
        <v>3.79</v>
      </c>
      <c r="J310" s="174"/>
      <c r="K310" s="174"/>
      <c r="L310" s="174"/>
      <c r="M310" s="191">
        <v>769</v>
      </c>
      <c r="N310" s="176">
        <v>12.285</v>
      </c>
      <c r="O310" s="176">
        <v>12.285</v>
      </c>
      <c r="P310" s="176"/>
      <c r="Q310" s="178"/>
      <c r="R310" s="179"/>
      <c r="S310" s="179"/>
      <c r="T310" s="177">
        <v>44945</v>
      </c>
      <c r="U310" s="177"/>
      <c r="V310" s="177"/>
      <c r="W310" s="177"/>
      <c r="X310" s="177"/>
      <c r="Y310" s="177"/>
      <c r="Z310" s="177"/>
      <c r="AA310" s="177">
        <v>44940</v>
      </c>
      <c r="AB310" s="177"/>
      <c r="AC310" s="177"/>
      <c r="AD310" s="180" t="s">
        <v>1507</v>
      </c>
      <c r="AE310" s="173" t="s">
        <v>69</v>
      </c>
      <c r="AF310" s="181" t="s">
        <v>142</v>
      </c>
      <c r="AG310" s="192" t="s">
        <v>1508</v>
      </c>
      <c r="AH310" s="198"/>
      <c r="AI310" s="181">
        <v>44849</v>
      </c>
      <c r="AJ310" s="181"/>
      <c r="AK310" s="181">
        <f t="shared" ca="1" si="44"/>
        <v>44958</v>
      </c>
      <c r="AL310" s="173">
        <f t="shared" ca="1" si="41"/>
        <v>109</v>
      </c>
      <c r="AM310" s="173" t="str">
        <f t="shared" si="42"/>
        <v/>
      </c>
      <c r="AN310" s="181"/>
      <c r="AO310" s="190" t="s">
        <v>1537</v>
      </c>
      <c r="AP310" s="176">
        <v>24.545000000000002</v>
      </c>
      <c r="AQ310" s="176">
        <v>24.605</v>
      </c>
      <c r="AR310" s="176">
        <v>24.630000000000003</v>
      </c>
      <c r="AS310" s="176">
        <v>24.635000000000002</v>
      </c>
      <c r="AT310" s="173" t="str">
        <f t="shared" si="43"/>
        <v/>
      </c>
      <c r="AU310" s="173">
        <v>456</v>
      </c>
      <c r="AW310" s="142" t="s">
        <v>123</v>
      </c>
    </row>
    <row r="311" spans="2:49" s="142" customFormat="1" ht="21" customHeight="1" x14ac:dyDescent="0.25">
      <c r="B311" s="173" t="str">
        <f t="shared" si="40"/>
        <v>0-304L/1D-3.88X763</v>
      </c>
      <c r="C311" s="173" t="s">
        <v>4166</v>
      </c>
      <c r="D311" s="173" t="s">
        <v>3901</v>
      </c>
      <c r="E311" s="190" t="s">
        <v>2449</v>
      </c>
      <c r="F311" s="190" t="s">
        <v>2450</v>
      </c>
      <c r="G311" s="173" t="s">
        <v>182</v>
      </c>
      <c r="H311" s="173" t="s">
        <v>127</v>
      </c>
      <c r="I311" s="174">
        <v>3.88</v>
      </c>
      <c r="J311" s="174"/>
      <c r="K311" s="174"/>
      <c r="L311" s="174"/>
      <c r="M311" s="191">
        <v>763</v>
      </c>
      <c r="N311" s="176">
        <v>12.074999999999999</v>
      </c>
      <c r="O311" s="176">
        <v>12.074999999999999</v>
      </c>
      <c r="P311" s="176"/>
      <c r="Q311" s="178"/>
      <c r="R311" s="178" t="s">
        <v>4167</v>
      </c>
      <c r="S311" s="179"/>
      <c r="T311" s="177">
        <v>44945</v>
      </c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80" t="s">
        <v>2448</v>
      </c>
      <c r="AE311" s="173" t="s">
        <v>69</v>
      </c>
      <c r="AF311" s="181" t="s">
        <v>142</v>
      </c>
      <c r="AG311" s="192" t="s">
        <v>1584</v>
      </c>
      <c r="AH311" s="198"/>
      <c r="AI311" s="181">
        <v>44914</v>
      </c>
      <c r="AJ311" s="181"/>
      <c r="AK311" s="181">
        <f t="shared" ca="1" si="44"/>
        <v>44958</v>
      </c>
      <c r="AL311" s="173">
        <f t="shared" ca="1" si="41"/>
        <v>44</v>
      </c>
      <c r="AM311" s="173" t="str">
        <f t="shared" si="42"/>
        <v/>
      </c>
      <c r="AN311" s="181"/>
      <c r="AO311" s="190" t="s">
        <v>2452</v>
      </c>
      <c r="AP311" s="176">
        <v>12.074999999999999</v>
      </c>
      <c r="AQ311" s="176">
        <v>12.085000000000001</v>
      </c>
      <c r="AR311" s="176">
        <v>12.11</v>
      </c>
      <c r="AS311" s="176">
        <v>12.115</v>
      </c>
      <c r="AT311" s="173" t="str">
        <f t="shared" si="43"/>
        <v/>
      </c>
      <c r="AU311" s="173">
        <v>462</v>
      </c>
      <c r="AW311" s="142" t="s">
        <v>123</v>
      </c>
    </row>
    <row r="312" spans="2:49" s="142" customFormat="1" ht="21" customHeight="1" x14ac:dyDescent="0.25">
      <c r="B312" s="173" t="str">
        <f t="shared" si="40"/>
        <v>0-304/FH-1.20X775</v>
      </c>
      <c r="C312" s="173" t="s">
        <v>4161</v>
      </c>
      <c r="D312" s="173" t="s">
        <v>16</v>
      </c>
      <c r="E312" s="190" t="s">
        <v>2472</v>
      </c>
      <c r="F312" s="190" t="s">
        <v>2473</v>
      </c>
      <c r="G312" s="173">
        <v>304</v>
      </c>
      <c r="H312" s="173" t="s">
        <v>70</v>
      </c>
      <c r="I312" s="174">
        <v>3.8</v>
      </c>
      <c r="J312" s="174">
        <v>1.2</v>
      </c>
      <c r="K312" s="174"/>
      <c r="L312" s="174"/>
      <c r="M312" s="191">
        <v>775</v>
      </c>
      <c r="N312" s="176">
        <v>10.51</v>
      </c>
      <c r="O312" s="176">
        <v>10.52</v>
      </c>
      <c r="P312" s="176"/>
      <c r="Q312" s="178"/>
      <c r="R312" s="179"/>
      <c r="S312" s="179"/>
      <c r="T312" s="177">
        <v>44944</v>
      </c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80" t="s">
        <v>1605</v>
      </c>
      <c r="AE312" s="173" t="s">
        <v>69</v>
      </c>
      <c r="AF312" s="181" t="s">
        <v>142</v>
      </c>
      <c r="AG312" s="192" t="s">
        <v>1584</v>
      </c>
      <c r="AH312" s="198"/>
      <c r="AI312" s="181">
        <v>44914</v>
      </c>
      <c r="AJ312" s="181"/>
      <c r="AK312" s="181">
        <f t="shared" ca="1" si="44"/>
        <v>44958</v>
      </c>
      <c r="AL312" s="173">
        <f t="shared" ca="1" si="41"/>
        <v>44</v>
      </c>
      <c r="AM312" s="173" t="str">
        <f t="shared" si="42"/>
        <v/>
      </c>
      <c r="AN312" s="181"/>
      <c r="AO312" s="190" t="s">
        <v>2474</v>
      </c>
      <c r="AP312" s="176">
        <v>10.51</v>
      </c>
      <c r="AQ312" s="176">
        <v>10.52</v>
      </c>
      <c r="AR312" s="176">
        <v>10.544999999999998</v>
      </c>
      <c r="AS312" s="176">
        <v>10.549999999999999</v>
      </c>
      <c r="AT312" s="173" t="str">
        <f t="shared" si="43"/>
        <v/>
      </c>
      <c r="AU312" s="173">
        <v>462</v>
      </c>
      <c r="AW312" s="142" t="s">
        <v>123</v>
      </c>
    </row>
    <row r="313" spans="2:49" s="142" customFormat="1" ht="21" customHeight="1" x14ac:dyDescent="0.25">
      <c r="B313" s="173" t="str">
        <f t="shared" ref="B313:B376" si="45">IF(C313="HOLD RM","HOLD RM",IF(C313="BAL","WIP",IF(C313="HOLD SLT","HOLD SLT",IF(C313="MILL","RM",IF(C313="RE SLT","WIP",IF(C313="RM","RM",IF(C313="RM BAL","RM",IF(C313="RM SLT","RM",IF(C313="RR","WIP",IF(C313="SKP","WIP",IF(C313="SLT","WIP",IF(C313="CTL","WIP",IF(C313="RM SLT RUST","RM SLT RUST",0)))))))))))))&amp;"-"&amp;G313&amp;"/"&amp;IF(H313="2B","2B",IF(H313="NO.1","1D",IF(H313="FH","FH",0)))&amp;"-"&amp;IF(J313="",(TEXT(I313,"0.00")),TEXT(J313,"0.00"))&amp;"X"&amp;M313</f>
        <v>0-304L/1D-2.80X770</v>
      </c>
      <c r="C313" s="173" t="s">
        <v>4153</v>
      </c>
      <c r="D313" s="173" t="s">
        <v>13</v>
      </c>
      <c r="E313" s="190" t="s">
        <v>4168</v>
      </c>
      <c r="F313" s="190" t="s">
        <v>4169</v>
      </c>
      <c r="G313" s="173" t="s">
        <v>182</v>
      </c>
      <c r="H313" s="173" t="s">
        <v>127</v>
      </c>
      <c r="I313" s="174">
        <v>2.8</v>
      </c>
      <c r="J313" s="174"/>
      <c r="K313" s="174"/>
      <c r="L313" s="174"/>
      <c r="M313" s="191">
        <v>770</v>
      </c>
      <c r="N313" s="176">
        <v>10.535</v>
      </c>
      <c r="O313" s="176">
        <v>10.535</v>
      </c>
      <c r="P313" s="176"/>
      <c r="Q313" s="178"/>
      <c r="R313" s="179"/>
      <c r="S313" s="179"/>
      <c r="T313" s="177">
        <v>44945</v>
      </c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80" t="s">
        <v>1507</v>
      </c>
      <c r="AE313" s="173" t="s">
        <v>69</v>
      </c>
      <c r="AF313" s="181" t="s">
        <v>142</v>
      </c>
      <c r="AG313" s="192" t="s">
        <v>1584</v>
      </c>
      <c r="AH313" s="198"/>
      <c r="AI313" s="181">
        <v>44914</v>
      </c>
      <c r="AJ313" s="181"/>
      <c r="AK313" s="181">
        <f t="shared" ca="1" si="44"/>
        <v>44958</v>
      </c>
      <c r="AL313" s="173">
        <f t="shared" ref="AL313:AL376" ca="1" si="46">IF(AI313&lt;&gt;0,AK313-AI313,0)</f>
        <v>44</v>
      </c>
      <c r="AM313" s="173" t="str">
        <f t="shared" ref="AM313:AM376" si="47">IF(ISNUMBER(X313)=TRUE,AK313-X313,IF(X313="","",(AK313)-(MID(RIGHT(X313,10),4,2)&amp;"/"&amp;LEFT((RIGHT(X313,10)),2)&amp;"/"&amp;RIGHT(X313,4))))</f>
        <v/>
      </c>
      <c r="AN313" s="181"/>
      <c r="AO313" s="190" t="s">
        <v>4001</v>
      </c>
      <c r="AP313" s="176">
        <v>10.535</v>
      </c>
      <c r="AQ313" s="176">
        <v>10.545</v>
      </c>
      <c r="AR313" s="176">
        <v>10.569999999999999</v>
      </c>
      <c r="AS313" s="176">
        <v>10.574999999999999</v>
      </c>
      <c r="AT313" s="173" t="str">
        <f t="shared" si="43"/>
        <v/>
      </c>
      <c r="AU313" s="173">
        <v>462</v>
      </c>
      <c r="AW313" s="142" t="s">
        <v>123</v>
      </c>
    </row>
    <row r="314" spans="2:49" s="142" customFormat="1" ht="21" customHeight="1" x14ac:dyDescent="0.25">
      <c r="B314" s="173" t="str">
        <f t="shared" si="45"/>
        <v>0-304/FH-1.20X775</v>
      </c>
      <c r="C314" s="173" t="s">
        <v>4161</v>
      </c>
      <c r="D314" s="173" t="s">
        <v>16</v>
      </c>
      <c r="E314" s="190" t="s">
        <v>2475</v>
      </c>
      <c r="F314" s="190" t="s">
        <v>2476</v>
      </c>
      <c r="G314" s="173">
        <v>304</v>
      </c>
      <c r="H314" s="173" t="s">
        <v>70</v>
      </c>
      <c r="I314" s="174">
        <v>3.8</v>
      </c>
      <c r="J314" s="174">
        <v>1.2</v>
      </c>
      <c r="K314" s="174"/>
      <c r="L314" s="174"/>
      <c r="M314" s="191">
        <v>775</v>
      </c>
      <c r="N314" s="176">
        <v>10.484999999999999</v>
      </c>
      <c r="O314" s="176">
        <v>10.484999999999999</v>
      </c>
      <c r="P314" s="176"/>
      <c r="Q314" s="178"/>
      <c r="R314" s="179"/>
      <c r="S314" s="179"/>
      <c r="T314" s="177">
        <v>44945</v>
      </c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80" t="s">
        <v>1605</v>
      </c>
      <c r="AE314" s="173" t="s">
        <v>69</v>
      </c>
      <c r="AF314" s="181" t="s">
        <v>142</v>
      </c>
      <c r="AG314" s="192" t="s">
        <v>1584</v>
      </c>
      <c r="AH314" s="198"/>
      <c r="AI314" s="181">
        <v>44914</v>
      </c>
      <c r="AJ314" s="181"/>
      <c r="AK314" s="181">
        <f t="shared" ca="1" si="44"/>
        <v>44958</v>
      </c>
      <c r="AL314" s="173">
        <f t="shared" ca="1" si="46"/>
        <v>44</v>
      </c>
      <c r="AM314" s="173" t="str">
        <f t="shared" si="47"/>
        <v/>
      </c>
      <c r="AN314" s="181"/>
      <c r="AO314" s="190" t="s">
        <v>2474</v>
      </c>
      <c r="AP314" s="176">
        <v>10.484999999999999</v>
      </c>
      <c r="AQ314" s="176">
        <v>10.494999999999999</v>
      </c>
      <c r="AR314" s="176">
        <v>10.519999999999998</v>
      </c>
      <c r="AS314" s="176">
        <v>10.524999999999999</v>
      </c>
      <c r="AT314" s="173" t="str">
        <f t="shared" si="43"/>
        <v/>
      </c>
      <c r="AU314" s="173">
        <v>462</v>
      </c>
      <c r="AW314" s="142" t="s">
        <v>123</v>
      </c>
    </row>
    <row r="315" spans="2:49" s="142" customFormat="1" ht="21" customHeight="1" x14ac:dyDescent="0.25">
      <c r="B315" s="173" t="str">
        <f t="shared" si="45"/>
        <v>0-304/1D-2.90X770</v>
      </c>
      <c r="C315" s="173" t="s">
        <v>4153</v>
      </c>
      <c r="D315" s="173" t="s">
        <v>13</v>
      </c>
      <c r="E315" s="190" t="s">
        <v>4170</v>
      </c>
      <c r="F315" s="190" t="s">
        <v>4171</v>
      </c>
      <c r="G315" s="173">
        <v>304</v>
      </c>
      <c r="H315" s="173" t="s">
        <v>127</v>
      </c>
      <c r="I315" s="174">
        <v>2.9</v>
      </c>
      <c r="J315" s="174"/>
      <c r="K315" s="174"/>
      <c r="L315" s="174"/>
      <c r="M315" s="191">
        <v>770</v>
      </c>
      <c r="N315" s="176">
        <v>10.220000000000001</v>
      </c>
      <c r="O315" s="176">
        <v>10.220000000000001</v>
      </c>
      <c r="P315" s="176"/>
      <c r="Q315" s="178"/>
      <c r="R315" s="179"/>
      <c r="S315" s="179"/>
      <c r="T315" s="177">
        <v>44945</v>
      </c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80" t="s">
        <v>2448</v>
      </c>
      <c r="AE315" s="173" t="s">
        <v>69</v>
      </c>
      <c r="AF315" s="181" t="s">
        <v>142</v>
      </c>
      <c r="AG315" s="192" t="s">
        <v>1584</v>
      </c>
      <c r="AH315" s="198"/>
      <c r="AI315" s="181">
        <v>44914</v>
      </c>
      <c r="AJ315" s="181"/>
      <c r="AK315" s="181">
        <f t="shared" ca="1" si="44"/>
        <v>44958</v>
      </c>
      <c r="AL315" s="173">
        <f t="shared" ca="1" si="46"/>
        <v>44</v>
      </c>
      <c r="AM315" s="173" t="str">
        <f t="shared" si="47"/>
        <v/>
      </c>
      <c r="AN315" s="181"/>
      <c r="AO315" s="190" t="s">
        <v>2637</v>
      </c>
      <c r="AP315" s="176">
        <v>10.220000000000001</v>
      </c>
      <c r="AQ315" s="176">
        <v>10.23</v>
      </c>
      <c r="AR315" s="176">
        <v>10.254999999999999</v>
      </c>
      <c r="AS315" s="176">
        <v>10.26</v>
      </c>
      <c r="AT315" s="173" t="str">
        <f t="shared" si="43"/>
        <v/>
      </c>
      <c r="AU315" s="173">
        <v>462</v>
      </c>
      <c r="AW315" s="142" t="s">
        <v>123</v>
      </c>
    </row>
    <row r="316" spans="2:49" s="142" customFormat="1" ht="21" customHeight="1" x14ac:dyDescent="0.25">
      <c r="B316" s="173" t="str">
        <f t="shared" si="45"/>
        <v>0-304/FH-0.95X770</v>
      </c>
      <c r="C316" s="173" t="s">
        <v>4161</v>
      </c>
      <c r="D316" s="173" t="s">
        <v>16</v>
      </c>
      <c r="E316" s="190" t="s">
        <v>4149</v>
      </c>
      <c r="F316" s="190" t="s">
        <v>4150</v>
      </c>
      <c r="G316" s="173">
        <v>304</v>
      </c>
      <c r="H316" s="173" t="s">
        <v>70</v>
      </c>
      <c r="I316" s="174">
        <v>2.9</v>
      </c>
      <c r="J316" s="174">
        <v>0.95</v>
      </c>
      <c r="K316" s="174"/>
      <c r="L316" s="174"/>
      <c r="M316" s="191">
        <v>770</v>
      </c>
      <c r="N316" s="176">
        <v>10.58</v>
      </c>
      <c r="O316" s="176">
        <v>10.585000000000001</v>
      </c>
      <c r="P316" s="176"/>
      <c r="Q316" s="178"/>
      <c r="R316" s="179"/>
      <c r="S316" s="179"/>
      <c r="T316" s="177">
        <v>44944</v>
      </c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80" t="s">
        <v>1605</v>
      </c>
      <c r="AE316" s="173" t="s">
        <v>69</v>
      </c>
      <c r="AF316" s="181" t="s">
        <v>142</v>
      </c>
      <c r="AG316" s="192" t="s">
        <v>1584</v>
      </c>
      <c r="AH316" s="198"/>
      <c r="AI316" s="181">
        <v>44914</v>
      </c>
      <c r="AJ316" s="181"/>
      <c r="AK316" s="181">
        <f t="shared" ca="1" si="44"/>
        <v>44958</v>
      </c>
      <c r="AL316" s="173">
        <f t="shared" ca="1" si="46"/>
        <v>44</v>
      </c>
      <c r="AM316" s="173" t="str">
        <f t="shared" si="47"/>
        <v/>
      </c>
      <c r="AN316" s="181"/>
      <c r="AO316" s="190" t="s">
        <v>4132</v>
      </c>
      <c r="AP316" s="176">
        <v>10.58</v>
      </c>
      <c r="AQ316" s="176">
        <v>10.59</v>
      </c>
      <c r="AR316" s="176">
        <v>10.614999999999998</v>
      </c>
      <c r="AS316" s="176">
        <v>10.62</v>
      </c>
      <c r="AT316" s="173" t="str">
        <f t="shared" si="43"/>
        <v/>
      </c>
      <c r="AU316" s="173">
        <v>462</v>
      </c>
      <c r="AW316" s="142" t="s">
        <v>123</v>
      </c>
    </row>
    <row r="317" spans="2:49" s="142" customFormat="1" ht="21" customHeight="1" x14ac:dyDescent="0.25">
      <c r="B317" s="173" t="str">
        <f t="shared" si="45"/>
        <v>0-304L/1D-3.10X643</v>
      </c>
      <c r="C317" s="173" t="s">
        <v>4162</v>
      </c>
      <c r="D317" s="173" t="s">
        <v>13</v>
      </c>
      <c r="E317" s="190" t="s">
        <v>1668</v>
      </c>
      <c r="F317" s="190" t="s">
        <v>1669</v>
      </c>
      <c r="G317" s="173" t="s">
        <v>182</v>
      </c>
      <c r="H317" s="173" t="s">
        <v>127</v>
      </c>
      <c r="I317" s="174">
        <v>3.1</v>
      </c>
      <c r="J317" s="174"/>
      <c r="K317" s="174"/>
      <c r="L317" s="174"/>
      <c r="M317" s="191">
        <v>643</v>
      </c>
      <c r="N317" s="176">
        <v>10.67</v>
      </c>
      <c r="O317" s="176">
        <v>10.67</v>
      </c>
      <c r="P317" s="176"/>
      <c r="Q317" s="178"/>
      <c r="R317" s="179"/>
      <c r="S317" s="179"/>
      <c r="T317" s="177">
        <v>44945</v>
      </c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80" t="s">
        <v>1605</v>
      </c>
      <c r="AE317" s="173" t="s">
        <v>69</v>
      </c>
      <c r="AF317" s="181" t="s">
        <v>142</v>
      </c>
      <c r="AG317" s="192" t="s">
        <v>1657</v>
      </c>
      <c r="AH317" s="198"/>
      <c r="AI317" s="181">
        <v>44849</v>
      </c>
      <c r="AJ317" s="181"/>
      <c r="AK317" s="181">
        <f t="shared" ca="1" si="44"/>
        <v>44958</v>
      </c>
      <c r="AL317" s="173">
        <f t="shared" ca="1" si="46"/>
        <v>109</v>
      </c>
      <c r="AM317" s="173" t="str">
        <f t="shared" si="47"/>
        <v/>
      </c>
      <c r="AN317" s="181"/>
      <c r="AO317" s="190" t="s">
        <v>1670</v>
      </c>
      <c r="AP317" s="176">
        <v>10.67</v>
      </c>
      <c r="AQ317" s="176">
        <v>10.68</v>
      </c>
      <c r="AR317" s="176">
        <v>10.704999999999998</v>
      </c>
      <c r="AS317" s="176">
        <v>10.709999999999999</v>
      </c>
      <c r="AT317" s="173" t="str">
        <f t="shared" si="43"/>
        <v/>
      </c>
      <c r="AU317" s="173">
        <v>456</v>
      </c>
      <c r="AW317" s="142" t="s">
        <v>123</v>
      </c>
    </row>
    <row r="318" spans="2:49" s="142" customFormat="1" ht="21" customHeight="1" x14ac:dyDescent="0.25">
      <c r="B318" s="173" t="str">
        <f t="shared" si="45"/>
        <v>0-304/1D-2.90X770</v>
      </c>
      <c r="C318" s="173" t="s">
        <v>4153</v>
      </c>
      <c r="D318" s="173" t="s">
        <v>13</v>
      </c>
      <c r="E318" s="190" t="s">
        <v>2650</v>
      </c>
      <c r="F318" s="190" t="s">
        <v>2651</v>
      </c>
      <c r="G318" s="173">
        <v>304</v>
      </c>
      <c r="H318" s="173" t="s">
        <v>127</v>
      </c>
      <c r="I318" s="174">
        <v>2.9</v>
      </c>
      <c r="J318" s="174"/>
      <c r="K318" s="174"/>
      <c r="L318" s="174"/>
      <c r="M318" s="191">
        <v>770</v>
      </c>
      <c r="N318" s="176">
        <v>10.31</v>
      </c>
      <c r="O318" s="176">
        <v>10.31</v>
      </c>
      <c r="P318" s="176"/>
      <c r="Q318" s="178"/>
      <c r="R318" s="179"/>
      <c r="S318" s="179"/>
      <c r="T318" s="177">
        <v>44945</v>
      </c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80" t="s">
        <v>1605</v>
      </c>
      <c r="AE318" s="173" t="s">
        <v>69</v>
      </c>
      <c r="AF318" s="181" t="s">
        <v>142</v>
      </c>
      <c r="AG318" s="192" t="s">
        <v>1584</v>
      </c>
      <c r="AH318" s="198"/>
      <c r="AI318" s="181">
        <v>44914</v>
      </c>
      <c r="AJ318" s="181"/>
      <c r="AK318" s="181">
        <f t="shared" ca="1" si="44"/>
        <v>44958</v>
      </c>
      <c r="AL318" s="173">
        <f t="shared" ca="1" si="46"/>
        <v>44</v>
      </c>
      <c r="AM318" s="173" t="str">
        <f t="shared" si="47"/>
        <v/>
      </c>
      <c r="AN318" s="181"/>
      <c r="AO318" s="190" t="s">
        <v>2652</v>
      </c>
      <c r="AP318" s="176">
        <v>10.31</v>
      </c>
      <c r="AQ318" s="176">
        <v>10.32</v>
      </c>
      <c r="AR318" s="176">
        <v>10.344999999999999</v>
      </c>
      <c r="AS318" s="176">
        <v>10.35</v>
      </c>
      <c r="AT318" s="173" t="str">
        <f t="shared" si="43"/>
        <v/>
      </c>
      <c r="AU318" s="173">
        <v>462</v>
      </c>
      <c r="AW318" s="142" t="s">
        <v>123</v>
      </c>
    </row>
    <row r="319" spans="2:49" s="142" customFormat="1" ht="21" customHeight="1" x14ac:dyDescent="0.25">
      <c r="B319" s="173" t="str">
        <f t="shared" si="45"/>
        <v>0-304/FH-1.00X770</v>
      </c>
      <c r="C319" s="173" t="s">
        <v>4172</v>
      </c>
      <c r="D319" s="173" t="s">
        <v>16</v>
      </c>
      <c r="E319" s="190" t="s">
        <v>4170</v>
      </c>
      <c r="F319" s="190" t="s">
        <v>4171</v>
      </c>
      <c r="G319" s="173">
        <v>304</v>
      </c>
      <c r="H319" s="173" t="s">
        <v>70</v>
      </c>
      <c r="I319" s="174">
        <v>2.9</v>
      </c>
      <c r="J319" s="174">
        <v>1</v>
      </c>
      <c r="K319" s="174"/>
      <c r="L319" s="174"/>
      <c r="M319" s="191">
        <v>770</v>
      </c>
      <c r="N319" s="176">
        <v>10.220000000000001</v>
      </c>
      <c r="O319" s="176">
        <v>10.225</v>
      </c>
      <c r="P319" s="176"/>
      <c r="Q319" s="178"/>
      <c r="R319" s="179"/>
      <c r="S319" s="179"/>
      <c r="T319" s="177">
        <v>44945</v>
      </c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80" t="s">
        <v>2448</v>
      </c>
      <c r="AE319" s="173" t="s">
        <v>69</v>
      </c>
      <c r="AF319" s="181" t="s">
        <v>142</v>
      </c>
      <c r="AG319" s="192" t="s">
        <v>1584</v>
      </c>
      <c r="AH319" s="198"/>
      <c r="AI319" s="181">
        <v>44914</v>
      </c>
      <c r="AJ319" s="181"/>
      <c r="AK319" s="181">
        <f t="shared" ca="1" si="44"/>
        <v>44958</v>
      </c>
      <c r="AL319" s="173">
        <f t="shared" ca="1" si="46"/>
        <v>44</v>
      </c>
      <c r="AM319" s="173" t="str">
        <f t="shared" si="47"/>
        <v/>
      </c>
      <c r="AN319" s="181"/>
      <c r="AO319" s="190" t="s">
        <v>2637</v>
      </c>
      <c r="AP319" s="176">
        <v>10.220000000000001</v>
      </c>
      <c r="AQ319" s="176">
        <v>10.23</v>
      </c>
      <c r="AR319" s="176">
        <v>10.254999999999999</v>
      </c>
      <c r="AS319" s="176">
        <v>10.26</v>
      </c>
      <c r="AT319" s="173" t="str">
        <f t="shared" si="43"/>
        <v/>
      </c>
      <c r="AU319" s="173">
        <v>462</v>
      </c>
      <c r="AW319" s="142" t="s">
        <v>123</v>
      </c>
    </row>
    <row r="320" spans="2:49" s="142" customFormat="1" ht="21" customHeight="1" x14ac:dyDescent="0.25">
      <c r="B320" s="173" t="str">
        <f t="shared" si="45"/>
        <v>0-304/1D-2.90X767</v>
      </c>
      <c r="C320" s="173" t="s">
        <v>4173</v>
      </c>
      <c r="D320" s="173" t="s">
        <v>13</v>
      </c>
      <c r="E320" s="190" t="s">
        <v>2623</v>
      </c>
      <c r="F320" s="190" t="s">
        <v>2624</v>
      </c>
      <c r="G320" s="173">
        <v>304</v>
      </c>
      <c r="H320" s="173" t="s">
        <v>127</v>
      </c>
      <c r="I320" s="174">
        <v>2.9</v>
      </c>
      <c r="J320" s="174"/>
      <c r="K320" s="174"/>
      <c r="L320" s="174"/>
      <c r="M320" s="191">
        <v>767</v>
      </c>
      <c r="N320" s="176">
        <v>10.36</v>
      </c>
      <c r="O320" s="176">
        <v>10.36</v>
      </c>
      <c r="P320" s="176"/>
      <c r="Q320" s="178"/>
      <c r="R320" s="179"/>
      <c r="S320" s="179"/>
      <c r="T320" s="177">
        <v>44946</v>
      </c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80" t="s">
        <v>2448</v>
      </c>
      <c r="AE320" s="173" t="s">
        <v>69</v>
      </c>
      <c r="AF320" s="181" t="s">
        <v>142</v>
      </c>
      <c r="AG320" s="192" t="s">
        <v>1584</v>
      </c>
      <c r="AH320" s="198"/>
      <c r="AI320" s="181">
        <v>44914</v>
      </c>
      <c r="AJ320" s="181"/>
      <c r="AK320" s="181">
        <f t="shared" ca="1" si="44"/>
        <v>44958</v>
      </c>
      <c r="AL320" s="173">
        <f t="shared" ca="1" si="46"/>
        <v>44</v>
      </c>
      <c r="AM320" s="173" t="str">
        <f t="shared" si="47"/>
        <v/>
      </c>
      <c r="AN320" s="181"/>
      <c r="AO320" s="190" t="s">
        <v>2625</v>
      </c>
      <c r="AP320" s="176">
        <v>10.36</v>
      </c>
      <c r="AQ320" s="176">
        <v>10.37</v>
      </c>
      <c r="AR320" s="176">
        <v>10.394999999999998</v>
      </c>
      <c r="AS320" s="176">
        <v>10.399999999999999</v>
      </c>
      <c r="AT320" s="173" t="str">
        <f t="shared" si="43"/>
        <v/>
      </c>
      <c r="AU320" s="173">
        <v>462</v>
      </c>
      <c r="AW320" s="142" t="s">
        <v>123</v>
      </c>
    </row>
    <row r="321" spans="2:49" s="142" customFormat="1" ht="21" customHeight="1" x14ac:dyDescent="0.25">
      <c r="B321" s="173" t="str">
        <f t="shared" si="45"/>
        <v>0-304L/FH-1.50X763</v>
      </c>
      <c r="C321" s="173" t="s">
        <v>4172</v>
      </c>
      <c r="D321" s="173" t="s">
        <v>16</v>
      </c>
      <c r="E321" s="190" t="s">
        <v>2449</v>
      </c>
      <c r="F321" s="190" t="s">
        <v>2450</v>
      </c>
      <c r="G321" s="173" t="s">
        <v>182</v>
      </c>
      <c r="H321" s="173" t="s">
        <v>70</v>
      </c>
      <c r="I321" s="174">
        <v>3.88</v>
      </c>
      <c r="J321" s="174">
        <v>1.5</v>
      </c>
      <c r="K321" s="174"/>
      <c r="L321" s="174"/>
      <c r="M321" s="191">
        <v>763</v>
      </c>
      <c r="N321" s="176">
        <v>12.074999999999999</v>
      </c>
      <c r="O321" s="176">
        <v>12.095000000000001</v>
      </c>
      <c r="P321" s="176"/>
      <c r="Q321" s="178"/>
      <c r="R321" s="178"/>
      <c r="S321" s="179"/>
      <c r="T321" s="177">
        <v>44945</v>
      </c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80" t="s">
        <v>2448</v>
      </c>
      <c r="AE321" s="173" t="s">
        <v>69</v>
      </c>
      <c r="AF321" s="181" t="s">
        <v>142</v>
      </c>
      <c r="AG321" s="192" t="s">
        <v>1584</v>
      </c>
      <c r="AH321" s="198"/>
      <c r="AI321" s="181">
        <v>44914</v>
      </c>
      <c r="AJ321" s="181"/>
      <c r="AK321" s="181">
        <f t="shared" ca="1" si="44"/>
        <v>44958</v>
      </c>
      <c r="AL321" s="173">
        <f t="shared" ca="1" si="46"/>
        <v>44</v>
      </c>
      <c r="AM321" s="173" t="str">
        <f t="shared" si="47"/>
        <v/>
      </c>
      <c r="AN321" s="181"/>
      <c r="AO321" s="190" t="s">
        <v>2452</v>
      </c>
      <c r="AP321" s="176">
        <v>12.074999999999999</v>
      </c>
      <c r="AQ321" s="176">
        <v>12.085000000000001</v>
      </c>
      <c r="AR321" s="176">
        <v>12.11</v>
      </c>
      <c r="AS321" s="176">
        <v>12.115</v>
      </c>
      <c r="AT321" s="173" t="str">
        <f t="shared" si="43"/>
        <v/>
      </c>
      <c r="AU321" s="173">
        <v>462</v>
      </c>
      <c r="AW321" s="142" t="s">
        <v>123</v>
      </c>
    </row>
    <row r="322" spans="2:49" s="142" customFormat="1" ht="21" customHeight="1" x14ac:dyDescent="0.25">
      <c r="B322" s="173" t="str">
        <f t="shared" si="45"/>
        <v>0-304L/1D-3.10X641</v>
      </c>
      <c r="C322" s="173" t="s">
        <v>4174</v>
      </c>
      <c r="D322" s="173" t="s">
        <v>13</v>
      </c>
      <c r="E322" s="190" t="s">
        <v>4175</v>
      </c>
      <c r="F322" s="190" t="s">
        <v>4176</v>
      </c>
      <c r="G322" s="173" t="s">
        <v>182</v>
      </c>
      <c r="H322" s="173" t="s">
        <v>127</v>
      </c>
      <c r="I322" s="174">
        <v>3.1</v>
      </c>
      <c r="J322" s="174"/>
      <c r="K322" s="174"/>
      <c r="L322" s="174"/>
      <c r="M322" s="191">
        <v>641</v>
      </c>
      <c r="N322" s="176">
        <v>10.545</v>
      </c>
      <c r="O322" s="176">
        <v>10.545</v>
      </c>
      <c r="P322" s="176"/>
      <c r="Q322" s="178"/>
      <c r="R322" s="179"/>
      <c r="S322" s="179"/>
      <c r="T322" s="177">
        <v>44946</v>
      </c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80" t="s">
        <v>1605</v>
      </c>
      <c r="AE322" s="173" t="s">
        <v>69</v>
      </c>
      <c r="AF322" s="181" t="s">
        <v>142</v>
      </c>
      <c r="AG322" s="192" t="s">
        <v>1657</v>
      </c>
      <c r="AH322" s="198"/>
      <c r="AI322" s="181">
        <v>44849</v>
      </c>
      <c r="AJ322" s="181"/>
      <c r="AK322" s="181">
        <f t="shared" ca="1" si="44"/>
        <v>44958</v>
      </c>
      <c r="AL322" s="173">
        <f t="shared" ca="1" si="46"/>
        <v>109</v>
      </c>
      <c r="AM322" s="173" t="str">
        <f t="shared" si="47"/>
        <v/>
      </c>
      <c r="AN322" s="181"/>
      <c r="AO322" s="190" t="s">
        <v>4129</v>
      </c>
      <c r="AP322" s="176">
        <v>10.545</v>
      </c>
      <c r="AQ322" s="176">
        <v>10.555</v>
      </c>
      <c r="AR322" s="176">
        <v>10.579999999999998</v>
      </c>
      <c r="AS322" s="176">
        <v>10.584999999999999</v>
      </c>
      <c r="AT322" s="173" t="str">
        <f t="shared" si="43"/>
        <v/>
      </c>
      <c r="AU322" s="173">
        <v>456</v>
      </c>
      <c r="AW322" s="142" t="s">
        <v>123</v>
      </c>
    </row>
    <row r="323" spans="2:49" s="142" customFormat="1" ht="21" customHeight="1" x14ac:dyDescent="0.25">
      <c r="B323" s="173" t="str">
        <f t="shared" si="45"/>
        <v>0-304/1D-2.90X768</v>
      </c>
      <c r="C323" s="173" t="s">
        <v>4173</v>
      </c>
      <c r="D323" s="173" t="s">
        <v>13</v>
      </c>
      <c r="E323" s="190" t="s">
        <v>4177</v>
      </c>
      <c r="F323" s="190" t="s">
        <v>4178</v>
      </c>
      <c r="G323" s="173">
        <v>304</v>
      </c>
      <c r="H323" s="173" t="s">
        <v>127</v>
      </c>
      <c r="I323" s="174">
        <v>2.9</v>
      </c>
      <c r="J323" s="174"/>
      <c r="K323" s="174"/>
      <c r="L323" s="174"/>
      <c r="M323" s="191">
        <v>768</v>
      </c>
      <c r="N323" s="176">
        <v>10.56</v>
      </c>
      <c r="O323" s="176">
        <v>10.56</v>
      </c>
      <c r="P323" s="176"/>
      <c r="Q323" s="178"/>
      <c r="R323" s="179"/>
      <c r="S323" s="179"/>
      <c r="T323" s="177">
        <v>44946</v>
      </c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80" t="s">
        <v>2448</v>
      </c>
      <c r="AE323" s="173" t="s">
        <v>69</v>
      </c>
      <c r="AF323" s="181" t="s">
        <v>142</v>
      </c>
      <c r="AG323" s="192" t="s">
        <v>1584</v>
      </c>
      <c r="AH323" s="198"/>
      <c r="AI323" s="181">
        <v>44914</v>
      </c>
      <c r="AJ323" s="181"/>
      <c r="AK323" s="181">
        <f t="shared" ca="1" si="44"/>
        <v>44958</v>
      </c>
      <c r="AL323" s="173">
        <f t="shared" ca="1" si="46"/>
        <v>44</v>
      </c>
      <c r="AM323" s="173" t="str">
        <f t="shared" si="47"/>
        <v/>
      </c>
      <c r="AN323" s="181"/>
      <c r="AO323" s="190" t="s">
        <v>4140</v>
      </c>
      <c r="AP323" s="176">
        <v>10.56</v>
      </c>
      <c r="AQ323" s="176">
        <v>10.57</v>
      </c>
      <c r="AR323" s="176">
        <v>10.594999999999999</v>
      </c>
      <c r="AS323" s="176">
        <v>10.6</v>
      </c>
      <c r="AT323" s="173" t="str">
        <f t="shared" si="43"/>
        <v/>
      </c>
      <c r="AU323" s="173">
        <v>462</v>
      </c>
      <c r="AW323" s="142" t="s">
        <v>123</v>
      </c>
    </row>
    <row r="324" spans="2:49" s="142" customFormat="1" ht="21" customHeight="1" x14ac:dyDescent="0.25">
      <c r="B324" s="173" t="str">
        <f t="shared" si="45"/>
        <v>0-304L/FH-0.80X770</v>
      </c>
      <c r="C324" s="173" t="s">
        <v>4172</v>
      </c>
      <c r="D324" s="173" t="s">
        <v>16</v>
      </c>
      <c r="E324" s="190" t="s">
        <v>4168</v>
      </c>
      <c r="F324" s="190" t="s">
        <v>4169</v>
      </c>
      <c r="G324" s="173" t="s">
        <v>182</v>
      </c>
      <c r="H324" s="173" t="s">
        <v>70</v>
      </c>
      <c r="I324" s="174">
        <v>2.8</v>
      </c>
      <c r="J324" s="174">
        <v>0.8</v>
      </c>
      <c r="K324" s="174"/>
      <c r="L324" s="174"/>
      <c r="M324" s="191">
        <v>770</v>
      </c>
      <c r="N324" s="176">
        <v>10.535</v>
      </c>
      <c r="O324" s="176">
        <v>10.545</v>
      </c>
      <c r="P324" s="176"/>
      <c r="Q324" s="178"/>
      <c r="R324" s="179"/>
      <c r="S324" s="179"/>
      <c r="T324" s="177">
        <v>44945</v>
      </c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80" t="s">
        <v>1507</v>
      </c>
      <c r="AE324" s="173" t="s">
        <v>69</v>
      </c>
      <c r="AF324" s="181" t="s">
        <v>142</v>
      </c>
      <c r="AG324" s="192" t="s">
        <v>1584</v>
      </c>
      <c r="AH324" s="198"/>
      <c r="AI324" s="181">
        <v>44914</v>
      </c>
      <c r="AJ324" s="181"/>
      <c r="AK324" s="181">
        <f t="shared" ca="1" si="44"/>
        <v>44958</v>
      </c>
      <c r="AL324" s="173">
        <f t="shared" ca="1" si="46"/>
        <v>44</v>
      </c>
      <c r="AM324" s="173" t="str">
        <f t="shared" si="47"/>
        <v/>
      </c>
      <c r="AN324" s="181"/>
      <c r="AO324" s="190" t="s">
        <v>4001</v>
      </c>
      <c r="AP324" s="176">
        <v>10.535</v>
      </c>
      <c r="AQ324" s="176">
        <v>10.545</v>
      </c>
      <c r="AR324" s="176">
        <v>10.569999999999999</v>
      </c>
      <c r="AS324" s="176">
        <v>10.574999999999999</v>
      </c>
      <c r="AT324" s="173" t="str">
        <f t="shared" ref="AT324:AT387" si="48">IF(ISNUMBER(V324)=TRUE,AK324-V324,IF(V324="","",(AK324)-(MID(RIGHT(V324,10),4,2)&amp;"/"&amp;LEFT((RIGHT(V324,10)),2)&amp;"/"&amp;RIGHT(V324,4))))</f>
        <v/>
      </c>
      <c r="AU324" s="173">
        <v>462</v>
      </c>
      <c r="AW324" s="142" t="s">
        <v>123</v>
      </c>
    </row>
    <row r="325" spans="2:49" s="142" customFormat="1" ht="21" customHeight="1" x14ac:dyDescent="0.25">
      <c r="B325" s="173" t="str">
        <f t="shared" si="45"/>
        <v>0-304L/1D-3.79X768</v>
      </c>
      <c r="C325" s="173" t="s">
        <v>4173</v>
      </c>
      <c r="D325" s="173" t="s">
        <v>13</v>
      </c>
      <c r="E325" s="190" t="s">
        <v>1541</v>
      </c>
      <c r="F325" s="190" t="s">
        <v>4179</v>
      </c>
      <c r="G325" s="173" t="s">
        <v>182</v>
      </c>
      <c r="H325" s="173" t="s">
        <v>127</v>
      </c>
      <c r="I325" s="174">
        <v>3.79</v>
      </c>
      <c r="J325" s="174"/>
      <c r="K325" s="174"/>
      <c r="L325" s="174"/>
      <c r="M325" s="191">
        <v>768</v>
      </c>
      <c r="N325" s="176">
        <v>12.285</v>
      </c>
      <c r="O325" s="176">
        <v>12.285</v>
      </c>
      <c r="P325" s="176"/>
      <c r="Q325" s="178"/>
      <c r="R325" s="179"/>
      <c r="S325" s="179"/>
      <c r="T325" s="177">
        <v>44946</v>
      </c>
      <c r="U325" s="177"/>
      <c r="V325" s="177"/>
      <c r="W325" s="177"/>
      <c r="X325" s="177"/>
      <c r="Y325" s="177"/>
      <c r="Z325" s="177"/>
      <c r="AA325" s="177">
        <v>44940</v>
      </c>
      <c r="AB325" s="177"/>
      <c r="AC325" s="177"/>
      <c r="AD325" s="180" t="s">
        <v>1507</v>
      </c>
      <c r="AE325" s="173" t="s">
        <v>69</v>
      </c>
      <c r="AF325" s="181" t="s">
        <v>142</v>
      </c>
      <c r="AG325" s="192" t="s">
        <v>1508</v>
      </c>
      <c r="AH325" s="198"/>
      <c r="AI325" s="181">
        <v>44849</v>
      </c>
      <c r="AJ325" s="181"/>
      <c r="AK325" s="181">
        <f t="shared" ca="1" si="44"/>
        <v>44958</v>
      </c>
      <c r="AL325" s="173">
        <f t="shared" ca="1" si="46"/>
        <v>109</v>
      </c>
      <c r="AM325" s="173" t="str">
        <f t="shared" si="47"/>
        <v/>
      </c>
      <c r="AN325" s="181"/>
      <c r="AO325" s="190" t="s">
        <v>1543</v>
      </c>
      <c r="AP325" s="176">
        <v>24.51</v>
      </c>
      <c r="AQ325" s="176">
        <v>24.57</v>
      </c>
      <c r="AR325" s="176">
        <v>24.595000000000002</v>
      </c>
      <c r="AS325" s="176">
        <v>24.6</v>
      </c>
      <c r="AT325" s="173" t="str">
        <f t="shared" si="48"/>
        <v/>
      </c>
      <c r="AU325" s="173">
        <v>456</v>
      </c>
      <c r="AW325" s="142" t="s">
        <v>123</v>
      </c>
    </row>
    <row r="326" spans="2:49" s="142" customFormat="1" ht="21" customHeight="1" x14ac:dyDescent="0.25">
      <c r="B326" s="173" t="str">
        <f t="shared" si="45"/>
        <v>0-304/FH-1.00X767</v>
      </c>
      <c r="C326" s="173" t="s">
        <v>4172</v>
      </c>
      <c r="D326" s="173" t="s">
        <v>16</v>
      </c>
      <c r="E326" s="190" t="s">
        <v>2623</v>
      </c>
      <c r="F326" s="190" t="s">
        <v>2624</v>
      </c>
      <c r="G326" s="173">
        <v>304</v>
      </c>
      <c r="H326" s="173" t="s">
        <v>70</v>
      </c>
      <c r="I326" s="174">
        <v>2.9</v>
      </c>
      <c r="J326" s="174">
        <v>1</v>
      </c>
      <c r="K326" s="174"/>
      <c r="L326" s="174"/>
      <c r="M326" s="191">
        <v>767</v>
      </c>
      <c r="N326" s="176">
        <v>10.36</v>
      </c>
      <c r="O326" s="176">
        <v>10.39</v>
      </c>
      <c r="P326" s="176"/>
      <c r="Q326" s="178"/>
      <c r="R326" s="179"/>
      <c r="S326" s="179"/>
      <c r="T326" s="177">
        <v>44946</v>
      </c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80" t="s">
        <v>2448</v>
      </c>
      <c r="AE326" s="173" t="s">
        <v>69</v>
      </c>
      <c r="AF326" s="181" t="s">
        <v>142</v>
      </c>
      <c r="AG326" s="192" t="s">
        <v>1584</v>
      </c>
      <c r="AH326" s="198"/>
      <c r="AI326" s="181">
        <v>44914</v>
      </c>
      <c r="AJ326" s="181"/>
      <c r="AK326" s="181">
        <f t="shared" ca="1" si="44"/>
        <v>44958</v>
      </c>
      <c r="AL326" s="173">
        <f t="shared" ca="1" si="46"/>
        <v>44</v>
      </c>
      <c r="AM326" s="173" t="str">
        <f t="shared" si="47"/>
        <v/>
      </c>
      <c r="AN326" s="181"/>
      <c r="AO326" s="190" t="s">
        <v>2625</v>
      </c>
      <c r="AP326" s="176">
        <v>10.36</v>
      </c>
      <c r="AQ326" s="176">
        <v>10.37</v>
      </c>
      <c r="AR326" s="176">
        <v>10.394999999999998</v>
      </c>
      <c r="AS326" s="176">
        <v>10.399999999999999</v>
      </c>
      <c r="AT326" s="173" t="str">
        <f t="shared" si="48"/>
        <v/>
      </c>
      <c r="AU326" s="173">
        <v>462</v>
      </c>
      <c r="AW326" s="142" t="s">
        <v>123</v>
      </c>
    </row>
    <row r="327" spans="2:49" s="142" customFormat="1" ht="21" customHeight="1" x14ac:dyDescent="0.25">
      <c r="B327" s="173" t="str">
        <f t="shared" si="45"/>
        <v>0-304L/1D-3.87X638</v>
      </c>
      <c r="C327" s="173" t="s">
        <v>4174</v>
      </c>
      <c r="D327" s="173" t="s">
        <v>13</v>
      </c>
      <c r="E327" s="190" t="s">
        <v>1701</v>
      </c>
      <c r="F327" s="190" t="s">
        <v>1702</v>
      </c>
      <c r="G327" s="173" t="s">
        <v>182</v>
      </c>
      <c r="H327" s="173" t="s">
        <v>127</v>
      </c>
      <c r="I327" s="174">
        <v>3.87</v>
      </c>
      <c r="J327" s="174"/>
      <c r="K327" s="174"/>
      <c r="L327" s="174"/>
      <c r="M327" s="191">
        <v>638</v>
      </c>
      <c r="N327" s="176">
        <v>10.515000000000001</v>
      </c>
      <c r="O327" s="176">
        <v>10.515000000000001</v>
      </c>
      <c r="P327" s="176"/>
      <c r="Q327" s="178"/>
      <c r="R327" s="179"/>
      <c r="S327" s="179"/>
      <c r="T327" s="177">
        <v>44946</v>
      </c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80" t="s">
        <v>1609</v>
      </c>
      <c r="AE327" s="173" t="s">
        <v>69</v>
      </c>
      <c r="AF327" s="181" t="s">
        <v>142</v>
      </c>
      <c r="AG327" s="192" t="s">
        <v>1657</v>
      </c>
      <c r="AH327" s="198"/>
      <c r="AI327" s="181">
        <v>44849</v>
      </c>
      <c r="AJ327" s="181"/>
      <c r="AK327" s="181">
        <f t="shared" ca="1" si="44"/>
        <v>44958</v>
      </c>
      <c r="AL327" s="173">
        <f t="shared" ca="1" si="46"/>
        <v>109</v>
      </c>
      <c r="AM327" s="173" t="str">
        <f t="shared" si="47"/>
        <v/>
      </c>
      <c r="AN327" s="181"/>
      <c r="AO327" s="190" t="s">
        <v>1700</v>
      </c>
      <c r="AP327" s="176">
        <v>10.515000000000001</v>
      </c>
      <c r="AQ327" s="176">
        <v>10.525</v>
      </c>
      <c r="AR327" s="176">
        <v>10.549999999999999</v>
      </c>
      <c r="AS327" s="176">
        <v>10.555</v>
      </c>
      <c r="AT327" s="173" t="str">
        <f t="shared" si="48"/>
        <v/>
      </c>
      <c r="AU327" s="173">
        <v>456</v>
      </c>
      <c r="AW327" s="142" t="s">
        <v>123</v>
      </c>
    </row>
    <row r="328" spans="2:49" s="142" customFormat="1" ht="21" customHeight="1" x14ac:dyDescent="0.25">
      <c r="B328" s="173" t="str">
        <f t="shared" si="45"/>
        <v>0-304/1D-2.90X768</v>
      </c>
      <c r="C328" s="173" t="s">
        <v>4173</v>
      </c>
      <c r="D328" s="173" t="s">
        <v>13</v>
      </c>
      <c r="E328" s="190" t="s">
        <v>2653</v>
      </c>
      <c r="F328" s="190" t="s">
        <v>2654</v>
      </c>
      <c r="G328" s="173">
        <v>304</v>
      </c>
      <c r="H328" s="173" t="s">
        <v>127</v>
      </c>
      <c r="I328" s="174">
        <v>2.9</v>
      </c>
      <c r="J328" s="174"/>
      <c r="K328" s="174"/>
      <c r="L328" s="174"/>
      <c r="M328" s="191">
        <v>768</v>
      </c>
      <c r="N328" s="176">
        <v>10.324999999999999</v>
      </c>
      <c r="O328" s="176">
        <v>10.324999999999999</v>
      </c>
      <c r="P328" s="176"/>
      <c r="Q328" s="178"/>
      <c r="R328" s="179"/>
      <c r="S328" s="179"/>
      <c r="T328" s="177">
        <v>44946</v>
      </c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80" t="s">
        <v>1605</v>
      </c>
      <c r="AE328" s="173" t="s">
        <v>69</v>
      </c>
      <c r="AF328" s="181" t="s">
        <v>142</v>
      </c>
      <c r="AG328" s="192" t="s">
        <v>1584</v>
      </c>
      <c r="AH328" s="198"/>
      <c r="AI328" s="181">
        <v>44914</v>
      </c>
      <c r="AJ328" s="181"/>
      <c r="AK328" s="181">
        <f t="shared" ca="1" si="44"/>
        <v>44958</v>
      </c>
      <c r="AL328" s="173">
        <f t="shared" ca="1" si="46"/>
        <v>44</v>
      </c>
      <c r="AM328" s="173" t="str">
        <f t="shared" si="47"/>
        <v/>
      </c>
      <c r="AN328" s="181"/>
      <c r="AO328" s="190" t="s">
        <v>2652</v>
      </c>
      <c r="AP328" s="176">
        <v>10.324999999999999</v>
      </c>
      <c r="AQ328" s="176">
        <v>10.335000000000001</v>
      </c>
      <c r="AR328" s="176">
        <v>10.36</v>
      </c>
      <c r="AS328" s="176">
        <v>10.365</v>
      </c>
      <c r="AT328" s="173" t="str">
        <f t="shared" si="48"/>
        <v/>
      </c>
      <c r="AU328" s="173">
        <v>462</v>
      </c>
      <c r="AW328" s="142" t="s">
        <v>123</v>
      </c>
    </row>
    <row r="329" spans="2:49" s="142" customFormat="1" ht="21" customHeight="1" x14ac:dyDescent="0.25">
      <c r="B329" s="173" t="str">
        <f t="shared" si="45"/>
        <v>0-304L/FH-1.20X768</v>
      </c>
      <c r="C329" s="173" t="s">
        <v>4172</v>
      </c>
      <c r="D329" s="173" t="s">
        <v>16</v>
      </c>
      <c r="E329" s="190" t="s">
        <v>1541</v>
      </c>
      <c r="F329" s="190" t="s">
        <v>4179</v>
      </c>
      <c r="G329" s="173" t="s">
        <v>182</v>
      </c>
      <c r="H329" s="173" t="s">
        <v>70</v>
      </c>
      <c r="I329" s="174">
        <v>3.79</v>
      </c>
      <c r="J329" s="174">
        <v>1.2</v>
      </c>
      <c r="K329" s="174"/>
      <c r="L329" s="174"/>
      <c r="M329" s="191">
        <v>768</v>
      </c>
      <c r="N329" s="176">
        <v>12.285</v>
      </c>
      <c r="O329" s="176">
        <v>12.305</v>
      </c>
      <c r="P329" s="176"/>
      <c r="Q329" s="178"/>
      <c r="R329" s="179"/>
      <c r="S329" s="179"/>
      <c r="T329" s="177">
        <v>44946</v>
      </c>
      <c r="U329" s="177"/>
      <c r="V329" s="177"/>
      <c r="W329" s="177"/>
      <c r="X329" s="177"/>
      <c r="Y329" s="177"/>
      <c r="Z329" s="177"/>
      <c r="AA329" s="177">
        <v>44940</v>
      </c>
      <c r="AB329" s="177"/>
      <c r="AC329" s="177"/>
      <c r="AD329" s="180" t="s">
        <v>1507</v>
      </c>
      <c r="AE329" s="173" t="s">
        <v>69</v>
      </c>
      <c r="AF329" s="181" t="s">
        <v>142</v>
      </c>
      <c r="AG329" s="192" t="s">
        <v>1508</v>
      </c>
      <c r="AH329" s="198"/>
      <c r="AI329" s="181">
        <v>44849</v>
      </c>
      <c r="AJ329" s="181"/>
      <c r="AK329" s="181">
        <f t="shared" ca="1" si="44"/>
        <v>44958</v>
      </c>
      <c r="AL329" s="173">
        <f t="shared" ca="1" si="46"/>
        <v>109</v>
      </c>
      <c r="AM329" s="173" t="str">
        <f t="shared" si="47"/>
        <v/>
      </c>
      <c r="AN329" s="181"/>
      <c r="AO329" s="190" t="s">
        <v>1543</v>
      </c>
      <c r="AP329" s="176">
        <v>24.51</v>
      </c>
      <c r="AQ329" s="176">
        <v>24.57</v>
      </c>
      <c r="AR329" s="176">
        <v>24.595000000000002</v>
      </c>
      <c r="AS329" s="176">
        <v>24.6</v>
      </c>
      <c r="AT329" s="173" t="str">
        <f t="shared" si="48"/>
        <v/>
      </c>
      <c r="AU329" s="173">
        <v>456</v>
      </c>
      <c r="AW329" s="142" t="s">
        <v>123</v>
      </c>
    </row>
    <row r="330" spans="2:49" s="142" customFormat="1" ht="21" customHeight="1" x14ac:dyDescent="0.25">
      <c r="B330" s="173" t="str">
        <f t="shared" si="45"/>
        <v>0-304L/1D-2.82X779</v>
      </c>
      <c r="C330" s="173" t="s">
        <v>4173</v>
      </c>
      <c r="D330" s="173" t="s">
        <v>13</v>
      </c>
      <c r="E330" s="190" t="s">
        <v>4180</v>
      </c>
      <c r="F330" s="190" t="s">
        <v>4181</v>
      </c>
      <c r="G330" s="173" t="s">
        <v>182</v>
      </c>
      <c r="H330" s="173" t="s">
        <v>127</v>
      </c>
      <c r="I330" s="174">
        <v>2.82</v>
      </c>
      <c r="J330" s="174"/>
      <c r="K330" s="174"/>
      <c r="L330" s="174"/>
      <c r="M330" s="191">
        <v>779</v>
      </c>
      <c r="N330" s="176">
        <v>9</v>
      </c>
      <c r="O330" s="176">
        <v>9</v>
      </c>
      <c r="P330" s="176"/>
      <c r="Q330" s="178"/>
      <c r="R330" s="179"/>
      <c r="S330" s="179"/>
      <c r="T330" s="177">
        <v>44946</v>
      </c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80" t="s">
        <v>1605</v>
      </c>
      <c r="AE330" s="173" t="s">
        <v>69</v>
      </c>
      <c r="AF330" s="181" t="s">
        <v>142</v>
      </c>
      <c r="AG330" s="192" t="s">
        <v>1584</v>
      </c>
      <c r="AH330" s="198"/>
      <c r="AI330" s="181">
        <v>44914</v>
      </c>
      <c r="AJ330" s="181"/>
      <c r="AK330" s="181">
        <f t="shared" ca="1" si="44"/>
        <v>44958</v>
      </c>
      <c r="AL330" s="173">
        <f t="shared" ca="1" si="46"/>
        <v>44</v>
      </c>
      <c r="AM330" s="173" t="str">
        <f t="shared" si="47"/>
        <v/>
      </c>
      <c r="AN330" s="181"/>
      <c r="AO330" s="190" t="s">
        <v>4107</v>
      </c>
      <c r="AP330" s="176">
        <v>9</v>
      </c>
      <c r="AQ330" s="176">
        <v>9.01</v>
      </c>
      <c r="AR330" s="176">
        <v>9.0349999999999984</v>
      </c>
      <c r="AS330" s="176">
        <v>9.0399999999999991</v>
      </c>
      <c r="AT330" s="173" t="str">
        <f t="shared" si="48"/>
        <v/>
      </c>
      <c r="AU330" s="173">
        <v>462</v>
      </c>
      <c r="AW330" s="142" t="s">
        <v>123</v>
      </c>
    </row>
    <row r="331" spans="2:49" s="142" customFormat="1" ht="21" customHeight="1" x14ac:dyDescent="0.25">
      <c r="B331" s="173" t="str">
        <f t="shared" si="45"/>
        <v>0-304/FH-1.00X770</v>
      </c>
      <c r="C331" s="173" t="s">
        <v>4172</v>
      </c>
      <c r="D331" s="173" t="s">
        <v>16</v>
      </c>
      <c r="E331" s="190" t="s">
        <v>2650</v>
      </c>
      <c r="F331" s="190" t="s">
        <v>2651</v>
      </c>
      <c r="G331" s="173">
        <v>304</v>
      </c>
      <c r="H331" s="173" t="s">
        <v>70</v>
      </c>
      <c r="I331" s="174">
        <v>2.9</v>
      </c>
      <c r="J331" s="174">
        <v>1</v>
      </c>
      <c r="K331" s="174"/>
      <c r="L331" s="174"/>
      <c r="M331" s="191">
        <v>770</v>
      </c>
      <c r="N331" s="176">
        <v>10.31</v>
      </c>
      <c r="O331" s="176">
        <v>10.305</v>
      </c>
      <c r="P331" s="176"/>
      <c r="Q331" s="178"/>
      <c r="R331" s="179"/>
      <c r="S331" s="179"/>
      <c r="T331" s="177">
        <v>44945</v>
      </c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80" t="s">
        <v>1605</v>
      </c>
      <c r="AE331" s="173" t="s">
        <v>69</v>
      </c>
      <c r="AF331" s="181" t="s">
        <v>142</v>
      </c>
      <c r="AG331" s="192" t="s">
        <v>1584</v>
      </c>
      <c r="AH331" s="198"/>
      <c r="AI331" s="181">
        <v>44914</v>
      </c>
      <c r="AJ331" s="181"/>
      <c r="AK331" s="181">
        <f t="shared" ca="1" si="44"/>
        <v>44958</v>
      </c>
      <c r="AL331" s="173">
        <f t="shared" ca="1" si="46"/>
        <v>44</v>
      </c>
      <c r="AM331" s="173" t="str">
        <f t="shared" si="47"/>
        <v/>
      </c>
      <c r="AN331" s="181"/>
      <c r="AO331" s="190" t="s">
        <v>2652</v>
      </c>
      <c r="AP331" s="176">
        <v>10.31</v>
      </c>
      <c r="AQ331" s="176">
        <v>10.32</v>
      </c>
      <c r="AR331" s="176">
        <v>10.344999999999999</v>
      </c>
      <c r="AS331" s="176">
        <v>10.35</v>
      </c>
      <c r="AT331" s="173" t="str">
        <f t="shared" si="48"/>
        <v/>
      </c>
      <c r="AU331" s="173">
        <v>462</v>
      </c>
      <c r="AW331" s="142" t="s">
        <v>123</v>
      </c>
    </row>
    <row r="332" spans="2:49" s="142" customFormat="1" ht="21" customHeight="1" x14ac:dyDescent="0.25">
      <c r="B332" s="173" t="str">
        <f t="shared" si="45"/>
        <v>0-304L/1D-3.79X773</v>
      </c>
      <c r="C332" s="173" t="s">
        <v>4173</v>
      </c>
      <c r="D332" s="173" t="s">
        <v>13</v>
      </c>
      <c r="E332" s="190" t="s">
        <v>2507</v>
      </c>
      <c r="F332" s="190" t="s">
        <v>2508</v>
      </c>
      <c r="G332" s="173" t="s">
        <v>182</v>
      </c>
      <c r="H332" s="173" t="s">
        <v>127</v>
      </c>
      <c r="I332" s="174">
        <v>3.79</v>
      </c>
      <c r="J332" s="174"/>
      <c r="K332" s="174"/>
      <c r="L332" s="174"/>
      <c r="M332" s="191">
        <v>773</v>
      </c>
      <c r="N332" s="176">
        <v>10.555</v>
      </c>
      <c r="O332" s="176">
        <v>10.555</v>
      </c>
      <c r="P332" s="176"/>
      <c r="Q332" s="178"/>
      <c r="R332" s="179"/>
      <c r="S332" s="179"/>
      <c r="T332" s="177">
        <v>44946</v>
      </c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80" t="s">
        <v>1605</v>
      </c>
      <c r="AE332" s="173" t="s">
        <v>69</v>
      </c>
      <c r="AF332" s="181" t="s">
        <v>142</v>
      </c>
      <c r="AG332" s="192" t="s">
        <v>1584</v>
      </c>
      <c r="AH332" s="198"/>
      <c r="AI332" s="181">
        <v>44914</v>
      </c>
      <c r="AJ332" s="181"/>
      <c r="AK332" s="181">
        <f t="shared" ca="1" si="44"/>
        <v>44958</v>
      </c>
      <c r="AL332" s="173">
        <f t="shared" ca="1" si="46"/>
        <v>44</v>
      </c>
      <c r="AM332" s="173" t="str">
        <f t="shared" si="47"/>
        <v/>
      </c>
      <c r="AN332" s="181"/>
      <c r="AO332" s="190" t="s">
        <v>2506</v>
      </c>
      <c r="AP332" s="176">
        <v>10.555</v>
      </c>
      <c r="AQ332" s="176">
        <v>10.565</v>
      </c>
      <c r="AR332" s="176">
        <v>10.589999999999998</v>
      </c>
      <c r="AS332" s="176">
        <v>10.594999999999999</v>
      </c>
      <c r="AT332" s="173" t="str">
        <f t="shared" si="48"/>
        <v/>
      </c>
      <c r="AU332" s="173">
        <v>462</v>
      </c>
      <c r="AW332" s="142" t="s">
        <v>123</v>
      </c>
    </row>
    <row r="333" spans="2:49" s="142" customFormat="1" ht="21" customHeight="1" x14ac:dyDescent="0.25">
      <c r="B333" s="173" t="str">
        <f t="shared" si="45"/>
        <v>0-304L/FH-1.20X769</v>
      </c>
      <c r="C333" s="173" t="s">
        <v>4172</v>
      </c>
      <c r="D333" s="173" t="s">
        <v>16</v>
      </c>
      <c r="E333" s="190" t="s">
        <v>1534</v>
      </c>
      <c r="F333" s="190" t="s">
        <v>4165</v>
      </c>
      <c r="G333" s="173" t="s">
        <v>182</v>
      </c>
      <c r="H333" s="173" t="s">
        <v>70</v>
      </c>
      <c r="I333" s="174">
        <v>3.79</v>
      </c>
      <c r="J333" s="174">
        <v>1.2</v>
      </c>
      <c r="K333" s="174"/>
      <c r="L333" s="174"/>
      <c r="M333" s="191">
        <v>769</v>
      </c>
      <c r="N333" s="176">
        <v>12.285</v>
      </c>
      <c r="O333" s="176">
        <v>12.27</v>
      </c>
      <c r="P333" s="176"/>
      <c r="Q333" s="178"/>
      <c r="R333" s="179"/>
      <c r="S333" s="179"/>
      <c r="T333" s="177">
        <v>44945</v>
      </c>
      <c r="U333" s="177"/>
      <c r="V333" s="177"/>
      <c r="W333" s="177"/>
      <c r="X333" s="177"/>
      <c r="Y333" s="177"/>
      <c r="Z333" s="177"/>
      <c r="AA333" s="177">
        <v>44940</v>
      </c>
      <c r="AB333" s="177"/>
      <c r="AC333" s="177"/>
      <c r="AD333" s="180" t="s">
        <v>1507</v>
      </c>
      <c r="AE333" s="173" t="s">
        <v>69</v>
      </c>
      <c r="AF333" s="181" t="s">
        <v>142</v>
      </c>
      <c r="AG333" s="192" t="s">
        <v>1508</v>
      </c>
      <c r="AH333" s="198"/>
      <c r="AI333" s="181">
        <v>44849</v>
      </c>
      <c r="AJ333" s="181"/>
      <c r="AK333" s="181">
        <f t="shared" ca="1" si="44"/>
        <v>44958</v>
      </c>
      <c r="AL333" s="173">
        <f t="shared" ca="1" si="46"/>
        <v>109</v>
      </c>
      <c r="AM333" s="173" t="str">
        <f t="shared" si="47"/>
        <v/>
      </c>
      <c r="AN333" s="181"/>
      <c r="AO333" s="190" t="s">
        <v>1537</v>
      </c>
      <c r="AP333" s="176">
        <v>24.545000000000002</v>
      </c>
      <c r="AQ333" s="176">
        <v>24.605</v>
      </c>
      <c r="AR333" s="176">
        <v>24.630000000000003</v>
      </c>
      <c r="AS333" s="176">
        <v>24.635000000000002</v>
      </c>
      <c r="AT333" s="173" t="str">
        <f t="shared" si="48"/>
        <v/>
      </c>
      <c r="AU333" s="173">
        <v>456</v>
      </c>
      <c r="AW333" s="142" t="s">
        <v>123</v>
      </c>
    </row>
    <row r="334" spans="2:49" s="142" customFormat="1" ht="21" customHeight="1" x14ac:dyDescent="0.25">
      <c r="B334" s="173" t="str">
        <f t="shared" si="45"/>
        <v>0-304/1D-3.39X643</v>
      </c>
      <c r="C334" s="173" t="s">
        <v>4174</v>
      </c>
      <c r="D334" s="173" t="s">
        <v>13</v>
      </c>
      <c r="E334" s="190" t="s">
        <v>4182</v>
      </c>
      <c r="F334" s="190" t="s">
        <v>4183</v>
      </c>
      <c r="G334" s="173">
        <v>304</v>
      </c>
      <c r="H334" s="173" t="s">
        <v>127</v>
      </c>
      <c r="I334" s="174">
        <v>3.39</v>
      </c>
      <c r="J334" s="174"/>
      <c r="K334" s="174"/>
      <c r="L334" s="174"/>
      <c r="M334" s="191">
        <v>643</v>
      </c>
      <c r="N334" s="176">
        <v>10.055</v>
      </c>
      <c r="O334" s="176">
        <v>10.055</v>
      </c>
      <c r="P334" s="176"/>
      <c r="Q334" s="178"/>
      <c r="R334" s="179"/>
      <c r="S334" s="179"/>
      <c r="T334" s="177">
        <v>44946</v>
      </c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80" t="s">
        <v>1605</v>
      </c>
      <c r="AE334" s="173" t="s">
        <v>69</v>
      </c>
      <c r="AF334" s="181" t="s">
        <v>142</v>
      </c>
      <c r="AG334" s="192" t="s">
        <v>1657</v>
      </c>
      <c r="AH334" s="198"/>
      <c r="AI334" s="181">
        <v>44849</v>
      </c>
      <c r="AJ334" s="181"/>
      <c r="AK334" s="181">
        <f t="shared" ca="1" si="44"/>
        <v>44958</v>
      </c>
      <c r="AL334" s="173">
        <f t="shared" ca="1" si="46"/>
        <v>109</v>
      </c>
      <c r="AM334" s="173" t="str">
        <f t="shared" si="47"/>
        <v/>
      </c>
      <c r="AN334" s="181"/>
      <c r="AO334" s="190" t="s">
        <v>4184</v>
      </c>
      <c r="AP334" s="176">
        <v>10.055</v>
      </c>
      <c r="AQ334" s="176">
        <v>10.065</v>
      </c>
      <c r="AR334" s="176">
        <v>10.089999999999998</v>
      </c>
      <c r="AS334" s="176">
        <v>10.094999999999999</v>
      </c>
      <c r="AT334" s="173" t="str">
        <f t="shared" si="48"/>
        <v/>
      </c>
      <c r="AU334" s="173">
        <v>456</v>
      </c>
      <c r="AW334" s="142" t="s">
        <v>123</v>
      </c>
    </row>
    <row r="335" spans="2:49" s="142" customFormat="1" ht="21" customHeight="1" x14ac:dyDescent="0.25">
      <c r="B335" s="173" t="str">
        <f t="shared" si="45"/>
        <v>0-304L/1D-2.81X770</v>
      </c>
      <c r="C335" s="173" t="s">
        <v>4185</v>
      </c>
      <c r="D335" s="173" t="s">
        <v>13</v>
      </c>
      <c r="E335" s="190" t="s">
        <v>2769</v>
      </c>
      <c r="F335" s="190" t="s">
        <v>2770</v>
      </c>
      <c r="G335" s="173" t="s">
        <v>182</v>
      </c>
      <c r="H335" s="173" t="s">
        <v>127</v>
      </c>
      <c r="I335" s="174">
        <v>2.81</v>
      </c>
      <c r="J335" s="174"/>
      <c r="K335" s="174"/>
      <c r="L335" s="174"/>
      <c r="M335" s="191">
        <v>770</v>
      </c>
      <c r="N335" s="176">
        <v>10.4</v>
      </c>
      <c r="O335" s="176">
        <v>10.4</v>
      </c>
      <c r="P335" s="176"/>
      <c r="Q335" s="178"/>
      <c r="R335" s="179"/>
      <c r="S335" s="179"/>
      <c r="T335" s="177">
        <v>44947</v>
      </c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80" t="s">
        <v>1605</v>
      </c>
      <c r="AE335" s="173" t="s">
        <v>69</v>
      </c>
      <c r="AF335" s="181" t="s">
        <v>142</v>
      </c>
      <c r="AG335" s="192" t="s">
        <v>1584</v>
      </c>
      <c r="AH335" s="198"/>
      <c r="AI335" s="181">
        <v>44914</v>
      </c>
      <c r="AJ335" s="181"/>
      <c r="AK335" s="181">
        <f t="shared" ca="1" si="44"/>
        <v>44958</v>
      </c>
      <c r="AL335" s="173">
        <f t="shared" ca="1" si="46"/>
        <v>44</v>
      </c>
      <c r="AM335" s="173" t="str">
        <f t="shared" si="47"/>
        <v/>
      </c>
      <c r="AN335" s="181"/>
      <c r="AO335" s="190" t="s">
        <v>2771</v>
      </c>
      <c r="AP335" s="176">
        <v>10.4</v>
      </c>
      <c r="AQ335" s="176">
        <v>10.41</v>
      </c>
      <c r="AR335" s="176">
        <v>10.434999999999999</v>
      </c>
      <c r="AS335" s="176">
        <v>10.44</v>
      </c>
      <c r="AT335" s="173" t="str">
        <f t="shared" si="48"/>
        <v/>
      </c>
      <c r="AU335" s="173">
        <v>462</v>
      </c>
      <c r="AW335" s="142" t="s">
        <v>123</v>
      </c>
    </row>
    <row r="336" spans="2:49" s="142" customFormat="1" ht="21" customHeight="1" x14ac:dyDescent="0.25">
      <c r="B336" s="173" t="str">
        <f t="shared" si="45"/>
        <v>0-304/FH-1.00X768</v>
      </c>
      <c r="C336" s="173" t="s">
        <v>4186</v>
      </c>
      <c r="D336" s="173" t="s">
        <v>16</v>
      </c>
      <c r="E336" s="190" t="s">
        <v>4177</v>
      </c>
      <c r="F336" s="190" t="s">
        <v>4187</v>
      </c>
      <c r="G336" s="173">
        <v>304</v>
      </c>
      <c r="H336" s="173" t="s">
        <v>70</v>
      </c>
      <c r="I336" s="174">
        <v>2.9</v>
      </c>
      <c r="J336" s="174">
        <v>1</v>
      </c>
      <c r="K336" s="174"/>
      <c r="L336" s="174"/>
      <c r="M336" s="191">
        <v>768</v>
      </c>
      <c r="N336" s="349">
        <v>10.56</v>
      </c>
      <c r="O336" s="176">
        <v>10.465</v>
      </c>
      <c r="P336" s="176"/>
      <c r="Q336" s="178"/>
      <c r="R336" s="179"/>
      <c r="S336" s="179"/>
      <c r="T336" s="177">
        <v>44946</v>
      </c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80" t="s">
        <v>2448</v>
      </c>
      <c r="AE336" s="173" t="s">
        <v>69</v>
      </c>
      <c r="AF336" s="181" t="s">
        <v>142</v>
      </c>
      <c r="AG336" s="192" t="s">
        <v>1584</v>
      </c>
      <c r="AH336" s="198"/>
      <c r="AI336" s="181">
        <v>44914</v>
      </c>
      <c r="AJ336" s="181"/>
      <c r="AK336" s="181">
        <f t="shared" ca="1" si="44"/>
        <v>44958</v>
      </c>
      <c r="AL336" s="173">
        <f t="shared" ca="1" si="46"/>
        <v>44</v>
      </c>
      <c r="AM336" s="173" t="str">
        <f t="shared" si="47"/>
        <v/>
      </c>
      <c r="AN336" s="181"/>
      <c r="AO336" s="190" t="s">
        <v>4140</v>
      </c>
      <c r="AP336" s="176">
        <v>10.56</v>
      </c>
      <c r="AQ336" s="176">
        <v>10.57</v>
      </c>
      <c r="AR336" s="176">
        <v>10.594999999999999</v>
      </c>
      <c r="AS336" s="176">
        <v>10.6</v>
      </c>
      <c r="AT336" s="173" t="str">
        <f t="shared" si="48"/>
        <v/>
      </c>
      <c r="AU336" s="173">
        <v>462</v>
      </c>
      <c r="AW336" s="142" t="s">
        <v>123</v>
      </c>
    </row>
    <row r="337" spans="2:49" s="142" customFormat="1" ht="21" customHeight="1" x14ac:dyDescent="0.25">
      <c r="B337" s="173" t="str">
        <f t="shared" si="45"/>
        <v>0-304/FH-1.00X768</v>
      </c>
      <c r="C337" s="173" t="s">
        <v>4188</v>
      </c>
      <c r="D337" s="173" t="s">
        <v>16</v>
      </c>
      <c r="E337" s="190" t="s">
        <v>4177</v>
      </c>
      <c r="F337" s="190" t="s">
        <v>4189</v>
      </c>
      <c r="G337" s="173">
        <v>304</v>
      </c>
      <c r="H337" s="173" t="s">
        <v>70</v>
      </c>
      <c r="I337" s="174">
        <v>2.9</v>
      </c>
      <c r="J337" s="174">
        <v>1</v>
      </c>
      <c r="K337" s="174"/>
      <c r="L337" s="174"/>
      <c r="M337" s="191">
        <v>768</v>
      </c>
      <c r="N337" s="350"/>
      <c r="O337" s="176">
        <v>0.105</v>
      </c>
      <c r="P337" s="176"/>
      <c r="Q337" s="178" t="s">
        <v>4190</v>
      </c>
      <c r="R337" s="179" t="s">
        <v>1556</v>
      </c>
      <c r="S337" s="179"/>
      <c r="T337" s="177">
        <v>44946</v>
      </c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80" t="s">
        <v>2448</v>
      </c>
      <c r="AE337" s="173" t="s">
        <v>69</v>
      </c>
      <c r="AF337" s="181" t="s">
        <v>142</v>
      </c>
      <c r="AG337" s="192" t="s">
        <v>1584</v>
      </c>
      <c r="AH337" s="198"/>
      <c r="AI337" s="181">
        <v>44914</v>
      </c>
      <c r="AJ337" s="181"/>
      <c r="AK337" s="181">
        <f t="shared" ca="1" si="44"/>
        <v>44958</v>
      </c>
      <c r="AL337" s="173">
        <f t="shared" ca="1" si="46"/>
        <v>44</v>
      </c>
      <c r="AM337" s="173" t="str">
        <f t="shared" si="47"/>
        <v/>
      </c>
      <c r="AN337" s="181"/>
      <c r="AO337" s="190" t="s">
        <v>4140</v>
      </c>
      <c r="AP337" s="176">
        <v>10.56</v>
      </c>
      <c r="AQ337" s="176">
        <v>10.57</v>
      </c>
      <c r="AR337" s="176">
        <v>10.594999999999999</v>
      </c>
      <c r="AS337" s="176">
        <v>10.6</v>
      </c>
      <c r="AT337" s="173" t="str">
        <f t="shared" si="48"/>
        <v/>
      </c>
      <c r="AU337" s="173">
        <v>462</v>
      </c>
      <c r="AW337" s="142" t="s">
        <v>123</v>
      </c>
    </row>
    <row r="338" spans="2:49" s="142" customFormat="1" ht="21" customHeight="1" x14ac:dyDescent="0.25">
      <c r="B338" s="173" t="str">
        <f t="shared" si="45"/>
        <v>0-304L/1D-2.79X770</v>
      </c>
      <c r="C338" s="173" t="s">
        <v>4185</v>
      </c>
      <c r="D338" s="173" t="s">
        <v>13</v>
      </c>
      <c r="E338" s="190" t="s">
        <v>2660</v>
      </c>
      <c r="F338" s="190" t="s">
        <v>2661</v>
      </c>
      <c r="G338" s="173" t="s">
        <v>182</v>
      </c>
      <c r="H338" s="173" t="s">
        <v>127</v>
      </c>
      <c r="I338" s="174">
        <v>2.79</v>
      </c>
      <c r="J338" s="174"/>
      <c r="K338" s="174"/>
      <c r="L338" s="174"/>
      <c r="M338" s="191">
        <v>770</v>
      </c>
      <c r="N338" s="176">
        <v>10.37</v>
      </c>
      <c r="O338" s="176">
        <v>10.37</v>
      </c>
      <c r="P338" s="176"/>
      <c r="Q338" s="178"/>
      <c r="R338" s="179"/>
      <c r="S338" s="179"/>
      <c r="T338" s="177">
        <v>44947</v>
      </c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80" t="s">
        <v>1605</v>
      </c>
      <c r="AE338" s="173" t="s">
        <v>69</v>
      </c>
      <c r="AF338" s="181" t="s">
        <v>142</v>
      </c>
      <c r="AG338" s="192" t="s">
        <v>1584</v>
      </c>
      <c r="AH338" s="198"/>
      <c r="AI338" s="181">
        <v>44914</v>
      </c>
      <c r="AJ338" s="181"/>
      <c r="AK338" s="181">
        <f t="shared" ca="1" si="44"/>
        <v>44958</v>
      </c>
      <c r="AL338" s="173">
        <f t="shared" ca="1" si="46"/>
        <v>44</v>
      </c>
      <c r="AM338" s="173" t="str">
        <f t="shared" si="47"/>
        <v/>
      </c>
      <c r="AN338" s="181"/>
      <c r="AO338" s="190" t="s">
        <v>2662</v>
      </c>
      <c r="AP338" s="176">
        <v>10.37</v>
      </c>
      <c r="AQ338" s="176">
        <v>10.38</v>
      </c>
      <c r="AR338" s="176">
        <v>10.404999999999999</v>
      </c>
      <c r="AS338" s="176">
        <v>10.41</v>
      </c>
      <c r="AT338" s="173" t="str">
        <f t="shared" si="48"/>
        <v/>
      </c>
      <c r="AU338" s="173">
        <v>462</v>
      </c>
      <c r="AW338" s="142" t="s">
        <v>123</v>
      </c>
    </row>
    <row r="339" spans="2:49" s="142" customFormat="1" ht="21" customHeight="1" x14ac:dyDescent="0.25">
      <c r="B339" s="173" t="str">
        <f t="shared" si="45"/>
        <v>0-304/FH-1.00X768</v>
      </c>
      <c r="C339" s="173" t="s">
        <v>4186</v>
      </c>
      <c r="D339" s="173" t="s">
        <v>16</v>
      </c>
      <c r="E339" s="190" t="s">
        <v>2653</v>
      </c>
      <c r="F339" s="190" t="s">
        <v>2654</v>
      </c>
      <c r="G339" s="173">
        <v>304</v>
      </c>
      <c r="H339" s="173" t="s">
        <v>70</v>
      </c>
      <c r="I339" s="174">
        <v>2.9</v>
      </c>
      <c r="J339" s="174">
        <v>1</v>
      </c>
      <c r="K339" s="174"/>
      <c r="L339" s="174"/>
      <c r="M339" s="191">
        <v>768</v>
      </c>
      <c r="N339" s="176">
        <v>10.324999999999999</v>
      </c>
      <c r="O339" s="176">
        <v>10.335000000000001</v>
      </c>
      <c r="P339" s="176"/>
      <c r="Q339" s="178"/>
      <c r="R339" s="179"/>
      <c r="S339" s="179"/>
      <c r="T339" s="177">
        <v>44946</v>
      </c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80" t="s">
        <v>1605</v>
      </c>
      <c r="AE339" s="173" t="s">
        <v>69</v>
      </c>
      <c r="AF339" s="181" t="s">
        <v>142</v>
      </c>
      <c r="AG339" s="192" t="s">
        <v>1584</v>
      </c>
      <c r="AH339" s="198"/>
      <c r="AI339" s="181">
        <v>44914</v>
      </c>
      <c r="AJ339" s="181"/>
      <c r="AK339" s="181">
        <f t="shared" ca="1" si="44"/>
        <v>44958</v>
      </c>
      <c r="AL339" s="173">
        <f t="shared" ca="1" si="46"/>
        <v>44</v>
      </c>
      <c r="AM339" s="173" t="str">
        <f t="shared" si="47"/>
        <v/>
      </c>
      <c r="AN339" s="181"/>
      <c r="AO339" s="190" t="s">
        <v>2652</v>
      </c>
      <c r="AP339" s="176">
        <v>10.324999999999999</v>
      </c>
      <c r="AQ339" s="176">
        <v>10.335000000000001</v>
      </c>
      <c r="AR339" s="176">
        <v>10.36</v>
      </c>
      <c r="AS339" s="176">
        <v>10.365</v>
      </c>
      <c r="AT339" s="173" t="str">
        <f t="shared" si="48"/>
        <v/>
      </c>
      <c r="AU339" s="173">
        <v>462</v>
      </c>
      <c r="AW339" s="142" t="s">
        <v>123</v>
      </c>
    </row>
    <row r="340" spans="2:49" s="142" customFormat="1" ht="21" customHeight="1" x14ac:dyDescent="0.25">
      <c r="B340" s="173" t="str">
        <f t="shared" si="45"/>
        <v>0-304/1D-3.98X767</v>
      </c>
      <c r="C340" s="173" t="s">
        <v>4185</v>
      </c>
      <c r="D340" s="173" t="s">
        <v>13</v>
      </c>
      <c r="E340" s="190" t="s">
        <v>4191</v>
      </c>
      <c r="F340" s="190" t="s">
        <v>4192</v>
      </c>
      <c r="G340" s="173">
        <v>304</v>
      </c>
      <c r="H340" s="173" t="s">
        <v>127</v>
      </c>
      <c r="I340" s="174">
        <v>3.98</v>
      </c>
      <c r="J340" s="174"/>
      <c r="K340" s="174"/>
      <c r="L340" s="174"/>
      <c r="M340" s="191">
        <v>767</v>
      </c>
      <c r="N340" s="176">
        <v>10.525</v>
      </c>
      <c r="O340" s="176">
        <v>10.525</v>
      </c>
      <c r="P340" s="176"/>
      <c r="Q340" s="178"/>
      <c r="R340" s="179"/>
      <c r="S340" s="179"/>
      <c r="T340" s="177">
        <v>44947</v>
      </c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80" t="s">
        <v>1507</v>
      </c>
      <c r="AE340" s="173" t="s">
        <v>69</v>
      </c>
      <c r="AF340" s="181" t="s">
        <v>142</v>
      </c>
      <c r="AG340" s="192" t="s">
        <v>1584</v>
      </c>
      <c r="AH340" s="198"/>
      <c r="AI340" s="181">
        <v>44914</v>
      </c>
      <c r="AJ340" s="181"/>
      <c r="AK340" s="181">
        <f t="shared" ca="1" si="44"/>
        <v>44958</v>
      </c>
      <c r="AL340" s="173">
        <f t="shared" ca="1" si="46"/>
        <v>44</v>
      </c>
      <c r="AM340" s="173" t="str">
        <f t="shared" si="47"/>
        <v/>
      </c>
      <c r="AN340" s="181"/>
      <c r="AO340" s="190" t="s">
        <v>2631</v>
      </c>
      <c r="AP340" s="176">
        <v>10.525</v>
      </c>
      <c r="AQ340" s="176">
        <v>10.535</v>
      </c>
      <c r="AR340" s="176">
        <v>10.559999999999999</v>
      </c>
      <c r="AS340" s="176">
        <v>10.565</v>
      </c>
      <c r="AT340" s="173" t="str">
        <f t="shared" si="48"/>
        <v/>
      </c>
      <c r="AU340" s="173">
        <v>462</v>
      </c>
      <c r="AW340" s="142" t="s">
        <v>123</v>
      </c>
    </row>
    <row r="341" spans="2:49" s="142" customFormat="1" ht="21" customHeight="1" x14ac:dyDescent="0.25">
      <c r="B341" s="173" t="str">
        <f t="shared" si="45"/>
        <v>0-304L/1D-3.88X638</v>
      </c>
      <c r="C341" s="173" t="s">
        <v>4193</v>
      </c>
      <c r="D341" s="173" t="s">
        <v>13</v>
      </c>
      <c r="E341" s="190" t="s">
        <v>1659</v>
      </c>
      <c r="F341" s="190" t="s">
        <v>1660</v>
      </c>
      <c r="G341" s="173" t="s">
        <v>182</v>
      </c>
      <c r="H341" s="173" t="s">
        <v>127</v>
      </c>
      <c r="I341" s="174">
        <v>3.88</v>
      </c>
      <c r="J341" s="174"/>
      <c r="K341" s="174"/>
      <c r="L341" s="174"/>
      <c r="M341" s="191">
        <v>638</v>
      </c>
      <c r="N341" s="176">
        <v>10.414999999999999</v>
      </c>
      <c r="O341" s="176">
        <v>10.414999999999999</v>
      </c>
      <c r="P341" s="176"/>
      <c r="Q341" s="178"/>
      <c r="R341" s="179"/>
      <c r="S341" s="179"/>
      <c r="T341" s="177">
        <v>44947</v>
      </c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80" t="s">
        <v>1609</v>
      </c>
      <c r="AE341" s="173" t="s">
        <v>69</v>
      </c>
      <c r="AF341" s="181" t="s">
        <v>142</v>
      </c>
      <c r="AG341" s="192" t="s">
        <v>1657</v>
      </c>
      <c r="AH341" s="198"/>
      <c r="AI341" s="181">
        <v>44849</v>
      </c>
      <c r="AJ341" s="181"/>
      <c r="AK341" s="181">
        <f t="shared" ca="1" si="44"/>
        <v>44958</v>
      </c>
      <c r="AL341" s="173">
        <f t="shared" ca="1" si="46"/>
        <v>109</v>
      </c>
      <c r="AM341" s="173" t="str">
        <f t="shared" si="47"/>
        <v/>
      </c>
      <c r="AN341" s="181"/>
      <c r="AO341" s="190" t="s">
        <v>1661</v>
      </c>
      <c r="AP341" s="176">
        <v>10.414999999999999</v>
      </c>
      <c r="AQ341" s="176">
        <v>10.425000000000001</v>
      </c>
      <c r="AR341" s="176">
        <v>10.45</v>
      </c>
      <c r="AS341" s="176">
        <v>10.455</v>
      </c>
      <c r="AT341" s="173" t="str">
        <f t="shared" si="48"/>
        <v/>
      </c>
      <c r="AU341" s="173">
        <v>456</v>
      </c>
      <c r="AW341" s="142" t="s">
        <v>123</v>
      </c>
    </row>
    <row r="342" spans="2:49" s="142" customFormat="1" ht="21" customHeight="1" x14ac:dyDescent="0.25">
      <c r="B342" s="173" t="str">
        <f t="shared" si="45"/>
        <v>0-304L/FH-1.00X779</v>
      </c>
      <c r="C342" s="173" t="s">
        <v>4186</v>
      </c>
      <c r="D342" s="173" t="s">
        <v>16</v>
      </c>
      <c r="E342" s="190" t="s">
        <v>4180</v>
      </c>
      <c r="F342" s="190" t="s">
        <v>4181</v>
      </c>
      <c r="G342" s="173" t="s">
        <v>182</v>
      </c>
      <c r="H342" s="173" t="s">
        <v>70</v>
      </c>
      <c r="I342" s="174">
        <v>2.82</v>
      </c>
      <c r="J342" s="174">
        <v>1</v>
      </c>
      <c r="K342" s="174"/>
      <c r="L342" s="174"/>
      <c r="M342" s="191">
        <v>779</v>
      </c>
      <c r="N342" s="176">
        <v>9</v>
      </c>
      <c r="O342" s="176">
        <v>9.0150000000000006</v>
      </c>
      <c r="P342" s="176"/>
      <c r="Q342" s="178"/>
      <c r="R342" s="179"/>
      <c r="S342" s="179"/>
      <c r="T342" s="177">
        <v>44946</v>
      </c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80" t="s">
        <v>1605</v>
      </c>
      <c r="AE342" s="173" t="s">
        <v>69</v>
      </c>
      <c r="AF342" s="181" t="s">
        <v>142</v>
      </c>
      <c r="AG342" s="192" t="s">
        <v>1584</v>
      </c>
      <c r="AH342" s="198"/>
      <c r="AI342" s="181">
        <v>44914</v>
      </c>
      <c r="AJ342" s="181"/>
      <c r="AK342" s="181">
        <f t="shared" ca="1" si="44"/>
        <v>44958</v>
      </c>
      <c r="AL342" s="173">
        <f t="shared" ca="1" si="46"/>
        <v>44</v>
      </c>
      <c r="AM342" s="173" t="str">
        <f t="shared" si="47"/>
        <v/>
      </c>
      <c r="AN342" s="181"/>
      <c r="AO342" s="190" t="s">
        <v>4107</v>
      </c>
      <c r="AP342" s="176">
        <v>9</v>
      </c>
      <c r="AQ342" s="176">
        <v>9.01</v>
      </c>
      <c r="AR342" s="176">
        <v>9.0349999999999984</v>
      </c>
      <c r="AS342" s="176">
        <v>9.0399999999999991</v>
      </c>
      <c r="AT342" s="173" t="str">
        <f t="shared" si="48"/>
        <v/>
      </c>
      <c r="AU342" s="173">
        <v>462</v>
      </c>
      <c r="AW342" s="142" t="s">
        <v>123</v>
      </c>
    </row>
    <row r="343" spans="2:49" s="142" customFormat="1" ht="21" customHeight="1" x14ac:dyDescent="0.25">
      <c r="B343" s="173" t="str">
        <f t="shared" si="45"/>
        <v>0-304L/1D-3.88X770</v>
      </c>
      <c r="C343" s="173" t="s">
        <v>4185</v>
      </c>
      <c r="D343" s="173" t="s">
        <v>13</v>
      </c>
      <c r="E343" s="190" t="s">
        <v>2620</v>
      </c>
      <c r="F343" s="190" t="s">
        <v>2621</v>
      </c>
      <c r="G343" s="173" t="s">
        <v>182</v>
      </c>
      <c r="H343" s="173" t="s">
        <v>127</v>
      </c>
      <c r="I343" s="174">
        <v>3.88</v>
      </c>
      <c r="J343" s="174"/>
      <c r="K343" s="174"/>
      <c r="L343" s="174"/>
      <c r="M343" s="191">
        <v>770</v>
      </c>
      <c r="N343" s="176">
        <v>12.015000000000001</v>
      </c>
      <c r="O343" s="176">
        <v>12.015000000000001</v>
      </c>
      <c r="P343" s="176"/>
      <c r="Q343" s="178"/>
      <c r="R343" s="179"/>
      <c r="S343" s="179"/>
      <c r="T343" s="177">
        <v>44947</v>
      </c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80" t="s">
        <v>1605</v>
      </c>
      <c r="AE343" s="173" t="s">
        <v>69</v>
      </c>
      <c r="AF343" s="181" t="s">
        <v>142</v>
      </c>
      <c r="AG343" s="192" t="s">
        <v>1584</v>
      </c>
      <c r="AH343" s="198"/>
      <c r="AI343" s="181">
        <v>44914</v>
      </c>
      <c r="AJ343" s="181"/>
      <c r="AK343" s="181">
        <f t="shared" ca="1" si="44"/>
        <v>44958</v>
      </c>
      <c r="AL343" s="173">
        <f t="shared" ca="1" si="46"/>
        <v>44</v>
      </c>
      <c r="AM343" s="173" t="str">
        <f t="shared" si="47"/>
        <v/>
      </c>
      <c r="AN343" s="181"/>
      <c r="AO343" s="190" t="s">
        <v>2622</v>
      </c>
      <c r="AP343" s="176">
        <v>12.015000000000001</v>
      </c>
      <c r="AQ343" s="176">
        <v>12.025</v>
      </c>
      <c r="AR343" s="176">
        <v>12.049999999999999</v>
      </c>
      <c r="AS343" s="176">
        <v>12.055</v>
      </c>
      <c r="AT343" s="173" t="str">
        <f t="shared" si="48"/>
        <v/>
      </c>
      <c r="AU343" s="173">
        <v>462</v>
      </c>
      <c r="AW343" s="142" t="s">
        <v>123</v>
      </c>
    </row>
    <row r="344" spans="2:49" s="142" customFormat="1" ht="21" customHeight="1" x14ac:dyDescent="0.25">
      <c r="B344" s="173" t="str">
        <f t="shared" si="45"/>
        <v>0-304/FH-2.00X767</v>
      </c>
      <c r="C344" s="173" t="s">
        <v>4186</v>
      </c>
      <c r="D344" s="173" t="s">
        <v>16</v>
      </c>
      <c r="E344" s="190" t="s">
        <v>4191</v>
      </c>
      <c r="F344" s="190" t="s">
        <v>4192</v>
      </c>
      <c r="G344" s="173">
        <v>304</v>
      </c>
      <c r="H344" s="173" t="s">
        <v>70</v>
      </c>
      <c r="I344" s="174">
        <v>3.98</v>
      </c>
      <c r="J344" s="174">
        <v>2</v>
      </c>
      <c r="K344" s="174"/>
      <c r="L344" s="174"/>
      <c r="M344" s="191">
        <v>767</v>
      </c>
      <c r="N344" s="176">
        <v>10.525</v>
      </c>
      <c r="O344" s="176">
        <v>10.54</v>
      </c>
      <c r="P344" s="176"/>
      <c r="Q344" s="178"/>
      <c r="R344" s="179"/>
      <c r="S344" s="179"/>
      <c r="T344" s="177">
        <v>44947</v>
      </c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80" t="s">
        <v>1507</v>
      </c>
      <c r="AE344" s="173" t="s">
        <v>69</v>
      </c>
      <c r="AF344" s="181" t="s">
        <v>142</v>
      </c>
      <c r="AG344" s="192" t="s">
        <v>1584</v>
      </c>
      <c r="AH344" s="198"/>
      <c r="AI344" s="181">
        <v>44914</v>
      </c>
      <c r="AJ344" s="181"/>
      <c r="AK344" s="181">
        <f t="shared" ca="1" si="44"/>
        <v>44958</v>
      </c>
      <c r="AL344" s="173">
        <f t="shared" ca="1" si="46"/>
        <v>44</v>
      </c>
      <c r="AM344" s="173" t="str">
        <f t="shared" si="47"/>
        <v/>
      </c>
      <c r="AN344" s="181"/>
      <c r="AO344" s="190" t="s">
        <v>2631</v>
      </c>
      <c r="AP344" s="176">
        <v>10.525</v>
      </c>
      <c r="AQ344" s="176">
        <v>10.535</v>
      </c>
      <c r="AR344" s="176">
        <v>10.559999999999999</v>
      </c>
      <c r="AS344" s="176">
        <v>10.565</v>
      </c>
      <c r="AT344" s="173" t="str">
        <f t="shared" si="48"/>
        <v/>
      </c>
      <c r="AU344" s="173">
        <v>462</v>
      </c>
      <c r="AW344" s="142" t="s">
        <v>123</v>
      </c>
    </row>
    <row r="345" spans="2:49" s="142" customFormat="1" ht="21" customHeight="1" x14ac:dyDescent="0.25">
      <c r="B345" s="173" t="str">
        <f t="shared" si="45"/>
        <v>0-304L/1D-2.79X772</v>
      </c>
      <c r="C345" s="173" t="s">
        <v>4185</v>
      </c>
      <c r="D345" s="173" t="s">
        <v>13</v>
      </c>
      <c r="E345" s="190" t="s">
        <v>2721</v>
      </c>
      <c r="F345" s="190" t="s">
        <v>2722</v>
      </c>
      <c r="G345" s="173" t="s">
        <v>182</v>
      </c>
      <c r="H345" s="173" t="s">
        <v>127</v>
      </c>
      <c r="I345" s="174">
        <v>2.79</v>
      </c>
      <c r="J345" s="174"/>
      <c r="K345" s="174"/>
      <c r="L345" s="174"/>
      <c r="M345" s="191">
        <v>772</v>
      </c>
      <c r="N345" s="176">
        <v>10.57</v>
      </c>
      <c r="O345" s="176">
        <v>10.57</v>
      </c>
      <c r="P345" s="176"/>
      <c r="Q345" s="178"/>
      <c r="R345" s="179"/>
      <c r="S345" s="179"/>
      <c r="T345" s="177">
        <v>44947</v>
      </c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80" t="s">
        <v>1605</v>
      </c>
      <c r="AE345" s="173" t="s">
        <v>69</v>
      </c>
      <c r="AF345" s="181" t="s">
        <v>142</v>
      </c>
      <c r="AG345" s="192" t="s">
        <v>1584</v>
      </c>
      <c r="AH345" s="198"/>
      <c r="AI345" s="181">
        <v>44914</v>
      </c>
      <c r="AJ345" s="181"/>
      <c r="AK345" s="181">
        <f t="shared" ca="1" si="44"/>
        <v>44958</v>
      </c>
      <c r="AL345" s="173">
        <f t="shared" ca="1" si="46"/>
        <v>44</v>
      </c>
      <c r="AM345" s="173" t="str">
        <f t="shared" si="47"/>
        <v/>
      </c>
      <c r="AN345" s="181"/>
      <c r="AO345" s="190" t="s">
        <v>2723</v>
      </c>
      <c r="AP345" s="176">
        <v>10.57</v>
      </c>
      <c r="AQ345" s="176">
        <v>10.58</v>
      </c>
      <c r="AR345" s="176">
        <v>10.604999999999999</v>
      </c>
      <c r="AS345" s="176">
        <v>10.61</v>
      </c>
      <c r="AT345" s="173" t="str">
        <f t="shared" si="48"/>
        <v/>
      </c>
      <c r="AU345" s="173">
        <v>462</v>
      </c>
      <c r="AW345" s="142" t="s">
        <v>123</v>
      </c>
    </row>
    <row r="346" spans="2:49" s="142" customFormat="1" ht="21" customHeight="1" x14ac:dyDescent="0.25">
      <c r="B346" s="173" t="str">
        <f t="shared" si="45"/>
        <v>0-304L/FH-1.15X773</v>
      </c>
      <c r="C346" s="173" t="s">
        <v>4186</v>
      </c>
      <c r="D346" s="173" t="s">
        <v>16</v>
      </c>
      <c r="E346" s="190" t="s">
        <v>2507</v>
      </c>
      <c r="F346" s="190" t="s">
        <v>2508</v>
      </c>
      <c r="G346" s="173" t="s">
        <v>182</v>
      </c>
      <c r="H346" s="173" t="s">
        <v>70</v>
      </c>
      <c r="I346" s="174">
        <v>3.79</v>
      </c>
      <c r="J346" s="174">
        <v>1.1499999999999999</v>
      </c>
      <c r="K346" s="174"/>
      <c r="L346" s="174"/>
      <c r="M346" s="191">
        <v>773</v>
      </c>
      <c r="N346" s="176">
        <v>10.555</v>
      </c>
      <c r="O346" s="176">
        <v>10.55</v>
      </c>
      <c r="P346" s="176"/>
      <c r="Q346" s="178"/>
      <c r="R346" s="179"/>
      <c r="S346" s="179"/>
      <c r="T346" s="177">
        <v>44946</v>
      </c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80" t="s">
        <v>1605</v>
      </c>
      <c r="AE346" s="173" t="s">
        <v>69</v>
      </c>
      <c r="AF346" s="181" t="s">
        <v>142</v>
      </c>
      <c r="AG346" s="192" t="s">
        <v>1584</v>
      </c>
      <c r="AH346" s="198"/>
      <c r="AI346" s="181">
        <v>44914</v>
      </c>
      <c r="AJ346" s="181"/>
      <c r="AK346" s="181">
        <f t="shared" ca="1" si="44"/>
        <v>44958</v>
      </c>
      <c r="AL346" s="173">
        <f t="shared" ca="1" si="46"/>
        <v>44</v>
      </c>
      <c r="AM346" s="173" t="str">
        <f t="shared" si="47"/>
        <v/>
      </c>
      <c r="AN346" s="181"/>
      <c r="AO346" s="190" t="s">
        <v>2506</v>
      </c>
      <c r="AP346" s="176">
        <v>10.555</v>
      </c>
      <c r="AQ346" s="176">
        <v>10.565</v>
      </c>
      <c r="AR346" s="176">
        <v>10.589999999999998</v>
      </c>
      <c r="AS346" s="176">
        <v>10.594999999999999</v>
      </c>
      <c r="AT346" s="173" t="str">
        <f t="shared" si="48"/>
        <v/>
      </c>
      <c r="AU346" s="173">
        <v>462</v>
      </c>
      <c r="AW346" s="142" t="s">
        <v>123</v>
      </c>
    </row>
    <row r="347" spans="2:49" s="142" customFormat="1" ht="21" customHeight="1" x14ac:dyDescent="0.25">
      <c r="B347" s="173" t="str">
        <f t="shared" si="45"/>
        <v>0-304/1D-3.77X769</v>
      </c>
      <c r="C347" s="173" t="s">
        <v>4185</v>
      </c>
      <c r="D347" s="173" t="s">
        <v>13</v>
      </c>
      <c r="E347" s="190" t="s">
        <v>4194</v>
      </c>
      <c r="F347" s="190" t="s">
        <v>4195</v>
      </c>
      <c r="G347" s="173">
        <v>304</v>
      </c>
      <c r="H347" s="173" t="s">
        <v>127</v>
      </c>
      <c r="I347" s="174">
        <v>3.77</v>
      </c>
      <c r="J347" s="174"/>
      <c r="K347" s="174"/>
      <c r="L347" s="174"/>
      <c r="M347" s="191">
        <v>769</v>
      </c>
      <c r="N347" s="176">
        <v>10.4</v>
      </c>
      <c r="O347" s="176">
        <v>10.4</v>
      </c>
      <c r="P347" s="176"/>
      <c r="Q347" s="178"/>
      <c r="R347" s="179"/>
      <c r="S347" s="179"/>
      <c r="T347" s="177">
        <v>44947</v>
      </c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80" t="s">
        <v>2448</v>
      </c>
      <c r="AE347" s="173" t="s">
        <v>69</v>
      </c>
      <c r="AF347" s="181" t="s">
        <v>142</v>
      </c>
      <c r="AG347" s="192" t="s">
        <v>1584</v>
      </c>
      <c r="AH347" s="198"/>
      <c r="AI347" s="181">
        <v>44914</v>
      </c>
      <c r="AJ347" s="181"/>
      <c r="AK347" s="181">
        <f t="shared" ca="1" si="44"/>
        <v>44958</v>
      </c>
      <c r="AL347" s="173">
        <f t="shared" ca="1" si="46"/>
        <v>44</v>
      </c>
      <c r="AM347" s="173" t="str">
        <f t="shared" si="47"/>
        <v/>
      </c>
      <c r="AN347" s="181"/>
      <c r="AO347" s="190" t="s">
        <v>4041</v>
      </c>
      <c r="AP347" s="176">
        <v>10.4</v>
      </c>
      <c r="AQ347" s="176">
        <v>10.41</v>
      </c>
      <c r="AR347" s="176">
        <v>10.434999999999999</v>
      </c>
      <c r="AS347" s="176">
        <v>10.44</v>
      </c>
      <c r="AT347" s="173" t="str">
        <f t="shared" si="48"/>
        <v/>
      </c>
      <c r="AU347" s="173">
        <v>462</v>
      </c>
      <c r="AW347" s="142" t="s">
        <v>123</v>
      </c>
    </row>
    <row r="348" spans="2:49" s="142" customFormat="1" ht="21" customHeight="1" x14ac:dyDescent="0.25">
      <c r="B348" s="173" t="str">
        <f t="shared" si="45"/>
        <v>0-304L/FH-1.20X770</v>
      </c>
      <c r="C348" s="173" t="s">
        <v>4186</v>
      </c>
      <c r="D348" s="173" t="s">
        <v>16</v>
      </c>
      <c r="E348" s="190" t="s">
        <v>2620</v>
      </c>
      <c r="F348" s="190" t="s">
        <v>2621</v>
      </c>
      <c r="G348" s="173" t="s">
        <v>182</v>
      </c>
      <c r="H348" s="173" t="s">
        <v>70</v>
      </c>
      <c r="I348" s="174">
        <v>3.88</v>
      </c>
      <c r="J348" s="174">
        <v>1.2</v>
      </c>
      <c r="K348" s="174"/>
      <c r="L348" s="174"/>
      <c r="M348" s="191">
        <v>770</v>
      </c>
      <c r="N348" s="176">
        <v>12.015000000000001</v>
      </c>
      <c r="O348" s="176">
        <v>12.02</v>
      </c>
      <c r="P348" s="176"/>
      <c r="Q348" s="178"/>
      <c r="R348" s="179"/>
      <c r="S348" s="179"/>
      <c r="T348" s="177">
        <v>44947</v>
      </c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80" t="s">
        <v>1605</v>
      </c>
      <c r="AE348" s="173" t="s">
        <v>69</v>
      </c>
      <c r="AF348" s="181" t="s">
        <v>142</v>
      </c>
      <c r="AG348" s="192" t="s">
        <v>1584</v>
      </c>
      <c r="AH348" s="198"/>
      <c r="AI348" s="181">
        <v>44914</v>
      </c>
      <c r="AJ348" s="181"/>
      <c r="AK348" s="181">
        <f t="shared" ca="1" si="44"/>
        <v>44958</v>
      </c>
      <c r="AL348" s="173">
        <f t="shared" ca="1" si="46"/>
        <v>44</v>
      </c>
      <c r="AM348" s="173" t="str">
        <f t="shared" si="47"/>
        <v/>
      </c>
      <c r="AN348" s="181"/>
      <c r="AO348" s="190" t="s">
        <v>2622</v>
      </c>
      <c r="AP348" s="176">
        <v>12.015000000000001</v>
      </c>
      <c r="AQ348" s="176">
        <v>12.025</v>
      </c>
      <c r="AR348" s="176">
        <v>12.049999999999999</v>
      </c>
      <c r="AS348" s="176">
        <v>12.055</v>
      </c>
      <c r="AT348" s="173" t="str">
        <f t="shared" si="48"/>
        <v/>
      </c>
      <c r="AU348" s="173">
        <v>462</v>
      </c>
      <c r="AW348" s="142" t="s">
        <v>123</v>
      </c>
    </row>
    <row r="349" spans="2:49" s="142" customFormat="1" ht="21" customHeight="1" x14ac:dyDescent="0.25">
      <c r="B349" s="173" t="str">
        <f t="shared" si="45"/>
        <v>0-304L/1D-2.77X770</v>
      </c>
      <c r="C349" s="173" t="s">
        <v>4185</v>
      </c>
      <c r="D349" s="173" t="s">
        <v>13</v>
      </c>
      <c r="E349" s="190" t="s">
        <v>4196</v>
      </c>
      <c r="F349" s="190" t="s">
        <v>4197</v>
      </c>
      <c r="G349" s="173" t="s">
        <v>182</v>
      </c>
      <c r="H349" s="173" t="s">
        <v>127</v>
      </c>
      <c r="I349" s="174">
        <v>2.77</v>
      </c>
      <c r="J349" s="174"/>
      <c r="K349" s="174"/>
      <c r="L349" s="174"/>
      <c r="M349" s="191">
        <v>770</v>
      </c>
      <c r="N349" s="176">
        <v>10.54</v>
      </c>
      <c r="O349" s="176">
        <v>10.54</v>
      </c>
      <c r="P349" s="176"/>
      <c r="Q349" s="178"/>
      <c r="R349" s="179"/>
      <c r="S349" s="179"/>
      <c r="T349" s="177">
        <v>44947</v>
      </c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80" t="s">
        <v>1643</v>
      </c>
      <c r="AE349" s="173" t="s">
        <v>69</v>
      </c>
      <c r="AF349" s="181" t="s">
        <v>142</v>
      </c>
      <c r="AG349" s="192" t="s">
        <v>1584</v>
      </c>
      <c r="AH349" s="198"/>
      <c r="AI349" s="181">
        <v>44914</v>
      </c>
      <c r="AJ349" s="181"/>
      <c r="AK349" s="181">
        <f t="shared" ca="1" si="44"/>
        <v>44958</v>
      </c>
      <c r="AL349" s="173">
        <f t="shared" ca="1" si="46"/>
        <v>44</v>
      </c>
      <c r="AM349" s="173" t="str">
        <f t="shared" si="47"/>
        <v/>
      </c>
      <c r="AN349" s="181"/>
      <c r="AO349" s="190" t="s">
        <v>2695</v>
      </c>
      <c r="AP349" s="176">
        <v>10.54</v>
      </c>
      <c r="AQ349" s="176">
        <v>10.55</v>
      </c>
      <c r="AR349" s="176">
        <v>10.574999999999999</v>
      </c>
      <c r="AS349" s="176">
        <v>10.58</v>
      </c>
      <c r="AT349" s="173" t="str">
        <f t="shared" si="48"/>
        <v/>
      </c>
      <c r="AU349" s="173">
        <v>462</v>
      </c>
      <c r="AW349" s="142" t="s">
        <v>123</v>
      </c>
    </row>
    <row r="350" spans="2:49" s="142" customFormat="1" ht="21" customHeight="1" x14ac:dyDescent="0.25">
      <c r="B350" s="173" t="str">
        <f t="shared" si="45"/>
        <v>0-304L/FH-0.99X772</v>
      </c>
      <c r="C350" s="173" t="s">
        <v>4198</v>
      </c>
      <c r="D350" s="173" t="s">
        <v>3901</v>
      </c>
      <c r="E350" s="190" t="s">
        <v>2721</v>
      </c>
      <c r="F350" s="190" t="s">
        <v>2722</v>
      </c>
      <c r="G350" s="173" t="s">
        <v>182</v>
      </c>
      <c r="H350" s="173" t="s">
        <v>70</v>
      </c>
      <c r="I350" s="174">
        <v>2.79</v>
      </c>
      <c r="J350" s="174">
        <v>0.99</v>
      </c>
      <c r="K350" s="174"/>
      <c r="L350" s="174"/>
      <c r="M350" s="191">
        <v>772</v>
      </c>
      <c r="N350" s="176">
        <v>10.57</v>
      </c>
      <c r="O350" s="176">
        <v>10.57</v>
      </c>
      <c r="P350" s="176"/>
      <c r="Q350" s="178"/>
      <c r="R350" s="179"/>
      <c r="S350" s="179"/>
      <c r="T350" s="177">
        <v>44947</v>
      </c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80" t="s">
        <v>1605</v>
      </c>
      <c r="AE350" s="173" t="s">
        <v>69</v>
      </c>
      <c r="AF350" s="181" t="s">
        <v>142</v>
      </c>
      <c r="AG350" s="192" t="s">
        <v>1584</v>
      </c>
      <c r="AH350" s="198"/>
      <c r="AI350" s="181">
        <v>44914</v>
      </c>
      <c r="AJ350" s="181"/>
      <c r="AK350" s="181">
        <f t="shared" ca="1" si="44"/>
        <v>44958</v>
      </c>
      <c r="AL350" s="173">
        <f t="shared" ca="1" si="46"/>
        <v>44</v>
      </c>
      <c r="AM350" s="173" t="str">
        <f t="shared" si="47"/>
        <v/>
      </c>
      <c r="AN350" s="181"/>
      <c r="AO350" s="190" t="s">
        <v>2723</v>
      </c>
      <c r="AP350" s="176">
        <v>10.57</v>
      </c>
      <c r="AQ350" s="176">
        <v>10.58</v>
      </c>
      <c r="AR350" s="176">
        <v>10.604999999999999</v>
      </c>
      <c r="AS350" s="176">
        <v>10.61</v>
      </c>
      <c r="AT350" s="173" t="str">
        <f t="shared" si="48"/>
        <v/>
      </c>
      <c r="AU350" s="173">
        <v>462</v>
      </c>
      <c r="AW350" s="142" t="s">
        <v>123</v>
      </c>
    </row>
    <row r="351" spans="2:49" s="142" customFormat="1" ht="21" customHeight="1" x14ac:dyDescent="0.25">
      <c r="B351" s="173" t="str">
        <f t="shared" si="45"/>
        <v>0-304L/FH-0.90X770</v>
      </c>
      <c r="C351" s="173" t="s">
        <v>4199</v>
      </c>
      <c r="D351" s="173" t="s">
        <v>16</v>
      </c>
      <c r="E351" s="190" t="s">
        <v>2769</v>
      </c>
      <c r="F351" s="190" t="s">
        <v>2770</v>
      </c>
      <c r="G351" s="173" t="s">
        <v>182</v>
      </c>
      <c r="H351" s="173" t="s">
        <v>70</v>
      </c>
      <c r="I351" s="174">
        <v>2.81</v>
      </c>
      <c r="J351" s="174">
        <v>0.9</v>
      </c>
      <c r="K351" s="174"/>
      <c r="L351" s="174"/>
      <c r="M351" s="191">
        <v>770</v>
      </c>
      <c r="N351" s="176">
        <v>10.4</v>
      </c>
      <c r="O351" s="176">
        <v>10.4</v>
      </c>
      <c r="P351" s="176"/>
      <c r="Q351" s="178"/>
      <c r="R351" s="179"/>
      <c r="S351" s="179"/>
      <c r="T351" s="177">
        <v>44947</v>
      </c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80" t="s">
        <v>1605</v>
      </c>
      <c r="AE351" s="173" t="s">
        <v>69</v>
      </c>
      <c r="AF351" s="181" t="s">
        <v>142</v>
      </c>
      <c r="AG351" s="192" t="s">
        <v>1584</v>
      </c>
      <c r="AH351" s="198"/>
      <c r="AI351" s="181">
        <v>44914</v>
      </c>
      <c r="AJ351" s="181"/>
      <c r="AK351" s="181">
        <f t="shared" ca="1" si="44"/>
        <v>44958</v>
      </c>
      <c r="AL351" s="173">
        <f t="shared" ca="1" si="46"/>
        <v>44</v>
      </c>
      <c r="AM351" s="173" t="str">
        <f t="shared" si="47"/>
        <v/>
      </c>
      <c r="AN351" s="181"/>
      <c r="AO351" s="190" t="s">
        <v>2771</v>
      </c>
      <c r="AP351" s="176">
        <v>10.4</v>
      </c>
      <c r="AQ351" s="176">
        <v>10.41</v>
      </c>
      <c r="AR351" s="176">
        <v>10.434999999999999</v>
      </c>
      <c r="AS351" s="176">
        <v>10.44</v>
      </c>
      <c r="AT351" s="173" t="str">
        <f t="shared" si="48"/>
        <v/>
      </c>
      <c r="AU351" s="173">
        <v>462</v>
      </c>
      <c r="AW351" s="142" t="s">
        <v>123</v>
      </c>
    </row>
    <row r="352" spans="2:49" s="142" customFormat="1" ht="21" customHeight="1" x14ac:dyDescent="0.25">
      <c r="B352" s="173" t="str">
        <f t="shared" si="45"/>
        <v>0-304L/1D-3.93X764</v>
      </c>
      <c r="C352" s="173" t="s">
        <v>4200</v>
      </c>
      <c r="D352" s="173" t="s">
        <v>13</v>
      </c>
      <c r="E352" s="190" t="s">
        <v>2446</v>
      </c>
      <c r="F352" s="190" t="s">
        <v>2447</v>
      </c>
      <c r="G352" s="173" t="s">
        <v>182</v>
      </c>
      <c r="H352" s="173" t="s">
        <v>127</v>
      </c>
      <c r="I352" s="174">
        <v>3.93</v>
      </c>
      <c r="J352" s="174"/>
      <c r="K352" s="174"/>
      <c r="L352" s="174"/>
      <c r="M352" s="191">
        <v>764</v>
      </c>
      <c r="N352" s="176">
        <v>10.154999999999999</v>
      </c>
      <c r="O352" s="176">
        <v>10.154999999999999</v>
      </c>
      <c r="P352" s="176"/>
      <c r="Q352" s="178"/>
      <c r="R352" s="179"/>
      <c r="S352" s="179"/>
      <c r="T352" s="177">
        <v>44948</v>
      </c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80" t="s">
        <v>2448</v>
      </c>
      <c r="AE352" s="173" t="s">
        <v>69</v>
      </c>
      <c r="AF352" s="181" t="s">
        <v>142</v>
      </c>
      <c r="AG352" s="192" t="s">
        <v>1584</v>
      </c>
      <c r="AH352" s="198"/>
      <c r="AI352" s="181">
        <v>44914</v>
      </c>
      <c r="AJ352" s="181"/>
      <c r="AK352" s="181">
        <f t="shared" ca="1" si="44"/>
        <v>44958</v>
      </c>
      <c r="AL352" s="173">
        <f t="shared" ca="1" si="46"/>
        <v>44</v>
      </c>
      <c r="AM352" s="173" t="str">
        <f t="shared" si="47"/>
        <v/>
      </c>
      <c r="AN352" s="181"/>
      <c r="AO352" s="190" t="s">
        <v>2445</v>
      </c>
      <c r="AP352" s="176">
        <v>10.154999999999999</v>
      </c>
      <c r="AQ352" s="176">
        <v>10.164999999999999</v>
      </c>
      <c r="AR352" s="176">
        <v>10.189999999999998</v>
      </c>
      <c r="AS352" s="176">
        <v>10.194999999999999</v>
      </c>
      <c r="AT352" s="173" t="str">
        <f t="shared" si="48"/>
        <v/>
      </c>
      <c r="AU352" s="173">
        <v>462</v>
      </c>
      <c r="AW352" s="142" t="s">
        <v>123</v>
      </c>
    </row>
    <row r="353" spans="2:49" s="142" customFormat="1" ht="21" customHeight="1" x14ac:dyDescent="0.25">
      <c r="B353" s="173" t="str">
        <f t="shared" si="45"/>
        <v>0-304L/FH-0.90X770</v>
      </c>
      <c r="C353" s="173" t="s">
        <v>4199</v>
      </c>
      <c r="D353" s="173" t="s">
        <v>16</v>
      </c>
      <c r="E353" s="190" t="s">
        <v>2660</v>
      </c>
      <c r="F353" s="190" t="s">
        <v>2661</v>
      </c>
      <c r="G353" s="173" t="s">
        <v>182</v>
      </c>
      <c r="H353" s="173" t="s">
        <v>70</v>
      </c>
      <c r="I353" s="174">
        <v>2.79</v>
      </c>
      <c r="J353" s="174">
        <v>0.9</v>
      </c>
      <c r="K353" s="174"/>
      <c r="L353" s="174"/>
      <c r="M353" s="191">
        <v>770</v>
      </c>
      <c r="N353" s="176">
        <v>10.37</v>
      </c>
      <c r="O353" s="176">
        <v>10.365</v>
      </c>
      <c r="P353" s="176"/>
      <c r="Q353" s="178"/>
      <c r="R353" s="179"/>
      <c r="S353" s="179"/>
      <c r="T353" s="177">
        <v>44947</v>
      </c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80" t="s">
        <v>1605</v>
      </c>
      <c r="AE353" s="173" t="s">
        <v>69</v>
      </c>
      <c r="AF353" s="181" t="s">
        <v>142</v>
      </c>
      <c r="AG353" s="192" t="s">
        <v>1584</v>
      </c>
      <c r="AH353" s="198"/>
      <c r="AI353" s="181">
        <v>44914</v>
      </c>
      <c r="AJ353" s="181"/>
      <c r="AK353" s="181">
        <f t="shared" ca="1" si="44"/>
        <v>44958</v>
      </c>
      <c r="AL353" s="173">
        <f t="shared" ca="1" si="46"/>
        <v>44</v>
      </c>
      <c r="AM353" s="173" t="str">
        <f t="shared" si="47"/>
        <v/>
      </c>
      <c r="AN353" s="181"/>
      <c r="AO353" s="190" t="s">
        <v>2662</v>
      </c>
      <c r="AP353" s="176">
        <v>10.37</v>
      </c>
      <c r="AQ353" s="176">
        <v>10.38</v>
      </c>
      <c r="AR353" s="176">
        <v>10.404999999999999</v>
      </c>
      <c r="AS353" s="176">
        <v>10.41</v>
      </c>
      <c r="AT353" s="173" t="str">
        <f t="shared" si="48"/>
        <v/>
      </c>
      <c r="AU353" s="173">
        <v>462</v>
      </c>
      <c r="AW353" s="142" t="s">
        <v>123</v>
      </c>
    </row>
    <row r="354" spans="2:49" s="142" customFormat="1" ht="21" customHeight="1" x14ac:dyDescent="0.25">
      <c r="B354" s="173" t="str">
        <f t="shared" si="45"/>
        <v>0-304L/1D-3.89X637</v>
      </c>
      <c r="C354" s="173" t="s">
        <v>4201</v>
      </c>
      <c r="D354" s="173" t="s">
        <v>13</v>
      </c>
      <c r="E354" s="190" t="s">
        <v>4202</v>
      </c>
      <c r="F354" s="190" t="s">
        <v>4203</v>
      </c>
      <c r="G354" s="173" t="s">
        <v>182</v>
      </c>
      <c r="H354" s="173" t="s">
        <v>127</v>
      </c>
      <c r="I354" s="174">
        <v>3.89</v>
      </c>
      <c r="J354" s="174"/>
      <c r="K354" s="174"/>
      <c r="L354" s="174"/>
      <c r="M354" s="191">
        <v>637</v>
      </c>
      <c r="N354" s="176">
        <v>10.33</v>
      </c>
      <c r="O354" s="176">
        <v>10.33</v>
      </c>
      <c r="P354" s="176"/>
      <c r="Q354" s="178"/>
      <c r="R354" s="179"/>
      <c r="S354" s="179"/>
      <c r="T354" s="177">
        <v>44948</v>
      </c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80" t="s">
        <v>1605</v>
      </c>
      <c r="AE354" s="173" t="s">
        <v>69</v>
      </c>
      <c r="AF354" s="181" t="s">
        <v>142</v>
      </c>
      <c r="AG354" s="192" t="s">
        <v>1657</v>
      </c>
      <c r="AH354" s="198"/>
      <c r="AI354" s="181">
        <v>44849</v>
      </c>
      <c r="AJ354" s="181"/>
      <c r="AK354" s="181">
        <f t="shared" ca="1" si="44"/>
        <v>44958</v>
      </c>
      <c r="AL354" s="173">
        <f t="shared" ca="1" si="46"/>
        <v>109</v>
      </c>
      <c r="AM354" s="173" t="str">
        <f t="shared" si="47"/>
        <v/>
      </c>
      <c r="AN354" s="181"/>
      <c r="AO354" s="190" t="s">
        <v>4204</v>
      </c>
      <c r="AP354" s="176">
        <v>10.33</v>
      </c>
      <c r="AQ354" s="176">
        <v>10.34</v>
      </c>
      <c r="AR354" s="176">
        <v>10.364999999999998</v>
      </c>
      <c r="AS354" s="176">
        <v>10.37</v>
      </c>
      <c r="AT354" s="173" t="str">
        <f t="shared" si="48"/>
        <v/>
      </c>
      <c r="AU354" s="173">
        <v>456</v>
      </c>
      <c r="AW354" s="142" t="s">
        <v>123</v>
      </c>
    </row>
    <row r="355" spans="2:49" s="142" customFormat="1" ht="21" customHeight="1" x14ac:dyDescent="0.25">
      <c r="B355" s="173" t="str">
        <f t="shared" si="45"/>
        <v>0-304/1D-3.93X767</v>
      </c>
      <c r="C355" s="173" t="s">
        <v>4200</v>
      </c>
      <c r="D355" s="173" t="s">
        <v>13</v>
      </c>
      <c r="E355" s="190" t="s">
        <v>4205</v>
      </c>
      <c r="F355" s="190" t="s">
        <v>4206</v>
      </c>
      <c r="G355" s="173">
        <v>304</v>
      </c>
      <c r="H355" s="173" t="s">
        <v>127</v>
      </c>
      <c r="I355" s="174">
        <v>3.93</v>
      </c>
      <c r="J355" s="174"/>
      <c r="K355" s="174"/>
      <c r="L355" s="174"/>
      <c r="M355" s="191">
        <v>767</v>
      </c>
      <c r="N355" s="176">
        <v>10.505000000000001</v>
      </c>
      <c r="O355" s="176">
        <v>10.505000000000001</v>
      </c>
      <c r="P355" s="176"/>
      <c r="Q355" s="178"/>
      <c r="R355" s="179"/>
      <c r="S355" s="179"/>
      <c r="T355" s="177">
        <v>44948</v>
      </c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80" t="s">
        <v>2448</v>
      </c>
      <c r="AE355" s="173" t="s">
        <v>69</v>
      </c>
      <c r="AF355" s="181" t="s">
        <v>142</v>
      </c>
      <c r="AG355" s="192" t="s">
        <v>1584</v>
      </c>
      <c r="AH355" s="198"/>
      <c r="AI355" s="181">
        <v>44914</v>
      </c>
      <c r="AJ355" s="181"/>
      <c r="AK355" s="181">
        <f t="shared" ca="1" si="44"/>
        <v>44958</v>
      </c>
      <c r="AL355" s="173">
        <f t="shared" ca="1" si="46"/>
        <v>44</v>
      </c>
      <c r="AM355" s="173" t="str">
        <f t="shared" si="47"/>
        <v/>
      </c>
      <c r="AN355" s="181"/>
      <c r="AO355" s="190" t="s">
        <v>2462</v>
      </c>
      <c r="AP355" s="176">
        <v>10.505000000000001</v>
      </c>
      <c r="AQ355" s="176">
        <v>10.515000000000001</v>
      </c>
      <c r="AR355" s="176">
        <v>10.54</v>
      </c>
      <c r="AS355" s="176">
        <v>10.545</v>
      </c>
      <c r="AT355" s="173" t="str">
        <f t="shared" si="48"/>
        <v/>
      </c>
      <c r="AU355" s="173">
        <v>462</v>
      </c>
      <c r="AW355" s="142" t="s">
        <v>123</v>
      </c>
    </row>
    <row r="356" spans="2:49" s="142" customFormat="1" ht="21" customHeight="1" x14ac:dyDescent="0.25">
      <c r="B356" s="173" t="str">
        <f t="shared" si="45"/>
        <v>0-304L/FH-1.50X764</v>
      </c>
      <c r="C356" s="173" t="s">
        <v>4199</v>
      </c>
      <c r="D356" s="173" t="s">
        <v>16</v>
      </c>
      <c r="E356" s="190" t="s">
        <v>2446</v>
      </c>
      <c r="F356" s="190" t="s">
        <v>2447</v>
      </c>
      <c r="G356" s="173" t="s">
        <v>182</v>
      </c>
      <c r="H356" s="173" t="s">
        <v>70</v>
      </c>
      <c r="I356" s="174">
        <v>3.93</v>
      </c>
      <c r="J356" s="174">
        <v>1.5</v>
      </c>
      <c r="K356" s="174"/>
      <c r="L356" s="174"/>
      <c r="M356" s="191">
        <v>764</v>
      </c>
      <c r="N356" s="176">
        <v>10.154999999999999</v>
      </c>
      <c r="O356" s="176">
        <v>10.145</v>
      </c>
      <c r="P356" s="176"/>
      <c r="Q356" s="178"/>
      <c r="R356" s="179"/>
      <c r="S356" s="179"/>
      <c r="T356" s="177">
        <v>44948</v>
      </c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80" t="s">
        <v>2448</v>
      </c>
      <c r="AE356" s="173" t="s">
        <v>69</v>
      </c>
      <c r="AF356" s="181" t="s">
        <v>142</v>
      </c>
      <c r="AG356" s="192" t="s">
        <v>1584</v>
      </c>
      <c r="AH356" s="198"/>
      <c r="AI356" s="181">
        <v>44914</v>
      </c>
      <c r="AJ356" s="181"/>
      <c r="AK356" s="181">
        <f t="shared" ca="1" si="44"/>
        <v>44958</v>
      </c>
      <c r="AL356" s="173">
        <f t="shared" ca="1" si="46"/>
        <v>44</v>
      </c>
      <c r="AM356" s="173" t="str">
        <f t="shared" si="47"/>
        <v/>
      </c>
      <c r="AN356" s="181"/>
      <c r="AO356" s="190" t="s">
        <v>2445</v>
      </c>
      <c r="AP356" s="176">
        <v>10.154999999999999</v>
      </c>
      <c r="AQ356" s="176">
        <v>10.164999999999999</v>
      </c>
      <c r="AR356" s="176">
        <v>10.189999999999998</v>
      </c>
      <c r="AS356" s="176">
        <v>10.194999999999999</v>
      </c>
      <c r="AT356" s="173" t="str">
        <f t="shared" si="48"/>
        <v/>
      </c>
      <c r="AU356" s="173">
        <v>462</v>
      </c>
      <c r="AW356" s="142" t="s">
        <v>123</v>
      </c>
    </row>
    <row r="357" spans="2:49" s="142" customFormat="1" ht="21" customHeight="1" x14ac:dyDescent="0.25">
      <c r="B357" s="173" t="str">
        <f t="shared" si="45"/>
        <v>0-304/1D-3.88X770</v>
      </c>
      <c r="C357" s="173" t="s">
        <v>4200</v>
      </c>
      <c r="D357" s="173" t="s">
        <v>13</v>
      </c>
      <c r="E357" s="190" t="s">
        <v>4207</v>
      </c>
      <c r="F357" s="190" t="s">
        <v>4208</v>
      </c>
      <c r="G357" s="173">
        <v>304</v>
      </c>
      <c r="H357" s="173" t="s">
        <v>127</v>
      </c>
      <c r="I357" s="174">
        <v>3.88</v>
      </c>
      <c r="J357" s="174"/>
      <c r="K357" s="174"/>
      <c r="L357" s="174"/>
      <c r="M357" s="191">
        <v>770</v>
      </c>
      <c r="N357" s="176">
        <v>9.3650000000000002</v>
      </c>
      <c r="O357" s="176">
        <v>9.3650000000000002</v>
      </c>
      <c r="P357" s="176"/>
      <c r="Q357" s="178"/>
      <c r="R357" s="179"/>
      <c r="S357" s="179"/>
      <c r="T357" s="177">
        <v>44948</v>
      </c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80" t="s">
        <v>1643</v>
      </c>
      <c r="AE357" s="173" t="s">
        <v>69</v>
      </c>
      <c r="AF357" s="181" t="s">
        <v>142</v>
      </c>
      <c r="AG357" s="192" t="s">
        <v>1584</v>
      </c>
      <c r="AH357" s="198"/>
      <c r="AI357" s="181">
        <v>44914</v>
      </c>
      <c r="AJ357" s="181"/>
      <c r="AK357" s="181">
        <f t="shared" ca="1" si="44"/>
        <v>44958</v>
      </c>
      <c r="AL357" s="173">
        <f t="shared" ca="1" si="46"/>
        <v>44</v>
      </c>
      <c r="AM357" s="173" t="str">
        <f t="shared" si="47"/>
        <v/>
      </c>
      <c r="AN357" s="181"/>
      <c r="AO357" s="190" t="s">
        <v>2646</v>
      </c>
      <c r="AP357" s="176">
        <v>9.3650000000000002</v>
      </c>
      <c r="AQ357" s="176">
        <v>9.375</v>
      </c>
      <c r="AR357" s="176">
        <v>9.3999999999999986</v>
      </c>
      <c r="AS357" s="176">
        <v>9.4049999999999994</v>
      </c>
      <c r="AT357" s="173" t="str">
        <f t="shared" si="48"/>
        <v/>
      </c>
      <c r="AU357" s="173">
        <v>462</v>
      </c>
      <c r="AW357" s="142" t="s">
        <v>123</v>
      </c>
    </row>
    <row r="358" spans="2:49" s="142" customFormat="1" ht="21" customHeight="1" x14ac:dyDescent="0.25">
      <c r="B358" s="173" t="str">
        <f t="shared" si="45"/>
        <v>0-304L/FH-0.90X770</v>
      </c>
      <c r="C358" s="173" t="s">
        <v>4199</v>
      </c>
      <c r="D358" s="173" t="s">
        <v>16</v>
      </c>
      <c r="E358" s="190" t="s">
        <v>4196</v>
      </c>
      <c r="F358" s="190" t="s">
        <v>4197</v>
      </c>
      <c r="G358" s="173" t="s">
        <v>182</v>
      </c>
      <c r="H358" s="173" t="s">
        <v>70</v>
      </c>
      <c r="I358" s="174">
        <v>2.77</v>
      </c>
      <c r="J358" s="174">
        <v>0.9</v>
      </c>
      <c r="K358" s="174"/>
      <c r="L358" s="174"/>
      <c r="M358" s="191">
        <v>770</v>
      </c>
      <c r="N358" s="176">
        <v>10.54</v>
      </c>
      <c r="O358" s="176">
        <v>10.53</v>
      </c>
      <c r="P358" s="176"/>
      <c r="Q358" s="178"/>
      <c r="R358" s="179"/>
      <c r="S358" s="179"/>
      <c r="T358" s="177">
        <v>44947</v>
      </c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80" t="s">
        <v>1643</v>
      </c>
      <c r="AE358" s="173" t="s">
        <v>69</v>
      </c>
      <c r="AF358" s="181" t="s">
        <v>142</v>
      </c>
      <c r="AG358" s="192" t="s">
        <v>1584</v>
      </c>
      <c r="AH358" s="198"/>
      <c r="AI358" s="181">
        <v>44914</v>
      </c>
      <c r="AJ358" s="181"/>
      <c r="AK358" s="181">
        <f t="shared" ca="1" si="44"/>
        <v>44958</v>
      </c>
      <c r="AL358" s="173">
        <f t="shared" ca="1" si="46"/>
        <v>44</v>
      </c>
      <c r="AM358" s="173" t="str">
        <f t="shared" si="47"/>
        <v/>
      </c>
      <c r="AN358" s="181"/>
      <c r="AO358" s="190" t="s">
        <v>2695</v>
      </c>
      <c r="AP358" s="176">
        <v>10.54</v>
      </c>
      <c r="AQ358" s="176">
        <v>10.55</v>
      </c>
      <c r="AR358" s="176">
        <v>10.574999999999999</v>
      </c>
      <c r="AS358" s="176">
        <v>10.58</v>
      </c>
      <c r="AT358" s="173" t="str">
        <f t="shared" si="48"/>
        <v/>
      </c>
      <c r="AU358" s="173">
        <v>462</v>
      </c>
      <c r="AW358" s="142" t="s">
        <v>123</v>
      </c>
    </row>
    <row r="359" spans="2:49" s="142" customFormat="1" ht="21" customHeight="1" x14ac:dyDescent="0.25">
      <c r="B359" s="173" t="str">
        <f t="shared" si="45"/>
        <v>0-304L/1D-3.80X770</v>
      </c>
      <c r="C359" s="173" t="s">
        <v>4200</v>
      </c>
      <c r="D359" s="173" t="s">
        <v>13</v>
      </c>
      <c r="E359" s="190" t="s">
        <v>4209</v>
      </c>
      <c r="F359" s="190" t="s">
        <v>4210</v>
      </c>
      <c r="G359" s="173" t="s">
        <v>182</v>
      </c>
      <c r="H359" s="173" t="s">
        <v>127</v>
      </c>
      <c r="I359" s="174">
        <v>3.8</v>
      </c>
      <c r="J359" s="174"/>
      <c r="K359" s="174"/>
      <c r="L359" s="174"/>
      <c r="M359" s="191">
        <v>770</v>
      </c>
      <c r="N359" s="176">
        <v>10.44</v>
      </c>
      <c r="O359" s="176">
        <v>10.44</v>
      </c>
      <c r="P359" s="176"/>
      <c r="Q359" s="178"/>
      <c r="R359" s="179"/>
      <c r="S359" s="179"/>
      <c r="T359" s="177">
        <v>44948</v>
      </c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80" t="s">
        <v>1643</v>
      </c>
      <c r="AE359" s="173" t="s">
        <v>69</v>
      </c>
      <c r="AF359" s="181" t="s">
        <v>142</v>
      </c>
      <c r="AG359" s="192" t="s">
        <v>1584</v>
      </c>
      <c r="AH359" s="198"/>
      <c r="AI359" s="181">
        <v>44914</v>
      </c>
      <c r="AJ359" s="181"/>
      <c r="AK359" s="181">
        <f t="shared" ca="1" si="44"/>
        <v>44958</v>
      </c>
      <c r="AL359" s="173">
        <f t="shared" ca="1" si="46"/>
        <v>44</v>
      </c>
      <c r="AM359" s="173" t="str">
        <f t="shared" si="47"/>
        <v/>
      </c>
      <c r="AN359" s="181"/>
      <c r="AO359" s="190" t="s">
        <v>2619</v>
      </c>
      <c r="AP359" s="176">
        <v>10.44</v>
      </c>
      <c r="AQ359" s="176">
        <v>10.45</v>
      </c>
      <c r="AR359" s="176">
        <v>10.474999999999998</v>
      </c>
      <c r="AS359" s="176">
        <v>10.479999999999999</v>
      </c>
      <c r="AT359" s="173" t="str">
        <f t="shared" si="48"/>
        <v/>
      </c>
      <c r="AU359" s="173">
        <v>462</v>
      </c>
      <c r="AW359" s="142" t="s">
        <v>123</v>
      </c>
    </row>
    <row r="360" spans="2:49" s="142" customFormat="1" ht="21" customHeight="1" x14ac:dyDescent="0.25">
      <c r="B360" s="173" t="str">
        <f t="shared" si="45"/>
        <v>0-304/FH-1.50X767</v>
      </c>
      <c r="C360" s="173" t="s">
        <v>4199</v>
      </c>
      <c r="D360" s="173" t="s">
        <v>16</v>
      </c>
      <c r="E360" s="190" t="s">
        <v>4205</v>
      </c>
      <c r="F360" s="190" t="s">
        <v>4206</v>
      </c>
      <c r="G360" s="173">
        <v>304</v>
      </c>
      <c r="H360" s="173" t="s">
        <v>70</v>
      </c>
      <c r="I360" s="174">
        <v>3.93</v>
      </c>
      <c r="J360" s="174">
        <v>1.5</v>
      </c>
      <c r="K360" s="174"/>
      <c r="L360" s="174"/>
      <c r="M360" s="191">
        <v>767</v>
      </c>
      <c r="N360" s="176">
        <v>10.505000000000001</v>
      </c>
      <c r="O360" s="176">
        <v>10.52</v>
      </c>
      <c r="P360" s="176"/>
      <c r="Q360" s="178"/>
      <c r="R360" s="179"/>
      <c r="S360" s="179"/>
      <c r="T360" s="177">
        <v>44948</v>
      </c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80" t="s">
        <v>2448</v>
      </c>
      <c r="AE360" s="173" t="s">
        <v>69</v>
      </c>
      <c r="AF360" s="181" t="s">
        <v>142</v>
      </c>
      <c r="AG360" s="192" t="s">
        <v>1584</v>
      </c>
      <c r="AH360" s="198"/>
      <c r="AI360" s="181">
        <v>44914</v>
      </c>
      <c r="AJ360" s="181"/>
      <c r="AK360" s="181">
        <f t="shared" ca="1" si="44"/>
        <v>44958</v>
      </c>
      <c r="AL360" s="173">
        <f t="shared" ca="1" si="46"/>
        <v>44</v>
      </c>
      <c r="AM360" s="173" t="str">
        <f t="shared" si="47"/>
        <v/>
      </c>
      <c r="AN360" s="181"/>
      <c r="AO360" s="190" t="s">
        <v>2462</v>
      </c>
      <c r="AP360" s="176">
        <v>10.505000000000001</v>
      </c>
      <c r="AQ360" s="176">
        <v>10.515000000000001</v>
      </c>
      <c r="AR360" s="176">
        <v>10.54</v>
      </c>
      <c r="AS360" s="176">
        <v>10.545</v>
      </c>
      <c r="AT360" s="173" t="str">
        <f t="shared" si="48"/>
        <v/>
      </c>
      <c r="AU360" s="173">
        <v>462</v>
      </c>
      <c r="AW360" s="142" t="s">
        <v>123</v>
      </c>
    </row>
    <row r="361" spans="2:49" s="142" customFormat="1" ht="21" customHeight="1" x14ac:dyDescent="0.25">
      <c r="B361" s="173" t="str">
        <f t="shared" si="45"/>
        <v>0-304L/1D-3.50X644</v>
      </c>
      <c r="C361" s="173" t="s">
        <v>4201</v>
      </c>
      <c r="D361" s="173" t="s">
        <v>13</v>
      </c>
      <c r="E361" s="190" t="s">
        <v>1758</v>
      </c>
      <c r="F361" s="190" t="s">
        <v>1759</v>
      </c>
      <c r="G361" s="173" t="s">
        <v>182</v>
      </c>
      <c r="H361" s="173" t="s">
        <v>127</v>
      </c>
      <c r="I361" s="174">
        <v>3.5</v>
      </c>
      <c r="J361" s="174"/>
      <c r="K361" s="174"/>
      <c r="L361" s="174"/>
      <c r="M361" s="191">
        <v>644</v>
      </c>
      <c r="N361" s="176">
        <v>10.615</v>
      </c>
      <c r="O361" s="176">
        <v>10.615</v>
      </c>
      <c r="P361" s="176"/>
      <c r="Q361" s="178"/>
      <c r="R361" s="179"/>
      <c r="S361" s="179"/>
      <c r="T361" s="177">
        <v>44948</v>
      </c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80" t="s">
        <v>1605</v>
      </c>
      <c r="AE361" s="173" t="s">
        <v>69</v>
      </c>
      <c r="AF361" s="181" t="s">
        <v>142</v>
      </c>
      <c r="AG361" s="192" t="s">
        <v>1657</v>
      </c>
      <c r="AH361" s="198"/>
      <c r="AI361" s="181">
        <v>44849</v>
      </c>
      <c r="AJ361" s="181"/>
      <c r="AK361" s="181">
        <f t="shared" ca="1" si="44"/>
        <v>44958</v>
      </c>
      <c r="AL361" s="173">
        <f t="shared" ca="1" si="46"/>
        <v>109</v>
      </c>
      <c r="AM361" s="173" t="str">
        <f t="shared" si="47"/>
        <v/>
      </c>
      <c r="AN361" s="181"/>
      <c r="AO361" s="190" t="s">
        <v>1760</v>
      </c>
      <c r="AP361" s="176">
        <v>10.615</v>
      </c>
      <c r="AQ361" s="176">
        <v>10.625</v>
      </c>
      <c r="AR361" s="176">
        <v>10.649999999999999</v>
      </c>
      <c r="AS361" s="176">
        <v>10.654999999999999</v>
      </c>
      <c r="AT361" s="173" t="str">
        <f t="shared" si="48"/>
        <v/>
      </c>
      <c r="AU361" s="173">
        <v>456</v>
      </c>
      <c r="AW361" s="142" t="s">
        <v>123</v>
      </c>
    </row>
    <row r="362" spans="2:49" s="142" customFormat="1" ht="21" customHeight="1" x14ac:dyDescent="0.25">
      <c r="B362" s="173" t="str">
        <f t="shared" si="45"/>
        <v>0-304L/1D-2.77X771</v>
      </c>
      <c r="C362" s="173" t="s">
        <v>4200</v>
      </c>
      <c r="D362" s="173" t="s">
        <v>13</v>
      </c>
      <c r="E362" s="190" t="s">
        <v>2711</v>
      </c>
      <c r="F362" s="190" t="s">
        <v>2712</v>
      </c>
      <c r="G362" s="173" t="s">
        <v>182</v>
      </c>
      <c r="H362" s="173" t="s">
        <v>127</v>
      </c>
      <c r="I362" s="174">
        <v>2.77</v>
      </c>
      <c r="J362" s="174"/>
      <c r="K362" s="174"/>
      <c r="L362" s="174"/>
      <c r="M362" s="191">
        <v>771</v>
      </c>
      <c r="N362" s="176">
        <v>10.095000000000001</v>
      </c>
      <c r="O362" s="176">
        <v>10.095000000000001</v>
      </c>
      <c r="P362" s="176"/>
      <c r="Q362" s="178"/>
      <c r="R362" s="179"/>
      <c r="S362" s="179"/>
      <c r="T362" s="177">
        <v>44948</v>
      </c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80" t="s">
        <v>1643</v>
      </c>
      <c r="AE362" s="173" t="s">
        <v>69</v>
      </c>
      <c r="AF362" s="181" t="s">
        <v>142</v>
      </c>
      <c r="AG362" s="192" t="s">
        <v>1584</v>
      </c>
      <c r="AH362" s="198"/>
      <c r="AI362" s="181">
        <v>44914</v>
      </c>
      <c r="AJ362" s="181"/>
      <c r="AK362" s="181">
        <f t="shared" ca="1" si="44"/>
        <v>44958</v>
      </c>
      <c r="AL362" s="173">
        <f t="shared" ca="1" si="46"/>
        <v>44</v>
      </c>
      <c r="AM362" s="173" t="str">
        <f t="shared" si="47"/>
        <v/>
      </c>
      <c r="AN362" s="181"/>
      <c r="AO362" s="190" t="s">
        <v>2713</v>
      </c>
      <c r="AP362" s="176">
        <v>10.095000000000001</v>
      </c>
      <c r="AQ362" s="176">
        <v>10.105</v>
      </c>
      <c r="AR362" s="176">
        <v>10.129999999999999</v>
      </c>
      <c r="AS362" s="176">
        <v>10.135</v>
      </c>
      <c r="AT362" s="173" t="str">
        <f t="shared" si="48"/>
        <v/>
      </c>
      <c r="AU362" s="173">
        <v>462</v>
      </c>
      <c r="AW362" s="142" t="s">
        <v>123</v>
      </c>
    </row>
    <row r="363" spans="2:49" s="142" customFormat="1" ht="21" customHeight="1" x14ac:dyDescent="0.25">
      <c r="B363" s="173" t="str">
        <f t="shared" si="45"/>
        <v>0-304/FH-1.50X770</v>
      </c>
      <c r="C363" s="173" t="s">
        <v>4199</v>
      </c>
      <c r="D363" s="173" t="s">
        <v>16</v>
      </c>
      <c r="E363" s="190" t="s">
        <v>4207</v>
      </c>
      <c r="F363" s="190" t="s">
        <v>4208</v>
      </c>
      <c r="G363" s="173">
        <v>304</v>
      </c>
      <c r="H363" s="173" t="s">
        <v>70</v>
      </c>
      <c r="I363" s="174">
        <v>3.88</v>
      </c>
      <c r="J363" s="174">
        <v>1.5</v>
      </c>
      <c r="K363" s="174"/>
      <c r="L363" s="174"/>
      <c r="M363" s="191">
        <v>770</v>
      </c>
      <c r="N363" s="176">
        <v>9.3650000000000002</v>
      </c>
      <c r="O363" s="176">
        <v>9.375</v>
      </c>
      <c r="P363" s="176"/>
      <c r="Q363" s="178"/>
      <c r="R363" s="179"/>
      <c r="S363" s="179"/>
      <c r="T363" s="177">
        <v>44948</v>
      </c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80" t="s">
        <v>1643</v>
      </c>
      <c r="AE363" s="173" t="s">
        <v>69</v>
      </c>
      <c r="AF363" s="181" t="s">
        <v>142</v>
      </c>
      <c r="AG363" s="192" t="s">
        <v>1584</v>
      </c>
      <c r="AH363" s="198"/>
      <c r="AI363" s="181">
        <v>44914</v>
      </c>
      <c r="AJ363" s="181"/>
      <c r="AK363" s="181">
        <f t="shared" ca="1" si="44"/>
        <v>44958</v>
      </c>
      <c r="AL363" s="173">
        <f t="shared" ca="1" si="46"/>
        <v>44</v>
      </c>
      <c r="AM363" s="173" t="str">
        <f t="shared" si="47"/>
        <v/>
      </c>
      <c r="AN363" s="181"/>
      <c r="AO363" s="190" t="s">
        <v>2646</v>
      </c>
      <c r="AP363" s="176">
        <v>9.3650000000000002</v>
      </c>
      <c r="AQ363" s="176">
        <v>9.375</v>
      </c>
      <c r="AR363" s="176">
        <v>9.3999999999999986</v>
      </c>
      <c r="AS363" s="176">
        <v>9.4049999999999994</v>
      </c>
      <c r="AT363" s="173" t="str">
        <f t="shared" si="48"/>
        <v/>
      </c>
      <c r="AU363" s="173">
        <v>462</v>
      </c>
      <c r="AW363" s="142" t="s">
        <v>123</v>
      </c>
    </row>
    <row r="364" spans="2:49" s="142" customFormat="1" ht="21" customHeight="1" x14ac:dyDescent="0.25">
      <c r="B364" s="173" t="str">
        <f t="shared" si="45"/>
        <v>0-304L/1D-2.78X771</v>
      </c>
      <c r="C364" s="173" t="s">
        <v>4200</v>
      </c>
      <c r="D364" s="173" t="s">
        <v>13</v>
      </c>
      <c r="E364" s="190" t="s">
        <v>4211</v>
      </c>
      <c r="F364" s="190" t="s">
        <v>4212</v>
      </c>
      <c r="G364" s="173" t="s">
        <v>182</v>
      </c>
      <c r="H364" s="173" t="s">
        <v>127</v>
      </c>
      <c r="I364" s="174">
        <v>2.78</v>
      </c>
      <c r="J364" s="174"/>
      <c r="K364" s="174"/>
      <c r="L364" s="174"/>
      <c r="M364" s="191">
        <v>771</v>
      </c>
      <c r="N364" s="176">
        <v>10.57</v>
      </c>
      <c r="O364" s="176">
        <v>10.57</v>
      </c>
      <c r="P364" s="176"/>
      <c r="Q364" s="178"/>
      <c r="R364" s="179"/>
      <c r="S364" s="179"/>
      <c r="T364" s="177">
        <v>44948</v>
      </c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80" t="s">
        <v>1605</v>
      </c>
      <c r="AE364" s="173" t="s">
        <v>69</v>
      </c>
      <c r="AF364" s="181" t="s">
        <v>142</v>
      </c>
      <c r="AG364" s="192" t="s">
        <v>1584</v>
      </c>
      <c r="AH364" s="198"/>
      <c r="AI364" s="181">
        <v>44914</v>
      </c>
      <c r="AJ364" s="181"/>
      <c r="AK364" s="181">
        <f t="shared" ca="1" si="44"/>
        <v>44958</v>
      </c>
      <c r="AL364" s="173">
        <f t="shared" ca="1" si="46"/>
        <v>44</v>
      </c>
      <c r="AM364" s="173" t="str">
        <f t="shared" si="47"/>
        <v/>
      </c>
      <c r="AN364" s="181"/>
      <c r="AO364" s="190" t="s">
        <v>4213</v>
      </c>
      <c r="AP364" s="176">
        <v>10.57</v>
      </c>
      <c r="AQ364" s="176">
        <v>10.58</v>
      </c>
      <c r="AR364" s="176">
        <v>10.604999999999999</v>
      </c>
      <c r="AS364" s="176">
        <v>10.61</v>
      </c>
      <c r="AT364" s="173" t="str">
        <f t="shared" si="48"/>
        <v/>
      </c>
      <c r="AU364" s="173">
        <v>462</v>
      </c>
      <c r="AW364" s="142" t="s">
        <v>123</v>
      </c>
    </row>
    <row r="365" spans="2:49" s="142" customFormat="1" ht="21" customHeight="1" x14ac:dyDescent="0.25">
      <c r="B365" s="173" t="str">
        <f t="shared" si="45"/>
        <v>0-304L/FH-1.15X770</v>
      </c>
      <c r="C365" s="173" t="s">
        <v>4199</v>
      </c>
      <c r="D365" s="173" t="s">
        <v>16</v>
      </c>
      <c r="E365" s="190" t="s">
        <v>4209</v>
      </c>
      <c r="F365" s="190" t="s">
        <v>4210</v>
      </c>
      <c r="G365" s="173" t="s">
        <v>182</v>
      </c>
      <c r="H365" s="173" t="s">
        <v>70</v>
      </c>
      <c r="I365" s="174">
        <v>3.8</v>
      </c>
      <c r="J365" s="174">
        <v>1.1499999999999999</v>
      </c>
      <c r="K365" s="174"/>
      <c r="L365" s="174"/>
      <c r="M365" s="191">
        <v>770</v>
      </c>
      <c r="N365" s="176">
        <v>10.44</v>
      </c>
      <c r="O365" s="176">
        <v>10.44</v>
      </c>
      <c r="P365" s="176"/>
      <c r="Q365" s="178"/>
      <c r="R365" s="179"/>
      <c r="S365" s="179"/>
      <c r="T365" s="177">
        <v>44948</v>
      </c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80" t="s">
        <v>1643</v>
      </c>
      <c r="AE365" s="173" t="s">
        <v>69</v>
      </c>
      <c r="AF365" s="181" t="s">
        <v>142</v>
      </c>
      <c r="AG365" s="192" t="s">
        <v>1584</v>
      </c>
      <c r="AH365" s="198"/>
      <c r="AI365" s="181">
        <v>44914</v>
      </c>
      <c r="AJ365" s="181"/>
      <c r="AK365" s="181">
        <f t="shared" ca="1" si="44"/>
        <v>44958</v>
      </c>
      <c r="AL365" s="173">
        <f t="shared" ca="1" si="46"/>
        <v>44</v>
      </c>
      <c r="AM365" s="173" t="str">
        <f t="shared" si="47"/>
        <v/>
      </c>
      <c r="AN365" s="181"/>
      <c r="AO365" s="190" t="s">
        <v>2619</v>
      </c>
      <c r="AP365" s="176">
        <v>10.44</v>
      </c>
      <c r="AQ365" s="176">
        <v>10.45</v>
      </c>
      <c r="AR365" s="176">
        <v>10.474999999999998</v>
      </c>
      <c r="AS365" s="176">
        <v>10.479999999999999</v>
      </c>
      <c r="AT365" s="173" t="str">
        <f t="shared" si="48"/>
        <v/>
      </c>
      <c r="AU365" s="173">
        <v>462</v>
      </c>
      <c r="AW365" s="142" t="s">
        <v>123</v>
      </c>
    </row>
    <row r="366" spans="2:49" s="142" customFormat="1" ht="21" customHeight="1" x14ac:dyDescent="0.25">
      <c r="B366" s="173" t="str">
        <f t="shared" si="45"/>
        <v>0-304L/1D-3.88X766</v>
      </c>
      <c r="C366" s="173" t="s">
        <v>4214</v>
      </c>
      <c r="D366" s="173" t="s">
        <v>13</v>
      </c>
      <c r="E366" s="190" t="s">
        <v>4215</v>
      </c>
      <c r="F366" s="190" t="s">
        <v>4216</v>
      </c>
      <c r="G366" s="173" t="s">
        <v>182</v>
      </c>
      <c r="H366" s="173" t="s">
        <v>127</v>
      </c>
      <c r="I366" s="174">
        <v>3.88</v>
      </c>
      <c r="J366" s="174"/>
      <c r="K366" s="174"/>
      <c r="L366" s="174"/>
      <c r="M366" s="191">
        <v>766</v>
      </c>
      <c r="N366" s="176">
        <v>11.965</v>
      </c>
      <c r="O366" s="176">
        <v>11.965</v>
      </c>
      <c r="P366" s="176"/>
      <c r="Q366" s="178"/>
      <c r="R366" s="179"/>
      <c r="S366" s="179"/>
      <c r="T366" s="177">
        <v>44949</v>
      </c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80" t="s">
        <v>1605</v>
      </c>
      <c r="AE366" s="173" t="s">
        <v>69</v>
      </c>
      <c r="AF366" s="181" t="s">
        <v>142</v>
      </c>
      <c r="AG366" s="192" t="s">
        <v>1584</v>
      </c>
      <c r="AH366" s="198"/>
      <c r="AI366" s="181">
        <v>44914</v>
      </c>
      <c r="AJ366" s="181"/>
      <c r="AK366" s="181">
        <f t="shared" ca="1" si="44"/>
        <v>44958</v>
      </c>
      <c r="AL366" s="173">
        <f t="shared" ca="1" si="46"/>
        <v>44</v>
      </c>
      <c r="AM366" s="173" t="str">
        <f t="shared" si="47"/>
        <v/>
      </c>
      <c r="AN366" s="181"/>
      <c r="AO366" s="190" t="s">
        <v>2622</v>
      </c>
      <c r="AP366" s="176">
        <v>11.965</v>
      </c>
      <c r="AQ366" s="176">
        <v>11.975</v>
      </c>
      <c r="AR366" s="176">
        <v>11.999999999999998</v>
      </c>
      <c r="AS366" s="176">
        <v>12.004999999999999</v>
      </c>
      <c r="AT366" s="173" t="str">
        <f t="shared" si="48"/>
        <v/>
      </c>
      <c r="AU366" s="173">
        <v>462</v>
      </c>
      <c r="AW366" s="142" t="s">
        <v>123</v>
      </c>
    </row>
    <row r="367" spans="2:49" s="142" customFormat="1" ht="21" customHeight="1" x14ac:dyDescent="0.25">
      <c r="B367" s="173" t="str">
        <f t="shared" si="45"/>
        <v>0-304L/FH-0.88X771</v>
      </c>
      <c r="C367" s="173" t="s">
        <v>4217</v>
      </c>
      <c r="D367" s="173" t="s">
        <v>16</v>
      </c>
      <c r="E367" s="190" t="s">
        <v>2711</v>
      </c>
      <c r="F367" s="190" t="s">
        <v>2712</v>
      </c>
      <c r="G367" s="173" t="s">
        <v>182</v>
      </c>
      <c r="H367" s="173" t="s">
        <v>70</v>
      </c>
      <c r="I367" s="174">
        <v>2.77</v>
      </c>
      <c r="J367" s="174">
        <v>0.88</v>
      </c>
      <c r="K367" s="174"/>
      <c r="L367" s="174"/>
      <c r="M367" s="191">
        <v>771</v>
      </c>
      <c r="N367" s="176">
        <v>10.095000000000001</v>
      </c>
      <c r="O367" s="176">
        <v>10.11</v>
      </c>
      <c r="P367" s="176"/>
      <c r="Q367" s="178"/>
      <c r="R367" s="179"/>
      <c r="S367" s="179"/>
      <c r="T367" s="177">
        <v>44948</v>
      </c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80" t="s">
        <v>1643</v>
      </c>
      <c r="AE367" s="173" t="s">
        <v>69</v>
      </c>
      <c r="AF367" s="181" t="s">
        <v>142</v>
      </c>
      <c r="AG367" s="192" t="s">
        <v>1584</v>
      </c>
      <c r="AH367" s="198"/>
      <c r="AI367" s="181">
        <v>44914</v>
      </c>
      <c r="AJ367" s="181"/>
      <c r="AK367" s="181">
        <f t="shared" ca="1" si="44"/>
        <v>44958</v>
      </c>
      <c r="AL367" s="173">
        <f t="shared" ca="1" si="46"/>
        <v>44</v>
      </c>
      <c r="AM367" s="173" t="str">
        <f t="shared" si="47"/>
        <v/>
      </c>
      <c r="AN367" s="181"/>
      <c r="AO367" s="190" t="s">
        <v>2713</v>
      </c>
      <c r="AP367" s="176">
        <v>10.095000000000001</v>
      </c>
      <c r="AQ367" s="176">
        <v>10.105</v>
      </c>
      <c r="AR367" s="176">
        <v>10.129999999999999</v>
      </c>
      <c r="AS367" s="176">
        <v>10.135</v>
      </c>
      <c r="AT367" s="173" t="str">
        <f t="shared" si="48"/>
        <v/>
      </c>
      <c r="AU367" s="173">
        <v>462</v>
      </c>
      <c r="AW367" s="142" t="s">
        <v>123</v>
      </c>
    </row>
    <row r="368" spans="2:49" s="142" customFormat="1" ht="21" customHeight="1" x14ac:dyDescent="0.25">
      <c r="B368" s="173" t="str">
        <f t="shared" si="45"/>
        <v>0-304/1D-2.89X773</v>
      </c>
      <c r="C368" s="173" t="s">
        <v>4214</v>
      </c>
      <c r="D368" s="173" t="s">
        <v>13</v>
      </c>
      <c r="E368" s="190" t="s">
        <v>2668</v>
      </c>
      <c r="F368" s="190" t="s">
        <v>2669</v>
      </c>
      <c r="G368" s="173">
        <v>304</v>
      </c>
      <c r="H368" s="173" t="s">
        <v>127</v>
      </c>
      <c r="I368" s="174">
        <v>2.89</v>
      </c>
      <c r="J368" s="174"/>
      <c r="K368" s="174"/>
      <c r="L368" s="174"/>
      <c r="M368" s="191">
        <v>773</v>
      </c>
      <c r="N368" s="176">
        <v>10.574999999999999</v>
      </c>
      <c r="O368" s="176">
        <v>10.574999999999999</v>
      </c>
      <c r="P368" s="176"/>
      <c r="Q368" s="178"/>
      <c r="R368" s="179"/>
      <c r="S368" s="179"/>
      <c r="T368" s="177">
        <v>44949</v>
      </c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80" t="s">
        <v>1605</v>
      </c>
      <c r="AE368" s="173" t="s">
        <v>69</v>
      </c>
      <c r="AF368" s="181" t="s">
        <v>142</v>
      </c>
      <c r="AG368" s="192" t="s">
        <v>1584</v>
      </c>
      <c r="AH368" s="198"/>
      <c r="AI368" s="181">
        <v>44914</v>
      </c>
      <c r="AJ368" s="181"/>
      <c r="AK368" s="181">
        <f t="shared" ca="1" si="44"/>
        <v>44958</v>
      </c>
      <c r="AL368" s="173">
        <f t="shared" ca="1" si="46"/>
        <v>44</v>
      </c>
      <c r="AM368" s="173" t="str">
        <f t="shared" si="47"/>
        <v/>
      </c>
      <c r="AN368" s="181"/>
      <c r="AO368" s="190" t="s">
        <v>2667</v>
      </c>
      <c r="AP368" s="176">
        <v>10.574999999999999</v>
      </c>
      <c r="AQ368" s="176">
        <v>10.585000000000001</v>
      </c>
      <c r="AR368" s="176">
        <v>10.61</v>
      </c>
      <c r="AS368" s="176">
        <v>10.615</v>
      </c>
      <c r="AT368" s="173" t="str">
        <f t="shared" si="48"/>
        <v/>
      </c>
      <c r="AU368" s="173">
        <v>462</v>
      </c>
      <c r="AW368" s="142" t="s">
        <v>123</v>
      </c>
    </row>
    <row r="369" spans="2:49" s="142" customFormat="1" ht="21" customHeight="1" x14ac:dyDescent="0.25">
      <c r="B369" s="173" t="str">
        <f t="shared" si="45"/>
        <v>0-304/FH-1.43X769</v>
      </c>
      <c r="C369" s="173" t="s">
        <v>4218</v>
      </c>
      <c r="D369" s="173" t="s">
        <v>3901</v>
      </c>
      <c r="E369" s="190" t="s">
        <v>4194</v>
      </c>
      <c r="F369" s="190" t="s">
        <v>4195</v>
      </c>
      <c r="G369" s="173">
        <v>304</v>
      </c>
      <c r="H369" s="173" t="s">
        <v>70</v>
      </c>
      <c r="I369" s="174">
        <v>3.77</v>
      </c>
      <c r="J369" s="174">
        <v>1.43</v>
      </c>
      <c r="K369" s="174"/>
      <c r="L369" s="174"/>
      <c r="M369" s="191">
        <v>769</v>
      </c>
      <c r="N369" s="176">
        <v>10.4</v>
      </c>
      <c r="O369" s="176">
        <v>10.4</v>
      </c>
      <c r="P369" s="176"/>
      <c r="Q369" s="178"/>
      <c r="R369" s="178" t="s">
        <v>4219</v>
      </c>
      <c r="S369" s="179"/>
      <c r="T369" s="177">
        <v>44947</v>
      </c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80" t="s">
        <v>2448</v>
      </c>
      <c r="AE369" s="173" t="s">
        <v>69</v>
      </c>
      <c r="AF369" s="181" t="s">
        <v>142</v>
      </c>
      <c r="AG369" s="192" t="s">
        <v>1584</v>
      </c>
      <c r="AH369" s="198"/>
      <c r="AI369" s="181">
        <v>44914</v>
      </c>
      <c r="AJ369" s="181"/>
      <c r="AK369" s="181">
        <f t="shared" ca="1" si="44"/>
        <v>44958</v>
      </c>
      <c r="AL369" s="173">
        <f t="shared" ca="1" si="46"/>
        <v>44</v>
      </c>
      <c r="AM369" s="173" t="str">
        <f t="shared" si="47"/>
        <v/>
      </c>
      <c r="AN369" s="181"/>
      <c r="AO369" s="190" t="s">
        <v>4041</v>
      </c>
      <c r="AP369" s="176">
        <v>10.4</v>
      </c>
      <c r="AQ369" s="176">
        <v>10.41</v>
      </c>
      <c r="AR369" s="176">
        <v>10.434999999999999</v>
      </c>
      <c r="AS369" s="176">
        <v>10.44</v>
      </c>
      <c r="AT369" s="173" t="str">
        <f t="shared" si="48"/>
        <v/>
      </c>
      <c r="AU369" s="173">
        <v>462</v>
      </c>
      <c r="AW369" s="142" t="s">
        <v>123</v>
      </c>
    </row>
    <row r="370" spans="2:49" s="142" customFormat="1" ht="21" customHeight="1" x14ac:dyDescent="0.25">
      <c r="B370" s="173" t="str">
        <f t="shared" si="45"/>
        <v>0-304L/FH-0.90X772</v>
      </c>
      <c r="C370" s="173" t="s">
        <v>4217</v>
      </c>
      <c r="D370" s="173" t="s">
        <v>16</v>
      </c>
      <c r="E370" s="190" t="s">
        <v>2721</v>
      </c>
      <c r="F370" s="190" t="s">
        <v>2722</v>
      </c>
      <c r="G370" s="173" t="s">
        <v>182</v>
      </c>
      <c r="H370" s="173" t="s">
        <v>70</v>
      </c>
      <c r="I370" s="174">
        <v>2.79</v>
      </c>
      <c r="J370" s="174">
        <v>0.9</v>
      </c>
      <c r="K370" s="174"/>
      <c r="L370" s="174"/>
      <c r="M370" s="191">
        <v>772</v>
      </c>
      <c r="N370" s="176">
        <v>10.57</v>
      </c>
      <c r="O370" s="176">
        <v>10.56</v>
      </c>
      <c r="P370" s="176"/>
      <c r="Q370" s="178"/>
      <c r="R370" s="179"/>
      <c r="S370" s="179"/>
      <c r="T370" s="177">
        <v>44947</v>
      </c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80" t="s">
        <v>1605</v>
      </c>
      <c r="AE370" s="173" t="s">
        <v>69</v>
      </c>
      <c r="AF370" s="181" t="s">
        <v>142</v>
      </c>
      <c r="AG370" s="192" t="s">
        <v>1584</v>
      </c>
      <c r="AH370" s="198"/>
      <c r="AI370" s="181">
        <v>44914</v>
      </c>
      <c r="AJ370" s="181"/>
      <c r="AK370" s="181">
        <f t="shared" ca="1" si="44"/>
        <v>44958</v>
      </c>
      <c r="AL370" s="173">
        <f t="shared" ca="1" si="46"/>
        <v>44</v>
      </c>
      <c r="AM370" s="173" t="str">
        <f t="shared" si="47"/>
        <v/>
      </c>
      <c r="AN370" s="181"/>
      <c r="AO370" s="190" t="s">
        <v>2723</v>
      </c>
      <c r="AP370" s="176">
        <v>10.57</v>
      </c>
      <c r="AQ370" s="176">
        <v>10.58</v>
      </c>
      <c r="AR370" s="176">
        <v>10.604999999999999</v>
      </c>
      <c r="AS370" s="176">
        <v>10.61</v>
      </c>
      <c r="AT370" s="173" t="str">
        <f t="shared" si="48"/>
        <v/>
      </c>
      <c r="AU370" s="173">
        <v>462</v>
      </c>
      <c r="AW370" s="142" t="s">
        <v>123</v>
      </c>
    </row>
    <row r="371" spans="2:49" s="142" customFormat="1" ht="21" customHeight="1" x14ac:dyDescent="0.25">
      <c r="B371" s="173" t="str">
        <f t="shared" si="45"/>
        <v>0-304L/1D-3.89X637</v>
      </c>
      <c r="C371" s="173" t="s">
        <v>4220</v>
      </c>
      <c r="D371" s="173" t="s">
        <v>13</v>
      </c>
      <c r="E371" s="190" t="s">
        <v>4221</v>
      </c>
      <c r="F371" s="190" t="s">
        <v>4222</v>
      </c>
      <c r="G371" s="173" t="s">
        <v>182</v>
      </c>
      <c r="H371" s="173" t="s">
        <v>127</v>
      </c>
      <c r="I371" s="174">
        <v>3.89</v>
      </c>
      <c r="J371" s="174"/>
      <c r="K371" s="174"/>
      <c r="L371" s="174"/>
      <c r="M371" s="191">
        <v>637</v>
      </c>
      <c r="N371" s="176">
        <v>10.53</v>
      </c>
      <c r="O371" s="176">
        <v>10.53</v>
      </c>
      <c r="P371" s="176"/>
      <c r="Q371" s="178"/>
      <c r="R371" s="179"/>
      <c r="S371" s="179"/>
      <c r="T371" s="177">
        <v>44949</v>
      </c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80" t="s">
        <v>1605</v>
      </c>
      <c r="AE371" s="173" t="s">
        <v>69</v>
      </c>
      <c r="AF371" s="181" t="s">
        <v>142</v>
      </c>
      <c r="AG371" s="192" t="s">
        <v>1657</v>
      </c>
      <c r="AH371" s="198"/>
      <c r="AI371" s="181">
        <v>44849</v>
      </c>
      <c r="AJ371" s="181"/>
      <c r="AK371" s="181">
        <f t="shared" ref="AK371:AK439" ca="1" si="49">TODAY()</f>
        <v>44958</v>
      </c>
      <c r="AL371" s="173">
        <f t="shared" ca="1" si="46"/>
        <v>109</v>
      </c>
      <c r="AM371" s="173" t="str">
        <f t="shared" si="47"/>
        <v/>
      </c>
      <c r="AN371" s="181"/>
      <c r="AO371" s="190" t="s">
        <v>1729</v>
      </c>
      <c r="AP371" s="176">
        <v>10.53</v>
      </c>
      <c r="AQ371" s="176">
        <v>10.54</v>
      </c>
      <c r="AR371" s="176">
        <v>10.564999999999998</v>
      </c>
      <c r="AS371" s="176">
        <v>10.569999999999999</v>
      </c>
      <c r="AT371" s="173" t="str">
        <f t="shared" si="48"/>
        <v/>
      </c>
      <c r="AU371" s="173">
        <v>456</v>
      </c>
      <c r="AW371" s="142" t="s">
        <v>123</v>
      </c>
    </row>
    <row r="372" spans="2:49" s="142" customFormat="1" ht="21" customHeight="1" x14ac:dyDescent="0.25">
      <c r="B372" s="173" t="str">
        <f t="shared" si="45"/>
        <v>0-304L/1D-3.93X771</v>
      </c>
      <c r="C372" s="173" t="s">
        <v>4214</v>
      </c>
      <c r="D372" s="173" t="s">
        <v>13</v>
      </c>
      <c r="E372" s="190" t="s">
        <v>2442</v>
      </c>
      <c r="F372" s="190" t="s">
        <v>2443</v>
      </c>
      <c r="G372" s="173" t="s">
        <v>182</v>
      </c>
      <c r="H372" s="173" t="s">
        <v>127</v>
      </c>
      <c r="I372" s="174">
        <v>3.93</v>
      </c>
      <c r="J372" s="174"/>
      <c r="K372" s="174"/>
      <c r="L372" s="174"/>
      <c r="M372" s="191">
        <v>771</v>
      </c>
      <c r="N372" s="176">
        <v>10.26</v>
      </c>
      <c r="O372" s="176">
        <v>10.26</v>
      </c>
      <c r="P372" s="176"/>
      <c r="Q372" s="178"/>
      <c r="R372" s="179"/>
      <c r="S372" s="179"/>
      <c r="T372" s="177">
        <v>44949</v>
      </c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80" t="s">
        <v>1605</v>
      </c>
      <c r="AE372" s="173" t="s">
        <v>69</v>
      </c>
      <c r="AF372" s="181" t="s">
        <v>142</v>
      </c>
      <c r="AG372" s="192" t="s">
        <v>1584</v>
      </c>
      <c r="AH372" s="198"/>
      <c r="AI372" s="181">
        <v>44914</v>
      </c>
      <c r="AJ372" s="181"/>
      <c r="AK372" s="181">
        <f t="shared" ca="1" si="49"/>
        <v>44958</v>
      </c>
      <c r="AL372" s="173">
        <f t="shared" ca="1" si="46"/>
        <v>44</v>
      </c>
      <c r="AM372" s="173" t="str">
        <f t="shared" si="47"/>
        <v/>
      </c>
      <c r="AN372" s="181"/>
      <c r="AO372" s="190" t="s">
        <v>2445</v>
      </c>
      <c r="AP372" s="176">
        <v>10.26</v>
      </c>
      <c r="AQ372" s="176">
        <v>10.27</v>
      </c>
      <c r="AR372" s="176">
        <v>10.294999999999998</v>
      </c>
      <c r="AS372" s="176">
        <v>10.299999999999999</v>
      </c>
      <c r="AT372" s="173" t="str">
        <f t="shared" si="48"/>
        <v/>
      </c>
      <c r="AU372" s="173">
        <v>462</v>
      </c>
      <c r="AW372" s="142" t="s">
        <v>123</v>
      </c>
    </row>
    <row r="373" spans="2:49" s="142" customFormat="1" ht="21" customHeight="1" x14ac:dyDescent="0.25">
      <c r="B373" s="173" t="str">
        <f t="shared" si="45"/>
        <v>0-304L/FH-1.50X766</v>
      </c>
      <c r="C373" s="173" t="s">
        <v>4217</v>
      </c>
      <c r="D373" s="173" t="s">
        <v>16</v>
      </c>
      <c r="E373" s="190" t="s">
        <v>4215</v>
      </c>
      <c r="F373" s="190" t="s">
        <v>4216</v>
      </c>
      <c r="G373" s="173" t="s">
        <v>182</v>
      </c>
      <c r="H373" s="173" t="s">
        <v>70</v>
      </c>
      <c r="I373" s="174">
        <v>3.88</v>
      </c>
      <c r="J373" s="174">
        <v>1.5</v>
      </c>
      <c r="K373" s="174"/>
      <c r="L373" s="174"/>
      <c r="M373" s="191">
        <v>766</v>
      </c>
      <c r="N373" s="176">
        <v>11.965</v>
      </c>
      <c r="O373" s="176">
        <v>11.99</v>
      </c>
      <c r="P373" s="176"/>
      <c r="Q373" s="178"/>
      <c r="R373" s="179"/>
      <c r="S373" s="179"/>
      <c r="T373" s="177">
        <v>44949</v>
      </c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80" t="s">
        <v>1605</v>
      </c>
      <c r="AE373" s="173" t="s">
        <v>69</v>
      </c>
      <c r="AF373" s="181" t="s">
        <v>142</v>
      </c>
      <c r="AG373" s="192" t="s">
        <v>1584</v>
      </c>
      <c r="AH373" s="198"/>
      <c r="AI373" s="181">
        <v>44914</v>
      </c>
      <c r="AJ373" s="181"/>
      <c r="AK373" s="181">
        <f t="shared" ca="1" si="49"/>
        <v>44958</v>
      </c>
      <c r="AL373" s="173">
        <f t="shared" ca="1" si="46"/>
        <v>44</v>
      </c>
      <c r="AM373" s="173" t="str">
        <f t="shared" si="47"/>
        <v/>
      </c>
      <c r="AN373" s="181"/>
      <c r="AO373" s="190" t="s">
        <v>2622</v>
      </c>
      <c r="AP373" s="176">
        <v>11.965</v>
      </c>
      <c r="AQ373" s="176">
        <v>11.975</v>
      </c>
      <c r="AR373" s="176">
        <v>11.999999999999998</v>
      </c>
      <c r="AS373" s="176">
        <v>12.004999999999999</v>
      </c>
      <c r="AT373" s="173" t="str">
        <f t="shared" si="48"/>
        <v/>
      </c>
      <c r="AU373" s="173">
        <v>462</v>
      </c>
      <c r="AW373" s="142" t="s">
        <v>123</v>
      </c>
    </row>
    <row r="374" spans="2:49" s="142" customFormat="1" ht="21" customHeight="1" x14ac:dyDescent="0.25">
      <c r="B374" s="173" t="str">
        <f t="shared" si="45"/>
        <v>0-304L/1D-3.88X770</v>
      </c>
      <c r="C374" s="173" t="s">
        <v>4214</v>
      </c>
      <c r="D374" s="173" t="s">
        <v>13</v>
      </c>
      <c r="E374" s="190" t="s">
        <v>2638</v>
      </c>
      <c r="F374" s="190" t="s">
        <v>2639</v>
      </c>
      <c r="G374" s="173" t="s">
        <v>182</v>
      </c>
      <c r="H374" s="173" t="s">
        <v>127</v>
      </c>
      <c r="I374" s="174">
        <v>3.88</v>
      </c>
      <c r="J374" s="174"/>
      <c r="K374" s="174"/>
      <c r="L374" s="174"/>
      <c r="M374" s="191">
        <v>770</v>
      </c>
      <c r="N374" s="176">
        <v>11.28</v>
      </c>
      <c r="O374" s="176">
        <v>11.28</v>
      </c>
      <c r="P374" s="176"/>
      <c r="Q374" s="178"/>
      <c r="R374" s="179"/>
      <c r="S374" s="179"/>
      <c r="T374" s="177">
        <v>44949</v>
      </c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80" t="s">
        <v>1643</v>
      </c>
      <c r="AE374" s="173" t="s">
        <v>69</v>
      </c>
      <c r="AF374" s="181" t="s">
        <v>142</v>
      </c>
      <c r="AG374" s="192" t="s">
        <v>1584</v>
      </c>
      <c r="AH374" s="198"/>
      <c r="AI374" s="181">
        <v>44914</v>
      </c>
      <c r="AJ374" s="181"/>
      <c r="AK374" s="181">
        <f t="shared" ca="1" si="49"/>
        <v>44958</v>
      </c>
      <c r="AL374" s="173">
        <f t="shared" ca="1" si="46"/>
        <v>44</v>
      </c>
      <c r="AM374" s="173" t="str">
        <f t="shared" si="47"/>
        <v/>
      </c>
      <c r="AN374" s="181"/>
      <c r="AO374" s="190" t="s">
        <v>2641</v>
      </c>
      <c r="AP374" s="176">
        <v>11.28</v>
      </c>
      <c r="AQ374" s="176">
        <v>11.29</v>
      </c>
      <c r="AR374" s="176">
        <v>11.314999999999998</v>
      </c>
      <c r="AS374" s="176">
        <v>11.319999999999999</v>
      </c>
      <c r="AT374" s="173" t="str">
        <f t="shared" si="48"/>
        <v/>
      </c>
      <c r="AU374" s="173">
        <v>462</v>
      </c>
      <c r="AW374" s="142" t="s">
        <v>123</v>
      </c>
    </row>
    <row r="375" spans="2:49" s="142" customFormat="1" ht="21" customHeight="1" x14ac:dyDescent="0.25">
      <c r="B375" s="173" t="str">
        <f t="shared" si="45"/>
        <v>0-304/FH-1.00X773</v>
      </c>
      <c r="C375" s="173" t="s">
        <v>4217</v>
      </c>
      <c r="D375" s="173" t="s">
        <v>16</v>
      </c>
      <c r="E375" s="190" t="s">
        <v>2668</v>
      </c>
      <c r="F375" s="190" t="s">
        <v>2669</v>
      </c>
      <c r="G375" s="173">
        <v>304</v>
      </c>
      <c r="H375" s="173" t="s">
        <v>70</v>
      </c>
      <c r="I375" s="174">
        <v>2.89</v>
      </c>
      <c r="J375" s="174">
        <v>1</v>
      </c>
      <c r="K375" s="174"/>
      <c r="L375" s="174"/>
      <c r="M375" s="191">
        <v>773</v>
      </c>
      <c r="N375" s="176">
        <v>10.574999999999999</v>
      </c>
      <c r="O375" s="176">
        <v>10.58</v>
      </c>
      <c r="P375" s="176"/>
      <c r="Q375" s="178"/>
      <c r="R375" s="179"/>
      <c r="S375" s="179"/>
      <c r="T375" s="177">
        <v>44949</v>
      </c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80" t="s">
        <v>1605</v>
      </c>
      <c r="AE375" s="173" t="s">
        <v>69</v>
      </c>
      <c r="AF375" s="181" t="s">
        <v>142</v>
      </c>
      <c r="AG375" s="192" t="s">
        <v>1584</v>
      </c>
      <c r="AH375" s="198"/>
      <c r="AI375" s="181">
        <v>44914</v>
      </c>
      <c r="AJ375" s="181"/>
      <c r="AK375" s="181">
        <f t="shared" ca="1" si="49"/>
        <v>44958</v>
      </c>
      <c r="AL375" s="173">
        <f t="shared" ca="1" si="46"/>
        <v>44</v>
      </c>
      <c r="AM375" s="173" t="str">
        <f t="shared" si="47"/>
        <v/>
      </c>
      <c r="AN375" s="181"/>
      <c r="AO375" s="190" t="s">
        <v>2667</v>
      </c>
      <c r="AP375" s="176">
        <v>10.574999999999999</v>
      </c>
      <c r="AQ375" s="176">
        <v>10.585000000000001</v>
      </c>
      <c r="AR375" s="176">
        <v>10.61</v>
      </c>
      <c r="AS375" s="176">
        <v>10.615</v>
      </c>
      <c r="AT375" s="173" t="str">
        <f t="shared" si="48"/>
        <v/>
      </c>
      <c r="AU375" s="173">
        <v>462</v>
      </c>
      <c r="AW375" s="142" t="s">
        <v>123</v>
      </c>
    </row>
    <row r="376" spans="2:49" s="142" customFormat="1" ht="21" customHeight="1" x14ac:dyDescent="0.25">
      <c r="B376" s="173" t="str">
        <f t="shared" si="45"/>
        <v>0-304/1D-3.79X764</v>
      </c>
      <c r="C376" s="173" t="s">
        <v>4214</v>
      </c>
      <c r="D376" s="173" t="s">
        <v>13</v>
      </c>
      <c r="E376" s="190" t="s">
        <v>2492</v>
      </c>
      <c r="F376" s="190" t="s">
        <v>2493</v>
      </c>
      <c r="G376" s="173">
        <v>304</v>
      </c>
      <c r="H376" s="173" t="s">
        <v>127</v>
      </c>
      <c r="I376" s="174">
        <v>3.79</v>
      </c>
      <c r="J376" s="174"/>
      <c r="K376" s="174"/>
      <c r="L376" s="174"/>
      <c r="M376" s="191">
        <v>764</v>
      </c>
      <c r="N376" s="176">
        <v>10.220000000000001</v>
      </c>
      <c r="O376" s="176">
        <v>10.220000000000001</v>
      </c>
      <c r="P376" s="176"/>
      <c r="Q376" s="178"/>
      <c r="R376" s="179"/>
      <c r="S376" s="179"/>
      <c r="T376" s="177">
        <v>44949</v>
      </c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80" t="s">
        <v>2448</v>
      </c>
      <c r="AE376" s="173" t="s">
        <v>69</v>
      </c>
      <c r="AF376" s="181" t="s">
        <v>142</v>
      </c>
      <c r="AG376" s="192" t="s">
        <v>1584</v>
      </c>
      <c r="AH376" s="198"/>
      <c r="AI376" s="181">
        <v>44914</v>
      </c>
      <c r="AJ376" s="181"/>
      <c r="AK376" s="181">
        <f t="shared" ca="1" si="49"/>
        <v>44958</v>
      </c>
      <c r="AL376" s="173">
        <f t="shared" ca="1" si="46"/>
        <v>44</v>
      </c>
      <c r="AM376" s="173" t="str">
        <f t="shared" si="47"/>
        <v/>
      </c>
      <c r="AN376" s="181"/>
      <c r="AO376" s="190" t="s">
        <v>2491</v>
      </c>
      <c r="AP376" s="176">
        <v>10.220000000000001</v>
      </c>
      <c r="AQ376" s="176">
        <v>10.23</v>
      </c>
      <c r="AR376" s="176">
        <v>10.254999999999999</v>
      </c>
      <c r="AS376" s="176">
        <v>10.26</v>
      </c>
      <c r="AT376" s="173" t="str">
        <f t="shared" si="48"/>
        <v/>
      </c>
      <c r="AU376" s="173">
        <v>462</v>
      </c>
      <c r="AW376" s="142" t="s">
        <v>123</v>
      </c>
    </row>
    <row r="377" spans="2:49" s="142" customFormat="1" ht="21" customHeight="1" x14ac:dyDescent="0.25">
      <c r="B377" s="173" t="str">
        <f t="shared" ref="B377:B440" si="50">IF(C377="HOLD RM","HOLD RM",IF(C377="BAL","WIP",IF(C377="HOLD SLT","HOLD SLT",IF(C377="MILL","RM",IF(C377="RE SLT","WIP",IF(C377="RM","RM",IF(C377="RM BAL","RM",IF(C377="RM SLT","RM",IF(C377="RR","WIP",IF(C377="SKP","WIP",IF(C377="SLT","WIP",IF(C377="CTL","WIP",IF(C377="RM SLT RUST","RM SLT RUST",0)))))))))))))&amp;"-"&amp;G377&amp;"/"&amp;IF(H377="2B","2B",IF(H377="NO.1","1D",IF(H377="FH","FH",0)))&amp;"-"&amp;IF(J377="",(TEXT(I377,"0.00")),TEXT(J377,"0.00"))&amp;"X"&amp;M377</f>
        <v>0-304/FH-1.15X769</v>
      </c>
      <c r="C377" s="173" t="s">
        <v>4217</v>
      </c>
      <c r="D377" s="173" t="s">
        <v>16</v>
      </c>
      <c r="E377" s="190" t="s">
        <v>4194</v>
      </c>
      <c r="F377" s="190" t="s">
        <v>4195</v>
      </c>
      <c r="G377" s="173">
        <v>304</v>
      </c>
      <c r="H377" s="173" t="s">
        <v>70</v>
      </c>
      <c r="I377" s="174">
        <v>3.77</v>
      </c>
      <c r="J377" s="174">
        <v>1.1499999999999999</v>
      </c>
      <c r="K377" s="174"/>
      <c r="L377" s="174"/>
      <c r="M377" s="191">
        <v>769</v>
      </c>
      <c r="N377" s="176">
        <v>10.4</v>
      </c>
      <c r="O377" s="176">
        <v>10.385</v>
      </c>
      <c r="P377" s="176"/>
      <c r="Q377" s="178"/>
      <c r="R377" s="178"/>
      <c r="S377" s="179"/>
      <c r="T377" s="177">
        <v>44947</v>
      </c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80" t="s">
        <v>2448</v>
      </c>
      <c r="AE377" s="173" t="s">
        <v>69</v>
      </c>
      <c r="AF377" s="181" t="s">
        <v>142</v>
      </c>
      <c r="AG377" s="192" t="s">
        <v>1584</v>
      </c>
      <c r="AH377" s="198"/>
      <c r="AI377" s="181">
        <v>44914</v>
      </c>
      <c r="AJ377" s="181"/>
      <c r="AK377" s="181">
        <f t="shared" ca="1" si="49"/>
        <v>44958</v>
      </c>
      <c r="AL377" s="173">
        <f t="shared" ref="AL377:AL440" ca="1" si="51">IF(AI377&lt;&gt;0,AK377-AI377,0)</f>
        <v>44</v>
      </c>
      <c r="AM377" s="173" t="str">
        <f t="shared" ref="AM377:AM440" si="52">IF(ISNUMBER(X377)=TRUE,AK377-X377,IF(X377="","",(AK377)-(MID(RIGHT(X377,10),4,2)&amp;"/"&amp;LEFT((RIGHT(X377,10)),2)&amp;"/"&amp;RIGHT(X377,4))))</f>
        <v/>
      </c>
      <c r="AN377" s="181"/>
      <c r="AO377" s="190" t="s">
        <v>4041</v>
      </c>
      <c r="AP377" s="176">
        <v>10.4</v>
      </c>
      <c r="AQ377" s="176">
        <v>10.41</v>
      </c>
      <c r="AR377" s="176">
        <v>10.434999999999999</v>
      </c>
      <c r="AS377" s="176">
        <v>10.44</v>
      </c>
      <c r="AT377" s="173" t="str">
        <f t="shared" si="48"/>
        <v/>
      </c>
      <c r="AU377" s="173">
        <v>462</v>
      </c>
      <c r="AW377" s="142" t="s">
        <v>123</v>
      </c>
    </row>
    <row r="378" spans="2:49" s="142" customFormat="1" ht="21" customHeight="1" x14ac:dyDescent="0.25">
      <c r="B378" s="173" t="str">
        <f t="shared" si="50"/>
        <v>0-304L/1D-3.38X643</v>
      </c>
      <c r="C378" s="173" t="s">
        <v>4220</v>
      </c>
      <c r="D378" s="173" t="s">
        <v>13</v>
      </c>
      <c r="E378" s="190" t="s">
        <v>1704</v>
      </c>
      <c r="F378" s="190" t="s">
        <v>4223</v>
      </c>
      <c r="G378" s="173" t="s">
        <v>182</v>
      </c>
      <c r="H378" s="173" t="s">
        <v>127</v>
      </c>
      <c r="I378" s="174">
        <v>3.38</v>
      </c>
      <c r="J378" s="174"/>
      <c r="K378" s="174"/>
      <c r="L378" s="174"/>
      <c r="M378" s="191">
        <v>643</v>
      </c>
      <c r="N378" s="176">
        <v>10.574999999999999</v>
      </c>
      <c r="O378" s="176">
        <v>10.574999999999999</v>
      </c>
      <c r="P378" s="176"/>
      <c r="Q378" s="178"/>
      <c r="R378" s="179"/>
      <c r="S378" s="179"/>
      <c r="T378" s="177">
        <v>44949</v>
      </c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80" t="s">
        <v>1605</v>
      </c>
      <c r="AE378" s="173" t="s">
        <v>69</v>
      </c>
      <c r="AF378" s="181" t="s">
        <v>142</v>
      </c>
      <c r="AG378" s="192" t="s">
        <v>1657</v>
      </c>
      <c r="AH378" s="198"/>
      <c r="AI378" s="181">
        <v>44849</v>
      </c>
      <c r="AJ378" s="181"/>
      <c r="AK378" s="181">
        <f t="shared" ca="1" si="49"/>
        <v>44958</v>
      </c>
      <c r="AL378" s="173">
        <f t="shared" ca="1" si="51"/>
        <v>109</v>
      </c>
      <c r="AM378" s="173" t="str">
        <f t="shared" si="52"/>
        <v/>
      </c>
      <c r="AN378" s="181"/>
      <c r="AO378" s="190" t="s">
        <v>1706</v>
      </c>
      <c r="AP378" s="176">
        <v>10.574999999999999</v>
      </c>
      <c r="AQ378" s="176">
        <v>10.585000000000001</v>
      </c>
      <c r="AR378" s="176">
        <v>10.61</v>
      </c>
      <c r="AS378" s="176">
        <v>10.615</v>
      </c>
      <c r="AT378" s="173" t="str">
        <f t="shared" si="48"/>
        <v/>
      </c>
      <c r="AU378" s="173">
        <v>456</v>
      </c>
      <c r="AW378" s="142" t="s">
        <v>123</v>
      </c>
    </row>
    <row r="379" spans="2:49" s="142" customFormat="1" ht="21" customHeight="1" x14ac:dyDescent="0.25">
      <c r="B379" s="173" t="str">
        <f t="shared" si="50"/>
        <v>0-304L/1D-3.87X638</v>
      </c>
      <c r="C379" s="173" t="s">
        <v>4220</v>
      </c>
      <c r="D379" s="173" t="s">
        <v>13</v>
      </c>
      <c r="E379" s="190" t="s">
        <v>1701</v>
      </c>
      <c r="F379" s="190" t="s">
        <v>1702</v>
      </c>
      <c r="G379" s="173" t="s">
        <v>182</v>
      </c>
      <c r="H379" s="173" t="s">
        <v>127</v>
      </c>
      <c r="I379" s="174">
        <v>3.87</v>
      </c>
      <c r="J379" s="174"/>
      <c r="K379" s="174"/>
      <c r="L379" s="174"/>
      <c r="M379" s="191">
        <v>638</v>
      </c>
      <c r="N379" s="176">
        <v>10.515000000000001</v>
      </c>
      <c r="O379" s="176">
        <v>10.515000000000001</v>
      </c>
      <c r="P379" s="176"/>
      <c r="Q379" s="178"/>
      <c r="R379" s="179"/>
      <c r="S379" s="179"/>
      <c r="T379" s="177" t="s">
        <v>1703</v>
      </c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80" t="s">
        <v>1609</v>
      </c>
      <c r="AE379" s="173" t="s">
        <v>69</v>
      </c>
      <c r="AF379" s="181" t="s">
        <v>142</v>
      </c>
      <c r="AG379" s="192" t="s">
        <v>1657</v>
      </c>
      <c r="AH379" s="198"/>
      <c r="AI379" s="181">
        <v>44849</v>
      </c>
      <c r="AJ379" s="181"/>
      <c r="AK379" s="181">
        <f t="shared" ca="1" si="49"/>
        <v>44958</v>
      </c>
      <c r="AL379" s="173">
        <f t="shared" ca="1" si="51"/>
        <v>109</v>
      </c>
      <c r="AM379" s="173" t="str">
        <f t="shared" si="52"/>
        <v/>
      </c>
      <c r="AN379" s="181"/>
      <c r="AO379" s="190" t="s">
        <v>1700</v>
      </c>
      <c r="AP379" s="176">
        <v>10.515000000000001</v>
      </c>
      <c r="AQ379" s="176">
        <v>10.525</v>
      </c>
      <c r="AR379" s="176">
        <v>10.549999999999999</v>
      </c>
      <c r="AS379" s="176">
        <v>10.555</v>
      </c>
      <c r="AT379" s="173" t="str">
        <f t="shared" si="48"/>
        <v/>
      </c>
      <c r="AU379" s="173">
        <v>456</v>
      </c>
      <c r="AW379" s="142" t="s">
        <v>123</v>
      </c>
    </row>
    <row r="380" spans="2:49" s="142" customFormat="1" ht="21" customHeight="1" x14ac:dyDescent="0.25">
      <c r="B380" s="173" t="str">
        <f t="shared" si="50"/>
        <v>0-304L/1D-3.97X772</v>
      </c>
      <c r="C380" s="173" t="s">
        <v>4214</v>
      </c>
      <c r="D380" s="173" t="s">
        <v>13</v>
      </c>
      <c r="E380" s="190" t="s">
        <v>4224</v>
      </c>
      <c r="F380" s="190" t="s">
        <v>4225</v>
      </c>
      <c r="G380" s="173" t="s">
        <v>182</v>
      </c>
      <c r="H380" s="173" t="s">
        <v>127</v>
      </c>
      <c r="I380" s="174">
        <v>3.97</v>
      </c>
      <c r="J380" s="174"/>
      <c r="K380" s="174"/>
      <c r="L380" s="174"/>
      <c r="M380" s="191">
        <v>772</v>
      </c>
      <c r="N380" s="176">
        <v>10.525</v>
      </c>
      <c r="O380" s="176">
        <v>10.525</v>
      </c>
      <c r="P380" s="176"/>
      <c r="Q380" s="178"/>
      <c r="R380" s="179"/>
      <c r="S380" s="179"/>
      <c r="T380" s="177">
        <v>44949</v>
      </c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80" t="s">
        <v>2448</v>
      </c>
      <c r="AE380" s="173" t="s">
        <v>69</v>
      </c>
      <c r="AF380" s="181" t="s">
        <v>142</v>
      </c>
      <c r="AG380" s="192" t="s">
        <v>1584</v>
      </c>
      <c r="AH380" s="198"/>
      <c r="AI380" s="181">
        <v>44914</v>
      </c>
      <c r="AJ380" s="181"/>
      <c r="AK380" s="181">
        <f t="shared" ca="1" si="49"/>
        <v>44958</v>
      </c>
      <c r="AL380" s="173">
        <f t="shared" ca="1" si="51"/>
        <v>44</v>
      </c>
      <c r="AM380" s="173" t="str">
        <f t="shared" si="52"/>
        <v/>
      </c>
      <c r="AN380" s="181"/>
      <c r="AO380" s="190" t="s">
        <v>2628</v>
      </c>
      <c r="AP380" s="176">
        <v>10.525</v>
      </c>
      <c r="AQ380" s="176">
        <v>10.535</v>
      </c>
      <c r="AR380" s="176">
        <v>10.559999999999999</v>
      </c>
      <c r="AS380" s="176">
        <v>10.565</v>
      </c>
      <c r="AT380" s="173" t="str">
        <f t="shared" si="48"/>
        <v/>
      </c>
      <c r="AU380" s="173">
        <v>462</v>
      </c>
      <c r="AW380" s="142" t="s">
        <v>123</v>
      </c>
    </row>
    <row r="381" spans="2:49" s="142" customFormat="1" ht="21" customHeight="1" x14ac:dyDescent="0.25">
      <c r="B381" s="173" t="str">
        <f t="shared" si="50"/>
        <v>0-304L/FH-0.88X771</v>
      </c>
      <c r="C381" s="173" t="s">
        <v>4217</v>
      </c>
      <c r="D381" s="173" t="s">
        <v>16</v>
      </c>
      <c r="E381" s="190" t="s">
        <v>4211</v>
      </c>
      <c r="F381" s="190" t="s">
        <v>4212</v>
      </c>
      <c r="G381" s="173" t="s">
        <v>182</v>
      </c>
      <c r="H381" s="173" t="s">
        <v>70</v>
      </c>
      <c r="I381" s="174">
        <v>2.78</v>
      </c>
      <c r="J381" s="174">
        <v>0.88</v>
      </c>
      <c r="K381" s="174"/>
      <c r="L381" s="174"/>
      <c r="M381" s="191">
        <v>771</v>
      </c>
      <c r="N381" s="176">
        <v>10.57</v>
      </c>
      <c r="O381" s="176">
        <v>10.585000000000001</v>
      </c>
      <c r="P381" s="176"/>
      <c r="Q381" s="178"/>
      <c r="R381" s="179"/>
      <c r="S381" s="179"/>
      <c r="T381" s="177">
        <v>44948</v>
      </c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80" t="s">
        <v>1605</v>
      </c>
      <c r="AE381" s="173" t="s">
        <v>69</v>
      </c>
      <c r="AF381" s="181" t="s">
        <v>142</v>
      </c>
      <c r="AG381" s="192" t="s">
        <v>1584</v>
      </c>
      <c r="AH381" s="198"/>
      <c r="AI381" s="181">
        <v>44914</v>
      </c>
      <c r="AJ381" s="181"/>
      <c r="AK381" s="181">
        <f t="shared" ca="1" si="49"/>
        <v>44958</v>
      </c>
      <c r="AL381" s="173">
        <f t="shared" ca="1" si="51"/>
        <v>44</v>
      </c>
      <c r="AM381" s="173" t="str">
        <f t="shared" si="52"/>
        <v/>
      </c>
      <c r="AN381" s="181"/>
      <c r="AO381" s="190" t="s">
        <v>4213</v>
      </c>
      <c r="AP381" s="176">
        <v>10.57</v>
      </c>
      <c r="AQ381" s="176">
        <v>10.58</v>
      </c>
      <c r="AR381" s="176">
        <v>10.604999999999999</v>
      </c>
      <c r="AS381" s="176">
        <v>10.61</v>
      </c>
      <c r="AT381" s="173" t="str">
        <f t="shared" si="48"/>
        <v/>
      </c>
      <c r="AU381" s="173">
        <v>462</v>
      </c>
      <c r="AW381" s="142" t="s">
        <v>123</v>
      </c>
    </row>
    <row r="382" spans="2:49" s="142" customFormat="1" ht="21" customHeight="1" x14ac:dyDescent="0.25">
      <c r="B382" s="173" t="str">
        <f t="shared" si="50"/>
        <v>0-304/1D-3.78X764</v>
      </c>
      <c r="C382" s="173" t="s">
        <v>4214</v>
      </c>
      <c r="D382" s="173" t="s">
        <v>13</v>
      </c>
      <c r="E382" s="190" t="s">
        <v>2489</v>
      </c>
      <c r="F382" s="190" t="s">
        <v>2490</v>
      </c>
      <c r="G382" s="173">
        <v>304</v>
      </c>
      <c r="H382" s="173" t="s">
        <v>127</v>
      </c>
      <c r="I382" s="174">
        <v>3.78</v>
      </c>
      <c r="J382" s="174"/>
      <c r="K382" s="174"/>
      <c r="L382" s="174"/>
      <c r="M382" s="191">
        <v>764</v>
      </c>
      <c r="N382" s="176">
        <v>10.26</v>
      </c>
      <c r="O382" s="176">
        <v>10.26</v>
      </c>
      <c r="P382" s="176"/>
      <c r="Q382" s="178"/>
      <c r="R382" s="179"/>
      <c r="S382" s="179"/>
      <c r="T382" s="177">
        <v>44949</v>
      </c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80" t="s">
        <v>2448</v>
      </c>
      <c r="AE382" s="173" t="s">
        <v>69</v>
      </c>
      <c r="AF382" s="181" t="s">
        <v>142</v>
      </c>
      <c r="AG382" s="192" t="s">
        <v>1584</v>
      </c>
      <c r="AH382" s="198"/>
      <c r="AI382" s="181">
        <v>44914</v>
      </c>
      <c r="AJ382" s="181"/>
      <c r="AK382" s="181">
        <f t="shared" ca="1" si="49"/>
        <v>44958</v>
      </c>
      <c r="AL382" s="173">
        <f t="shared" ca="1" si="51"/>
        <v>44</v>
      </c>
      <c r="AM382" s="173" t="str">
        <f t="shared" si="52"/>
        <v/>
      </c>
      <c r="AN382" s="181"/>
      <c r="AO382" s="190" t="s">
        <v>2491</v>
      </c>
      <c r="AP382" s="176">
        <v>10.26</v>
      </c>
      <c r="AQ382" s="176">
        <v>10.27</v>
      </c>
      <c r="AR382" s="176">
        <v>10.294999999999998</v>
      </c>
      <c r="AS382" s="176">
        <v>10.299999999999999</v>
      </c>
      <c r="AT382" s="173" t="str">
        <f t="shared" si="48"/>
        <v/>
      </c>
      <c r="AU382" s="173">
        <v>462</v>
      </c>
      <c r="AW382" s="142" t="s">
        <v>123</v>
      </c>
    </row>
    <row r="383" spans="2:49" s="142" customFormat="1" ht="21" customHeight="1" x14ac:dyDescent="0.25">
      <c r="B383" s="173" t="str">
        <f t="shared" si="50"/>
        <v>0-304L/FH-1.45X771</v>
      </c>
      <c r="C383" s="173" t="s">
        <v>4217</v>
      </c>
      <c r="D383" s="173" t="s">
        <v>16</v>
      </c>
      <c r="E383" s="190" t="s">
        <v>2442</v>
      </c>
      <c r="F383" s="190" t="s">
        <v>2443</v>
      </c>
      <c r="G383" s="173" t="s">
        <v>182</v>
      </c>
      <c r="H383" s="173" t="s">
        <v>70</v>
      </c>
      <c r="I383" s="174">
        <v>3.93</v>
      </c>
      <c r="J383" s="174">
        <v>1.45</v>
      </c>
      <c r="K383" s="174"/>
      <c r="L383" s="174"/>
      <c r="M383" s="191">
        <v>771</v>
      </c>
      <c r="N383" s="176">
        <v>10.26</v>
      </c>
      <c r="O383" s="176">
        <v>10.24</v>
      </c>
      <c r="P383" s="176"/>
      <c r="Q383" s="178"/>
      <c r="R383" s="179"/>
      <c r="S383" s="179"/>
      <c r="T383" s="177">
        <v>44949</v>
      </c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80" t="s">
        <v>1605</v>
      </c>
      <c r="AE383" s="173" t="s">
        <v>69</v>
      </c>
      <c r="AF383" s="181" t="s">
        <v>142</v>
      </c>
      <c r="AG383" s="192" t="s">
        <v>1584</v>
      </c>
      <c r="AH383" s="198"/>
      <c r="AI383" s="181">
        <v>44914</v>
      </c>
      <c r="AJ383" s="181"/>
      <c r="AK383" s="181">
        <f t="shared" ca="1" si="49"/>
        <v>44958</v>
      </c>
      <c r="AL383" s="173">
        <f t="shared" ca="1" si="51"/>
        <v>44</v>
      </c>
      <c r="AM383" s="173" t="str">
        <f t="shared" si="52"/>
        <v/>
      </c>
      <c r="AN383" s="181"/>
      <c r="AO383" s="190" t="s">
        <v>2445</v>
      </c>
      <c r="AP383" s="176">
        <v>10.26</v>
      </c>
      <c r="AQ383" s="176">
        <v>10.27</v>
      </c>
      <c r="AR383" s="176">
        <v>10.294999999999998</v>
      </c>
      <c r="AS383" s="176">
        <v>10.299999999999999</v>
      </c>
      <c r="AT383" s="173" t="str">
        <f t="shared" si="48"/>
        <v/>
      </c>
      <c r="AU383" s="173">
        <v>462</v>
      </c>
      <c r="AW383" s="142" t="s">
        <v>123</v>
      </c>
    </row>
    <row r="384" spans="2:49" s="142" customFormat="1" ht="21" customHeight="1" x14ac:dyDescent="0.25">
      <c r="B384" s="173" t="str">
        <f t="shared" si="50"/>
        <v>0-304/1D-3.79X770</v>
      </c>
      <c r="C384" s="173" t="s">
        <v>4214</v>
      </c>
      <c r="D384" s="173" t="s">
        <v>13</v>
      </c>
      <c r="E384" s="190" t="s">
        <v>2499</v>
      </c>
      <c r="F384" s="190" t="s">
        <v>2500</v>
      </c>
      <c r="G384" s="173">
        <v>304</v>
      </c>
      <c r="H384" s="173" t="s">
        <v>127</v>
      </c>
      <c r="I384" s="174">
        <v>3.79</v>
      </c>
      <c r="J384" s="174"/>
      <c r="K384" s="174"/>
      <c r="L384" s="174"/>
      <c r="M384" s="191">
        <v>770</v>
      </c>
      <c r="N384" s="176">
        <v>11.86</v>
      </c>
      <c r="O384" s="176">
        <v>11.86</v>
      </c>
      <c r="P384" s="176"/>
      <c r="Q384" s="178"/>
      <c r="R384" s="179"/>
      <c r="S384" s="179"/>
      <c r="T384" s="177">
        <v>44949</v>
      </c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80" t="s">
        <v>2448</v>
      </c>
      <c r="AE384" s="173" t="s">
        <v>69</v>
      </c>
      <c r="AF384" s="181" t="s">
        <v>142</v>
      </c>
      <c r="AG384" s="192" t="s">
        <v>1584</v>
      </c>
      <c r="AH384" s="198"/>
      <c r="AI384" s="181">
        <v>44914</v>
      </c>
      <c r="AJ384" s="181"/>
      <c r="AK384" s="181">
        <f t="shared" ca="1" si="49"/>
        <v>44958</v>
      </c>
      <c r="AL384" s="173">
        <f t="shared" ca="1" si="51"/>
        <v>44</v>
      </c>
      <c r="AM384" s="173" t="str">
        <f t="shared" si="52"/>
        <v/>
      </c>
      <c r="AN384" s="181"/>
      <c r="AO384" s="190" t="s">
        <v>2501</v>
      </c>
      <c r="AP384" s="176">
        <v>11.86</v>
      </c>
      <c r="AQ384" s="176">
        <v>11.87</v>
      </c>
      <c r="AR384" s="176">
        <v>11.894999999999998</v>
      </c>
      <c r="AS384" s="176">
        <v>11.899999999999999</v>
      </c>
      <c r="AT384" s="173" t="str">
        <f t="shared" si="48"/>
        <v/>
      </c>
      <c r="AU384" s="173">
        <v>462</v>
      </c>
      <c r="AW384" s="142" t="s">
        <v>123</v>
      </c>
    </row>
    <row r="385" spans="2:49" s="142" customFormat="1" ht="21" customHeight="1" x14ac:dyDescent="0.25">
      <c r="B385" s="173" t="str">
        <f t="shared" si="50"/>
        <v>0-304L/FH-1.50X770</v>
      </c>
      <c r="C385" s="173" t="s">
        <v>4217</v>
      </c>
      <c r="D385" s="173" t="s">
        <v>16</v>
      </c>
      <c r="E385" s="190" t="s">
        <v>2638</v>
      </c>
      <c r="F385" s="190" t="s">
        <v>2639</v>
      </c>
      <c r="G385" s="173" t="s">
        <v>182</v>
      </c>
      <c r="H385" s="173" t="s">
        <v>70</v>
      </c>
      <c r="I385" s="174">
        <v>3.88</v>
      </c>
      <c r="J385" s="174">
        <v>1.5</v>
      </c>
      <c r="K385" s="174"/>
      <c r="L385" s="174"/>
      <c r="M385" s="191">
        <v>770</v>
      </c>
      <c r="N385" s="176">
        <v>11.28</v>
      </c>
      <c r="O385" s="176">
        <v>11.285</v>
      </c>
      <c r="P385" s="176"/>
      <c r="Q385" s="178"/>
      <c r="R385" s="179"/>
      <c r="S385" s="179"/>
      <c r="T385" s="177">
        <v>44949</v>
      </c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80" t="s">
        <v>1643</v>
      </c>
      <c r="AE385" s="173" t="s">
        <v>69</v>
      </c>
      <c r="AF385" s="181" t="s">
        <v>142</v>
      </c>
      <c r="AG385" s="192" t="s">
        <v>1584</v>
      </c>
      <c r="AH385" s="198"/>
      <c r="AI385" s="181">
        <v>44914</v>
      </c>
      <c r="AJ385" s="181"/>
      <c r="AK385" s="181">
        <f t="shared" ca="1" si="49"/>
        <v>44958</v>
      </c>
      <c r="AL385" s="173">
        <f t="shared" ca="1" si="51"/>
        <v>44</v>
      </c>
      <c r="AM385" s="173" t="str">
        <f t="shared" si="52"/>
        <v/>
      </c>
      <c r="AN385" s="181"/>
      <c r="AO385" s="190" t="s">
        <v>2641</v>
      </c>
      <c r="AP385" s="176">
        <v>11.28</v>
      </c>
      <c r="AQ385" s="176">
        <v>11.29</v>
      </c>
      <c r="AR385" s="176">
        <v>11.314999999999998</v>
      </c>
      <c r="AS385" s="176">
        <v>11.319999999999999</v>
      </c>
      <c r="AT385" s="173" t="str">
        <f t="shared" si="48"/>
        <v/>
      </c>
      <c r="AU385" s="173">
        <v>462</v>
      </c>
      <c r="AW385" s="142" t="s">
        <v>123</v>
      </c>
    </row>
    <row r="386" spans="2:49" s="142" customFormat="1" ht="21" customHeight="1" x14ac:dyDescent="0.25">
      <c r="B386" s="173" t="str">
        <f t="shared" si="50"/>
        <v>0-304L/1D-2.77X772</v>
      </c>
      <c r="C386" s="173" t="s">
        <v>4214</v>
      </c>
      <c r="D386" s="173" t="s">
        <v>13</v>
      </c>
      <c r="E386" s="190" t="s">
        <v>2693</v>
      </c>
      <c r="F386" s="190" t="s">
        <v>2694</v>
      </c>
      <c r="G386" s="173" t="s">
        <v>182</v>
      </c>
      <c r="H386" s="173" t="s">
        <v>127</v>
      </c>
      <c r="I386" s="174">
        <v>2.77</v>
      </c>
      <c r="J386" s="174"/>
      <c r="K386" s="174"/>
      <c r="L386" s="174"/>
      <c r="M386" s="191">
        <v>772</v>
      </c>
      <c r="N386" s="176">
        <v>10.535</v>
      </c>
      <c r="O386" s="176">
        <v>10.535</v>
      </c>
      <c r="P386" s="176"/>
      <c r="Q386" s="178"/>
      <c r="R386" s="179"/>
      <c r="S386" s="179"/>
      <c r="T386" s="177">
        <v>44949</v>
      </c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80" t="s">
        <v>1643</v>
      </c>
      <c r="AE386" s="173" t="s">
        <v>69</v>
      </c>
      <c r="AF386" s="181" t="s">
        <v>142</v>
      </c>
      <c r="AG386" s="192" t="s">
        <v>1584</v>
      </c>
      <c r="AH386" s="198"/>
      <c r="AI386" s="181">
        <v>44914</v>
      </c>
      <c r="AJ386" s="181"/>
      <c r="AK386" s="181">
        <f t="shared" ca="1" si="49"/>
        <v>44958</v>
      </c>
      <c r="AL386" s="173">
        <f t="shared" ca="1" si="51"/>
        <v>44</v>
      </c>
      <c r="AM386" s="173" t="str">
        <f t="shared" si="52"/>
        <v/>
      </c>
      <c r="AN386" s="181"/>
      <c r="AO386" s="190" t="s">
        <v>2695</v>
      </c>
      <c r="AP386" s="176">
        <v>10.535</v>
      </c>
      <c r="AQ386" s="176">
        <v>10.545</v>
      </c>
      <c r="AR386" s="176">
        <v>10.569999999999999</v>
      </c>
      <c r="AS386" s="176">
        <v>10.574999999999999</v>
      </c>
      <c r="AT386" s="173" t="str">
        <f t="shared" si="48"/>
        <v/>
      </c>
      <c r="AU386" s="173">
        <v>462</v>
      </c>
      <c r="AW386" s="142" t="s">
        <v>123</v>
      </c>
    </row>
    <row r="387" spans="2:49" s="142" customFormat="1" ht="21" customHeight="1" x14ac:dyDescent="0.25">
      <c r="B387" s="173" t="str">
        <f t="shared" si="50"/>
        <v>0-304L/FH-2.00X772</v>
      </c>
      <c r="C387" s="173" t="s">
        <v>4217</v>
      </c>
      <c r="D387" s="173" t="s">
        <v>16</v>
      </c>
      <c r="E387" s="190" t="s">
        <v>4224</v>
      </c>
      <c r="F387" s="190" t="s">
        <v>4225</v>
      </c>
      <c r="G387" s="173" t="s">
        <v>182</v>
      </c>
      <c r="H387" s="173" t="s">
        <v>70</v>
      </c>
      <c r="I387" s="174">
        <v>3.97</v>
      </c>
      <c r="J387" s="174">
        <v>2</v>
      </c>
      <c r="K387" s="174"/>
      <c r="L387" s="174"/>
      <c r="M387" s="191">
        <v>772</v>
      </c>
      <c r="N387" s="176">
        <v>10.525</v>
      </c>
      <c r="O387" s="176">
        <v>10.54</v>
      </c>
      <c r="P387" s="176"/>
      <c r="Q387" s="178"/>
      <c r="R387" s="179"/>
      <c r="S387" s="179"/>
      <c r="T387" s="177">
        <v>44949</v>
      </c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80" t="s">
        <v>2448</v>
      </c>
      <c r="AE387" s="173" t="s">
        <v>69</v>
      </c>
      <c r="AF387" s="181" t="s">
        <v>142</v>
      </c>
      <c r="AG387" s="192" t="s">
        <v>1584</v>
      </c>
      <c r="AH387" s="198"/>
      <c r="AI387" s="181">
        <v>44914</v>
      </c>
      <c r="AJ387" s="181"/>
      <c r="AK387" s="181">
        <f t="shared" ca="1" si="49"/>
        <v>44958</v>
      </c>
      <c r="AL387" s="173">
        <f t="shared" ca="1" si="51"/>
        <v>44</v>
      </c>
      <c r="AM387" s="173" t="str">
        <f t="shared" si="52"/>
        <v/>
      </c>
      <c r="AN387" s="181"/>
      <c r="AO387" s="190" t="s">
        <v>2628</v>
      </c>
      <c r="AP387" s="176">
        <v>10.525</v>
      </c>
      <c r="AQ387" s="176">
        <v>10.535</v>
      </c>
      <c r="AR387" s="176">
        <v>10.559999999999999</v>
      </c>
      <c r="AS387" s="176">
        <v>10.565</v>
      </c>
      <c r="AT387" s="173" t="str">
        <f t="shared" si="48"/>
        <v/>
      </c>
      <c r="AU387" s="173">
        <v>462</v>
      </c>
      <c r="AW387" s="142" t="s">
        <v>123</v>
      </c>
    </row>
    <row r="388" spans="2:49" s="142" customFormat="1" ht="21" customHeight="1" x14ac:dyDescent="0.25">
      <c r="B388" s="173" t="str">
        <f t="shared" si="50"/>
        <v>0-304L/1D-3.88X641</v>
      </c>
      <c r="C388" s="173" t="s">
        <v>4220</v>
      </c>
      <c r="D388" s="173" t="s">
        <v>13</v>
      </c>
      <c r="E388" s="190" t="s">
        <v>1698</v>
      </c>
      <c r="F388" s="190" t="s">
        <v>1699</v>
      </c>
      <c r="G388" s="173" t="s">
        <v>182</v>
      </c>
      <c r="H388" s="173" t="s">
        <v>127</v>
      </c>
      <c r="I388" s="174">
        <v>3.88</v>
      </c>
      <c r="J388" s="174"/>
      <c r="K388" s="174"/>
      <c r="L388" s="174"/>
      <c r="M388" s="191">
        <v>641</v>
      </c>
      <c r="N388" s="176">
        <v>10.6</v>
      </c>
      <c r="O388" s="176">
        <v>10.6</v>
      </c>
      <c r="P388" s="176"/>
      <c r="Q388" s="178"/>
      <c r="R388" s="179"/>
      <c r="S388" s="179"/>
      <c r="T388" s="177">
        <v>44949</v>
      </c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80" t="s">
        <v>1605</v>
      </c>
      <c r="AE388" s="173" t="s">
        <v>69</v>
      </c>
      <c r="AF388" s="181" t="s">
        <v>142</v>
      </c>
      <c r="AG388" s="192" t="s">
        <v>1657</v>
      </c>
      <c r="AH388" s="198"/>
      <c r="AI388" s="181">
        <v>44849</v>
      </c>
      <c r="AJ388" s="181"/>
      <c r="AK388" s="181">
        <f t="shared" ca="1" si="49"/>
        <v>44958</v>
      </c>
      <c r="AL388" s="173">
        <f t="shared" ca="1" si="51"/>
        <v>109</v>
      </c>
      <c r="AM388" s="173" t="str">
        <f t="shared" si="52"/>
        <v/>
      </c>
      <c r="AN388" s="181"/>
      <c r="AO388" s="190" t="s">
        <v>1700</v>
      </c>
      <c r="AP388" s="176">
        <v>10.6</v>
      </c>
      <c r="AQ388" s="176">
        <v>10.61</v>
      </c>
      <c r="AR388" s="176">
        <v>10.634999999999998</v>
      </c>
      <c r="AS388" s="176">
        <v>10.639999999999999</v>
      </c>
      <c r="AT388" s="173" t="str">
        <f t="shared" ref="AT388:AT417" si="53">IF(ISNUMBER(V388)=TRUE,AK388-V388,IF(V388="","",(AK388)-(MID(RIGHT(V388,10),4,2)&amp;"/"&amp;LEFT((RIGHT(V388,10)),2)&amp;"/"&amp;RIGHT(V388,4))))</f>
        <v/>
      </c>
      <c r="AU388" s="173">
        <v>456</v>
      </c>
      <c r="AW388" s="142" t="s">
        <v>123</v>
      </c>
    </row>
    <row r="389" spans="2:49" s="142" customFormat="1" ht="21" customHeight="1" x14ac:dyDescent="0.25">
      <c r="B389" s="173" t="str">
        <f t="shared" si="50"/>
        <v>0-304L/1D-3.96X770</v>
      </c>
      <c r="C389" s="173" t="s">
        <v>4226</v>
      </c>
      <c r="D389" s="173" t="s">
        <v>13</v>
      </c>
      <c r="E389" s="190" t="s">
        <v>2626</v>
      </c>
      <c r="F389" s="190" t="s">
        <v>2627</v>
      </c>
      <c r="G389" s="173" t="s">
        <v>182</v>
      </c>
      <c r="H389" s="173" t="s">
        <v>127</v>
      </c>
      <c r="I389" s="174">
        <v>3.96</v>
      </c>
      <c r="J389" s="174"/>
      <c r="K389" s="174"/>
      <c r="L389" s="174"/>
      <c r="M389" s="191">
        <v>770</v>
      </c>
      <c r="N389" s="176">
        <v>10.505000000000001</v>
      </c>
      <c r="O389" s="176">
        <v>10.505000000000001</v>
      </c>
      <c r="P389" s="176"/>
      <c r="Q389" s="178"/>
      <c r="R389" s="179"/>
      <c r="S389" s="179"/>
      <c r="T389" s="177">
        <v>44950</v>
      </c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80" t="s">
        <v>2448</v>
      </c>
      <c r="AE389" s="173" t="s">
        <v>69</v>
      </c>
      <c r="AF389" s="181" t="s">
        <v>142</v>
      </c>
      <c r="AG389" s="192" t="s">
        <v>1584</v>
      </c>
      <c r="AH389" s="198"/>
      <c r="AI389" s="181">
        <v>44914</v>
      </c>
      <c r="AJ389" s="181"/>
      <c r="AK389" s="181">
        <f t="shared" ca="1" si="49"/>
        <v>44958</v>
      </c>
      <c r="AL389" s="173">
        <f t="shared" ca="1" si="51"/>
        <v>44</v>
      </c>
      <c r="AM389" s="173" t="str">
        <f t="shared" si="52"/>
        <v/>
      </c>
      <c r="AN389" s="181"/>
      <c r="AO389" s="190" t="s">
        <v>2628</v>
      </c>
      <c r="AP389" s="176">
        <v>10.505000000000001</v>
      </c>
      <c r="AQ389" s="176">
        <v>10.515000000000001</v>
      </c>
      <c r="AR389" s="176">
        <v>10.54</v>
      </c>
      <c r="AS389" s="176">
        <v>10.545</v>
      </c>
      <c r="AT389" s="173" t="str">
        <f t="shared" si="53"/>
        <v/>
      </c>
      <c r="AU389" s="173">
        <v>462</v>
      </c>
      <c r="AW389" s="142" t="s">
        <v>123</v>
      </c>
    </row>
    <row r="390" spans="2:49" s="142" customFormat="1" ht="21" customHeight="1" x14ac:dyDescent="0.25">
      <c r="B390" s="173" t="str">
        <f t="shared" si="50"/>
        <v>0-304L/FH-0.88X772</v>
      </c>
      <c r="C390" s="173" t="s">
        <v>4227</v>
      </c>
      <c r="D390" s="173" t="s">
        <v>16</v>
      </c>
      <c r="E390" s="190" t="s">
        <v>2693</v>
      </c>
      <c r="F390" s="190" t="s">
        <v>2694</v>
      </c>
      <c r="G390" s="173" t="s">
        <v>182</v>
      </c>
      <c r="H390" s="173" t="s">
        <v>70</v>
      </c>
      <c r="I390" s="174">
        <v>2.77</v>
      </c>
      <c r="J390" s="174">
        <v>0.88</v>
      </c>
      <c r="K390" s="174"/>
      <c r="L390" s="174"/>
      <c r="M390" s="191">
        <v>772</v>
      </c>
      <c r="N390" s="176">
        <v>10.535</v>
      </c>
      <c r="O390" s="176">
        <v>10.54</v>
      </c>
      <c r="P390" s="176"/>
      <c r="Q390" s="178"/>
      <c r="R390" s="179"/>
      <c r="S390" s="179"/>
      <c r="T390" s="177">
        <v>44949</v>
      </c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80" t="s">
        <v>1643</v>
      </c>
      <c r="AE390" s="173" t="s">
        <v>69</v>
      </c>
      <c r="AF390" s="181" t="s">
        <v>142</v>
      </c>
      <c r="AG390" s="192" t="s">
        <v>1584</v>
      </c>
      <c r="AH390" s="198"/>
      <c r="AI390" s="181">
        <v>44914</v>
      </c>
      <c r="AJ390" s="181"/>
      <c r="AK390" s="181">
        <f t="shared" ca="1" si="49"/>
        <v>44958</v>
      </c>
      <c r="AL390" s="173">
        <f t="shared" ca="1" si="51"/>
        <v>44</v>
      </c>
      <c r="AM390" s="173" t="str">
        <f t="shared" si="52"/>
        <v/>
      </c>
      <c r="AN390" s="181"/>
      <c r="AO390" s="190" t="s">
        <v>2695</v>
      </c>
      <c r="AP390" s="176">
        <v>10.535</v>
      </c>
      <c r="AQ390" s="176">
        <v>10.545</v>
      </c>
      <c r="AR390" s="176">
        <v>10.569999999999999</v>
      </c>
      <c r="AS390" s="176">
        <v>10.574999999999999</v>
      </c>
      <c r="AT390" s="173" t="str">
        <f t="shared" si="53"/>
        <v/>
      </c>
      <c r="AU390" s="173">
        <v>462</v>
      </c>
      <c r="AW390" s="142" t="s">
        <v>123</v>
      </c>
    </row>
    <row r="391" spans="2:49" s="142" customFormat="1" ht="21" customHeight="1" x14ac:dyDescent="0.25">
      <c r="B391" s="173" t="str">
        <f t="shared" si="50"/>
        <v>0-304L/1D-3.79X772</v>
      </c>
      <c r="C391" s="173" t="s">
        <v>4226</v>
      </c>
      <c r="D391" s="173" t="s">
        <v>13</v>
      </c>
      <c r="E391" s="190" t="s">
        <v>2610</v>
      </c>
      <c r="F391" s="190" t="s">
        <v>2611</v>
      </c>
      <c r="G391" s="173" t="s">
        <v>182</v>
      </c>
      <c r="H391" s="173" t="s">
        <v>127</v>
      </c>
      <c r="I391" s="174">
        <v>3.79</v>
      </c>
      <c r="J391" s="174"/>
      <c r="K391" s="174"/>
      <c r="L391" s="174"/>
      <c r="M391" s="191">
        <v>772</v>
      </c>
      <c r="N391" s="176">
        <v>10.56</v>
      </c>
      <c r="O391" s="176">
        <v>10.56</v>
      </c>
      <c r="P391" s="176"/>
      <c r="Q391" s="178"/>
      <c r="R391" s="179"/>
      <c r="S391" s="179"/>
      <c r="T391" s="177">
        <v>44950</v>
      </c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80" t="s">
        <v>1643</v>
      </c>
      <c r="AE391" s="173" t="s">
        <v>69</v>
      </c>
      <c r="AF391" s="181" t="s">
        <v>142</v>
      </c>
      <c r="AG391" s="192" t="s">
        <v>1584</v>
      </c>
      <c r="AH391" s="198"/>
      <c r="AI391" s="181">
        <v>44914</v>
      </c>
      <c r="AJ391" s="181"/>
      <c r="AK391" s="181">
        <f t="shared" ca="1" si="49"/>
        <v>44958</v>
      </c>
      <c r="AL391" s="173">
        <f t="shared" ca="1" si="51"/>
        <v>44</v>
      </c>
      <c r="AM391" s="173" t="str">
        <f t="shared" si="52"/>
        <v/>
      </c>
      <c r="AN391" s="181"/>
      <c r="AO391" s="190" t="s">
        <v>2609</v>
      </c>
      <c r="AP391" s="176">
        <v>10.56</v>
      </c>
      <c r="AQ391" s="176">
        <v>10.57</v>
      </c>
      <c r="AR391" s="176">
        <v>10.594999999999999</v>
      </c>
      <c r="AS391" s="176">
        <v>10.6</v>
      </c>
      <c r="AT391" s="173" t="str">
        <f t="shared" si="53"/>
        <v/>
      </c>
      <c r="AU391" s="173">
        <v>462</v>
      </c>
      <c r="AW391" s="142" t="s">
        <v>123</v>
      </c>
    </row>
    <row r="392" spans="2:49" s="142" customFormat="1" ht="21" customHeight="1" x14ac:dyDescent="0.25">
      <c r="B392" s="173" t="str">
        <f t="shared" si="50"/>
        <v>0-304/FH-1.15X770</v>
      </c>
      <c r="C392" s="173" t="s">
        <v>4227</v>
      </c>
      <c r="D392" s="173" t="s">
        <v>16</v>
      </c>
      <c r="E392" s="190" t="s">
        <v>2499</v>
      </c>
      <c r="F392" s="190" t="s">
        <v>2500</v>
      </c>
      <c r="G392" s="173">
        <v>304</v>
      </c>
      <c r="H392" s="173" t="s">
        <v>70</v>
      </c>
      <c r="I392" s="174">
        <v>3.79</v>
      </c>
      <c r="J392" s="174">
        <v>1.1499999999999999</v>
      </c>
      <c r="K392" s="174"/>
      <c r="L392" s="174"/>
      <c r="M392" s="191">
        <v>770</v>
      </c>
      <c r="N392" s="176">
        <v>11.86</v>
      </c>
      <c r="O392" s="176">
        <v>11.87</v>
      </c>
      <c r="P392" s="176"/>
      <c r="Q392" s="178"/>
      <c r="R392" s="179"/>
      <c r="S392" s="179"/>
      <c r="T392" s="177">
        <v>44949</v>
      </c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80" t="s">
        <v>2448</v>
      </c>
      <c r="AE392" s="173" t="s">
        <v>69</v>
      </c>
      <c r="AF392" s="181" t="s">
        <v>142</v>
      </c>
      <c r="AG392" s="192" t="s">
        <v>1584</v>
      </c>
      <c r="AH392" s="198"/>
      <c r="AI392" s="181">
        <v>44914</v>
      </c>
      <c r="AJ392" s="181"/>
      <c r="AK392" s="181">
        <f t="shared" ca="1" si="49"/>
        <v>44958</v>
      </c>
      <c r="AL392" s="173">
        <f t="shared" ca="1" si="51"/>
        <v>44</v>
      </c>
      <c r="AM392" s="173" t="str">
        <f t="shared" si="52"/>
        <v/>
      </c>
      <c r="AN392" s="181"/>
      <c r="AO392" s="190" t="s">
        <v>2501</v>
      </c>
      <c r="AP392" s="176">
        <v>11.86</v>
      </c>
      <c r="AQ392" s="176">
        <v>11.87</v>
      </c>
      <c r="AR392" s="176">
        <v>11.894999999999998</v>
      </c>
      <c r="AS392" s="176">
        <v>11.899999999999999</v>
      </c>
      <c r="AT392" s="173" t="str">
        <f t="shared" si="53"/>
        <v/>
      </c>
      <c r="AU392" s="173">
        <v>462</v>
      </c>
      <c r="AW392" s="142" t="s">
        <v>123</v>
      </c>
    </row>
    <row r="393" spans="2:49" s="142" customFormat="1" ht="21" customHeight="1" x14ac:dyDescent="0.25">
      <c r="B393" s="173" t="str">
        <f t="shared" si="50"/>
        <v>0-304L/1D-2.77X771</v>
      </c>
      <c r="C393" s="173" t="s">
        <v>4226</v>
      </c>
      <c r="D393" s="173" t="s">
        <v>13</v>
      </c>
      <c r="E393" s="190" t="s">
        <v>4228</v>
      </c>
      <c r="F393" s="190" t="s">
        <v>4229</v>
      </c>
      <c r="G393" s="173" t="s">
        <v>182</v>
      </c>
      <c r="H393" s="173" t="s">
        <v>127</v>
      </c>
      <c r="I393" s="174">
        <v>2.77</v>
      </c>
      <c r="J393" s="174"/>
      <c r="K393" s="174"/>
      <c r="L393" s="174"/>
      <c r="M393" s="191">
        <v>771</v>
      </c>
      <c r="N393" s="176">
        <v>10.55</v>
      </c>
      <c r="O393" s="176">
        <v>10.55</v>
      </c>
      <c r="P393" s="176"/>
      <c r="Q393" s="178"/>
      <c r="R393" s="179"/>
      <c r="S393" s="179"/>
      <c r="T393" s="177">
        <v>44950</v>
      </c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80" t="s">
        <v>1643</v>
      </c>
      <c r="AE393" s="173" t="s">
        <v>69</v>
      </c>
      <c r="AF393" s="181" t="s">
        <v>142</v>
      </c>
      <c r="AG393" s="192" t="s">
        <v>1584</v>
      </c>
      <c r="AH393" s="198"/>
      <c r="AI393" s="181">
        <v>44914</v>
      </c>
      <c r="AJ393" s="181"/>
      <c r="AK393" s="181">
        <f t="shared" ca="1" si="49"/>
        <v>44958</v>
      </c>
      <c r="AL393" s="173">
        <f t="shared" ca="1" si="51"/>
        <v>44</v>
      </c>
      <c r="AM393" s="173" t="str">
        <f t="shared" si="52"/>
        <v/>
      </c>
      <c r="AN393" s="181"/>
      <c r="AO393" s="190" t="s">
        <v>4213</v>
      </c>
      <c r="AP393" s="176">
        <v>10.55</v>
      </c>
      <c r="AQ393" s="176">
        <v>10.56</v>
      </c>
      <c r="AR393" s="176">
        <v>10.584999999999999</v>
      </c>
      <c r="AS393" s="176">
        <v>10.59</v>
      </c>
      <c r="AT393" s="173" t="str">
        <f t="shared" si="53"/>
        <v/>
      </c>
      <c r="AU393" s="173">
        <v>462</v>
      </c>
      <c r="AW393" s="142" t="s">
        <v>123</v>
      </c>
    </row>
    <row r="394" spans="2:49" s="142" customFormat="1" ht="21" customHeight="1" x14ac:dyDescent="0.25">
      <c r="B394" s="173" t="str">
        <f t="shared" si="50"/>
        <v>0-304/FH-1.15X764</v>
      </c>
      <c r="C394" s="173" t="s">
        <v>4227</v>
      </c>
      <c r="D394" s="173" t="s">
        <v>16</v>
      </c>
      <c r="E394" s="190" t="s">
        <v>2492</v>
      </c>
      <c r="F394" s="190" t="s">
        <v>2493</v>
      </c>
      <c r="G394" s="173">
        <v>304</v>
      </c>
      <c r="H394" s="173" t="s">
        <v>70</v>
      </c>
      <c r="I394" s="174">
        <v>3.79</v>
      </c>
      <c r="J394" s="174">
        <v>1.1499999999999999</v>
      </c>
      <c r="K394" s="174"/>
      <c r="L394" s="174"/>
      <c r="M394" s="191">
        <v>764</v>
      </c>
      <c r="N394" s="176">
        <v>10.220000000000001</v>
      </c>
      <c r="O394" s="176">
        <v>10.234999999999999</v>
      </c>
      <c r="P394" s="176"/>
      <c r="Q394" s="178"/>
      <c r="R394" s="179"/>
      <c r="S394" s="179"/>
      <c r="T394" s="177">
        <v>44949</v>
      </c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80" t="s">
        <v>2448</v>
      </c>
      <c r="AE394" s="173" t="s">
        <v>69</v>
      </c>
      <c r="AF394" s="181" t="s">
        <v>142</v>
      </c>
      <c r="AG394" s="192" t="s">
        <v>1584</v>
      </c>
      <c r="AH394" s="198"/>
      <c r="AI394" s="181">
        <v>44914</v>
      </c>
      <c r="AJ394" s="181"/>
      <c r="AK394" s="181">
        <f t="shared" ca="1" si="49"/>
        <v>44958</v>
      </c>
      <c r="AL394" s="173">
        <f t="shared" ca="1" si="51"/>
        <v>44</v>
      </c>
      <c r="AM394" s="173" t="str">
        <f t="shared" si="52"/>
        <v/>
      </c>
      <c r="AN394" s="181"/>
      <c r="AO394" s="190" t="s">
        <v>2491</v>
      </c>
      <c r="AP394" s="176">
        <v>10.220000000000001</v>
      </c>
      <c r="AQ394" s="176">
        <v>10.23</v>
      </c>
      <c r="AR394" s="176">
        <v>10.254999999999999</v>
      </c>
      <c r="AS394" s="176">
        <v>10.26</v>
      </c>
      <c r="AT394" s="173" t="str">
        <f t="shared" si="53"/>
        <v/>
      </c>
      <c r="AU394" s="173">
        <v>462</v>
      </c>
      <c r="AW394" s="142" t="s">
        <v>123</v>
      </c>
    </row>
    <row r="395" spans="2:49" s="142" customFormat="1" ht="21" customHeight="1" x14ac:dyDescent="0.25">
      <c r="B395" s="173" t="str">
        <f t="shared" si="50"/>
        <v>0-304/1D-3.94X770</v>
      </c>
      <c r="C395" s="173" t="s">
        <v>4226</v>
      </c>
      <c r="D395" s="173" t="s">
        <v>13</v>
      </c>
      <c r="E395" s="190" t="s">
        <v>2562</v>
      </c>
      <c r="F395" s="190" t="s">
        <v>2563</v>
      </c>
      <c r="G395" s="173">
        <v>304</v>
      </c>
      <c r="H395" s="173" t="s">
        <v>127</v>
      </c>
      <c r="I395" s="174">
        <v>3.94</v>
      </c>
      <c r="J395" s="174"/>
      <c r="K395" s="174"/>
      <c r="L395" s="174"/>
      <c r="M395" s="191">
        <v>770</v>
      </c>
      <c r="N395" s="176">
        <v>9.6199999999999992</v>
      </c>
      <c r="O395" s="176">
        <v>9.6199999999999992</v>
      </c>
      <c r="P395" s="176"/>
      <c r="Q395" s="178"/>
      <c r="R395" s="179"/>
      <c r="S395" s="179"/>
      <c r="T395" s="177">
        <v>44950</v>
      </c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80" t="s">
        <v>1605</v>
      </c>
      <c r="AE395" s="173" t="s">
        <v>69</v>
      </c>
      <c r="AF395" s="181" t="s">
        <v>142</v>
      </c>
      <c r="AG395" s="192" t="s">
        <v>1584</v>
      </c>
      <c r="AH395" s="198"/>
      <c r="AI395" s="181">
        <v>44914</v>
      </c>
      <c r="AJ395" s="181"/>
      <c r="AK395" s="181">
        <f t="shared" ca="1" si="49"/>
        <v>44958</v>
      </c>
      <c r="AL395" s="173">
        <f t="shared" ca="1" si="51"/>
        <v>44</v>
      </c>
      <c r="AM395" s="173" t="str">
        <f t="shared" si="52"/>
        <v/>
      </c>
      <c r="AN395" s="181"/>
      <c r="AO395" s="190" t="s">
        <v>2564</v>
      </c>
      <c r="AP395" s="176">
        <v>9.6199999999999992</v>
      </c>
      <c r="AQ395" s="176">
        <v>9.6300000000000008</v>
      </c>
      <c r="AR395" s="176">
        <v>9.6549999999999994</v>
      </c>
      <c r="AS395" s="176">
        <v>9.66</v>
      </c>
      <c r="AT395" s="173" t="str">
        <f t="shared" si="53"/>
        <v/>
      </c>
      <c r="AU395" s="173">
        <v>462</v>
      </c>
      <c r="AW395" s="142" t="s">
        <v>123</v>
      </c>
    </row>
    <row r="396" spans="2:49" s="142" customFormat="1" ht="21" customHeight="1" x14ac:dyDescent="0.25">
      <c r="B396" s="173" t="str">
        <f t="shared" si="50"/>
        <v>0-304L/FH-1.15X772</v>
      </c>
      <c r="C396" s="173" t="s">
        <v>4227</v>
      </c>
      <c r="D396" s="173" t="s">
        <v>16</v>
      </c>
      <c r="E396" s="190" t="s">
        <v>2610</v>
      </c>
      <c r="F396" s="190" t="s">
        <v>2611</v>
      </c>
      <c r="G396" s="173" t="s">
        <v>182</v>
      </c>
      <c r="H396" s="173" t="s">
        <v>70</v>
      </c>
      <c r="I396" s="174">
        <v>3.79</v>
      </c>
      <c r="J396" s="174">
        <v>1.1499999999999999</v>
      </c>
      <c r="K396" s="174"/>
      <c r="L396" s="174"/>
      <c r="M396" s="191">
        <v>772</v>
      </c>
      <c r="N396" s="176">
        <v>10.56</v>
      </c>
      <c r="O396" s="176">
        <v>10.57</v>
      </c>
      <c r="P396" s="176"/>
      <c r="Q396" s="178"/>
      <c r="R396" s="179"/>
      <c r="S396" s="179"/>
      <c r="T396" s="177">
        <v>44950</v>
      </c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80" t="s">
        <v>1643</v>
      </c>
      <c r="AE396" s="173" t="s">
        <v>69</v>
      </c>
      <c r="AF396" s="181" t="s">
        <v>142</v>
      </c>
      <c r="AG396" s="192" t="s">
        <v>1584</v>
      </c>
      <c r="AH396" s="198"/>
      <c r="AI396" s="181">
        <v>44914</v>
      </c>
      <c r="AJ396" s="181"/>
      <c r="AK396" s="181">
        <f t="shared" ca="1" si="49"/>
        <v>44958</v>
      </c>
      <c r="AL396" s="173">
        <f t="shared" ca="1" si="51"/>
        <v>44</v>
      </c>
      <c r="AM396" s="173" t="str">
        <f t="shared" si="52"/>
        <v/>
      </c>
      <c r="AN396" s="181"/>
      <c r="AO396" s="190" t="s">
        <v>2609</v>
      </c>
      <c r="AP396" s="176">
        <v>10.56</v>
      </c>
      <c r="AQ396" s="176">
        <v>10.57</v>
      </c>
      <c r="AR396" s="176">
        <v>10.594999999999999</v>
      </c>
      <c r="AS396" s="176">
        <v>10.6</v>
      </c>
      <c r="AT396" s="173" t="str">
        <f t="shared" si="53"/>
        <v/>
      </c>
      <c r="AU396" s="173">
        <v>462</v>
      </c>
      <c r="AW396" s="142" t="s">
        <v>123</v>
      </c>
    </row>
    <row r="397" spans="2:49" s="142" customFormat="1" ht="21" customHeight="1" x14ac:dyDescent="0.25">
      <c r="B397" s="173" t="str">
        <f t="shared" si="50"/>
        <v>0-304L/1D-3.79X770</v>
      </c>
      <c r="C397" s="173" t="s">
        <v>4226</v>
      </c>
      <c r="D397" s="173" t="s">
        <v>13</v>
      </c>
      <c r="E397" s="190" t="s">
        <v>2607</v>
      </c>
      <c r="F397" s="190" t="s">
        <v>2608</v>
      </c>
      <c r="G397" s="173" t="s">
        <v>182</v>
      </c>
      <c r="H397" s="173" t="s">
        <v>127</v>
      </c>
      <c r="I397" s="174">
        <v>3.79</v>
      </c>
      <c r="J397" s="174"/>
      <c r="K397" s="174"/>
      <c r="L397" s="174"/>
      <c r="M397" s="191">
        <v>770</v>
      </c>
      <c r="N397" s="176">
        <v>10.525</v>
      </c>
      <c r="O397" s="176">
        <v>10.525</v>
      </c>
      <c r="P397" s="176"/>
      <c r="Q397" s="178"/>
      <c r="R397" s="179"/>
      <c r="S397" s="179"/>
      <c r="T397" s="177">
        <v>44950</v>
      </c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80" t="s">
        <v>2448</v>
      </c>
      <c r="AE397" s="173" t="s">
        <v>69</v>
      </c>
      <c r="AF397" s="181" t="s">
        <v>142</v>
      </c>
      <c r="AG397" s="192" t="s">
        <v>1584</v>
      </c>
      <c r="AH397" s="198"/>
      <c r="AI397" s="181">
        <v>44914</v>
      </c>
      <c r="AJ397" s="181"/>
      <c r="AK397" s="181">
        <f t="shared" ca="1" si="49"/>
        <v>44958</v>
      </c>
      <c r="AL397" s="173">
        <f t="shared" ca="1" si="51"/>
        <v>44</v>
      </c>
      <c r="AM397" s="173" t="str">
        <f t="shared" si="52"/>
        <v/>
      </c>
      <c r="AN397" s="181"/>
      <c r="AO397" s="190" t="s">
        <v>2609</v>
      </c>
      <c r="AP397" s="176">
        <v>10.525</v>
      </c>
      <c r="AQ397" s="176">
        <v>10.535</v>
      </c>
      <c r="AR397" s="176">
        <v>10.559999999999999</v>
      </c>
      <c r="AS397" s="176">
        <v>10.565</v>
      </c>
      <c r="AT397" s="173" t="str">
        <f t="shared" si="53"/>
        <v/>
      </c>
      <c r="AU397" s="173">
        <v>462</v>
      </c>
      <c r="AW397" s="142" t="s">
        <v>123</v>
      </c>
    </row>
    <row r="398" spans="2:49" s="142" customFormat="1" ht="21" customHeight="1" x14ac:dyDescent="0.25">
      <c r="B398" s="173" t="str">
        <f t="shared" si="50"/>
        <v>0-304/FH-1.15X764</v>
      </c>
      <c r="C398" s="173" t="s">
        <v>4227</v>
      </c>
      <c r="D398" s="173" t="s">
        <v>16</v>
      </c>
      <c r="E398" s="190" t="s">
        <v>2489</v>
      </c>
      <c r="F398" s="190" t="s">
        <v>2490</v>
      </c>
      <c r="G398" s="173">
        <v>304</v>
      </c>
      <c r="H398" s="173" t="s">
        <v>70</v>
      </c>
      <c r="I398" s="174">
        <v>3.78</v>
      </c>
      <c r="J398" s="174">
        <v>1.1499999999999999</v>
      </c>
      <c r="K398" s="174"/>
      <c r="L398" s="174"/>
      <c r="M398" s="191">
        <v>764</v>
      </c>
      <c r="N398" s="176">
        <v>10.26</v>
      </c>
      <c r="O398" s="176">
        <v>10.25</v>
      </c>
      <c r="P398" s="176"/>
      <c r="Q398" s="178"/>
      <c r="R398" s="179"/>
      <c r="S398" s="179"/>
      <c r="T398" s="177">
        <v>44949</v>
      </c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80" t="s">
        <v>2448</v>
      </c>
      <c r="AE398" s="173" t="s">
        <v>69</v>
      </c>
      <c r="AF398" s="181" t="s">
        <v>142</v>
      </c>
      <c r="AG398" s="192" t="s">
        <v>1584</v>
      </c>
      <c r="AH398" s="198"/>
      <c r="AI398" s="181">
        <v>44914</v>
      </c>
      <c r="AJ398" s="181"/>
      <c r="AK398" s="181">
        <f t="shared" ca="1" si="49"/>
        <v>44958</v>
      </c>
      <c r="AL398" s="173">
        <f t="shared" ca="1" si="51"/>
        <v>44</v>
      </c>
      <c r="AM398" s="173" t="str">
        <f t="shared" si="52"/>
        <v/>
      </c>
      <c r="AN398" s="181"/>
      <c r="AO398" s="190" t="s">
        <v>2491</v>
      </c>
      <c r="AP398" s="176">
        <v>10.26</v>
      </c>
      <c r="AQ398" s="176">
        <v>10.27</v>
      </c>
      <c r="AR398" s="176">
        <v>10.294999999999998</v>
      </c>
      <c r="AS398" s="176">
        <v>10.299999999999999</v>
      </c>
      <c r="AT398" s="173" t="str">
        <f t="shared" si="53"/>
        <v/>
      </c>
      <c r="AU398" s="173">
        <v>462</v>
      </c>
      <c r="AW398" s="142" t="s">
        <v>123</v>
      </c>
    </row>
    <row r="399" spans="2:49" s="142" customFormat="1" ht="21" customHeight="1" x14ac:dyDescent="0.25">
      <c r="B399" s="173" t="str">
        <f t="shared" si="50"/>
        <v>0-304L/1D-3.79X770</v>
      </c>
      <c r="C399" s="173" t="s">
        <v>4226</v>
      </c>
      <c r="D399" s="173" t="s">
        <v>13</v>
      </c>
      <c r="E399" s="190" t="s">
        <v>2504</v>
      </c>
      <c r="F399" s="190" t="s">
        <v>2505</v>
      </c>
      <c r="G399" s="173" t="s">
        <v>182</v>
      </c>
      <c r="H399" s="173" t="s">
        <v>127</v>
      </c>
      <c r="I399" s="174">
        <v>3.79</v>
      </c>
      <c r="J399" s="174"/>
      <c r="K399" s="174"/>
      <c r="L399" s="174"/>
      <c r="M399" s="191">
        <v>770</v>
      </c>
      <c r="N399" s="176">
        <v>10.505000000000001</v>
      </c>
      <c r="O399" s="176">
        <v>10.505000000000001</v>
      </c>
      <c r="P399" s="176"/>
      <c r="Q399" s="178"/>
      <c r="R399" s="179"/>
      <c r="S399" s="179"/>
      <c r="T399" s="177">
        <v>44950</v>
      </c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80" t="s">
        <v>2448</v>
      </c>
      <c r="AE399" s="173" t="s">
        <v>69</v>
      </c>
      <c r="AF399" s="181" t="s">
        <v>142</v>
      </c>
      <c r="AG399" s="192" t="s">
        <v>1584</v>
      </c>
      <c r="AH399" s="198"/>
      <c r="AI399" s="181">
        <v>44914</v>
      </c>
      <c r="AJ399" s="181"/>
      <c r="AK399" s="181">
        <f t="shared" ca="1" si="49"/>
        <v>44958</v>
      </c>
      <c r="AL399" s="173">
        <f t="shared" ca="1" si="51"/>
        <v>44</v>
      </c>
      <c r="AM399" s="173" t="str">
        <f t="shared" si="52"/>
        <v/>
      </c>
      <c r="AN399" s="181"/>
      <c r="AO399" s="190" t="s">
        <v>2506</v>
      </c>
      <c r="AP399" s="176">
        <v>10.505000000000001</v>
      </c>
      <c r="AQ399" s="176">
        <v>10.515000000000001</v>
      </c>
      <c r="AR399" s="176">
        <v>10.54</v>
      </c>
      <c r="AS399" s="176">
        <v>10.545</v>
      </c>
      <c r="AT399" s="173" t="str">
        <f t="shared" si="53"/>
        <v/>
      </c>
      <c r="AU399" s="173">
        <v>462</v>
      </c>
      <c r="AW399" s="142" t="s">
        <v>123</v>
      </c>
    </row>
    <row r="400" spans="2:49" s="142" customFormat="1" ht="21" customHeight="1" x14ac:dyDescent="0.25">
      <c r="B400" s="173" t="str">
        <f t="shared" si="50"/>
        <v>0-304L/FH-1.90X770</v>
      </c>
      <c r="C400" s="173" t="s">
        <v>4227</v>
      </c>
      <c r="D400" s="173" t="s">
        <v>16</v>
      </c>
      <c r="E400" s="190" t="s">
        <v>2626</v>
      </c>
      <c r="F400" s="190" t="s">
        <v>2627</v>
      </c>
      <c r="G400" s="173" t="s">
        <v>182</v>
      </c>
      <c r="H400" s="173" t="s">
        <v>70</v>
      </c>
      <c r="I400" s="174">
        <v>3.96</v>
      </c>
      <c r="J400" s="174">
        <v>1.9</v>
      </c>
      <c r="K400" s="174"/>
      <c r="L400" s="174"/>
      <c r="M400" s="191">
        <v>770</v>
      </c>
      <c r="N400" s="176">
        <v>10.505000000000001</v>
      </c>
      <c r="O400" s="176">
        <v>10.5</v>
      </c>
      <c r="P400" s="176"/>
      <c r="Q400" s="178"/>
      <c r="R400" s="179"/>
      <c r="S400" s="179"/>
      <c r="T400" s="177">
        <v>44950</v>
      </c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80" t="s">
        <v>2448</v>
      </c>
      <c r="AE400" s="173" t="s">
        <v>69</v>
      </c>
      <c r="AF400" s="181" t="s">
        <v>142</v>
      </c>
      <c r="AG400" s="192" t="s">
        <v>1584</v>
      </c>
      <c r="AH400" s="198"/>
      <c r="AI400" s="181">
        <v>44914</v>
      </c>
      <c r="AJ400" s="181"/>
      <c r="AK400" s="181">
        <f t="shared" ca="1" si="49"/>
        <v>44958</v>
      </c>
      <c r="AL400" s="173">
        <f t="shared" ca="1" si="51"/>
        <v>44</v>
      </c>
      <c r="AM400" s="173" t="str">
        <f t="shared" si="52"/>
        <v/>
      </c>
      <c r="AN400" s="181"/>
      <c r="AO400" s="190" t="s">
        <v>2628</v>
      </c>
      <c r="AP400" s="176">
        <v>10.505000000000001</v>
      </c>
      <c r="AQ400" s="176">
        <v>10.515000000000001</v>
      </c>
      <c r="AR400" s="176">
        <v>10.54</v>
      </c>
      <c r="AS400" s="176">
        <v>10.545</v>
      </c>
      <c r="AT400" s="173" t="str">
        <f t="shared" si="53"/>
        <v/>
      </c>
      <c r="AU400" s="173">
        <v>462</v>
      </c>
      <c r="AW400" s="142" t="s">
        <v>123</v>
      </c>
    </row>
    <row r="401" spans="2:49" s="142" customFormat="1" ht="21" customHeight="1" x14ac:dyDescent="0.25">
      <c r="B401" s="173" t="str">
        <f t="shared" si="50"/>
        <v>0-304/1D-3.89X767</v>
      </c>
      <c r="C401" s="173" t="s">
        <v>4226</v>
      </c>
      <c r="D401" s="173" t="s">
        <v>13</v>
      </c>
      <c r="E401" s="190" t="s">
        <v>2497</v>
      </c>
      <c r="F401" s="190" t="s">
        <v>2498</v>
      </c>
      <c r="G401" s="173">
        <v>304</v>
      </c>
      <c r="H401" s="173" t="s">
        <v>127</v>
      </c>
      <c r="I401" s="174">
        <v>3.89</v>
      </c>
      <c r="J401" s="174"/>
      <c r="K401" s="174"/>
      <c r="L401" s="174"/>
      <c r="M401" s="191">
        <v>767</v>
      </c>
      <c r="N401" s="176">
        <v>10.36</v>
      </c>
      <c r="O401" s="176">
        <v>10.36</v>
      </c>
      <c r="P401" s="176"/>
      <c r="Q401" s="178"/>
      <c r="R401" s="179"/>
      <c r="S401" s="179"/>
      <c r="T401" s="177">
        <v>44950</v>
      </c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80" t="s">
        <v>2448</v>
      </c>
      <c r="AE401" s="173" t="s">
        <v>69</v>
      </c>
      <c r="AF401" s="181" t="s">
        <v>142</v>
      </c>
      <c r="AG401" s="192" t="s">
        <v>1584</v>
      </c>
      <c r="AH401" s="198"/>
      <c r="AI401" s="181">
        <v>44914</v>
      </c>
      <c r="AJ401" s="181"/>
      <c r="AK401" s="181">
        <f t="shared" ca="1" si="49"/>
        <v>44958</v>
      </c>
      <c r="AL401" s="173">
        <f t="shared" ca="1" si="51"/>
        <v>44</v>
      </c>
      <c r="AM401" s="173" t="str">
        <f t="shared" si="52"/>
        <v/>
      </c>
      <c r="AN401" s="181"/>
      <c r="AO401" s="190" t="s">
        <v>2496</v>
      </c>
      <c r="AP401" s="176">
        <v>10.36</v>
      </c>
      <c r="AQ401" s="176">
        <v>10.37</v>
      </c>
      <c r="AR401" s="176">
        <v>10.394999999999998</v>
      </c>
      <c r="AS401" s="176">
        <v>10.399999999999999</v>
      </c>
      <c r="AT401" s="173" t="str">
        <f t="shared" si="53"/>
        <v/>
      </c>
      <c r="AU401" s="173">
        <v>462</v>
      </c>
      <c r="AW401" s="142" t="s">
        <v>123</v>
      </c>
    </row>
    <row r="402" spans="2:49" s="142" customFormat="1" ht="21" customHeight="1" x14ac:dyDescent="0.25">
      <c r="B402" s="173" t="str">
        <f t="shared" si="50"/>
        <v>0-304/FH-1.90X770</v>
      </c>
      <c r="C402" s="173" t="s">
        <v>4227</v>
      </c>
      <c r="D402" s="173" t="s">
        <v>16</v>
      </c>
      <c r="E402" s="190" t="s">
        <v>2562</v>
      </c>
      <c r="F402" s="190" t="s">
        <v>2563</v>
      </c>
      <c r="G402" s="173">
        <v>304</v>
      </c>
      <c r="H402" s="173" t="s">
        <v>70</v>
      </c>
      <c r="I402" s="174">
        <v>3.94</v>
      </c>
      <c r="J402" s="174">
        <v>1.9</v>
      </c>
      <c r="K402" s="174"/>
      <c r="L402" s="174"/>
      <c r="M402" s="191">
        <v>770</v>
      </c>
      <c r="N402" s="176">
        <v>9.6199999999999992</v>
      </c>
      <c r="O402" s="176">
        <v>9.61</v>
      </c>
      <c r="P402" s="176"/>
      <c r="Q402" s="178"/>
      <c r="R402" s="179"/>
      <c r="S402" s="179"/>
      <c r="T402" s="177">
        <v>44950</v>
      </c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80" t="s">
        <v>1605</v>
      </c>
      <c r="AE402" s="173" t="s">
        <v>69</v>
      </c>
      <c r="AF402" s="181" t="s">
        <v>142</v>
      </c>
      <c r="AG402" s="192" t="s">
        <v>1584</v>
      </c>
      <c r="AH402" s="198"/>
      <c r="AI402" s="181">
        <v>44914</v>
      </c>
      <c r="AJ402" s="181"/>
      <c r="AK402" s="181">
        <f t="shared" ca="1" si="49"/>
        <v>44958</v>
      </c>
      <c r="AL402" s="173">
        <f t="shared" ca="1" si="51"/>
        <v>44</v>
      </c>
      <c r="AM402" s="173" t="str">
        <f t="shared" si="52"/>
        <v/>
      </c>
      <c r="AN402" s="181"/>
      <c r="AO402" s="190" t="s">
        <v>2564</v>
      </c>
      <c r="AP402" s="176">
        <v>9.6199999999999992</v>
      </c>
      <c r="AQ402" s="176">
        <v>9.6300000000000008</v>
      </c>
      <c r="AR402" s="176">
        <v>9.6549999999999994</v>
      </c>
      <c r="AS402" s="176">
        <v>9.66</v>
      </c>
      <c r="AT402" s="173" t="str">
        <f t="shared" si="53"/>
        <v/>
      </c>
      <c r="AU402" s="173">
        <v>462</v>
      </c>
      <c r="AW402" s="142" t="s">
        <v>123</v>
      </c>
    </row>
    <row r="403" spans="2:49" s="142" customFormat="1" ht="21" customHeight="1" x14ac:dyDescent="0.25">
      <c r="B403" s="173" t="str">
        <f t="shared" si="50"/>
        <v>0-304/1D-3.94X775</v>
      </c>
      <c r="C403" s="173" t="s">
        <v>4226</v>
      </c>
      <c r="D403" s="173" t="s">
        <v>13</v>
      </c>
      <c r="E403" s="190" t="s">
        <v>2486</v>
      </c>
      <c r="F403" s="190" t="s">
        <v>2487</v>
      </c>
      <c r="G403" s="173">
        <v>304</v>
      </c>
      <c r="H403" s="173" t="s">
        <v>127</v>
      </c>
      <c r="I403" s="174">
        <v>3.94</v>
      </c>
      <c r="J403" s="174"/>
      <c r="K403" s="174"/>
      <c r="L403" s="174"/>
      <c r="M403" s="191">
        <v>775</v>
      </c>
      <c r="N403" s="176">
        <v>10.545</v>
      </c>
      <c r="O403" s="176">
        <v>10.545</v>
      </c>
      <c r="P403" s="176"/>
      <c r="Q403" s="178"/>
      <c r="R403" s="179"/>
      <c r="S403" s="179"/>
      <c r="T403" s="177">
        <v>44950</v>
      </c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80" t="s">
        <v>1605</v>
      </c>
      <c r="AE403" s="173" t="s">
        <v>69</v>
      </c>
      <c r="AF403" s="181" t="s">
        <v>142</v>
      </c>
      <c r="AG403" s="192" t="s">
        <v>1584</v>
      </c>
      <c r="AH403" s="198"/>
      <c r="AI403" s="181">
        <v>44914</v>
      </c>
      <c r="AJ403" s="181"/>
      <c r="AK403" s="181">
        <f t="shared" ca="1" si="49"/>
        <v>44958</v>
      </c>
      <c r="AL403" s="173">
        <f t="shared" ca="1" si="51"/>
        <v>44</v>
      </c>
      <c r="AM403" s="173" t="str">
        <f t="shared" si="52"/>
        <v/>
      </c>
      <c r="AN403" s="181"/>
      <c r="AO403" s="190" t="s">
        <v>2485</v>
      </c>
      <c r="AP403" s="176">
        <v>10.545</v>
      </c>
      <c r="AQ403" s="176">
        <v>10.555</v>
      </c>
      <c r="AR403" s="176">
        <v>10.579999999999998</v>
      </c>
      <c r="AS403" s="176">
        <v>10.584999999999999</v>
      </c>
      <c r="AT403" s="173" t="str">
        <f t="shared" si="53"/>
        <v/>
      </c>
      <c r="AU403" s="173">
        <v>462</v>
      </c>
      <c r="AW403" s="142" t="s">
        <v>123</v>
      </c>
    </row>
    <row r="404" spans="2:49" s="142" customFormat="1" ht="21" customHeight="1" x14ac:dyDescent="0.25">
      <c r="B404" s="173" t="str">
        <f t="shared" si="50"/>
        <v>0-304L/FH-1.20X770</v>
      </c>
      <c r="C404" s="173" t="s">
        <v>4227</v>
      </c>
      <c r="D404" s="173" t="s">
        <v>16</v>
      </c>
      <c r="E404" s="190" t="s">
        <v>2504</v>
      </c>
      <c r="F404" s="190" t="s">
        <v>2505</v>
      </c>
      <c r="G404" s="173" t="s">
        <v>182</v>
      </c>
      <c r="H404" s="173" t="s">
        <v>70</v>
      </c>
      <c r="I404" s="174">
        <v>3.79</v>
      </c>
      <c r="J404" s="174">
        <v>1.2</v>
      </c>
      <c r="K404" s="174"/>
      <c r="L404" s="174"/>
      <c r="M404" s="191">
        <v>770</v>
      </c>
      <c r="N404" s="176">
        <v>10.505000000000001</v>
      </c>
      <c r="O404" s="176">
        <v>10.494999999999999</v>
      </c>
      <c r="P404" s="176"/>
      <c r="Q404" s="178"/>
      <c r="R404" s="179"/>
      <c r="S404" s="179"/>
      <c r="T404" s="177">
        <v>44950</v>
      </c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80" t="s">
        <v>2448</v>
      </c>
      <c r="AE404" s="173" t="s">
        <v>69</v>
      </c>
      <c r="AF404" s="181" t="s">
        <v>142</v>
      </c>
      <c r="AG404" s="192" t="s">
        <v>1584</v>
      </c>
      <c r="AH404" s="198"/>
      <c r="AI404" s="181">
        <v>44914</v>
      </c>
      <c r="AJ404" s="181"/>
      <c r="AK404" s="181">
        <f t="shared" ca="1" si="49"/>
        <v>44958</v>
      </c>
      <c r="AL404" s="173">
        <f t="shared" ca="1" si="51"/>
        <v>44</v>
      </c>
      <c r="AM404" s="173" t="str">
        <f t="shared" si="52"/>
        <v/>
      </c>
      <c r="AN404" s="181"/>
      <c r="AO404" s="190" t="s">
        <v>2506</v>
      </c>
      <c r="AP404" s="176">
        <v>10.505000000000001</v>
      </c>
      <c r="AQ404" s="176">
        <v>10.515000000000001</v>
      </c>
      <c r="AR404" s="176">
        <v>10.54</v>
      </c>
      <c r="AS404" s="176">
        <v>10.545</v>
      </c>
      <c r="AT404" s="173" t="str">
        <f t="shared" si="53"/>
        <v/>
      </c>
      <c r="AU404" s="173">
        <v>462</v>
      </c>
      <c r="AW404" s="142" t="s">
        <v>123</v>
      </c>
    </row>
    <row r="405" spans="2:49" s="142" customFormat="1" ht="21" customHeight="1" x14ac:dyDescent="0.25">
      <c r="B405" s="173" t="str">
        <f t="shared" si="50"/>
        <v>0-304/1D-3.94X769</v>
      </c>
      <c r="C405" s="173" t="s">
        <v>4226</v>
      </c>
      <c r="D405" s="173" t="s">
        <v>13</v>
      </c>
      <c r="E405" s="190" t="s">
        <v>2767</v>
      </c>
      <c r="F405" s="190" t="s">
        <v>2768</v>
      </c>
      <c r="G405" s="173">
        <v>304</v>
      </c>
      <c r="H405" s="173" t="s">
        <v>127</v>
      </c>
      <c r="I405" s="174">
        <v>3.94</v>
      </c>
      <c r="J405" s="174"/>
      <c r="K405" s="174"/>
      <c r="L405" s="174"/>
      <c r="M405" s="191">
        <v>769</v>
      </c>
      <c r="N405" s="176">
        <v>10.305</v>
      </c>
      <c r="O405" s="176">
        <v>10.305</v>
      </c>
      <c r="P405" s="176"/>
      <c r="Q405" s="178"/>
      <c r="R405" s="179"/>
      <c r="S405" s="179"/>
      <c r="T405" s="177">
        <v>44950</v>
      </c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80" t="s">
        <v>2448</v>
      </c>
      <c r="AE405" s="173" t="s">
        <v>69</v>
      </c>
      <c r="AF405" s="181" t="s">
        <v>142</v>
      </c>
      <c r="AG405" s="192" t="s">
        <v>1584</v>
      </c>
      <c r="AH405" s="198"/>
      <c r="AI405" s="181">
        <v>44914</v>
      </c>
      <c r="AJ405" s="181"/>
      <c r="AK405" s="181">
        <f t="shared" ca="1" si="49"/>
        <v>44958</v>
      </c>
      <c r="AL405" s="173">
        <f t="shared" ca="1" si="51"/>
        <v>44</v>
      </c>
      <c r="AM405" s="173" t="str">
        <f t="shared" si="52"/>
        <v/>
      </c>
      <c r="AN405" s="181"/>
      <c r="AO405" s="190" t="s">
        <v>2766</v>
      </c>
      <c r="AP405" s="176">
        <v>10.305</v>
      </c>
      <c r="AQ405" s="176">
        <v>10.315</v>
      </c>
      <c r="AR405" s="176">
        <v>10.339999999999998</v>
      </c>
      <c r="AS405" s="176">
        <v>10.344999999999999</v>
      </c>
      <c r="AT405" s="173" t="str">
        <f t="shared" si="53"/>
        <v/>
      </c>
      <c r="AU405" s="173">
        <v>462</v>
      </c>
      <c r="AW405" s="142" t="s">
        <v>123</v>
      </c>
    </row>
    <row r="406" spans="2:49" s="142" customFormat="1" ht="21" customHeight="1" x14ac:dyDescent="0.25">
      <c r="B406" s="173" t="str">
        <f t="shared" si="50"/>
        <v>0-304/FH-1.50X775</v>
      </c>
      <c r="C406" s="173" t="s">
        <v>4227</v>
      </c>
      <c r="D406" s="173" t="s">
        <v>16</v>
      </c>
      <c r="E406" s="190" t="s">
        <v>2486</v>
      </c>
      <c r="F406" s="190" t="s">
        <v>2487</v>
      </c>
      <c r="G406" s="173">
        <v>304</v>
      </c>
      <c r="H406" s="173" t="s">
        <v>70</v>
      </c>
      <c r="I406" s="174">
        <v>3.94</v>
      </c>
      <c r="J406" s="174">
        <v>1.5</v>
      </c>
      <c r="K406" s="174"/>
      <c r="L406" s="174"/>
      <c r="M406" s="191">
        <v>775</v>
      </c>
      <c r="N406" s="176">
        <v>10.545</v>
      </c>
      <c r="O406" s="176">
        <v>10.535</v>
      </c>
      <c r="P406" s="176"/>
      <c r="Q406" s="178"/>
      <c r="R406" s="179"/>
      <c r="S406" s="179"/>
      <c r="T406" s="177">
        <v>44950</v>
      </c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80" t="s">
        <v>1605</v>
      </c>
      <c r="AE406" s="173" t="s">
        <v>69</v>
      </c>
      <c r="AF406" s="181" t="s">
        <v>142</v>
      </c>
      <c r="AG406" s="192" t="s">
        <v>1584</v>
      </c>
      <c r="AH406" s="198"/>
      <c r="AI406" s="181">
        <v>44914</v>
      </c>
      <c r="AJ406" s="181"/>
      <c r="AK406" s="181">
        <f t="shared" ca="1" si="49"/>
        <v>44958</v>
      </c>
      <c r="AL406" s="173">
        <f t="shared" ca="1" si="51"/>
        <v>44</v>
      </c>
      <c r="AM406" s="173" t="str">
        <f t="shared" si="52"/>
        <v/>
      </c>
      <c r="AN406" s="181"/>
      <c r="AO406" s="190" t="s">
        <v>2485</v>
      </c>
      <c r="AP406" s="176">
        <v>10.545</v>
      </c>
      <c r="AQ406" s="176">
        <v>10.555</v>
      </c>
      <c r="AR406" s="176">
        <v>10.579999999999998</v>
      </c>
      <c r="AS406" s="176">
        <v>10.584999999999999</v>
      </c>
      <c r="AT406" s="173" t="str">
        <f t="shared" si="53"/>
        <v/>
      </c>
      <c r="AU406" s="173">
        <v>462</v>
      </c>
      <c r="AW406" s="142" t="s">
        <v>123</v>
      </c>
    </row>
    <row r="407" spans="2:49" s="142" customFormat="1" ht="21" customHeight="1" x14ac:dyDescent="0.25">
      <c r="B407" s="173" t="str">
        <f t="shared" si="50"/>
        <v>0-304L/1D-3.87X772</v>
      </c>
      <c r="C407" s="173" t="s">
        <v>4226</v>
      </c>
      <c r="D407" s="173" t="s">
        <v>13</v>
      </c>
      <c r="E407" s="190" t="s">
        <v>2642</v>
      </c>
      <c r="F407" s="190" t="s">
        <v>2643</v>
      </c>
      <c r="G407" s="173" t="s">
        <v>182</v>
      </c>
      <c r="H407" s="173" t="s">
        <v>127</v>
      </c>
      <c r="I407" s="174">
        <v>3.87</v>
      </c>
      <c r="J407" s="174"/>
      <c r="K407" s="174"/>
      <c r="L407" s="174"/>
      <c r="M407" s="191">
        <v>772</v>
      </c>
      <c r="N407" s="176">
        <v>11.315</v>
      </c>
      <c r="O407" s="176">
        <v>11.315</v>
      </c>
      <c r="P407" s="176"/>
      <c r="Q407" s="178"/>
      <c r="R407" s="179"/>
      <c r="S407" s="179"/>
      <c r="T407" s="177">
        <v>44950</v>
      </c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80" t="s">
        <v>2448</v>
      </c>
      <c r="AE407" s="173" t="s">
        <v>69</v>
      </c>
      <c r="AF407" s="181" t="s">
        <v>142</v>
      </c>
      <c r="AG407" s="192" t="s">
        <v>1584</v>
      </c>
      <c r="AH407" s="198"/>
      <c r="AI407" s="181">
        <v>44914</v>
      </c>
      <c r="AJ407" s="181"/>
      <c r="AK407" s="181">
        <f t="shared" ca="1" si="49"/>
        <v>44958</v>
      </c>
      <c r="AL407" s="173">
        <f t="shared" ca="1" si="51"/>
        <v>44</v>
      </c>
      <c r="AM407" s="173" t="str">
        <f t="shared" si="52"/>
        <v/>
      </c>
      <c r="AN407" s="181"/>
      <c r="AO407" s="190" t="s">
        <v>2641</v>
      </c>
      <c r="AP407" s="176">
        <v>11.315</v>
      </c>
      <c r="AQ407" s="176">
        <v>11.324999999999999</v>
      </c>
      <c r="AR407" s="176">
        <v>11.349999999999998</v>
      </c>
      <c r="AS407" s="176">
        <v>11.354999999999999</v>
      </c>
      <c r="AT407" s="173" t="str">
        <f t="shared" si="53"/>
        <v/>
      </c>
      <c r="AU407" s="173">
        <v>462</v>
      </c>
      <c r="AW407" s="142" t="s">
        <v>123</v>
      </c>
    </row>
    <row r="408" spans="2:49" s="142" customFormat="1" ht="21" customHeight="1" x14ac:dyDescent="0.25">
      <c r="B408" s="173" t="str">
        <f t="shared" si="50"/>
        <v>0-304/FH-1.45X769</v>
      </c>
      <c r="C408" s="173" t="s">
        <v>4227</v>
      </c>
      <c r="D408" s="173" t="s">
        <v>16</v>
      </c>
      <c r="E408" s="190" t="s">
        <v>2767</v>
      </c>
      <c r="F408" s="190" t="s">
        <v>2768</v>
      </c>
      <c r="G408" s="173">
        <v>304</v>
      </c>
      <c r="H408" s="173" t="s">
        <v>70</v>
      </c>
      <c r="I408" s="174">
        <v>3.94</v>
      </c>
      <c r="J408" s="174">
        <v>1.45</v>
      </c>
      <c r="K408" s="174"/>
      <c r="L408" s="174"/>
      <c r="M408" s="191">
        <v>769</v>
      </c>
      <c r="N408" s="176">
        <v>10.305</v>
      </c>
      <c r="O408" s="176">
        <v>10.295</v>
      </c>
      <c r="P408" s="176"/>
      <c r="Q408" s="178"/>
      <c r="R408" s="179"/>
      <c r="S408" s="179"/>
      <c r="T408" s="177">
        <v>44950</v>
      </c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80" t="s">
        <v>2448</v>
      </c>
      <c r="AE408" s="173" t="s">
        <v>69</v>
      </c>
      <c r="AF408" s="181" t="s">
        <v>142</v>
      </c>
      <c r="AG408" s="192" t="s">
        <v>1584</v>
      </c>
      <c r="AH408" s="198"/>
      <c r="AI408" s="181">
        <v>44914</v>
      </c>
      <c r="AJ408" s="181"/>
      <c r="AK408" s="181">
        <f t="shared" ca="1" si="49"/>
        <v>44958</v>
      </c>
      <c r="AL408" s="173">
        <f t="shared" ca="1" si="51"/>
        <v>44</v>
      </c>
      <c r="AM408" s="173" t="str">
        <f t="shared" si="52"/>
        <v/>
      </c>
      <c r="AN408" s="181"/>
      <c r="AO408" s="190" t="s">
        <v>2766</v>
      </c>
      <c r="AP408" s="176">
        <v>10.305</v>
      </c>
      <c r="AQ408" s="176">
        <v>10.315</v>
      </c>
      <c r="AR408" s="176">
        <v>10.339999999999998</v>
      </c>
      <c r="AS408" s="176">
        <v>10.344999999999999</v>
      </c>
      <c r="AT408" s="173" t="str">
        <f t="shared" si="53"/>
        <v/>
      </c>
      <c r="AU408" s="173">
        <v>462</v>
      </c>
      <c r="AW408" s="142" t="s">
        <v>123</v>
      </c>
    </row>
    <row r="409" spans="2:49" s="142" customFormat="1" ht="21" customHeight="1" x14ac:dyDescent="0.25">
      <c r="B409" s="173" t="str">
        <f t="shared" si="50"/>
        <v>0-304L/1D-3.96X767</v>
      </c>
      <c r="C409" s="173" t="s">
        <v>4230</v>
      </c>
      <c r="D409" s="173" t="s">
        <v>13</v>
      </c>
      <c r="E409" s="190" t="s">
        <v>2455</v>
      </c>
      <c r="F409" s="190" t="s">
        <v>2456</v>
      </c>
      <c r="G409" s="173" t="s">
        <v>182</v>
      </c>
      <c r="H409" s="173" t="s">
        <v>127</v>
      </c>
      <c r="I409" s="174">
        <v>3.96</v>
      </c>
      <c r="J409" s="174"/>
      <c r="K409" s="174"/>
      <c r="L409" s="174"/>
      <c r="M409" s="191">
        <v>767</v>
      </c>
      <c r="N409" s="176">
        <v>10.33</v>
      </c>
      <c r="O409" s="176">
        <v>10.33</v>
      </c>
      <c r="P409" s="176"/>
      <c r="Q409" s="178"/>
      <c r="R409" s="179"/>
      <c r="S409" s="179"/>
      <c r="T409" s="177">
        <v>44951</v>
      </c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80" t="s">
        <v>2448</v>
      </c>
      <c r="AE409" s="173" t="s">
        <v>69</v>
      </c>
      <c r="AF409" s="181" t="s">
        <v>142</v>
      </c>
      <c r="AG409" s="192" t="s">
        <v>1584</v>
      </c>
      <c r="AH409" s="198"/>
      <c r="AI409" s="181">
        <v>44914</v>
      </c>
      <c r="AJ409" s="181"/>
      <c r="AK409" s="181">
        <f t="shared" ca="1" si="49"/>
        <v>44958</v>
      </c>
      <c r="AL409" s="173">
        <f t="shared" ca="1" si="51"/>
        <v>44</v>
      </c>
      <c r="AM409" s="173" t="str">
        <f t="shared" si="52"/>
        <v/>
      </c>
      <c r="AN409" s="181"/>
      <c r="AO409" s="190" t="s">
        <v>2457</v>
      </c>
      <c r="AP409" s="176">
        <v>10.33</v>
      </c>
      <c r="AQ409" s="176">
        <v>10.34</v>
      </c>
      <c r="AR409" s="176">
        <v>10.364999999999998</v>
      </c>
      <c r="AS409" s="176">
        <v>10.37</v>
      </c>
      <c r="AT409" s="173" t="str">
        <f t="shared" si="53"/>
        <v/>
      </c>
      <c r="AU409" s="173">
        <v>462</v>
      </c>
      <c r="AW409" s="142" t="s">
        <v>123</v>
      </c>
    </row>
    <row r="410" spans="2:49" s="142" customFormat="1" ht="21" customHeight="1" x14ac:dyDescent="0.25">
      <c r="B410" s="173" t="str">
        <f t="shared" si="50"/>
        <v>0-304L/FH-1.20X770</v>
      </c>
      <c r="C410" s="173" t="s">
        <v>4231</v>
      </c>
      <c r="D410" s="173" t="s">
        <v>16</v>
      </c>
      <c r="E410" s="190" t="s">
        <v>2607</v>
      </c>
      <c r="F410" s="190" t="s">
        <v>2608</v>
      </c>
      <c r="G410" s="173" t="s">
        <v>182</v>
      </c>
      <c r="H410" s="173" t="s">
        <v>70</v>
      </c>
      <c r="I410" s="174">
        <v>3.79</v>
      </c>
      <c r="J410" s="174">
        <v>1.2</v>
      </c>
      <c r="K410" s="174"/>
      <c r="L410" s="174"/>
      <c r="M410" s="191">
        <v>770</v>
      </c>
      <c r="N410" s="176">
        <v>10.525</v>
      </c>
      <c r="O410" s="176">
        <v>10.54</v>
      </c>
      <c r="P410" s="176"/>
      <c r="Q410" s="178"/>
      <c r="R410" s="179"/>
      <c r="S410" s="179"/>
      <c r="T410" s="177">
        <v>44950</v>
      </c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80" t="s">
        <v>2448</v>
      </c>
      <c r="AE410" s="173" t="s">
        <v>69</v>
      </c>
      <c r="AF410" s="181" t="s">
        <v>142</v>
      </c>
      <c r="AG410" s="192" t="s">
        <v>1584</v>
      </c>
      <c r="AH410" s="198"/>
      <c r="AI410" s="181">
        <v>44914</v>
      </c>
      <c r="AJ410" s="181"/>
      <c r="AK410" s="181">
        <f t="shared" ca="1" si="49"/>
        <v>44958</v>
      </c>
      <c r="AL410" s="173">
        <f t="shared" ca="1" si="51"/>
        <v>44</v>
      </c>
      <c r="AM410" s="173" t="str">
        <f t="shared" si="52"/>
        <v/>
      </c>
      <c r="AN410" s="181"/>
      <c r="AO410" s="190" t="s">
        <v>2609</v>
      </c>
      <c r="AP410" s="176">
        <v>10.525</v>
      </c>
      <c r="AQ410" s="176">
        <v>10.535</v>
      </c>
      <c r="AR410" s="176">
        <v>10.559999999999999</v>
      </c>
      <c r="AS410" s="176">
        <v>10.565</v>
      </c>
      <c r="AT410" s="173" t="str">
        <f t="shared" si="53"/>
        <v/>
      </c>
      <c r="AU410" s="173">
        <v>462</v>
      </c>
      <c r="AW410" s="142" t="s">
        <v>123</v>
      </c>
    </row>
    <row r="411" spans="2:49" s="142" customFormat="1" ht="21" customHeight="1" x14ac:dyDescent="0.25">
      <c r="B411" s="173" t="str">
        <f t="shared" si="50"/>
        <v>0-304L/1D-2.78X771</v>
      </c>
      <c r="C411" s="173" t="s">
        <v>4230</v>
      </c>
      <c r="D411" s="173" t="s">
        <v>13</v>
      </c>
      <c r="E411" s="190" t="s">
        <v>2714</v>
      </c>
      <c r="F411" s="190" t="s">
        <v>2715</v>
      </c>
      <c r="G411" s="173" t="s">
        <v>182</v>
      </c>
      <c r="H411" s="173" t="s">
        <v>127</v>
      </c>
      <c r="I411" s="174">
        <v>2.78</v>
      </c>
      <c r="J411" s="174"/>
      <c r="K411" s="174"/>
      <c r="L411" s="174"/>
      <c r="M411" s="191">
        <v>771</v>
      </c>
      <c r="N411" s="176">
        <v>10.09</v>
      </c>
      <c r="O411" s="176">
        <v>10.09</v>
      </c>
      <c r="P411" s="176"/>
      <c r="Q411" s="178"/>
      <c r="R411" s="179"/>
      <c r="S411" s="179"/>
      <c r="T411" s="177">
        <v>44951</v>
      </c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80" t="s">
        <v>1643</v>
      </c>
      <c r="AE411" s="173" t="s">
        <v>69</v>
      </c>
      <c r="AF411" s="181" t="s">
        <v>142</v>
      </c>
      <c r="AG411" s="192" t="s">
        <v>1584</v>
      </c>
      <c r="AH411" s="198"/>
      <c r="AI411" s="181">
        <v>44914</v>
      </c>
      <c r="AJ411" s="181"/>
      <c r="AK411" s="181">
        <f t="shared" ca="1" si="49"/>
        <v>44958</v>
      </c>
      <c r="AL411" s="173">
        <f t="shared" ca="1" si="51"/>
        <v>44</v>
      </c>
      <c r="AM411" s="173" t="str">
        <f t="shared" si="52"/>
        <v/>
      </c>
      <c r="AN411" s="181"/>
      <c r="AO411" s="190" t="s">
        <v>2713</v>
      </c>
      <c r="AP411" s="176">
        <v>10.09</v>
      </c>
      <c r="AQ411" s="176">
        <v>10.1</v>
      </c>
      <c r="AR411" s="176">
        <v>10.124999999999998</v>
      </c>
      <c r="AS411" s="176">
        <v>10.129999999999999</v>
      </c>
      <c r="AT411" s="173" t="str">
        <f t="shared" si="53"/>
        <v/>
      </c>
      <c r="AU411" s="173">
        <v>462</v>
      </c>
      <c r="AW411" s="142" t="s">
        <v>123</v>
      </c>
    </row>
    <row r="412" spans="2:49" s="142" customFormat="1" ht="21" customHeight="1" x14ac:dyDescent="0.25">
      <c r="B412" s="173" t="str">
        <f t="shared" si="50"/>
        <v>0-304/FH-2.00X767</v>
      </c>
      <c r="C412" s="173" t="s">
        <v>4231</v>
      </c>
      <c r="D412" s="173" t="s">
        <v>16</v>
      </c>
      <c r="E412" s="190" t="s">
        <v>2497</v>
      </c>
      <c r="F412" s="190" t="s">
        <v>2498</v>
      </c>
      <c r="G412" s="173">
        <v>304</v>
      </c>
      <c r="H412" s="173" t="s">
        <v>70</v>
      </c>
      <c r="I412" s="174">
        <v>3.89</v>
      </c>
      <c r="J412" s="174">
        <v>2</v>
      </c>
      <c r="K412" s="174"/>
      <c r="L412" s="174"/>
      <c r="M412" s="191">
        <v>767</v>
      </c>
      <c r="N412" s="176">
        <v>10.36</v>
      </c>
      <c r="O412" s="176">
        <v>10.375</v>
      </c>
      <c r="P412" s="176"/>
      <c r="Q412" s="178"/>
      <c r="R412" s="179"/>
      <c r="S412" s="179"/>
      <c r="T412" s="177">
        <v>44950</v>
      </c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80" t="s">
        <v>2448</v>
      </c>
      <c r="AE412" s="173" t="s">
        <v>69</v>
      </c>
      <c r="AF412" s="181" t="s">
        <v>142</v>
      </c>
      <c r="AG412" s="192" t="s">
        <v>1584</v>
      </c>
      <c r="AH412" s="198"/>
      <c r="AI412" s="181">
        <v>44914</v>
      </c>
      <c r="AJ412" s="181"/>
      <c r="AK412" s="181">
        <f t="shared" ca="1" si="49"/>
        <v>44958</v>
      </c>
      <c r="AL412" s="173">
        <f t="shared" ca="1" si="51"/>
        <v>44</v>
      </c>
      <c r="AM412" s="173" t="str">
        <f t="shared" si="52"/>
        <v/>
      </c>
      <c r="AN412" s="181"/>
      <c r="AO412" s="190" t="s">
        <v>2496</v>
      </c>
      <c r="AP412" s="176">
        <v>10.36</v>
      </c>
      <c r="AQ412" s="176">
        <v>10.37</v>
      </c>
      <c r="AR412" s="176">
        <v>10.394999999999998</v>
      </c>
      <c r="AS412" s="176">
        <v>10.399999999999999</v>
      </c>
      <c r="AT412" s="173" t="str">
        <f t="shared" si="53"/>
        <v/>
      </c>
      <c r="AU412" s="173">
        <v>462</v>
      </c>
      <c r="AW412" s="142" t="s">
        <v>123</v>
      </c>
    </row>
    <row r="413" spans="2:49" s="142" customFormat="1" ht="21" customHeight="1" x14ac:dyDescent="0.25">
      <c r="B413" s="173" t="str">
        <f t="shared" si="50"/>
        <v>0-304L/1D-3.88X642</v>
      </c>
      <c r="C413" s="173" t="s">
        <v>4232</v>
      </c>
      <c r="D413" s="173" t="s">
        <v>13</v>
      </c>
      <c r="E413" s="190" t="s">
        <v>1623</v>
      </c>
      <c r="F413" s="190" t="s">
        <v>1624</v>
      </c>
      <c r="G413" s="173" t="s">
        <v>182</v>
      </c>
      <c r="H413" s="173" t="s">
        <v>127</v>
      </c>
      <c r="I413" s="174">
        <v>3.88</v>
      </c>
      <c r="J413" s="174"/>
      <c r="K413" s="174"/>
      <c r="L413" s="174"/>
      <c r="M413" s="191">
        <v>642</v>
      </c>
      <c r="N413" s="176">
        <v>10.494999999999999</v>
      </c>
      <c r="O413" s="176">
        <v>10.494999999999999</v>
      </c>
      <c r="P413" s="176"/>
      <c r="Q413" s="178"/>
      <c r="R413" s="178" t="s">
        <v>4057</v>
      </c>
      <c r="S413" s="179"/>
      <c r="T413" s="177">
        <v>44950</v>
      </c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80" t="s">
        <v>1605</v>
      </c>
      <c r="AE413" s="173" t="s">
        <v>69</v>
      </c>
      <c r="AF413" s="181" t="s">
        <v>142</v>
      </c>
      <c r="AG413" s="192" t="s">
        <v>1594</v>
      </c>
      <c r="AH413" s="198"/>
      <c r="AI413" s="181">
        <v>44849</v>
      </c>
      <c r="AJ413" s="181"/>
      <c r="AK413" s="181">
        <f t="shared" ca="1" si="49"/>
        <v>44958</v>
      </c>
      <c r="AL413" s="173">
        <f t="shared" ca="1" si="51"/>
        <v>109</v>
      </c>
      <c r="AM413" s="173" t="str">
        <f t="shared" si="52"/>
        <v/>
      </c>
      <c r="AN413" s="181"/>
      <c r="AO413" s="190" t="s">
        <v>1625</v>
      </c>
      <c r="AP413" s="176">
        <v>10.494999999999999</v>
      </c>
      <c r="AQ413" s="176">
        <v>10.505000000000001</v>
      </c>
      <c r="AR413" s="176">
        <v>10.53</v>
      </c>
      <c r="AS413" s="176">
        <v>10.535</v>
      </c>
      <c r="AT413" s="173" t="str">
        <f t="shared" si="53"/>
        <v/>
      </c>
      <c r="AU413" s="173">
        <v>456</v>
      </c>
      <c r="AW413" s="142" t="s">
        <v>123</v>
      </c>
    </row>
    <row r="414" spans="2:49" s="142" customFormat="1" ht="21" customHeight="1" x14ac:dyDescent="0.25">
      <c r="B414" s="173" t="str">
        <f t="shared" si="50"/>
        <v>0-304/1D-3.94X776</v>
      </c>
      <c r="C414" s="173" t="s">
        <v>4230</v>
      </c>
      <c r="D414" s="173" t="s">
        <v>13</v>
      </c>
      <c r="E414" s="190" t="s">
        <v>2483</v>
      </c>
      <c r="F414" s="190" t="s">
        <v>2484</v>
      </c>
      <c r="G414" s="173">
        <v>304</v>
      </c>
      <c r="H414" s="173" t="s">
        <v>127</v>
      </c>
      <c r="I414" s="174">
        <v>3.94</v>
      </c>
      <c r="J414" s="174"/>
      <c r="K414" s="174"/>
      <c r="L414" s="174"/>
      <c r="M414" s="191">
        <v>776</v>
      </c>
      <c r="N414" s="176">
        <v>10.5</v>
      </c>
      <c r="O414" s="176">
        <v>10.5</v>
      </c>
      <c r="P414" s="176"/>
      <c r="Q414" s="178"/>
      <c r="R414" s="179"/>
      <c r="S414" s="179"/>
      <c r="T414" s="177">
        <v>44951</v>
      </c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80" t="s">
        <v>1605</v>
      </c>
      <c r="AE414" s="173" t="s">
        <v>69</v>
      </c>
      <c r="AF414" s="181" t="s">
        <v>142</v>
      </c>
      <c r="AG414" s="192" t="s">
        <v>1584</v>
      </c>
      <c r="AH414" s="198"/>
      <c r="AI414" s="181">
        <v>44914</v>
      </c>
      <c r="AJ414" s="181"/>
      <c r="AK414" s="181">
        <f t="shared" ca="1" si="49"/>
        <v>44958</v>
      </c>
      <c r="AL414" s="173">
        <f t="shared" ca="1" si="51"/>
        <v>44</v>
      </c>
      <c r="AM414" s="173" t="str">
        <f t="shared" si="52"/>
        <v/>
      </c>
      <c r="AN414" s="181"/>
      <c r="AO414" s="190" t="s">
        <v>2485</v>
      </c>
      <c r="AP414" s="176">
        <v>10.5</v>
      </c>
      <c r="AQ414" s="176">
        <v>10.51</v>
      </c>
      <c r="AR414" s="176">
        <v>10.534999999999998</v>
      </c>
      <c r="AS414" s="176">
        <v>10.54</v>
      </c>
      <c r="AT414" s="173" t="str">
        <f t="shared" si="53"/>
        <v/>
      </c>
      <c r="AU414" s="173">
        <v>462</v>
      </c>
      <c r="AW414" s="142" t="s">
        <v>123</v>
      </c>
    </row>
    <row r="415" spans="2:49" s="142" customFormat="1" ht="21" customHeight="1" x14ac:dyDescent="0.25">
      <c r="B415" s="173" t="str">
        <f t="shared" si="50"/>
        <v>0-304L/FH-1.45X767</v>
      </c>
      <c r="C415" s="173" t="s">
        <v>4231</v>
      </c>
      <c r="D415" s="173" t="s">
        <v>16</v>
      </c>
      <c r="E415" s="190" t="s">
        <v>2455</v>
      </c>
      <c r="F415" s="190" t="s">
        <v>2456</v>
      </c>
      <c r="G415" s="173" t="s">
        <v>182</v>
      </c>
      <c r="H415" s="173" t="s">
        <v>70</v>
      </c>
      <c r="I415" s="174">
        <v>3.96</v>
      </c>
      <c r="J415" s="174">
        <v>1.45</v>
      </c>
      <c r="K415" s="174"/>
      <c r="L415" s="174"/>
      <c r="M415" s="191">
        <v>767</v>
      </c>
      <c r="N415" s="176">
        <v>10.33</v>
      </c>
      <c r="O415" s="176">
        <v>10.33</v>
      </c>
      <c r="P415" s="176"/>
      <c r="Q415" s="178"/>
      <c r="R415" s="179"/>
      <c r="S415" s="179"/>
      <c r="T415" s="177">
        <v>44951</v>
      </c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80" t="s">
        <v>2448</v>
      </c>
      <c r="AE415" s="173" t="s">
        <v>69</v>
      </c>
      <c r="AF415" s="181" t="s">
        <v>142</v>
      </c>
      <c r="AG415" s="192" t="s">
        <v>1584</v>
      </c>
      <c r="AH415" s="198"/>
      <c r="AI415" s="181">
        <v>44914</v>
      </c>
      <c r="AJ415" s="181"/>
      <c r="AK415" s="181">
        <f t="shared" ca="1" si="49"/>
        <v>44958</v>
      </c>
      <c r="AL415" s="173">
        <f t="shared" ca="1" si="51"/>
        <v>44</v>
      </c>
      <c r="AM415" s="173" t="str">
        <f t="shared" si="52"/>
        <v/>
      </c>
      <c r="AN415" s="181"/>
      <c r="AO415" s="190" t="s">
        <v>2457</v>
      </c>
      <c r="AP415" s="176">
        <v>10.33</v>
      </c>
      <c r="AQ415" s="176">
        <v>10.34</v>
      </c>
      <c r="AR415" s="176">
        <v>10.364999999999998</v>
      </c>
      <c r="AS415" s="176">
        <v>10.37</v>
      </c>
      <c r="AT415" s="173" t="str">
        <f t="shared" si="53"/>
        <v/>
      </c>
      <c r="AU415" s="173">
        <v>462</v>
      </c>
      <c r="AW415" s="142" t="s">
        <v>123</v>
      </c>
    </row>
    <row r="416" spans="2:49" s="142" customFormat="1" ht="21" customHeight="1" x14ac:dyDescent="0.25">
      <c r="B416" s="173" t="str">
        <f t="shared" si="50"/>
        <v>0-304/1D-3.90X635</v>
      </c>
      <c r="C416" s="173" t="s">
        <v>4230</v>
      </c>
      <c r="D416" s="173" t="s">
        <v>13</v>
      </c>
      <c r="E416" s="190" t="s">
        <v>1641</v>
      </c>
      <c r="F416" s="190" t="s">
        <v>4233</v>
      </c>
      <c r="G416" s="173">
        <v>304</v>
      </c>
      <c r="H416" s="173" t="s">
        <v>127</v>
      </c>
      <c r="I416" s="174">
        <v>3.9</v>
      </c>
      <c r="J416" s="174"/>
      <c r="K416" s="174"/>
      <c r="L416" s="174"/>
      <c r="M416" s="191">
        <v>635</v>
      </c>
      <c r="N416" s="176">
        <v>10.52</v>
      </c>
      <c r="O416" s="176">
        <v>10.52</v>
      </c>
      <c r="P416" s="176"/>
      <c r="Q416" s="178"/>
      <c r="R416" s="179"/>
      <c r="S416" s="179"/>
      <c r="T416" s="177">
        <v>44951</v>
      </c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80" t="s">
        <v>1643</v>
      </c>
      <c r="AE416" s="173" t="s">
        <v>69</v>
      </c>
      <c r="AF416" s="181" t="s">
        <v>142</v>
      </c>
      <c r="AG416" s="192" t="s">
        <v>1594</v>
      </c>
      <c r="AH416" s="198"/>
      <c r="AI416" s="181">
        <v>44849</v>
      </c>
      <c r="AJ416" s="181"/>
      <c r="AK416" s="181">
        <f t="shared" ca="1" si="49"/>
        <v>44958</v>
      </c>
      <c r="AL416" s="173">
        <f t="shared" ca="1" si="51"/>
        <v>109</v>
      </c>
      <c r="AM416" s="173" t="str">
        <f t="shared" si="52"/>
        <v/>
      </c>
      <c r="AN416" s="181"/>
      <c r="AO416" s="190" t="s">
        <v>1644</v>
      </c>
      <c r="AP416" s="176">
        <v>10.52</v>
      </c>
      <c r="AQ416" s="176">
        <v>10.53</v>
      </c>
      <c r="AR416" s="176">
        <v>10.554999999999998</v>
      </c>
      <c r="AS416" s="176">
        <v>10.559999999999999</v>
      </c>
      <c r="AT416" s="173" t="str">
        <f t="shared" si="53"/>
        <v/>
      </c>
      <c r="AU416" s="173">
        <v>456</v>
      </c>
      <c r="AW416" s="142" t="s">
        <v>123</v>
      </c>
    </row>
    <row r="417" spans="2:53" s="142" customFormat="1" ht="21" customHeight="1" x14ac:dyDescent="0.25">
      <c r="B417" s="173" t="str">
        <f t="shared" si="50"/>
        <v>0-304L/FH-1.50X772</v>
      </c>
      <c r="C417" s="173" t="s">
        <v>4231</v>
      </c>
      <c r="D417" s="173" t="s">
        <v>16</v>
      </c>
      <c r="E417" s="190" t="s">
        <v>2642</v>
      </c>
      <c r="F417" s="190" t="s">
        <v>2643</v>
      </c>
      <c r="G417" s="173" t="s">
        <v>182</v>
      </c>
      <c r="H417" s="173" t="s">
        <v>70</v>
      </c>
      <c r="I417" s="174">
        <v>3.87</v>
      </c>
      <c r="J417" s="174">
        <v>1.5</v>
      </c>
      <c r="K417" s="174"/>
      <c r="L417" s="174"/>
      <c r="M417" s="191">
        <v>772</v>
      </c>
      <c r="N417" s="176">
        <v>11.315</v>
      </c>
      <c r="O417" s="176">
        <v>11.305</v>
      </c>
      <c r="P417" s="176"/>
      <c r="Q417" s="178"/>
      <c r="R417" s="179"/>
      <c r="S417" s="179"/>
      <c r="T417" s="177">
        <v>44950</v>
      </c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80" t="s">
        <v>2448</v>
      </c>
      <c r="AE417" s="173" t="s">
        <v>69</v>
      </c>
      <c r="AF417" s="181" t="s">
        <v>142</v>
      </c>
      <c r="AG417" s="192" t="s">
        <v>1584</v>
      </c>
      <c r="AH417" s="198"/>
      <c r="AI417" s="181">
        <v>44914</v>
      </c>
      <c r="AJ417" s="181"/>
      <c r="AK417" s="181">
        <f t="shared" ca="1" si="49"/>
        <v>44958</v>
      </c>
      <c r="AL417" s="173">
        <f t="shared" ca="1" si="51"/>
        <v>44</v>
      </c>
      <c r="AM417" s="173" t="str">
        <f t="shared" si="52"/>
        <v/>
      </c>
      <c r="AN417" s="181"/>
      <c r="AO417" s="190" t="s">
        <v>2641</v>
      </c>
      <c r="AP417" s="176">
        <v>11.315</v>
      </c>
      <c r="AQ417" s="176">
        <v>11.324999999999999</v>
      </c>
      <c r="AR417" s="176">
        <v>11.349999999999998</v>
      </c>
      <c r="AS417" s="176">
        <v>11.354999999999999</v>
      </c>
      <c r="AT417" s="173" t="str">
        <f t="shared" si="53"/>
        <v/>
      </c>
      <c r="AU417" s="173">
        <v>462</v>
      </c>
      <c r="AW417" s="142" t="s">
        <v>123</v>
      </c>
    </row>
    <row r="418" spans="2:53" s="142" customFormat="1" ht="21" customHeight="1" x14ac:dyDescent="0.25">
      <c r="B418" s="173" t="str">
        <f t="shared" si="50"/>
        <v>0-304/1D-3.05X772</v>
      </c>
      <c r="C418" s="173" t="s">
        <v>4230</v>
      </c>
      <c r="D418" s="173" t="s">
        <v>13</v>
      </c>
      <c r="E418" s="190" t="s">
        <v>3166</v>
      </c>
      <c r="F418" s="190" t="s">
        <v>3167</v>
      </c>
      <c r="G418" s="173">
        <v>304</v>
      </c>
      <c r="H418" s="173" t="s">
        <v>127</v>
      </c>
      <c r="I418" s="174">
        <v>3.05</v>
      </c>
      <c r="J418" s="174"/>
      <c r="K418" s="174"/>
      <c r="L418" s="174"/>
      <c r="M418" s="191">
        <v>772</v>
      </c>
      <c r="N418" s="176">
        <v>10.57</v>
      </c>
      <c r="O418" s="176">
        <v>10.57</v>
      </c>
      <c r="P418" s="176"/>
      <c r="Q418" s="178"/>
      <c r="R418" s="179"/>
      <c r="S418" s="179"/>
      <c r="T418" s="177">
        <v>44951</v>
      </c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80" t="s">
        <v>3164</v>
      </c>
      <c r="AE418" s="173" t="s">
        <v>69</v>
      </c>
      <c r="AF418" s="181" t="s">
        <v>142</v>
      </c>
      <c r="AG418" s="192" t="s">
        <v>2878</v>
      </c>
      <c r="AH418" s="198"/>
      <c r="AI418" s="181">
        <v>44950</v>
      </c>
      <c r="AJ418" s="181"/>
      <c r="AK418" s="181">
        <f t="shared" ca="1" si="49"/>
        <v>44958</v>
      </c>
      <c r="AL418" s="173">
        <f t="shared" ca="1" si="51"/>
        <v>8</v>
      </c>
      <c r="AM418" s="173" t="str">
        <f t="shared" si="52"/>
        <v/>
      </c>
      <c r="AN418" s="181"/>
      <c r="AO418" s="190" t="s">
        <v>3165</v>
      </c>
      <c r="AP418" s="176">
        <v>10.57</v>
      </c>
      <c r="AQ418" s="176">
        <v>10.58</v>
      </c>
      <c r="AR418" s="176">
        <v>10.604999999999999</v>
      </c>
      <c r="AS418" s="176">
        <v>10.61</v>
      </c>
      <c r="AT418" s="173"/>
      <c r="AU418" s="173">
        <v>465</v>
      </c>
      <c r="AV418" s="149"/>
      <c r="AW418" s="142" t="s">
        <v>123</v>
      </c>
      <c r="AY418" s="212"/>
      <c r="AZ418" s="196"/>
      <c r="BA418" s="196"/>
    </row>
    <row r="419" spans="2:53" s="142" customFormat="1" ht="21" customHeight="1" x14ac:dyDescent="0.25">
      <c r="B419" s="173" t="str">
        <f t="shared" si="50"/>
        <v>0-304/FH-1.45X776</v>
      </c>
      <c r="C419" s="173" t="s">
        <v>4231</v>
      </c>
      <c r="D419" s="173" t="s">
        <v>16</v>
      </c>
      <c r="E419" s="190" t="s">
        <v>2483</v>
      </c>
      <c r="F419" s="190" t="s">
        <v>2484</v>
      </c>
      <c r="G419" s="173">
        <v>304</v>
      </c>
      <c r="H419" s="173" t="s">
        <v>70</v>
      </c>
      <c r="I419" s="174">
        <v>3.94</v>
      </c>
      <c r="J419" s="174">
        <v>1.45</v>
      </c>
      <c r="K419" s="174"/>
      <c r="L419" s="174"/>
      <c r="M419" s="191">
        <v>776</v>
      </c>
      <c r="N419" s="176">
        <v>10.5</v>
      </c>
      <c r="O419" s="176">
        <v>10.49</v>
      </c>
      <c r="P419" s="176"/>
      <c r="Q419" s="178"/>
      <c r="R419" s="179"/>
      <c r="S419" s="179"/>
      <c r="T419" s="177">
        <v>44951</v>
      </c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80" t="s">
        <v>1605</v>
      </c>
      <c r="AE419" s="173" t="s">
        <v>69</v>
      </c>
      <c r="AF419" s="181" t="s">
        <v>142</v>
      </c>
      <c r="AG419" s="192" t="s">
        <v>1584</v>
      </c>
      <c r="AH419" s="198"/>
      <c r="AI419" s="181">
        <v>44914</v>
      </c>
      <c r="AJ419" s="181"/>
      <c r="AK419" s="181">
        <f t="shared" ca="1" si="49"/>
        <v>44958</v>
      </c>
      <c r="AL419" s="173">
        <f t="shared" ca="1" si="51"/>
        <v>44</v>
      </c>
      <c r="AM419" s="173" t="str">
        <f t="shared" si="52"/>
        <v/>
      </c>
      <c r="AN419" s="181"/>
      <c r="AO419" s="190" t="s">
        <v>2485</v>
      </c>
      <c r="AP419" s="176">
        <v>10.5</v>
      </c>
      <c r="AQ419" s="176">
        <v>10.51</v>
      </c>
      <c r="AR419" s="176">
        <v>10.534999999999998</v>
      </c>
      <c r="AS419" s="176">
        <v>10.54</v>
      </c>
      <c r="AT419" s="173" t="str">
        <f>IF(ISNUMBER(V419)=TRUE,AK419-V419,IF(V419="","",(AK419)-(MID(RIGHT(V419,10),4,2)&amp;"/"&amp;LEFT((RIGHT(V419,10)),2)&amp;"/"&amp;RIGHT(V419,4))))</f>
        <v/>
      </c>
      <c r="AU419" s="173">
        <v>462</v>
      </c>
      <c r="AW419" s="142" t="s">
        <v>123</v>
      </c>
    </row>
    <row r="420" spans="2:53" s="142" customFormat="1" ht="21" customHeight="1" x14ac:dyDescent="0.25">
      <c r="B420" s="173" t="str">
        <f t="shared" si="50"/>
        <v>0-304L/1D-3.88X638</v>
      </c>
      <c r="C420" s="173" t="s">
        <v>4232</v>
      </c>
      <c r="D420" s="173" t="s">
        <v>13</v>
      </c>
      <c r="E420" s="190" t="s">
        <v>4234</v>
      </c>
      <c r="F420" s="190" t="s">
        <v>4235</v>
      </c>
      <c r="G420" s="173" t="s">
        <v>182</v>
      </c>
      <c r="H420" s="173" t="s">
        <v>127</v>
      </c>
      <c r="I420" s="174">
        <v>3.88</v>
      </c>
      <c r="J420" s="174"/>
      <c r="K420" s="174"/>
      <c r="L420" s="174"/>
      <c r="M420" s="191">
        <v>638</v>
      </c>
      <c r="N420" s="176">
        <v>10.395</v>
      </c>
      <c r="O420" s="176">
        <v>10.395</v>
      </c>
      <c r="P420" s="176"/>
      <c r="Q420" s="178"/>
      <c r="R420" s="178" t="s">
        <v>4236</v>
      </c>
      <c r="S420" s="179"/>
      <c r="T420" s="177"/>
      <c r="U420" s="177">
        <v>44951</v>
      </c>
      <c r="V420" s="177"/>
      <c r="W420" s="177"/>
      <c r="X420" s="177"/>
      <c r="Y420" s="177"/>
      <c r="Z420" s="177"/>
      <c r="AA420" s="177"/>
      <c r="AB420" s="177"/>
      <c r="AC420" s="177"/>
      <c r="AD420" s="180" t="s">
        <v>1609</v>
      </c>
      <c r="AE420" s="173" t="s">
        <v>69</v>
      </c>
      <c r="AF420" s="181" t="s">
        <v>142</v>
      </c>
      <c r="AG420" s="192" t="s">
        <v>1594</v>
      </c>
      <c r="AH420" s="198"/>
      <c r="AI420" s="181">
        <v>44849</v>
      </c>
      <c r="AJ420" s="181"/>
      <c r="AK420" s="181">
        <f t="shared" ca="1" si="49"/>
        <v>44958</v>
      </c>
      <c r="AL420" s="173">
        <f t="shared" ca="1" si="51"/>
        <v>109</v>
      </c>
      <c r="AM420" s="173" t="str">
        <f t="shared" si="52"/>
        <v/>
      </c>
      <c r="AN420" s="181"/>
      <c r="AO420" s="190" t="s">
        <v>1612</v>
      </c>
      <c r="AP420" s="176">
        <v>10.395</v>
      </c>
      <c r="AQ420" s="176">
        <v>10.404999999999999</v>
      </c>
      <c r="AR420" s="176">
        <v>10.429999999999998</v>
      </c>
      <c r="AS420" s="176">
        <v>10.434999999999999</v>
      </c>
      <c r="AT420" s="173" t="str">
        <f>IF(ISNUMBER(V420)=TRUE,AK420-V420,IF(V420="","",(AK420)-(MID(RIGHT(V420,10),4,2)&amp;"/"&amp;LEFT((RIGHT(V420,10)),2)&amp;"/"&amp;RIGHT(V420,4))))</f>
        <v/>
      </c>
      <c r="AU420" s="173">
        <v>456</v>
      </c>
      <c r="AW420" s="142" t="s">
        <v>123</v>
      </c>
    </row>
    <row r="421" spans="2:53" s="142" customFormat="1" ht="21" customHeight="1" x14ac:dyDescent="0.25">
      <c r="B421" s="173" t="str">
        <f t="shared" si="50"/>
        <v>0-304L/1D-2.88X643</v>
      </c>
      <c r="C421" s="173" t="s">
        <v>4230</v>
      </c>
      <c r="D421" s="173" t="s">
        <v>13</v>
      </c>
      <c r="E421" s="190" t="s">
        <v>4237</v>
      </c>
      <c r="F421" s="190" t="s">
        <v>4238</v>
      </c>
      <c r="G421" s="173" t="s">
        <v>182</v>
      </c>
      <c r="H421" s="173" t="s">
        <v>127</v>
      </c>
      <c r="I421" s="174">
        <v>2.88</v>
      </c>
      <c r="J421" s="174"/>
      <c r="K421" s="174"/>
      <c r="L421" s="174"/>
      <c r="M421" s="191">
        <v>643</v>
      </c>
      <c r="N421" s="176">
        <v>8.8849999999999998</v>
      </c>
      <c r="O421" s="176">
        <v>8.8849999999999998</v>
      </c>
      <c r="P421" s="176"/>
      <c r="Q421" s="178"/>
      <c r="R421" s="179"/>
      <c r="S421" s="179"/>
      <c r="T421" s="177">
        <v>44951</v>
      </c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80" t="s">
        <v>1643</v>
      </c>
      <c r="AE421" s="173" t="s">
        <v>69</v>
      </c>
      <c r="AF421" s="181" t="s">
        <v>142</v>
      </c>
      <c r="AG421" s="192" t="s">
        <v>1657</v>
      </c>
      <c r="AH421" s="198"/>
      <c r="AI421" s="181">
        <v>44849</v>
      </c>
      <c r="AJ421" s="181"/>
      <c r="AK421" s="181">
        <f t="shared" ca="1" si="49"/>
        <v>44958</v>
      </c>
      <c r="AL421" s="173">
        <f t="shared" ca="1" si="51"/>
        <v>109</v>
      </c>
      <c r="AM421" s="173" t="str">
        <f t="shared" si="52"/>
        <v/>
      </c>
      <c r="AN421" s="181"/>
      <c r="AO421" s="190" t="s">
        <v>4037</v>
      </c>
      <c r="AP421" s="176">
        <v>8.8849999999999998</v>
      </c>
      <c r="AQ421" s="176">
        <v>8.8949999999999996</v>
      </c>
      <c r="AR421" s="176">
        <v>8.9199999999999982</v>
      </c>
      <c r="AS421" s="176">
        <v>8.9249999999999989</v>
      </c>
      <c r="AT421" s="173" t="str">
        <f>IF(ISNUMBER(V421)=TRUE,AK421-V421,IF(V421="","",(AK421)-(MID(RIGHT(V421,10),4,2)&amp;"/"&amp;LEFT((RIGHT(V421,10)),2)&amp;"/"&amp;RIGHT(V421,4))))</f>
        <v/>
      </c>
      <c r="AU421" s="173">
        <v>456</v>
      </c>
      <c r="AW421" s="142" t="s">
        <v>123</v>
      </c>
    </row>
    <row r="422" spans="2:53" s="142" customFormat="1" ht="21" customHeight="1" x14ac:dyDescent="0.25">
      <c r="B422" s="173" t="str">
        <f t="shared" si="50"/>
        <v>0-304/FH-1.15X772</v>
      </c>
      <c r="C422" s="173" t="s">
        <v>4231</v>
      </c>
      <c r="D422" s="173" t="s">
        <v>16</v>
      </c>
      <c r="E422" s="190" t="s">
        <v>3166</v>
      </c>
      <c r="F422" s="190" t="s">
        <v>3167</v>
      </c>
      <c r="G422" s="173">
        <v>304</v>
      </c>
      <c r="H422" s="173" t="s">
        <v>70</v>
      </c>
      <c r="I422" s="174">
        <v>3.05</v>
      </c>
      <c r="J422" s="174">
        <v>1.1499999999999999</v>
      </c>
      <c r="K422" s="174"/>
      <c r="L422" s="174"/>
      <c r="M422" s="191">
        <v>772</v>
      </c>
      <c r="N422" s="176">
        <v>10.57</v>
      </c>
      <c r="O422" s="176">
        <v>10.585000000000001</v>
      </c>
      <c r="P422" s="176"/>
      <c r="Q422" s="178"/>
      <c r="R422" s="179"/>
      <c r="S422" s="179"/>
      <c r="T422" s="177">
        <v>44951</v>
      </c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80" t="s">
        <v>3164</v>
      </c>
      <c r="AE422" s="173" t="s">
        <v>69</v>
      </c>
      <c r="AF422" s="181" t="s">
        <v>142</v>
      </c>
      <c r="AG422" s="192" t="s">
        <v>2878</v>
      </c>
      <c r="AH422" s="198"/>
      <c r="AI422" s="181">
        <v>44950</v>
      </c>
      <c r="AJ422" s="181"/>
      <c r="AK422" s="181">
        <f t="shared" ca="1" si="49"/>
        <v>44958</v>
      </c>
      <c r="AL422" s="173">
        <f t="shared" ca="1" si="51"/>
        <v>8</v>
      </c>
      <c r="AM422" s="173" t="str">
        <f t="shared" si="52"/>
        <v/>
      </c>
      <c r="AN422" s="181"/>
      <c r="AO422" s="190" t="s">
        <v>3165</v>
      </c>
      <c r="AP422" s="176">
        <v>10.57</v>
      </c>
      <c r="AQ422" s="176">
        <v>10.58</v>
      </c>
      <c r="AR422" s="176">
        <v>10.604999999999999</v>
      </c>
      <c r="AS422" s="176">
        <v>10.61</v>
      </c>
      <c r="AT422" s="173"/>
      <c r="AU422" s="173">
        <v>465</v>
      </c>
      <c r="AV422" s="149"/>
      <c r="AW422" s="142" t="s">
        <v>123</v>
      </c>
      <c r="AY422" s="212"/>
      <c r="AZ422" s="196"/>
      <c r="BA422" s="196"/>
    </row>
    <row r="423" spans="2:53" s="142" customFormat="1" ht="21" customHeight="1" x14ac:dyDescent="0.25">
      <c r="B423" s="173" t="str">
        <f t="shared" si="50"/>
        <v>0-304L/1D-2.96X642</v>
      </c>
      <c r="C423" s="173" t="s">
        <v>4230</v>
      </c>
      <c r="D423" s="173" t="s">
        <v>13</v>
      </c>
      <c r="E423" s="190" t="s">
        <v>4239</v>
      </c>
      <c r="F423" s="190" t="s">
        <v>4240</v>
      </c>
      <c r="G423" s="173" t="s">
        <v>182</v>
      </c>
      <c r="H423" s="173" t="s">
        <v>127</v>
      </c>
      <c r="I423" s="174">
        <v>2.96</v>
      </c>
      <c r="J423" s="174"/>
      <c r="K423" s="174"/>
      <c r="L423" s="174"/>
      <c r="M423" s="191">
        <v>642</v>
      </c>
      <c r="N423" s="176">
        <v>10.09</v>
      </c>
      <c r="O423" s="176">
        <v>10.09</v>
      </c>
      <c r="P423" s="176"/>
      <c r="Q423" s="178"/>
      <c r="R423" s="179"/>
      <c r="S423" s="179"/>
      <c r="T423" s="177">
        <v>44951</v>
      </c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80" t="s">
        <v>1643</v>
      </c>
      <c r="AE423" s="173" t="s">
        <v>69</v>
      </c>
      <c r="AF423" s="181" t="s">
        <v>142</v>
      </c>
      <c r="AG423" s="192" t="s">
        <v>1657</v>
      </c>
      <c r="AH423" s="198"/>
      <c r="AI423" s="181">
        <v>44849</v>
      </c>
      <c r="AJ423" s="181"/>
      <c r="AK423" s="181">
        <f t="shared" ca="1" si="49"/>
        <v>44958</v>
      </c>
      <c r="AL423" s="173">
        <f t="shared" ca="1" si="51"/>
        <v>109</v>
      </c>
      <c r="AM423" s="173" t="str">
        <f t="shared" si="52"/>
        <v/>
      </c>
      <c r="AN423" s="181"/>
      <c r="AO423" s="190" t="s">
        <v>4241</v>
      </c>
      <c r="AP423" s="176">
        <v>10.09</v>
      </c>
      <c r="AQ423" s="176">
        <v>10.1</v>
      </c>
      <c r="AR423" s="176">
        <v>10.124999999999998</v>
      </c>
      <c r="AS423" s="176">
        <v>10.129999999999999</v>
      </c>
      <c r="AT423" s="173" t="str">
        <f t="shared" ref="AT423:AT432" si="54">IF(ISNUMBER(V423)=TRUE,AK423-V423,IF(V423="","",(AK423)-(MID(RIGHT(V423,10),4,2)&amp;"/"&amp;LEFT((RIGHT(V423,10)),2)&amp;"/"&amp;RIGHT(V423,4))))</f>
        <v/>
      </c>
      <c r="AU423" s="173">
        <v>456</v>
      </c>
      <c r="AW423" s="142" t="s">
        <v>123</v>
      </c>
    </row>
    <row r="424" spans="2:53" s="142" customFormat="1" ht="21" customHeight="1" x14ac:dyDescent="0.25">
      <c r="B424" s="173" t="str">
        <f t="shared" si="50"/>
        <v>0-304/FH-1.95X635</v>
      </c>
      <c r="C424" s="173" t="s">
        <v>4231</v>
      </c>
      <c r="D424" s="173" t="s">
        <v>16</v>
      </c>
      <c r="E424" s="190" t="s">
        <v>1641</v>
      </c>
      <c r="F424" s="190" t="s">
        <v>4233</v>
      </c>
      <c r="G424" s="173">
        <v>304</v>
      </c>
      <c r="H424" s="173" t="s">
        <v>70</v>
      </c>
      <c r="I424" s="174">
        <v>3.9</v>
      </c>
      <c r="J424" s="174">
        <v>1.95</v>
      </c>
      <c r="K424" s="174"/>
      <c r="L424" s="174"/>
      <c r="M424" s="191">
        <v>635</v>
      </c>
      <c r="N424" s="176">
        <v>10.52</v>
      </c>
      <c r="O424" s="176">
        <v>10.535</v>
      </c>
      <c r="P424" s="176"/>
      <c r="Q424" s="178"/>
      <c r="R424" s="179"/>
      <c r="S424" s="179"/>
      <c r="T424" s="177">
        <v>44951</v>
      </c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80" t="s">
        <v>1643</v>
      </c>
      <c r="AE424" s="173" t="s">
        <v>69</v>
      </c>
      <c r="AF424" s="181" t="s">
        <v>142</v>
      </c>
      <c r="AG424" s="192" t="s">
        <v>1594</v>
      </c>
      <c r="AH424" s="198"/>
      <c r="AI424" s="181">
        <v>44849</v>
      </c>
      <c r="AJ424" s="181"/>
      <c r="AK424" s="181">
        <f t="shared" ca="1" si="49"/>
        <v>44958</v>
      </c>
      <c r="AL424" s="173">
        <f t="shared" ca="1" si="51"/>
        <v>109</v>
      </c>
      <c r="AM424" s="173" t="str">
        <f t="shared" si="52"/>
        <v/>
      </c>
      <c r="AN424" s="181"/>
      <c r="AO424" s="190" t="s">
        <v>1644</v>
      </c>
      <c r="AP424" s="176">
        <v>10.52</v>
      </c>
      <c r="AQ424" s="176">
        <v>10.53</v>
      </c>
      <c r="AR424" s="176">
        <v>10.554999999999998</v>
      </c>
      <c r="AS424" s="176">
        <v>10.559999999999999</v>
      </c>
      <c r="AT424" s="173" t="str">
        <f t="shared" si="54"/>
        <v/>
      </c>
      <c r="AU424" s="173">
        <v>456</v>
      </c>
      <c r="AW424" s="142" t="s">
        <v>123</v>
      </c>
    </row>
    <row r="425" spans="2:53" s="142" customFormat="1" ht="21" customHeight="1" x14ac:dyDescent="0.25">
      <c r="B425" s="173" t="str">
        <f t="shared" si="50"/>
        <v>0-304/1D-3.01X642</v>
      </c>
      <c r="C425" s="173" t="s">
        <v>4230</v>
      </c>
      <c r="D425" s="173" t="s">
        <v>13</v>
      </c>
      <c r="E425" s="190" t="s">
        <v>4242</v>
      </c>
      <c r="F425" s="190" t="s">
        <v>4243</v>
      </c>
      <c r="G425" s="173">
        <v>304</v>
      </c>
      <c r="H425" s="173" t="s">
        <v>127</v>
      </c>
      <c r="I425" s="174">
        <v>3.01</v>
      </c>
      <c r="J425" s="174"/>
      <c r="K425" s="174"/>
      <c r="L425" s="174"/>
      <c r="M425" s="191">
        <v>642</v>
      </c>
      <c r="N425" s="176">
        <v>10.66</v>
      </c>
      <c r="O425" s="176">
        <v>10.66</v>
      </c>
      <c r="P425" s="176"/>
      <c r="Q425" s="178"/>
      <c r="R425" s="179"/>
      <c r="S425" s="179"/>
      <c r="T425" s="177">
        <v>44951</v>
      </c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80" t="s">
        <v>1643</v>
      </c>
      <c r="AE425" s="173" t="s">
        <v>69</v>
      </c>
      <c r="AF425" s="181" t="s">
        <v>142</v>
      </c>
      <c r="AG425" s="192" t="s">
        <v>1657</v>
      </c>
      <c r="AH425" s="198"/>
      <c r="AI425" s="181">
        <v>44849</v>
      </c>
      <c r="AJ425" s="181"/>
      <c r="AK425" s="181">
        <f t="shared" ca="1" si="49"/>
        <v>44958</v>
      </c>
      <c r="AL425" s="173">
        <f t="shared" ca="1" si="51"/>
        <v>109</v>
      </c>
      <c r="AM425" s="173" t="str">
        <f t="shared" si="52"/>
        <v/>
      </c>
      <c r="AN425" s="181"/>
      <c r="AO425" s="190" t="s">
        <v>4244</v>
      </c>
      <c r="AP425" s="176">
        <v>10.66</v>
      </c>
      <c r="AQ425" s="176">
        <v>10.67</v>
      </c>
      <c r="AR425" s="176">
        <v>10.694999999999999</v>
      </c>
      <c r="AS425" s="176">
        <v>10.7</v>
      </c>
      <c r="AT425" s="173" t="str">
        <f t="shared" si="54"/>
        <v/>
      </c>
      <c r="AU425" s="173">
        <v>456</v>
      </c>
      <c r="AW425" s="142" t="s">
        <v>123</v>
      </c>
    </row>
    <row r="426" spans="2:53" s="142" customFormat="1" ht="21" customHeight="1" x14ac:dyDescent="0.25">
      <c r="B426" s="173" t="str">
        <f t="shared" si="50"/>
        <v>0-304L/FH-1.00X771</v>
      </c>
      <c r="C426" s="173" t="s">
        <v>4231</v>
      </c>
      <c r="D426" s="173" t="s">
        <v>16</v>
      </c>
      <c r="E426" s="190" t="s">
        <v>2714</v>
      </c>
      <c r="F426" s="190" t="s">
        <v>2715</v>
      </c>
      <c r="G426" s="173" t="s">
        <v>182</v>
      </c>
      <c r="H426" s="173" t="s">
        <v>70</v>
      </c>
      <c r="I426" s="174">
        <v>2.78</v>
      </c>
      <c r="J426" s="174">
        <v>1</v>
      </c>
      <c r="K426" s="174"/>
      <c r="L426" s="174"/>
      <c r="M426" s="191">
        <v>771</v>
      </c>
      <c r="N426" s="176">
        <v>10.09</v>
      </c>
      <c r="O426" s="176">
        <v>10.115</v>
      </c>
      <c r="P426" s="176"/>
      <c r="Q426" s="178"/>
      <c r="R426" s="179"/>
      <c r="S426" s="179"/>
      <c r="T426" s="177">
        <v>44951</v>
      </c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80" t="s">
        <v>1643</v>
      </c>
      <c r="AE426" s="173" t="s">
        <v>69</v>
      </c>
      <c r="AF426" s="181" t="s">
        <v>142</v>
      </c>
      <c r="AG426" s="192" t="s">
        <v>1584</v>
      </c>
      <c r="AH426" s="198"/>
      <c r="AI426" s="181">
        <v>44914</v>
      </c>
      <c r="AJ426" s="181"/>
      <c r="AK426" s="181">
        <f t="shared" ca="1" si="49"/>
        <v>44958</v>
      </c>
      <c r="AL426" s="173">
        <f t="shared" ca="1" si="51"/>
        <v>44</v>
      </c>
      <c r="AM426" s="173" t="str">
        <f t="shared" si="52"/>
        <v/>
      </c>
      <c r="AN426" s="181"/>
      <c r="AO426" s="190" t="s">
        <v>2713</v>
      </c>
      <c r="AP426" s="176">
        <v>10.09</v>
      </c>
      <c r="AQ426" s="176">
        <v>10.1</v>
      </c>
      <c r="AR426" s="176">
        <v>10.124999999999998</v>
      </c>
      <c r="AS426" s="176">
        <v>10.129999999999999</v>
      </c>
      <c r="AT426" s="173" t="str">
        <f t="shared" si="54"/>
        <v/>
      </c>
      <c r="AU426" s="173">
        <v>462</v>
      </c>
      <c r="AW426" s="142" t="s">
        <v>123</v>
      </c>
    </row>
    <row r="427" spans="2:53" s="142" customFormat="1" ht="21" customHeight="1" x14ac:dyDescent="0.25">
      <c r="B427" s="173" t="str">
        <f t="shared" si="50"/>
        <v>0-304/1D-3.47X637</v>
      </c>
      <c r="C427" s="173" t="s">
        <v>4230</v>
      </c>
      <c r="D427" s="173" t="s">
        <v>13</v>
      </c>
      <c r="E427" s="190" t="s">
        <v>4245</v>
      </c>
      <c r="F427" s="190" t="s">
        <v>4246</v>
      </c>
      <c r="G427" s="173">
        <v>304</v>
      </c>
      <c r="H427" s="173" t="s">
        <v>127</v>
      </c>
      <c r="I427" s="174">
        <v>3.47</v>
      </c>
      <c r="J427" s="174"/>
      <c r="K427" s="174"/>
      <c r="L427" s="174"/>
      <c r="M427" s="191">
        <v>637</v>
      </c>
      <c r="N427" s="176">
        <v>8.2149999999999999</v>
      </c>
      <c r="O427" s="176">
        <v>8.2149999999999999</v>
      </c>
      <c r="P427" s="176"/>
      <c r="Q427" s="178"/>
      <c r="R427" s="179"/>
      <c r="S427" s="179"/>
      <c r="T427" s="177">
        <v>44951</v>
      </c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80" t="s">
        <v>1643</v>
      </c>
      <c r="AE427" s="173" t="s">
        <v>69</v>
      </c>
      <c r="AF427" s="181" t="s">
        <v>142</v>
      </c>
      <c r="AG427" s="192" t="s">
        <v>1657</v>
      </c>
      <c r="AH427" s="198"/>
      <c r="AI427" s="181">
        <v>44849</v>
      </c>
      <c r="AJ427" s="181"/>
      <c r="AK427" s="181">
        <f t="shared" ca="1" si="49"/>
        <v>44958</v>
      </c>
      <c r="AL427" s="173">
        <f t="shared" ca="1" si="51"/>
        <v>109</v>
      </c>
      <c r="AM427" s="173" t="str">
        <f t="shared" si="52"/>
        <v/>
      </c>
      <c r="AN427" s="181"/>
      <c r="AO427" s="190" t="s">
        <v>1763</v>
      </c>
      <c r="AP427" s="176">
        <v>8.2149999999999999</v>
      </c>
      <c r="AQ427" s="176">
        <v>8.2249999999999996</v>
      </c>
      <c r="AR427" s="176">
        <v>8.2499999999999982</v>
      </c>
      <c r="AS427" s="176">
        <v>8.254999999999999</v>
      </c>
      <c r="AT427" s="173" t="str">
        <f t="shared" si="54"/>
        <v/>
      </c>
      <c r="AU427" s="173">
        <v>456</v>
      </c>
      <c r="AW427" s="142" t="s">
        <v>123</v>
      </c>
    </row>
    <row r="428" spans="2:53" s="142" customFormat="1" ht="21" customHeight="1" x14ac:dyDescent="0.25">
      <c r="B428" s="173" t="str">
        <f t="shared" si="50"/>
        <v>0-304L/FH-0.90X771</v>
      </c>
      <c r="C428" s="173" t="s">
        <v>4231</v>
      </c>
      <c r="D428" s="173" t="s">
        <v>16</v>
      </c>
      <c r="E428" s="190" t="s">
        <v>4228</v>
      </c>
      <c r="F428" s="190" t="s">
        <v>4229</v>
      </c>
      <c r="G428" s="173" t="s">
        <v>182</v>
      </c>
      <c r="H428" s="173" t="s">
        <v>70</v>
      </c>
      <c r="I428" s="174">
        <v>2.77</v>
      </c>
      <c r="J428" s="174">
        <v>0.9</v>
      </c>
      <c r="K428" s="174"/>
      <c r="L428" s="174"/>
      <c r="M428" s="191">
        <v>771</v>
      </c>
      <c r="N428" s="176">
        <v>10.55</v>
      </c>
      <c r="O428" s="176">
        <v>10.55</v>
      </c>
      <c r="P428" s="176"/>
      <c r="Q428" s="178"/>
      <c r="R428" s="179"/>
      <c r="S428" s="179"/>
      <c r="T428" s="177">
        <v>44950</v>
      </c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80" t="s">
        <v>1643</v>
      </c>
      <c r="AE428" s="173" t="s">
        <v>69</v>
      </c>
      <c r="AF428" s="181" t="s">
        <v>142</v>
      </c>
      <c r="AG428" s="192" t="s">
        <v>1584</v>
      </c>
      <c r="AH428" s="198"/>
      <c r="AI428" s="181">
        <v>44914</v>
      </c>
      <c r="AJ428" s="181"/>
      <c r="AK428" s="181">
        <f t="shared" ca="1" si="49"/>
        <v>44958</v>
      </c>
      <c r="AL428" s="173">
        <f t="shared" ca="1" si="51"/>
        <v>44</v>
      </c>
      <c r="AM428" s="173" t="str">
        <f t="shared" si="52"/>
        <v/>
      </c>
      <c r="AN428" s="181"/>
      <c r="AO428" s="190" t="s">
        <v>4213</v>
      </c>
      <c r="AP428" s="176">
        <v>10.55</v>
      </c>
      <c r="AQ428" s="176">
        <v>10.56</v>
      </c>
      <c r="AR428" s="176">
        <v>10.584999999999999</v>
      </c>
      <c r="AS428" s="176">
        <v>10.59</v>
      </c>
      <c r="AT428" s="173" t="str">
        <f t="shared" si="54"/>
        <v/>
      </c>
      <c r="AU428" s="173">
        <v>462</v>
      </c>
      <c r="AW428" s="142" t="s">
        <v>123</v>
      </c>
    </row>
    <row r="429" spans="2:53" s="142" customFormat="1" ht="21" customHeight="1" x14ac:dyDescent="0.25">
      <c r="B429" s="173" t="str">
        <f t="shared" si="50"/>
        <v>0-304/1D-3.39X643</v>
      </c>
      <c r="C429" s="173" t="s">
        <v>4247</v>
      </c>
      <c r="D429" s="173" t="s">
        <v>13</v>
      </c>
      <c r="E429" s="190" t="s">
        <v>4248</v>
      </c>
      <c r="F429" s="190" t="s">
        <v>4249</v>
      </c>
      <c r="G429" s="173">
        <v>304</v>
      </c>
      <c r="H429" s="173" t="s">
        <v>127</v>
      </c>
      <c r="I429" s="174">
        <v>3.39</v>
      </c>
      <c r="J429" s="174"/>
      <c r="K429" s="174"/>
      <c r="L429" s="174"/>
      <c r="M429" s="191">
        <v>643</v>
      </c>
      <c r="N429" s="176">
        <v>10.055</v>
      </c>
      <c r="O429" s="176">
        <v>10.055</v>
      </c>
      <c r="P429" s="176"/>
      <c r="Q429" s="178"/>
      <c r="R429" s="179"/>
      <c r="S429" s="179"/>
      <c r="T429" s="177">
        <v>44952</v>
      </c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80" t="s">
        <v>1605</v>
      </c>
      <c r="AE429" s="173" t="s">
        <v>69</v>
      </c>
      <c r="AF429" s="181" t="s">
        <v>142</v>
      </c>
      <c r="AG429" s="192" t="s">
        <v>1657</v>
      </c>
      <c r="AH429" s="198"/>
      <c r="AI429" s="181">
        <v>44849</v>
      </c>
      <c r="AJ429" s="181"/>
      <c r="AK429" s="181">
        <f t="shared" ca="1" si="49"/>
        <v>44958</v>
      </c>
      <c r="AL429" s="173">
        <f t="shared" ca="1" si="51"/>
        <v>109</v>
      </c>
      <c r="AM429" s="173" t="str">
        <f t="shared" si="52"/>
        <v/>
      </c>
      <c r="AN429" s="181"/>
      <c r="AO429" s="190" t="s">
        <v>4184</v>
      </c>
      <c r="AP429" s="176">
        <v>10.055</v>
      </c>
      <c r="AQ429" s="176">
        <v>10.065</v>
      </c>
      <c r="AR429" s="176">
        <v>10.089999999999998</v>
      </c>
      <c r="AS429" s="176">
        <v>10.094999999999999</v>
      </c>
      <c r="AT429" s="173" t="str">
        <f t="shared" si="54"/>
        <v/>
      </c>
      <c r="AU429" s="173">
        <v>456</v>
      </c>
      <c r="AW429" s="142" t="s">
        <v>123</v>
      </c>
    </row>
    <row r="430" spans="2:53" s="142" customFormat="1" ht="21" customHeight="1" x14ac:dyDescent="0.25">
      <c r="B430" s="173" t="str">
        <f t="shared" si="50"/>
        <v>0-304L/FH-1.15X642</v>
      </c>
      <c r="C430" s="173" t="s">
        <v>4250</v>
      </c>
      <c r="D430" s="173" t="s">
        <v>16</v>
      </c>
      <c r="E430" s="190" t="s">
        <v>4239</v>
      </c>
      <c r="F430" s="190" t="s">
        <v>4240</v>
      </c>
      <c r="G430" s="173" t="s">
        <v>182</v>
      </c>
      <c r="H430" s="173" t="s">
        <v>70</v>
      </c>
      <c r="I430" s="174">
        <v>2.96</v>
      </c>
      <c r="J430" s="174">
        <v>1.1499999999999999</v>
      </c>
      <c r="K430" s="174"/>
      <c r="L430" s="174"/>
      <c r="M430" s="191">
        <v>642</v>
      </c>
      <c r="N430" s="176">
        <v>10.09</v>
      </c>
      <c r="O430" s="176">
        <v>10.115</v>
      </c>
      <c r="P430" s="176"/>
      <c r="Q430" s="178"/>
      <c r="R430" s="179"/>
      <c r="S430" s="179"/>
      <c r="T430" s="177">
        <v>44951</v>
      </c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80" t="s">
        <v>1643</v>
      </c>
      <c r="AE430" s="173" t="s">
        <v>69</v>
      </c>
      <c r="AF430" s="181" t="s">
        <v>142</v>
      </c>
      <c r="AG430" s="192" t="s">
        <v>1657</v>
      </c>
      <c r="AH430" s="198"/>
      <c r="AI430" s="181">
        <v>44849</v>
      </c>
      <c r="AJ430" s="181"/>
      <c r="AK430" s="181">
        <f t="shared" ca="1" si="49"/>
        <v>44958</v>
      </c>
      <c r="AL430" s="173">
        <f t="shared" ca="1" si="51"/>
        <v>109</v>
      </c>
      <c r="AM430" s="173" t="str">
        <f t="shared" si="52"/>
        <v/>
      </c>
      <c r="AN430" s="181"/>
      <c r="AO430" s="190" t="s">
        <v>4241</v>
      </c>
      <c r="AP430" s="176">
        <v>10.09</v>
      </c>
      <c r="AQ430" s="176">
        <v>10.1</v>
      </c>
      <c r="AR430" s="176">
        <v>10.124999999999998</v>
      </c>
      <c r="AS430" s="176">
        <v>10.129999999999999</v>
      </c>
      <c r="AT430" s="173" t="str">
        <f t="shared" si="54"/>
        <v/>
      </c>
      <c r="AU430" s="173">
        <v>456</v>
      </c>
      <c r="AW430" s="142" t="s">
        <v>123</v>
      </c>
    </row>
    <row r="431" spans="2:53" s="142" customFormat="1" ht="21" customHeight="1" x14ac:dyDescent="0.25">
      <c r="B431" s="173" t="str">
        <f t="shared" si="50"/>
        <v>0-304L/1D-3.50X643</v>
      </c>
      <c r="C431" s="173" t="s">
        <v>4247</v>
      </c>
      <c r="D431" s="173" t="s">
        <v>13</v>
      </c>
      <c r="E431" s="190" t="s">
        <v>4251</v>
      </c>
      <c r="F431" s="190" t="s">
        <v>4252</v>
      </c>
      <c r="G431" s="173" t="s">
        <v>182</v>
      </c>
      <c r="H431" s="173" t="s">
        <v>127</v>
      </c>
      <c r="I431" s="174">
        <v>3.5</v>
      </c>
      <c r="J431" s="174"/>
      <c r="K431" s="174"/>
      <c r="L431" s="174"/>
      <c r="M431" s="191">
        <v>643</v>
      </c>
      <c r="N431" s="176">
        <v>10.615</v>
      </c>
      <c r="O431" s="176">
        <v>10.615</v>
      </c>
      <c r="P431" s="176"/>
      <c r="Q431" s="178"/>
      <c r="R431" s="179"/>
      <c r="S431" s="179"/>
      <c r="T431" s="177">
        <v>44952</v>
      </c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80" t="s">
        <v>1605</v>
      </c>
      <c r="AE431" s="173" t="s">
        <v>69</v>
      </c>
      <c r="AF431" s="181" t="s">
        <v>142</v>
      </c>
      <c r="AG431" s="192" t="s">
        <v>1657</v>
      </c>
      <c r="AH431" s="198"/>
      <c r="AI431" s="181">
        <v>44849</v>
      </c>
      <c r="AJ431" s="181"/>
      <c r="AK431" s="181">
        <f t="shared" ca="1" si="49"/>
        <v>44958</v>
      </c>
      <c r="AL431" s="173">
        <f t="shared" ca="1" si="51"/>
        <v>109</v>
      </c>
      <c r="AM431" s="173" t="str">
        <f t="shared" si="52"/>
        <v/>
      </c>
      <c r="AN431" s="181"/>
      <c r="AO431" s="190" t="s">
        <v>1760</v>
      </c>
      <c r="AP431" s="176">
        <v>10.615</v>
      </c>
      <c r="AQ431" s="176">
        <v>10.625</v>
      </c>
      <c r="AR431" s="176">
        <v>10.649999999999999</v>
      </c>
      <c r="AS431" s="176">
        <v>10.654999999999999</v>
      </c>
      <c r="AT431" s="173" t="str">
        <f t="shared" si="54"/>
        <v/>
      </c>
      <c r="AU431" s="173">
        <v>456</v>
      </c>
      <c r="AW431" s="142" t="s">
        <v>123</v>
      </c>
    </row>
    <row r="432" spans="2:53" s="142" customFormat="1" ht="21" customHeight="1" x14ac:dyDescent="0.25">
      <c r="B432" s="173" t="str">
        <f t="shared" si="50"/>
        <v>0-304L/FH-0.90X643</v>
      </c>
      <c r="C432" s="173" t="s">
        <v>4250</v>
      </c>
      <c r="D432" s="173" t="s">
        <v>16</v>
      </c>
      <c r="E432" s="190" t="s">
        <v>4237</v>
      </c>
      <c r="F432" s="190" t="s">
        <v>4238</v>
      </c>
      <c r="G432" s="173" t="s">
        <v>182</v>
      </c>
      <c r="H432" s="173" t="s">
        <v>70</v>
      </c>
      <c r="I432" s="174">
        <v>2.88</v>
      </c>
      <c r="J432" s="174">
        <v>0.9</v>
      </c>
      <c r="K432" s="174"/>
      <c r="L432" s="174"/>
      <c r="M432" s="191">
        <v>643</v>
      </c>
      <c r="N432" s="176">
        <v>8.8849999999999998</v>
      </c>
      <c r="O432" s="176">
        <v>8.89</v>
      </c>
      <c r="P432" s="176"/>
      <c r="Q432" s="178"/>
      <c r="R432" s="179"/>
      <c r="S432" s="179"/>
      <c r="T432" s="177">
        <v>44951</v>
      </c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80" t="s">
        <v>1643</v>
      </c>
      <c r="AE432" s="173" t="s">
        <v>69</v>
      </c>
      <c r="AF432" s="181" t="s">
        <v>142</v>
      </c>
      <c r="AG432" s="192" t="s">
        <v>1657</v>
      </c>
      <c r="AH432" s="198"/>
      <c r="AI432" s="181">
        <v>44849</v>
      </c>
      <c r="AJ432" s="181"/>
      <c r="AK432" s="181">
        <f t="shared" ca="1" si="49"/>
        <v>44958</v>
      </c>
      <c r="AL432" s="173">
        <f t="shared" ca="1" si="51"/>
        <v>109</v>
      </c>
      <c r="AM432" s="173" t="str">
        <f t="shared" si="52"/>
        <v/>
      </c>
      <c r="AN432" s="181"/>
      <c r="AO432" s="190" t="s">
        <v>4037</v>
      </c>
      <c r="AP432" s="176">
        <v>8.8849999999999998</v>
      </c>
      <c r="AQ432" s="176">
        <v>8.8949999999999996</v>
      </c>
      <c r="AR432" s="176">
        <v>8.9199999999999982</v>
      </c>
      <c r="AS432" s="176">
        <v>8.9249999999999989</v>
      </c>
      <c r="AT432" s="173" t="str">
        <f t="shared" si="54"/>
        <v/>
      </c>
      <c r="AU432" s="173">
        <v>456</v>
      </c>
      <c r="AW432" s="142" t="s">
        <v>123</v>
      </c>
    </row>
    <row r="433" spans="2:53" s="142" customFormat="1" ht="21" customHeight="1" x14ac:dyDescent="0.25">
      <c r="B433" s="173" t="str">
        <f t="shared" si="50"/>
        <v>0-J3/1D-2.20X620</v>
      </c>
      <c r="C433" s="173" t="s">
        <v>4253</v>
      </c>
      <c r="D433" s="173" t="s">
        <v>13</v>
      </c>
      <c r="E433" s="190" t="s">
        <v>2858</v>
      </c>
      <c r="F433" s="190" t="s">
        <v>2859</v>
      </c>
      <c r="G433" s="173" t="s">
        <v>34</v>
      </c>
      <c r="H433" s="173" t="s">
        <v>127</v>
      </c>
      <c r="I433" s="174">
        <v>2.2000000000000002</v>
      </c>
      <c r="J433" s="174"/>
      <c r="K433" s="174"/>
      <c r="L433" s="174"/>
      <c r="M433" s="191">
        <v>620</v>
      </c>
      <c r="N433" s="176">
        <v>9.9730000000000008</v>
      </c>
      <c r="O433" s="176">
        <v>9.9730000000000008</v>
      </c>
      <c r="P433" s="176"/>
      <c r="Q433" s="178"/>
      <c r="R433" s="179"/>
      <c r="S433" s="179"/>
      <c r="T433" s="177">
        <v>44952</v>
      </c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80"/>
      <c r="AE433" s="173" t="s">
        <v>69</v>
      </c>
      <c r="AF433" s="181" t="s">
        <v>119</v>
      </c>
      <c r="AG433" s="192" t="s">
        <v>2834</v>
      </c>
      <c r="AH433" s="198">
        <v>44895</v>
      </c>
      <c r="AI433" s="181">
        <v>44925</v>
      </c>
      <c r="AJ433" s="181"/>
      <c r="AK433" s="181">
        <f t="shared" ca="1" si="49"/>
        <v>44958</v>
      </c>
      <c r="AL433" s="173">
        <f t="shared" ca="1" si="51"/>
        <v>33</v>
      </c>
      <c r="AM433" s="173" t="str">
        <f t="shared" si="52"/>
        <v/>
      </c>
      <c r="AN433" s="181" t="s">
        <v>2851</v>
      </c>
      <c r="AO433" s="190" t="s">
        <v>2860</v>
      </c>
      <c r="AP433" s="176">
        <v>9.9730000000000008</v>
      </c>
      <c r="AQ433" s="176">
        <v>9.9930000000000003</v>
      </c>
      <c r="AR433" s="176">
        <v>10.017999999999999</v>
      </c>
      <c r="AS433" s="176">
        <v>10.023</v>
      </c>
      <c r="AT433" s="173"/>
      <c r="AU433" s="173">
        <v>464</v>
      </c>
      <c r="AV433" s="149"/>
      <c r="AW433" s="142" t="s">
        <v>123</v>
      </c>
      <c r="AY433" s="212"/>
      <c r="AZ433" s="196"/>
      <c r="BA433" s="196"/>
    </row>
    <row r="434" spans="2:53" s="142" customFormat="1" ht="21" customHeight="1" x14ac:dyDescent="0.25">
      <c r="B434" s="173" t="str">
        <f t="shared" si="50"/>
        <v>0-304L/1D-2.96X644</v>
      </c>
      <c r="C434" s="173" t="s">
        <v>4247</v>
      </c>
      <c r="D434" s="173" t="s">
        <v>13</v>
      </c>
      <c r="E434" s="190" t="s">
        <v>4254</v>
      </c>
      <c r="F434" s="190" t="s">
        <v>4255</v>
      </c>
      <c r="G434" s="173" t="s">
        <v>182</v>
      </c>
      <c r="H434" s="173" t="s">
        <v>127</v>
      </c>
      <c r="I434" s="174">
        <v>2.96</v>
      </c>
      <c r="J434" s="174"/>
      <c r="K434" s="174"/>
      <c r="L434" s="174"/>
      <c r="M434" s="191">
        <v>644</v>
      </c>
      <c r="N434" s="176">
        <v>10.135</v>
      </c>
      <c r="O434" s="176">
        <v>10.135</v>
      </c>
      <c r="P434" s="176"/>
      <c r="Q434" s="178"/>
      <c r="R434" s="179"/>
      <c r="S434" s="179"/>
      <c r="T434" s="177">
        <v>44952</v>
      </c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80" t="s">
        <v>1643</v>
      </c>
      <c r="AE434" s="173" t="s">
        <v>69</v>
      </c>
      <c r="AF434" s="181" t="s">
        <v>142</v>
      </c>
      <c r="AG434" s="192" t="s">
        <v>1657</v>
      </c>
      <c r="AH434" s="198"/>
      <c r="AI434" s="181">
        <v>44849</v>
      </c>
      <c r="AJ434" s="181"/>
      <c r="AK434" s="181">
        <f t="shared" ca="1" si="49"/>
        <v>44958</v>
      </c>
      <c r="AL434" s="173">
        <f t="shared" ca="1" si="51"/>
        <v>109</v>
      </c>
      <c r="AM434" s="173" t="str">
        <f t="shared" si="52"/>
        <v/>
      </c>
      <c r="AN434" s="181"/>
      <c r="AO434" s="190" t="s">
        <v>4241</v>
      </c>
      <c r="AP434" s="176">
        <v>10.135</v>
      </c>
      <c r="AQ434" s="176">
        <v>10.145</v>
      </c>
      <c r="AR434" s="176">
        <v>10.169999999999998</v>
      </c>
      <c r="AS434" s="176">
        <v>10.174999999999999</v>
      </c>
      <c r="AT434" s="173" t="str">
        <f t="shared" ref="AT434:AT497" si="55">IF(ISNUMBER(V434)=TRUE,AK434-V434,IF(V434="","",(AK434)-(MID(RIGHT(V434,10),4,2)&amp;"/"&amp;LEFT((RIGHT(V434,10)),2)&amp;"/"&amp;RIGHT(V434,4))))</f>
        <v/>
      </c>
      <c r="AU434" s="173">
        <v>456</v>
      </c>
      <c r="AW434" s="142" t="s">
        <v>123</v>
      </c>
    </row>
    <row r="435" spans="2:53" s="142" customFormat="1" ht="21" customHeight="1" x14ac:dyDescent="0.25">
      <c r="B435" s="173" t="str">
        <f t="shared" si="50"/>
        <v>0-304/FH-1.00X637</v>
      </c>
      <c r="C435" s="173" t="s">
        <v>4250</v>
      </c>
      <c r="D435" s="173" t="s">
        <v>16</v>
      </c>
      <c r="E435" s="190" t="s">
        <v>4245</v>
      </c>
      <c r="F435" s="190" t="s">
        <v>4246</v>
      </c>
      <c r="G435" s="173">
        <v>304</v>
      </c>
      <c r="H435" s="173" t="s">
        <v>70</v>
      </c>
      <c r="I435" s="174">
        <v>3.47</v>
      </c>
      <c r="J435" s="174">
        <v>1</v>
      </c>
      <c r="K435" s="174"/>
      <c r="L435" s="174"/>
      <c r="M435" s="191">
        <v>637</v>
      </c>
      <c r="N435" s="176">
        <v>8.2149999999999999</v>
      </c>
      <c r="O435" s="176">
        <v>8.2200000000000006</v>
      </c>
      <c r="P435" s="176"/>
      <c r="Q435" s="178"/>
      <c r="R435" s="179"/>
      <c r="S435" s="179"/>
      <c r="T435" s="177">
        <v>44951</v>
      </c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80" t="s">
        <v>1643</v>
      </c>
      <c r="AE435" s="173" t="s">
        <v>69</v>
      </c>
      <c r="AF435" s="181" t="s">
        <v>142</v>
      </c>
      <c r="AG435" s="192" t="s">
        <v>1657</v>
      </c>
      <c r="AH435" s="198"/>
      <c r="AI435" s="181">
        <v>44849</v>
      </c>
      <c r="AJ435" s="181"/>
      <c r="AK435" s="181">
        <f t="shared" ca="1" si="49"/>
        <v>44958</v>
      </c>
      <c r="AL435" s="173">
        <f t="shared" ca="1" si="51"/>
        <v>109</v>
      </c>
      <c r="AM435" s="173" t="str">
        <f t="shared" si="52"/>
        <v/>
      </c>
      <c r="AN435" s="181"/>
      <c r="AO435" s="190" t="s">
        <v>1763</v>
      </c>
      <c r="AP435" s="176">
        <v>8.2149999999999999</v>
      </c>
      <c r="AQ435" s="176">
        <v>8.2249999999999996</v>
      </c>
      <c r="AR435" s="176">
        <v>8.2499999999999982</v>
      </c>
      <c r="AS435" s="176">
        <v>8.254999999999999</v>
      </c>
      <c r="AT435" s="173" t="str">
        <f t="shared" si="55"/>
        <v/>
      </c>
      <c r="AU435" s="173">
        <v>456</v>
      </c>
      <c r="AW435" s="142" t="s">
        <v>123</v>
      </c>
    </row>
    <row r="436" spans="2:53" s="142" customFormat="1" ht="21" customHeight="1" x14ac:dyDescent="0.25">
      <c r="B436" s="173" t="str">
        <f t="shared" si="50"/>
        <v>0-304L/1D-3.51X643</v>
      </c>
      <c r="C436" s="173" t="s">
        <v>4247</v>
      </c>
      <c r="D436" s="173" t="s">
        <v>13</v>
      </c>
      <c r="E436" s="190" t="s">
        <v>4256</v>
      </c>
      <c r="F436" s="190" t="s">
        <v>4257</v>
      </c>
      <c r="G436" s="173" t="s">
        <v>182</v>
      </c>
      <c r="H436" s="173" t="s">
        <v>127</v>
      </c>
      <c r="I436" s="174">
        <v>3.51</v>
      </c>
      <c r="J436" s="174"/>
      <c r="K436" s="174"/>
      <c r="L436" s="174"/>
      <c r="M436" s="191">
        <v>643</v>
      </c>
      <c r="N436" s="176">
        <v>10.74</v>
      </c>
      <c r="O436" s="176">
        <v>10.74</v>
      </c>
      <c r="P436" s="176"/>
      <c r="Q436" s="178"/>
      <c r="R436" s="179"/>
      <c r="S436" s="179"/>
      <c r="T436" s="177">
        <v>44952</v>
      </c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80" t="s">
        <v>1643</v>
      </c>
      <c r="AE436" s="173" t="s">
        <v>69</v>
      </c>
      <c r="AF436" s="181" t="s">
        <v>142</v>
      </c>
      <c r="AG436" s="192" t="s">
        <v>1657</v>
      </c>
      <c r="AH436" s="198"/>
      <c r="AI436" s="181">
        <v>44849</v>
      </c>
      <c r="AJ436" s="181"/>
      <c r="AK436" s="181">
        <f t="shared" ca="1" si="49"/>
        <v>44958</v>
      </c>
      <c r="AL436" s="173">
        <f t="shared" ca="1" si="51"/>
        <v>109</v>
      </c>
      <c r="AM436" s="173" t="str">
        <f t="shared" si="52"/>
        <v/>
      </c>
      <c r="AN436" s="181"/>
      <c r="AO436" s="190" t="s">
        <v>1679</v>
      </c>
      <c r="AP436" s="176">
        <v>10.74</v>
      </c>
      <c r="AQ436" s="176">
        <v>10.75</v>
      </c>
      <c r="AR436" s="176">
        <v>10.774999999999999</v>
      </c>
      <c r="AS436" s="176">
        <v>10.78</v>
      </c>
      <c r="AT436" s="173" t="str">
        <f t="shared" si="55"/>
        <v/>
      </c>
      <c r="AU436" s="173">
        <v>456</v>
      </c>
      <c r="AW436" s="142" t="s">
        <v>123</v>
      </c>
    </row>
    <row r="437" spans="2:53" s="142" customFormat="1" ht="21" customHeight="1" x14ac:dyDescent="0.25">
      <c r="B437" s="173" t="str">
        <f t="shared" si="50"/>
        <v>0-304/FH-1.15X642</v>
      </c>
      <c r="C437" s="173" t="s">
        <v>4250</v>
      </c>
      <c r="D437" s="173" t="s">
        <v>16</v>
      </c>
      <c r="E437" s="190" t="s">
        <v>4242</v>
      </c>
      <c r="F437" s="190" t="s">
        <v>4243</v>
      </c>
      <c r="G437" s="173">
        <v>304</v>
      </c>
      <c r="H437" s="173" t="s">
        <v>70</v>
      </c>
      <c r="I437" s="174">
        <v>3.01</v>
      </c>
      <c r="J437" s="174">
        <v>1.1499999999999999</v>
      </c>
      <c r="K437" s="174"/>
      <c r="L437" s="174"/>
      <c r="M437" s="191">
        <v>642</v>
      </c>
      <c r="N437" s="176">
        <v>10.66</v>
      </c>
      <c r="O437" s="176">
        <v>10.675000000000001</v>
      </c>
      <c r="P437" s="176"/>
      <c r="Q437" s="178"/>
      <c r="R437" s="179"/>
      <c r="S437" s="179"/>
      <c r="T437" s="177">
        <v>44951</v>
      </c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80" t="s">
        <v>1643</v>
      </c>
      <c r="AE437" s="173" t="s">
        <v>69</v>
      </c>
      <c r="AF437" s="181" t="s">
        <v>142</v>
      </c>
      <c r="AG437" s="192" t="s">
        <v>1657</v>
      </c>
      <c r="AH437" s="198"/>
      <c r="AI437" s="181">
        <v>44849</v>
      </c>
      <c r="AJ437" s="181"/>
      <c r="AK437" s="181">
        <f t="shared" ca="1" si="49"/>
        <v>44958</v>
      </c>
      <c r="AL437" s="173">
        <f t="shared" ca="1" si="51"/>
        <v>109</v>
      </c>
      <c r="AM437" s="173" t="str">
        <f t="shared" si="52"/>
        <v/>
      </c>
      <c r="AN437" s="181"/>
      <c r="AO437" s="190" t="s">
        <v>4244</v>
      </c>
      <c r="AP437" s="176">
        <v>10.66</v>
      </c>
      <c r="AQ437" s="176">
        <v>10.67</v>
      </c>
      <c r="AR437" s="176">
        <v>10.694999999999999</v>
      </c>
      <c r="AS437" s="176">
        <v>10.7</v>
      </c>
      <c r="AT437" s="173" t="str">
        <f t="shared" si="55"/>
        <v/>
      </c>
      <c r="AU437" s="173">
        <v>456</v>
      </c>
      <c r="AW437" s="142" t="s">
        <v>123</v>
      </c>
    </row>
    <row r="438" spans="2:53" s="142" customFormat="1" ht="21" customHeight="1" x14ac:dyDescent="0.25">
      <c r="B438" s="173" t="str">
        <f t="shared" si="50"/>
        <v>0-304/1D-3.89X641</v>
      </c>
      <c r="C438" s="173" t="s">
        <v>4247</v>
      </c>
      <c r="D438" s="173" t="s">
        <v>13</v>
      </c>
      <c r="E438" s="190" t="s">
        <v>4258</v>
      </c>
      <c r="F438" s="190" t="s">
        <v>4259</v>
      </c>
      <c r="G438" s="173">
        <v>304</v>
      </c>
      <c r="H438" s="173" t="s">
        <v>127</v>
      </c>
      <c r="I438" s="174">
        <v>3.89</v>
      </c>
      <c r="J438" s="174"/>
      <c r="K438" s="174"/>
      <c r="L438" s="174"/>
      <c r="M438" s="191">
        <v>641</v>
      </c>
      <c r="N438" s="176">
        <v>10.305</v>
      </c>
      <c r="O438" s="176">
        <v>10.305</v>
      </c>
      <c r="P438" s="176"/>
      <c r="Q438" s="178"/>
      <c r="R438" s="179"/>
      <c r="S438" s="179"/>
      <c r="T438" s="177">
        <v>44952</v>
      </c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80" t="s">
        <v>1605</v>
      </c>
      <c r="AE438" s="173" t="s">
        <v>69</v>
      </c>
      <c r="AF438" s="181" t="s">
        <v>142</v>
      </c>
      <c r="AG438" s="192" t="s">
        <v>1594</v>
      </c>
      <c r="AH438" s="198"/>
      <c r="AI438" s="181">
        <v>44849</v>
      </c>
      <c r="AJ438" s="181"/>
      <c r="AK438" s="181">
        <f t="shared" ca="1" si="49"/>
        <v>44958</v>
      </c>
      <c r="AL438" s="173">
        <f t="shared" ca="1" si="51"/>
        <v>109</v>
      </c>
      <c r="AM438" s="173" t="str">
        <f t="shared" si="52"/>
        <v/>
      </c>
      <c r="AN438" s="181"/>
      <c r="AO438" s="190" t="s">
        <v>4075</v>
      </c>
      <c r="AP438" s="176">
        <v>10.305</v>
      </c>
      <c r="AQ438" s="176">
        <v>10.315</v>
      </c>
      <c r="AR438" s="176">
        <v>10.339999999999998</v>
      </c>
      <c r="AS438" s="176">
        <v>10.344999999999999</v>
      </c>
      <c r="AT438" s="173" t="str">
        <f t="shared" si="55"/>
        <v/>
      </c>
      <c r="AU438" s="173">
        <v>456</v>
      </c>
      <c r="AW438" s="142" t="s">
        <v>123</v>
      </c>
    </row>
    <row r="439" spans="2:53" s="142" customFormat="1" ht="21" customHeight="1" x14ac:dyDescent="0.25">
      <c r="B439" s="173" t="str">
        <f t="shared" si="50"/>
        <v>0-304/FH-1.15X643</v>
      </c>
      <c r="C439" s="173" t="s">
        <v>4250</v>
      </c>
      <c r="D439" s="173" t="s">
        <v>16</v>
      </c>
      <c r="E439" s="190" t="s">
        <v>4248</v>
      </c>
      <c r="F439" s="190" t="s">
        <v>4249</v>
      </c>
      <c r="G439" s="173">
        <v>304</v>
      </c>
      <c r="H439" s="173" t="s">
        <v>70</v>
      </c>
      <c r="I439" s="174">
        <v>3.39</v>
      </c>
      <c r="J439" s="174">
        <v>1.1499999999999999</v>
      </c>
      <c r="K439" s="174"/>
      <c r="L439" s="174"/>
      <c r="M439" s="191">
        <v>643</v>
      </c>
      <c r="N439" s="176">
        <v>10.055</v>
      </c>
      <c r="O439" s="176">
        <v>10.055</v>
      </c>
      <c r="P439" s="176"/>
      <c r="Q439" s="178"/>
      <c r="R439" s="179"/>
      <c r="S439" s="179"/>
      <c r="T439" s="177">
        <v>44952</v>
      </c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80" t="s">
        <v>1605</v>
      </c>
      <c r="AE439" s="173" t="s">
        <v>69</v>
      </c>
      <c r="AF439" s="181" t="s">
        <v>142</v>
      </c>
      <c r="AG439" s="192" t="s">
        <v>1657</v>
      </c>
      <c r="AH439" s="198"/>
      <c r="AI439" s="181">
        <v>44849</v>
      </c>
      <c r="AJ439" s="181"/>
      <c r="AK439" s="181">
        <f t="shared" ca="1" si="49"/>
        <v>44958</v>
      </c>
      <c r="AL439" s="173">
        <f t="shared" ca="1" si="51"/>
        <v>109</v>
      </c>
      <c r="AM439" s="173" t="str">
        <f t="shared" si="52"/>
        <v/>
      </c>
      <c r="AN439" s="181"/>
      <c r="AO439" s="190" t="s">
        <v>4184</v>
      </c>
      <c r="AP439" s="176">
        <v>10.055</v>
      </c>
      <c r="AQ439" s="176">
        <v>10.065</v>
      </c>
      <c r="AR439" s="176">
        <v>10.089999999999998</v>
      </c>
      <c r="AS439" s="176">
        <v>10.094999999999999</v>
      </c>
      <c r="AT439" s="173" t="str">
        <f t="shared" si="55"/>
        <v/>
      </c>
      <c r="AU439" s="173">
        <v>456</v>
      </c>
      <c r="AW439" s="142" t="s">
        <v>123</v>
      </c>
    </row>
    <row r="440" spans="2:53" s="142" customFormat="1" ht="21" customHeight="1" x14ac:dyDescent="0.25">
      <c r="B440" s="173" t="str">
        <f t="shared" si="50"/>
        <v>0-304L/2B-2.00X765</v>
      </c>
      <c r="C440" s="173" t="s">
        <v>4260</v>
      </c>
      <c r="D440" s="173" t="s">
        <v>1237</v>
      </c>
      <c r="E440" s="190" t="s">
        <v>2352</v>
      </c>
      <c r="F440" s="190" t="s">
        <v>2353</v>
      </c>
      <c r="G440" s="173" t="s">
        <v>182</v>
      </c>
      <c r="H440" s="173" t="s">
        <v>114</v>
      </c>
      <c r="I440" s="174">
        <v>3.96</v>
      </c>
      <c r="J440" s="174">
        <v>2</v>
      </c>
      <c r="K440" s="174">
        <v>2</v>
      </c>
      <c r="L440" s="174">
        <v>2.0099999999999998</v>
      </c>
      <c r="M440" s="191">
        <v>765</v>
      </c>
      <c r="N440" s="176">
        <v>10.57</v>
      </c>
      <c r="O440" s="176">
        <v>10.57</v>
      </c>
      <c r="P440" s="176"/>
      <c r="Q440" s="178" t="s">
        <v>1386</v>
      </c>
      <c r="R440" s="179"/>
      <c r="S440" s="179"/>
      <c r="T440" s="177" t="s">
        <v>2354</v>
      </c>
      <c r="U440" s="177"/>
      <c r="V440" s="177">
        <v>44940</v>
      </c>
      <c r="W440" s="177"/>
      <c r="X440" s="177">
        <v>44950</v>
      </c>
      <c r="Y440" s="177"/>
      <c r="Z440" s="177"/>
      <c r="AA440" s="177"/>
      <c r="AB440" s="177"/>
      <c r="AC440" s="177"/>
      <c r="AD440" s="180" t="s">
        <v>1345</v>
      </c>
      <c r="AE440" s="173" t="s">
        <v>69</v>
      </c>
      <c r="AF440" s="181" t="s">
        <v>142</v>
      </c>
      <c r="AG440" s="192" t="s">
        <v>1653</v>
      </c>
      <c r="AH440" s="198"/>
      <c r="AI440" s="181">
        <v>44880</v>
      </c>
      <c r="AJ440" s="181"/>
      <c r="AK440" s="181">
        <f t="shared" ref="AK440:AK508" ca="1" si="56">TODAY()</f>
        <v>44958</v>
      </c>
      <c r="AL440" s="173">
        <f t="shared" ca="1" si="51"/>
        <v>78</v>
      </c>
      <c r="AM440" s="173">
        <f t="shared" ca="1" si="52"/>
        <v>8</v>
      </c>
      <c r="AN440" s="181"/>
      <c r="AO440" s="190" t="s">
        <v>2355</v>
      </c>
      <c r="AP440" s="176">
        <v>10.61</v>
      </c>
      <c r="AQ440" s="176">
        <v>10.62</v>
      </c>
      <c r="AR440" s="176">
        <v>10.644999999999998</v>
      </c>
      <c r="AS440" s="176">
        <v>10.649999999999999</v>
      </c>
      <c r="AT440" s="173">
        <f t="shared" ca="1" si="55"/>
        <v>18</v>
      </c>
      <c r="AU440" s="173">
        <v>459</v>
      </c>
      <c r="AW440" s="142" t="s">
        <v>123</v>
      </c>
    </row>
    <row r="441" spans="2:53" s="142" customFormat="1" ht="21" customHeight="1" x14ac:dyDescent="0.25">
      <c r="B441" s="173" t="str">
        <f t="shared" ref="B441:B504" si="57">IF(C441="HOLD RM","HOLD RM",IF(C441="BAL","WIP",IF(C441="HOLD SLT","HOLD SLT",IF(C441="MILL","RM",IF(C441="RE SLT","WIP",IF(C441="RM","RM",IF(C441="RM BAL","RM",IF(C441="RM SLT","RM",IF(C441="RR","WIP",IF(C441="SKP","WIP",IF(C441="SLT","WIP",IF(C441="CTL","WIP",IF(C441="RM SLT RUST","RM SLT RUST",0)))))))))))))&amp;"-"&amp;G441&amp;"/"&amp;IF(H441="2B","2B",IF(H441="NO.1","1D",IF(H441="FH","FH",0)))&amp;"-"&amp;IF(J441="",(TEXT(I441,"0.00")),TEXT(J441,"0.00"))&amp;"X"&amp;M441</f>
        <v>0-304/FH-1.45X641</v>
      </c>
      <c r="C441" s="173" t="s">
        <v>4250</v>
      </c>
      <c r="D441" s="173" t="s">
        <v>16</v>
      </c>
      <c r="E441" s="190" t="s">
        <v>4258</v>
      </c>
      <c r="F441" s="190" t="s">
        <v>4259</v>
      </c>
      <c r="G441" s="173">
        <v>304</v>
      </c>
      <c r="H441" s="173" t="s">
        <v>70</v>
      </c>
      <c r="I441" s="174">
        <v>3.89</v>
      </c>
      <c r="J441" s="174">
        <v>1.45</v>
      </c>
      <c r="K441" s="174"/>
      <c r="L441" s="174"/>
      <c r="M441" s="191">
        <v>641</v>
      </c>
      <c r="N441" s="176">
        <v>10.305</v>
      </c>
      <c r="O441" s="176">
        <v>10.32</v>
      </c>
      <c r="P441" s="176"/>
      <c r="Q441" s="178"/>
      <c r="R441" s="179"/>
      <c r="S441" s="179"/>
      <c r="T441" s="177">
        <v>44952</v>
      </c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80" t="s">
        <v>1605</v>
      </c>
      <c r="AE441" s="173" t="s">
        <v>69</v>
      </c>
      <c r="AF441" s="181" t="s">
        <v>142</v>
      </c>
      <c r="AG441" s="192" t="s">
        <v>1594</v>
      </c>
      <c r="AH441" s="198"/>
      <c r="AI441" s="181">
        <v>44849</v>
      </c>
      <c r="AJ441" s="181"/>
      <c r="AK441" s="181">
        <f t="shared" ca="1" si="56"/>
        <v>44958</v>
      </c>
      <c r="AL441" s="173">
        <f t="shared" ref="AL441:AL504" ca="1" si="58">IF(AI441&lt;&gt;0,AK441-AI441,0)</f>
        <v>109</v>
      </c>
      <c r="AM441" s="173" t="str">
        <f t="shared" ref="AM441:AM504" si="59">IF(ISNUMBER(X441)=TRUE,AK441-X441,IF(X441="","",(AK441)-(MID(RIGHT(X441,10),4,2)&amp;"/"&amp;LEFT((RIGHT(X441,10)),2)&amp;"/"&amp;RIGHT(X441,4))))</f>
        <v/>
      </c>
      <c r="AN441" s="181"/>
      <c r="AO441" s="190" t="s">
        <v>4075</v>
      </c>
      <c r="AP441" s="176">
        <v>10.305</v>
      </c>
      <c r="AQ441" s="176">
        <v>10.315</v>
      </c>
      <c r="AR441" s="176">
        <v>10.339999999999998</v>
      </c>
      <c r="AS441" s="176">
        <v>10.344999999999999</v>
      </c>
      <c r="AT441" s="173" t="str">
        <f t="shared" si="55"/>
        <v/>
      </c>
      <c r="AU441" s="173">
        <v>456</v>
      </c>
      <c r="AW441" s="142" t="s">
        <v>123</v>
      </c>
    </row>
    <row r="442" spans="2:53" s="142" customFormat="1" ht="21" customHeight="1" x14ac:dyDescent="0.25">
      <c r="B442" s="173" t="str">
        <f t="shared" si="57"/>
        <v>0-304/1D-3.90X642</v>
      </c>
      <c r="C442" s="173" t="s">
        <v>4247</v>
      </c>
      <c r="D442" s="173" t="s">
        <v>13</v>
      </c>
      <c r="E442" s="190" t="s">
        <v>4261</v>
      </c>
      <c r="F442" s="190" t="s">
        <v>4262</v>
      </c>
      <c r="G442" s="173">
        <v>304</v>
      </c>
      <c r="H442" s="173" t="s">
        <v>127</v>
      </c>
      <c r="I442" s="174">
        <v>3.9</v>
      </c>
      <c r="J442" s="174"/>
      <c r="K442" s="174"/>
      <c r="L442" s="174"/>
      <c r="M442" s="191">
        <v>642</v>
      </c>
      <c r="N442" s="176">
        <v>10.63</v>
      </c>
      <c r="O442" s="176">
        <v>10.63</v>
      </c>
      <c r="P442" s="176"/>
      <c r="Q442" s="178"/>
      <c r="R442" s="179"/>
      <c r="S442" s="179"/>
      <c r="T442" s="177">
        <v>44952</v>
      </c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80" t="s">
        <v>1643</v>
      </c>
      <c r="AE442" s="173" t="s">
        <v>69</v>
      </c>
      <c r="AF442" s="181" t="s">
        <v>142</v>
      </c>
      <c r="AG442" s="192" t="s">
        <v>1594</v>
      </c>
      <c r="AH442" s="198"/>
      <c r="AI442" s="181">
        <v>44849</v>
      </c>
      <c r="AJ442" s="181"/>
      <c r="AK442" s="181">
        <f t="shared" ca="1" si="56"/>
        <v>44958</v>
      </c>
      <c r="AL442" s="173">
        <f t="shared" ca="1" si="58"/>
        <v>109</v>
      </c>
      <c r="AM442" s="173" t="str">
        <f t="shared" si="59"/>
        <v/>
      </c>
      <c r="AN442" s="181"/>
      <c r="AO442" s="190" t="s">
        <v>1644</v>
      </c>
      <c r="AP442" s="176">
        <v>10.63</v>
      </c>
      <c r="AQ442" s="176">
        <v>10.64</v>
      </c>
      <c r="AR442" s="176">
        <v>10.664999999999999</v>
      </c>
      <c r="AS442" s="176">
        <v>10.67</v>
      </c>
      <c r="AT442" s="173" t="str">
        <f t="shared" si="55"/>
        <v/>
      </c>
      <c r="AU442" s="173">
        <v>456</v>
      </c>
      <c r="AW442" s="142" t="s">
        <v>123</v>
      </c>
    </row>
    <row r="443" spans="2:53" s="142" customFormat="1" ht="21" customHeight="1" x14ac:dyDescent="0.25">
      <c r="B443" s="173" t="str">
        <f t="shared" si="57"/>
        <v>0-304L/FH-1.00X644</v>
      </c>
      <c r="C443" s="173" t="s">
        <v>4250</v>
      </c>
      <c r="D443" s="173" t="s">
        <v>16</v>
      </c>
      <c r="E443" s="190" t="s">
        <v>4254</v>
      </c>
      <c r="F443" s="190" t="s">
        <v>4255</v>
      </c>
      <c r="G443" s="173" t="s">
        <v>182</v>
      </c>
      <c r="H443" s="173" t="s">
        <v>70</v>
      </c>
      <c r="I443" s="174">
        <v>2.96</v>
      </c>
      <c r="J443" s="174">
        <v>1</v>
      </c>
      <c r="K443" s="174"/>
      <c r="L443" s="174"/>
      <c r="M443" s="191">
        <v>644</v>
      </c>
      <c r="N443" s="176">
        <v>10.135</v>
      </c>
      <c r="O443" s="176">
        <v>10.14</v>
      </c>
      <c r="P443" s="176"/>
      <c r="Q443" s="178"/>
      <c r="R443" s="179"/>
      <c r="S443" s="179"/>
      <c r="T443" s="177">
        <v>44952</v>
      </c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80" t="s">
        <v>1643</v>
      </c>
      <c r="AE443" s="173" t="s">
        <v>69</v>
      </c>
      <c r="AF443" s="181" t="s">
        <v>142</v>
      </c>
      <c r="AG443" s="192" t="s">
        <v>1657</v>
      </c>
      <c r="AH443" s="198"/>
      <c r="AI443" s="181">
        <v>44849</v>
      </c>
      <c r="AJ443" s="181"/>
      <c r="AK443" s="181">
        <f t="shared" ca="1" si="56"/>
        <v>44958</v>
      </c>
      <c r="AL443" s="173">
        <f t="shared" ca="1" si="58"/>
        <v>109</v>
      </c>
      <c r="AM443" s="173" t="str">
        <f t="shared" si="59"/>
        <v/>
      </c>
      <c r="AN443" s="181"/>
      <c r="AO443" s="190" t="s">
        <v>4241</v>
      </c>
      <c r="AP443" s="176">
        <v>10.135</v>
      </c>
      <c r="AQ443" s="176">
        <v>10.145</v>
      </c>
      <c r="AR443" s="176">
        <v>10.169999999999998</v>
      </c>
      <c r="AS443" s="176">
        <v>10.174999999999999</v>
      </c>
      <c r="AT443" s="173" t="str">
        <f t="shared" si="55"/>
        <v/>
      </c>
      <c r="AU443" s="173">
        <v>456</v>
      </c>
      <c r="AW443" s="142" t="s">
        <v>123</v>
      </c>
    </row>
    <row r="444" spans="2:53" s="142" customFormat="1" ht="21" customHeight="1" x14ac:dyDescent="0.25">
      <c r="B444" s="173" t="str">
        <f t="shared" si="57"/>
        <v>0-304/1D-2.91X643</v>
      </c>
      <c r="C444" s="173" t="s">
        <v>4247</v>
      </c>
      <c r="D444" s="173" t="s">
        <v>13</v>
      </c>
      <c r="E444" s="190" t="s">
        <v>4263</v>
      </c>
      <c r="F444" s="190" t="s">
        <v>4264</v>
      </c>
      <c r="G444" s="173">
        <v>304</v>
      </c>
      <c r="H444" s="173" t="s">
        <v>127</v>
      </c>
      <c r="I444" s="174">
        <v>2.91</v>
      </c>
      <c r="J444" s="174"/>
      <c r="K444" s="174"/>
      <c r="L444" s="174"/>
      <c r="M444" s="191">
        <v>643</v>
      </c>
      <c r="N444" s="176">
        <v>8.6199999999999992</v>
      </c>
      <c r="O444" s="176">
        <v>8.6199999999999992</v>
      </c>
      <c r="P444" s="176"/>
      <c r="Q444" s="178"/>
      <c r="R444" s="179"/>
      <c r="S444" s="179"/>
      <c r="T444" s="177">
        <v>44952</v>
      </c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80" t="s">
        <v>1643</v>
      </c>
      <c r="AE444" s="173" t="s">
        <v>69</v>
      </c>
      <c r="AF444" s="181" t="s">
        <v>142</v>
      </c>
      <c r="AG444" s="192" t="s">
        <v>1657</v>
      </c>
      <c r="AH444" s="198"/>
      <c r="AI444" s="181">
        <v>44849</v>
      </c>
      <c r="AJ444" s="181"/>
      <c r="AK444" s="181">
        <f t="shared" ca="1" si="56"/>
        <v>44958</v>
      </c>
      <c r="AL444" s="173">
        <f t="shared" ca="1" si="58"/>
        <v>109</v>
      </c>
      <c r="AM444" s="173" t="str">
        <f t="shared" si="59"/>
        <v/>
      </c>
      <c r="AN444" s="181"/>
      <c r="AO444" s="190" t="s">
        <v>4066</v>
      </c>
      <c r="AP444" s="176">
        <v>8.6199999999999992</v>
      </c>
      <c r="AQ444" s="176">
        <v>8.6300000000000008</v>
      </c>
      <c r="AR444" s="176">
        <v>8.6549999999999994</v>
      </c>
      <c r="AS444" s="176">
        <v>8.66</v>
      </c>
      <c r="AT444" s="173" t="str">
        <f t="shared" si="55"/>
        <v/>
      </c>
      <c r="AU444" s="173">
        <v>456</v>
      </c>
      <c r="AW444" s="142" t="s">
        <v>123</v>
      </c>
    </row>
    <row r="445" spans="2:53" s="142" customFormat="1" ht="21" customHeight="1" x14ac:dyDescent="0.25">
      <c r="B445" s="173" t="str">
        <f t="shared" si="57"/>
        <v>0-304L/FH-1.15X643</v>
      </c>
      <c r="C445" s="173" t="s">
        <v>4250</v>
      </c>
      <c r="D445" s="173" t="s">
        <v>16</v>
      </c>
      <c r="E445" s="190" t="s">
        <v>4256</v>
      </c>
      <c r="F445" s="190" t="s">
        <v>4257</v>
      </c>
      <c r="G445" s="173" t="s">
        <v>182</v>
      </c>
      <c r="H445" s="173" t="s">
        <v>70</v>
      </c>
      <c r="I445" s="174">
        <v>3.51</v>
      </c>
      <c r="J445" s="174">
        <v>1.1499999999999999</v>
      </c>
      <c r="K445" s="174"/>
      <c r="L445" s="174"/>
      <c r="M445" s="191">
        <v>643</v>
      </c>
      <c r="N445" s="176">
        <v>10.74</v>
      </c>
      <c r="O445" s="176">
        <v>10.734999999999999</v>
      </c>
      <c r="P445" s="176"/>
      <c r="Q445" s="178"/>
      <c r="R445" s="179"/>
      <c r="S445" s="179"/>
      <c r="T445" s="177">
        <v>44952</v>
      </c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80" t="s">
        <v>1643</v>
      </c>
      <c r="AE445" s="173" t="s">
        <v>69</v>
      </c>
      <c r="AF445" s="181" t="s">
        <v>142</v>
      </c>
      <c r="AG445" s="192" t="s">
        <v>1657</v>
      </c>
      <c r="AH445" s="198"/>
      <c r="AI445" s="181">
        <v>44849</v>
      </c>
      <c r="AJ445" s="181"/>
      <c r="AK445" s="181">
        <f t="shared" ca="1" si="56"/>
        <v>44958</v>
      </c>
      <c r="AL445" s="173">
        <f t="shared" ca="1" si="58"/>
        <v>109</v>
      </c>
      <c r="AM445" s="173" t="str">
        <f t="shared" si="59"/>
        <v/>
      </c>
      <c r="AN445" s="181"/>
      <c r="AO445" s="190" t="s">
        <v>1679</v>
      </c>
      <c r="AP445" s="176">
        <v>10.74</v>
      </c>
      <c r="AQ445" s="176">
        <v>10.75</v>
      </c>
      <c r="AR445" s="176">
        <v>10.774999999999999</v>
      </c>
      <c r="AS445" s="176">
        <v>10.78</v>
      </c>
      <c r="AT445" s="173" t="str">
        <f t="shared" si="55"/>
        <v/>
      </c>
      <c r="AU445" s="173">
        <v>456</v>
      </c>
      <c r="AW445" s="142" t="s">
        <v>123</v>
      </c>
    </row>
    <row r="446" spans="2:53" s="142" customFormat="1" ht="21" customHeight="1" x14ac:dyDescent="0.25">
      <c r="B446" s="173" t="str">
        <f t="shared" si="57"/>
        <v>0-304L/1D-3.90X638</v>
      </c>
      <c r="C446" s="173" t="s">
        <v>4247</v>
      </c>
      <c r="D446" s="173" t="s">
        <v>13</v>
      </c>
      <c r="E446" s="190" t="s">
        <v>4265</v>
      </c>
      <c r="F446" s="190" t="s">
        <v>4266</v>
      </c>
      <c r="G446" s="173" t="s">
        <v>182</v>
      </c>
      <c r="H446" s="173" t="s">
        <v>127</v>
      </c>
      <c r="I446" s="174">
        <v>3.9</v>
      </c>
      <c r="J446" s="174"/>
      <c r="K446" s="174"/>
      <c r="L446" s="174"/>
      <c r="M446" s="191">
        <v>638</v>
      </c>
      <c r="N446" s="176">
        <v>10.535</v>
      </c>
      <c r="O446" s="176">
        <v>10.535</v>
      </c>
      <c r="P446" s="176"/>
      <c r="Q446" s="178"/>
      <c r="R446" s="179"/>
      <c r="S446" s="179"/>
      <c r="T446" s="177">
        <v>44952</v>
      </c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80" t="s">
        <v>1643</v>
      </c>
      <c r="AE446" s="173" t="s">
        <v>69</v>
      </c>
      <c r="AF446" s="181" t="s">
        <v>142</v>
      </c>
      <c r="AG446" s="192" t="s">
        <v>1657</v>
      </c>
      <c r="AH446" s="198"/>
      <c r="AI446" s="181">
        <v>44849</v>
      </c>
      <c r="AJ446" s="181"/>
      <c r="AK446" s="181">
        <f t="shared" ca="1" si="56"/>
        <v>44958</v>
      </c>
      <c r="AL446" s="173">
        <f t="shared" ca="1" si="58"/>
        <v>109</v>
      </c>
      <c r="AM446" s="173" t="str">
        <f t="shared" si="59"/>
        <v/>
      </c>
      <c r="AN446" s="181"/>
      <c r="AO446" s="190" t="s">
        <v>1685</v>
      </c>
      <c r="AP446" s="176">
        <v>10.535</v>
      </c>
      <c r="AQ446" s="176">
        <v>10.545</v>
      </c>
      <c r="AR446" s="176">
        <v>10.569999999999999</v>
      </c>
      <c r="AS446" s="176">
        <v>10.574999999999999</v>
      </c>
      <c r="AT446" s="173" t="str">
        <f t="shared" si="55"/>
        <v/>
      </c>
      <c r="AU446" s="173">
        <v>456</v>
      </c>
      <c r="AW446" s="142" t="s">
        <v>123</v>
      </c>
    </row>
    <row r="447" spans="2:53" s="142" customFormat="1" ht="21" customHeight="1" x14ac:dyDescent="0.25">
      <c r="B447" s="173" t="str">
        <f t="shared" si="57"/>
        <v>0-304L/1D-3.89X638</v>
      </c>
      <c r="C447" s="173" t="s">
        <v>4247</v>
      </c>
      <c r="D447" s="173" t="s">
        <v>13</v>
      </c>
      <c r="E447" s="190" t="s">
        <v>4267</v>
      </c>
      <c r="F447" s="190" t="s">
        <v>4268</v>
      </c>
      <c r="G447" s="173" t="s">
        <v>182</v>
      </c>
      <c r="H447" s="173" t="s">
        <v>127</v>
      </c>
      <c r="I447" s="174">
        <v>3.89</v>
      </c>
      <c r="J447" s="174"/>
      <c r="K447" s="174"/>
      <c r="L447" s="174"/>
      <c r="M447" s="191">
        <v>638</v>
      </c>
      <c r="N447" s="176">
        <v>10.3</v>
      </c>
      <c r="O447" s="176">
        <v>10.3</v>
      </c>
      <c r="P447" s="176"/>
      <c r="Q447" s="178"/>
      <c r="R447" s="179"/>
      <c r="S447" s="179"/>
      <c r="T447" s="177">
        <v>44952</v>
      </c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80" t="s">
        <v>1605</v>
      </c>
      <c r="AE447" s="173" t="s">
        <v>69</v>
      </c>
      <c r="AF447" s="181" t="s">
        <v>142</v>
      </c>
      <c r="AG447" s="192" t="s">
        <v>1657</v>
      </c>
      <c r="AH447" s="198"/>
      <c r="AI447" s="181">
        <v>44849</v>
      </c>
      <c r="AJ447" s="181"/>
      <c r="AK447" s="181">
        <f t="shared" ca="1" si="56"/>
        <v>44958</v>
      </c>
      <c r="AL447" s="173">
        <f t="shared" ca="1" si="58"/>
        <v>109</v>
      </c>
      <c r="AM447" s="173" t="str">
        <f t="shared" si="59"/>
        <v/>
      </c>
      <c r="AN447" s="181"/>
      <c r="AO447" s="190" t="s">
        <v>4204</v>
      </c>
      <c r="AP447" s="176">
        <v>10.3</v>
      </c>
      <c r="AQ447" s="176">
        <v>10.31</v>
      </c>
      <c r="AR447" s="176">
        <v>10.334999999999999</v>
      </c>
      <c r="AS447" s="176">
        <v>10.34</v>
      </c>
      <c r="AT447" s="173" t="str">
        <f t="shared" si="55"/>
        <v/>
      </c>
      <c r="AU447" s="173">
        <v>456</v>
      </c>
      <c r="AW447" s="142" t="s">
        <v>123</v>
      </c>
    </row>
    <row r="448" spans="2:53" s="142" customFormat="1" ht="21" customHeight="1" x14ac:dyDescent="0.25">
      <c r="B448" s="173" t="str">
        <f t="shared" si="57"/>
        <v>0-304L/FH-1.15X643</v>
      </c>
      <c r="C448" s="173" t="s">
        <v>4269</v>
      </c>
      <c r="D448" s="173" t="s">
        <v>16</v>
      </c>
      <c r="E448" s="190" t="s">
        <v>4251</v>
      </c>
      <c r="F448" s="190" t="s">
        <v>4252</v>
      </c>
      <c r="G448" s="173" t="s">
        <v>182</v>
      </c>
      <c r="H448" s="173" t="s">
        <v>70</v>
      </c>
      <c r="I448" s="174">
        <v>3.5</v>
      </c>
      <c r="J448" s="174">
        <v>1.1499999999999999</v>
      </c>
      <c r="K448" s="174"/>
      <c r="L448" s="174"/>
      <c r="M448" s="191">
        <v>643</v>
      </c>
      <c r="N448" s="176">
        <v>10.615</v>
      </c>
      <c r="O448" s="176">
        <v>10.615</v>
      </c>
      <c r="P448" s="176"/>
      <c r="Q448" s="178"/>
      <c r="R448" s="179"/>
      <c r="S448" s="179"/>
      <c r="T448" s="177">
        <v>44952</v>
      </c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80" t="s">
        <v>1605</v>
      </c>
      <c r="AE448" s="173" t="s">
        <v>69</v>
      </c>
      <c r="AF448" s="181" t="s">
        <v>142</v>
      </c>
      <c r="AG448" s="192" t="s">
        <v>1657</v>
      </c>
      <c r="AH448" s="198"/>
      <c r="AI448" s="181">
        <v>44849</v>
      </c>
      <c r="AJ448" s="181"/>
      <c r="AK448" s="181">
        <f t="shared" ca="1" si="56"/>
        <v>44958</v>
      </c>
      <c r="AL448" s="173">
        <f t="shared" ca="1" si="58"/>
        <v>109</v>
      </c>
      <c r="AM448" s="173" t="str">
        <f t="shared" si="59"/>
        <v/>
      </c>
      <c r="AN448" s="181"/>
      <c r="AO448" s="190" t="s">
        <v>1760</v>
      </c>
      <c r="AP448" s="176">
        <v>10.615</v>
      </c>
      <c r="AQ448" s="176">
        <v>10.625</v>
      </c>
      <c r="AR448" s="176">
        <v>10.649999999999999</v>
      </c>
      <c r="AS448" s="176">
        <v>10.654999999999999</v>
      </c>
      <c r="AT448" s="173" t="str">
        <f t="shared" si="55"/>
        <v/>
      </c>
      <c r="AU448" s="173">
        <v>456</v>
      </c>
      <c r="AW448" s="142" t="s">
        <v>123</v>
      </c>
    </row>
    <row r="449" spans="2:49" s="142" customFormat="1" ht="21" customHeight="1" x14ac:dyDescent="0.25">
      <c r="B449" s="173" t="str">
        <f t="shared" si="57"/>
        <v>0-304/1D-3.51X642</v>
      </c>
      <c r="C449" s="173" t="s">
        <v>4270</v>
      </c>
      <c r="D449" s="173" t="s">
        <v>13</v>
      </c>
      <c r="E449" s="190" t="s">
        <v>4271</v>
      </c>
      <c r="F449" s="190" t="s">
        <v>4272</v>
      </c>
      <c r="G449" s="173">
        <v>304</v>
      </c>
      <c r="H449" s="173" t="s">
        <v>127</v>
      </c>
      <c r="I449" s="174">
        <v>3.51</v>
      </c>
      <c r="J449" s="174"/>
      <c r="K449" s="174"/>
      <c r="L449" s="174"/>
      <c r="M449" s="191">
        <v>642</v>
      </c>
      <c r="N449" s="176">
        <v>10.58</v>
      </c>
      <c r="O449" s="176">
        <v>10.58</v>
      </c>
      <c r="P449" s="176"/>
      <c r="Q449" s="178"/>
      <c r="R449" s="179"/>
      <c r="S449" s="179"/>
      <c r="T449" s="177">
        <v>44953</v>
      </c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80" t="s">
        <v>1643</v>
      </c>
      <c r="AE449" s="173" t="s">
        <v>69</v>
      </c>
      <c r="AF449" s="181" t="s">
        <v>142</v>
      </c>
      <c r="AG449" s="192" t="s">
        <v>1657</v>
      </c>
      <c r="AH449" s="198"/>
      <c r="AI449" s="181">
        <v>44849</v>
      </c>
      <c r="AJ449" s="181"/>
      <c r="AK449" s="181">
        <f t="shared" ca="1" si="56"/>
        <v>44958</v>
      </c>
      <c r="AL449" s="173">
        <f t="shared" ca="1" si="58"/>
        <v>109</v>
      </c>
      <c r="AM449" s="173" t="str">
        <f t="shared" si="59"/>
        <v/>
      </c>
      <c r="AN449" s="181"/>
      <c r="AO449" s="190" t="s">
        <v>1667</v>
      </c>
      <c r="AP449" s="176">
        <v>10.58</v>
      </c>
      <c r="AQ449" s="176">
        <v>10.59</v>
      </c>
      <c r="AR449" s="176">
        <v>10.614999999999998</v>
      </c>
      <c r="AS449" s="176">
        <v>10.62</v>
      </c>
      <c r="AT449" s="173" t="str">
        <f t="shared" si="55"/>
        <v/>
      </c>
      <c r="AU449" s="173">
        <v>456</v>
      </c>
      <c r="AW449" s="142" t="s">
        <v>123</v>
      </c>
    </row>
    <row r="450" spans="2:49" s="142" customFormat="1" ht="21" customHeight="1" x14ac:dyDescent="0.25">
      <c r="B450" s="173" t="str">
        <f t="shared" si="57"/>
        <v>0-304/FH-1.45X642</v>
      </c>
      <c r="C450" s="173" t="s">
        <v>4269</v>
      </c>
      <c r="D450" s="173" t="s">
        <v>16</v>
      </c>
      <c r="E450" s="190" t="s">
        <v>4261</v>
      </c>
      <c r="F450" s="190" t="s">
        <v>4262</v>
      </c>
      <c r="G450" s="173">
        <v>304</v>
      </c>
      <c r="H450" s="173" t="s">
        <v>70</v>
      </c>
      <c r="I450" s="174">
        <v>3.9</v>
      </c>
      <c r="J450" s="174">
        <v>1.45</v>
      </c>
      <c r="K450" s="174"/>
      <c r="L450" s="174"/>
      <c r="M450" s="191">
        <v>642</v>
      </c>
      <c r="N450" s="176">
        <v>10.63</v>
      </c>
      <c r="O450" s="176">
        <v>10.63</v>
      </c>
      <c r="P450" s="176"/>
      <c r="Q450" s="178"/>
      <c r="R450" s="179"/>
      <c r="S450" s="179"/>
      <c r="T450" s="177">
        <v>44952</v>
      </c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80" t="s">
        <v>1643</v>
      </c>
      <c r="AE450" s="173" t="s">
        <v>69</v>
      </c>
      <c r="AF450" s="181" t="s">
        <v>142</v>
      </c>
      <c r="AG450" s="192" t="s">
        <v>1594</v>
      </c>
      <c r="AH450" s="198"/>
      <c r="AI450" s="181">
        <v>44849</v>
      </c>
      <c r="AJ450" s="181"/>
      <c r="AK450" s="181">
        <f t="shared" ca="1" si="56"/>
        <v>44958</v>
      </c>
      <c r="AL450" s="173">
        <f t="shared" ca="1" si="58"/>
        <v>109</v>
      </c>
      <c r="AM450" s="173" t="str">
        <f t="shared" si="59"/>
        <v/>
      </c>
      <c r="AN450" s="181"/>
      <c r="AO450" s="190" t="s">
        <v>1644</v>
      </c>
      <c r="AP450" s="176">
        <v>10.63</v>
      </c>
      <c r="AQ450" s="176">
        <v>10.64</v>
      </c>
      <c r="AR450" s="176">
        <v>10.664999999999999</v>
      </c>
      <c r="AS450" s="176">
        <v>10.67</v>
      </c>
      <c r="AT450" s="173" t="str">
        <f t="shared" si="55"/>
        <v/>
      </c>
      <c r="AU450" s="173">
        <v>456</v>
      </c>
      <c r="AW450" s="142" t="s">
        <v>123</v>
      </c>
    </row>
    <row r="451" spans="2:49" s="142" customFormat="1" ht="21" customHeight="1" x14ac:dyDescent="0.25">
      <c r="B451" s="173" t="str">
        <f t="shared" si="57"/>
        <v>0-304/FH-0.90X643</v>
      </c>
      <c r="C451" s="173" t="s">
        <v>4269</v>
      </c>
      <c r="D451" s="173" t="s">
        <v>16</v>
      </c>
      <c r="E451" s="190" t="s">
        <v>4263</v>
      </c>
      <c r="F451" s="190" t="s">
        <v>4264</v>
      </c>
      <c r="G451" s="173">
        <v>304</v>
      </c>
      <c r="H451" s="173" t="s">
        <v>70</v>
      </c>
      <c r="I451" s="174">
        <v>2.91</v>
      </c>
      <c r="J451" s="174">
        <v>0.9</v>
      </c>
      <c r="K451" s="174"/>
      <c r="L451" s="174"/>
      <c r="M451" s="191">
        <v>643</v>
      </c>
      <c r="N451" s="176">
        <v>8.6199999999999992</v>
      </c>
      <c r="O451" s="176">
        <v>8.625</v>
      </c>
      <c r="P451" s="176"/>
      <c r="Q451" s="178"/>
      <c r="R451" s="179"/>
      <c r="S451" s="179"/>
      <c r="T451" s="177">
        <v>44952</v>
      </c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80" t="s">
        <v>1643</v>
      </c>
      <c r="AE451" s="173" t="s">
        <v>69</v>
      </c>
      <c r="AF451" s="181" t="s">
        <v>142</v>
      </c>
      <c r="AG451" s="192" t="s">
        <v>1657</v>
      </c>
      <c r="AH451" s="198"/>
      <c r="AI451" s="181">
        <v>44849</v>
      </c>
      <c r="AJ451" s="181"/>
      <c r="AK451" s="181">
        <f t="shared" ca="1" si="56"/>
        <v>44958</v>
      </c>
      <c r="AL451" s="173">
        <f t="shared" ca="1" si="58"/>
        <v>109</v>
      </c>
      <c r="AM451" s="173" t="str">
        <f t="shared" si="59"/>
        <v/>
      </c>
      <c r="AN451" s="181"/>
      <c r="AO451" s="190" t="s">
        <v>4066</v>
      </c>
      <c r="AP451" s="176">
        <v>8.6199999999999992</v>
      </c>
      <c r="AQ451" s="176">
        <v>8.6300000000000008</v>
      </c>
      <c r="AR451" s="176">
        <v>8.6549999999999994</v>
      </c>
      <c r="AS451" s="176">
        <v>8.66</v>
      </c>
      <c r="AT451" s="173" t="str">
        <f t="shared" si="55"/>
        <v/>
      </c>
      <c r="AU451" s="173">
        <v>456</v>
      </c>
      <c r="AW451" s="142" t="s">
        <v>123</v>
      </c>
    </row>
    <row r="452" spans="2:49" s="142" customFormat="1" ht="21" customHeight="1" x14ac:dyDescent="0.25">
      <c r="B452" s="173" t="str">
        <f t="shared" si="57"/>
        <v>0-304L/1D-2.88X643</v>
      </c>
      <c r="C452" s="173" t="s">
        <v>4270</v>
      </c>
      <c r="D452" s="173" t="s">
        <v>13</v>
      </c>
      <c r="E452" s="190" t="s">
        <v>4273</v>
      </c>
      <c r="F452" s="190" t="s">
        <v>4274</v>
      </c>
      <c r="G452" s="173" t="s">
        <v>182</v>
      </c>
      <c r="H452" s="173" t="s">
        <v>127</v>
      </c>
      <c r="I452" s="174">
        <v>2.88</v>
      </c>
      <c r="J452" s="174"/>
      <c r="K452" s="174"/>
      <c r="L452" s="174"/>
      <c r="M452" s="191">
        <v>643</v>
      </c>
      <c r="N452" s="176">
        <v>10.755000000000001</v>
      </c>
      <c r="O452" s="176">
        <v>10.755000000000001</v>
      </c>
      <c r="P452" s="176"/>
      <c r="Q452" s="178"/>
      <c r="R452" s="179"/>
      <c r="S452" s="179"/>
      <c r="T452" s="177">
        <v>44953</v>
      </c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80" t="s">
        <v>1643</v>
      </c>
      <c r="AE452" s="173" t="s">
        <v>69</v>
      </c>
      <c r="AF452" s="181" t="s">
        <v>142</v>
      </c>
      <c r="AG452" s="192" t="s">
        <v>1657</v>
      </c>
      <c r="AH452" s="198"/>
      <c r="AI452" s="181">
        <v>44849</v>
      </c>
      <c r="AJ452" s="181"/>
      <c r="AK452" s="181">
        <f t="shared" ca="1" si="56"/>
        <v>44958</v>
      </c>
      <c r="AL452" s="173">
        <f t="shared" ca="1" si="58"/>
        <v>109</v>
      </c>
      <c r="AM452" s="173" t="str">
        <f t="shared" si="59"/>
        <v/>
      </c>
      <c r="AN452" s="181"/>
      <c r="AO452" s="190" t="s">
        <v>1784</v>
      </c>
      <c r="AP452" s="176">
        <v>10.755000000000001</v>
      </c>
      <c r="AQ452" s="176">
        <v>10.765000000000001</v>
      </c>
      <c r="AR452" s="176">
        <v>10.79</v>
      </c>
      <c r="AS452" s="176">
        <v>10.795</v>
      </c>
      <c r="AT452" s="173" t="str">
        <f t="shared" si="55"/>
        <v/>
      </c>
      <c r="AU452" s="173">
        <v>456</v>
      </c>
      <c r="AW452" s="142" t="s">
        <v>123</v>
      </c>
    </row>
    <row r="453" spans="2:49" s="142" customFormat="1" ht="21" customHeight="1" x14ac:dyDescent="0.25">
      <c r="B453" s="173" t="str">
        <f t="shared" si="57"/>
        <v>0-J3/1D-2.20X620</v>
      </c>
      <c r="C453" s="173" t="s">
        <v>4275</v>
      </c>
      <c r="D453" s="173" t="s">
        <v>13</v>
      </c>
      <c r="E453" s="190" t="s">
        <v>1868</v>
      </c>
      <c r="F453" s="190" t="s">
        <v>1869</v>
      </c>
      <c r="G453" s="173" t="s">
        <v>34</v>
      </c>
      <c r="H453" s="173" t="s">
        <v>127</v>
      </c>
      <c r="I453" s="174">
        <v>2.2000000000000002</v>
      </c>
      <c r="J453" s="174"/>
      <c r="K453" s="174"/>
      <c r="L453" s="174"/>
      <c r="M453" s="191">
        <v>620</v>
      </c>
      <c r="N453" s="176">
        <v>10.044</v>
      </c>
      <c r="O453" s="176">
        <v>10.044</v>
      </c>
      <c r="P453" s="176"/>
      <c r="Q453" s="178"/>
      <c r="R453" s="179"/>
      <c r="S453" s="179"/>
      <c r="T453" s="177">
        <v>44953</v>
      </c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80"/>
      <c r="AE453" s="173" t="s">
        <v>69</v>
      </c>
      <c r="AF453" s="181" t="s">
        <v>1065</v>
      </c>
      <c r="AG453" s="192" t="s">
        <v>1799</v>
      </c>
      <c r="AH453" s="198">
        <v>44829</v>
      </c>
      <c r="AI453" s="181">
        <v>44866</v>
      </c>
      <c r="AJ453" s="181"/>
      <c r="AK453" s="181">
        <f t="shared" ca="1" si="56"/>
        <v>44958</v>
      </c>
      <c r="AL453" s="173">
        <f t="shared" ca="1" si="58"/>
        <v>92</v>
      </c>
      <c r="AM453" s="173" t="str">
        <f t="shared" si="59"/>
        <v/>
      </c>
      <c r="AN453" s="181" t="s">
        <v>1846</v>
      </c>
      <c r="AO453" s="190" t="s">
        <v>1824</v>
      </c>
      <c r="AP453" s="176">
        <v>10.044</v>
      </c>
      <c r="AQ453" s="176">
        <v>10.084</v>
      </c>
      <c r="AR453" s="176">
        <v>10.108999999999998</v>
      </c>
      <c r="AS453" s="176">
        <v>10.113999999999999</v>
      </c>
      <c r="AT453" s="173" t="str">
        <f t="shared" si="55"/>
        <v/>
      </c>
      <c r="AU453" s="173">
        <v>457</v>
      </c>
      <c r="AW453" s="142" t="s">
        <v>123</v>
      </c>
    </row>
    <row r="454" spans="2:49" s="142" customFormat="1" ht="21" customHeight="1" x14ac:dyDescent="0.25">
      <c r="B454" s="173" t="str">
        <f t="shared" si="57"/>
        <v>0-304L/FH-2.00X638</v>
      </c>
      <c r="C454" s="173" t="s">
        <v>4269</v>
      </c>
      <c r="D454" s="173" t="s">
        <v>16</v>
      </c>
      <c r="E454" s="190" t="s">
        <v>4265</v>
      </c>
      <c r="F454" s="190" t="s">
        <v>4266</v>
      </c>
      <c r="G454" s="173" t="s">
        <v>182</v>
      </c>
      <c r="H454" s="173" t="s">
        <v>70</v>
      </c>
      <c r="I454" s="174">
        <v>3.9</v>
      </c>
      <c r="J454" s="174">
        <v>2</v>
      </c>
      <c r="K454" s="174"/>
      <c r="L454" s="174"/>
      <c r="M454" s="191">
        <v>638</v>
      </c>
      <c r="N454" s="176">
        <v>10.535</v>
      </c>
      <c r="O454" s="176">
        <v>10.54</v>
      </c>
      <c r="P454" s="176"/>
      <c r="Q454" s="178"/>
      <c r="R454" s="179"/>
      <c r="S454" s="179"/>
      <c r="T454" s="177">
        <v>44952</v>
      </c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80" t="s">
        <v>1643</v>
      </c>
      <c r="AE454" s="173" t="s">
        <v>69</v>
      </c>
      <c r="AF454" s="181" t="s">
        <v>142</v>
      </c>
      <c r="AG454" s="192" t="s">
        <v>1657</v>
      </c>
      <c r="AH454" s="198"/>
      <c r="AI454" s="181">
        <v>44849</v>
      </c>
      <c r="AJ454" s="181"/>
      <c r="AK454" s="181">
        <f t="shared" ca="1" si="56"/>
        <v>44958</v>
      </c>
      <c r="AL454" s="173">
        <f t="shared" ca="1" si="58"/>
        <v>109</v>
      </c>
      <c r="AM454" s="173" t="str">
        <f t="shared" si="59"/>
        <v/>
      </c>
      <c r="AN454" s="181"/>
      <c r="AO454" s="190" t="s">
        <v>1685</v>
      </c>
      <c r="AP454" s="176">
        <v>10.535</v>
      </c>
      <c r="AQ454" s="176">
        <v>10.545</v>
      </c>
      <c r="AR454" s="176">
        <v>10.569999999999999</v>
      </c>
      <c r="AS454" s="176">
        <v>10.574999999999999</v>
      </c>
      <c r="AT454" s="173" t="str">
        <f t="shared" si="55"/>
        <v/>
      </c>
      <c r="AU454" s="173">
        <v>456</v>
      </c>
      <c r="AW454" s="142" t="s">
        <v>123</v>
      </c>
    </row>
    <row r="455" spans="2:49" s="142" customFormat="1" ht="21" customHeight="1" x14ac:dyDescent="0.25">
      <c r="B455" s="173" t="str">
        <f t="shared" si="57"/>
        <v>0-304L/1D-3.64X642</v>
      </c>
      <c r="C455" s="173" t="s">
        <v>4270</v>
      </c>
      <c r="D455" s="173" t="s">
        <v>13</v>
      </c>
      <c r="E455" s="190" t="s">
        <v>1613</v>
      </c>
      <c r="F455" s="190" t="s">
        <v>4276</v>
      </c>
      <c r="G455" s="173" t="s">
        <v>182</v>
      </c>
      <c r="H455" s="173" t="s">
        <v>127</v>
      </c>
      <c r="I455" s="174">
        <v>3.64</v>
      </c>
      <c r="J455" s="174"/>
      <c r="K455" s="174"/>
      <c r="L455" s="174"/>
      <c r="M455" s="191">
        <v>642</v>
      </c>
      <c r="N455" s="176">
        <v>10.545</v>
      </c>
      <c r="O455" s="176">
        <v>10.545</v>
      </c>
      <c r="P455" s="176"/>
      <c r="Q455" s="178"/>
      <c r="R455" s="179"/>
      <c r="S455" s="179"/>
      <c r="T455" s="177">
        <v>44953</v>
      </c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80" t="s">
        <v>1593</v>
      </c>
      <c r="AE455" s="173" t="s">
        <v>69</v>
      </c>
      <c r="AF455" s="181" t="s">
        <v>142</v>
      </c>
      <c r="AG455" s="192" t="s">
        <v>1594</v>
      </c>
      <c r="AH455" s="198"/>
      <c r="AI455" s="181">
        <v>44849</v>
      </c>
      <c r="AJ455" s="181"/>
      <c r="AK455" s="181">
        <f t="shared" ca="1" si="56"/>
        <v>44958</v>
      </c>
      <c r="AL455" s="173">
        <f t="shared" ca="1" si="58"/>
        <v>109</v>
      </c>
      <c r="AM455" s="173" t="str">
        <f t="shared" si="59"/>
        <v/>
      </c>
      <c r="AN455" s="181"/>
      <c r="AO455" s="190" t="s">
        <v>1615</v>
      </c>
      <c r="AP455" s="176">
        <v>10.545</v>
      </c>
      <c r="AQ455" s="176">
        <v>10.555</v>
      </c>
      <c r="AR455" s="176">
        <v>10.579999999999998</v>
      </c>
      <c r="AS455" s="176">
        <v>10.584999999999999</v>
      </c>
      <c r="AT455" s="173" t="str">
        <f t="shared" si="55"/>
        <v/>
      </c>
      <c r="AU455" s="173">
        <v>456</v>
      </c>
      <c r="AW455" s="142" t="s">
        <v>123</v>
      </c>
    </row>
    <row r="456" spans="2:49" s="142" customFormat="1" ht="21" customHeight="1" x14ac:dyDescent="0.25">
      <c r="B456" s="173" t="str">
        <f t="shared" si="57"/>
        <v>0-304L/FH-2.00X638</v>
      </c>
      <c r="C456" s="173" t="s">
        <v>4269</v>
      </c>
      <c r="D456" s="173" t="s">
        <v>16</v>
      </c>
      <c r="E456" s="190" t="s">
        <v>4267</v>
      </c>
      <c r="F456" s="190" t="s">
        <v>4268</v>
      </c>
      <c r="G456" s="173" t="s">
        <v>182</v>
      </c>
      <c r="H456" s="173" t="s">
        <v>70</v>
      </c>
      <c r="I456" s="174">
        <v>3.89</v>
      </c>
      <c r="J456" s="174">
        <v>2</v>
      </c>
      <c r="K456" s="174"/>
      <c r="L456" s="174"/>
      <c r="M456" s="191">
        <v>638</v>
      </c>
      <c r="N456" s="176">
        <v>10.3</v>
      </c>
      <c r="O456" s="176">
        <v>10.3</v>
      </c>
      <c r="P456" s="176"/>
      <c r="Q456" s="178"/>
      <c r="R456" s="179"/>
      <c r="S456" s="179"/>
      <c r="T456" s="177">
        <v>44952</v>
      </c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80" t="s">
        <v>1605</v>
      </c>
      <c r="AE456" s="173" t="s">
        <v>69</v>
      </c>
      <c r="AF456" s="181" t="s">
        <v>142</v>
      </c>
      <c r="AG456" s="192" t="s">
        <v>1657</v>
      </c>
      <c r="AH456" s="198"/>
      <c r="AI456" s="181">
        <v>44849</v>
      </c>
      <c r="AJ456" s="181"/>
      <c r="AK456" s="181">
        <f t="shared" ca="1" si="56"/>
        <v>44958</v>
      </c>
      <c r="AL456" s="173">
        <f t="shared" ca="1" si="58"/>
        <v>109</v>
      </c>
      <c r="AM456" s="173" t="str">
        <f t="shared" si="59"/>
        <v/>
      </c>
      <c r="AN456" s="181"/>
      <c r="AO456" s="190" t="s">
        <v>4204</v>
      </c>
      <c r="AP456" s="176">
        <v>10.3</v>
      </c>
      <c r="AQ456" s="176">
        <v>10.31</v>
      </c>
      <c r="AR456" s="176">
        <v>10.334999999999999</v>
      </c>
      <c r="AS456" s="176">
        <v>10.34</v>
      </c>
      <c r="AT456" s="173" t="str">
        <f t="shared" si="55"/>
        <v/>
      </c>
      <c r="AU456" s="173">
        <v>456</v>
      </c>
      <c r="AW456" s="142" t="s">
        <v>123</v>
      </c>
    </row>
    <row r="457" spans="2:49" s="142" customFormat="1" ht="21" customHeight="1" x14ac:dyDescent="0.25">
      <c r="B457" s="173" t="str">
        <f t="shared" si="57"/>
        <v>0-304L/1D-2.99X643</v>
      </c>
      <c r="C457" s="173" t="s">
        <v>4270</v>
      </c>
      <c r="D457" s="173" t="s">
        <v>13</v>
      </c>
      <c r="E457" s="190" t="s">
        <v>4277</v>
      </c>
      <c r="F457" s="190" t="s">
        <v>4278</v>
      </c>
      <c r="G457" s="173" t="s">
        <v>182</v>
      </c>
      <c r="H457" s="173" t="s">
        <v>127</v>
      </c>
      <c r="I457" s="174">
        <v>2.99</v>
      </c>
      <c r="J457" s="174"/>
      <c r="K457" s="174"/>
      <c r="L457" s="174"/>
      <c r="M457" s="191">
        <v>643</v>
      </c>
      <c r="N457" s="176">
        <v>10.695</v>
      </c>
      <c r="O457" s="176">
        <v>10.695</v>
      </c>
      <c r="P457" s="176"/>
      <c r="Q457" s="178"/>
      <c r="R457" s="179"/>
      <c r="S457" s="179"/>
      <c r="T457" s="177">
        <v>44953</v>
      </c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80" t="s">
        <v>1593</v>
      </c>
      <c r="AE457" s="173" t="s">
        <v>69</v>
      </c>
      <c r="AF457" s="181" t="s">
        <v>142</v>
      </c>
      <c r="AG457" s="192" t="s">
        <v>1657</v>
      </c>
      <c r="AH457" s="198"/>
      <c r="AI457" s="181">
        <v>44849</v>
      </c>
      <c r="AJ457" s="181"/>
      <c r="AK457" s="181">
        <f t="shared" ca="1" si="56"/>
        <v>44958</v>
      </c>
      <c r="AL457" s="173">
        <f t="shared" ca="1" si="58"/>
        <v>109</v>
      </c>
      <c r="AM457" s="173" t="str">
        <f t="shared" si="59"/>
        <v/>
      </c>
      <c r="AN457" s="181"/>
      <c r="AO457" s="190" t="s">
        <v>1716</v>
      </c>
      <c r="AP457" s="176">
        <v>10.695</v>
      </c>
      <c r="AQ457" s="176">
        <v>10.705</v>
      </c>
      <c r="AR457" s="176">
        <v>10.729999999999999</v>
      </c>
      <c r="AS457" s="176">
        <v>10.734999999999999</v>
      </c>
      <c r="AT457" s="173" t="str">
        <f t="shared" si="55"/>
        <v/>
      </c>
      <c r="AU457" s="173">
        <v>456</v>
      </c>
      <c r="AW457" s="142" t="s">
        <v>123</v>
      </c>
    </row>
    <row r="458" spans="2:49" s="142" customFormat="1" ht="21" customHeight="1" x14ac:dyDescent="0.25">
      <c r="B458" s="173" t="str">
        <f t="shared" si="57"/>
        <v>0-304/FH-1.15X642</v>
      </c>
      <c r="C458" s="173" t="s">
        <v>4269</v>
      </c>
      <c r="D458" s="173" t="s">
        <v>16</v>
      </c>
      <c r="E458" s="190" t="s">
        <v>4271</v>
      </c>
      <c r="F458" s="190" t="s">
        <v>4272</v>
      </c>
      <c r="G458" s="173">
        <v>304</v>
      </c>
      <c r="H458" s="173" t="s">
        <v>70</v>
      </c>
      <c r="I458" s="174">
        <v>3.51</v>
      </c>
      <c r="J458" s="174">
        <v>1.1499999999999999</v>
      </c>
      <c r="K458" s="174"/>
      <c r="L458" s="174"/>
      <c r="M458" s="191">
        <v>642</v>
      </c>
      <c r="N458" s="176">
        <v>10.58</v>
      </c>
      <c r="O458" s="176">
        <v>10.595000000000001</v>
      </c>
      <c r="P458" s="176"/>
      <c r="Q458" s="178"/>
      <c r="R458" s="179"/>
      <c r="S458" s="179"/>
      <c r="T458" s="177">
        <v>44953</v>
      </c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80" t="s">
        <v>1643</v>
      </c>
      <c r="AE458" s="173" t="s">
        <v>69</v>
      </c>
      <c r="AF458" s="181" t="s">
        <v>142</v>
      </c>
      <c r="AG458" s="192" t="s">
        <v>1657</v>
      </c>
      <c r="AH458" s="198"/>
      <c r="AI458" s="181">
        <v>44849</v>
      </c>
      <c r="AJ458" s="181"/>
      <c r="AK458" s="181">
        <f t="shared" ca="1" si="56"/>
        <v>44958</v>
      </c>
      <c r="AL458" s="173">
        <f t="shared" ca="1" si="58"/>
        <v>109</v>
      </c>
      <c r="AM458" s="173" t="str">
        <f t="shared" si="59"/>
        <v/>
      </c>
      <c r="AN458" s="181"/>
      <c r="AO458" s="190" t="s">
        <v>1667</v>
      </c>
      <c r="AP458" s="176">
        <v>10.58</v>
      </c>
      <c r="AQ458" s="176">
        <v>10.59</v>
      </c>
      <c r="AR458" s="176">
        <v>10.614999999999998</v>
      </c>
      <c r="AS458" s="176">
        <v>10.62</v>
      </c>
      <c r="AT458" s="173" t="str">
        <f t="shared" si="55"/>
        <v/>
      </c>
      <c r="AU458" s="173">
        <v>456</v>
      </c>
      <c r="AW458" s="142" t="s">
        <v>123</v>
      </c>
    </row>
    <row r="459" spans="2:49" s="142" customFormat="1" ht="21" customHeight="1" x14ac:dyDescent="0.25">
      <c r="B459" s="173" t="str">
        <f t="shared" si="57"/>
        <v>0-304/1D-3.47X643</v>
      </c>
      <c r="C459" s="173" t="s">
        <v>4270</v>
      </c>
      <c r="D459" s="173" t="s">
        <v>13</v>
      </c>
      <c r="E459" s="190" t="s">
        <v>1761</v>
      </c>
      <c r="F459" s="190" t="s">
        <v>1762</v>
      </c>
      <c r="G459" s="173">
        <v>304</v>
      </c>
      <c r="H459" s="173" t="s">
        <v>127</v>
      </c>
      <c r="I459" s="174">
        <v>3.47</v>
      </c>
      <c r="J459" s="174"/>
      <c r="K459" s="174"/>
      <c r="L459" s="174"/>
      <c r="M459" s="191">
        <v>643</v>
      </c>
      <c r="N459" s="176">
        <v>8.3249999999999993</v>
      </c>
      <c r="O459" s="176">
        <v>8.3249999999999993</v>
      </c>
      <c r="P459" s="176"/>
      <c r="Q459" s="178"/>
      <c r="R459" s="179"/>
      <c r="S459" s="179"/>
      <c r="T459" s="177">
        <v>44953</v>
      </c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80" t="s">
        <v>1643</v>
      </c>
      <c r="AE459" s="173" t="s">
        <v>69</v>
      </c>
      <c r="AF459" s="181" t="s">
        <v>142</v>
      </c>
      <c r="AG459" s="192" t="s">
        <v>1657</v>
      </c>
      <c r="AH459" s="198"/>
      <c r="AI459" s="181">
        <v>44849</v>
      </c>
      <c r="AJ459" s="181"/>
      <c r="AK459" s="181">
        <f t="shared" ca="1" si="56"/>
        <v>44958</v>
      </c>
      <c r="AL459" s="173">
        <f t="shared" ca="1" si="58"/>
        <v>109</v>
      </c>
      <c r="AM459" s="173" t="str">
        <f t="shared" si="59"/>
        <v/>
      </c>
      <c r="AN459" s="181"/>
      <c r="AO459" s="190" t="s">
        <v>1763</v>
      </c>
      <c r="AP459" s="176">
        <v>8.3249999999999993</v>
      </c>
      <c r="AQ459" s="176">
        <v>8.3350000000000009</v>
      </c>
      <c r="AR459" s="176">
        <v>8.36</v>
      </c>
      <c r="AS459" s="176">
        <v>8.3650000000000002</v>
      </c>
      <c r="AT459" s="173" t="str">
        <f t="shared" si="55"/>
        <v/>
      </c>
      <c r="AU459" s="173">
        <v>456</v>
      </c>
      <c r="AW459" s="142" t="s">
        <v>123</v>
      </c>
    </row>
    <row r="460" spans="2:49" s="142" customFormat="1" ht="21" customHeight="1" x14ac:dyDescent="0.25">
      <c r="B460" s="173" t="str">
        <f t="shared" si="57"/>
        <v>0-304L/FH-0.90X643</v>
      </c>
      <c r="C460" s="173" t="s">
        <v>4269</v>
      </c>
      <c r="D460" s="173" t="s">
        <v>16</v>
      </c>
      <c r="E460" s="190" t="s">
        <v>4273</v>
      </c>
      <c r="F460" s="190" t="s">
        <v>4274</v>
      </c>
      <c r="G460" s="173" t="s">
        <v>182</v>
      </c>
      <c r="H460" s="173" t="s">
        <v>70</v>
      </c>
      <c r="I460" s="174">
        <v>2.88</v>
      </c>
      <c r="J460" s="174">
        <v>0.9</v>
      </c>
      <c r="K460" s="174"/>
      <c r="L460" s="174"/>
      <c r="M460" s="191">
        <v>643</v>
      </c>
      <c r="N460" s="176">
        <v>10.755000000000001</v>
      </c>
      <c r="O460" s="176">
        <v>10.775</v>
      </c>
      <c r="P460" s="176"/>
      <c r="Q460" s="178"/>
      <c r="R460" s="179"/>
      <c r="S460" s="179"/>
      <c r="T460" s="177">
        <v>44953</v>
      </c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80" t="s">
        <v>1643</v>
      </c>
      <c r="AE460" s="173" t="s">
        <v>69</v>
      </c>
      <c r="AF460" s="181" t="s">
        <v>142</v>
      </c>
      <c r="AG460" s="192" t="s">
        <v>1657</v>
      </c>
      <c r="AH460" s="198"/>
      <c r="AI460" s="181">
        <v>44849</v>
      </c>
      <c r="AJ460" s="181"/>
      <c r="AK460" s="181">
        <f t="shared" ca="1" si="56"/>
        <v>44958</v>
      </c>
      <c r="AL460" s="173">
        <f t="shared" ca="1" si="58"/>
        <v>109</v>
      </c>
      <c r="AM460" s="173" t="str">
        <f t="shared" si="59"/>
        <v/>
      </c>
      <c r="AN460" s="181"/>
      <c r="AO460" s="190" t="s">
        <v>1784</v>
      </c>
      <c r="AP460" s="176">
        <v>10.755000000000001</v>
      </c>
      <c r="AQ460" s="176">
        <v>10.765000000000001</v>
      </c>
      <c r="AR460" s="176">
        <v>10.79</v>
      </c>
      <c r="AS460" s="176">
        <v>10.795</v>
      </c>
      <c r="AT460" s="173" t="str">
        <f t="shared" si="55"/>
        <v/>
      </c>
      <c r="AU460" s="173">
        <v>456</v>
      </c>
      <c r="AW460" s="142" t="s">
        <v>123</v>
      </c>
    </row>
    <row r="461" spans="2:49" s="142" customFormat="1" ht="21" customHeight="1" x14ac:dyDescent="0.25">
      <c r="B461" s="173" t="str">
        <f t="shared" si="57"/>
        <v>0-304L/1D-3.80X644</v>
      </c>
      <c r="C461" s="173" t="s">
        <v>4270</v>
      </c>
      <c r="D461" s="173" t="s">
        <v>13</v>
      </c>
      <c r="E461" s="190" t="s">
        <v>4279</v>
      </c>
      <c r="F461" s="190" t="s">
        <v>4280</v>
      </c>
      <c r="G461" s="173" t="s">
        <v>182</v>
      </c>
      <c r="H461" s="173" t="s">
        <v>127</v>
      </c>
      <c r="I461" s="174">
        <v>3.8</v>
      </c>
      <c r="J461" s="174"/>
      <c r="K461" s="174"/>
      <c r="L461" s="174"/>
      <c r="M461" s="191">
        <v>644</v>
      </c>
      <c r="N461" s="176">
        <v>10.695</v>
      </c>
      <c r="O461" s="176">
        <v>10.695</v>
      </c>
      <c r="P461" s="176"/>
      <c r="Q461" s="178"/>
      <c r="R461" s="179"/>
      <c r="S461" s="179"/>
      <c r="T461" s="177">
        <v>44953</v>
      </c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80" t="s">
        <v>1605</v>
      </c>
      <c r="AE461" s="173" t="s">
        <v>69</v>
      </c>
      <c r="AF461" s="181" t="s">
        <v>142</v>
      </c>
      <c r="AG461" s="192" t="s">
        <v>1657</v>
      </c>
      <c r="AH461" s="198"/>
      <c r="AI461" s="181">
        <v>44849</v>
      </c>
      <c r="AJ461" s="181"/>
      <c r="AK461" s="181">
        <f t="shared" ca="1" si="56"/>
        <v>44958</v>
      </c>
      <c r="AL461" s="173">
        <f t="shared" ca="1" si="58"/>
        <v>109</v>
      </c>
      <c r="AM461" s="173" t="str">
        <f t="shared" si="59"/>
        <v/>
      </c>
      <c r="AN461" s="181"/>
      <c r="AO461" s="190" t="s">
        <v>1676</v>
      </c>
      <c r="AP461" s="176">
        <v>10.695</v>
      </c>
      <c r="AQ461" s="176">
        <v>10.705</v>
      </c>
      <c r="AR461" s="176">
        <v>10.729999999999999</v>
      </c>
      <c r="AS461" s="176">
        <v>10.734999999999999</v>
      </c>
      <c r="AT461" s="173" t="str">
        <f t="shared" si="55"/>
        <v/>
      </c>
      <c r="AU461" s="173">
        <v>456</v>
      </c>
      <c r="AW461" s="142" t="s">
        <v>123</v>
      </c>
    </row>
    <row r="462" spans="2:49" s="142" customFormat="1" ht="21" customHeight="1" x14ac:dyDescent="0.25">
      <c r="B462" s="173" t="str">
        <f t="shared" si="57"/>
        <v>0-304L/FH-1.15X643</v>
      </c>
      <c r="C462" s="173" t="s">
        <v>4269</v>
      </c>
      <c r="D462" s="173" t="s">
        <v>16</v>
      </c>
      <c r="E462" s="190" t="s">
        <v>4277</v>
      </c>
      <c r="F462" s="190" t="s">
        <v>4278</v>
      </c>
      <c r="G462" s="173" t="s">
        <v>182</v>
      </c>
      <c r="H462" s="173" t="s">
        <v>70</v>
      </c>
      <c r="I462" s="174">
        <v>2.99</v>
      </c>
      <c r="J462" s="174">
        <v>1.1499999999999999</v>
      </c>
      <c r="K462" s="174"/>
      <c r="L462" s="174"/>
      <c r="M462" s="191">
        <v>643</v>
      </c>
      <c r="N462" s="176">
        <v>10.695</v>
      </c>
      <c r="O462" s="176">
        <v>10.715</v>
      </c>
      <c r="P462" s="176"/>
      <c r="Q462" s="178"/>
      <c r="R462" s="179"/>
      <c r="S462" s="179"/>
      <c r="T462" s="177">
        <v>44953</v>
      </c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80" t="s">
        <v>1593</v>
      </c>
      <c r="AE462" s="173" t="s">
        <v>69</v>
      </c>
      <c r="AF462" s="181" t="s">
        <v>142</v>
      </c>
      <c r="AG462" s="192" t="s">
        <v>1657</v>
      </c>
      <c r="AH462" s="198"/>
      <c r="AI462" s="181">
        <v>44849</v>
      </c>
      <c r="AJ462" s="181"/>
      <c r="AK462" s="181">
        <f t="shared" ca="1" si="56"/>
        <v>44958</v>
      </c>
      <c r="AL462" s="173">
        <f t="shared" ca="1" si="58"/>
        <v>109</v>
      </c>
      <c r="AM462" s="173" t="str">
        <f t="shared" si="59"/>
        <v/>
      </c>
      <c r="AN462" s="181"/>
      <c r="AO462" s="190" t="s">
        <v>1716</v>
      </c>
      <c r="AP462" s="176">
        <v>10.695</v>
      </c>
      <c r="AQ462" s="176">
        <v>10.705</v>
      </c>
      <c r="AR462" s="176">
        <v>10.729999999999999</v>
      </c>
      <c r="AS462" s="176">
        <v>10.734999999999999</v>
      </c>
      <c r="AT462" s="173" t="str">
        <f t="shared" si="55"/>
        <v/>
      </c>
      <c r="AU462" s="173">
        <v>456</v>
      </c>
      <c r="AW462" s="142" t="s">
        <v>123</v>
      </c>
    </row>
    <row r="463" spans="2:49" s="142" customFormat="1" ht="21" customHeight="1" x14ac:dyDescent="0.25">
      <c r="B463" s="173" t="str">
        <f t="shared" si="57"/>
        <v>0-304L/1D-3.79X643</v>
      </c>
      <c r="C463" s="173" t="s">
        <v>4275</v>
      </c>
      <c r="D463" s="173" t="s">
        <v>13</v>
      </c>
      <c r="E463" s="190" t="s">
        <v>4281</v>
      </c>
      <c r="F463" s="190" t="s">
        <v>4282</v>
      </c>
      <c r="G463" s="173" t="s">
        <v>182</v>
      </c>
      <c r="H463" s="173" t="s">
        <v>127</v>
      </c>
      <c r="I463" s="174">
        <v>3.79</v>
      </c>
      <c r="J463" s="174"/>
      <c r="K463" s="174"/>
      <c r="L463" s="174"/>
      <c r="M463" s="191">
        <v>643</v>
      </c>
      <c r="N463" s="176">
        <v>10.53</v>
      </c>
      <c r="O463" s="176">
        <v>10.53</v>
      </c>
      <c r="P463" s="176"/>
      <c r="Q463" s="178"/>
      <c r="R463" s="179"/>
      <c r="S463" s="179"/>
      <c r="T463" s="177">
        <v>44953</v>
      </c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80" t="s">
        <v>1609</v>
      </c>
      <c r="AE463" s="173" t="s">
        <v>69</v>
      </c>
      <c r="AF463" s="181" t="s">
        <v>142</v>
      </c>
      <c r="AG463" s="192" t="s">
        <v>1657</v>
      </c>
      <c r="AH463" s="198"/>
      <c r="AI463" s="181">
        <v>44849</v>
      </c>
      <c r="AJ463" s="181"/>
      <c r="AK463" s="181">
        <f t="shared" ca="1" si="56"/>
        <v>44958</v>
      </c>
      <c r="AL463" s="173">
        <f t="shared" ca="1" si="58"/>
        <v>109</v>
      </c>
      <c r="AM463" s="173" t="str">
        <f t="shared" si="59"/>
        <v/>
      </c>
      <c r="AN463" s="181"/>
      <c r="AO463" s="190" t="s">
        <v>4283</v>
      </c>
      <c r="AP463" s="176">
        <v>10.53</v>
      </c>
      <c r="AQ463" s="176">
        <v>10.54</v>
      </c>
      <c r="AR463" s="176">
        <v>10.564999999999998</v>
      </c>
      <c r="AS463" s="176">
        <v>10.569999999999999</v>
      </c>
      <c r="AT463" s="173" t="str">
        <f t="shared" si="55"/>
        <v/>
      </c>
      <c r="AU463" s="173">
        <v>456</v>
      </c>
      <c r="AW463" s="142" t="s">
        <v>123</v>
      </c>
    </row>
    <row r="464" spans="2:49" s="142" customFormat="1" ht="21" customHeight="1" x14ac:dyDescent="0.25">
      <c r="B464" s="173" t="str">
        <f t="shared" si="57"/>
        <v>0-304L/2B-2.00X765</v>
      </c>
      <c r="C464" s="173" t="s">
        <v>4284</v>
      </c>
      <c r="D464" s="173" t="s">
        <v>1237</v>
      </c>
      <c r="E464" s="190" t="s">
        <v>2352</v>
      </c>
      <c r="F464" s="190" t="s">
        <v>2353</v>
      </c>
      <c r="G464" s="173" t="s">
        <v>182</v>
      </c>
      <c r="H464" s="173" t="s">
        <v>114</v>
      </c>
      <c r="I464" s="174">
        <v>3.96</v>
      </c>
      <c r="J464" s="174">
        <v>2</v>
      </c>
      <c r="K464" s="174">
        <v>2</v>
      </c>
      <c r="L464" s="174">
        <v>2.0099999999999998</v>
      </c>
      <c r="M464" s="191">
        <v>765</v>
      </c>
      <c r="N464" s="176">
        <v>10.57</v>
      </c>
      <c r="O464" s="176">
        <v>10.57</v>
      </c>
      <c r="P464" s="176"/>
      <c r="Q464" s="178" t="s">
        <v>1386</v>
      </c>
      <c r="R464" s="179"/>
      <c r="S464" s="179"/>
      <c r="T464" s="177" t="s">
        <v>2354</v>
      </c>
      <c r="U464" s="177"/>
      <c r="V464" s="177">
        <v>44940</v>
      </c>
      <c r="W464" s="177"/>
      <c r="X464" s="177">
        <v>44950</v>
      </c>
      <c r="Y464" s="177"/>
      <c r="Z464" s="177"/>
      <c r="AA464" s="177"/>
      <c r="AB464" s="177"/>
      <c r="AC464" s="177"/>
      <c r="AD464" s="180" t="s">
        <v>1345</v>
      </c>
      <c r="AE464" s="173" t="s">
        <v>69</v>
      </c>
      <c r="AF464" s="181" t="s">
        <v>142</v>
      </c>
      <c r="AG464" s="192" t="s">
        <v>1653</v>
      </c>
      <c r="AH464" s="198"/>
      <c r="AI464" s="181">
        <v>44880</v>
      </c>
      <c r="AJ464" s="181"/>
      <c r="AK464" s="181">
        <f t="shared" ca="1" si="56"/>
        <v>44958</v>
      </c>
      <c r="AL464" s="173">
        <f t="shared" ca="1" si="58"/>
        <v>78</v>
      </c>
      <c r="AM464" s="173">
        <f t="shared" ca="1" si="59"/>
        <v>8</v>
      </c>
      <c r="AN464" s="181"/>
      <c r="AO464" s="190" t="s">
        <v>2355</v>
      </c>
      <c r="AP464" s="176">
        <v>10.61</v>
      </c>
      <c r="AQ464" s="176">
        <v>10.62</v>
      </c>
      <c r="AR464" s="176">
        <v>10.644999999999998</v>
      </c>
      <c r="AS464" s="176">
        <v>10.649999999999999</v>
      </c>
      <c r="AT464" s="173">
        <f t="shared" ca="1" si="55"/>
        <v>18</v>
      </c>
      <c r="AU464" s="173">
        <v>459</v>
      </c>
      <c r="AW464" s="142" t="s">
        <v>123</v>
      </c>
    </row>
    <row r="465" spans="2:49" s="142" customFormat="1" ht="21" customHeight="1" x14ac:dyDescent="0.25">
      <c r="B465" s="173" t="str">
        <f t="shared" si="57"/>
        <v>0-304L/FH-1.45X644</v>
      </c>
      <c r="C465" s="173" t="s">
        <v>4285</v>
      </c>
      <c r="D465" s="173" t="s">
        <v>16</v>
      </c>
      <c r="E465" s="190" t="s">
        <v>4279</v>
      </c>
      <c r="F465" s="190" t="s">
        <v>4280</v>
      </c>
      <c r="G465" s="173" t="s">
        <v>182</v>
      </c>
      <c r="H465" s="173" t="s">
        <v>70</v>
      </c>
      <c r="I465" s="174">
        <v>3.8</v>
      </c>
      <c r="J465" s="174">
        <v>1.45</v>
      </c>
      <c r="K465" s="174"/>
      <c r="L465" s="174"/>
      <c r="M465" s="191">
        <v>644</v>
      </c>
      <c r="N465" s="176">
        <v>10.695</v>
      </c>
      <c r="O465" s="176">
        <v>10.69</v>
      </c>
      <c r="P465" s="176"/>
      <c r="Q465" s="178"/>
      <c r="R465" s="179"/>
      <c r="S465" s="179"/>
      <c r="T465" s="177">
        <v>44953</v>
      </c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80" t="s">
        <v>1605</v>
      </c>
      <c r="AE465" s="173" t="s">
        <v>69</v>
      </c>
      <c r="AF465" s="181" t="s">
        <v>142</v>
      </c>
      <c r="AG465" s="192" t="s">
        <v>1657</v>
      </c>
      <c r="AH465" s="198"/>
      <c r="AI465" s="181">
        <v>44849</v>
      </c>
      <c r="AJ465" s="181"/>
      <c r="AK465" s="181">
        <f t="shared" ca="1" si="56"/>
        <v>44958</v>
      </c>
      <c r="AL465" s="173">
        <f t="shared" ca="1" si="58"/>
        <v>109</v>
      </c>
      <c r="AM465" s="173" t="str">
        <f t="shared" si="59"/>
        <v/>
      </c>
      <c r="AN465" s="181"/>
      <c r="AO465" s="190" t="s">
        <v>1676</v>
      </c>
      <c r="AP465" s="176">
        <v>10.695</v>
      </c>
      <c r="AQ465" s="176">
        <v>10.705</v>
      </c>
      <c r="AR465" s="176">
        <v>10.729999999999999</v>
      </c>
      <c r="AS465" s="176">
        <v>10.734999999999999</v>
      </c>
      <c r="AT465" s="173" t="str">
        <f t="shared" si="55"/>
        <v/>
      </c>
      <c r="AU465" s="173">
        <v>456</v>
      </c>
      <c r="AW465" s="142" t="s">
        <v>123</v>
      </c>
    </row>
    <row r="466" spans="2:49" s="142" customFormat="1" ht="21" customHeight="1" x14ac:dyDescent="0.25">
      <c r="B466" s="173" t="str">
        <f t="shared" si="57"/>
        <v>0-304L/1D-3.89X643</v>
      </c>
      <c r="C466" s="173" t="s">
        <v>4286</v>
      </c>
      <c r="D466" s="173" t="s">
        <v>13</v>
      </c>
      <c r="E466" s="190" t="s">
        <v>4287</v>
      </c>
      <c r="F466" s="190" t="s">
        <v>4288</v>
      </c>
      <c r="G466" s="173" t="s">
        <v>182</v>
      </c>
      <c r="H466" s="173" t="s">
        <v>127</v>
      </c>
      <c r="I466" s="174">
        <v>3.89</v>
      </c>
      <c r="J466" s="174"/>
      <c r="K466" s="174"/>
      <c r="L466" s="174"/>
      <c r="M466" s="191">
        <v>643</v>
      </c>
      <c r="N466" s="176">
        <v>10.505000000000001</v>
      </c>
      <c r="O466" s="176">
        <v>10.505000000000001</v>
      </c>
      <c r="P466" s="176"/>
      <c r="Q466" s="178"/>
      <c r="R466" s="179"/>
      <c r="S466" s="179"/>
      <c r="T466" s="177">
        <v>44954</v>
      </c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80" t="s">
        <v>1605</v>
      </c>
      <c r="AE466" s="173" t="s">
        <v>69</v>
      </c>
      <c r="AF466" s="181" t="s">
        <v>142</v>
      </c>
      <c r="AG466" s="192" t="s">
        <v>1657</v>
      </c>
      <c r="AH466" s="198"/>
      <c r="AI466" s="181">
        <v>44849</v>
      </c>
      <c r="AJ466" s="181"/>
      <c r="AK466" s="181">
        <f t="shared" ca="1" si="56"/>
        <v>44958</v>
      </c>
      <c r="AL466" s="173">
        <f t="shared" ca="1" si="58"/>
        <v>109</v>
      </c>
      <c r="AM466" s="173" t="str">
        <f t="shared" si="59"/>
        <v/>
      </c>
      <c r="AN466" s="181"/>
      <c r="AO466" s="190" t="s">
        <v>1661</v>
      </c>
      <c r="AP466" s="176">
        <v>10.505000000000001</v>
      </c>
      <c r="AQ466" s="176">
        <v>10.515000000000001</v>
      </c>
      <c r="AR466" s="176">
        <v>10.54</v>
      </c>
      <c r="AS466" s="176">
        <v>10.545</v>
      </c>
      <c r="AT466" s="173" t="str">
        <f t="shared" si="55"/>
        <v/>
      </c>
      <c r="AU466" s="173">
        <v>456</v>
      </c>
      <c r="AW466" s="142" t="s">
        <v>123</v>
      </c>
    </row>
    <row r="467" spans="2:49" s="142" customFormat="1" ht="21" customHeight="1" x14ac:dyDescent="0.25">
      <c r="B467" s="173" t="str">
        <f t="shared" si="57"/>
        <v>0-304L/FH-1.45X643</v>
      </c>
      <c r="C467" s="173" t="s">
        <v>4285</v>
      </c>
      <c r="D467" s="173" t="s">
        <v>16</v>
      </c>
      <c r="E467" s="190" t="s">
        <v>4281</v>
      </c>
      <c r="F467" s="190" t="s">
        <v>4282</v>
      </c>
      <c r="G467" s="173" t="s">
        <v>182</v>
      </c>
      <c r="H467" s="173" t="s">
        <v>70</v>
      </c>
      <c r="I467" s="174">
        <v>3.79</v>
      </c>
      <c r="J467" s="174">
        <v>1.45</v>
      </c>
      <c r="K467" s="174"/>
      <c r="L467" s="174"/>
      <c r="M467" s="191">
        <v>643</v>
      </c>
      <c r="N467" s="176">
        <v>10.53</v>
      </c>
      <c r="O467" s="176">
        <v>10.52</v>
      </c>
      <c r="P467" s="176"/>
      <c r="Q467" s="178"/>
      <c r="R467" s="179"/>
      <c r="S467" s="179"/>
      <c r="T467" s="177">
        <v>44953</v>
      </c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80" t="s">
        <v>1609</v>
      </c>
      <c r="AE467" s="173" t="s">
        <v>69</v>
      </c>
      <c r="AF467" s="181" t="s">
        <v>142</v>
      </c>
      <c r="AG467" s="192" t="s">
        <v>1657</v>
      </c>
      <c r="AH467" s="198"/>
      <c r="AI467" s="181">
        <v>44849</v>
      </c>
      <c r="AJ467" s="181"/>
      <c r="AK467" s="181">
        <f t="shared" ca="1" si="56"/>
        <v>44958</v>
      </c>
      <c r="AL467" s="173">
        <f t="shared" ca="1" si="58"/>
        <v>109</v>
      </c>
      <c r="AM467" s="173" t="str">
        <f t="shared" si="59"/>
        <v/>
      </c>
      <c r="AN467" s="181"/>
      <c r="AO467" s="190" t="s">
        <v>4283</v>
      </c>
      <c r="AP467" s="176">
        <v>10.53</v>
      </c>
      <c r="AQ467" s="176">
        <v>10.54</v>
      </c>
      <c r="AR467" s="176">
        <v>10.564999999999998</v>
      </c>
      <c r="AS467" s="176">
        <v>10.569999999999999</v>
      </c>
      <c r="AT467" s="173" t="str">
        <f t="shared" si="55"/>
        <v/>
      </c>
      <c r="AU467" s="173">
        <v>456</v>
      </c>
      <c r="AW467" s="142" t="s">
        <v>123</v>
      </c>
    </row>
    <row r="468" spans="2:49" s="142" customFormat="1" ht="21" customHeight="1" x14ac:dyDescent="0.25">
      <c r="B468" s="173" t="str">
        <f t="shared" si="57"/>
        <v>0-304L/1D-3.90X645</v>
      </c>
      <c r="C468" s="173" t="s">
        <v>4286</v>
      </c>
      <c r="D468" s="173" t="s">
        <v>13</v>
      </c>
      <c r="E468" s="190" t="s">
        <v>4289</v>
      </c>
      <c r="F468" s="190" t="s">
        <v>4290</v>
      </c>
      <c r="G468" s="173" t="s">
        <v>182</v>
      </c>
      <c r="H468" s="173" t="s">
        <v>127</v>
      </c>
      <c r="I468" s="174">
        <v>3.9</v>
      </c>
      <c r="J468" s="174"/>
      <c r="K468" s="174"/>
      <c r="L468" s="174"/>
      <c r="M468" s="191">
        <v>645</v>
      </c>
      <c r="N468" s="176">
        <v>10.65</v>
      </c>
      <c r="O468" s="176">
        <v>10.65</v>
      </c>
      <c r="P468" s="176"/>
      <c r="Q468" s="178"/>
      <c r="R468" s="179"/>
      <c r="S468" s="179"/>
      <c r="T468" s="177">
        <v>44954</v>
      </c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80" t="s">
        <v>1643</v>
      </c>
      <c r="AE468" s="173" t="s">
        <v>69</v>
      </c>
      <c r="AF468" s="181" t="s">
        <v>142</v>
      </c>
      <c r="AG468" s="192" t="s">
        <v>1657</v>
      </c>
      <c r="AH468" s="198"/>
      <c r="AI468" s="181">
        <v>44849</v>
      </c>
      <c r="AJ468" s="181"/>
      <c r="AK468" s="181">
        <f t="shared" ca="1" si="56"/>
        <v>44958</v>
      </c>
      <c r="AL468" s="173">
        <f t="shared" ca="1" si="58"/>
        <v>109</v>
      </c>
      <c r="AM468" s="173" t="str">
        <f t="shared" si="59"/>
        <v/>
      </c>
      <c r="AN468" s="181"/>
      <c r="AO468" s="190" t="s">
        <v>1792</v>
      </c>
      <c r="AP468" s="176">
        <v>10.65</v>
      </c>
      <c r="AQ468" s="176">
        <v>10.66</v>
      </c>
      <c r="AR468" s="176">
        <v>10.684999999999999</v>
      </c>
      <c r="AS468" s="176">
        <v>10.69</v>
      </c>
      <c r="AT468" s="173" t="str">
        <f t="shared" si="55"/>
        <v/>
      </c>
      <c r="AU468" s="173">
        <v>456</v>
      </c>
      <c r="AW468" s="142" t="s">
        <v>123</v>
      </c>
    </row>
    <row r="469" spans="2:49" s="142" customFormat="1" ht="21" customHeight="1" x14ac:dyDescent="0.25">
      <c r="B469" s="173" t="str">
        <f t="shared" si="57"/>
        <v>0-304L/FH-2.00X643</v>
      </c>
      <c r="C469" s="173" t="s">
        <v>4285</v>
      </c>
      <c r="D469" s="173" t="s">
        <v>16</v>
      </c>
      <c r="E469" s="190" t="s">
        <v>4287</v>
      </c>
      <c r="F469" s="190" t="s">
        <v>4288</v>
      </c>
      <c r="G469" s="173" t="s">
        <v>182</v>
      </c>
      <c r="H469" s="173" t="s">
        <v>70</v>
      </c>
      <c r="I469" s="174">
        <v>3.89</v>
      </c>
      <c r="J469" s="174">
        <v>2</v>
      </c>
      <c r="K469" s="174"/>
      <c r="L469" s="174"/>
      <c r="M469" s="191">
        <v>643</v>
      </c>
      <c r="N469" s="176">
        <v>10.505000000000001</v>
      </c>
      <c r="O469" s="176">
        <v>10.51</v>
      </c>
      <c r="P469" s="176"/>
      <c r="Q469" s="178"/>
      <c r="R469" s="179"/>
      <c r="S469" s="179"/>
      <c r="T469" s="177">
        <v>44954</v>
      </c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80" t="s">
        <v>1605</v>
      </c>
      <c r="AE469" s="173" t="s">
        <v>69</v>
      </c>
      <c r="AF469" s="181" t="s">
        <v>142</v>
      </c>
      <c r="AG469" s="192" t="s">
        <v>1657</v>
      </c>
      <c r="AH469" s="198"/>
      <c r="AI469" s="181">
        <v>44849</v>
      </c>
      <c r="AJ469" s="181"/>
      <c r="AK469" s="181">
        <f t="shared" ca="1" si="56"/>
        <v>44958</v>
      </c>
      <c r="AL469" s="173">
        <f t="shared" ca="1" si="58"/>
        <v>109</v>
      </c>
      <c r="AM469" s="173" t="str">
        <f t="shared" si="59"/>
        <v/>
      </c>
      <c r="AN469" s="181"/>
      <c r="AO469" s="190" t="s">
        <v>1661</v>
      </c>
      <c r="AP469" s="176">
        <v>10.505000000000001</v>
      </c>
      <c r="AQ469" s="176">
        <v>10.515000000000001</v>
      </c>
      <c r="AR469" s="176">
        <v>10.54</v>
      </c>
      <c r="AS469" s="176">
        <v>10.545</v>
      </c>
      <c r="AT469" s="173" t="str">
        <f t="shared" si="55"/>
        <v/>
      </c>
      <c r="AU469" s="173">
        <v>456</v>
      </c>
      <c r="AW469" s="142" t="s">
        <v>123</v>
      </c>
    </row>
    <row r="470" spans="2:49" s="142" customFormat="1" ht="21" customHeight="1" x14ac:dyDescent="0.25">
      <c r="B470" s="173" t="str">
        <f t="shared" si="57"/>
        <v>0-304L/1D-3.09X643</v>
      </c>
      <c r="C470" s="173" t="s">
        <v>4286</v>
      </c>
      <c r="D470" s="173" t="s">
        <v>13</v>
      </c>
      <c r="E470" s="190" t="s">
        <v>1741</v>
      </c>
      <c r="F470" s="190" t="s">
        <v>1742</v>
      </c>
      <c r="G470" s="173" t="s">
        <v>182</v>
      </c>
      <c r="H470" s="173" t="s">
        <v>127</v>
      </c>
      <c r="I470" s="174">
        <v>3.09</v>
      </c>
      <c r="J470" s="174"/>
      <c r="K470" s="174"/>
      <c r="L470" s="174"/>
      <c r="M470" s="191">
        <v>643</v>
      </c>
      <c r="N470" s="176">
        <v>10.64</v>
      </c>
      <c r="O470" s="176">
        <v>10.64</v>
      </c>
      <c r="P470" s="176"/>
      <c r="Q470" s="178"/>
      <c r="R470" s="179"/>
      <c r="S470" s="179"/>
      <c r="T470" s="177">
        <v>44954</v>
      </c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80" t="s">
        <v>1643</v>
      </c>
      <c r="AE470" s="173" t="s">
        <v>69</v>
      </c>
      <c r="AF470" s="181" t="s">
        <v>142</v>
      </c>
      <c r="AG470" s="192" t="s">
        <v>1657</v>
      </c>
      <c r="AH470" s="198"/>
      <c r="AI470" s="181">
        <v>44849</v>
      </c>
      <c r="AJ470" s="181"/>
      <c r="AK470" s="181">
        <f t="shared" ca="1" si="56"/>
        <v>44958</v>
      </c>
      <c r="AL470" s="173">
        <f t="shared" ca="1" si="58"/>
        <v>109</v>
      </c>
      <c r="AM470" s="173" t="str">
        <f t="shared" si="59"/>
        <v/>
      </c>
      <c r="AN470" s="181"/>
      <c r="AO470" s="190" t="s">
        <v>1740</v>
      </c>
      <c r="AP470" s="176">
        <v>10.64</v>
      </c>
      <c r="AQ470" s="176">
        <v>10.65</v>
      </c>
      <c r="AR470" s="176">
        <v>10.674999999999999</v>
      </c>
      <c r="AS470" s="176">
        <v>10.68</v>
      </c>
      <c r="AT470" s="173" t="str">
        <f t="shared" si="55"/>
        <v/>
      </c>
      <c r="AU470" s="173">
        <v>456</v>
      </c>
      <c r="AW470" s="142" t="s">
        <v>123</v>
      </c>
    </row>
    <row r="471" spans="2:49" s="142" customFormat="1" ht="21" customHeight="1" x14ac:dyDescent="0.25">
      <c r="B471" s="173" t="str">
        <f t="shared" si="57"/>
        <v>0-304/FH-1.15X643</v>
      </c>
      <c r="C471" s="173" t="s">
        <v>4285</v>
      </c>
      <c r="D471" s="173" t="s">
        <v>16</v>
      </c>
      <c r="E471" s="190" t="s">
        <v>1761</v>
      </c>
      <c r="F471" s="190" t="s">
        <v>1762</v>
      </c>
      <c r="G471" s="173">
        <v>304</v>
      </c>
      <c r="H471" s="173" t="s">
        <v>70</v>
      </c>
      <c r="I471" s="174">
        <v>3.47</v>
      </c>
      <c r="J471" s="174">
        <v>1.1499999999999999</v>
      </c>
      <c r="K471" s="174"/>
      <c r="L471" s="174"/>
      <c r="M471" s="191">
        <v>643</v>
      </c>
      <c r="N471" s="176">
        <v>8.3249999999999993</v>
      </c>
      <c r="O471" s="176">
        <v>8.3149999999999995</v>
      </c>
      <c r="P471" s="176"/>
      <c r="Q471" s="178"/>
      <c r="R471" s="179"/>
      <c r="S471" s="179"/>
      <c r="T471" s="177">
        <v>44953</v>
      </c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80" t="s">
        <v>1643</v>
      </c>
      <c r="AE471" s="173" t="s">
        <v>69</v>
      </c>
      <c r="AF471" s="181" t="s">
        <v>142</v>
      </c>
      <c r="AG471" s="192" t="s">
        <v>1657</v>
      </c>
      <c r="AH471" s="198"/>
      <c r="AI471" s="181">
        <v>44849</v>
      </c>
      <c r="AJ471" s="181"/>
      <c r="AK471" s="181">
        <f t="shared" ca="1" si="56"/>
        <v>44958</v>
      </c>
      <c r="AL471" s="173">
        <f t="shared" ca="1" si="58"/>
        <v>109</v>
      </c>
      <c r="AM471" s="173" t="str">
        <f t="shared" si="59"/>
        <v/>
      </c>
      <c r="AN471" s="181"/>
      <c r="AO471" s="190" t="s">
        <v>1763</v>
      </c>
      <c r="AP471" s="176">
        <v>8.3249999999999993</v>
      </c>
      <c r="AQ471" s="176">
        <v>8.3350000000000009</v>
      </c>
      <c r="AR471" s="176">
        <v>8.36</v>
      </c>
      <c r="AS471" s="176">
        <v>8.3650000000000002</v>
      </c>
      <c r="AT471" s="173" t="str">
        <f t="shared" si="55"/>
        <v/>
      </c>
      <c r="AU471" s="173">
        <v>456</v>
      </c>
      <c r="AW471" s="142" t="s">
        <v>123</v>
      </c>
    </row>
    <row r="472" spans="2:49" s="142" customFormat="1" ht="21" customHeight="1" x14ac:dyDescent="0.25">
      <c r="B472" s="173" t="str">
        <f t="shared" si="57"/>
        <v>0-304L/1D-2.87X643</v>
      </c>
      <c r="C472" s="173" t="s">
        <v>4286</v>
      </c>
      <c r="D472" s="173" t="s">
        <v>13</v>
      </c>
      <c r="E472" s="190" t="s">
        <v>4291</v>
      </c>
      <c r="F472" s="190" t="s">
        <v>4292</v>
      </c>
      <c r="G472" s="173" t="s">
        <v>182</v>
      </c>
      <c r="H472" s="173" t="s">
        <v>127</v>
      </c>
      <c r="I472" s="174">
        <v>2.87</v>
      </c>
      <c r="J472" s="174"/>
      <c r="K472" s="174"/>
      <c r="L472" s="174"/>
      <c r="M472" s="191">
        <v>643</v>
      </c>
      <c r="N472" s="176">
        <v>10.74</v>
      </c>
      <c r="O472" s="176">
        <v>10.74</v>
      </c>
      <c r="P472" s="176"/>
      <c r="Q472" s="178"/>
      <c r="R472" s="179"/>
      <c r="S472" s="179"/>
      <c r="T472" s="177">
        <v>44954</v>
      </c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80" t="s">
        <v>1593</v>
      </c>
      <c r="AE472" s="173" t="s">
        <v>69</v>
      </c>
      <c r="AF472" s="181" t="s">
        <v>142</v>
      </c>
      <c r="AG472" s="192" t="s">
        <v>1594</v>
      </c>
      <c r="AH472" s="198"/>
      <c r="AI472" s="181">
        <v>44849</v>
      </c>
      <c r="AJ472" s="181"/>
      <c r="AK472" s="181">
        <f t="shared" ca="1" si="56"/>
        <v>44958</v>
      </c>
      <c r="AL472" s="173">
        <f t="shared" ca="1" si="58"/>
        <v>109</v>
      </c>
      <c r="AM472" s="173" t="str">
        <f t="shared" si="59"/>
        <v/>
      </c>
      <c r="AN472" s="181"/>
      <c r="AO472" s="190" t="s">
        <v>1628</v>
      </c>
      <c r="AP472" s="176">
        <v>10.74</v>
      </c>
      <c r="AQ472" s="176">
        <v>10.75</v>
      </c>
      <c r="AR472" s="176">
        <v>10.774999999999999</v>
      </c>
      <c r="AS472" s="176">
        <v>10.78</v>
      </c>
      <c r="AT472" s="173" t="str">
        <f t="shared" si="55"/>
        <v/>
      </c>
      <c r="AU472" s="173">
        <v>456</v>
      </c>
      <c r="AW472" s="142" t="s">
        <v>123</v>
      </c>
    </row>
    <row r="473" spans="2:49" s="142" customFormat="1" ht="21" customHeight="1" x14ac:dyDescent="0.25">
      <c r="B473" s="173" t="str">
        <f t="shared" si="57"/>
        <v>0-304L/FH-2.00X645</v>
      </c>
      <c r="C473" s="173" t="s">
        <v>4285</v>
      </c>
      <c r="D473" s="173" t="s">
        <v>16</v>
      </c>
      <c r="E473" s="190" t="s">
        <v>4289</v>
      </c>
      <c r="F473" s="190" t="s">
        <v>4290</v>
      </c>
      <c r="G473" s="173" t="s">
        <v>182</v>
      </c>
      <c r="H473" s="173" t="s">
        <v>70</v>
      </c>
      <c r="I473" s="174">
        <v>3.9</v>
      </c>
      <c r="J473" s="174">
        <v>2</v>
      </c>
      <c r="K473" s="174"/>
      <c r="L473" s="174"/>
      <c r="M473" s="191">
        <v>645</v>
      </c>
      <c r="N473" s="176">
        <v>10.65</v>
      </c>
      <c r="O473" s="176">
        <v>10.66</v>
      </c>
      <c r="P473" s="176"/>
      <c r="Q473" s="178"/>
      <c r="R473" s="179"/>
      <c r="S473" s="179"/>
      <c r="T473" s="177">
        <v>44954</v>
      </c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80" t="s">
        <v>1643</v>
      </c>
      <c r="AE473" s="173" t="s">
        <v>69</v>
      </c>
      <c r="AF473" s="181" t="s">
        <v>142</v>
      </c>
      <c r="AG473" s="192" t="s">
        <v>1657</v>
      </c>
      <c r="AH473" s="198"/>
      <c r="AI473" s="181">
        <v>44849</v>
      </c>
      <c r="AJ473" s="181"/>
      <c r="AK473" s="181">
        <f t="shared" ca="1" si="56"/>
        <v>44958</v>
      </c>
      <c r="AL473" s="173">
        <f t="shared" ca="1" si="58"/>
        <v>109</v>
      </c>
      <c r="AM473" s="173" t="str">
        <f t="shared" si="59"/>
        <v/>
      </c>
      <c r="AN473" s="181"/>
      <c r="AO473" s="190" t="s">
        <v>1792</v>
      </c>
      <c r="AP473" s="176">
        <v>10.65</v>
      </c>
      <c r="AQ473" s="176">
        <v>10.66</v>
      </c>
      <c r="AR473" s="176">
        <v>10.684999999999999</v>
      </c>
      <c r="AS473" s="176">
        <v>10.69</v>
      </c>
      <c r="AT473" s="173" t="str">
        <f t="shared" si="55"/>
        <v/>
      </c>
      <c r="AU473" s="173">
        <v>456</v>
      </c>
      <c r="AW473" s="142" t="s">
        <v>123</v>
      </c>
    </row>
    <row r="474" spans="2:49" s="142" customFormat="1" ht="21" customHeight="1" x14ac:dyDescent="0.25">
      <c r="B474" s="173" t="str">
        <f t="shared" si="57"/>
        <v>0-304L/1D-3.89X642</v>
      </c>
      <c r="C474" s="173" t="s">
        <v>4286</v>
      </c>
      <c r="D474" s="173" t="s">
        <v>13</v>
      </c>
      <c r="E474" s="190" t="s">
        <v>1610</v>
      </c>
      <c r="F474" s="190" t="s">
        <v>1611</v>
      </c>
      <c r="G474" s="173" t="s">
        <v>182</v>
      </c>
      <c r="H474" s="173" t="s">
        <v>127</v>
      </c>
      <c r="I474" s="174">
        <v>3.89</v>
      </c>
      <c r="J474" s="174"/>
      <c r="K474" s="174"/>
      <c r="L474" s="174"/>
      <c r="M474" s="191">
        <v>642</v>
      </c>
      <c r="N474" s="176">
        <v>10.404999999999999</v>
      </c>
      <c r="O474" s="176">
        <v>10.404999999999999</v>
      </c>
      <c r="P474" s="176"/>
      <c r="Q474" s="178"/>
      <c r="R474" s="179"/>
      <c r="S474" s="179"/>
      <c r="T474" s="177">
        <v>44954</v>
      </c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80" t="s">
        <v>1605</v>
      </c>
      <c r="AE474" s="173" t="s">
        <v>69</v>
      </c>
      <c r="AF474" s="181" t="s">
        <v>142</v>
      </c>
      <c r="AG474" s="192" t="s">
        <v>1594</v>
      </c>
      <c r="AH474" s="198"/>
      <c r="AI474" s="181">
        <v>44849</v>
      </c>
      <c r="AJ474" s="181"/>
      <c r="AK474" s="181">
        <f t="shared" ca="1" si="56"/>
        <v>44958</v>
      </c>
      <c r="AL474" s="173">
        <f t="shared" ca="1" si="58"/>
        <v>109</v>
      </c>
      <c r="AM474" s="173" t="str">
        <f t="shared" si="59"/>
        <v/>
      </c>
      <c r="AN474" s="181"/>
      <c r="AO474" s="190" t="s">
        <v>1612</v>
      </c>
      <c r="AP474" s="176">
        <v>10.404999999999999</v>
      </c>
      <c r="AQ474" s="176">
        <v>10.414999999999999</v>
      </c>
      <c r="AR474" s="176">
        <v>10.439999999999998</v>
      </c>
      <c r="AS474" s="176">
        <v>10.444999999999999</v>
      </c>
      <c r="AT474" s="173" t="str">
        <f t="shared" si="55"/>
        <v/>
      </c>
      <c r="AU474" s="173">
        <v>456</v>
      </c>
      <c r="AW474" s="142" t="s">
        <v>123</v>
      </c>
    </row>
    <row r="475" spans="2:49" s="142" customFormat="1" ht="21" customHeight="1" x14ac:dyDescent="0.25">
      <c r="B475" s="173" t="str">
        <f t="shared" si="57"/>
        <v>0-304L/FH-1.15X643</v>
      </c>
      <c r="C475" s="173" t="s">
        <v>4285</v>
      </c>
      <c r="D475" s="173" t="s">
        <v>16</v>
      </c>
      <c r="E475" s="190" t="s">
        <v>1741</v>
      </c>
      <c r="F475" s="190" t="s">
        <v>1742</v>
      </c>
      <c r="G475" s="173" t="s">
        <v>182</v>
      </c>
      <c r="H475" s="173" t="s">
        <v>70</v>
      </c>
      <c r="I475" s="174">
        <v>3.09</v>
      </c>
      <c r="J475" s="174">
        <v>1.1499999999999999</v>
      </c>
      <c r="K475" s="174"/>
      <c r="L475" s="174"/>
      <c r="M475" s="191">
        <v>643</v>
      </c>
      <c r="N475" s="176">
        <v>10.64</v>
      </c>
      <c r="O475" s="176">
        <v>10.66</v>
      </c>
      <c r="P475" s="176"/>
      <c r="Q475" s="178"/>
      <c r="R475" s="179"/>
      <c r="S475" s="179"/>
      <c r="T475" s="177">
        <v>44954</v>
      </c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80" t="s">
        <v>1643</v>
      </c>
      <c r="AE475" s="173" t="s">
        <v>69</v>
      </c>
      <c r="AF475" s="181" t="s">
        <v>142</v>
      </c>
      <c r="AG475" s="192" t="s">
        <v>1657</v>
      </c>
      <c r="AH475" s="198"/>
      <c r="AI475" s="181">
        <v>44849</v>
      </c>
      <c r="AJ475" s="181"/>
      <c r="AK475" s="181">
        <f t="shared" ca="1" si="56"/>
        <v>44958</v>
      </c>
      <c r="AL475" s="173">
        <f t="shared" ca="1" si="58"/>
        <v>109</v>
      </c>
      <c r="AM475" s="173" t="str">
        <f t="shared" si="59"/>
        <v/>
      </c>
      <c r="AN475" s="181"/>
      <c r="AO475" s="190" t="s">
        <v>1740</v>
      </c>
      <c r="AP475" s="176">
        <v>10.64</v>
      </c>
      <c r="AQ475" s="176">
        <v>10.65</v>
      </c>
      <c r="AR475" s="176">
        <v>10.674999999999999</v>
      </c>
      <c r="AS475" s="176">
        <v>10.68</v>
      </c>
      <c r="AT475" s="173" t="str">
        <f t="shared" si="55"/>
        <v/>
      </c>
      <c r="AU475" s="173">
        <v>456</v>
      </c>
      <c r="AW475" s="142" t="s">
        <v>123</v>
      </c>
    </row>
    <row r="476" spans="2:49" s="142" customFormat="1" ht="21" customHeight="1" x14ac:dyDescent="0.25">
      <c r="B476" s="173" t="str">
        <f t="shared" si="57"/>
        <v>0-304/1D-3.01X643</v>
      </c>
      <c r="C476" s="173" t="s">
        <v>4286</v>
      </c>
      <c r="D476" s="173" t="s">
        <v>13</v>
      </c>
      <c r="E476" s="190" t="s">
        <v>4293</v>
      </c>
      <c r="F476" s="190" t="s">
        <v>4294</v>
      </c>
      <c r="G476" s="173">
        <v>304</v>
      </c>
      <c r="H476" s="173" t="s">
        <v>127</v>
      </c>
      <c r="I476" s="174">
        <v>3.01</v>
      </c>
      <c r="J476" s="174"/>
      <c r="K476" s="174"/>
      <c r="L476" s="174"/>
      <c r="M476" s="191">
        <v>643</v>
      </c>
      <c r="N476" s="176">
        <v>10.664999999999999</v>
      </c>
      <c r="O476" s="176">
        <v>10.664999999999999</v>
      </c>
      <c r="P476" s="176"/>
      <c r="Q476" s="178"/>
      <c r="R476" s="179"/>
      <c r="S476" s="179"/>
      <c r="T476" s="177">
        <v>44954</v>
      </c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80" t="s">
        <v>1643</v>
      </c>
      <c r="AE476" s="173" t="s">
        <v>69</v>
      </c>
      <c r="AF476" s="181" t="s">
        <v>142</v>
      </c>
      <c r="AG476" s="192" t="s">
        <v>1657</v>
      </c>
      <c r="AH476" s="198"/>
      <c r="AI476" s="181">
        <v>44849</v>
      </c>
      <c r="AJ476" s="181"/>
      <c r="AK476" s="181">
        <f t="shared" ca="1" si="56"/>
        <v>44958</v>
      </c>
      <c r="AL476" s="173">
        <f t="shared" ca="1" si="58"/>
        <v>109</v>
      </c>
      <c r="AM476" s="173" t="str">
        <f t="shared" si="59"/>
        <v/>
      </c>
      <c r="AN476" s="181"/>
      <c r="AO476" s="190" t="s">
        <v>4244</v>
      </c>
      <c r="AP476" s="176">
        <v>10.664999999999999</v>
      </c>
      <c r="AQ476" s="176">
        <v>10.675000000000001</v>
      </c>
      <c r="AR476" s="176">
        <v>10.7</v>
      </c>
      <c r="AS476" s="176">
        <v>10.705</v>
      </c>
      <c r="AT476" s="173" t="str">
        <f t="shared" si="55"/>
        <v/>
      </c>
      <c r="AU476" s="173">
        <v>456</v>
      </c>
      <c r="AW476" s="142" t="s">
        <v>123</v>
      </c>
    </row>
    <row r="477" spans="2:49" s="142" customFormat="1" ht="21" customHeight="1" x14ac:dyDescent="0.25">
      <c r="B477" s="173" t="str">
        <f t="shared" si="57"/>
        <v>0-304L/FH-0.90X643</v>
      </c>
      <c r="C477" s="173" t="s">
        <v>4285</v>
      </c>
      <c r="D477" s="173" t="s">
        <v>16</v>
      </c>
      <c r="E477" s="190" t="s">
        <v>4291</v>
      </c>
      <c r="F477" s="190" t="s">
        <v>4292</v>
      </c>
      <c r="G477" s="173" t="s">
        <v>182</v>
      </c>
      <c r="H477" s="173" t="s">
        <v>70</v>
      </c>
      <c r="I477" s="174">
        <v>2.87</v>
      </c>
      <c r="J477" s="174">
        <v>0.9</v>
      </c>
      <c r="K477" s="174"/>
      <c r="L477" s="174"/>
      <c r="M477" s="191">
        <v>643</v>
      </c>
      <c r="N477" s="176">
        <v>10.74</v>
      </c>
      <c r="O477" s="176">
        <v>10.76</v>
      </c>
      <c r="P477" s="176"/>
      <c r="Q477" s="178"/>
      <c r="R477" s="179"/>
      <c r="S477" s="179"/>
      <c r="T477" s="177">
        <v>44954</v>
      </c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80" t="s">
        <v>1593</v>
      </c>
      <c r="AE477" s="173" t="s">
        <v>69</v>
      </c>
      <c r="AF477" s="181" t="s">
        <v>142</v>
      </c>
      <c r="AG477" s="192" t="s">
        <v>1594</v>
      </c>
      <c r="AH477" s="198"/>
      <c r="AI477" s="181">
        <v>44849</v>
      </c>
      <c r="AJ477" s="181"/>
      <c r="AK477" s="181">
        <f t="shared" ca="1" si="56"/>
        <v>44958</v>
      </c>
      <c r="AL477" s="173">
        <f t="shared" ca="1" si="58"/>
        <v>109</v>
      </c>
      <c r="AM477" s="173" t="str">
        <f t="shared" si="59"/>
        <v/>
      </c>
      <c r="AN477" s="181"/>
      <c r="AO477" s="190" t="s">
        <v>1628</v>
      </c>
      <c r="AP477" s="176">
        <v>10.74</v>
      </c>
      <c r="AQ477" s="176">
        <v>10.75</v>
      </c>
      <c r="AR477" s="176">
        <v>10.774999999999999</v>
      </c>
      <c r="AS477" s="176">
        <v>10.78</v>
      </c>
      <c r="AT477" s="173" t="str">
        <f t="shared" si="55"/>
        <v/>
      </c>
      <c r="AU477" s="173">
        <v>456</v>
      </c>
      <c r="AW477" s="142" t="s">
        <v>123</v>
      </c>
    </row>
    <row r="478" spans="2:49" s="142" customFormat="1" ht="21" customHeight="1" x14ac:dyDescent="0.25">
      <c r="B478" s="173" t="str">
        <f t="shared" si="57"/>
        <v>0-304L/1D-3.89X642</v>
      </c>
      <c r="C478" s="173" t="s">
        <v>4286</v>
      </c>
      <c r="D478" s="173" t="s">
        <v>13</v>
      </c>
      <c r="E478" s="190" t="s">
        <v>1603</v>
      </c>
      <c r="F478" s="190" t="s">
        <v>1604</v>
      </c>
      <c r="G478" s="173" t="s">
        <v>182</v>
      </c>
      <c r="H478" s="173" t="s">
        <v>127</v>
      </c>
      <c r="I478" s="174">
        <v>3.89</v>
      </c>
      <c r="J478" s="174"/>
      <c r="K478" s="174"/>
      <c r="L478" s="174"/>
      <c r="M478" s="191">
        <v>642</v>
      </c>
      <c r="N478" s="176">
        <v>10.505000000000001</v>
      </c>
      <c r="O478" s="176">
        <v>10.505000000000001</v>
      </c>
      <c r="P478" s="176"/>
      <c r="Q478" s="178"/>
      <c r="R478" s="179"/>
      <c r="S478" s="179"/>
      <c r="T478" s="177">
        <v>44954</v>
      </c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80" t="s">
        <v>1605</v>
      </c>
      <c r="AE478" s="173" t="s">
        <v>69</v>
      </c>
      <c r="AF478" s="181" t="s">
        <v>142</v>
      </c>
      <c r="AG478" s="192" t="s">
        <v>1594</v>
      </c>
      <c r="AH478" s="198"/>
      <c r="AI478" s="181">
        <v>44849</v>
      </c>
      <c r="AJ478" s="181"/>
      <c r="AK478" s="181">
        <f t="shared" ca="1" si="56"/>
        <v>44958</v>
      </c>
      <c r="AL478" s="173">
        <f t="shared" ca="1" si="58"/>
        <v>109</v>
      </c>
      <c r="AM478" s="173" t="str">
        <f t="shared" si="59"/>
        <v/>
      </c>
      <c r="AN478" s="181"/>
      <c r="AO478" s="190" t="s">
        <v>1606</v>
      </c>
      <c r="AP478" s="176">
        <v>10.505000000000001</v>
      </c>
      <c r="AQ478" s="176">
        <v>10.515000000000001</v>
      </c>
      <c r="AR478" s="176">
        <v>10.54</v>
      </c>
      <c r="AS478" s="176">
        <v>10.545</v>
      </c>
      <c r="AT478" s="173" t="str">
        <f t="shared" si="55"/>
        <v/>
      </c>
      <c r="AU478" s="173">
        <v>456</v>
      </c>
      <c r="AW478" s="142" t="s">
        <v>123</v>
      </c>
    </row>
    <row r="479" spans="2:49" s="142" customFormat="1" ht="21" customHeight="1" x14ac:dyDescent="0.25">
      <c r="B479" s="173" t="str">
        <f t="shared" si="57"/>
        <v>0-304L/FH-1.15X642</v>
      </c>
      <c r="C479" s="173" t="s">
        <v>4285</v>
      </c>
      <c r="D479" s="173" t="s">
        <v>16</v>
      </c>
      <c r="E479" s="190" t="s">
        <v>1613</v>
      </c>
      <c r="F479" s="190" t="s">
        <v>1616</v>
      </c>
      <c r="G479" s="173" t="s">
        <v>182</v>
      </c>
      <c r="H479" s="173" t="s">
        <v>70</v>
      </c>
      <c r="I479" s="174">
        <v>3.64</v>
      </c>
      <c r="J479" s="174">
        <v>1.1499999999999999</v>
      </c>
      <c r="K479" s="174"/>
      <c r="L479" s="174"/>
      <c r="M479" s="191">
        <v>642</v>
      </c>
      <c r="N479" s="176">
        <v>6.76</v>
      </c>
      <c r="O479" s="176">
        <v>6.76</v>
      </c>
      <c r="P479" s="176"/>
      <c r="Q479" s="178"/>
      <c r="R479" s="179"/>
      <c r="S479" s="179"/>
      <c r="T479" s="177">
        <v>44953</v>
      </c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80" t="s">
        <v>1593</v>
      </c>
      <c r="AE479" s="173" t="s">
        <v>69</v>
      </c>
      <c r="AF479" s="181" t="s">
        <v>142</v>
      </c>
      <c r="AG479" s="192" t="s">
        <v>1594</v>
      </c>
      <c r="AH479" s="198"/>
      <c r="AI479" s="181">
        <v>44849</v>
      </c>
      <c r="AJ479" s="181"/>
      <c r="AK479" s="181">
        <f t="shared" ca="1" si="56"/>
        <v>44958</v>
      </c>
      <c r="AL479" s="173">
        <f t="shared" ca="1" si="58"/>
        <v>109</v>
      </c>
      <c r="AM479" s="173" t="str">
        <f t="shared" si="59"/>
        <v/>
      </c>
      <c r="AN479" s="181"/>
      <c r="AO479" s="190" t="s">
        <v>1615</v>
      </c>
      <c r="AP479" s="176">
        <v>10.545</v>
      </c>
      <c r="AQ479" s="176">
        <v>10.555</v>
      </c>
      <c r="AR479" s="176">
        <v>10.579999999999998</v>
      </c>
      <c r="AS479" s="176">
        <v>10.584999999999999</v>
      </c>
      <c r="AT479" s="173" t="str">
        <f t="shared" si="55"/>
        <v/>
      </c>
      <c r="AU479" s="173">
        <v>456</v>
      </c>
      <c r="AW479" s="142" t="s">
        <v>123</v>
      </c>
    </row>
    <row r="480" spans="2:49" s="142" customFormat="1" ht="21" customHeight="1" x14ac:dyDescent="0.25">
      <c r="B480" s="173" t="str">
        <f t="shared" si="57"/>
        <v>0-304L/1D-3.95X643</v>
      </c>
      <c r="C480" s="173" t="s">
        <v>4286</v>
      </c>
      <c r="D480" s="173" t="s">
        <v>13</v>
      </c>
      <c r="E480" s="190" t="s">
        <v>1662</v>
      </c>
      <c r="F480" s="190" t="s">
        <v>1663</v>
      </c>
      <c r="G480" s="173" t="s">
        <v>182</v>
      </c>
      <c r="H480" s="173" t="s">
        <v>127</v>
      </c>
      <c r="I480" s="174">
        <v>3.95</v>
      </c>
      <c r="J480" s="174"/>
      <c r="K480" s="174"/>
      <c r="L480" s="174"/>
      <c r="M480" s="191">
        <v>643</v>
      </c>
      <c r="N480" s="176">
        <v>10.574999999999999</v>
      </c>
      <c r="O480" s="176">
        <v>10.574999999999999</v>
      </c>
      <c r="P480" s="176"/>
      <c r="Q480" s="178"/>
      <c r="R480" s="179"/>
      <c r="S480" s="179"/>
      <c r="T480" s="177">
        <v>44954</v>
      </c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80" t="s">
        <v>1593</v>
      </c>
      <c r="AE480" s="173" t="s">
        <v>69</v>
      </c>
      <c r="AF480" s="181" t="s">
        <v>142</v>
      </c>
      <c r="AG480" s="192" t="s">
        <v>1657</v>
      </c>
      <c r="AH480" s="198"/>
      <c r="AI480" s="181">
        <v>44849</v>
      </c>
      <c r="AJ480" s="181"/>
      <c r="AK480" s="181">
        <f t="shared" ca="1" si="56"/>
        <v>44958</v>
      </c>
      <c r="AL480" s="173">
        <f t="shared" ca="1" si="58"/>
        <v>109</v>
      </c>
      <c r="AM480" s="173" t="str">
        <f t="shared" si="59"/>
        <v/>
      </c>
      <c r="AN480" s="181"/>
      <c r="AO480" s="190" t="s">
        <v>1664</v>
      </c>
      <c r="AP480" s="176">
        <v>10.574999999999999</v>
      </c>
      <c r="AQ480" s="176">
        <v>10.585000000000001</v>
      </c>
      <c r="AR480" s="176">
        <v>10.61</v>
      </c>
      <c r="AS480" s="176">
        <v>10.615</v>
      </c>
      <c r="AT480" s="173" t="str">
        <f t="shared" si="55"/>
        <v/>
      </c>
      <c r="AU480" s="173">
        <v>456</v>
      </c>
      <c r="AW480" s="142" t="s">
        <v>123</v>
      </c>
    </row>
    <row r="481" spans="2:49" s="142" customFormat="1" ht="21" customHeight="1" x14ac:dyDescent="0.25">
      <c r="B481" s="173" t="str">
        <f t="shared" si="57"/>
        <v>0-304L/FH-1.45X642</v>
      </c>
      <c r="C481" s="173" t="s">
        <v>4295</v>
      </c>
      <c r="D481" s="173" t="s">
        <v>16</v>
      </c>
      <c r="E481" s="190" t="s">
        <v>1603</v>
      </c>
      <c r="F481" s="190" t="s">
        <v>1604</v>
      </c>
      <c r="G481" s="173" t="s">
        <v>182</v>
      </c>
      <c r="H481" s="173" t="s">
        <v>70</v>
      </c>
      <c r="I481" s="174">
        <v>3.89</v>
      </c>
      <c r="J481" s="174">
        <v>1.45</v>
      </c>
      <c r="K481" s="174"/>
      <c r="L481" s="174"/>
      <c r="M481" s="191">
        <v>642</v>
      </c>
      <c r="N481" s="176">
        <v>10.505000000000001</v>
      </c>
      <c r="O481" s="176">
        <v>10.51</v>
      </c>
      <c r="P481" s="176"/>
      <c r="Q481" s="178"/>
      <c r="R481" s="179"/>
      <c r="S481" s="179"/>
      <c r="T481" s="177">
        <v>44954</v>
      </c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80" t="s">
        <v>1605</v>
      </c>
      <c r="AE481" s="173" t="s">
        <v>69</v>
      </c>
      <c r="AF481" s="181" t="s">
        <v>142</v>
      </c>
      <c r="AG481" s="192" t="s">
        <v>1594</v>
      </c>
      <c r="AH481" s="198"/>
      <c r="AI481" s="181">
        <v>44849</v>
      </c>
      <c r="AJ481" s="181"/>
      <c r="AK481" s="181">
        <f t="shared" ca="1" si="56"/>
        <v>44958</v>
      </c>
      <c r="AL481" s="173">
        <f t="shared" ca="1" si="58"/>
        <v>109</v>
      </c>
      <c r="AM481" s="173" t="str">
        <f t="shared" si="59"/>
        <v/>
      </c>
      <c r="AN481" s="181"/>
      <c r="AO481" s="190" t="s">
        <v>1606</v>
      </c>
      <c r="AP481" s="176">
        <v>10.505000000000001</v>
      </c>
      <c r="AQ481" s="176">
        <v>10.515000000000001</v>
      </c>
      <c r="AR481" s="176">
        <v>10.54</v>
      </c>
      <c r="AS481" s="176">
        <v>10.545</v>
      </c>
      <c r="AT481" s="173" t="str">
        <f t="shared" si="55"/>
        <v/>
      </c>
      <c r="AU481" s="173">
        <v>456</v>
      </c>
      <c r="AW481" s="142" t="s">
        <v>123</v>
      </c>
    </row>
    <row r="482" spans="2:49" s="142" customFormat="1" ht="21" customHeight="1" x14ac:dyDescent="0.25">
      <c r="B482" s="173" t="str">
        <f t="shared" si="57"/>
        <v>0-304L/1D-2.88X641</v>
      </c>
      <c r="C482" s="173" t="s">
        <v>4296</v>
      </c>
      <c r="D482" s="173" t="s">
        <v>13</v>
      </c>
      <c r="E482" s="190" t="s">
        <v>1782</v>
      </c>
      <c r="F482" s="190" t="s">
        <v>1783</v>
      </c>
      <c r="G482" s="173" t="s">
        <v>182</v>
      </c>
      <c r="H482" s="173" t="s">
        <v>127</v>
      </c>
      <c r="I482" s="174">
        <v>2.88</v>
      </c>
      <c r="J482" s="174"/>
      <c r="K482" s="174"/>
      <c r="L482" s="174"/>
      <c r="M482" s="191">
        <v>641</v>
      </c>
      <c r="N482" s="176">
        <v>10.725</v>
      </c>
      <c r="O482" s="176">
        <v>10.725</v>
      </c>
      <c r="P482" s="176"/>
      <c r="Q482" s="178"/>
      <c r="R482" s="179"/>
      <c r="S482" s="179"/>
      <c r="T482" s="177">
        <v>44955</v>
      </c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80" t="s">
        <v>1593</v>
      </c>
      <c r="AE482" s="173" t="s">
        <v>69</v>
      </c>
      <c r="AF482" s="181" t="s">
        <v>142</v>
      </c>
      <c r="AG482" s="192" t="s">
        <v>1657</v>
      </c>
      <c r="AH482" s="198"/>
      <c r="AI482" s="181">
        <v>44849</v>
      </c>
      <c r="AJ482" s="181"/>
      <c r="AK482" s="181">
        <f t="shared" ca="1" si="56"/>
        <v>44958</v>
      </c>
      <c r="AL482" s="173">
        <f t="shared" ca="1" si="58"/>
        <v>109</v>
      </c>
      <c r="AM482" s="173" t="str">
        <f t="shared" si="59"/>
        <v/>
      </c>
      <c r="AN482" s="181"/>
      <c r="AO482" s="190" t="s">
        <v>1784</v>
      </c>
      <c r="AP482" s="176">
        <v>10.725</v>
      </c>
      <c r="AQ482" s="176">
        <v>10.734999999999999</v>
      </c>
      <c r="AR482" s="176">
        <v>10.759999999999998</v>
      </c>
      <c r="AS482" s="176">
        <v>10.764999999999999</v>
      </c>
      <c r="AT482" s="173" t="str">
        <f t="shared" si="55"/>
        <v/>
      </c>
      <c r="AU482" s="173">
        <v>456</v>
      </c>
      <c r="AW482" s="142" t="s">
        <v>123</v>
      </c>
    </row>
    <row r="483" spans="2:49" s="142" customFormat="1" ht="21" customHeight="1" x14ac:dyDescent="0.25">
      <c r="B483" s="173" t="str">
        <f t="shared" si="57"/>
        <v>0-304L/FH-1.45X642</v>
      </c>
      <c r="C483" s="173" t="s">
        <v>4297</v>
      </c>
      <c r="D483" s="173" t="s">
        <v>3901</v>
      </c>
      <c r="E483" s="190" t="s">
        <v>1610</v>
      </c>
      <c r="F483" s="190" t="s">
        <v>1611</v>
      </c>
      <c r="G483" s="173" t="s">
        <v>182</v>
      </c>
      <c r="H483" s="173" t="s">
        <v>70</v>
      </c>
      <c r="I483" s="174">
        <v>3.89</v>
      </c>
      <c r="J483" s="174">
        <v>1.45</v>
      </c>
      <c r="K483" s="174"/>
      <c r="L483" s="174"/>
      <c r="M483" s="191">
        <v>642</v>
      </c>
      <c r="N483" s="176">
        <v>10.404999999999999</v>
      </c>
      <c r="O483" s="176">
        <v>10.404999999999999</v>
      </c>
      <c r="P483" s="176"/>
      <c r="Q483" s="178"/>
      <c r="R483" s="179"/>
      <c r="S483" s="179"/>
      <c r="T483" s="177">
        <v>44954</v>
      </c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80" t="s">
        <v>1605</v>
      </c>
      <c r="AE483" s="173" t="s">
        <v>69</v>
      </c>
      <c r="AF483" s="181" t="s">
        <v>142</v>
      </c>
      <c r="AG483" s="192" t="s">
        <v>1594</v>
      </c>
      <c r="AH483" s="198"/>
      <c r="AI483" s="181">
        <v>44849</v>
      </c>
      <c r="AJ483" s="181"/>
      <c r="AK483" s="181">
        <f t="shared" ca="1" si="56"/>
        <v>44958</v>
      </c>
      <c r="AL483" s="173">
        <f t="shared" ca="1" si="58"/>
        <v>109</v>
      </c>
      <c r="AM483" s="173" t="str">
        <f t="shared" si="59"/>
        <v/>
      </c>
      <c r="AN483" s="181"/>
      <c r="AO483" s="190" t="s">
        <v>1612</v>
      </c>
      <c r="AP483" s="176">
        <v>10.404999999999999</v>
      </c>
      <c r="AQ483" s="176">
        <v>10.414999999999999</v>
      </c>
      <c r="AR483" s="176">
        <v>10.439999999999998</v>
      </c>
      <c r="AS483" s="176">
        <v>10.444999999999999</v>
      </c>
      <c r="AT483" s="173" t="str">
        <f t="shared" si="55"/>
        <v/>
      </c>
      <c r="AU483" s="173">
        <v>456</v>
      </c>
      <c r="AW483" s="142" t="s">
        <v>123</v>
      </c>
    </row>
    <row r="484" spans="2:49" s="142" customFormat="1" ht="21" customHeight="1" x14ac:dyDescent="0.25">
      <c r="B484" s="173" t="str">
        <f t="shared" si="57"/>
        <v>0-304L/FH-2.00X643</v>
      </c>
      <c r="C484" s="173" t="s">
        <v>4295</v>
      </c>
      <c r="D484" s="173" t="s">
        <v>16</v>
      </c>
      <c r="E484" s="190" t="s">
        <v>1662</v>
      </c>
      <c r="F484" s="190" t="s">
        <v>1663</v>
      </c>
      <c r="G484" s="173" t="s">
        <v>182</v>
      </c>
      <c r="H484" s="173" t="s">
        <v>70</v>
      </c>
      <c r="I484" s="174">
        <v>3.95</v>
      </c>
      <c r="J484" s="174">
        <v>2</v>
      </c>
      <c r="K484" s="174"/>
      <c r="L484" s="174"/>
      <c r="M484" s="191">
        <v>643</v>
      </c>
      <c r="N484" s="176">
        <v>10.574999999999999</v>
      </c>
      <c r="O484" s="176">
        <v>10.585000000000001</v>
      </c>
      <c r="P484" s="176"/>
      <c r="Q484" s="178"/>
      <c r="R484" s="179"/>
      <c r="S484" s="179"/>
      <c r="T484" s="177">
        <v>44954</v>
      </c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80" t="s">
        <v>1593</v>
      </c>
      <c r="AE484" s="173" t="s">
        <v>69</v>
      </c>
      <c r="AF484" s="181" t="s">
        <v>142</v>
      </c>
      <c r="AG484" s="192" t="s">
        <v>1657</v>
      </c>
      <c r="AH484" s="198"/>
      <c r="AI484" s="181">
        <v>44849</v>
      </c>
      <c r="AJ484" s="181"/>
      <c r="AK484" s="181">
        <f t="shared" ca="1" si="56"/>
        <v>44958</v>
      </c>
      <c r="AL484" s="173">
        <f t="shared" ca="1" si="58"/>
        <v>109</v>
      </c>
      <c r="AM484" s="173" t="str">
        <f t="shared" si="59"/>
        <v/>
      </c>
      <c r="AN484" s="181"/>
      <c r="AO484" s="190" t="s">
        <v>1664</v>
      </c>
      <c r="AP484" s="176">
        <v>10.574999999999999</v>
      </c>
      <c r="AQ484" s="176">
        <v>10.585000000000001</v>
      </c>
      <c r="AR484" s="176">
        <v>10.61</v>
      </c>
      <c r="AS484" s="176">
        <v>10.615</v>
      </c>
      <c r="AT484" s="173" t="str">
        <f t="shared" si="55"/>
        <v/>
      </c>
      <c r="AU484" s="173">
        <v>456</v>
      </c>
      <c r="AW484" s="142" t="s">
        <v>123</v>
      </c>
    </row>
    <row r="485" spans="2:49" s="142" customFormat="1" ht="21" customHeight="1" x14ac:dyDescent="0.25">
      <c r="B485" s="173" t="str">
        <f t="shared" si="57"/>
        <v>0-304L/1D-3.63X643</v>
      </c>
      <c r="C485" s="173" t="s">
        <v>4296</v>
      </c>
      <c r="D485" s="173" t="s">
        <v>13</v>
      </c>
      <c r="E485" s="190" t="s">
        <v>4298</v>
      </c>
      <c r="F485" s="190" t="s">
        <v>4299</v>
      </c>
      <c r="G485" s="173" t="s">
        <v>182</v>
      </c>
      <c r="H485" s="173" t="s">
        <v>127</v>
      </c>
      <c r="I485" s="174">
        <v>3.63</v>
      </c>
      <c r="J485" s="174"/>
      <c r="K485" s="174"/>
      <c r="L485" s="174"/>
      <c r="M485" s="191">
        <v>643</v>
      </c>
      <c r="N485" s="176">
        <v>10.595000000000001</v>
      </c>
      <c r="O485" s="176">
        <v>10.595000000000001</v>
      </c>
      <c r="P485" s="176"/>
      <c r="Q485" s="178"/>
      <c r="R485" s="179"/>
      <c r="S485" s="179"/>
      <c r="T485" s="177">
        <v>44955</v>
      </c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80" t="s">
        <v>1593</v>
      </c>
      <c r="AE485" s="173" t="s">
        <v>69</v>
      </c>
      <c r="AF485" s="181" t="s">
        <v>142</v>
      </c>
      <c r="AG485" s="192" t="s">
        <v>1594</v>
      </c>
      <c r="AH485" s="198"/>
      <c r="AI485" s="181">
        <v>44849</v>
      </c>
      <c r="AJ485" s="181"/>
      <c r="AK485" s="181">
        <f t="shared" ca="1" si="56"/>
        <v>44958</v>
      </c>
      <c r="AL485" s="173">
        <f t="shared" ca="1" si="58"/>
        <v>109</v>
      </c>
      <c r="AM485" s="173" t="str">
        <f t="shared" si="59"/>
        <v/>
      </c>
      <c r="AN485" s="181"/>
      <c r="AO485" s="190" t="s">
        <v>1615</v>
      </c>
      <c r="AP485" s="176">
        <v>10.595000000000001</v>
      </c>
      <c r="AQ485" s="176">
        <v>10.605</v>
      </c>
      <c r="AR485" s="176">
        <v>10.629999999999999</v>
      </c>
      <c r="AS485" s="176">
        <v>10.635</v>
      </c>
      <c r="AT485" s="173" t="str">
        <f t="shared" si="55"/>
        <v/>
      </c>
      <c r="AU485" s="173">
        <v>456</v>
      </c>
      <c r="AW485" s="142" t="s">
        <v>123</v>
      </c>
    </row>
    <row r="486" spans="2:49" s="142" customFormat="1" ht="21" customHeight="1" x14ac:dyDescent="0.25">
      <c r="B486" s="173" t="str">
        <f t="shared" si="57"/>
        <v>0-304L/FH-0.90X641</v>
      </c>
      <c r="C486" s="173" t="s">
        <v>4295</v>
      </c>
      <c r="D486" s="173" t="s">
        <v>16</v>
      </c>
      <c r="E486" s="190" t="s">
        <v>1782</v>
      </c>
      <c r="F486" s="190" t="s">
        <v>1783</v>
      </c>
      <c r="G486" s="173" t="s">
        <v>182</v>
      </c>
      <c r="H486" s="173" t="s">
        <v>70</v>
      </c>
      <c r="I486" s="174">
        <v>2.88</v>
      </c>
      <c r="J486" s="174">
        <v>0.9</v>
      </c>
      <c r="K486" s="174"/>
      <c r="L486" s="174"/>
      <c r="M486" s="191">
        <v>641</v>
      </c>
      <c r="N486" s="176">
        <v>10.725</v>
      </c>
      <c r="O486" s="176">
        <v>10.72</v>
      </c>
      <c r="P486" s="176"/>
      <c r="Q486" s="178"/>
      <c r="R486" s="179"/>
      <c r="S486" s="179"/>
      <c r="T486" s="177">
        <v>44955</v>
      </c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80" t="s">
        <v>1593</v>
      </c>
      <c r="AE486" s="173" t="s">
        <v>69</v>
      </c>
      <c r="AF486" s="181" t="s">
        <v>142</v>
      </c>
      <c r="AG486" s="192" t="s">
        <v>1657</v>
      </c>
      <c r="AH486" s="198"/>
      <c r="AI486" s="181">
        <v>44849</v>
      </c>
      <c r="AJ486" s="181"/>
      <c r="AK486" s="181">
        <f t="shared" ca="1" si="56"/>
        <v>44958</v>
      </c>
      <c r="AL486" s="173">
        <f t="shared" ca="1" si="58"/>
        <v>109</v>
      </c>
      <c r="AM486" s="173" t="str">
        <f t="shared" si="59"/>
        <v/>
      </c>
      <c r="AN486" s="181"/>
      <c r="AO486" s="190" t="s">
        <v>1784</v>
      </c>
      <c r="AP486" s="176">
        <v>10.725</v>
      </c>
      <c r="AQ486" s="176">
        <v>10.734999999999999</v>
      </c>
      <c r="AR486" s="176">
        <v>10.759999999999998</v>
      </c>
      <c r="AS486" s="176">
        <v>10.764999999999999</v>
      </c>
      <c r="AT486" s="173" t="str">
        <f t="shared" si="55"/>
        <v/>
      </c>
      <c r="AU486" s="173">
        <v>456</v>
      </c>
      <c r="AW486" s="142" t="s">
        <v>123</v>
      </c>
    </row>
    <row r="487" spans="2:49" s="142" customFormat="1" ht="21" customHeight="1" x14ac:dyDescent="0.25">
      <c r="B487" s="173" t="str">
        <f t="shared" si="57"/>
        <v>0-304/1D-2.93X641</v>
      </c>
      <c r="C487" s="173" t="s">
        <v>4296</v>
      </c>
      <c r="D487" s="173" t="s">
        <v>13</v>
      </c>
      <c r="E487" s="190" t="s">
        <v>4300</v>
      </c>
      <c r="F487" s="190" t="s">
        <v>4301</v>
      </c>
      <c r="G487" s="173">
        <v>304</v>
      </c>
      <c r="H487" s="173" t="s">
        <v>127</v>
      </c>
      <c r="I487" s="174">
        <v>2.93</v>
      </c>
      <c r="J487" s="174"/>
      <c r="K487" s="174"/>
      <c r="L487" s="174"/>
      <c r="M487" s="191">
        <v>641</v>
      </c>
      <c r="N487" s="176">
        <v>10.58</v>
      </c>
      <c r="O487" s="176">
        <v>10.58</v>
      </c>
      <c r="P487" s="176"/>
      <c r="Q487" s="178"/>
      <c r="R487" s="179"/>
      <c r="S487" s="179"/>
      <c r="T487" s="177">
        <v>44955</v>
      </c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80" t="s">
        <v>1593</v>
      </c>
      <c r="AE487" s="173" t="s">
        <v>69</v>
      </c>
      <c r="AF487" s="181" t="s">
        <v>142</v>
      </c>
      <c r="AG487" s="192" t="s">
        <v>1594</v>
      </c>
      <c r="AH487" s="198"/>
      <c r="AI487" s="181">
        <v>44849</v>
      </c>
      <c r="AJ487" s="181"/>
      <c r="AK487" s="181">
        <f t="shared" ca="1" si="56"/>
        <v>44958</v>
      </c>
      <c r="AL487" s="173">
        <f t="shared" ca="1" si="58"/>
        <v>109</v>
      </c>
      <c r="AM487" s="173" t="str">
        <f t="shared" si="59"/>
        <v/>
      </c>
      <c r="AN487" s="181"/>
      <c r="AO487" s="190" t="s">
        <v>4032</v>
      </c>
      <c r="AP487" s="176">
        <v>10.58</v>
      </c>
      <c r="AQ487" s="176">
        <v>10.59</v>
      </c>
      <c r="AR487" s="176">
        <v>10.614999999999998</v>
      </c>
      <c r="AS487" s="176">
        <v>10.62</v>
      </c>
      <c r="AT487" s="173" t="str">
        <f t="shared" si="55"/>
        <v/>
      </c>
      <c r="AU487" s="173">
        <v>456</v>
      </c>
      <c r="AW487" s="142" t="s">
        <v>123</v>
      </c>
    </row>
    <row r="488" spans="2:49" s="142" customFormat="1" ht="21" customHeight="1" x14ac:dyDescent="0.25">
      <c r="B488" s="173" t="str">
        <f t="shared" si="57"/>
        <v>0-304L/FH-1.45X643</v>
      </c>
      <c r="C488" s="173" t="s">
        <v>4295</v>
      </c>
      <c r="D488" s="173" t="s">
        <v>16</v>
      </c>
      <c r="E488" s="190" t="s">
        <v>4298</v>
      </c>
      <c r="F488" s="190" t="s">
        <v>4299</v>
      </c>
      <c r="G488" s="173" t="s">
        <v>182</v>
      </c>
      <c r="H488" s="173" t="s">
        <v>70</v>
      </c>
      <c r="I488" s="174">
        <v>3.63</v>
      </c>
      <c r="J488" s="174">
        <v>1.45</v>
      </c>
      <c r="K488" s="174"/>
      <c r="L488" s="174"/>
      <c r="M488" s="191">
        <v>643</v>
      </c>
      <c r="N488" s="176">
        <v>10.595000000000001</v>
      </c>
      <c r="O488" s="176">
        <v>10.595000000000001</v>
      </c>
      <c r="P488" s="176"/>
      <c r="Q488" s="178"/>
      <c r="R488" s="179"/>
      <c r="S488" s="179"/>
      <c r="T488" s="177">
        <v>44955</v>
      </c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80" t="s">
        <v>1593</v>
      </c>
      <c r="AE488" s="173" t="s">
        <v>69</v>
      </c>
      <c r="AF488" s="181" t="s">
        <v>142</v>
      </c>
      <c r="AG488" s="192" t="s">
        <v>1594</v>
      </c>
      <c r="AH488" s="198"/>
      <c r="AI488" s="181">
        <v>44849</v>
      </c>
      <c r="AJ488" s="181"/>
      <c r="AK488" s="181">
        <f t="shared" ca="1" si="56"/>
        <v>44958</v>
      </c>
      <c r="AL488" s="173">
        <f t="shared" ca="1" si="58"/>
        <v>109</v>
      </c>
      <c r="AM488" s="173" t="str">
        <f t="shared" si="59"/>
        <v/>
      </c>
      <c r="AN488" s="181"/>
      <c r="AO488" s="190" t="s">
        <v>1615</v>
      </c>
      <c r="AP488" s="176">
        <v>10.595000000000001</v>
      </c>
      <c r="AQ488" s="176">
        <v>10.605</v>
      </c>
      <c r="AR488" s="176">
        <v>10.629999999999999</v>
      </c>
      <c r="AS488" s="176">
        <v>10.635</v>
      </c>
      <c r="AT488" s="173" t="str">
        <f t="shared" si="55"/>
        <v/>
      </c>
      <c r="AU488" s="173">
        <v>456</v>
      </c>
      <c r="AW488" s="142" t="s">
        <v>123</v>
      </c>
    </row>
    <row r="489" spans="2:49" s="142" customFormat="1" ht="21" customHeight="1" x14ac:dyDescent="0.25">
      <c r="B489" s="173" t="str">
        <f t="shared" si="57"/>
        <v>0-304L/1D-2.95X643</v>
      </c>
      <c r="C489" s="173" t="s">
        <v>4296</v>
      </c>
      <c r="D489" s="173" t="s">
        <v>13</v>
      </c>
      <c r="E489" s="190" t="s">
        <v>1735</v>
      </c>
      <c r="F489" s="190" t="s">
        <v>1736</v>
      </c>
      <c r="G489" s="173" t="s">
        <v>182</v>
      </c>
      <c r="H489" s="173" t="s">
        <v>127</v>
      </c>
      <c r="I489" s="174">
        <v>2.95</v>
      </c>
      <c r="J489" s="174"/>
      <c r="K489" s="174"/>
      <c r="L489" s="174"/>
      <c r="M489" s="191">
        <v>643</v>
      </c>
      <c r="N489" s="176">
        <v>10.015000000000001</v>
      </c>
      <c r="O489" s="176">
        <v>10.015000000000001</v>
      </c>
      <c r="P489" s="176"/>
      <c r="Q489" s="178"/>
      <c r="R489" s="179"/>
      <c r="S489" s="179"/>
      <c r="T489" s="177">
        <v>44955</v>
      </c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80" t="s">
        <v>1643</v>
      </c>
      <c r="AE489" s="173" t="s">
        <v>69</v>
      </c>
      <c r="AF489" s="181" t="s">
        <v>142</v>
      </c>
      <c r="AG489" s="192" t="s">
        <v>1657</v>
      </c>
      <c r="AH489" s="198"/>
      <c r="AI489" s="181">
        <v>44849</v>
      </c>
      <c r="AJ489" s="181"/>
      <c r="AK489" s="181">
        <f t="shared" ca="1" si="56"/>
        <v>44958</v>
      </c>
      <c r="AL489" s="173">
        <f t="shared" ca="1" si="58"/>
        <v>109</v>
      </c>
      <c r="AM489" s="173" t="str">
        <f t="shared" si="59"/>
        <v/>
      </c>
      <c r="AN489" s="181"/>
      <c r="AO489" s="190" t="s">
        <v>1737</v>
      </c>
      <c r="AP489" s="176">
        <v>10.015000000000001</v>
      </c>
      <c r="AQ489" s="176">
        <v>10.025</v>
      </c>
      <c r="AR489" s="176">
        <v>10.049999999999999</v>
      </c>
      <c r="AS489" s="176">
        <v>10.055</v>
      </c>
      <c r="AT489" s="173" t="str">
        <f t="shared" si="55"/>
        <v/>
      </c>
      <c r="AU489" s="173">
        <v>456</v>
      </c>
      <c r="AW489" s="142" t="s">
        <v>123</v>
      </c>
    </row>
    <row r="490" spans="2:49" s="142" customFormat="1" ht="21" customHeight="1" x14ac:dyDescent="0.25">
      <c r="B490" s="173" t="str">
        <f t="shared" si="57"/>
        <v>0-304/FH-1.00X643</v>
      </c>
      <c r="C490" s="173" t="s">
        <v>4295</v>
      </c>
      <c r="D490" s="173" t="s">
        <v>16</v>
      </c>
      <c r="E490" s="190" t="s">
        <v>4293</v>
      </c>
      <c r="F490" s="190" t="s">
        <v>4294</v>
      </c>
      <c r="G490" s="173">
        <v>304</v>
      </c>
      <c r="H490" s="173" t="s">
        <v>70</v>
      </c>
      <c r="I490" s="174">
        <v>3.01</v>
      </c>
      <c r="J490" s="174">
        <v>1</v>
      </c>
      <c r="K490" s="174"/>
      <c r="L490" s="174"/>
      <c r="M490" s="191">
        <v>643</v>
      </c>
      <c r="N490" s="176">
        <v>10.664999999999999</v>
      </c>
      <c r="O490" s="176">
        <v>10.565</v>
      </c>
      <c r="P490" s="176"/>
      <c r="Q490" s="178"/>
      <c r="R490" s="179"/>
      <c r="S490" s="179"/>
      <c r="T490" s="177">
        <v>44954</v>
      </c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80" t="s">
        <v>1643</v>
      </c>
      <c r="AE490" s="173" t="s">
        <v>69</v>
      </c>
      <c r="AF490" s="181" t="s">
        <v>142</v>
      </c>
      <c r="AG490" s="192" t="s">
        <v>1657</v>
      </c>
      <c r="AH490" s="198"/>
      <c r="AI490" s="181">
        <v>44849</v>
      </c>
      <c r="AJ490" s="181"/>
      <c r="AK490" s="181">
        <f t="shared" ca="1" si="56"/>
        <v>44958</v>
      </c>
      <c r="AL490" s="173">
        <f t="shared" ca="1" si="58"/>
        <v>109</v>
      </c>
      <c r="AM490" s="173" t="str">
        <f t="shared" si="59"/>
        <v/>
      </c>
      <c r="AN490" s="181"/>
      <c r="AO490" s="190" t="s">
        <v>4244</v>
      </c>
      <c r="AP490" s="176">
        <v>10.664999999999999</v>
      </c>
      <c r="AQ490" s="176">
        <v>10.675000000000001</v>
      </c>
      <c r="AR490" s="176">
        <v>10.7</v>
      </c>
      <c r="AS490" s="176">
        <v>10.705</v>
      </c>
      <c r="AT490" s="173" t="str">
        <f t="shared" si="55"/>
        <v/>
      </c>
      <c r="AU490" s="173">
        <v>456</v>
      </c>
      <c r="AW490" s="142" t="s">
        <v>123</v>
      </c>
    </row>
    <row r="491" spans="2:49" s="142" customFormat="1" ht="21" customHeight="1" x14ac:dyDescent="0.25">
      <c r="B491" s="173" t="str">
        <f t="shared" si="57"/>
        <v>0-304/1D-2.99X642</v>
      </c>
      <c r="C491" s="173" t="s">
        <v>4296</v>
      </c>
      <c r="D491" s="173" t="s">
        <v>13</v>
      </c>
      <c r="E491" s="190" t="s">
        <v>4302</v>
      </c>
      <c r="F491" s="190" t="s">
        <v>4303</v>
      </c>
      <c r="G491" s="173">
        <v>304</v>
      </c>
      <c r="H491" s="173" t="s">
        <v>127</v>
      </c>
      <c r="I491" s="174">
        <v>2.99</v>
      </c>
      <c r="J491" s="174"/>
      <c r="K491" s="174"/>
      <c r="L491" s="174"/>
      <c r="M491" s="191">
        <v>642</v>
      </c>
      <c r="N491" s="176">
        <v>10.67</v>
      </c>
      <c r="O491" s="176">
        <v>10.67</v>
      </c>
      <c r="P491" s="176"/>
      <c r="Q491" s="178"/>
      <c r="R491" s="179"/>
      <c r="S491" s="179"/>
      <c r="T491" s="177">
        <v>44955</v>
      </c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80" t="s">
        <v>1593</v>
      </c>
      <c r="AE491" s="173" t="s">
        <v>69</v>
      </c>
      <c r="AF491" s="181" t="s">
        <v>142</v>
      </c>
      <c r="AG491" s="192" t="s">
        <v>1657</v>
      </c>
      <c r="AH491" s="198"/>
      <c r="AI491" s="181">
        <v>44849</v>
      </c>
      <c r="AJ491" s="181"/>
      <c r="AK491" s="181">
        <f t="shared" ca="1" si="56"/>
        <v>44958</v>
      </c>
      <c r="AL491" s="173">
        <f t="shared" ca="1" si="58"/>
        <v>109</v>
      </c>
      <c r="AM491" s="173" t="str">
        <f t="shared" si="59"/>
        <v/>
      </c>
      <c r="AN491" s="181"/>
      <c r="AO491" s="190" t="s">
        <v>4061</v>
      </c>
      <c r="AP491" s="176">
        <v>10.67</v>
      </c>
      <c r="AQ491" s="176">
        <v>10.68</v>
      </c>
      <c r="AR491" s="176">
        <v>10.704999999999998</v>
      </c>
      <c r="AS491" s="176">
        <v>10.709999999999999</v>
      </c>
      <c r="AT491" s="173" t="str">
        <f t="shared" si="55"/>
        <v/>
      </c>
      <c r="AU491" s="173">
        <v>456</v>
      </c>
      <c r="AW491" s="142" t="s">
        <v>123</v>
      </c>
    </row>
    <row r="492" spans="2:49" s="142" customFormat="1" ht="21" customHeight="1" x14ac:dyDescent="0.25">
      <c r="B492" s="173" t="str">
        <f t="shared" si="57"/>
        <v>0-304/FH-1.15X641</v>
      </c>
      <c r="C492" s="173" t="s">
        <v>4295</v>
      </c>
      <c r="D492" s="173" t="s">
        <v>16</v>
      </c>
      <c r="E492" s="190" t="s">
        <v>4300</v>
      </c>
      <c r="F492" s="190" t="s">
        <v>4301</v>
      </c>
      <c r="G492" s="173">
        <v>304</v>
      </c>
      <c r="H492" s="173" t="s">
        <v>70</v>
      </c>
      <c r="I492" s="174">
        <v>2.93</v>
      </c>
      <c r="J492" s="174">
        <v>1.1499999999999999</v>
      </c>
      <c r="K492" s="174"/>
      <c r="L492" s="174"/>
      <c r="M492" s="191">
        <v>641</v>
      </c>
      <c r="N492" s="176">
        <v>10.58</v>
      </c>
      <c r="O492" s="176">
        <v>10.574999999999999</v>
      </c>
      <c r="P492" s="176"/>
      <c r="Q492" s="178"/>
      <c r="R492" s="179"/>
      <c r="S492" s="179"/>
      <c r="T492" s="177">
        <v>44955</v>
      </c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80" t="s">
        <v>1593</v>
      </c>
      <c r="AE492" s="173" t="s">
        <v>69</v>
      </c>
      <c r="AF492" s="181" t="s">
        <v>142</v>
      </c>
      <c r="AG492" s="192" t="s">
        <v>1594</v>
      </c>
      <c r="AH492" s="198"/>
      <c r="AI492" s="181">
        <v>44849</v>
      </c>
      <c r="AJ492" s="181"/>
      <c r="AK492" s="181">
        <f t="shared" ca="1" si="56"/>
        <v>44958</v>
      </c>
      <c r="AL492" s="173">
        <f t="shared" ca="1" si="58"/>
        <v>109</v>
      </c>
      <c r="AM492" s="173" t="str">
        <f t="shared" si="59"/>
        <v/>
      </c>
      <c r="AN492" s="181"/>
      <c r="AO492" s="190" t="s">
        <v>4032</v>
      </c>
      <c r="AP492" s="176">
        <v>10.58</v>
      </c>
      <c r="AQ492" s="176">
        <v>10.59</v>
      </c>
      <c r="AR492" s="176">
        <v>10.614999999999998</v>
      </c>
      <c r="AS492" s="176">
        <v>10.62</v>
      </c>
      <c r="AT492" s="173" t="str">
        <f t="shared" si="55"/>
        <v/>
      </c>
      <c r="AU492" s="173">
        <v>456</v>
      </c>
      <c r="AW492" s="142" t="s">
        <v>123</v>
      </c>
    </row>
    <row r="493" spans="2:49" s="142" customFormat="1" ht="21" customHeight="1" x14ac:dyDescent="0.25">
      <c r="B493" s="173" t="str">
        <f t="shared" si="57"/>
        <v>0-304L/1D-3.89X646</v>
      </c>
      <c r="C493" s="173" t="s">
        <v>4296</v>
      </c>
      <c r="D493" s="173" t="s">
        <v>13</v>
      </c>
      <c r="E493" s="190" t="s">
        <v>1790</v>
      </c>
      <c r="F493" s="190" t="s">
        <v>1791</v>
      </c>
      <c r="G493" s="173" t="s">
        <v>182</v>
      </c>
      <c r="H493" s="173" t="s">
        <v>127</v>
      </c>
      <c r="I493" s="174">
        <v>3.89</v>
      </c>
      <c r="J493" s="174"/>
      <c r="K493" s="174"/>
      <c r="L493" s="174"/>
      <c r="M493" s="191">
        <v>646</v>
      </c>
      <c r="N493" s="176">
        <v>10.69</v>
      </c>
      <c r="O493" s="176">
        <v>10.69</v>
      </c>
      <c r="P493" s="176"/>
      <c r="Q493" s="178"/>
      <c r="R493" s="179"/>
      <c r="S493" s="179"/>
      <c r="T493" s="177">
        <v>44955</v>
      </c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80" t="s">
        <v>1643</v>
      </c>
      <c r="AE493" s="173" t="s">
        <v>69</v>
      </c>
      <c r="AF493" s="181" t="s">
        <v>142</v>
      </c>
      <c r="AG493" s="192" t="s">
        <v>1657</v>
      </c>
      <c r="AH493" s="198"/>
      <c r="AI493" s="181">
        <v>44849</v>
      </c>
      <c r="AJ493" s="181"/>
      <c r="AK493" s="181">
        <f t="shared" ca="1" si="56"/>
        <v>44958</v>
      </c>
      <c r="AL493" s="173">
        <f t="shared" ca="1" si="58"/>
        <v>109</v>
      </c>
      <c r="AM493" s="173" t="str">
        <f t="shared" si="59"/>
        <v/>
      </c>
      <c r="AN493" s="181"/>
      <c r="AO493" s="190" t="s">
        <v>1792</v>
      </c>
      <c r="AP493" s="176">
        <v>10.69</v>
      </c>
      <c r="AQ493" s="176">
        <v>10.7</v>
      </c>
      <c r="AR493" s="176">
        <v>10.724999999999998</v>
      </c>
      <c r="AS493" s="176">
        <v>10.729999999999999</v>
      </c>
      <c r="AT493" s="173" t="str">
        <f t="shared" si="55"/>
        <v/>
      </c>
      <c r="AU493" s="173">
        <v>456</v>
      </c>
      <c r="AW493" s="142" t="s">
        <v>123</v>
      </c>
    </row>
    <row r="494" spans="2:49" s="142" customFormat="1" ht="21" customHeight="1" x14ac:dyDescent="0.25">
      <c r="B494" s="173" t="str">
        <f t="shared" si="57"/>
        <v>0-304L/FH-1.15X642</v>
      </c>
      <c r="C494" s="173" t="s">
        <v>4295</v>
      </c>
      <c r="D494" s="173" t="s">
        <v>16</v>
      </c>
      <c r="E494" s="190" t="s">
        <v>1610</v>
      </c>
      <c r="F494" s="190" t="s">
        <v>1611</v>
      </c>
      <c r="G494" s="173" t="s">
        <v>182</v>
      </c>
      <c r="H494" s="173" t="s">
        <v>70</v>
      </c>
      <c r="I494" s="174">
        <v>3.89</v>
      </c>
      <c r="J494" s="174">
        <v>1.1499999999999999</v>
      </c>
      <c r="K494" s="174"/>
      <c r="L494" s="174"/>
      <c r="M494" s="191">
        <v>642</v>
      </c>
      <c r="N494" s="176">
        <v>10.404999999999999</v>
      </c>
      <c r="O494" s="176">
        <v>10.395</v>
      </c>
      <c r="P494" s="176"/>
      <c r="Q494" s="178"/>
      <c r="R494" s="179"/>
      <c r="S494" s="179"/>
      <c r="T494" s="177">
        <v>44954</v>
      </c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80" t="s">
        <v>1605</v>
      </c>
      <c r="AE494" s="173" t="s">
        <v>69</v>
      </c>
      <c r="AF494" s="181" t="s">
        <v>142</v>
      </c>
      <c r="AG494" s="192" t="s">
        <v>1594</v>
      </c>
      <c r="AH494" s="198"/>
      <c r="AI494" s="181">
        <v>44849</v>
      </c>
      <c r="AJ494" s="181"/>
      <c r="AK494" s="181">
        <f t="shared" ca="1" si="56"/>
        <v>44958</v>
      </c>
      <c r="AL494" s="173">
        <f t="shared" ca="1" si="58"/>
        <v>109</v>
      </c>
      <c r="AM494" s="173" t="str">
        <f t="shared" si="59"/>
        <v/>
      </c>
      <c r="AN494" s="181"/>
      <c r="AO494" s="190" t="s">
        <v>1612</v>
      </c>
      <c r="AP494" s="176">
        <v>10.404999999999999</v>
      </c>
      <c r="AQ494" s="176">
        <v>10.414999999999999</v>
      </c>
      <c r="AR494" s="176">
        <v>10.439999999999998</v>
      </c>
      <c r="AS494" s="176">
        <v>10.444999999999999</v>
      </c>
      <c r="AT494" s="173" t="str">
        <f t="shared" si="55"/>
        <v/>
      </c>
      <c r="AU494" s="173">
        <v>456</v>
      </c>
      <c r="AW494" s="142" t="s">
        <v>123</v>
      </c>
    </row>
    <row r="495" spans="2:49" s="142" customFormat="1" ht="21" customHeight="1" x14ac:dyDescent="0.25">
      <c r="B495" s="173" t="str">
        <f t="shared" si="57"/>
        <v>0-304L/1D-3.09X642</v>
      </c>
      <c r="C495" s="173" t="s">
        <v>4296</v>
      </c>
      <c r="D495" s="173" t="s">
        <v>13</v>
      </c>
      <c r="E495" s="190" t="s">
        <v>1738</v>
      </c>
      <c r="F495" s="190" t="s">
        <v>1739</v>
      </c>
      <c r="G495" s="173" t="s">
        <v>182</v>
      </c>
      <c r="H495" s="173" t="s">
        <v>127</v>
      </c>
      <c r="I495" s="174">
        <v>3.09</v>
      </c>
      <c r="J495" s="174"/>
      <c r="K495" s="174"/>
      <c r="L495" s="174"/>
      <c r="M495" s="191">
        <v>642</v>
      </c>
      <c r="N495" s="176">
        <v>10.69</v>
      </c>
      <c r="O495" s="176">
        <v>10.69</v>
      </c>
      <c r="P495" s="176"/>
      <c r="Q495" s="178"/>
      <c r="R495" s="179"/>
      <c r="S495" s="179"/>
      <c r="T495" s="177">
        <v>44955</v>
      </c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80" t="s">
        <v>1643</v>
      </c>
      <c r="AE495" s="173" t="s">
        <v>69</v>
      </c>
      <c r="AF495" s="181" t="s">
        <v>142</v>
      </c>
      <c r="AG495" s="192" t="s">
        <v>1657</v>
      </c>
      <c r="AH495" s="198"/>
      <c r="AI495" s="181">
        <v>44849</v>
      </c>
      <c r="AJ495" s="181"/>
      <c r="AK495" s="181">
        <f t="shared" ca="1" si="56"/>
        <v>44958</v>
      </c>
      <c r="AL495" s="173">
        <f t="shared" ca="1" si="58"/>
        <v>109</v>
      </c>
      <c r="AM495" s="173" t="str">
        <f t="shared" si="59"/>
        <v/>
      </c>
      <c r="AN495" s="181"/>
      <c r="AO495" s="190" t="s">
        <v>1740</v>
      </c>
      <c r="AP495" s="176">
        <v>10.69</v>
      </c>
      <c r="AQ495" s="176">
        <v>10.7</v>
      </c>
      <c r="AR495" s="176">
        <v>10.724999999999998</v>
      </c>
      <c r="AS495" s="176">
        <v>10.729999999999999</v>
      </c>
      <c r="AT495" s="173" t="str">
        <f t="shared" si="55"/>
        <v/>
      </c>
      <c r="AU495" s="173">
        <v>456</v>
      </c>
      <c r="AW495" s="142" t="s">
        <v>123</v>
      </c>
    </row>
    <row r="496" spans="2:49" s="142" customFormat="1" ht="21" customHeight="1" x14ac:dyDescent="0.25">
      <c r="B496" s="173" t="str">
        <f t="shared" si="57"/>
        <v>0-304/FH-1.15X642</v>
      </c>
      <c r="C496" s="173" t="s">
        <v>4295</v>
      </c>
      <c r="D496" s="173" t="s">
        <v>16</v>
      </c>
      <c r="E496" s="190" t="s">
        <v>4302</v>
      </c>
      <c r="F496" s="190" t="s">
        <v>4303</v>
      </c>
      <c r="G496" s="173">
        <v>304</v>
      </c>
      <c r="H496" s="173" t="s">
        <v>70</v>
      </c>
      <c r="I496" s="174">
        <v>2.99</v>
      </c>
      <c r="J496" s="174">
        <v>1.1499999999999999</v>
      </c>
      <c r="K496" s="174"/>
      <c r="L496" s="174"/>
      <c r="M496" s="191">
        <v>642</v>
      </c>
      <c r="N496" s="176">
        <v>10.67</v>
      </c>
      <c r="O496" s="176">
        <v>10.69</v>
      </c>
      <c r="P496" s="176"/>
      <c r="Q496" s="178"/>
      <c r="R496" s="179"/>
      <c r="S496" s="179"/>
      <c r="T496" s="177">
        <v>44955</v>
      </c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80" t="s">
        <v>1593</v>
      </c>
      <c r="AE496" s="173" t="s">
        <v>69</v>
      </c>
      <c r="AF496" s="181" t="s">
        <v>142</v>
      </c>
      <c r="AG496" s="192" t="s">
        <v>1657</v>
      </c>
      <c r="AH496" s="198"/>
      <c r="AI496" s="181">
        <v>44849</v>
      </c>
      <c r="AJ496" s="181"/>
      <c r="AK496" s="181">
        <f t="shared" ca="1" si="56"/>
        <v>44958</v>
      </c>
      <c r="AL496" s="173">
        <f t="shared" ca="1" si="58"/>
        <v>109</v>
      </c>
      <c r="AM496" s="173" t="str">
        <f t="shared" si="59"/>
        <v/>
      </c>
      <c r="AN496" s="181"/>
      <c r="AO496" s="190" t="s">
        <v>4061</v>
      </c>
      <c r="AP496" s="176">
        <v>10.67</v>
      </c>
      <c r="AQ496" s="176">
        <v>10.68</v>
      </c>
      <c r="AR496" s="176">
        <v>10.704999999999998</v>
      </c>
      <c r="AS496" s="176">
        <v>10.709999999999999</v>
      </c>
      <c r="AT496" s="173" t="str">
        <f t="shared" si="55"/>
        <v/>
      </c>
      <c r="AU496" s="173">
        <v>456</v>
      </c>
      <c r="AW496" s="142" t="s">
        <v>123</v>
      </c>
    </row>
    <row r="497" spans="2:53" s="142" customFormat="1" ht="21" customHeight="1" x14ac:dyDescent="0.25">
      <c r="B497" s="173" t="str">
        <f t="shared" si="57"/>
        <v>0-304L/1D-3.89X637</v>
      </c>
      <c r="C497" s="173" t="s">
        <v>4296</v>
      </c>
      <c r="D497" s="173" t="s">
        <v>13</v>
      </c>
      <c r="E497" s="190" t="s">
        <v>1727</v>
      </c>
      <c r="F497" s="190" t="s">
        <v>1728</v>
      </c>
      <c r="G497" s="173" t="s">
        <v>182</v>
      </c>
      <c r="H497" s="173" t="s">
        <v>127</v>
      </c>
      <c r="I497" s="174">
        <v>3.89</v>
      </c>
      <c r="J497" s="174"/>
      <c r="K497" s="174"/>
      <c r="L497" s="174"/>
      <c r="M497" s="191">
        <v>637</v>
      </c>
      <c r="N497" s="176">
        <v>10.51</v>
      </c>
      <c r="O497" s="176">
        <v>10.51</v>
      </c>
      <c r="P497" s="176"/>
      <c r="Q497" s="178"/>
      <c r="R497" s="179"/>
      <c r="S497" s="179"/>
      <c r="T497" s="177">
        <v>44955</v>
      </c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80" t="s">
        <v>1643</v>
      </c>
      <c r="AE497" s="173" t="s">
        <v>69</v>
      </c>
      <c r="AF497" s="181" t="s">
        <v>142</v>
      </c>
      <c r="AG497" s="192" t="s">
        <v>1657</v>
      </c>
      <c r="AH497" s="198"/>
      <c r="AI497" s="181">
        <v>44849</v>
      </c>
      <c r="AJ497" s="181"/>
      <c r="AK497" s="181">
        <f t="shared" ca="1" si="56"/>
        <v>44958</v>
      </c>
      <c r="AL497" s="173">
        <f t="shared" ca="1" si="58"/>
        <v>109</v>
      </c>
      <c r="AM497" s="173" t="str">
        <f t="shared" si="59"/>
        <v/>
      </c>
      <c r="AN497" s="181"/>
      <c r="AO497" s="190" t="s">
        <v>1729</v>
      </c>
      <c r="AP497" s="176">
        <v>10.51</v>
      </c>
      <c r="AQ497" s="176">
        <v>10.52</v>
      </c>
      <c r="AR497" s="176">
        <v>10.544999999999998</v>
      </c>
      <c r="AS497" s="176">
        <v>10.549999999999999</v>
      </c>
      <c r="AT497" s="173" t="str">
        <f t="shared" si="55"/>
        <v/>
      </c>
      <c r="AU497" s="173">
        <v>456</v>
      </c>
      <c r="AW497" s="142" t="s">
        <v>123</v>
      </c>
    </row>
    <row r="498" spans="2:53" s="142" customFormat="1" ht="21" customHeight="1" x14ac:dyDescent="0.25">
      <c r="B498" s="173" t="str">
        <f t="shared" si="57"/>
        <v>0-304L/FH-0.90X643</v>
      </c>
      <c r="C498" s="173" t="s">
        <v>4295</v>
      </c>
      <c r="D498" s="173" t="s">
        <v>16</v>
      </c>
      <c r="E498" s="190" t="s">
        <v>1735</v>
      </c>
      <c r="F498" s="190" t="s">
        <v>1736</v>
      </c>
      <c r="G498" s="173" t="s">
        <v>182</v>
      </c>
      <c r="H498" s="173" t="s">
        <v>70</v>
      </c>
      <c r="I498" s="174">
        <v>2.95</v>
      </c>
      <c r="J498" s="174">
        <v>0.9</v>
      </c>
      <c r="K498" s="174"/>
      <c r="L498" s="174"/>
      <c r="M498" s="191">
        <v>643</v>
      </c>
      <c r="N498" s="176">
        <v>10.015000000000001</v>
      </c>
      <c r="O498" s="176">
        <v>10.02</v>
      </c>
      <c r="P498" s="176"/>
      <c r="Q498" s="178"/>
      <c r="R498" s="179"/>
      <c r="S498" s="179"/>
      <c r="T498" s="177">
        <v>44955</v>
      </c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80" t="s">
        <v>1643</v>
      </c>
      <c r="AE498" s="173" t="s">
        <v>69</v>
      </c>
      <c r="AF498" s="181" t="s">
        <v>142</v>
      </c>
      <c r="AG498" s="192" t="s">
        <v>1657</v>
      </c>
      <c r="AH498" s="198"/>
      <c r="AI498" s="181">
        <v>44849</v>
      </c>
      <c r="AJ498" s="181"/>
      <c r="AK498" s="181">
        <f t="shared" ca="1" si="56"/>
        <v>44958</v>
      </c>
      <c r="AL498" s="173">
        <f t="shared" ca="1" si="58"/>
        <v>109</v>
      </c>
      <c r="AM498" s="173" t="str">
        <f t="shared" si="59"/>
        <v/>
      </c>
      <c r="AN498" s="181"/>
      <c r="AO498" s="190" t="s">
        <v>1737</v>
      </c>
      <c r="AP498" s="176">
        <v>10.015000000000001</v>
      </c>
      <c r="AQ498" s="176">
        <v>10.025</v>
      </c>
      <c r="AR498" s="176">
        <v>10.049999999999999</v>
      </c>
      <c r="AS498" s="176">
        <v>10.055</v>
      </c>
      <c r="AT498" s="173" t="str">
        <f t="shared" ref="AT498:AT532" si="60">IF(ISNUMBER(V498)=TRUE,AK498-V498,IF(V498="","",(AK498)-(MID(RIGHT(V498,10),4,2)&amp;"/"&amp;LEFT((RIGHT(V498,10)),2)&amp;"/"&amp;RIGHT(V498,4))))</f>
        <v/>
      </c>
      <c r="AU498" s="173">
        <v>456</v>
      </c>
      <c r="AW498" s="142" t="s">
        <v>123</v>
      </c>
    </row>
    <row r="499" spans="2:53" s="142" customFormat="1" ht="21" customHeight="1" x14ac:dyDescent="0.25">
      <c r="B499" s="173" t="str">
        <f t="shared" si="57"/>
        <v>0-304L/1D-3.94X642</v>
      </c>
      <c r="C499" s="173" t="s">
        <v>4304</v>
      </c>
      <c r="D499" s="173" t="s">
        <v>13</v>
      </c>
      <c r="E499" s="190" t="s">
        <v>4305</v>
      </c>
      <c r="F499" s="190" t="s">
        <v>4306</v>
      </c>
      <c r="G499" s="173" t="s">
        <v>182</v>
      </c>
      <c r="H499" s="173" t="s">
        <v>127</v>
      </c>
      <c r="I499" s="174">
        <v>3.94</v>
      </c>
      <c r="J499" s="174"/>
      <c r="K499" s="174"/>
      <c r="L499" s="174"/>
      <c r="M499" s="191">
        <v>642</v>
      </c>
      <c r="N499" s="176">
        <v>10.58</v>
      </c>
      <c r="O499" s="176">
        <v>10.58</v>
      </c>
      <c r="P499" s="176"/>
      <c r="Q499" s="178"/>
      <c r="R499" s="179"/>
      <c r="S499" s="179"/>
      <c r="T499" s="177">
        <v>44956</v>
      </c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80" t="s">
        <v>1593</v>
      </c>
      <c r="AE499" s="173" t="s">
        <v>69</v>
      </c>
      <c r="AF499" s="181" t="s">
        <v>142</v>
      </c>
      <c r="AG499" s="192" t="s">
        <v>1657</v>
      </c>
      <c r="AH499" s="198"/>
      <c r="AI499" s="181">
        <v>44849</v>
      </c>
      <c r="AJ499" s="181"/>
      <c r="AK499" s="181">
        <f t="shared" ca="1" si="56"/>
        <v>44958</v>
      </c>
      <c r="AL499" s="173">
        <f t="shared" ca="1" si="58"/>
        <v>109</v>
      </c>
      <c r="AM499" s="173" t="str">
        <f t="shared" si="59"/>
        <v/>
      </c>
      <c r="AN499" s="181"/>
      <c r="AO499" s="190" t="s">
        <v>4307</v>
      </c>
      <c r="AP499" s="176">
        <v>10.58</v>
      </c>
      <c r="AQ499" s="176">
        <v>10.59</v>
      </c>
      <c r="AR499" s="176">
        <v>10.614999999999998</v>
      </c>
      <c r="AS499" s="176">
        <v>10.62</v>
      </c>
      <c r="AT499" s="173" t="str">
        <f t="shared" si="60"/>
        <v/>
      </c>
      <c r="AU499" s="173">
        <v>456</v>
      </c>
      <c r="AW499" s="142" t="s">
        <v>123</v>
      </c>
    </row>
    <row r="500" spans="2:53" s="142" customFormat="1" ht="21" customHeight="1" x14ac:dyDescent="0.25">
      <c r="B500" s="173" t="str">
        <f t="shared" si="57"/>
        <v>0-304L/FH-1.15X642</v>
      </c>
      <c r="C500" s="173" t="s">
        <v>4308</v>
      </c>
      <c r="D500" s="173" t="s">
        <v>16</v>
      </c>
      <c r="E500" s="190" t="s">
        <v>1613</v>
      </c>
      <c r="F500" s="190" t="s">
        <v>1614</v>
      </c>
      <c r="G500" s="173" t="s">
        <v>182</v>
      </c>
      <c r="H500" s="173" t="s">
        <v>70</v>
      </c>
      <c r="I500" s="174">
        <v>3.64</v>
      </c>
      <c r="J500" s="174">
        <v>1.1499999999999999</v>
      </c>
      <c r="K500" s="174"/>
      <c r="L500" s="174"/>
      <c r="M500" s="191">
        <v>642</v>
      </c>
      <c r="N500" s="176">
        <v>3.78</v>
      </c>
      <c r="O500" s="176">
        <v>3.78</v>
      </c>
      <c r="P500" s="176"/>
      <c r="Q500" s="178"/>
      <c r="R500" s="179"/>
      <c r="S500" s="179"/>
      <c r="T500" s="177">
        <v>44953</v>
      </c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80" t="s">
        <v>1593</v>
      </c>
      <c r="AE500" s="173" t="s">
        <v>69</v>
      </c>
      <c r="AF500" s="181" t="s">
        <v>142</v>
      </c>
      <c r="AG500" s="192" t="s">
        <v>1594</v>
      </c>
      <c r="AH500" s="198"/>
      <c r="AI500" s="181">
        <v>44849</v>
      </c>
      <c r="AJ500" s="181"/>
      <c r="AK500" s="181">
        <f t="shared" ca="1" si="56"/>
        <v>44958</v>
      </c>
      <c r="AL500" s="173">
        <f t="shared" ca="1" si="58"/>
        <v>109</v>
      </c>
      <c r="AM500" s="173" t="str">
        <f t="shared" si="59"/>
        <v/>
      </c>
      <c r="AN500" s="181"/>
      <c r="AO500" s="190" t="s">
        <v>1615</v>
      </c>
      <c r="AP500" s="176">
        <v>10.545</v>
      </c>
      <c r="AQ500" s="176">
        <v>10.555</v>
      </c>
      <c r="AR500" s="176">
        <v>10.579999999999998</v>
      </c>
      <c r="AS500" s="176">
        <v>10.584999999999999</v>
      </c>
      <c r="AT500" s="173" t="str">
        <f t="shared" si="60"/>
        <v/>
      </c>
      <c r="AU500" s="173">
        <v>456</v>
      </c>
      <c r="AW500" s="142" t="s">
        <v>123</v>
      </c>
    </row>
    <row r="501" spans="2:53" s="142" customFormat="1" ht="21" customHeight="1" x14ac:dyDescent="0.25">
      <c r="B501" s="173" t="str">
        <f t="shared" si="57"/>
        <v>0-304/1D-3.05X770</v>
      </c>
      <c r="C501" s="173" t="s">
        <v>4304</v>
      </c>
      <c r="D501" s="173" t="s">
        <v>13</v>
      </c>
      <c r="E501" s="190" t="s">
        <v>3162</v>
      </c>
      <c r="F501" s="190" t="s">
        <v>3163</v>
      </c>
      <c r="G501" s="173">
        <v>304</v>
      </c>
      <c r="H501" s="173" t="s">
        <v>127</v>
      </c>
      <c r="I501" s="174">
        <v>3.05</v>
      </c>
      <c r="J501" s="174"/>
      <c r="K501" s="174"/>
      <c r="L501" s="174"/>
      <c r="M501" s="191">
        <v>770</v>
      </c>
      <c r="N501" s="176">
        <v>10.545</v>
      </c>
      <c r="O501" s="176">
        <v>10.545</v>
      </c>
      <c r="P501" s="176"/>
      <c r="Q501" s="178"/>
      <c r="R501" s="179"/>
      <c r="S501" s="179"/>
      <c r="T501" s="177">
        <v>44956</v>
      </c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80" t="s">
        <v>3164</v>
      </c>
      <c r="AE501" s="173" t="s">
        <v>69</v>
      </c>
      <c r="AF501" s="181" t="s">
        <v>142</v>
      </c>
      <c r="AG501" s="192" t="s">
        <v>2878</v>
      </c>
      <c r="AH501" s="198"/>
      <c r="AI501" s="181">
        <v>44950</v>
      </c>
      <c r="AJ501" s="181"/>
      <c r="AK501" s="181">
        <f t="shared" ca="1" si="56"/>
        <v>44958</v>
      </c>
      <c r="AL501" s="173">
        <f t="shared" ca="1" si="58"/>
        <v>8</v>
      </c>
      <c r="AM501" s="173" t="str">
        <f t="shared" si="59"/>
        <v/>
      </c>
      <c r="AN501" s="181"/>
      <c r="AO501" s="190" t="s">
        <v>3165</v>
      </c>
      <c r="AP501" s="176">
        <v>10.545</v>
      </c>
      <c r="AQ501" s="176">
        <v>10.555</v>
      </c>
      <c r="AR501" s="176">
        <v>10.579999999999998</v>
      </c>
      <c r="AS501" s="176">
        <v>10.584999999999999</v>
      </c>
      <c r="AT501" s="173"/>
      <c r="AU501" s="173">
        <v>465</v>
      </c>
      <c r="AV501" s="149"/>
      <c r="AW501" s="142" t="s">
        <v>123</v>
      </c>
      <c r="AY501" s="212"/>
      <c r="AZ501" s="196"/>
      <c r="BA501" s="196"/>
    </row>
    <row r="502" spans="2:53" s="142" customFormat="1" ht="21" customHeight="1" x14ac:dyDescent="0.25">
      <c r="B502" s="173" t="str">
        <f t="shared" si="57"/>
        <v>0-304L/FH-1.45X637</v>
      </c>
      <c r="C502" s="173" t="s">
        <v>4308</v>
      </c>
      <c r="D502" s="173" t="s">
        <v>16</v>
      </c>
      <c r="E502" s="190" t="s">
        <v>1727</v>
      </c>
      <c r="F502" s="190" t="s">
        <v>1728</v>
      </c>
      <c r="G502" s="173" t="s">
        <v>182</v>
      </c>
      <c r="H502" s="173" t="s">
        <v>70</v>
      </c>
      <c r="I502" s="174">
        <v>3.89</v>
      </c>
      <c r="J502" s="174">
        <v>1.45</v>
      </c>
      <c r="K502" s="174"/>
      <c r="L502" s="174"/>
      <c r="M502" s="191">
        <v>637</v>
      </c>
      <c r="N502" s="176">
        <v>10.51</v>
      </c>
      <c r="O502" s="176">
        <v>10.525</v>
      </c>
      <c r="P502" s="176"/>
      <c r="Q502" s="178"/>
      <c r="R502" s="179"/>
      <c r="S502" s="179"/>
      <c r="T502" s="177">
        <v>44955</v>
      </c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80" t="s">
        <v>1643</v>
      </c>
      <c r="AE502" s="173" t="s">
        <v>69</v>
      </c>
      <c r="AF502" s="181" t="s">
        <v>142</v>
      </c>
      <c r="AG502" s="192" t="s">
        <v>1657</v>
      </c>
      <c r="AH502" s="198"/>
      <c r="AI502" s="181">
        <v>44849</v>
      </c>
      <c r="AJ502" s="181"/>
      <c r="AK502" s="181">
        <f t="shared" ca="1" si="56"/>
        <v>44958</v>
      </c>
      <c r="AL502" s="173">
        <f t="shared" ca="1" si="58"/>
        <v>109</v>
      </c>
      <c r="AM502" s="173" t="str">
        <f t="shared" si="59"/>
        <v/>
      </c>
      <c r="AN502" s="181"/>
      <c r="AO502" s="190" t="s">
        <v>1729</v>
      </c>
      <c r="AP502" s="176">
        <v>10.51</v>
      </c>
      <c r="AQ502" s="176">
        <v>10.52</v>
      </c>
      <c r="AR502" s="176">
        <v>10.544999999999998</v>
      </c>
      <c r="AS502" s="176">
        <v>10.549999999999999</v>
      </c>
      <c r="AT502" s="173" t="str">
        <f t="shared" ref="AT502:AT512" si="61">IF(ISNUMBER(V502)=TRUE,AK502-V502,IF(V502="","",(AK502)-(MID(RIGHT(V502,10),4,2)&amp;"/"&amp;LEFT((RIGHT(V502,10)),2)&amp;"/"&amp;RIGHT(V502,4))))</f>
        <v/>
      </c>
      <c r="AU502" s="173">
        <v>456</v>
      </c>
      <c r="AW502" s="142" t="s">
        <v>123</v>
      </c>
    </row>
    <row r="503" spans="2:53" s="142" customFormat="1" ht="21" customHeight="1" x14ac:dyDescent="0.25">
      <c r="B503" s="173" t="str">
        <f t="shared" si="57"/>
        <v>0-304L/FH-1.15X644</v>
      </c>
      <c r="C503" s="173" t="s">
        <v>4309</v>
      </c>
      <c r="D503" s="173" t="s">
        <v>3901</v>
      </c>
      <c r="E503" s="190" t="s">
        <v>1758</v>
      </c>
      <c r="F503" s="190" t="s">
        <v>1759</v>
      </c>
      <c r="G503" s="173" t="s">
        <v>182</v>
      </c>
      <c r="H503" s="173" t="s">
        <v>70</v>
      </c>
      <c r="I503" s="174">
        <v>3.5</v>
      </c>
      <c r="J503" s="174">
        <v>1.1499999999999999</v>
      </c>
      <c r="K503" s="174"/>
      <c r="L503" s="174"/>
      <c r="M503" s="191">
        <v>644</v>
      </c>
      <c r="N503" s="176">
        <v>10.615</v>
      </c>
      <c r="O503" s="176">
        <v>10.615</v>
      </c>
      <c r="P503" s="176"/>
      <c r="Q503" s="178"/>
      <c r="R503" s="179"/>
      <c r="S503" s="179"/>
      <c r="T503" s="177">
        <v>44948</v>
      </c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80" t="s">
        <v>1605</v>
      </c>
      <c r="AE503" s="173" t="s">
        <v>69</v>
      </c>
      <c r="AF503" s="181" t="s">
        <v>142</v>
      </c>
      <c r="AG503" s="192" t="s">
        <v>1657</v>
      </c>
      <c r="AH503" s="198"/>
      <c r="AI503" s="181">
        <v>44849</v>
      </c>
      <c r="AJ503" s="181"/>
      <c r="AK503" s="181">
        <f t="shared" ca="1" si="56"/>
        <v>44958</v>
      </c>
      <c r="AL503" s="173">
        <f t="shared" ca="1" si="58"/>
        <v>109</v>
      </c>
      <c r="AM503" s="173" t="str">
        <f t="shared" si="59"/>
        <v/>
      </c>
      <c r="AN503" s="181"/>
      <c r="AO503" s="190" t="s">
        <v>1760</v>
      </c>
      <c r="AP503" s="176">
        <v>10.615</v>
      </c>
      <c r="AQ503" s="176">
        <v>10.625</v>
      </c>
      <c r="AR503" s="176">
        <v>10.649999999999999</v>
      </c>
      <c r="AS503" s="176">
        <v>10.654999999999999</v>
      </c>
      <c r="AT503" s="173" t="str">
        <f t="shared" si="61"/>
        <v/>
      </c>
      <c r="AU503" s="173">
        <v>456</v>
      </c>
      <c r="AW503" s="142" t="s">
        <v>123</v>
      </c>
    </row>
    <row r="504" spans="2:53" s="142" customFormat="1" ht="21" customHeight="1" x14ac:dyDescent="0.25">
      <c r="B504" s="173" t="str">
        <f t="shared" si="57"/>
        <v>0-304L/FH-2.00X642</v>
      </c>
      <c r="C504" s="173" t="s">
        <v>4308</v>
      </c>
      <c r="D504" s="173" t="s">
        <v>16</v>
      </c>
      <c r="E504" s="190" t="s">
        <v>4305</v>
      </c>
      <c r="F504" s="190" t="s">
        <v>4306</v>
      </c>
      <c r="G504" s="173" t="s">
        <v>182</v>
      </c>
      <c r="H504" s="173" t="s">
        <v>70</v>
      </c>
      <c r="I504" s="174">
        <v>3.94</v>
      </c>
      <c r="J504" s="174">
        <v>2</v>
      </c>
      <c r="K504" s="174"/>
      <c r="L504" s="174"/>
      <c r="M504" s="191">
        <v>642</v>
      </c>
      <c r="N504" s="176">
        <v>10.58</v>
      </c>
      <c r="O504" s="176">
        <v>10.57</v>
      </c>
      <c r="P504" s="176"/>
      <c r="Q504" s="178"/>
      <c r="R504" s="179"/>
      <c r="S504" s="179"/>
      <c r="T504" s="177">
        <v>44956</v>
      </c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80" t="s">
        <v>1593</v>
      </c>
      <c r="AE504" s="173" t="s">
        <v>69</v>
      </c>
      <c r="AF504" s="181" t="s">
        <v>142</v>
      </c>
      <c r="AG504" s="192" t="s">
        <v>1657</v>
      </c>
      <c r="AH504" s="198"/>
      <c r="AI504" s="181">
        <v>44849</v>
      </c>
      <c r="AJ504" s="181"/>
      <c r="AK504" s="181">
        <f t="shared" ca="1" si="56"/>
        <v>44958</v>
      </c>
      <c r="AL504" s="173">
        <f t="shared" ca="1" si="58"/>
        <v>109</v>
      </c>
      <c r="AM504" s="173" t="str">
        <f t="shared" si="59"/>
        <v/>
      </c>
      <c r="AN504" s="181"/>
      <c r="AO504" s="190" t="s">
        <v>4307</v>
      </c>
      <c r="AP504" s="176">
        <v>10.58</v>
      </c>
      <c r="AQ504" s="176">
        <v>10.59</v>
      </c>
      <c r="AR504" s="176">
        <v>10.614999999999998</v>
      </c>
      <c r="AS504" s="176">
        <v>10.62</v>
      </c>
      <c r="AT504" s="173" t="str">
        <f t="shared" si="61"/>
        <v/>
      </c>
      <c r="AU504" s="173">
        <v>456</v>
      </c>
      <c r="AW504" s="142" t="s">
        <v>123</v>
      </c>
    </row>
    <row r="505" spans="2:53" s="142" customFormat="1" ht="21" customHeight="1" x14ac:dyDescent="0.25">
      <c r="B505" s="173" t="str">
        <f t="shared" ref="B505:B537" si="62">IF(C505="HOLD RM","HOLD RM",IF(C505="BAL","WIP",IF(C505="HOLD SLT","HOLD SLT",IF(C505="MILL","RM",IF(C505="RE SLT","WIP",IF(C505="RM","RM",IF(C505="RM BAL","RM",IF(C505="RM SLT","RM",IF(C505="RR","WIP",IF(C505="SKP","WIP",IF(C505="SLT","WIP",IF(C505="CTL","WIP",IF(C505="RM SLT RUST","RM SLT RUST",0)))))))))))))&amp;"-"&amp;G505&amp;"/"&amp;IF(H505="2B","2B",IF(H505="NO.1","1D",IF(H505="FH","FH",0)))&amp;"-"&amp;IF(J505="",(TEXT(I505,"0.00")),TEXT(J505,"0.00"))&amp;"X"&amp;M505</f>
        <v>0-304L/1D-3.94X643</v>
      </c>
      <c r="C505" s="173" t="s">
        <v>4304</v>
      </c>
      <c r="D505" s="173" t="s">
        <v>13</v>
      </c>
      <c r="E505" s="190" t="s">
        <v>1655</v>
      </c>
      <c r="F505" s="190" t="s">
        <v>1656</v>
      </c>
      <c r="G505" s="173" t="s">
        <v>182</v>
      </c>
      <c r="H505" s="173" t="s">
        <v>127</v>
      </c>
      <c r="I505" s="174">
        <v>3.94</v>
      </c>
      <c r="J505" s="174"/>
      <c r="K505" s="174"/>
      <c r="L505" s="174"/>
      <c r="M505" s="191">
        <v>643</v>
      </c>
      <c r="N505" s="176">
        <v>10.395</v>
      </c>
      <c r="O505" s="176">
        <v>10.395</v>
      </c>
      <c r="P505" s="176"/>
      <c r="Q505" s="178"/>
      <c r="R505" s="179"/>
      <c r="S505" s="179"/>
      <c r="T505" s="177">
        <v>44956</v>
      </c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80" t="s">
        <v>1593</v>
      </c>
      <c r="AE505" s="173" t="s">
        <v>69</v>
      </c>
      <c r="AF505" s="181" t="s">
        <v>142</v>
      </c>
      <c r="AG505" s="192" t="s">
        <v>1657</v>
      </c>
      <c r="AH505" s="198"/>
      <c r="AI505" s="181">
        <v>44849</v>
      </c>
      <c r="AJ505" s="181"/>
      <c r="AK505" s="181">
        <f t="shared" ca="1" si="56"/>
        <v>44958</v>
      </c>
      <c r="AL505" s="173">
        <f t="shared" ref="AL505:AL537" ca="1" si="63">IF(AI505&lt;&gt;0,AK505-AI505,0)</f>
        <v>109</v>
      </c>
      <c r="AM505" s="173" t="str">
        <f t="shared" ref="AM505:AM537" si="64">IF(ISNUMBER(X505)=TRUE,AK505-X505,IF(X505="","",(AK505)-(MID(RIGHT(X505,10),4,2)&amp;"/"&amp;LEFT((RIGHT(X505,10)),2)&amp;"/"&amp;RIGHT(X505,4))))</f>
        <v/>
      </c>
      <c r="AN505" s="181"/>
      <c r="AO505" s="190" t="s">
        <v>1658</v>
      </c>
      <c r="AP505" s="176">
        <v>10.395</v>
      </c>
      <c r="AQ505" s="176">
        <v>10.404999999999999</v>
      </c>
      <c r="AR505" s="176">
        <v>10.429999999999998</v>
      </c>
      <c r="AS505" s="176">
        <v>10.434999999999999</v>
      </c>
      <c r="AT505" s="173" t="str">
        <f t="shared" si="61"/>
        <v/>
      </c>
      <c r="AU505" s="173">
        <v>456</v>
      </c>
      <c r="AW505" s="142" t="s">
        <v>123</v>
      </c>
    </row>
    <row r="506" spans="2:53" s="142" customFormat="1" ht="21" customHeight="1" x14ac:dyDescent="0.25">
      <c r="B506" s="173" t="str">
        <f t="shared" si="62"/>
        <v>0-304L/FH-1.45X646</v>
      </c>
      <c r="C506" s="173" t="s">
        <v>4308</v>
      </c>
      <c r="D506" s="173" t="s">
        <v>16</v>
      </c>
      <c r="E506" s="190" t="s">
        <v>1790</v>
      </c>
      <c r="F506" s="190" t="s">
        <v>1791</v>
      </c>
      <c r="G506" s="173" t="s">
        <v>182</v>
      </c>
      <c r="H506" s="173" t="s">
        <v>70</v>
      </c>
      <c r="I506" s="174">
        <v>3.89</v>
      </c>
      <c r="J506" s="174">
        <v>1.45</v>
      </c>
      <c r="K506" s="174"/>
      <c r="L506" s="174"/>
      <c r="M506" s="191">
        <v>646</v>
      </c>
      <c r="N506" s="176">
        <v>10.69</v>
      </c>
      <c r="O506" s="176">
        <v>10.68</v>
      </c>
      <c r="P506" s="176"/>
      <c r="Q506" s="178"/>
      <c r="R506" s="179"/>
      <c r="S506" s="179"/>
      <c r="T506" s="177">
        <v>44955</v>
      </c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80" t="s">
        <v>1643</v>
      </c>
      <c r="AE506" s="173" t="s">
        <v>69</v>
      </c>
      <c r="AF506" s="181" t="s">
        <v>142</v>
      </c>
      <c r="AG506" s="192" t="s">
        <v>1657</v>
      </c>
      <c r="AH506" s="198"/>
      <c r="AI506" s="181">
        <v>44849</v>
      </c>
      <c r="AJ506" s="181"/>
      <c r="AK506" s="181">
        <f t="shared" ca="1" si="56"/>
        <v>44958</v>
      </c>
      <c r="AL506" s="173">
        <f t="shared" ca="1" si="63"/>
        <v>109</v>
      </c>
      <c r="AM506" s="173" t="str">
        <f t="shared" si="64"/>
        <v/>
      </c>
      <c r="AN506" s="181"/>
      <c r="AO506" s="190" t="s">
        <v>1792</v>
      </c>
      <c r="AP506" s="176">
        <v>10.69</v>
      </c>
      <c r="AQ506" s="176">
        <v>10.7</v>
      </c>
      <c r="AR506" s="176">
        <v>10.724999999999998</v>
      </c>
      <c r="AS506" s="176">
        <v>10.729999999999999</v>
      </c>
      <c r="AT506" s="173" t="str">
        <f t="shared" si="61"/>
        <v/>
      </c>
      <c r="AU506" s="173">
        <v>456</v>
      </c>
      <c r="AW506" s="142" t="s">
        <v>123</v>
      </c>
    </row>
    <row r="507" spans="2:53" s="142" customFormat="1" ht="21" customHeight="1" x14ac:dyDescent="0.25">
      <c r="B507" s="173" t="str">
        <f t="shared" si="62"/>
        <v>0-304L/1D-2.90X643</v>
      </c>
      <c r="C507" s="173" t="s">
        <v>4304</v>
      </c>
      <c r="D507" s="173" t="s">
        <v>13</v>
      </c>
      <c r="E507" s="190" t="s">
        <v>4310</v>
      </c>
      <c r="F507" s="190" t="s">
        <v>4311</v>
      </c>
      <c r="G507" s="173" t="s">
        <v>182</v>
      </c>
      <c r="H507" s="173" t="s">
        <v>127</v>
      </c>
      <c r="I507" s="174">
        <v>2.9</v>
      </c>
      <c r="J507" s="174"/>
      <c r="K507" s="174"/>
      <c r="L507" s="174"/>
      <c r="M507" s="191">
        <v>643</v>
      </c>
      <c r="N507" s="176">
        <v>10.315</v>
      </c>
      <c r="O507" s="176">
        <v>10.315</v>
      </c>
      <c r="P507" s="176"/>
      <c r="Q507" s="178"/>
      <c r="R507" s="179"/>
      <c r="S507" s="179"/>
      <c r="T507" s="177">
        <v>44956</v>
      </c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80" t="s">
        <v>1593</v>
      </c>
      <c r="AE507" s="173" t="s">
        <v>69</v>
      </c>
      <c r="AF507" s="181" t="s">
        <v>142</v>
      </c>
      <c r="AG507" s="192" t="s">
        <v>1594</v>
      </c>
      <c r="AH507" s="198"/>
      <c r="AI507" s="181">
        <v>44849</v>
      </c>
      <c r="AJ507" s="181"/>
      <c r="AK507" s="181">
        <f t="shared" ca="1" si="56"/>
        <v>44958</v>
      </c>
      <c r="AL507" s="173">
        <f t="shared" ca="1" si="63"/>
        <v>109</v>
      </c>
      <c r="AM507" s="173" t="str">
        <f t="shared" si="64"/>
        <v/>
      </c>
      <c r="AN507" s="181"/>
      <c r="AO507" s="190" t="s">
        <v>1632</v>
      </c>
      <c r="AP507" s="176">
        <v>10.315</v>
      </c>
      <c r="AQ507" s="176">
        <v>10.324999999999999</v>
      </c>
      <c r="AR507" s="176">
        <v>10.349999999999998</v>
      </c>
      <c r="AS507" s="176">
        <v>10.354999999999999</v>
      </c>
      <c r="AT507" s="173" t="str">
        <f t="shared" si="61"/>
        <v/>
      </c>
      <c r="AU507" s="173">
        <v>456</v>
      </c>
      <c r="AW507" s="142" t="s">
        <v>123</v>
      </c>
    </row>
    <row r="508" spans="2:53" s="142" customFormat="1" ht="21" customHeight="1" x14ac:dyDescent="0.25">
      <c r="B508" s="173" t="str">
        <f t="shared" si="62"/>
        <v>0-304L/FH-0.90X644</v>
      </c>
      <c r="C508" s="173" t="s">
        <v>4308</v>
      </c>
      <c r="D508" s="173" t="s">
        <v>16</v>
      </c>
      <c r="E508" s="190" t="s">
        <v>1758</v>
      </c>
      <c r="F508" s="190" t="s">
        <v>1759</v>
      </c>
      <c r="G508" s="173" t="s">
        <v>182</v>
      </c>
      <c r="H508" s="173" t="s">
        <v>70</v>
      </c>
      <c r="I508" s="174">
        <v>3.5</v>
      </c>
      <c r="J508" s="174">
        <v>0.9</v>
      </c>
      <c r="K508" s="174"/>
      <c r="L508" s="174"/>
      <c r="M508" s="191">
        <v>644</v>
      </c>
      <c r="N508" s="176">
        <v>10.615</v>
      </c>
      <c r="O508" s="176">
        <v>10.6</v>
      </c>
      <c r="P508" s="176"/>
      <c r="Q508" s="178"/>
      <c r="R508" s="179"/>
      <c r="S508" s="179"/>
      <c r="T508" s="177">
        <v>44948</v>
      </c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80" t="s">
        <v>1605</v>
      </c>
      <c r="AE508" s="173" t="s">
        <v>69</v>
      </c>
      <c r="AF508" s="181" t="s">
        <v>142</v>
      </c>
      <c r="AG508" s="192" t="s">
        <v>1657</v>
      </c>
      <c r="AH508" s="198"/>
      <c r="AI508" s="181">
        <v>44849</v>
      </c>
      <c r="AJ508" s="181"/>
      <c r="AK508" s="181">
        <f t="shared" ca="1" si="56"/>
        <v>44958</v>
      </c>
      <c r="AL508" s="173">
        <f t="shared" ca="1" si="63"/>
        <v>109</v>
      </c>
      <c r="AM508" s="173" t="str">
        <f t="shared" si="64"/>
        <v/>
      </c>
      <c r="AN508" s="181"/>
      <c r="AO508" s="190" t="s">
        <v>1760</v>
      </c>
      <c r="AP508" s="176">
        <v>10.615</v>
      </c>
      <c r="AQ508" s="176">
        <v>10.625</v>
      </c>
      <c r="AR508" s="176">
        <v>10.649999999999999</v>
      </c>
      <c r="AS508" s="176">
        <v>10.654999999999999</v>
      </c>
      <c r="AT508" s="173" t="str">
        <f t="shared" si="61"/>
        <v/>
      </c>
      <c r="AU508" s="173">
        <v>456</v>
      </c>
      <c r="AW508" s="142" t="s">
        <v>123</v>
      </c>
    </row>
    <row r="509" spans="2:53" s="142" customFormat="1" ht="21" customHeight="1" x14ac:dyDescent="0.25">
      <c r="B509" s="173" t="str">
        <f t="shared" si="62"/>
        <v>0-304L/1D-2.87X642</v>
      </c>
      <c r="C509" s="173" t="s">
        <v>4304</v>
      </c>
      <c r="D509" s="173" t="s">
        <v>13</v>
      </c>
      <c r="E509" s="190" t="s">
        <v>1626</v>
      </c>
      <c r="F509" s="190" t="s">
        <v>1627</v>
      </c>
      <c r="G509" s="173" t="s">
        <v>182</v>
      </c>
      <c r="H509" s="173" t="s">
        <v>127</v>
      </c>
      <c r="I509" s="174">
        <v>2.87</v>
      </c>
      <c r="J509" s="174"/>
      <c r="K509" s="174"/>
      <c r="L509" s="174"/>
      <c r="M509" s="191">
        <v>642</v>
      </c>
      <c r="N509" s="176">
        <v>10.75</v>
      </c>
      <c r="O509" s="176">
        <v>10.75</v>
      </c>
      <c r="P509" s="176"/>
      <c r="Q509" s="178"/>
      <c r="R509" s="179"/>
      <c r="S509" s="179"/>
      <c r="T509" s="177">
        <v>44956</v>
      </c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80" t="s">
        <v>1593</v>
      </c>
      <c r="AE509" s="173" t="s">
        <v>69</v>
      </c>
      <c r="AF509" s="181" t="s">
        <v>142</v>
      </c>
      <c r="AG509" s="192" t="s">
        <v>1594</v>
      </c>
      <c r="AH509" s="198"/>
      <c r="AI509" s="181">
        <v>44849</v>
      </c>
      <c r="AJ509" s="181"/>
      <c r="AK509" s="181">
        <f t="shared" ref="AK509:AK537" ca="1" si="65">TODAY()</f>
        <v>44958</v>
      </c>
      <c r="AL509" s="173">
        <f t="shared" ca="1" si="63"/>
        <v>109</v>
      </c>
      <c r="AM509" s="173" t="str">
        <f t="shared" si="64"/>
        <v/>
      </c>
      <c r="AN509" s="181"/>
      <c r="AO509" s="190" t="s">
        <v>1628</v>
      </c>
      <c r="AP509" s="176">
        <v>10.75</v>
      </c>
      <c r="AQ509" s="176">
        <v>10.76</v>
      </c>
      <c r="AR509" s="176">
        <v>10.784999999999998</v>
      </c>
      <c r="AS509" s="176">
        <v>10.79</v>
      </c>
      <c r="AT509" s="173" t="str">
        <f t="shared" si="61"/>
        <v/>
      </c>
      <c r="AU509" s="173">
        <v>456</v>
      </c>
      <c r="AW509" s="142" t="s">
        <v>123</v>
      </c>
    </row>
    <row r="510" spans="2:53" s="142" customFormat="1" ht="21" customHeight="1" x14ac:dyDescent="0.25">
      <c r="B510" s="173" t="str">
        <f t="shared" si="62"/>
        <v>0-304L/FH-2.00X643</v>
      </c>
      <c r="C510" s="173" t="s">
        <v>4308</v>
      </c>
      <c r="D510" s="173" t="s">
        <v>16</v>
      </c>
      <c r="E510" s="190" t="s">
        <v>1655</v>
      </c>
      <c r="F510" s="190" t="s">
        <v>1656</v>
      </c>
      <c r="G510" s="173" t="s">
        <v>182</v>
      </c>
      <c r="H510" s="173" t="s">
        <v>70</v>
      </c>
      <c r="I510" s="174">
        <v>3.94</v>
      </c>
      <c r="J510" s="174">
        <v>2</v>
      </c>
      <c r="K510" s="174"/>
      <c r="L510" s="174"/>
      <c r="M510" s="191">
        <v>643</v>
      </c>
      <c r="N510" s="176">
        <v>10.395</v>
      </c>
      <c r="O510" s="176">
        <v>10.38</v>
      </c>
      <c r="P510" s="176"/>
      <c r="Q510" s="178"/>
      <c r="R510" s="179"/>
      <c r="S510" s="179"/>
      <c r="T510" s="177">
        <v>44956</v>
      </c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80" t="s">
        <v>1593</v>
      </c>
      <c r="AE510" s="173" t="s">
        <v>69</v>
      </c>
      <c r="AF510" s="181" t="s">
        <v>142</v>
      </c>
      <c r="AG510" s="192" t="s">
        <v>1657</v>
      </c>
      <c r="AH510" s="198"/>
      <c r="AI510" s="181">
        <v>44849</v>
      </c>
      <c r="AJ510" s="181"/>
      <c r="AK510" s="181">
        <f t="shared" ca="1" si="65"/>
        <v>44958</v>
      </c>
      <c r="AL510" s="173">
        <f t="shared" ca="1" si="63"/>
        <v>109</v>
      </c>
      <c r="AM510" s="173" t="str">
        <f t="shared" si="64"/>
        <v/>
      </c>
      <c r="AN510" s="181"/>
      <c r="AO510" s="190" t="s">
        <v>1658</v>
      </c>
      <c r="AP510" s="176">
        <v>10.395</v>
      </c>
      <c r="AQ510" s="176">
        <v>10.404999999999999</v>
      </c>
      <c r="AR510" s="176">
        <v>10.429999999999998</v>
      </c>
      <c r="AS510" s="176">
        <v>10.434999999999999</v>
      </c>
      <c r="AT510" s="173" t="str">
        <f t="shared" si="61"/>
        <v/>
      </c>
      <c r="AU510" s="173">
        <v>456</v>
      </c>
      <c r="AW510" s="142" t="s">
        <v>123</v>
      </c>
    </row>
    <row r="511" spans="2:53" s="142" customFormat="1" ht="21" customHeight="1" x14ac:dyDescent="0.25">
      <c r="B511" s="173" t="str">
        <f t="shared" si="62"/>
        <v>0-304/1D-3.94X643</v>
      </c>
      <c r="C511" s="173" t="s">
        <v>4304</v>
      </c>
      <c r="D511" s="173" t="s">
        <v>13</v>
      </c>
      <c r="E511" s="190" t="s">
        <v>4312</v>
      </c>
      <c r="F511" s="190" t="s">
        <v>4313</v>
      </c>
      <c r="G511" s="173">
        <v>304</v>
      </c>
      <c r="H511" s="173" t="s">
        <v>127</v>
      </c>
      <c r="I511" s="174">
        <v>3.94</v>
      </c>
      <c r="J511" s="174"/>
      <c r="K511" s="174"/>
      <c r="L511" s="174"/>
      <c r="M511" s="191">
        <v>643</v>
      </c>
      <c r="N511" s="176">
        <v>10.765000000000001</v>
      </c>
      <c r="O511" s="176">
        <v>10.765000000000001</v>
      </c>
      <c r="P511" s="176"/>
      <c r="Q511" s="178"/>
      <c r="R511" s="179"/>
      <c r="S511" s="179"/>
      <c r="T511" s="177">
        <v>44956</v>
      </c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80" t="s">
        <v>1593</v>
      </c>
      <c r="AE511" s="173" t="s">
        <v>69</v>
      </c>
      <c r="AF511" s="181" t="s">
        <v>142</v>
      </c>
      <c r="AG511" s="192" t="s">
        <v>1657</v>
      </c>
      <c r="AH511" s="198"/>
      <c r="AI511" s="181">
        <v>44849</v>
      </c>
      <c r="AJ511" s="181"/>
      <c r="AK511" s="181">
        <f t="shared" ca="1" si="65"/>
        <v>44958</v>
      </c>
      <c r="AL511" s="173">
        <f t="shared" ca="1" si="63"/>
        <v>109</v>
      </c>
      <c r="AM511" s="173" t="str">
        <f t="shared" si="64"/>
        <v/>
      </c>
      <c r="AN511" s="181"/>
      <c r="AO511" s="190" t="s">
        <v>1781</v>
      </c>
      <c r="AP511" s="176">
        <v>10.765000000000001</v>
      </c>
      <c r="AQ511" s="176">
        <v>10.775</v>
      </c>
      <c r="AR511" s="176">
        <v>10.799999999999999</v>
      </c>
      <c r="AS511" s="176">
        <v>10.805</v>
      </c>
      <c r="AT511" s="173" t="str">
        <f t="shared" si="61"/>
        <v/>
      </c>
      <c r="AU511" s="173">
        <v>456</v>
      </c>
      <c r="AW511" s="142" t="s">
        <v>123</v>
      </c>
    </row>
    <row r="512" spans="2:53" s="142" customFormat="1" ht="21" customHeight="1" x14ac:dyDescent="0.25">
      <c r="B512" s="173" t="str">
        <f t="shared" si="62"/>
        <v>0-304L/FH-1.15X643</v>
      </c>
      <c r="C512" s="173" t="s">
        <v>4308</v>
      </c>
      <c r="D512" s="173" t="s">
        <v>16</v>
      </c>
      <c r="E512" s="190" t="s">
        <v>4310</v>
      </c>
      <c r="F512" s="190" t="s">
        <v>4311</v>
      </c>
      <c r="G512" s="173" t="s">
        <v>182</v>
      </c>
      <c r="H512" s="173" t="s">
        <v>70</v>
      </c>
      <c r="I512" s="174">
        <v>2.9</v>
      </c>
      <c r="J512" s="174">
        <v>1.1499999999999999</v>
      </c>
      <c r="K512" s="174"/>
      <c r="L512" s="174"/>
      <c r="M512" s="191">
        <v>643</v>
      </c>
      <c r="N512" s="176">
        <v>10.315</v>
      </c>
      <c r="O512" s="176">
        <v>10.324999999999999</v>
      </c>
      <c r="P512" s="176"/>
      <c r="Q512" s="178"/>
      <c r="R512" s="179"/>
      <c r="S512" s="179"/>
      <c r="T512" s="177">
        <v>44956</v>
      </c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80" t="s">
        <v>1593</v>
      </c>
      <c r="AE512" s="173" t="s">
        <v>69</v>
      </c>
      <c r="AF512" s="181" t="s">
        <v>142</v>
      </c>
      <c r="AG512" s="192" t="s">
        <v>1594</v>
      </c>
      <c r="AH512" s="198"/>
      <c r="AI512" s="181">
        <v>44849</v>
      </c>
      <c r="AJ512" s="181"/>
      <c r="AK512" s="181">
        <f t="shared" ca="1" si="65"/>
        <v>44958</v>
      </c>
      <c r="AL512" s="173">
        <f t="shared" ca="1" si="63"/>
        <v>109</v>
      </c>
      <c r="AM512" s="173" t="str">
        <f t="shared" si="64"/>
        <v/>
      </c>
      <c r="AN512" s="181"/>
      <c r="AO512" s="190" t="s">
        <v>1632</v>
      </c>
      <c r="AP512" s="176">
        <v>10.315</v>
      </c>
      <c r="AQ512" s="176">
        <v>10.324999999999999</v>
      </c>
      <c r="AR512" s="176">
        <v>10.349999999999998</v>
      </c>
      <c r="AS512" s="176">
        <v>10.354999999999999</v>
      </c>
      <c r="AT512" s="173" t="str">
        <f t="shared" si="61"/>
        <v/>
      </c>
      <c r="AU512" s="173">
        <v>456</v>
      </c>
      <c r="AW512" s="142" t="s">
        <v>123</v>
      </c>
    </row>
    <row r="513" spans="2:53" s="142" customFormat="1" ht="21" customHeight="1" x14ac:dyDescent="0.25">
      <c r="B513" s="173" t="str">
        <f t="shared" si="62"/>
        <v>0-304/1D-3.80X768</v>
      </c>
      <c r="C513" s="173" t="s">
        <v>4304</v>
      </c>
      <c r="D513" s="173" t="s">
        <v>13</v>
      </c>
      <c r="E513" s="190" t="s">
        <v>3281</v>
      </c>
      <c r="F513" s="190" t="s">
        <v>3282</v>
      </c>
      <c r="G513" s="173">
        <v>304</v>
      </c>
      <c r="H513" s="173" t="s">
        <v>127</v>
      </c>
      <c r="I513" s="174">
        <v>3.8</v>
      </c>
      <c r="J513" s="174"/>
      <c r="K513" s="174"/>
      <c r="L513" s="174"/>
      <c r="M513" s="191">
        <v>768</v>
      </c>
      <c r="N513" s="176">
        <v>12.164999999999999</v>
      </c>
      <c r="O513" s="176">
        <v>12.164999999999999</v>
      </c>
      <c r="P513" s="176"/>
      <c r="Q513" s="178"/>
      <c r="R513" s="179"/>
      <c r="S513" s="179"/>
      <c r="T513" s="177">
        <v>44956</v>
      </c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80" t="s">
        <v>3164</v>
      </c>
      <c r="AE513" s="173" t="s">
        <v>69</v>
      </c>
      <c r="AF513" s="181" t="s">
        <v>142</v>
      </c>
      <c r="AG513" s="192" t="s">
        <v>2878</v>
      </c>
      <c r="AH513" s="198"/>
      <c r="AI513" s="181">
        <v>44950</v>
      </c>
      <c r="AJ513" s="181"/>
      <c r="AK513" s="181">
        <f t="shared" ca="1" si="65"/>
        <v>44958</v>
      </c>
      <c r="AL513" s="173">
        <f t="shared" ca="1" si="63"/>
        <v>8</v>
      </c>
      <c r="AM513" s="173" t="str">
        <f t="shared" si="64"/>
        <v/>
      </c>
      <c r="AN513" s="181"/>
      <c r="AO513" s="190" t="s">
        <v>3280</v>
      </c>
      <c r="AP513" s="176">
        <v>12.164999999999999</v>
      </c>
      <c r="AQ513" s="176">
        <v>12.174999999999999</v>
      </c>
      <c r="AR513" s="176">
        <v>12.199999999999998</v>
      </c>
      <c r="AS513" s="176">
        <v>12.204999999999998</v>
      </c>
      <c r="AT513" s="173"/>
      <c r="AU513" s="173">
        <v>465</v>
      </c>
      <c r="AV513" s="149"/>
      <c r="AW513" s="142" t="s">
        <v>123</v>
      </c>
      <c r="AY513" s="212"/>
      <c r="AZ513" s="196"/>
      <c r="BA513" s="196"/>
    </row>
    <row r="514" spans="2:53" s="142" customFormat="1" ht="21" customHeight="1" x14ac:dyDescent="0.25">
      <c r="B514" s="173" t="str">
        <f t="shared" si="62"/>
        <v>0-304L/FH-1.15X642</v>
      </c>
      <c r="C514" s="173" t="s">
        <v>4308</v>
      </c>
      <c r="D514" s="173" t="s">
        <v>16</v>
      </c>
      <c r="E514" s="190" t="s">
        <v>1738</v>
      </c>
      <c r="F514" s="190" t="s">
        <v>1739</v>
      </c>
      <c r="G514" s="173" t="s">
        <v>182</v>
      </c>
      <c r="H514" s="173" t="s">
        <v>70</v>
      </c>
      <c r="I514" s="174">
        <v>3.09</v>
      </c>
      <c r="J514" s="174">
        <v>1.1499999999999999</v>
      </c>
      <c r="K514" s="174"/>
      <c r="L514" s="174"/>
      <c r="M514" s="191">
        <v>642</v>
      </c>
      <c r="N514" s="176">
        <v>10.69</v>
      </c>
      <c r="O514" s="176">
        <v>10.705</v>
      </c>
      <c r="P514" s="176"/>
      <c r="Q514" s="178"/>
      <c r="R514" s="179"/>
      <c r="S514" s="179"/>
      <c r="T514" s="177">
        <v>44955</v>
      </c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80" t="s">
        <v>1643</v>
      </c>
      <c r="AE514" s="173" t="s">
        <v>69</v>
      </c>
      <c r="AF514" s="181" t="s">
        <v>142</v>
      </c>
      <c r="AG514" s="192" t="s">
        <v>1657</v>
      </c>
      <c r="AH514" s="198"/>
      <c r="AI514" s="181">
        <v>44849</v>
      </c>
      <c r="AJ514" s="181"/>
      <c r="AK514" s="181">
        <f t="shared" ca="1" si="65"/>
        <v>44958</v>
      </c>
      <c r="AL514" s="173">
        <f t="shared" ca="1" si="63"/>
        <v>109</v>
      </c>
      <c r="AM514" s="173" t="str">
        <f t="shared" si="64"/>
        <v/>
      </c>
      <c r="AN514" s="181"/>
      <c r="AO514" s="190" t="s">
        <v>1740</v>
      </c>
      <c r="AP514" s="176">
        <v>10.69</v>
      </c>
      <c r="AQ514" s="176">
        <v>10.7</v>
      </c>
      <c r="AR514" s="176">
        <v>10.724999999999998</v>
      </c>
      <c r="AS514" s="176">
        <v>10.729999999999999</v>
      </c>
      <c r="AT514" s="173" t="str">
        <f t="shared" ref="AT514:AT537" si="66">IF(ISNUMBER(V514)=TRUE,AK514-V514,IF(V514="","",(AK514)-(MID(RIGHT(V514,10),4,2)&amp;"/"&amp;LEFT((RIGHT(V514,10)),2)&amp;"/"&amp;RIGHT(V514,4))))</f>
        <v/>
      </c>
      <c r="AU514" s="173">
        <v>456</v>
      </c>
      <c r="AW514" s="142" t="s">
        <v>123</v>
      </c>
    </row>
    <row r="515" spans="2:53" s="142" customFormat="1" ht="21" customHeight="1" x14ac:dyDescent="0.25">
      <c r="B515" s="173" t="str">
        <f t="shared" si="62"/>
        <v>0-304L/1D-3.79X642</v>
      </c>
      <c r="C515" s="173" t="s">
        <v>4304</v>
      </c>
      <c r="D515" s="173" t="s">
        <v>13</v>
      </c>
      <c r="E515" s="190" t="s">
        <v>1674</v>
      </c>
      <c r="F515" s="190" t="s">
        <v>1675</v>
      </c>
      <c r="G515" s="173" t="s">
        <v>182</v>
      </c>
      <c r="H515" s="173" t="s">
        <v>127</v>
      </c>
      <c r="I515" s="174">
        <v>3.79</v>
      </c>
      <c r="J515" s="174"/>
      <c r="K515" s="174"/>
      <c r="L515" s="174"/>
      <c r="M515" s="191">
        <v>642</v>
      </c>
      <c r="N515" s="176">
        <v>10.645</v>
      </c>
      <c r="O515" s="176">
        <v>10.645</v>
      </c>
      <c r="P515" s="176"/>
      <c r="Q515" s="178"/>
      <c r="R515" s="179"/>
      <c r="S515" s="179"/>
      <c r="T515" s="177">
        <v>44956</v>
      </c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80" t="s">
        <v>1593</v>
      </c>
      <c r="AE515" s="173" t="s">
        <v>69</v>
      </c>
      <c r="AF515" s="181" t="s">
        <v>142</v>
      </c>
      <c r="AG515" s="192" t="s">
        <v>1657</v>
      </c>
      <c r="AH515" s="198"/>
      <c r="AI515" s="181">
        <v>44849</v>
      </c>
      <c r="AJ515" s="181"/>
      <c r="AK515" s="181">
        <f t="shared" ca="1" si="65"/>
        <v>44958</v>
      </c>
      <c r="AL515" s="173">
        <f t="shared" ca="1" si="63"/>
        <v>109</v>
      </c>
      <c r="AM515" s="173" t="str">
        <f t="shared" si="64"/>
        <v/>
      </c>
      <c r="AN515" s="181"/>
      <c r="AO515" s="190" t="s">
        <v>1676</v>
      </c>
      <c r="AP515" s="176">
        <v>10.645</v>
      </c>
      <c r="AQ515" s="176">
        <v>10.654999999999999</v>
      </c>
      <c r="AR515" s="176">
        <v>10.679999999999998</v>
      </c>
      <c r="AS515" s="176">
        <v>10.684999999999999</v>
      </c>
      <c r="AT515" s="173" t="str">
        <f t="shared" si="66"/>
        <v/>
      </c>
      <c r="AU515" s="173">
        <v>456</v>
      </c>
      <c r="AW515" s="142" t="s">
        <v>123</v>
      </c>
    </row>
    <row r="516" spans="2:53" s="142" customFormat="1" ht="21" customHeight="1" x14ac:dyDescent="0.25">
      <c r="B516" s="173" t="str">
        <f t="shared" si="62"/>
        <v>0-304L/FH-0.90X642</v>
      </c>
      <c r="C516" s="173" t="s">
        <v>4308</v>
      </c>
      <c r="D516" s="173" t="s">
        <v>16</v>
      </c>
      <c r="E516" s="190" t="s">
        <v>1626</v>
      </c>
      <c r="F516" s="190" t="s">
        <v>1627</v>
      </c>
      <c r="G516" s="173" t="s">
        <v>182</v>
      </c>
      <c r="H516" s="173" t="s">
        <v>70</v>
      </c>
      <c r="I516" s="174">
        <v>2.87</v>
      </c>
      <c r="J516" s="174">
        <v>0.9</v>
      </c>
      <c r="K516" s="174"/>
      <c r="L516" s="174"/>
      <c r="M516" s="191">
        <v>642</v>
      </c>
      <c r="N516" s="176">
        <v>10.75</v>
      </c>
      <c r="O516" s="176">
        <v>10.77</v>
      </c>
      <c r="P516" s="176"/>
      <c r="Q516" s="178"/>
      <c r="R516" s="179"/>
      <c r="S516" s="179"/>
      <c r="T516" s="177">
        <v>44956</v>
      </c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80" t="s">
        <v>1593</v>
      </c>
      <c r="AE516" s="173" t="s">
        <v>69</v>
      </c>
      <c r="AF516" s="181" t="s">
        <v>142</v>
      </c>
      <c r="AG516" s="192" t="s">
        <v>1594</v>
      </c>
      <c r="AH516" s="198"/>
      <c r="AI516" s="181">
        <v>44849</v>
      </c>
      <c r="AJ516" s="181"/>
      <c r="AK516" s="181">
        <f t="shared" ca="1" si="65"/>
        <v>44958</v>
      </c>
      <c r="AL516" s="173">
        <f t="shared" ca="1" si="63"/>
        <v>109</v>
      </c>
      <c r="AM516" s="173" t="str">
        <f t="shared" si="64"/>
        <v/>
      </c>
      <c r="AN516" s="181"/>
      <c r="AO516" s="190" t="s">
        <v>1628</v>
      </c>
      <c r="AP516" s="176">
        <v>10.75</v>
      </c>
      <c r="AQ516" s="176">
        <v>10.76</v>
      </c>
      <c r="AR516" s="176">
        <v>10.784999999999998</v>
      </c>
      <c r="AS516" s="176">
        <v>10.79</v>
      </c>
      <c r="AT516" s="173" t="str">
        <f t="shared" si="66"/>
        <v/>
      </c>
      <c r="AU516" s="173">
        <v>456</v>
      </c>
      <c r="AW516" s="142" t="s">
        <v>123</v>
      </c>
    </row>
    <row r="517" spans="2:53" s="142" customFormat="1" ht="21" customHeight="1" x14ac:dyDescent="0.25">
      <c r="B517" s="173" t="str">
        <f t="shared" si="62"/>
        <v>0-304L/1D-3.90X637</v>
      </c>
      <c r="C517" s="173" t="s">
        <v>4304</v>
      </c>
      <c r="D517" s="173" t="s">
        <v>13</v>
      </c>
      <c r="E517" s="190" t="s">
        <v>1683</v>
      </c>
      <c r="F517" s="190" t="s">
        <v>1684</v>
      </c>
      <c r="G517" s="173" t="s">
        <v>182</v>
      </c>
      <c r="H517" s="173" t="s">
        <v>127</v>
      </c>
      <c r="I517" s="174">
        <v>3.9</v>
      </c>
      <c r="J517" s="174"/>
      <c r="K517" s="174"/>
      <c r="L517" s="174"/>
      <c r="M517" s="191">
        <v>637</v>
      </c>
      <c r="N517" s="176">
        <v>10.58</v>
      </c>
      <c r="O517" s="176">
        <v>10.58</v>
      </c>
      <c r="P517" s="176"/>
      <c r="Q517" s="178"/>
      <c r="R517" s="179"/>
      <c r="S517" s="179"/>
      <c r="T517" s="177">
        <v>44956</v>
      </c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80" t="s">
        <v>1593</v>
      </c>
      <c r="AE517" s="173" t="s">
        <v>69</v>
      </c>
      <c r="AF517" s="181" t="s">
        <v>142</v>
      </c>
      <c r="AG517" s="192" t="s">
        <v>1657</v>
      </c>
      <c r="AH517" s="198"/>
      <c r="AI517" s="181">
        <v>44849</v>
      </c>
      <c r="AJ517" s="181"/>
      <c r="AK517" s="181">
        <f t="shared" ca="1" si="65"/>
        <v>44958</v>
      </c>
      <c r="AL517" s="173">
        <f t="shared" ca="1" si="63"/>
        <v>109</v>
      </c>
      <c r="AM517" s="173" t="str">
        <f t="shared" si="64"/>
        <v/>
      </c>
      <c r="AN517" s="181"/>
      <c r="AO517" s="190" t="s">
        <v>1685</v>
      </c>
      <c r="AP517" s="176">
        <v>10.58</v>
      </c>
      <c r="AQ517" s="176">
        <v>10.59</v>
      </c>
      <c r="AR517" s="176">
        <v>10.614999999999998</v>
      </c>
      <c r="AS517" s="176">
        <v>10.62</v>
      </c>
      <c r="AT517" s="173" t="str">
        <f t="shared" si="66"/>
        <v/>
      </c>
      <c r="AU517" s="173">
        <v>456</v>
      </c>
      <c r="AW517" s="142" t="s">
        <v>123</v>
      </c>
    </row>
    <row r="518" spans="2:53" s="142" customFormat="1" ht="21" customHeight="1" x14ac:dyDescent="0.25">
      <c r="B518" s="173" t="str">
        <f t="shared" si="62"/>
        <v>0-304/FH-2.00X643</v>
      </c>
      <c r="C518" s="173" t="s">
        <v>4308</v>
      </c>
      <c r="D518" s="173" t="s">
        <v>16</v>
      </c>
      <c r="E518" s="190" t="s">
        <v>4312</v>
      </c>
      <c r="F518" s="190" t="s">
        <v>4313</v>
      </c>
      <c r="G518" s="173">
        <v>304</v>
      </c>
      <c r="H518" s="173" t="s">
        <v>70</v>
      </c>
      <c r="I518" s="174">
        <v>3.94</v>
      </c>
      <c r="J518" s="174">
        <v>2</v>
      </c>
      <c r="K518" s="174"/>
      <c r="L518" s="174"/>
      <c r="M518" s="191">
        <v>643</v>
      </c>
      <c r="N518" s="176">
        <v>10.765000000000001</v>
      </c>
      <c r="O518" s="176">
        <v>10.785</v>
      </c>
      <c r="P518" s="176"/>
      <c r="Q518" s="178"/>
      <c r="R518" s="179"/>
      <c r="S518" s="179"/>
      <c r="T518" s="177">
        <v>44956</v>
      </c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80" t="s">
        <v>1593</v>
      </c>
      <c r="AE518" s="173" t="s">
        <v>69</v>
      </c>
      <c r="AF518" s="181" t="s">
        <v>142</v>
      </c>
      <c r="AG518" s="192" t="s">
        <v>1657</v>
      </c>
      <c r="AH518" s="198"/>
      <c r="AI518" s="181">
        <v>44849</v>
      </c>
      <c r="AJ518" s="181"/>
      <c r="AK518" s="181">
        <f t="shared" ca="1" si="65"/>
        <v>44958</v>
      </c>
      <c r="AL518" s="173">
        <f t="shared" ca="1" si="63"/>
        <v>109</v>
      </c>
      <c r="AM518" s="173" t="str">
        <f t="shared" si="64"/>
        <v/>
      </c>
      <c r="AN518" s="181"/>
      <c r="AO518" s="190" t="s">
        <v>1781</v>
      </c>
      <c r="AP518" s="176">
        <v>10.765000000000001</v>
      </c>
      <c r="AQ518" s="176">
        <v>10.775</v>
      </c>
      <c r="AR518" s="176">
        <v>10.799999999999999</v>
      </c>
      <c r="AS518" s="176">
        <v>10.805</v>
      </c>
      <c r="AT518" s="173" t="str">
        <f t="shared" si="66"/>
        <v/>
      </c>
      <c r="AU518" s="173">
        <v>456</v>
      </c>
      <c r="AW518" s="142" t="s">
        <v>123</v>
      </c>
    </row>
    <row r="519" spans="2:53" s="142" customFormat="1" ht="21" customHeight="1" x14ac:dyDescent="0.25">
      <c r="B519" s="173" t="str">
        <f t="shared" si="62"/>
        <v>0-304L/1D-2.89X647</v>
      </c>
      <c r="C519" s="173" t="s">
        <v>4314</v>
      </c>
      <c r="D519" s="173" t="s">
        <v>13</v>
      </c>
      <c r="E519" s="190" t="s">
        <v>1629</v>
      </c>
      <c r="F519" s="190" t="s">
        <v>1630</v>
      </c>
      <c r="G519" s="173" t="s">
        <v>182</v>
      </c>
      <c r="H519" s="173" t="s">
        <v>127</v>
      </c>
      <c r="I519" s="174">
        <v>2.89</v>
      </c>
      <c r="J519" s="174"/>
      <c r="K519" s="174"/>
      <c r="L519" s="174"/>
      <c r="M519" s="191">
        <v>647</v>
      </c>
      <c r="N519" s="176">
        <v>10.33</v>
      </c>
      <c r="O519" s="176">
        <v>10.33</v>
      </c>
      <c r="P519" s="176"/>
      <c r="Q519" s="178"/>
      <c r="R519" s="179"/>
      <c r="S519" s="179"/>
      <c r="T519" s="177">
        <v>44957</v>
      </c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80" t="s">
        <v>1593</v>
      </c>
      <c r="AE519" s="173" t="s">
        <v>69</v>
      </c>
      <c r="AF519" s="181" t="s">
        <v>142</v>
      </c>
      <c r="AG519" s="192" t="s">
        <v>1594</v>
      </c>
      <c r="AH519" s="198"/>
      <c r="AI519" s="181">
        <v>44849</v>
      </c>
      <c r="AJ519" s="181"/>
      <c r="AK519" s="181">
        <f t="shared" ca="1" si="65"/>
        <v>44958</v>
      </c>
      <c r="AL519" s="173">
        <f t="shared" ca="1" si="63"/>
        <v>109</v>
      </c>
      <c r="AM519" s="173" t="str">
        <f t="shared" si="64"/>
        <v/>
      </c>
      <c r="AN519" s="181"/>
      <c r="AO519" s="190" t="s">
        <v>1632</v>
      </c>
      <c r="AP519" s="176">
        <v>10.33</v>
      </c>
      <c r="AQ519" s="176">
        <v>10.34</v>
      </c>
      <c r="AR519" s="176">
        <v>10.364999999999998</v>
      </c>
      <c r="AS519" s="176">
        <v>10.37</v>
      </c>
      <c r="AT519" s="173" t="str">
        <f t="shared" si="66"/>
        <v/>
      </c>
      <c r="AU519" s="173">
        <v>456</v>
      </c>
      <c r="AW519" s="142" t="s">
        <v>123</v>
      </c>
    </row>
    <row r="520" spans="2:53" s="142" customFormat="1" ht="21" customHeight="1" x14ac:dyDescent="0.25">
      <c r="B520" s="173" t="str">
        <f t="shared" si="62"/>
        <v>0-304L/FH-1.45X637</v>
      </c>
      <c r="C520" s="173" t="s">
        <v>4315</v>
      </c>
      <c r="D520" s="173" t="s">
        <v>16</v>
      </c>
      <c r="E520" s="190" t="s">
        <v>1683</v>
      </c>
      <c r="F520" s="190" t="s">
        <v>1684</v>
      </c>
      <c r="G520" s="173" t="s">
        <v>182</v>
      </c>
      <c r="H520" s="173" t="s">
        <v>70</v>
      </c>
      <c r="I520" s="174">
        <v>3.9</v>
      </c>
      <c r="J520" s="174">
        <v>1.45</v>
      </c>
      <c r="K520" s="174"/>
      <c r="L520" s="174"/>
      <c r="M520" s="191">
        <v>637</v>
      </c>
      <c r="N520" s="176">
        <v>10.58</v>
      </c>
      <c r="O520" s="176">
        <v>10.6</v>
      </c>
      <c r="P520" s="176"/>
      <c r="Q520" s="178"/>
      <c r="R520" s="179"/>
      <c r="S520" s="179"/>
      <c r="T520" s="177">
        <v>44956</v>
      </c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80" t="s">
        <v>1593</v>
      </c>
      <c r="AE520" s="173" t="s">
        <v>69</v>
      </c>
      <c r="AF520" s="181" t="s">
        <v>142</v>
      </c>
      <c r="AG520" s="192" t="s">
        <v>1657</v>
      </c>
      <c r="AH520" s="198"/>
      <c r="AI520" s="181">
        <v>44849</v>
      </c>
      <c r="AJ520" s="181"/>
      <c r="AK520" s="181">
        <f t="shared" ca="1" si="65"/>
        <v>44958</v>
      </c>
      <c r="AL520" s="173">
        <f t="shared" ca="1" si="63"/>
        <v>109</v>
      </c>
      <c r="AM520" s="173" t="str">
        <f t="shared" si="64"/>
        <v/>
      </c>
      <c r="AN520" s="181"/>
      <c r="AO520" s="190" t="s">
        <v>1685</v>
      </c>
      <c r="AP520" s="176">
        <v>10.58</v>
      </c>
      <c r="AQ520" s="176">
        <v>10.59</v>
      </c>
      <c r="AR520" s="176">
        <v>10.614999999999998</v>
      </c>
      <c r="AS520" s="176">
        <v>10.62</v>
      </c>
      <c r="AT520" s="173" t="str">
        <f t="shared" si="66"/>
        <v/>
      </c>
      <c r="AU520" s="173">
        <v>456</v>
      </c>
      <c r="AW520" s="142" t="s">
        <v>123</v>
      </c>
    </row>
    <row r="521" spans="2:53" s="142" customFormat="1" ht="21" customHeight="1" x14ac:dyDescent="0.25">
      <c r="B521" s="173" t="str">
        <f t="shared" si="62"/>
        <v>0-304L/1D-2.88X646</v>
      </c>
      <c r="C521" s="173" t="s">
        <v>4314</v>
      </c>
      <c r="D521" s="173" t="s">
        <v>13</v>
      </c>
      <c r="E521" s="190" t="s">
        <v>1748</v>
      </c>
      <c r="F521" s="190" t="s">
        <v>1749</v>
      </c>
      <c r="G521" s="173" t="s">
        <v>182</v>
      </c>
      <c r="H521" s="173" t="s">
        <v>127</v>
      </c>
      <c r="I521" s="174">
        <v>2.88</v>
      </c>
      <c r="J521" s="174"/>
      <c r="K521" s="174"/>
      <c r="L521" s="174"/>
      <c r="M521" s="191">
        <v>646</v>
      </c>
      <c r="N521" s="176">
        <v>10.664999999999999</v>
      </c>
      <c r="O521" s="176">
        <v>10.664999999999999</v>
      </c>
      <c r="P521" s="176"/>
      <c r="Q521" s="178"/>
      <c r="R521" s="179"/>
      <c r="S521" s="179"/>
      <c r="T521" s="177">
        <v>44957</v>
      </c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80" t="s">
        <v>1593</v>
      </c>
      <c r="AE521" s="173" t="s">
        <v>69</v>
      </c>
      <c r="AF521" s="181" t="s">
        <v>142</v>
      </c>
      <c r="AG521" s="192" t="s">
        <v>1657</v>
      </c>
      <c r="AH521" s="198"/>
      <c r="AI521" s="181">
        <v>44849</v>
      </c>
      <c r="AJ521" s="181"/>
      <c r="AK521" s="181">
        <f t="shared" ca="1" si="65"/>
        <v>44958</v>
      </c>
      <c r="AL521" s="173">
        <f t="shared" ca="1" si="63"/>
        <v>109</v>
      </c>
      <c r="AM521" s="173" t="str">
        <f t="shared" si="64"/>
        <v/>
      </c>
      <c r="AN521" s="181"/>
      <c r="AO521" s="190" t="s">
        <v>1750</v>
      </c>
      <c r="AP521" s="176">
        <v>10.664999999999999</v>
      </c>
      <c r="AQ521" s="176">
        <v>10.675000000000001</v>
      </c>
      <c r="AR521" s="176">
        <v>10.7</v>
      </c>
      <c r="AS521" s="176">
        <v>10.705</v>
      </c>
      <c r="AT521" s="173" t="str">
        <f t="shared" si="66"/>
        <v/>
      </c>
      <c r="AU521" s="173">
        <v>456</v>
      </c>
      <c r="AW521" s="142" t="s">
        <v>123</v>
      </c>
    </row>
    <row r="522" spans="2:53" s="142" customFormat="1" ht="21" customHeight="1" x14ac:dyDescent="0.25">
      <c r="B522" s="173" t="str">
        <f t="shared" si="62"/>
        <v>0-304L/1D-2.90X642</v>
      </c>
      <c r="C522" s="173" t="s">
        <v>4316</v>
      </c>
      <c r="D522" s="173" t="s">
        <v>13</v>
      </c>
      <c r="E522" s="190" t="s">
        <v>1708</v>
      </c>
      <c r="F522" s="190" t="s">
        <v>4317</v>
      </c>
      <c r="G522" s="173" t="s">
        <v>182</v>
      </c>
      <c r="H522" s="173" t="s">
        <v>127</v>
      </c>
      <c r="I522" s="174">
        <v>2.9</v>
      </c>
      <c r="J522" s="174"/>
      <c r="K522" s="174"/>
      <c r="L522" s="174"/>
      <c r="M522" s="191">
        <v>642</v>
      </c>
      <c r="N522" s="176">
        <v>10.71</v>
      </c>
      <c r="O522" s="176">
        <v>10.71</v>
      </c>
      <c r="P522" s="176"/>
      <c r="Q522" s="178"/>
      <c r="R522" s="179"/>
      <c r="S522" s="179"/>
      <c r="T522" s="177">
        <v>44957</v>
      </c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80" t="s">
        <v>1593</v>
      </c>
      <c r="AE522" s="173" t="s">
        <v>69</v>
      </c>
      <c r="AF522" s="181" t="s">
        <v>142</v>
      </c>
      <c r="AG522" s="192" t="s">
        <v>1657</v>
      </c>
      <c r="AH522" s="198"/>
      <c r="AI522" s="181">
        <v>44849</v>
      </c>
      <c r="AJ522" s="181"/>
      <c r="AK522" s="181">
        <f t="shared" ca="1" si="65"/>
        <v>44958</v>
      </c>
      <c r="AL522" s="173">
        <f t="shared" ca="1" si="63"/>
        <v>109</v>
      </c>
      <c r="AM522" s="173" t="str">
        <f t="shared" si="64"/>
        <v/>
      </c>
      <c r="AN522" s="181"/>
      <c r="AO522" s="190" t="s">
        <v>1710</v>
      </c>
      <c r="AP522" s="176">
        <v>10.71</v>
      </c>
      <c r="AQ522" s="176">
        <v>10.72</v>
      </c>
      <c r="AR522" s="176">
        <v>10.744999999999999</v>
      </c>
      <c r="AS522" s="176">
        <v>10.75</v>
      </c>
      <c r="AT522" s="173" t="str">
        <f t="shared" si="66"/>
        <v/>
      </c>
      <c r="AU522" s="173">
        <v>456</v>
      </c>
      <c r="AW522" s="142" t="s">
        <v>123</v>
      </c>
    </row>
    <row r="523" spans="2:53" s="142" customFormat="1" ht="21" customHeight="1" x14ac:dyDescent="0.25">
      <c r="B523" s="173" t="str">
        <f t="shared" si="62"/>
        <v>0-304L/FH-1.45X642</v>
      </c>
      <c r="C523" s="173" t="s">
        <v>4315</v>
      </c>
      <c r="D523" s="173" t="s">
        <v>16</v>
      </c>
      <c r="E523" s="190" t="s">
        <v>1674</v>
      </c>
      <c r="F523" s="190" t="s">
        <v>1675</v>
      </c>
      <c r="G523" s="173" t="s">
        <v>182</v>
      </c>
      <c r="H523" s="173" t="s">
        <v>70</v>
      </c>
      <c r="I523" s="174">
        <v>3.79</v>
      </c>
      <c r="J523" s="174">
        <v>1.45</v>
      </c>
      <c r="K523" s="174"/>
      <c r="L523" s="174"/>
      <c r="M523" s="191">
        <v>642</v>
      </c>
      <c r="N523" s="176">
        <v>10.645</v>
      </c>
      <c r="O523" s="176">
        <v>10.664999999999999</v>
      </c>
      <c r="P523" s="176"/>
      <c r="Q523" s="178"/>
      <c r="R523" s="179"/>
      <c r="S523" s="179"/>
      <c r="T523" s="177">
        <v>44956</v>
      </c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80" t="s">
        <v>1593</v>
      </c>
      <c r="AE523" s="173" t="s">
        <v>69</v>
      </c>
      <c r="AF523" s="181" t="s">
        <v>142</v>
      </c>
      <c r="AG523" s="192" t="s">
        <v>1657</v>
      </c>
      <c r="AH523" s="198"/>
      <c r="AI523" s="181">
        <v>44849</v>
      </c>
      <c r="AJ523" s="181"/>
      <c r="AK523" s="181">
        <f t="shared" ca="1" si="65"/>
        <v>44958</v>
      </c>
      <c r="AL523" s="173">
        <f t="shared" ca="1" si="63"/>
        <v>109</v>
      </c>
      <c r="AM523" s="173" t="str">
        <f t="shared" si="64"/>
        <v/>
      </c>
      <c r="AN523" s="181"/>
      <c r="AO523" s="190" t="s">
        <v>1676</v>
      </c>
      <c r="AP523" s="176">
        <v>10.645</v>
      </c>
      <c r="AQ523" s="176">
        <v>10.654999999999999</v>
      </c>
      <c r="AR523" s="176">
        <v>10.679999999999998</v>
      </c>
      <c r="AS523" s="176">
        <v>10.684999999999999</v>
      </c>
      <c r="AT523" s="173" t="str">
        <f t="shared" si="66"/>
        <v/>
      </c>
      <c r="AU523" s="173">
        <v>456</v>
      </c>
      <c r="AW523" s="142" t="s">
        <v>123</v>
      </c>
    </row>
    <row r="524" spans="2:53" s="142" customFormat="1" ht="21" customHeight="1" x14ac:dyDescent="0.25">
      <c r="B524" s="173" t="str">
        <f t="shared" si="62"/>
        <v>0-304L/1D-2.95X643</v>
      </c>
      <c r="C524" s="173" t="s">
        <v>4314</v>
      </c>
      <c r="D524" s="173" t="s">
        <v>13</v>
      </c>
      <c r="E524" s="190" t="s">
        <v>1746</v>
      </c>
      <c r="F524" s="190" t="s">
        <v>1747</v>
      </c>
      <c r="G524" s="173" t="s">
        <v>182</v>
      </c>
      <c r="H524" s="173" t="s">
        <v>127</v>
      </c>
      <c r="I524" s="174">
        <v>2.95</v>
      </c>
      <c r="J524" s="174"/>
      <c r="K524" s="174"/>
      <c r="L524" s="174"/>
      <c r="M524" s="191">
        <v>643</v>
      </c>
      <c r="N524" s="176">
        <v>10.025</v>
      </c>
      <c r="O524" s="176">
        <v>10.025</v>
      </c>
      <c r="P524" s="176"/>
      <c r="Q524" s="178"/>
      <c r="R524" s="179"/>
      <c r="S524" s="179"/>
      <c r="T524" s="177">
        <v>44957</v>
      </c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80" t="s">
        <v>1593</v>
      </c>
      <c r="AE524" s="173" t="s">
        <v>69</v>
      </c>
      <c r="AF524" s="181" t="s">
        <v>142</v>
      </c>
      <c r="AG524" s="192" t="s">
        <v>1657</v>
      </c>
      <c r="AH524" s="198"/>
      <c r="AI524" s="181">
        <v>44849</v>
      </c>
      <c r="AJ524" s="181"/>
      <c r="AK524" s="181">
        <f t="shared" ca="1" si="65"/>
        <v>44958</v>
      </c>
      <c r="AL524" s="173">
        <f t="shared" ca="1" si="63"/>
        <v>109</v>
      </c>
      <c r="AM524" s="173" t="str">
        <f t="shared" si="64"/>
        <v/>
      </c>
      <c r="AN524" s="181"/>
      <c r="AO524" s="190" t="s">
        <v>1745</v>
      </c>
      <c r="AP524" s="176">
        <v>10.025</v>
      </c>
      <c r="AQ524" s="176">
        <v>10.035</v>
      </c>
      <c r="AR524" s="176">
        <v>10.059999999999999</v>
      </c>
      <c r="AS524" s="176">
        <v>10.065</v>
      </c>
      <c r="AT524" s="173" t="str">
        <f t="shared" si="66"/>
        <v/>
      </c>
      <c r="AU524" s="173">
        <v>456</v>
      </c>
      <c r="AW524" s="142" t="s">
        <v>123</v>
      </c>
    </row>
    <row r="525" spans="2:53" s="142" customFormat="1" ht="21" customHeight="1" x14ac:dyDescent="0.25">
      <c r="B525" s="173" t="str">
        <f t="shared" si="62"/>
        <v>0-304L/FH-1.15X646</v>
      </c>
      <c r="C525" s="173" t="s">
        <v>4315</v>
      </c>
      <c r="D525" s="173" t="s">
        <v>16</v>
      </c>
      <c r="E525" s="190" t="s">
        <v>1748</v>
      </c>
      <c r="F525" s="190" t="s">
        <v>1749</v>
      </c>
      <c r="G525" s="173" t="s">
        <v>182</v>
      </c>
      <c r="H525" s="173" t="s">
        <v>70</v>
      </c>
      <c r="I525" s="174">
        <v>2.88</v>
      </c>
      <c r="J525" s="174">
        <v>1.1499999999999999</v>
      </c>
      <c r="K525" s="174"/>
      <c r="L525" s="174"/>
      <c r="M525" s="191">
        <v>646</v>
      </c>
      <c r="N525" s="176">
        <v>10.664999999999999</v>
      </c>
      <c r="O525" s="176">
        <v>10.664999999999999</v>
      </c>
      <c r="P525" s="176"/>
      <c r="Q525" s="178"/>
      <c r="R525" s="179"/>
      <c r="S525" s="179"/>
      <c r="T525" s="177">
        <v>44957</v>
      </c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80" t="s">
        <v>1593</v>
      </c>
      <c r="AE525" s="173" t="s">
        <v>69</v>
      </c>
      <c r="AF525" s="181" t="s">
        <v>142</v>
      </c>
      <c r="AG525" s="192" t="s">
        <v>1657</v>
      </c>
      <c r="AH525" s="198"/>
      <c r="AI525" s="181">
        <v>44849</v>
      </c>
      <c r="AJ525" s="181"/>
      <c r="AK525" s="181">
        <f t="shared" ca="1" si="65"/>
        <v>44958</v>
      </c>
      <c r="AL525" s="173">
        <f t="shared" ca="1" si="63"/>
        <v>109</v>
      </c>
      <c r="AM525" s="173" t="str">
        <f t="shared" si="64"/>
        <v/>
      </c>
      <c r="AN525" s="181"/>
      <c r="AO525" s="190" t="s">
        <v>1750</v>
      </c>
      <c r="AP525" s="176">
        <v>10.664999999999999</v>
      </c>
      <c r="AQ525" s="176">
        <v>10.675000000000001</v>
      </c>
      <c r="AR525" s="176">
        <v>10.7</v>
      </c>
      <c r="AS525" s="176">
        <v>10.705</v>
      </c>
      <c r="AT525" s="173" t="str">
        <f t="shared" si="66"/>
        <v/>
      </c>
      <c r="AU525" s="173">
        <v>456</v>
      </c>
      <c r="AW525" s="142" t="s">
        <v>123</v>
      </c>
    </row>
    <row r="526" spans="2:53" s="142" customFormat="1" ht="21" customHeight="1" x14ac:dyDescent="0.25">
      <c r="B526" s="173" t="str">
        <f t="shared" si="62"/>
        <v>0-304L/1D-3.80X771</v>
      </c>
      <c r="C526" s="173" t="s">
        <v>4314</v>
      </c>
      <c r="D526" s="173" t="s">
        <v>13</v>
      </c>
      <c r="E526" s="190" t="s">
        <v>2617</v>
      </c>
      <c r="F526" s="190" t="s">
        <v>2618</v>
      </c>
      <c r="G526" s="173" t="s">
        <v>182</v>
      </c>
      <c r="H526" s="173" t="s">
        <v>127</v>
      </c>
      <c r="I526" s="174">
        <v>3.8</v>
      </c>
      <c r="J526" s="174"/>
      <c r="K526" s="174"/>
      <c r="L526" s="174"/>
      <c r="M526" s="191">
        <v>771</v>
      </c>
      <c r="N526" s="176">
        <v>10.445</v>
      </c>
      <c r="O526" s="176">
        <v>10.445</v>
      </c>
      <c r="P526" s="176"/>
      <c r="Q526" s="178"/>
      <c r="R526" s="179"/>
      <c r="S526" s="179"/>
      <c r="T526" s="177">
        <v>44957</v>
      </c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80" t="s">
        <v>1643</v>
      </c>
      <c r="AE526" s="173" t="s">
        <v>69</v>
      </c>
      <c r="AF526" s="181" t="s">
        <v>142</v>
      </c>
      <c r="AG526" s="192" t="s">
        <v>1584</v>
      </c>
      <c r="AH526" s="198"/>
      <c r="AI526" s="181">
        <v>44914</v>
      </c>
      <c r="AJ526" s="181"/>
      <c r="AK526" s="181">
        <f t="shared" ca="1" si="65"/>
        <v>44958</v>
      </c>
      <c r="AL526" s="173">
        <f t="shared" ca="1" si="63"/>
        <v>44</v>
      </c>
      <c r="AM526" s="173" t="str">
        <f t="shared" si="64"/>
        <v/>
      </c>
      <c r="AN526" s="181"/>
      <c r="AO526" s="190" t="s">
        <v>2619</v>
      </c>
      <c r="AP526" s="176">
        <v>10.445</v>
      </c>
      <c r="AQ526" s="176">
        <v>10.455</v>
      </c>
      <c r="AR526" s="176">
        <v>10.479999999999999</v>
      </c>
      <c r="AS526" s="176">
        <v>10.484999999999999</v>
      </c>
      <c r="AT526" s="173" t="str">
        <f t="shared" si="66"/>
        <v/>
      </c>
      <c r="AU526" s="173">
        <v>462</v>
      </c>
      <c r="AW526" s="142" t="s">
        <v>123</v>
      </c>
    </row>
    <row r="527" spans="2:53" s="142" customFormat="1" ht="21" customHeight="1" x14ac:dyDescent="0.25">
      <c r="B527" s="173" t="str">
        <f t="shared" si="62"/>
        <v>0-304L/FH-0.90X647</v>
      </c>
      <c r="C527" s="173" t="s">
        <v>4315</v>
      </c>
      <c r="D527" s="173" t="s">
        <v>16</v>
      </c>
      <c r="E527" s="190" t="s">
        <v>1629</v>
      </c>
      <c r="F527" s="190" t="s">
        <v>1630</v>
      </c>
      <c r="G527" s="173" t="s">
        <v>182</v>
      </c>
      <c r="H527" s="173" t="s">
        <v>70</v>
      </c>
      <c r="I527" s="174">
        <v>2.89</v>
      </c>
      <c r="J527" s="174">
        <v>0.9</v>
      </c>
      <c r="K527" s="174"/>
      <c r="L527" s="174"/>
      <c r="M527" s="191">
        <v>647</v>
      </c>
      <c r="N527" s="176">
        <v>10.33</v>
      </c>
      <c r="O527" s="176">
        <v>10.32</v>
      </c>
      <c r="P527" s="176"/>
      <c r="Q527" s="178"/>
      <c r="R527" s="179"/>
      <c r="S527" s="179"/>
      <c r="T527" s="177">
        <v>44957</v>
      </c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80" t="s">
        <v>1593</v>
      </c>
      <c r="AE527" s="173" t="s">
        <v>69</v>
      </c>
      <c r="AF527" s="181" t="s">
        <v>142</v>
      </c>
      <c r="AG527" s="192" t="s">
        <v>1594</v>
      </c>
      <c r="AH527" s="198"/>
      <c r="AI527" s="181">
        <v>44849</v>
      </c>
      <c r="AJ527" s="181"/>
      <c r="AK527" s="181">
        <f t="shared" ca="1" si="65"/>
        <v>44958</v>
      </c>
      <c r="AL527" s="173">
        <f t="shared" ca="1" si="63"/>
        <v>109</v>
      </c>
      <c r="AM527" s="173" t="str">
        <f t="shared" si="64"/>
        <v/>
      </c>
      <c r="AN527" s="181"/>
      <c r="AO527" s="190" t="s">
        <v>1632</v>
      </c>
      <c r="AP527" s="176">
        <v>10.33</v>
      </c>
      <c r="AQ527" s="176">
        <v>10.34</v>
      </c>
      <c r="AR527" s="176">
        <v>10.364999999999998</v>
      </c>
      <c r="AS527" s="176">
        <v>10.37</v>
      </c>
      <c r="AT527" s="173" t="str">
        <f t="shared" si="66"/>
        <v/>
      </c>
      <c r="AU527" s="173">
        <v>456</v>
      </c>
      <c r="AW527" s="142" t="s">
        <v>123</v>
      </c>
    </row>
    <row r="528" spans="2:53" s="142" customFormat="1" ht="21" customHeight="1" x14ac:dyDescent="0.25">
      <c r="B528" s="173" t="str">
        <f t="shared" si="62"/>
        <v>0-304L/1D-2.95X643</v>
      </c>
      <c r="C528" s="173" t="s">
        <v>4314</v>
      </c>
      <c r="D528" s="173" t="s">
        <v>13</v>
      </c>
      <c r="E528" s="190" t="s">
        <v>1743</v>
      </c>
      <c r="F528" s="190" t="s">
        <v>1744</v>
      </c>
      <c r="G528" s="173" t="s">
        <v>182</v>
      </c>
      <c r="H528" s="173" t="s">
        <v>127</v>
      </c>
      <c r="I528" s="174">
        <v>2.95</v>
      </c>
      <c r="J528" s="174"/>
      <c r="K528" s="174"/>
      <c r="L528" s="174"/>
      <c r="M528" s="191">
        <v>643</v>
      </c>
      <c r="N528" s="176">
        <v>10.025</v>
      </c>
      <c r="O528" s="176">
        <v>10.025</v>
      </c>
      <c r="P528" s="176"/>
      <c r="Q528" s="178"/>
      <c r="R528" s="179"/>
      <c r="S528" s="179"/>
      <c r="T528" s="177">
        <v>44957</v>
      </c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80" t="s">
        <v>1593</v>
      </c>
      <c r="AE528" s="173" t="s">
        <v>69</v>
      </c>
      <c r="AF528" s="181" t="s">
        <v>142</v>
      </c>
      <c r="AG528" s="192" t="s">
        <v>1657</v>
      </c>
      <c r="AH528" s="198"/>
      <c r="AI528" s="181">
        <v>44849</v>
      </c>
      <c r="AJ528" s="181"/>
      <c r="AK528" s="181">
        <f t="shared" ca="1" si="65"/>
        <v>44958</v>
      </c>
      <c r="AL528" s="173">
        <f t="shared" ca="1" si="63"/>
        <v>109</v>
      </c>
      <c r="AM528" s="173" t="str">
        <f t="shared" si="64"/>
        <v/>
      </c>
      <c r="AN528" s="181"/>
      <c r="AO528" s="190" t="s">
        <v>1745</v>
      </c>
      <c r="AP528" s="176">
        <v>10.025</v>
      </c>
      <c r="AQ528" s="176">
        <v>10.035</v>
      </c>
      <c r="AR528" s="176">
        <v>10.059999999999999</v>
      </c>
      <c r="AS528" s="176">
        <v>10.065</v>
      </c>
      <c r="AT528" s="173" t="str">
        <f t="shared" si="66"/>
        <v/>
      </c>
      <c r="AU528" s="173">
        <v>456</v>
      </c>
      <c r="AW528" s="142" t="s">
        <v>123</v>
      </c>
    </row>
    <row r="529" spans="2:49" s="142" customFormat="1" ht="21" customHeight="1" x14ac:dyDescent="0.25">
      <c r="B529" s="173" t="str">
        <f t="shared" si="62"/>
        <v>0-304L/FH-1.15X643</v>
      </c>
      <c r="C529" s="173" t="s">
        <v>4315</v>
      </c>
      <c r="D529" s="173" t="s">
        <v>16</v>
      </c>
      <c r="E529" s="190" t="s">
        <v>1746</v>
      </c>
      <c r="F529" s="190" t="s">
        <v>1747</v>
      </c>
      <c r="G529" s="173" t="s">
        <v>182</v>
      </c>
      <c r="H529" s="173" t="s">
        <v>70</v>
      </c>
      <c r="I529" s="174">
        <v>2.95</v>
      </c>
      <c r="J529" s="174">
        <v>1.1499999999999999</v>
      </c>
      <c r="K529" s="174"/>
      <c r="L529" s="174"/>
      <c r="M529" s="191">
        <v>643</v>
      </c>
      <c r="N529" s="176">
        <v>10.025</v>
      </c>
      <c r="O529" s="176">
        <v>10.015000000000001</v>
      </c>
      <c r="P529" s="176"/>
      <c r="Q529" s="178"/>
      <c r="R529" s="179"/>
      <c r="S529" s="179"/>
      <c r="T529" s="177">
        <v>44957</v>
      </c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80" t="s">
        <v>1593</v>
      </c>
      <c r="AE529" s="173" t="s">
        <v>69</v>
      </c>
      <c r="AF529" s="181" t="s">
        <v>142</v>
      </c>
      <c r="AG529" s="192" t="s">
        <v>1657</v>
      </c>
      <c r="AH529" s="198"/>
      <c r="AI529" s="181">
        <v>44849</v>
      </c>
      <c r="AJ529" s="181"/>
      <c r="AK529" s="181">
        <f t="shared" ca="1" si="65"/>
        <v>44958</v>
      </c>
      <c r="AL529" s="173">
        <f t="shared" ca="1" si="63"/>
        <v>109</v>
      </c>
      <c r="AM529" s="173" t="str">
        <f t="shared" si="64"/>
        <v/>
      </c>
      <c r="AN529" s="181"/>
      <c r="AO529" s="190" t="s">
        <v>1745</v>
      </c>
      <c r="AP529" s="176">
        <v>10.025</v>
      </c>
      <c r="AQ529" s="176">
        <v>10.035</v>
      </c>
      <c r="AR529" s="176">
        <v>10.059999999999999</v>
      </c>
      <c r="AS529" s="176">
        <v>10.065</v>
      </c>
      <c r="AT529" s="173" t="str">
        <f t="shared" si="66"/>
        <v/>
      </c>
      <c r="AU529" s="173">
        <v>456</v>
      </c>
      <c r="AW529" s="142" t="s">
        <v>123</v>
      </c>
    </row>
    <row r="530" spans="2:49" s="142" customFormat="1" ht="21" customHeight="1" x14ac:dyDescent="0.25">
      <c r="B530" s="173" t="str">
        <f t="shared" si="62"/>
        <v>0-304L/1D-2.89X646</v>
      </c>
      <c r="C530" s="173" t="s">
        <v>4314</v>
      </c>
      <c r="D530" s="173" t="s">
        <v>13</v>
      </c>
      <c r="E530" s="190" t="s">
        <v>1648</v>
      </c>
      <c r="F530" s="190" t="s">
        <v>1649</v>
      </c>
      <c r="G530" s="173" t="s">
        <v>182</v>
      </c>
      <c r="H530" s="173" t="s">
        <v>127</v>
      </c>
      <c r="I530" s="174">
        <v>2.89</v>
      </c>
      <c r="J530" s="174"/>
      <c r="K530" s="174"/>
      <c r="L530" s="174"/>
      <c r="M530" s="191">
        <v>646</v>
      </c>
      <c r="N530" s="176">
        <v>10.275</v>
      </c>
      <c r="O530" s="176">
        <v>10.275</v>
      </c>
      <c r="P530" s="176"/>
      <c r="Q530" s="178"/>
      <c r="R530" s="179"/>
      <c r="S530" s="179"/>
      <c r="T530" s="177">
        <v>44957</v>
      </c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80" t="s">
        <v>1593</v>
      </c>
      <c r="AE530" s="173" t="s">
        <v>69</v>
      </c>
      <c r="AF530" s="181" t="s">
        <v>142</v>
      </c>
      <c r="AG530" s="192" t="s">
        <v>1594</v>
      </c>
      <c r="AH530" s="198"/>
      <c r="AI530" s="181">
        <v>44849</v>
      </c>
      <c r="AJ530" s="181"/>
      <c r="AK530" s="181">
        <f t="shared" ca="1" si="65"/>
        <v>44958</v>
      </c>
      <c r="AL530" s="173">
        <f t="shared" ca="1" si="63"/>
        <v>109</v>
      </c>
      <c r="AM530" s="173" t="str">
        <f t="shared" si="64"/>
        <v/>
      </c>
      <c r="AN530" s="181"/>
      <c r="AO530" s="190" t="s">
        <v>1647</v>
      </c>
      <c r="AP530" s="176">
        <v>10.275</v>
      </c>
      <c r="AQ530" s="176">
        <v>10.285</v>
      </c>
      <c r="AR530" s="176">
        <v>10.309999999999999</v>
      </c>
      <c r="AS530" s="176">
        <v>10.315</v>
      </c>
      <c r="AT530" s="173" t="str">
        <f t="shared" si="66"/>
        <v/>
      </c>
      <c r="AU530" s="173">
        <v>456</v>
      </c>
      <c r="AW530" s="142" t="s">
        <v>123</v>
      </c>
    </row>
    <row r="531" spans="2:49" s="142" customFormat="1" ht="21" customHeight="1" x14ac:dyDescent="0.25">
      <c r="B531" s="173" t="str">
        <f t="shared" si="62"/>
        <v>0-304L/FH-1.15X643</v>
      </c>
      <c r="C531" s="173" t="s">
        <v>4315</v>
      </c>
      <c r="D531" s="173" t="s">
        <v>16</v>
      </c>
      <c r="E531" s="190" t="s">
        <v>1743</v>
      </c>
      <c r="F531" s="190" t="s">
        <v>1744</v>
      </c>
      <c r="G531" s="173" t="s">
        <v>182</v>
      </c>
      <c r="H531" s="173" t="s">
        <v>70</v>
      </c>
      <c r="I531" s="174">
        <v>2.95</v>
      </c>
      <c r="J531" s="174">
        <v>1.1499999999999999</v>
      </c>
      <c r="K531" s="174"/>
      <c r="L531" s="174"/>
      <c r="M531" s="191">
        <v>643</v>
      </c>
      <c r="N531" s="176">
        <v>10.025</v>
      </c>
      <c r="O531" s="176">
        <v>10.035</v>
      </c>
      <c r="P531" s="176"/>
      <c r="Q531" s="178"/>
      <c r="R531" s="179"/>
      <c r="S531" s="179"/>
      <c r="T531" s="177">
        <v>44957</v>
      </c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80" t="s">
        <v>1593</v>
      </c>
      <c r="AE531" s="173" t="s">
        <v>69</v>
      </c>
      <c r="AF531" s="181" t="s">
        <v>142</v>
      </c>
      <c r="AG531" s="192" t="s">
        <v>1657</v>
      </c>
      <c r="AH531" s="198"/>
      <c r="AI531" s="181">
        <v>44849</v>
      </c>
      <c r="AJ531" s="181"/>
      <c r="AK531" s="181">
        <f t="shared" ca="1" si="65"/>
        <v>44958</v>
      </c>
      <c r="AL531" s="173">
        <f t="shared" ca="1" si="63"/>
        <v>109</v>
      </c>
      <c r="AM531" s="173" t="str">
        <f t="shared" si="64"/>
        <v/>
      </c>
      <c r="AN531" s="181"/>
      <c r="AO531" s="190" t="s">
        <v>1745</v>
      </c>
      <c r="AP531" s="176">
        <v>10.025</v>
      </c>
      <c r="AQ531" s="176">
        <v>10.035</v>
      </c>
      <c r="AR531" s="176">
        <v>10.059999999999999</v>
      </c>
      <c r="AS531" s="176">
        <v>10.065</v>
      </c>
      <c r="AT531" s="173" t="str">
        <f t="shared" si="66"/>
        <v/>
      </c>
      <c r="AU531" s="173">
        <v>456</v>
      </c>
      <c r="AW531" s="142" t="s">
        <v>123</v>
      </c>
    </row>
    <row r="532" spans="2:49" s="142" customFormat="1" ht="21" customHeight="1" x14ac:dyDescent="0.25">
      <c r="B532" s="173" t="str">
        <f t="shared" si="62"/>
        <v>0-304L/1D-2.88X643</v>
      </c>
      <c r="C532" s="173" t="s">
        <v>4314</v>
      </c>
      <c r="D532" s="173" t="s">
        <v>13</v>
      </c>
      <c r="E532" s="190" t="s">
        <v>1751</v>
      </c>
      <c r="F532" s="190" t="s">
        <v>1752</v>
      </c>
      <c r="G532" s="173" t="s">
        <v>182</v>
      </c>
      <c r="H532" s="173" t="s">
        <v>127</v>
      </c>
      <c r="I532" s="174">
        <v>2.88</v>
      </c>
      <c r="J532" s="174"/>
      <c r="K532" s="174"/>
      <c r="L532" s="174"/>
      <c r="M532" s="191">
        <v>643</v>
      </c>
      <c r="N532" s="176">
        <v>10.595000000000001</v>
      </c>
      <c r="O532" s="176">
        <v>10.595000000000001</v>
      </c>
      <c r="P532" s="176"/>
      <c r="Q532" s="178"/>
      <c r="R532" s="179"/>
      <c r="S532" s="179"/>
      <c r="T532" s="177">
        <v>44957</v>
      </c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80" t="s">
        <v>1593</v>
      </c>
      <c r="AE532" s="173" t="s">
        <v>69</v>
      </c>
      <c r="AF532" s="181" t="s">
        <v>142</v>
      </c>
      <c r="AG532" s="192" t="s">
        <v>1657</v>
      </c>
      <c r="AH532" s="198"/>
      <c r="AI532" s="181">
        <v>44849</v>
      </c>
      <c r="AJ532" s="181"/>
      <c r="AK532" s="181">
        <f t="shared" ca="1" si="65"/>
        <v>44958</v>
      </c>
      <c r="AL532" s="173">
        <f t="shared" ca="1" si="63"/>
        <v>109</v>
      </c>
      <c r="AM532" s="173" t="str">
        <f t="shared" si="64"/>
        <v/>
      </c>
      <c r="AN532" s="181"/>
      <c r="AO532" s="190" t="s">
        <v>1750</v>
      </c>
      <c r="AP532" s="176">
        <v>10.595000000000001</v>
      </c>
      <c r="AQ532" s="176">
        <v>10.605</v>
      </c>
      <c r="AR532" s="176">
        <v>10.629999999999999</v>
      </c>
      <c r="AS532" s="176">
        <v>10.635</v>
      </c>
      <c r="AT532" s="173" t="str">
        <f t="shared" si="66"/>
        <v/>
      </c>
      <c r="AU532" s="173">
        <v>456</v>
      </c>
      <c r="AW532" s="142" t="s">
        <v>123</v>
      </c>
    </row>
    <row r="533" spans="2:49" s="142" customFormat="1" ht="21" customHeight="1" x14ac:dyDescent="0.25">
      <c r="B533" s="173" t="str">
        <f t="shared" si="62"/>
        <v>0-304L/FH-1.15X646</v>
      </c>
      <c r="C533" s="173" t="s">
        <v>4315</v>
      </c>
      <c r="D533" s="173" t="s">
        <v>16</v>
      </c>
      <c r="E533" s="190" t="s">
        <v>1648</v>
      </c>
      <c r="F533" s="190" t="s">
        <v>1649</v>
      </c>
      <c r="G533" s="173" t="s">
        <v>182</v>
      </c>
      <c r="H533" s="173" t="s">
        <v>70</v>
      </c>
      <c r="I533" s="174">
        <v>2.89</v>
      </c>
      <c r="J533" s="174">
        <v>1.1499999999999999</v>
      </c>
      <c r="K533" s="174"/>
      <c r="L533" s="174"/>
      <c r="M533" s="191">
        <v>646</v>
      </c>
      <c r="N533" s="176">
        <v>10.275</v>
      </c>
      <c r="O533" s="176">
        <v>10.3</v>
      </c>
      <c r="P533" s="176"/>
      <c r="Q533" s="178"/>
      <c r="R533" s="179"/>
      <c r="S533" s="179"/>
      <c r="T533" s="177">
        <v>44957</v>
      </c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80" t="s">
        <v>1593</v>
      </c>
      <c r="AE533" s="173" t="s">
        <v>69</v>
      </c>
      <c r="AF533" s="181" t="s">
        <v>142</v>
      </c>
      <c r="AG533" s="192" t="s">
        <v>1594</v>
      </c>
      <c r="AH533" s="198"/>
      <c r="AI533" s="181">
        <v>44849</v>
      </c>
      <c r="AJ533" s="181"/>
      <c r="AK533" s="181">
        <f t="shared" ca="1" si="65"/>
        <v>44958</v>
      </c>
      <c r="AL533" s="173">
        <f t="shared" ca="1" si="63"/>
        <v>109</v>
      </c>
      <c r="AM533" s="173" t="str">
        <f t="shared" si="64"/>
        <v/>
      </c>
      <c r="AN533" s="181"/>
      <c r="AO533" s="190" t="s">
        <v>1647</v>
      </c>
      <c r="AP533" s="176">
        <v>10.275</v>
      </c>
      <c r="AQ533" s="176">
        <v>10.285</v>
      </c>
      <c r="AR533" s="176">
        <v>10.309999999999999</v>
      </c>
      <c r="AS533" s="176">
        <v>10.315</v>
      </c>
      <c r="AT533" s="173" t="str">
        <f t="shared" si="66"/>
        <v/>
      </c>
      <c r="AU533" s="173">
        <v>456</v>
      </c>
      <c r="AW533" s="142" t="s">
        <v>123</v>
      </c>
    </row>
    <row r="534" spans="2:49" s="142" customFormat="1" ht="21" customHeight="1" x14ac:dyDescent="0.25">
      <c r="B534" s="173" t="str">
        <f t="shared" si="62"/>
        <v>0-304L/1D-2.90X647</v>
      </c>
      <c r="C534" s="173" t="s">
        <v>4314</v>
      </c>
      <c r="D534" s="173" t="s">
        <v>13</v>
      </c>
      <c r="E534" s="190" t="s">
        <v>1764</v>
      </c>
      <c r="F534" s="190" t="s">
        <v>1765</v>
      </c>
      <c r="G534" s="173" t="s">
        <v>182</v>
      </c>
      <c r="H534" s="173" t="s">
        <v>127</v>
      </c>
      <c r="I534" s="174">
        <v>2.9</v>
      </c>
      <c r="J534" s="174"/>
      <c r="K534" s="174"/>
      <c r="L534" s="174"/>
      <c r="M534" s="191">
        <v>647</v>
      </c>
      <c r="N534" s="176">
        <v>10.25</v>
      </c>
      <c r="O534" s="176">
        <v>10.25</v>
      </c>
      <c r="P534" s="176"/>
      <c r="Q534" s="178"/>
      <c r="R534" s="179"/>
      <c r="S534" s="179"/>
      <c r="T534" s="177">
        <v>44957</v>
      </c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80" t="s">
        <v>1593</v>
      </c>
      <c r="AE534" s="173" t="s">
        <v>69</v>
      </c>
      <c r="AF534" s="181" t="s">
        <v>142</v>
      </c>
      <c r="AG534" s="192" t="s">
        <v>1657</v>
      </c>
      <c r="AH534" s="198"/>
      <c r="AI534" s="181">
        <v>44849</v>
      </c>
      <c r="AJ534" s="181"/>
      <c r="AK534" s="181">
        <f t="shared" ca="1" si="65"/>
        <v>44958</v>
      </c>
      <c r="AL534" s="173">
        <f t="shared" ca="1" si="63"/>
        <v>109</v>
      </c>
      <c r="AM534" s="173" t="str">
        <f t="shared" si="64"/>
        <v/>
      </c>
      <c r="AN534" s="181"/>
      <c r="AO534" s="190" t="s">
        <v>1766</v>
      </c>
      <c r="AP534" s="176">
        <v>10.25</v>
      </c>
      <c r="AQ534" s="176">
        <v>10.26</v>
      </c>
      <c r="AR534" s="176">
        <v>10.284999999999998</v>
      </c>
      <c r="AS534" s="176">
        <v>10.29</v>
      </c>
      <c r="AT534" s="173" t="str">
        <f t="shared" si="66"/>
        <v/>
      </c>
      <c r="AU534" s="173">
        <v>456</v>
      </c>
      <c r="AW534" s="142" t="s">
        <v>123</v>
      </c>
    </row>
    <row r="535" spans="2:49" s="142" customFormat="1" ht="21" customHeight="1" x14ac:dyDescent="0.25">
      <c r="B535" s="173" t="str">
        <f t="shared" si="62"/>
        <v>0-304L/FH-1.15X643</v>
      </c>
      <c r="C535" s="173" t="s">
        <v>4315</v>
      </c>
      <c r="D535" s="173" t="s">
        <v>16</v>
      </c>
      <c r="E535" s="190" t="s">
        <v>1751</v>
      </c>
      <c r="F535" s="190" t="s">
        <v>1752</v>
      </c>
      <c r="G535" s="173" t="s">
        <v>182</v>
      </c>
      <c r="H535" s="173" t="s">
        <v>70</v>
      </c>
      <c r="I535" s="174">
        <v>2.88</v>
      </c>
      <c r="J535" s="174">
        <v>1.1499999999999999</v>
      </c>
      <c r="K535" s="174"/>
      <c r="L535" s="174"/>
      <c r="M535" s="191">
        <v>643</v>
      </c>
      <c r="N535" s="176">
        <v>10.595000000000001</v>
      </c>
      <c r="O535" s="176">
        <v>10.6</v>
      </c>
      <c r="P535" s="176"/>
      <c r="Q535" s="178"/>
      <c r="R535" s="179"/>
      <c r="S535" s="179"/>
      <c r="T535" s="177">
        <v>44957</v>
      </c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80" t="s">
        <v>1593</v>
      </c>
      <c r="AE535" s="173" t="s">
        <v>69</v>
      </c>
      <c r="AF535" s="181" t="s">
        <v>142</v>
      </c>
      <c r="AG535" s="192" t="s">
        <v>1657</v>
      </c>
      <c r="AH535" s="198"/>
      <c r="AI535" s="181">
        <v>44849</v>
      </c>
      <c r="AJ535" s="181"/>
      <c r="AK535" s="181">
        <f t="shared" ca="1" si="65"/>
        <v>44958</v>
      </c>
      <c r="AL535" s="173">
        <f t="shared" ca="1" si="63"/>
        <v>109</v>
      </c>
      <c r="AM535" s="173" t="str">
        <f t="shared" si="64"/>
        <v/>
      </c>
      <c r="AN535" s="181"/>
      <c r="AO535" s="190" t="s">
        <v>1750</v>
      </c>
      <c r="AP535" s="176">
        <v>10.595000000000001</v>
      </c>
      <c r="AQ535" s="176">
        <v>10.605</v>
      </c>
      <c r="AR535" s="176">
        <v>10.629999999999999</v>
      </c>
      <c r="AS535" s="176">
        <v>10.635</v>
      </c>
      <c r="AT535" s="173" t="str">
        <f t="shared" si="66"/>
        <v/>
      </c>
      <c r="AU535" s="173">
        <v>456</v>
      </c>
      <c r="AW535" s="142" t="s">
        <v>123</v>
      </c>
    </row>
    <row r="536" spans="2:49" s="142" customFormat="1" ht="21" customHeight="1" x14ac:dyDescent="0.25">
      <c r="B536" s="173" t="str">
        <f t="shared" si="62"/>
        <v>0-304L/1D-2.89X647</v>
      </c>
      <c r="C536" s="173" t="s">
        <v>4314</v>
      </c>
      <c r="D536" s="173" t="s">
        <v>13</v>
      </c>
      <c r="E536" s="190" t="s">
        <v>1645</v>
      </c>
      <c r="F536" s="190" t="s">
        <v>1646</v>
      </c>
      <c r="G536" s="173" t="s">
        <v>182</v>
      </c>
      <c r="H536" s="173" t="s">
        <v>127</v>
      </c>
      <c r="I536" s="174">
        <v>2.89</v>
      </c>
      <c r="J536" s="174"/>
      <c r="K536" s="174"/>
      <c r="L536" s="174"/>
      <c r="M536" s="191">
        <v>647</v>
      </c>
      <c r="N536" s="176">
        <v>10.324999999999999</v>
      </c>
      <c r="O536" s="176">
        <v>10.324999999999999</v>
      </c>
      <c r="P536" s="176"/>
      <c r="Q536" s="178"/>
      <c r="R536" s="179"/>
      <c r="S536" s="179"/>
      <c r="T536" s="177">
        <v>44957</v>
      </c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80" t="s">
        <v>1593</v>
      </c>
      <c r="AE536" s="173" t="s">
        <v>69</v>
      </c>
      <c r="AF536" s="181" t="s">
        <v>142</v>
      </c>
      <c r="AG536" s="192" t="s">
        <v>1594</v>
      </c>
      <c r="AH536" s="198"/>
      <c r="AI536" s="181">
        <v>44849</v>
      </c>
      <c r="AJ536" s="181"/>
      <c r="AK536" s="181">
        <f t="shared" ca="1" si="65"/>
        <v>44958</v>
      </c>
      <c r="AL536" s="173">
        <f t="shared" ca="1" si="63"/>
        <v>109</v>
      </c>
      <c r="AM536" s="173" t="str">
        <f t="shared" si="64"/>
        <v/>
      </c>
      <c r="AN536" s="181"/>
      <c r="AO536" s="190" t="s">
        <v>1647</v>
      </c>
      <c r="AP536" s="176">
        <v>10.324999999999999</v>
      </c>
      <c r="AQ536" s="176">
        <v>10.335000000000001</v>
      </c>
      <c r="AR536" s="176">
        <v>10.36</v>
      </c>
      <c r="AS536" s="176">
        <v>10.365</v>
      </c>
      <c r="AT536" s="173" t="str">
        <f t="shared" si="66"/>
        <v/>
      </c>
      <c r="AU536" s="173">
        <v>456</v>
      </c>
      <c r="AW536" s="142" t="s">
        <v>123</v>
      </c>
    </row>
    <row r="537" spans="2:49" s="142" customFormat="1" ht="21" customHeight="1" x14ac:dyDescent="0.25">
      <c r="B537" s="173" t="str">
        <f t="shared" si="62"/>
        <v>0-304L/FH-1.15X647</v>
      </c>
      <c r="C537" s="173" t="s">
        <v>4315</v>
      </c>
      <c r="D537" s="173" t="s">
        <v>16</v>
      </c>
      <c r="E537" s="190" t="s">
        <v>1764</v>
      </c>
      <c r="F537" s="190" t="s">
        <v>1765</v>
      </c>
      <c r="G537" s="173" t="s">
        <v>182</v>
      </c>
      <c r="H537" s="173" t="s">
        <v>70</v>
      </c>
      <c r="I537" s="174">
        <v>2.9</v>
      </c>
      <c r="J537" s="174">
        <v>1.1499999999999999</v>
      </c>
      <c r="K537" s="174"/>
      <c r="L537" s="174"/>
      <c r="M537" s="191">
        <v>647</v>
      </c>
      <c r="N537" s="176">
        <v>10.25</v>
      </c>
      <c r="O537" s="176">
        <v>10.199999999999999</v>
      </c>
      <c r="P537" s="176"/>
      <c r="Q537" s="178"/>
      <c r="R537" s="179"/>
      <c r="S537" s="179"/>
      <c r="T537" s="177">
        <v>44957</v>
      </c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80" t="s">
        <v>1593</v>
      </c>
      <c r="AE537" s="173" t="s">
        <v>69</v>
      </c>
      <c r="AF537" s="181" t="s">
        <v>142</v>
      </c>
      <c r="AG537" s="192" t="s">
        <v>1657</v>
      </c>
      <c r="AH537" s="198"/>
      <c r="AI537" s="181">
        <v>44849</v>
      </c>
      <c r="AJ537" s="181"/>
      <c r="AK537" s="181">
        <f t="shared" ca="1" si="65"/>
        <v>44958</v>
      </c>
      <c r="AL537" s="173">
        <f t="shared" ca="1" si="63"/>
        <v>109</v>
      </c>
      <c r="AM537" s="173" t="str">
        <f t="shared" si="64"/>
        <v/>
      </c>
      <c r="AN537" s="181"/>
      <c r="AO537" s="190" t="s">
        <v>1766</v>
      </c>
      <c r="AP537" s="176">
        <v>10.25</v>
      </c>
      <c r="AQ537" s="176">
        <v>10.26</v>
      </c>
      <c r="AR537" s="176">
        <v>10.284999999999998</v>
      </c>
      <c r="AS537" s="176">
        <v>10.29</v>
      </c>
      <c r="AT537" s="173" t="str">
        <f t="shared" si="66"/>
        <v/>
      </c>
      <c r="AU537" s="173">
        <v>456</v>
      </c>
      <c r="AW537" s="142" t="s">
        <v>123</v>
      </c>
    </row>
    <row r="538" spans="2:49" s="142" customFormat="1" ht="20.25" customHeight="1" x14ac:dyDescent="0.25">
      <c r="E538" s="196"/>
      <c r="F538" s="196"/>
      <c r="I538" s="187"/>
      <c r="J538" s="187"/>
      <c r="K538" s="187"/>
      <c r="L538" s="187"/>
      <c r="M538" s="213"/>
      <c r="N538" s="149"/>
      <c r="O538" s="149"/>
      <c r="P538" s="149"/>
      <c r="Q538" s="214"/>
      <c r="R538" s="215"/>
      <c r="S538" s="215"/>
      <c r="T538" s="216"/>
      <c r="U538" s="216"/>
      <c r="V538" s="216"/>
      <c r="W538" s="216"/>
      <c r="X538" s="216"/>
      <c r="Y538" s="216"/>
      <c r="Z538" s="216"/>
      <c r="AA538" s="216"/>
      <c r="AB538" s="216"/>
      <c r="AC538" s="216"/>
      <c r="AD538" s="217"/>
      <c r="AF538" s="218"/>
      <c r="AG538" s="189"/>
      <c r="AH538" s="218"/>
      <c r="AI538" s="218"/>
      <c r="AJ538" s="218"/>
      <c r="AK538" s="218"/>
      <c r="AN538" s="218"/>
      <c r="AO538" s="196"/>
      <c r="AP538" s="149"/>
      <c r="AQ538" s="149"/>
      <c r="AR538" s="149"/>
      <c r="AS538" s="149"/>
    </row>
    <row r="539" spans="2:49" s="142" customFormat="1" ht="21" customHeight="1" x14ac:dyDescent="0.25">
      <c r="E539" s="196"/>
      <c r="F539" s="196"/>
      <c r="I539" s="187"/>
      <c r="J539" s="187"/>
      <c r="K539" s="187"/>
      <c r="L539" s="187"/>
      <c r="M539" s="213"/>
      <c r="N539" s="149"/>
      <c r="O539" s="149"/>
      <c r="P539" s="149"/>
      <c r="Q539" s="214"/>
      <c r="R539" s="215"/>
      <c r="S539" s="215"/>
      <c r="T539" s="216"/>
      <c r="U539" s="216"/>
      <c r="V539" s="216"/>
      <c r="W539" s="216"/>
      <c r="X539" s="216"/>
      <c r="Y539" s="216"/>
      <c r="Z539" s="216"/>
      <c r="AA539" s="216"/>
      <c r="AB539" s="216"/>
      <c r="AC539" s="216"/>
      <c r="AD539" s="217"/>
      <c r="AF539" s="218"/>
      <c r="AG539" s="218"/>
      <c r="AH539" s="218"/>
      <c r="AI539" s="218"/>
      <c r="AJ539" s="218"/>
      <c r="AK539" s="218"/>
      <c r="AN539" s="218"/>
      <c r="AO539" s="196"/>
      <c r="AP539" s="149"/>
      <c r="AQ539" s="149"/>
      <c r="AR539" s="149"/>
      <c r="AS539" s="149"/>
    </row>
    <row r="540" spans="2:49" x14ac:dyDescent="0.25">
      <c r="C540" s="142"/>
      <c r="D540" s="142"/>
      <c r="N540" s="354">
        <f>SUBTOTAL(9,N4:N539)</f>
        <v>5676.7139999999999</v>
      </c>
      <c r="O540" s="354">
        <f>SUBTOTAL(9,O4:O539)</f>
        <v>5677.5739999999996</v>
      </c>
      <c r="P540" s="354">
        <f>SUBTOTAL(9,P4:P539)</f>
        <v>0</v>
      </c>
    </row>
    <row r="541" spans="2:49" x14ac:dyDescent="0.25">
      <c r="H541" s="142"/>
    </row>
    <row r="542" spans="2:49" x14ac:dyDescent="0.25">
      <c r="J542" s="353"/>
    </row>
    <row r="543" spans="2:49" x14ac:dyDescent="0.25">
      <c r="I543" s="353"/>
      <c r="N543" s="353"/>
    </row>
    <row r="544" spans="2:49" x14ac:dyDescent="0.25">
      <c r="N544" s="356"/>
      <c r="O544" s="357"/>
    </row>
    <row r="545" spans="13:15" x14ac:dyDescent="0.25">
      <c r="N545" s="356"/>
      <c r="O545" s="357"/>
    </row>
    <row r="546" spans="13:15" x14ac:dyDescent="0.25">
      <c r="M546" s="358"/>
      <c r="N546" s="356"/>
      <c r="O546" s="357"/>
    </row>
    <row r="547" spans="13:15" x14ac:dyDescent="0.25">
      <c r="O547" s="357"/>
    </row>
    <row r="548" spans="13:15" x14ac:dyDescent="0.25">
      <c r="N548" s="356"/>
    </row>
    <row r="549" spans="13:15" x14ac:dyDescent="0.25">
      <c r="N549" s="353"/>
      <c r="O549" s="357"/>
    </row>
    <row r="550" spans="13:15" x14ac:dyDescent="0.25">
      <c r="O550" s="357"/>
    </row>
    <row r="551" spans="13:15" x14ac:dyDescent="0.25">
      <c r="O551" s="357"/>
    </row>
    <row r="553" spans="13:15" x14ac:dyDescent="0.25">
      <c r="O553" s="357"/>
    </row>
    <row r="554" spans="13:15" x14ac:dyDescent="0.25">
      <c r="O554" s="357"/>
    </row>
    <row r="610" s="336" customFormat="1" x14ac:dyDescent="0.25"/>
  </sheetData>
  <autoFilter ref="A3:BG464" xr:uid="{00000000-0009-0000-0000-000000000000}"/>
  <mergeCells count="3">
    <mergeCell ref="N261:N262"/>
    <mergeCell ref="O304:O305"/>
    <mergeCell ref="N336:N337"/>
  </mergeCells>
  <pageMargins left="0.7" right="0.7" top="0.75" bottom="0.75" header="0.3" footer="0.3"/>
  <pageSetup scale="7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5E681-C884-4107-86F0-3FD70A9101AA}">
  <dimension ref="A1:BA126"/>
  <sheetViews>
    <sheetView zoomScale="70" zoomScaleNormal="70" workbookViewId="0">
      <pane ySplit="3" topLeftCell="A43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1" width="5.28515625" style="336" customWidth="1"/>
    <col min="2" max="2" width="9.42578125" style="336" customWidth="1"/>
    <col min="3" max="3" width="26.7109375" style="336" customWidth="1"/>
    <col min="4" max="4" width="18.7109375" style="336" customWidth="1"/>
    <col min="5" max="5" width="21.7109375" style="336" customWidth="1"/>
    <col min="6" max="6" width="18.85546875" style="336" customWidth="1"/>
    <col min="7" max="7" width="9.7109375" style="336" customWidth="1"/>
    <col min="8" max="8" width="9.140625" style="336"/>
    <col min="9" max="9" width="12.42578125" style="351" customWidth="1"/>
    <col min="10" max="10" width="9.7109375" style="352" customWidth="1"/>
    <col min="11" max="11" width="12.85546875" style="353" customWidth="1"/>
    <col min="12" max="12" width="13.85546875" style="353" customWidth="1"/>
    <col min="13" max="13" width="12.42578125" style="351" customWidth="1"/>
    <col min="14" max="14" width="13.42578125" style="351" customWidth="1"/>
    <col min="15" max="16" width="15.140625" style="355" customWidth="1"/>
    <col min="17" max="17" width="34.42578125" style="336" customWidth="1"/>
    <col min="18" max="18" width="16.28515625" style="336" customWidth="1"/>
    <col min="19" max="20" width="11.5703125" style="336" customWidth="1"/>
    <col min="21" max="29" width="12.7109375" style="336" customWidth="1"/>
    <col min="30" max="30" width="19.28515625" style="336" customWidth="1"/>
    <col min="31" max="31" width="9.140625" style="336" customWidth="1"/>
    <col min="32" max="32" width="18.5703125" style="336" customWidth="1"/>
    <col min="33" max="33" width="25.85546875" style="336" customWidth="1"/>
    <col min="34" max="34" width="18" style="336" customWidth="1"/>
    <col min="35" max="35" width="13" style="336" customWidth="1"/>
    <col min="36" max="36" width="11.7109375" style="336" customWidth="1"/>
    <col min="37" max="37" width="13.140625" style="336" customWidth="1"/>
    <col min="38" max="39" width="11.7109375" style="336" customWidth="1"/>
    <col min="40" max="40" width="14" style="336" customWidth="1"/>
    <col min="41" max="41" width="15" style="336" customWidth="1"/>
    <col min="42" max="44" width="14.5703125" style="336" customWidth="1"/>
    <col min="45" max="45" width="11.5703125" style="336" customWidth="1"/>
    <col min="46" max="60" width="9.140625" style="336" customWidth="1"/>
    <col min="61" max="16384" width="9.140625" style="336"/>
  </cols>
  <sheetData>
    <row r="1" spans="1:49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5"/>
      <c r="P1" s="335"/>
      <c r="S1" s="334"/>
      <c r="T1" s="334"/>
    </row>
    <row r="3" spans="1:49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3796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38" t="s">
        <v>3799</v>
      </c>
      <c r="P3" s="338" t="s">
        <v>3800</v>
      </c>
      <c r="Q3" s="338" t="s">
        <v>88</v>
      </c>
      <c r="R3" s="338"/>
      <c r="S3" s="338"/>
      <c r="T3" s="342" t="s">
        <v>3801</v>
      </c>
      <c r="U3" s="343" t="s">
        <v>3802</v>
      </c>
      <c r="V3" s="161" t="s">
        <v>3803</v>
      </c>
      <c r="W3" s="162" t="s">
        <v>3804</v>
      </c>
      <c r="X3" s="344" t="s">
        <v>3805</v>
      </c>
      <c r="Y3" s="164" t="s">
        <v>3806</v>
      </c>
      <c r="Z3" s="345" t="s">
        <v>3807</v>
      </c>
      <c r="AA3" s="346" t="s">
        <v>3808</v>
      </c>
      <c r="AB3" s="167" t="s">
        <v>3809</v>
      </c>
      <c r="AC3" s="343" t="s">
        <v>3810</v>
      </c>
      <c r="AD3" s="338" t="s">
        <v>91</v>
      </c>
      <c r="AE3" s="338" t="s">
        <v>92</v>
      </c>
      <c r="AF3" s="337" t="s">
        <v>93</v>
      </c>
      <c r="AG3" s="337" t="s">
        <v>94</v>
      </c>
      <c r="AH3" s="347" t="s">
        <v>95</v>
      </c>
      <c r="AI3" s="347" t="s">
        <v>96</v>
      </c>
      <c r="AJ3" s="347" t="s">
        <v>3811</v>
      </c>
      <c r="AK3" s="347" t="s">
        <v>3812</v>
      </c>
      <c r="AL3" s="347" t="s">
        <v>3813</v>
      </c>
      <c r="AM3" s="347" t="s">
        <v>98</v>
      </c>
      <c r="AN3" s="347" t="s">
        <v>100</v>
      </c>
      <c r="AO3" s="337" t="s">
        <v>101</v>
      </c>
      <c r="AP3" s="348" t="s">
        <v>3814</v>
      </c>
      <c r="AQ3" s="348" t="s">
        <v>3815</v>
      </c>
      <c r="AR3" s="348" t="s">
        <v>3816</v>
      </c>
      <c r="AS3" s="348" t="s">
        <v>3817</v>
      </c>
    </row>
    <row r="4" spans="1:49" s="142" customFormat="1" ht="21" customHeight="1" x14ac:dyDescent="0.25">
      <c r="B4" s="173" t="str">
        <f t="shared" ref="B4:B14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0-304L/1D-2.89X643</v>
      </c>
      <c r="C4" s="173" t="s">
        <v>4318</v>
      </c>
      <c r="D4" s="173" t="s">
        <v>13</v>
      </c>
      <c r="E4" s="190" t="s">
        <v>4319</v>
      </c>
      <c r="F4" s="190" t="s">
        <v>4320</v>
      </c>
      <c r="G4" s="173" t="s">
        <v>182</v>
      </c>
      <c r="H4" s="173" t="s">
        <v>127</v>
      </c>
      <c r="I4" s="174">
        <v>2.89</v>
      </c>
      <c r="J4" s="174"/>
      <c r="K4" s="174"/>
      <c r="L4" s="174"/>
      <c r="M4" s="191">
        <v>643</v>
      </c>
      <c r="N4" s="176">
        <v>10.775</v>
      </c>
      <c r="O4" s="176">
        <v>10.775</v>
      </c>
      <c r="P4" s="176"/>
      <c r="Q4" s="178"/>
      <c r="R4" s="179"/>
      <c r="S4" s="179"/>
      <c r="T4" s="177"/>
      <c r="U4" s="177">
        <v>44942</v>
      </c>
      <c r="V4" s="177"/>
      <c r="W4" s="177"/>
      <c r="X4" s="177"/>
      <c r="Y4" s="177"/>
      <c r="Z4" s="177"/>
      <c r="AA4" s="177"/>
      <c r="AB4" s="177"/>
      <c r="AC4" s="177"/>
      <c r="AD4" s="180" t="s">
        <v>2479</v>
      </c>
      <c r="AE4" s="173" t="s">
        <v>69</v>
      </c>
      <c r="AF4" s="181" t="s">
        <v>142</v>
      </c>
      <c r="AG4" s="192" t="s">
        <v>1594</v>
      </c>
      <c r="AH4" s="198"/>
      <c r="AI4" s="181">
        <v>44849</v>
      </c>
      <c r="AJ4" s="181"/>
      <c r="AK4" s="181">
        <f t="shared" ref="AK4:AK53" ca="1" si="1">TODAY()</f>
        <v>44958</v>
      </c>
      <c r="AL4" s="173">
        <f t="shared" ref="AL4:AL14" ca="1" si="2">IF(AI4&lt;&gt;0,AK4-AI4,0)</f>
        <v>109</v>
      </c>
      <c r="AM4" s="173" t="str">
        <f t="shared" ref="AM4:AM14" si="3">IF(ISNUMBER(X4)=TRUE,AK4-X4,IF(X4="","",(AK4)-(MID(RIGHT(X4,10),4,2)&amp;"/"&amp;LEFT((RIGHT(X4,10)),2)&amp;"/"&amp;RIGHT(X4,4))))</f>
        <v/>
      </c>
      <c r="AN4" s="181"/>
      <c r="AO4" s="190" t="s">
        <v>4321</v>
      </c>
      <c r="AP4" s="176">
        <v>10.775</v>
      </c>
      <c r="AQ4" s="176">
        <v>10.785</v>
      </c>
      <c r="AR4" s="176">
        <v>10.809999999999999</v>
      </c>
      <c r="AS4" s="176">
        <v>10.815</v>
      </c>
      <c r="AT4" s="173" t="str">
        <f t="shared" ref="AT4:AT38" si="4">IF(ISNUMBER(V4)=TRUE,AK4-V4,IF(V4="","",(AK4)-(MID(RIGHT(V4,10),4,2)&amp;"/"&amp;LEFT((RIGHT(V4,10)),2)&amp;"/"&amp;RIGHT(V4,4))))</f>
        <v/>
      </c>
      <c r="AU4" s="173">
        <v>456</v>
      </c>
      <c r="AW4" s="142" t="s">
        <v>123</v>
      </c>
    </row>
    <row r="5" spans="1:49" s="142" customFormat="1" ht="21" customHeight="1" x14ac:dyDescent="0.25">
      <c r="B5" s="173" t="str">
        <f t="shared" si="0"/>
        <v>0-304/1D-2.75X641</v>
      </c>
      <c r="C5" s="173" t="s">
        <v>4318</v>
      </c>
      <c r="D5" s="173" t="s">
        <v>13</v>
      </c>
      <c r="E5" s="190" t="s">
        <v>4118</v>
      </c>
      <c r="F5" s="190" t="s">
        <v>4119</v>
      </c>
      <c r="G5" s="173">
        <v>304</v>
      </c>
      <c r="H5" s="173" t="s">
        <v>127</v>
      </c>
      <c r="I5" s="174">
        <v>2.75</v>
      </c>
      <c r="J5" s="174"/>
      <c r="K5" s="174"/>
      <c r="L5" s="174"/>
      <c r="M5" s="191">
        <v>641</v>
      </c>
      <c r="N5" s="176">
        <v>10.565</v>
      </c>
      <c r="O5" s="176">
        <v>10.565</v>
      </c>
      <c r="P5" s="176"/>
      <c r="Q5" s="178"/>
      <c r="R5" s="179"/>
      <c r="S5" s="179"/>
      <c r="T5" s="177"/>
      <c r="U5" s="177">
        <v>44942</v>
      </c>
      <c r="V5" s="177"/>
      <c r="W5" s="177"/>
      <c r="X5" s="177"/>
      <c r="Y5" s="177"/>
      <c r="Z5" s="177"/>
      <c r="AA5" s="177"/>
      <c r="AB5" s="177"/>
      <c r="AC5" s="177"/>
      <c r="AD5" s="180" t="s">
        <v>1619</v>
      </c>
      <c r="AE5" s="173" t="s">
        <v>69</v>
      </c>
      <c r="AF5" s="181" t="s">
        <v>142</v>
      </c>
      <c r="AG5" s="192" t="s">
        <v>1657</v>
      </c>
      <c r="AH5" s="198"/>
      <c r="AI5" s="181">
        <v>44849</v>
      </c>
      <c r="AJ5" s="181"/>
      <c r="AK5" s="181">
        <f t="shared" ca="1" si="1"/>
        <v>44958</v>
      </c>
      <c r="AL5" s="173">
        <f t="shared" ca="1" si="2"/>
        <v>109</v>
      </c>
      <c r="AM5" s="173" t="str">
        <f t="shared" si="3"/>
        <v/>
      </c>
      <c r="AN5" s="181"/>
      <c r="AO5" s="190" t="s">
        <v>4121</v>
      </c>
      <c r="AP5" s="176">
        <v>10.565</v>
      </c>
      <c r="AQ5" s="176">
        <v>10.574999999999999</v>
      </c>
      <c r="AR5" s="176">
        <v>10.599999999999998</v>
      </c>
      <c r="AS5" s="176">
        <v>10.604999999999999</v>
      </c>
      <c r="AT5" s="173" t="str">
        <f t="shared" si="4"/>
        <v/>
      </c>
      <c r="AU5" s="173">
        <v>456</v>
      </c>
      <c r="AW5" s="142" t="s">
        <v>123</v>
      </c>
    </row>
    <row r="6" spans="1:49" s="142" customFormat="1" ht="21" customHeight="1" x14ac:dyDescent="0.25">
      <c r="B6" s="173" t="str">
        <f t="shared" si="0"/>
        <v>0-304L/FH-1.15X643</v>
      </c>
      <c r="C6" s="173" t="s">
        <v>4322</v>
      </c>
      <c r="D6" s="173" t="s">
        <v>16</v>
      </c>
      <c r="E6" s="190" t="s">
        <v>4127</v>
      </c>
      <c r="F6" s="190" t="s">
        <v>4128</v>
      </c>
      <c r="G6" s="173" t="s">
        <v>182</v>
      </c>
      <c r="H6" s="173" t="s">
        <v>70</v>
      </c>
      <c r="I6" s="174">
        <v>3.11</v>
      </c>
      <c r="J6" s="174">
        <v>1.1499999999999999</v>
      </c>
      <c r="K6" s="174"/>
      <c r="L6" s="174"/>
      <c r="M6" s="191">
        <v>643</v>
      </c>
      <c r="N6" s="176">
        <v>10.605</v>
      </c>
      <c r="O6" s="176">
        <v>10.605</v>
      </c>
      <c r="P6" s="176"/>
      <c r="Q6" s="178" t="s">
        <v>1592</v>
      </c>
      <c r="R6" s="179"/>
      <c r="S6" s="179"/>
      <c r="T6" s="177">
        <v>44943</v>
      </c>
      <c r="U6" s="177">
        <v>44944</v>
      </c>
      <c r="V6" s="177"/>
      <c r="W6" s="177">
        <v>44944</v>
      </c>
      <c r="X6" s="177"/>
      <c r="Y6" s="177"/>
      <c r="Z6" s="177"/>
      <c r="AA6" s="177"/>
      <c r="AB6" s="177"/>
      <c r="AC6" s="177"/>
      <c r="AD6" s="180" t="s">
        <v>2448</v>
      </c>
      <c r="AE6" s="173" t="s">
        <v>69</v>
      </c>
      <c r="AF6" s="181" t="s">
        <v>142</v>
      </c>
      <c r="AG6" s="192" t="s">
        <v>1657</v>
      </c>
      <c r="AH6" s="198"/>
      <c r="AI6" s="181">
        <v>44849</v>
      </c>
      <c r="AJ6" s="181"/>
      <c r="AK6" s="181">
        <f t="shared" ca="1" si="1"/>
        <v>44958</v>
      </c>
      <c r="AL6" s="173">
        <f t="shared" ca="1" si="2"/>
        <v>109</v>
      </c>
      <c r="AM6" s="173" t="str">
        <f t="shared" si="3"/>
        <v/>
      </c>
      <c r="AN6" s="181"/>
      <c r="AO6" s="190" t="s">
        <v>4129</v>
      </c>
      <c r="AP6" s="176">
        <v>10.605</v>
      </c>
      <c r="AQ6" s="176">
        <v>10.615</v>
      </c>
      <c r="AR6" s="176">
        <v>10.639999999999999</v>
      </c>
      <c r="AS6" s="176">
        <v>10.645</v>
      </c>
      <c r="AT6" s="173" t="str">
        <f t="shared" si="4"/>
        <v/>
      </c>
      <c r="AU6" s="173">
        <v>456</v>
      </c>
      <c r="AW6" s="142" t="s">
        <v>123</v>
      </c>
    </row>
    <row r="7" spans="1:49" s="142" customFormat="1" ht="21" customHeight="1" x14ac:dyDescent="0.25">
      <c r="B7" s="173" t="str">
        <f t="shared" si="0"/>
        <v>0-304/1D-3.76X761</v>
      </c>
      <c r="C7" s="173" t="s">
        <v>4323</v>
      </c>
      <c r="D7" s="173" t="s">
        <v>13</v>
      </c>
      <c r="E7" s="190" t="s">
        <v>2453</v>
      </c>
      <c r="F7" s="190" t="s">
        <v>2454</v>
      </c>
      <c r="G7" s="173">
        <v>304</v>
      </c>
      <c r="H7" s="173" t="s">
        <v>127</v>
      </c>
      <c r="I7" s="174">
        <v>3.76</v>
      </c>
      <c r="J7" s="174"/>
      <c r="K7" s="174"/>
      <c r="L7" s="174"/>
      <c r="M7" s="191">
        <v>761</v>
      </c>
      <c r="N7" s="176">
        <v>10.23</v>
      </c>
      <c r="O7" s="176">
        <v>10.23</v>
      </c>
      <c r="P7" s="176"/>
      <c r="Q7" s="178"/>
      <c r="R7" s="179"/>
      <c r="S7" s="179"/>
      <c r="T7" s="177"/>
      <c r="U7" s="177">
        <v>44944</v>
      </c>
      <c r="V7" s="177"/>
      <c r="W7" s="177"/>
      <c r="X7" s="177"/>
      <c r="Y7" s="177"/>
      <c r="Z7" s="177"/>
      <c r="AA7" s="177"/>
      <c r="AB7" s="177"/>
      <c r="AC7" s="177"/>
      <c r="AD7" s="180" t="s">
        <v>2448</v>
      </c>
      <c r="AE7" s="173" t="s">
        <v>69</v>
      </c>
      <c r="AF7" s="181" t="s">
        <v>142</v>
      </c>
      <c r="AG7" s="192" t="s">
        <v>1584</v>
      </c>
      <c r="AH7" s="198"/>
      <c r="AI7" s="181">
        <v>44914</v>
      </c>
      <c r="AJ7" s="181"/>
      <c r="AK7" s="181">
        <f t="shared" ca="1" si="1"/>
        <v>44958</v>
      </c>
      <c r="AL7" s="173">
        <f t="shared" ca="1" si="2"/>
        <v>44</v>
      </c>
      <c r="AM7" s="173" t="str">
        <f t="shared" si="3"/>
        <v/>
      </c>
      <c r="AN7" s="181"/>
      <c r="AO7" s="190" t="s">
        <v>1585</v>
      </c>
      <c r="AP7" s="176">
        <v>10.23</v>
      </c>
      <c r="AQ7" s="176">
        <v>10.24</v>
      </c>
      <c r="AR7" s="176">
        <v>10.264999999999999</v>
      </c>
      <c r="AS7" s="176">
        <v>10.27</v>
      </c>
      <c r="AT7" s="173" t="str">
        <f t="shared" si="4"/>
        <v/>
      </c>
      <c r="AU7" s="173">
        <v>462</v>
      </c>
      <c r="AW7" s="142" t="s">
        <v>123</v>
      </c>
    </row>
    <row r="8" spans="1:49" s="142" customFormat="1" ht="21" customHeight="1" x14ac:dyDescent="0.25">
      <c r="B8" s="173" t="str">
        <f t="shared" si="0"/>
        <v>0-304L/FH-1.10X644</v>
      </c>
      <c r="C8" s="173" t="s">
        <v>4324</v>
      </c>
      <c r="D8" s="173" t="s">
        <v>16</v>
      </c>
      <c r="E8" s="190" t="s">
        <v>1686</v>
      </c>
      <c r="F8" s="190" t="s">
        <v>1687</v>
      </c>
      <c r="G8" s="173" t="s">
        <v>182</v>
      </c>
      <c r="H8" s="173" t="s">
        <v>70</v>
      </c>
      <c r="I8" s="174">
        <v>2.79</v>
      </c>
      <c r="J8" s="174">
        <v>1.1000000000000001</v>
      </c>
      <c r="K8" s="174"/>
      <c r="L8" s="174"/>
      <c r="M8" s="191">
        <v>644</v>
      </c>
      <c r="N8" s="176">
        <v>1.44</v>
      </c>
      <c r="O8" s="176">
        <v>1.44</v>
      </c>
      <c r="P8" s="176"/>
      <c r="Q8" s="178" t="s">
        <v>115</v>
      </c>
      <c r="R8" s="179" t="s">
        <v>1688</v>
      </c>
      <c r="S8" s="179"/>
      <c r="T8" s="177">
        <v>44933</v>
      </c>
      <c r="U8" s="177">
        <v>44945</v>
      </c>
      <c r="V8" s="177"/>
      <c r="W8" s="177">
        <v>44935</v>
      </c>
      <c r="X8" s="177"/>
      <c r="Y8" s="177"/>
      <c r="Z8" s="177"/>
      <c r="AA8" s="177"/>
      <c r="AB8" s="177"/>
      <c r="AC8" s="177"/>
      <c r="AD8" s="180" t="s">
        <v>1619</v>
      </c>
      <c r="AE8" s="173" t="s">
        <v>69</v>
      </c>
      <c r="AF8" s="181" t="s">
        <v>142</v>
      </c>
      <c r="AG8" s="192" t="s">
        <v>1657</v>
      </c>
      <c r="AH8" s="198"/>
      <c r="AI8" s="181">
        <v>44849</v>
      </c>
      <c r="AJ8" s="181"/>
      <c r="AK8" s="181">
        <f t="shared" ca="1" si="1"/>
        <v>44958</v>
      </c>
      <c r="AL8" s="173">
        <f t="shared" ca="1" si="2"/>
        <v>109</v>
      </c>
      <c r="AM8" s="173" t="str">
        <f t="shared" si="3"/>
        <v/>
      </c>
      <c r="AN8" s="181"/>
      <c r="AO8" s="190" t="s">
        <v>1689</v>
      </c>
      <c r="AP8" s="176">
        <v>10.725</v>
      </c>
      <c r="AQ8" s="176">
        <v>10.734999999999999</v>
      </c>
      <c r="AR8" s="176">
        <v>10.759999999999998</v>
      </c>
      <c r="AS8" s="176">
        <v>10.764999999999999</v>
      </c>
      <c r="AT8" s="173" t="str">
        <f t="shared" si="4"/>
        <v/>
      </c>
      <c r="AU8" s="173">
        <v>456</v>
      </c>
      <c r="AW8" s="142" t="s">
        <v>123</v>
      </c>
    </row>
    <row r="9" spans="1:49" s="142" customFormat="1" ht="21" customHeight="1" x14ac:dyDescent="0.25">
      <c r="B9" s="173" t="str">
        <f t="shared" si="0"/>
        <v>0-304L/FH-0.90X643</v>
      </c>
      <c r="C9" s="173" t="s">
        <v>4324</v>
      </c>
      <c r="D9" s="173" t="s">
        <v>16</v>
      </c>
      <c r="E9" s="190" t="s">
        <v>4319</v>
      </c>
      <c r="F9" s="190" t="s">
        <v>4320</v>
      </c>
      <c r="G9" s="173" t="s">
        <v>182</v>
      </c>
      <c r="H9" s="173" t="s">
        <v>70</v>
      </c>
      <c r="I9" s="174">
        <v>2.89</v>
      </c>
      <c r="J9" s="174">
        <v>0.9</v>
      </c>
      <c r="K9" s="174"/>
      <c r="L9" s="174"/>
      <c r="M9" s="191">
        <v>643</v>
      </c>
      <c r="N9" s="176">
        <v>10.775</v>
      </c>
      <c r="O9" s="176">
        <v>10.775</v>
      </c>
      <c r="P9" s="176"/>
      <c r="Q9" s="178" t="s">
        <v>1592</v>
      </c>
      <c r="R9" s="179"/>
      <c r="S9" s="179"/>
      <c r="T9" s="177"/>
      <c r="U9" s="177" t="s">
        <v>4325</v>
      </c>
      <c r="V9" s="177"/>
      <c r="W9" s="177">
        <v>44943</v>
      </c>
      <c r="X9" s="177"/>
      <c r="Y9" s="177"/>
      <c r="Z9" s="177"/>
      <c r="AA9" s="177"/>
      <c r="AB9" s="177"/>
      <c r="AC9" s="177"/>
      <c r="AD9" s="180" t="s">
        <v>2479</v>
      </c>
      <c r="AE9" s="173" t="s">
        <v>69</v>
      </c>
      <c r="AF9" s="181" t="s">
        <v>142</v>
      </c>
      <c r="AG9" s="192" t="s">
        <v>1594</v>
      </c>
      <c r="AH9" s="198"/>
      <c r="AI9" s="181">
        <v>44849</v>
      </c>
      <c r="AJ9" s="181"/>
      <c r="AK9" s="181">
        <f t="shared" ca="1" si="1"/>
        <v>44958</v>
      </c>
      <c r="AL9" s="173">
        <f t="shared" ca="1" si="2"/>
        <v>109</v>
      </c>
      <c r="AM9" s="173" t="str">
        <f t="shared" si="3"/>
        <v/>
      </c>
      <c r="AN9" s="181"/>
      <c r="AO9" s="190" t="s">
        <v>4321</v>
      </c>
      <c r="AP9" s="176">
        <v>10.775</v>
      </c>
      <c r="AQ9" s="176">
        <v>10.785</v>
      </c>
      <c r="AR9" s="176">
        <v>10.809999999999999</v>
      </c>
      <c r="AS9" s="176">
        <v>10.815</v>
      </c>
      <c r="AT9" s="173" t="str">
        <f t="shared" si="4"/>
        <v/>
      </c>
      <c r="AU9" s="173">
        <v>456</v>
      </c>
      <c r="AW9" s="142" t="s">
        <v>123</v>
      </c>
    </row>
    <row r="10" spans="1:49" s="142" customFormat="1" ht="21" customHeight="1" x14ac:dyDescent="0.25">
      <c r="B10" s="173" t="str">
        <f t="shared" si="0"/>
        <v>0-304L/FH-1.00X644</v>
      </c>
      <c r="C10" s="173" t="s">
        <v>4324</v>
      </c>
      <c r="D10" s="173" t="s">
        <v>16</v>
      </c>
      <c r="E10" s="190" t="s">
        <v>4103</v>
      </c>
      <c r="F10" s="190" t="s">
        <v>4104</v>
      </c>
      <c r="G10" s="173" t="s">
        <v>182</v>
      </c>
      <c r="H10" s="173" t="s">
        <v>70</v>
      </c>
      <c r="I10" s="174">
        <v>2.82</v>
      </c>
      <c r="J10" s="174">
        <v>1</v>
      </c>
      <c r="K10" s="174"/>
      <c r="L10" s="174"/>
      <c r="M10" s="191">
        <v>644</v>
      </c>
      <c r="N10" s="176">
        <v>10.71</v>
      </c>
      <c r="O10" s="176">
        <v>10.71</v>
      </c>
      <c r="P10" s="176"/>
      <c r="Q10" s="178" t="s">
        <v>511</v>
      </c>
      <c r="R10" s="179"/>
      <c r="S10" s="179"/>
      <c r="T10" s="177">
        <v>44941</v>
      </c>
      <c r="U10" s="177">
        <v>44945</v>
      </c>
      <c r="V10" s="177"/>
      <c r="W10" s="177">
        <v>44941</v>
      </c>
      <c r="X10" s="177"/>
      <c r="Y10" s="177"/>
      <c r="Z10" s="177"/>
      <c r="AA10" s="177"/>
      <c r="AB10" s="177"/>
      <c r="AC10" s="177"/>
      <c r="AD10" s="180" t="s">
        <v>2479</v>
      </c>
      <c r="AE10" s="173" t="s">
        <v>69</v>
      </c>
      <c r="AF10" s="181" t="s">
        <v>142</v>
      </c>
      <c r="AG10" s="192" t="s">
        <v>1653</v>
      </c>
      <c r="AH10" s="198"/>
      <c r="AI10" s="181">
        <v>44880</v>
      </c>
      <c r="AJ10" s="181"/>
      <c r="AK10" s="181">
        <f t="shared" ca="1" si="1"/>
        <v>44958</v>
      </c>
      <c r="AL10" s="173">
        <f t="shared" ca="1" si="2"/>
        <v>78</v>
      </c>
      <c r="AM10" s="173" t="str">
        <f t="shared" si="3"/>
        <v/>
      </c>
      <c r="AN10" s="181"/>
      <c r="AO10" s="190" t="s">
        <v>1967</v>
      </c>
      <c r="AP10" s="176">
        <v>10.71</v>
      </c>
      <c r="AQ10" s="176">
        <v>10.72</v>
      </c>
      <c r="AR10" s="176">
        <v>10.744999999999999</v>
      </c>
      <c r="AS10" s="176">
        <v>10.75</v>
      </c>
      <c r="AT10" s="173" t="str">
        <f t="shared" si="4"/>
        <v/>
      </c>
      <c r="AU10" s="173">
        <v>459</v>
      </c>
      <c r="AW10" s="142" t="s">
        <v>123</v>
      </c>
    </row>
    <row r="11" spans="1:49" s="142" customFormat="1" ht="21" customHeight="1" x14ac:dyDescent="0.25">
      <c r="B11" s="173" t="str">
        <f t="shared" si="0"/>
        <v>0-304L/FH-1.20X640</v>
      </c>
      <c r="C11" s="173" t="s">
        <v>4324</v>
      </c>
      <c r="D11" s="173" t="s">
        <v>16</v>
      </c>
      <c r="E11" s="190" t="s">
        <v>4070</v>
      </c>
      <c r="F11" s="190" t="s">
        <v>4071</v>
      </c>
      <c r="G11" s="173" t="s">
        <v>182</v>
      </c>
      <c r="H11" s="173" t="s">
        <v>70</v>
      </c>
      <c r="I11" s="174">
        <v>2.98</v>
      </c>
      <c r="J11" s="174">
        <v>1.2</v>
      </c>
      <c r="K11" s="174"/>
      <c r="L11" s="174"/>
      <c r="M11" s="191">
        <v>640</v>
      </c>
      <c r="N11" s="176">
        <v>10.385</v>
      </c>
      <c r="O11" s="176">
        <v>10.385</v>
      </c>
      <c r="P11" s="176"/>
      <c r="Q11" s="178" t="s">
        <v>4326</v>
      </c>
      <c r="R11" s="179"/>
      <c r="S11" s="179"/>
      <c r="T11" s="177">
        <v>44939</v>
      </c>
      <c r="U11" s="177">
        <v>44945</v>
      </c>
      <c r="V11" s="177"/>
      <c r="W11" s="177">
        <v>44939</v>
      </c>
      <c r="X11" s="177"/>
      <c r="Y11" s="177"/>
      <c r="Z11" s="177"/>
      <c r="AA11" s="177"/>
      <c r="AB11" s="177"/>
      <c r="AC11" s="177"/>
      <c r="AD11" s="180" t="s">
        <v>2479</v>
      </c>
      <c r="AE11" s="173" t="s">
        <v>69</v>
      </c>
      <c r="AF11" s="181" t="s">
        <v>142</v>
      </c>
      <c r="AG11" s="192" t="s">
        <v>1887</v>
      </c>
      <c r="AH11" s="198"/>
      <c r="AI11" s="181">
        <v>44880</v>
      </c>
      <c r="AJ11" s="181"/>
      <c r="AK11" s="181">
        <f t="shared" ca="1" si="1"/>
        <v>44958</v>
      </c>
      <c r="AL11" s="173">
        <f t="shared" ca="1" si="2"/>
        <v>78</v>
      </c>
      <c r="AM11" s="173" t="str">
        <f t="shared" si="3"/>
        <v/>
      </c>
      <c r="AN11" s="181"/>
      <c r="AO11" s="190" t="s">
        <v>2302</v>
      </c>
      <c r="AP11" s="176">
        <v>10.385</v>
      </c>
      <c r="AQ11" s="176">
        <v>10.395</v>
      </c>
      <c r="AR11" s="176">
        <v>10.419999999999998</v>
      </c>
      <c r="AS11" s="176">
        <v>10.424999999999999</v>
      </c>
      <c r="AT11" s="173" t="str">
        <f t="shared" si="4"/>
        <v/>
      </c>
      <c r="AU11" s="173">
        <v>459</v>
      </c>
      <c r="AW11" s="142" t="s">
        <v>123</v>
      </c>
    </row>
    <row r="12" spans="1:49" s="142" customFormat="1" ht="21" customHeight="1" x14ac:dyDescent="0.25">
      <c r="B12" s="173" t="str">
        <f t="shared" si="0"/>
        <v>0-304L/FH-1.15X642</v>
      </c>
      <c r="C12" s="173" t="s">
        <v>4327</v>
      </c>
      <c r="D12" s="173" t="s">
        <v>16</v>
      </c>
      <c r="E12" s="190" t="s">
        <v>4163</v>
      </c>
      <c r="F12" s="190" t="s">
        <v>4164</v>
      </c>
      <c r="G12" s="173" t="s">
        <v>182</v>
      </c>
      <c r="H12" s="173" t="s">
        <v>70</v>
      </c>
      <c r="I12" s="174">
        <v>3.1</v>
      </c>
      <c r="J12" s="174">
        <v>1.1499999999999999</v>
      </c>
      <c r="K12" s="174"/>
      <c r="L12" s="174"/>
      <c r="M12" s="191">
        <v>642</v>
      </c>
      <c r="N12" s="176">
        <v>10.64</v>
      </c>
      <c r="O12" s="176">
        <v>10.64</v>
      </c>
      <c r="P12" s="176"/>
      <c r="Q12" s="178" t="s">
        <v>1592</v>
      </c>
      <c r="R12" s="179" t="s">
        <v>4328</v>
      </c>
      <c r="S12" s="179"/>
      <c r="T12" s="177">
        <v>44945</v>
      </c>
      <c r="U12" s="177">
        <v>44945</v>
      </c>
      <c r="V12" s="177"/>
      <c r="W12" s="177">
        <v>44945</v>
      </c>
      <c r="X12" s="177"/>
      <c r="Y12" s="177"/>
      <c r="Z12" s="177"/>
      <c r="AA12" s="177"/>
      <c r="AB12" s="177"/>
      <c r="AC12" s="177"/>
      <c r="AD12" s="180" t="s">
        <v>1605</v>
      </c>
      <c r="AE12" s="173" t="s">
        <v>69</v>
      </c>
      <c r="AF12" s="181" t="s">
        <v>142</v>
      </c>
      <c r="AG12" s="192" t="s">
        <v>1657</v>
      </c>
      <c r="AH12" s="198"/>
      <c r="AI12" s="181">
        <v>44849</v>
      </c>
      <c r="AJ12" s="181"/>
      <c r="AK12" s="181">
        <f t="shared" ca="1" si="1"/>
        <v>44958</v>
      </c>
      <c r="AL12" s="173">
        <f t="shared" ca="1" si="2"/>
        <v>109</v>
      </c>
      <c r="AM12" s="173" t="str">
        <f t="shared" si="3"/>
        <v/>
      </c>
      <c r="AN12" s="181"/>
      <c r="AO12" s="190" t="s">
        <v>1670</v>
      </c>
      <c r="AP12" s="176">
        <v>10.64</v>
      </c>
      <c r="AQ12" s="176">
        <v>10.65</v>
      </c>
      <c r="AR12" s="176">
        <v>10.674999999999999</v>
      </c>
      <c r="AS12" s="176">
        <v>10.68</v>
      </c>
      <c r="AT12" s="173" t="str">
        <f t="shared" si="4"/>
        <v/>
      </c>
      <c r="AU12" s="173">
        <v>456</v>
      </c>
      <c r="AW12" s="142" t="s">
        <v>123</v>
      </c>
    </row>
    <row r="13" spans="1:49" s="142" customFormat="1" ht="21" customHeight="1" x14ac:dyDescent="0.25">
      <c r="B13" s="173" t="str">
        <f t="shared" si="0"/>
        <v>0-304L/FH-1.15X643</v>
      </c>
      <c r="C13" s="173" t="s">
        <v>4327</v>
      </c>
      <c r="D13" s="173" t="s">
        <v>16</v>
      </c>
      <c r="E13" s="190" t="s">
        <v>1677</v>
      </c>
      <c r="F13" s="190" t="s">
        <v>1678</v>
      </c>
      <c r="G13" s="173" t="s">
        <v>182</v>
      </c>
      <c r="H13" s="173" t="s">
        <v>70</v>
      </c>
      <c r="I13" s="174">
        <v>3.5</v>
      </c>
      <c r="J13" s="174">
        <v>1.1499999999999999</v>
      </c>
      <c r="K13" s="174"/>
      <c r="L13" s="174"/>
      <c r="M13" s="191">
        <v>643</v>
      </c>
      <c r="N13" s="176">
        <v>10.664999999999999</v>
      </c>
      <c r="O13" s="176">
        <v>10.664999999999999</v>
      </c>
      <c r="P13" s="176"/>
      <c r="Q13" s="178" t="s">
        <v>1592</v>
      </c>
      <c r="R13" s="179"/>
      <c r="S13" s="179"/>
      <c r="T13" s="177">
        <v>44943</v>
      </c>
      <c r="U13" s="177">
        <v>44946</v>
      </c>
      <c r="V13" s="177"/>
      <c r="W13" s="177">
        <v>44946</v>
      </c>
      <c r="X13" s="177"/>
      <c r="Y13" s="177"/>
      <c r="Z13" s="177"/>
      <c r="AA13" s="177"/>
      <c r="AB13" s="177"/>
      <c r="AC13" s="177"/>
      <c r="AD13" s="180" t="s">
        <v>1605</v>
      </c>
      <c r="AE13" s="173" t="s">
        <v>69</v>
      </c>
      <c r="AF13" s="181" t="s">
        <v>142</v>
      </c>
      <c r="AG13" s="192" t="s">
        <v>1657</v>
      </c>
      <c r="AH13" s="198"/>
      <c r="AI13" s="181">
        <v>44849</v>
      </c>
      <c r="AJ13" s="181"/>
      <c r="AK13" s="181">
        <f t="shared" ca="1" si="1"/>
        <v>44958</v>
      </c>
      <c r="AL13" s="173">
        <f t="shared" ca="1" si="2"/>
        <v>109</v>
      </c>
      <c r="AM13" s="173" t="str">
        <f t="shared" si="3"/>
        <v/>
      </c>
      <c r="AN13" s="181"/>
      <c r="AO13" s="190" t="s">
        <v>1679</v>
      </c>
      <c r="AP13" s="176">
        <v>10.664999999999999</v>
      </c>
      <c r="AQ13" s="176">
        <v>10.675000000000001</v>
      </c>
      <c r="AR13" s="176">
        <v>10.7</v>
      </c>
      <c r="AS13" s="176">
        <v>10.705</v>
      </c>
      <c r="AT13" s="173" t="str">
        <f t="shared" si="4"/>
        <v/>
      </c>
      <c r="AU13" s="173">
        <v>456</v>
      </c>
      <c r="AW13" s="142" t="s">
        <v>123</v>
      </c>
    </row>
    <row r="14" spans="1:49" s="142" customFormat="1" ht="21" customHeight="1" x14ac:dyDescent="0.25">
      <c r="B14" s="173" t="str">
        <f t="shared" si="0"/>
        <v>0-304L/FH-1.15X643</v>
      </c>
      <c r="C14" s="173" t="s">
        <v>4327</v>
      </c>
      <c r="D14" s="173" t="s">
        <v>16</v>
      </c>
      <c r="E14" s="190" t="s">
        <v>1668</v>
      </c>
      <c r="F14" s="190" t="s">
        <v>1669</v>
      </c>
      <c r="G14" s="173" t="s">
        <v>182</v>
      </c>
      <c r="H14" s="173" t="s">
        <v>70</v>
      </c>
      <c r="I14" s="174">
        <v>3.1</v>
      </c>
      <c r="J14" s="174">
        <v>1.1499999999999999</v>
      </c>
      <c r="K14" s="174"/>
      <c r="L14" s="174"/>
      <c r="M14" s="191">
        <v>643</v>
      </c>
      <c r="N14" s="176">
        <v>10.67</v>
      </c>
      <c r="O14" s="176">
        <v>10.67</v>
      </c>
      <c r="P14" s="176"/>
      <c r="Q14" s="178" t="s">
        <v>1592</v>
      </c>
      <c r="R14" s="179"/>
      <c r="S14" s="179"/>
      <c r="T14" s="177">
        <v>44945</v>
      </c>
      <c r="U14" s="177">
        <v>44946</v>
      </c>
      <c r="V14" s="177"/>
      <c r="W14" s="177">
        <v>44946</v>
      </c>
      <c r="X14" s="177"/>
      <c r="Y14" s="177"/>
      <c r="Z14" s="177"/>
      <c r="AA14" s="177"/>
      <c r="AB14" s="177"/>
      <c r="AC14" s="177"/>
      <c r="AD14" s="180" t="s">
        <v>1605</v>
      </c>
      <c r="AE14" s="173" t="s">
        <v>69</v>
      </c>
      <c r="AF14" s="181" t="s">
        <v>142</v>
      </c>
      <c r="AG14" s="192" t="s">
        <v>1657</v>
      </c>
      <c r="AH14" s="198"/>
      <c r="AI14" s="181">
        <v>44849</v>
      </c>
      <c r="AJ14" s="181"/>
      <c r="AK14" s="181">
        <f t="shared" ca="1" si="1"/>
        <v>44958</v>
      </c>
      <c r="AL14" s="173">
        <f t="shared" ca="1" si="2"/>
        <v>109</v>
      </c>
      <c r="AM14" s="173" t="str">
        <f t="shared" si="3"/>
        <v/>
      </c>
      <c r="AN14" s="181"/>
      <c r="AO14" s="190" t="s">
        <v>1670</v>
      </c>
      <c r="AP14" s="176">
        <v>10.67</v>
      </c>
      <c r="AQ14" s="176">
        <v>10.68</v>
      </c>
      <c r="AR14" s="176">
        <v>10.704999999999998</v>
      </c>
      <c r="AS14" s="176">
        <v>10.709999999999999</v>
      </c>
      <c r="AT14" s="173" t="str">
        <f t="shared" si="4"/>
        <v/>
      </c>
      <c r="AU14" s="173">
        <v>456</v>
      </c>
      <c r="AW14" s="142" t="s">
        <v>123</v>
      </c>
    </row>
    <row r="15" spans="1:49" s="142" customFormat="1" ht="21" customHeight="1" x14ac:dyDescent="0.25">
      <c r="B15" s="173" t="str">
        <f>IF(C15="HOLD RM","HOLD RM",IF(C15="BAL","WIP",IF(C15="HOLD SLT","HOLD SLT",IF(C15="MILL","RM",IF(C15="RE SLT","WIP",IF(C15="RM","RM",IF(C15="RM BAL","RM",IF(C15="RM SLT","RM",IF(C15="RR","WIP",IF(C15="SKP","WIP",IF(C15="SLT","WIP",IF(C15="CTL","WIP",IF(C15="RM SLT RUST","RM SLT RUST",0)))))))))))))&amp;"-"&amp;G15&amp;"/"&amp;IF(H15="2B","2B",IF(H15="NO.1","1D",IF(H15="FH","FH",0)))&amp;"-"&amp;IF(J15="",(TEXT(I15,"0.00")),TEXT(J15,"0.00"))&amp;"X"&amp;M15</f>
        <v>0-J3/FH-1.40X620</v>
      </c>
      <c r="C15" s="173" t="s">
        <v>4327</v>
      </c>
      <c r="D15" s="173" t="s">
        <v>16</v>
      </c>
      <c r="E15" s="190" t="s">
        <v>866</v>
      </c>
      <c r="F15" s="190" t="s">
        <v>867</v>
      </c>
      <c r="G15" s="173" t="s">
        <v>34</v>
      </c>
      <c r="H15" s="173" t="s">
        <v>70</v>
      </c>
      <c r="I15" s="174">
        <v>2.4</v>
      </c>
      <c r="J15" s="174">
        <v>1.4</v>
      </c>
      <c r="K15" s="174"/>
      <c r="L15" s="174"/>
      <c r="M15" s="191">
        <v>620</v>
      </c>
      <c r="N15" s="176">
        <v>9.9559999999999995</v>
      </c>
      <c r="O15" s="176">
        <v>9.9559999999999995</v>
      </c>
      <c r="P15" s="176"/>
      <c r="Q15" s="178" t="s">
        <v>295</v>
      </c>
      <c r="R15" s="179"/>
      <c r="S15" s="179"/>
      <c r="T15" s="177">
        <v>44907</v>
      </c>
      <c r="U15" s="177">
        <v>44946</v>
      </c>
      <c r="V15" s="177"/>
      <c r="W15" s="177">
        <v>44908</v>
      </c>
      <c r="X15" s="177"/>
      <c r="Y15" s="177"/>
      <c r="Z15" s="177"/>
      <c r="AA15" s="177"/>
      <c r="AB15" s="177"/>
      <c r="AC15" s="177"/>
      <c r="AD15" s="180"/>
      <c r="AE15" s="173" t="s">
        <v>69</v>
      </c>
      <c r="AF15" s="181" t="s">
        <v>119</v>
      </c>
      <c r="AG15" s="181" t="s">
        <v>856</v>
      </c>
      <c r="AH15" s="181">
        <v>44675</v>
      </c>
      <c r="AI15" s="181">
        <v>44699</v>
      </c>
      <c r="AJ15" s="181"/>
      <c r="AK15" s="181">
        <f t="shared" ca="1" si="1"/>
        <v>44958</v>
      </c>
      <c r="AL15" s="173">
        <f ca="1">IF(AI15&lt;&gt;0,AK15-AI15,0)</f>
        <v>259</v>
      </c>
      <c r="AM15" s="173" t="str">
        <f>IF(ISNUMBER(X15)=TRUE,AK15-X15,IF(X15="","",(AK15)-(MID(RIGHT(X15,10),4,2)&amp;"/"&amp;LEFT((RIGHT(X15,10)),2)&amp;"/"&amp;RIGHT(X15,4))))</f>
        <v/>
      </c>
      <c r="AN15" s="181" t="s">
        <v>864</v>
      </c>
      <c r="AO15" s="190" t="s">
        <v>865</v>
      </c>
      <c r="AP15" s="176">
        <v>9.9559999999999995</v>
      </c>
      <c r="AQ15" s="176">
        <v>9.9759999999999991</v>
      </c>
      <c r="AR15" s="176">
        <v>10.000999999999998</v>
      </c>
      <c r="AS15" s="176">
        <v>10.005999999999998</v>
      </c>
      <c r="AT15" s="173" t="str">
        <f t="shared" si="4"/>
        <v/>
      </c>
      <c r="AU15" s="173">
        <v>436</v>
      </c>
      <c r="AW15" s="142" t="s">
        <v>123</v>
      </c>
    </row>
    <row r="16" spans="1:49" s="142" customFormat="1" ht="21" customHeight="1" x14ac:dyDescent="0.25">
      <c r="B16" s="173" t="str">
        <f t="shared" ref="B16:B53" si="5">IF(C16="HOLD RM","HOLD RM",IF(C16="BAL","WIP",IF(C16="HOLD SLT","HOLD SLT",IF(C16="MILL","RM",IF(C16="RE SLT","WIP",IF(C16="RM","RM",IF(C16="RM BAL","RM",IF(C16="RM SLT","RM",IF(C16="RR","WIP",IF(C16="SKP","WIP",IF(C16="SLT","WIP",IF(C16="CTL","WIP",IF(C16="RM SLT RUST","RM SLT RUST",0)))))))))))))&amp;"-"&amp;G16&amp;"/"&amp;IF(H16="2B","2B",IF(H16="NO.1","1D",IF(H16="FH","FH",0)))&amp;"-"&amp;IF(J16="",(TEXT(I16,"0.00")),TEXT(J16,"0.00"))&amp;"X"&amp;M16</f>
        <v>0-304L/FH-1.15X646</v>
      </c>
      <c r="C16" s="173" t="s">
        <v>4329</v>
      </c>
      <c r="D16" s="173" t="s">
        <v>16</v>
      </c>
      <c r="E16" s="190" t="s">
        <v>4151</v>
      </c>
      <c r="F16" s="190" t="s">
        <v>4152</v>
      </c>
      <c r="G16" s="173" t="s">
        <v>182</v>
      </c>
      <c r="H16" s="173" t="s">
        <v>70</v>
      </c>
      <c r="I16" s="174">
        <v>2.9</v>
      </c>
      <c r="J16" s="174">
        <v>1.1499999999999999</v>
      </c>
      <c r="K16" s="174"/>
      <c r="L16" s="174"/>
      <c r="M16" s="191">
        <v>646</v>
      </c>
      <c r="N16" s="176">
        <v>10.195</v>
      </c>
      <c r="O16" s="176">
        <v>10.195</v>
      </c>
      <c r="P16" s="176"/>
      <c r="Q16" s="178" t="s">
        <v>1592</v>
      </c>
      <c r="R16" s="179"/>
      <c r="S16" s="179"/>
      <c r="T16" s="177">
        <v>44944</v>
      </c>
      <c r="U16" s="177">
        <v>44947</v>
      </c>
      <c r="V16" s="177"/>
      <c r="W16" s="177">
        <v>44946</v>
      </c>
      <c r="X16" s="177"/>
      <c r="Y16" s="177"/>
      <c r="Z16" s="177"/>
      <c r="AA16" s="177"/>
      <c r="AB16" s="177"/>
      <c r="AC16" s="177"/>
      <c r="AD16" s="180" t="s">
        <v>2448</v>
      </c>
      <c r="AE16" s="173" t="s">
        <v>69</v>
      </c>
      <c r="AF16" s="181" t="s">
        <v>142</v>
      </c>
      <c r="AG16" s="192" t="s">
        <v>1657</v>
      </c>
      <c r="AH16" s="198"/>
      <c r="AI16" s="181">
        <v>44849</v>
      </c>
      <c r="AJ16" s="181"/>
      <c r="AK16" s="181">
        <f t="shared" ca="1" si="1"/>
        <v>44958</v>
      </c>
      <c r="AL16" s="173">
        <f t="shared" ref="AL16:AL53" ca="1" si="6">IF(AI16&lt;&gt;0,AK16-AI16,0)</f>
        <v>109</v>
      </c>
      <c r="AM16" s="173" t="str">
        <f t="shared" ref="AM16:AM53" si="7">IF(ISNUMBER(X16)=TRUE,AK16-X16,IF(X16="","",(AK16)-(MID(RIGHT(X16,10),4,2)&amp;"/"&amp;LEFT((RIGHT(X16,10)),2)&amp;"/"&amp;RIGHT(X16,4))))</f>
        <v/>
      </c>
      <c r="AN16" s="181"/>
      <c r="AO16" s="190" t="s">
        <v>1766</v>
      </c>
      <c r="AP16" s="176">
        <v>10.195</v>
      </c>
      <c r="AQ16" s="176">
        <v>10.205</v>
      </c>
      <c r="AR16" s="176">
        <v>10.229999999999999</v>
      </c>
      <c r="AS16" s="176">
        <v>10.234999999999999</v>
      </c>
      <c r="AT16" s="173" t="str">
        <f t="shared" si="4"/>
        <v/>
      </c>
      <c r="AU16" s="173">
        <v>456</v>
      </c>
      <c r="AW16" s="142" t="s">
        <v>123</v>
      </c>
    </row>
    <row r="17" spans="2:49" s="142" customFormat="1" ht="21" customHeight="1" x14ac:dyDescent="0.25">
      <c r="B17" s="173" t="str">
        <f t="shared" si="5"/>
        <v>0-304/FH-0.48X642</v>
      </c>
      <c r="C17" s="173" t="s">
        <v>4329</v>
      </c>
      <c r="D17" s="173" t="s">
        <v>16</v>
      </c>
      <c r="E17" s="190" t="s">
        <v>1617</v>
      </c>
      <c r="F17" s="190" t="s">
        <v>1618</v>
      </c>
      <c r="G17" s="173">
        <v>304</v>
      </c>
      <c r="H17" s="173" t="s">
        <v>70</v>
      </c>
      <c r="I17" s="174">
        <v>2.4900000000000002</v>
      </c>
      <c r="J17" s="174">
        <v>0.48</v>
      </c>
      <c r="K17" s="174"/>
      <c r="L17" s="174"/>
      <c r="M17" s="191">
        <v>642</v>
      </c>
      <c r="N17" s="176">
        <v>10.7</v>
      </c>
      <c r="O17" s="176">
        <v>10.7</v>
      </c>
      <c r="P17" s="176"/>
      <c r="Q17" s="178" t="s">
        <v>1370</v>
      </c>
      <c r="R17" s="179" t="s">
        <v>4328</v>
      </c>
      <c r="S17" s="179"/>
      <c r="T17" s="177">
        <v>44917</v>
      </c>
      <c r="U17" s="177">
        <v>44947</v>
      </c>
      <c r="V17" s="177"/>
      <c r="W17" s="177">
        <v>44917</v>
      </c>
      <c r="X17" s="177"/>
      <c r="Y17" s="177"/>
      <c r="Z17" s="177"/>
      <c r="AA17" s="177"/>
      <c r="AB17" s="177"/>
      <c r="AC17" s="177"/>
      <c r="AD17" s="180" t="s">
        <v>1619</v>
      </c>
      <c r="AE17" s="173" t="s">
        <v>69</v>
      </c>
      <c r="AF17" s="181" t="s">
        <v>142</v>
      </c>
      <c r="AG17" s="192" t="s">
        <v>1594</v>
      </c>
      <c r="AH17" s="198"/>
      <c r="AI17" s="181">
        <v>44849</v>
      </c>
      <c r="AJ17" s="181"/>
      <c r="AK17" s="181">
        <f t="shared" ca="1" si="1"/>
        <v>44958</v>
      </c>
      <c r="AL17" s="173">
        <f t="shared" ca="1" si="6"/>
        <v>109</v>
      </c>
      <c r="AM17" s="173" t="str">
        <f t="shared" si="7"/>
        <v/>
      </c>
      <c r="AN17" s="181"/>
      <c r="AO17" s="190" t="s">
        <v>1620</v>
      </c>
      <c r="AP17" s="176">
        <v>10.7</v>
      </c>
      <c r="AQ17" s="176">
        <v>10.71</v>
      </c>
      <c r="AR17" s="176">
        <v>10.734999999999999</v>
      </c>
      <c r="AS17" s="176">
        <v>10.74</v>
      </c>
      <c r="AT17" s="173" t="str">
        <f t="shared" si="4"/>
        <v/>
      </c>
      <c r="AU17" s="173">
        <v>456</v>
      </c>
      <c r="AW17" s="142" t="s">
        <v>123</v>
      </c>
    </row>
    <row r="18" spans="2:49" s="142" customFormat="1" ht="21" customHeight="1" x14ac:dyDescent="0.25">
      <c r="B18" s="173" t="str">
        <f t="shared" si="5"/>
        <v>0-304L/FH-0.90X642</v>
      </c>
      <c r="C18" s="173" t="s">
        <v>4329</v>
      </c>
      <c r="D18" s="173" t="s">
        <v>16</v>
      </c>
      <c r="E18" s="190" t="s">
        <v>4147</v>
      </c>
      <c r="F18" s="190" t="s">
        <v>4148</v>
      </c>
      <c r="G18" s="173" t="s">
        <v>182</v>
      </c>
      <c r="H18" s="173" t="s">
        <v>70</v>
      </c>
      <c r="I18" s="174">
        <v>3.38</v>
      </c>
      <c r="J18" s="174">
        <v>0.9</v>
      </c>
      <c r="K18" s="174"/>
      <c r="L18" s="174"/>
      <c r="M18" s="191">
        <v>642</v>
      </c>
      <c r="N18" s="176">
        <v>10.61</v>
      </c>
      <c r="O18" s="176">
        <v>10.61</v>
      </c>
      <c r="P18" s="176"/>
      <c r="Q18" s="178" t="s">
        <v>1592</v>
      </c>
      <c r="R18" s="179"/>
      <c r="S18" s="179"/>
      <c r="T18" s="177">
        <v>44944</v>
      </c>
      <c r="U18" s="177">
        <v>44947</v>
      </c>
      <c r="V18" s="177"/>
      <c r="W18" s="177">
        <v>44946</v>
      </c>
      <c r="X18" s="177"/>
      <c r="Y18" s="177"/>
      <c r="Z18" s="177"/>
      <c r="AA18" s="177"/>
      <c r="AB18" s="177"/>
      <c r="AC18" s="177"/>
      <c r="AD18" s="180" t="s">
        <v>1605</v>
      </c>
      <c r="AE18" s="173" t="s">
        <v>69</v>
      </c>
      <c r="AF18" s="181" t="s">
        <v>142</v>
      </c>
      <c r="AG18" s="192" t="s">
        <v>1657</v>
      </c>
      <c r="AH18" s="198"/>
      <c r="AI18" s="181">
        <v>44849</v>
      </c>
      <c r="AJ18" s="181"/>
      <c r="AK18" s="181">
        <f t="shared" ca="1" si="1"/>
        <v>44958</v>
      </c>
      <c r="AL18" s="173">
        <f t="shared" ca="1" si="6"/>
        <v>109</v>
      </c>
      <c r="AM18" s="173" t="str">
        <f t="shared" si="7"/>
        <v/>
      </c>
      <c r="AN18" s="181"/>
      <c r="AO18" s="190" t="s">
        <v>1706</v>
      </c>
      <c r="AP18" s="176">
        <v>10.61</v>
      </c>
      <c r="AQ18" s="176">
        <v>10.62</v>
      </c>
      <c r="AR18" s="176">
        <v>10.644999999999998</v>
      </c>
      <c r="AS18" s="176">
        <v>10.649999999999999</v>
      </c>
      <c r="AT18" s="173" t="str">
        <f t="shared" si="4"/>
        <v/>
      </c>
      <c r="AU18" s="173">
        <v>456</v>
      </c>
      <c r="AW18" s="142" t="s">
        <v>123</v>
      </c>
    </row>
    <row r="19" spans="2:49" s="142" customFormat="1" ht="21" customHeight="1" x14ac:dyDescent="0.25">
      <c r="B19" s="173" t="str">
        <f t="shared" si="5"/>
        <v>0-J3/FH-0.91X620</v>
      </c>
      <c r="C19" s="173" t="s">
        <v>4329</v>
      </c>
      <c r="D19" s="173" t="s">
        <v>16</v>
      </c>
      <c r="E19" s="190" t="s">
        <v>1195</v>
      </c>
      <c r="F19" s="190" t="s">
        <v>1196</v>
      </c>
      <c r="G19" s="173" t="s">
        <v>34</v>
      </c>
      <c r="H19" s="173" t="s">
        <v>70</v>
      </c>
      <c r="I19" s="174">
        <v>2.4</v>
      </c>
      <c r="J19" s="174">
        <v>0.91</v>
      </c>
      <c r="K19" s="174"/>
      <c r="L19" s="174"/>
      <c r="M19" s="191">
        <v>620</v>
      </c>
      <c r="N19" s="176">
        <v>9.2279999999999998</v>
      </c>
      <c r="O19" s="176">
        <v>9.2279999999999998</v>
      </c>
      <c r="P19" s="176"/>
      <c r="Q19" s="178" t="s">
        <v>361</v>
      </c>
      <c r="R19" s="179"/>
      <c r="S19" s="179"/>
      <c r="T19" s="177">
        <v>44889</v>
      </c>
      <c r="U19" s="177">
        <v>44947</v>
      </c>
      <c r="V19" s="177"/>
      <c r="W19" s="177">
        <v>44890</v>
      </c>
      <c r="X19" s="177"/>
      <c r="Y19" s="177"/>
      <c r="Z19" s="177"/>
      <c r="AA19" s="177"/>
      <c r="AB19" s="177"/>
      <c r="AC19" s="177"/>
      <c r="AD19" s="180"/>
      <c r="AE19" s="173" t="s">
        <v>69</v>
      </c>
      <c r="AF19" s="181" t="s">
        <v>248</v>
      </c>
      <c r="AG19" s="181" t="s">
        <v>1145</v>
      </c>
      <c r="AH19" s="181">
        <v>44752</v>
      </c>
      <c r="AI19" s="181">
        <v>44778</v>
      </c>
      <c r="AJ19" s="181"/>
      <c r="AK19" s="181">
        <f t="shared" ca="1" si="1"/>
        <v>44958</v>
      </c>
      <c r="AL19" s="173">
        <f t="shared" ca="1" si="6"/>
        <v>180</v>
      </c>
      <c r="AM19" s="173" t="str">
        <f t="shared" si="7"/>
        <v/>
      </c>
      <c r="AN19" s="181"/>
      <c r="AO19" s="190" t="s">
        <v>1194</v>
      </c>
      <c r="AP19" s="176">
        <v>9.2279999999999998</v>
      </c>
      <c r="AQ19" s="176">
        <f t="shared" ref="AQ19" si="8">AP19+0.04</f>
        <v>9.2679999999999989</v>
      </c>
      <c r="AR19" s="176">
        <v>9.2929999999999975</v>
      </c>
      <c r="AS19" s="176">
        <v>9.2979999999999983</v>
      </c>
      <c r="AT19" s="173" t="str">
        <f t="shared" si="4"/>
        <v/>
      </c>
      <c r="AU19" s="173">
        <v>445</v>
      </c>
      <c r="AW19" s="142" t="s">
        <v>123</v>
      </c>
    </row>
    <row r="20" spans="2:49" s="142" customFormat="1" ht="21" customHeight="1" x14ac:dyDescent="0.25">
      <c r="B20" s="173" t="str">
        <f t="shared" si="5"/>
        <v>0-J3/FH-1.10X620</v>
      </c>
      <c r="C20" s="173" t="s">
        <v>4329</v>
      </c>
      <c r="D20" s="173" t="s">
        <v>16</v>
      </c>
      <c r="E20" s="190" t="s">
        <v>2425</v>
      </c>
      <c r="F20" s="190" t="s">
        <v>2426</v>
      </c>
      <c r="G20" s="173" t="s">
        <v>34</v>
      </c>
      <c r="H20" s="173" t="s">
        <v>70</v>
      </c>
      <c r="I20" s="174">
        <v>2.4</v>
      </c>
      <c r="J20" s="174">
        <v>1.1000000000000001</v>
      </c>
      <c r="K20" s="174"/>
      <c r="L20" s="174"/>
      <c r="M20" s="191">
        <v>620</v>
      </c>
      <c r="N20" s="176">
        <v>9.77</v>
      </c>
      <c r="O20" s="176">
        <v>9.77</v>
      </c>
      <c r="P20" s="176"/>
      <c r="Q20" s="178" t="s">
        <v>295</v>
      </c>
      <c r="R20" s="179" t="s">
        <v>4328</v>
      </c>
      <c r="S20" s="179"/>
      <c r="T20" s="177">
        <v>44897</v>
      </c>
      <c r="U20" s="177">
        <v>44947</v>
      </c>
      <c r="V20" s="177"/>
      <c r="W20" s="177">
        <v>44901</v>
      </c>
      <c r="X20" s="177"/>
      <c r="Y20" s="177"/>
      <c r="Z20" s="177"/>
      <c r="AA20" s="177"/>
      <c r="AB20" s="177"/>
      <c r="AC20" s="177"/>
      <c r="AD20" s="180"/>
      <c r="AE20" s="173" t="s">
        <v>69</v>
      </c>
      <c r="AF20" s="181" t="s">
        <v>119</v>
      </c>
      <c r="AG20" s="192" t="s">
        <v>2387</v>
      </c>
      <c r="AH20" s="198">
        <v>44848</v>
      </c>
      <c r="AI20" s="181">
        <v>44880</v>
      </c>
      <c r="AJ20" s="181"/>
      <c r="AK20" s="181">
        <f t="shared" ca="1" si="1"/>
        <v>44958</v>
      </c>
      <c r="AL20" s="173">
        <f t="shared" ca="1" si="6"/>
        <v>78</v>
      </c>
      <c r="AM20" s="173" t="str">
        <f t="shared" si="7"/>
        <v/>
      </c>
      <c r="AN20" s="181" t="s">
        <v>2427</v>
      </c>
      <c r="AO20" s="190" t="s">
        <v>2428</v>
      </c>
      <c r="AP20" s="176">
        <v>9.77</v>
      </c>
      <c r="AQ20" s="176">
        <v>9.7899999999999991</v>
      </c>
      <c r="AR20" s="176">
        <v>9.8149999999999977</v>
      </c>
      <c r="AS20" s="176">
        <v>9.8199999999999985</v>
      </c>
      <c r="AT20" s="173" t="str">
        <f t="shared" si="4"/>
        <v/>
      </c>
      <c r="AU20" s="173">
        <v>461</v>
      </c>
      <c r="AW20" s="142" t="s">
        <v>123</v>
      </c>
    </row>
    <row r="21" spans="2:49" s="142" customFormat="1" ht="21" customHeight="1" x14ac:dyDescent="0.25">
      <c r="B21" s="173" t="str">
        <f t="shared" si="5"/>
        <v>0-J3/FH-0.73X620</v>
      </c>
      <c r="C21" s="173" t="s">
        <v>4329</v>
      </c>
      <c r="D21" s="173" t="s">
        <v>16</v>
      </c>
      <c r="E21" s="190" t="s">
        <v>1868</v>
      </c>
      <c r="F21" s="190" t="s">
        <v>1870</v>
      </c>
      <c r="G21" s="173" t="s">
        <v>34</v>
      </c>
      <c r="H21" s="173" t="s">
        <v>70</v>
      </c>
      <c r="I21" s="174">
        <v>2.2000000000000002</v>
      </c>
      <c r="J21" s="174">
        <v>0.73</v>
      </c>
      <c r="K21" s="174"/>
      <c r="L21" s="174"/>
      <c r="M21" s="191">
        <v>620</v>
      </c>
      <c r="N21" s="176">
        <v>10.066000000000001</v>
      </c>
      <c r="O21" s="176">
        <v>10.066000000000001</v>
      </c>
      <c r="P21" s="176"/>
      <c r="Q21" s="178" t="s">
        <v>361</v>
      </c>
      <c r="R21" s="179" t="s">
        <v>4328</v>
      </c>
      <c r="S21" s="179"/>
      <c r="T21" s="177">
        <v>44880</v>
      </c>
      <c r="U21" s="177">
        <v>44947</v>
      </c>
      <c r="V21" s="177"/>
      <c r="W21" s="177">
        <v>44883</v>
      </c>
      <c r="X21" s="177"/>
      <c r="Y21" s="177"/>
      <c r="Z21" s="177"/>
      <c r="AA21" s="177"/>
      <c r="AB21" s="177"/>
      <c r="AC21" s="177"/>
      <c r="AD21" s="180"/>
      <c r="AE21" s="173" t="s">
        <v>69</v>
      </c>
      <c r="AF21" s="181" t="s">
        <v>1065</v>
      </c>
      <c r="AG21" s="192" t="s">
        <v>1799</v>
      </c>
      <c r="AH21" s="198">
        <v>44829</v>
      </c>
      <c r="AI21" s="181">
        <v>44866</v>
      </c>
      <c r="AJ21" s="181"/>
      <c r="AK21" s="181">
        <f t="shared" ca="1" si="1"/>
        <v>44958</v>
      </c>
      <c r="AL21" s="173">
        <f t="shared" ca="1" si="6"/>
        <v>92</v>
      </c>
      <c r="AM21" s="173" t="str">
        <f t="shared" si="7"/>
        <v/>
      </c>
      <c r="AN21" s="181" t="s">
        <v>1846</v>
      </c>
      <c r="AO21" s="190" t="s">
        <v>1824</v>
      </c>
      <c r="AP21" s="176">
        <v>10.066000000000001</v>
      </c>
      <c r="AQ21" s="176">
        <v>10.106</v>
      </c>
      <c r="AR21" s="176">
        <v>10.130999999999998</v>
      </c>
      <c r="AS21" s="176">
        <v>10.135999999999999</v>
      </c>
      <c r="AT21" s="173" t="str">
        <f t="shared" si="4"/>
        <v/>
      </c>
      <c r="AU21" s="173">
        <v>457</v>
      </c>
      <c r="AW21" s="142" t="s">
        <v>123</v>
      </c>
    </row>
    <row r="22" spans="2:49" s="142" customFormat="1" ht="21" customHeight="1" x14ac:dyDescent="0.25">
      <c r="B22" s="173" t="str">
        <f t="shared" si="5"/>
        <v>0-304L/FH-1.15X641</v>
      </c>
      <c r="C22" s="173" t="s">
        <v>4330</v>
      </c>
      <c r="D22" s="173" t="s">
        <v>16</v>
      </c>
      <c r="E22" s="190" t="s">
        <v>4175</v>
      </c>
      <c r="F22" s="190" t="s">
        <v>4176</v>
      </c>
      <c r="G22" s="173" t="s">
        <v>182</v>
      </c>
      <c r="H22" s="173" t="s">
        <v>70</v>
      </c>
      <c r="I22" s="174">
        <v>3.1</v>
      </c>
      <c r="J22" s="174">
        <v>1.1499999999999999</v>
      </c>
      <c r="K22" s="174"/>
      <c r="L22" s="174"/>
      <c r="M22" s="191">
        <v>641</v>
      </c>
      <c r="N22" s="176">
        <v>10.545</v>
      </c>
      <c r="O22" s="176">
        <v>10.545</v>
      </c>
      <c r="P22" s="176"/>
      <c r="Q22" s="178" t="s">
        <v>1592</v>
      </c>
      <c r="R22" s="179"/>
      <c r="S22" s="179"/>
      <c r="T22" s="177" t="s">
        <v>4331</v>
      </c>
      <c r="U22" s="177"/>
      <c r="V22" s="177"/>
      <c r="W22" s="177">
        <v>44949</v>
      </c>
      <c r="X22" s="177"/>
      <c r="Y22" s="177"/>
      <c r="Z22" s="177"/>
      <c r="AA22" s="177"/>
      <c r="AB22" s="177"/>
      <c r="AC22" s="177"/>
      <c r="AD22" s="180" t="s">
        <v>1605</v>
      </c>
      <c r="AE22" s="173" t="s">
        <v>69</v>
      </c>
      <c r="AF22" s="181" t="s">
        <v>142</v>
      </c>
      <c r="AG22" s="192" t="s">
        <v>1657</v>
      </c>
      <c r="AH22" s="198"/>
      <c r="AI22" s="181">
        <v>44849</v>
      </c>
      <c r="AJ22" s="181"/>
      <c r="AK22" s="181">
        <f t="shared" ca="1" si="1"/>
        <v>44958</v>
      </c>
      <c r="AL22" s="173">
        <f t="shared" ca="1" si="6"/>
        <v>109</v>
      </c>
      <c r="AM22" s="173" t="str">
        <f t="shared" si="7"/>
        <v/>
      </c>
      <c r="AN22" s="181"/>
      <c r="AO22" s="190" t="s">
        <v>4129</v>
      </c>
      <c r="AP22" s="176">
        <v>10.545</v>
      </c>
      <c r="AQ22" s="176">
        <v>10.555</v>
      </c>
      <c r="AR22" s="176">
        <v>10.579999999999998</v>
      </c>
      <c r="AS22" s="176">
        <v>10.584999999999999</v>
      </c>
      <c r="AT22" s="173" t="str">
        <f t="shared" si="4"/>
        <v/>
      </c>
      <c r="AU22" s="173">
        <v>456</v>
      </c>
      <c r="AW22" s="142" t="s">
        <v>123</v>
      </c>
    </row>
    <row r="23" spans="2:49" s="142" customFormat="1" ht="21" customHeight="1" x14ac:dyDescent="0.25">
      <c r="B23" s="173" t="str">
        <f t="shared" si="5"/>
        <v>0-304L/1D-3.88X642</v>
      </c>
      <c r="C23" s="173" t="s">
        <v>4332</v>
      </c>
      <c r="D23" s="173" t="s">
        <v>13</v>
      </c>
      <c r="E23" s="190" t="s">
        <v>1623</v>
      </c>
      <c r="F23" s="190" t="s">
        <v>1624</v>
      </c>
      <c r="G23" s="173" t="s">
        <v>182</v>
      </c>
      <c r="H23" s="173" t="s">
        <v>127</v>
      </c>
      <c r="I23" s="174">
        <v>3.88</v>
      </c>
      <c r="J23" s="174"/>
      <c r="K23" s="174"/>
      <c r="L23" s="174"/>
      <c r="M23" s="191">
        <v>642</v>
      </c>
      <c r="N23" s="176">
        <v>10.494999999999999</v>
      </c>
      <c r="O23" s="176">
        <v>10.494999999999999</v>
      </c>
      <c r="P23" s="176"/>
      <c r="Q23" s="178"/>
      <c r="R23" s="179"/>
      <c r="S23" s="179"/>
      <c r="T23" s="177">
        <v>44950</v>
      </c>
      <c r="U23" s="177"/>
      <c r="V23" s="177"/>
      <c r="W23" s="177"/>
      <c r="X23" s="177"/>
      <c r="Y23" s="177"/>
      <c r="Z23" s="177"/>
      <c r="AA23" s="177"/>
      <c r="AB23" s="177"/>
      <c r="AC23" s="177"/>
      <c r="AD23" s="180" t="s">
        <v>1605</v>
      </c>
      <c r="AE23" s="173" t="s">
        <v>69</v>
      </c>
      <c r="AF23" s="181" t="s">
        <v>142</v>
      </c>
      <c r="AG23" s="192" t="s">
        <v>1594</v>
      </c>
      <c r="AH23" s="198"/>
      <c r="AI23" s="181">
        <v>44849</v>
      </c>
      <c r="AJ23" s="181"/>
      <c r="AK23" s="181">
        <f t="shared" ca="1" si="1"/>
        <v>44958</v>
      </c>
      <c r="AL23" s="173">
        <f t="shared" ca="1" si="6"/>
        <v>109</v>
      </c>
      <c r="AM23" s="173" t="str">
        <f t="shared" si="7"/>
        <v/>
      </c>
      <c r="AN23" s="181"/>
      <c r="AO23" s="190" t="s">
        <v>1625</v>
      </c>
      <c r="AP23" s="176">
        <v>10.494999999999999</v>
      </c>
      <c r="AQ23" s="176">
        <v>10.505000000000001</v>
      </c>
      <c r="AR23" s="176">
        <v>10.53</v>
      </c>
      <c r="AS23" s="176">
        <v>10.535</v>
      </c>
      <c r="AT23" s="173" t="str">
        <f t="shared" si="4"/>
        <v/>
      </c>
      <c r="AU23" s="173">
        <v>456</v>
      </c>
      <c r="AW23" s="142" t="s">
        <v>123</v>
      </c>
    </row>
    <row r="24" spans="2:49" s="142" customFormat="1" ht="21" customHeight="1" x14ac:dyDescent="0.25">
      <c r="B24" s="173" t="str">
        <f t="shared" si="5"/>
        <v>0-304L/FH-1.45X637</v>
      </c>
      <c r="C24" s="173" t="s">
        <v>4330</v>
      </c>
      <c r="D24" s="173" t="s">
        <v>16</v>
      </c>
      <c r="E24" s="190" t="s">
        <v>4202</v>
      </c>
      <c r="F24" s="190" t="s">
        <v>4203</v>
      </c>
      <c r="G24" s="173" t="s">
        <v>182</v>
      </c>
      <c r="H24" s="173" t="s">
        <v>70</v>
      </c>
      <c r="I24" s="174">
        <v>3.89</v>
      </c>
      <c r="J24" s="174">
        <v>1.45</v>
      </c>
      <c r="K24" s="174"/>
      <c r="L24" s="174"/>
      <c r="M24" s="191">
        <v>637</v>
      </c>
      <c r="N24" s="176">
        <v>10.33</v>
      </c>
      <c r="O24" s="176">
        <v>10.33</v>
      </c>
      <c r="P24" s="176"/>
      <c r="Q24" s="178"/>
      <c r="R24" s="179" t="s">
        <v>4328</v>
      </c>
      <c r="S24" s="179"/>
      <c r="T24" s="177">
        <v>44948</v>
      </c>
      <c r="U24" s="177"/>
      <c r="V24" s="177"/>
      <c r="W24" s="177"/>
      <c r="X24" s="177"/>
      <c r="Y24" s="177"/>
      <c r="Z24" s="177"/>
      <c r="AA24" s="177"/>
      <c r="AB24" s="177"/>
      <c r="AC24" s="177"/>
      <c r="AD24" s="180" t="s">
        <v>1605</v>
      </c>
      <c r="AE24" s="173" t="s">
        <v>69</v>
      </c>
      <c r="AF24" s="181" t="s">
        <v>142</v>
      </c>
      <c r="AG24" s="192" t="s">
        <v>1657</v>
      </c>
      <c r="AH24" s="198"/>
      <c r="AI24" s="181">
        <v>44849</v>
      </c>
      <c r="AJ24" s="181"/>
      <c r="AK24" s="181">
        <f t="shared" ca="1" si="1"/>
        <v>44958</v>
      </c>
      <c r="AL24" s="173">
        <f t="shared" ca="1" si="6"/>
        <v>109</v>
      </c>
      <c r="AM24" s="173" t="str">
        <f t="shared" si="7"/>
        <v/>
      </c>
      <c r="AN24" s="181"/>
      <c r="AO24" s="190" t="s">
        <v>4204</v>
      </c>
      <c r="AP24" s="176">
        <v>10.33</v>
      </c>
      <c r="AQ24" s="176">
        <v>10.34</v>
      </c>
      <c r="AR24" s="176">
        <v>10.364999999999998</v>
      </c>
      <c r="AS24" s="176">
        <v>10.37</v>
      </c>
      <c r="AT24" s="173" t="str">
        <f t="shared" si="4"/>
        <v/>
      </c>
      <c r="AU24" s="173">
        <v>456</v>
      </c>
      <c r="AW24" s="142" t="s">
        <v>123</v>
      </c>
    </row>
    <row r="25" spans="2:49" s="142" customFormat="1" ht="21" customHeight="1" x14ac:dyDescent="0.25">
      <c r="B25" s="173" t="str">
        <f t="shared" si="5"/>
        <v>0-304L/1D-2.99X643</v>
      </c>
      <c r="C25" s="173" t="s">
        <v>4332</v>
      </c>
      <c r="D25" s="173" t="s">
        <v>13</v>
      </c>
      <c r="E25" s="190" t="s">
        <v>4333</v>
      </c>
      <c r="F25" s="190" t="s">
        <v>4334</v>
      </c>
      <c r="G25" s="173" t="s">
        <v>182</v>
      </c>
      <c r="H25" s="173" t="s">
        <v>127</v>
      </c>
      <c r="I25" s="174">
        <v>2.99</v>
      </c>
      <c r="J25" s="174"/>
      <c r="K25" s="174"/>
      <c r="L25" s="174"/>
      <c r="M25" s="191">
        <v>643</v>
      </c>
      <c r="N25" s="176">
        <v>10.76</v>
      </c>
      <c r="O25" s="176">
        <v>10.76</v>
      </c>
      <c r="P25" s="176"/>
      <c r="Q25" s="178"/>
      <c r="R25" s="179"/>
      <c r="S25" s="179"/>
      <c r="T25" s="177">
        <v>44950</v>
      </c>
      <c r="U25" s="177"/>
      <c r="V25" s="177"/>
      <c r="W25" s="177"/>
      <c r="X25" s="177"/>
      <c r="Y25" s="177"/>
      <c r="Z25" s="177"/>
      <c r="AA25" s="177"/>
      <c r="AB25" s="177"/>
      <c r="AC25" s="177"/>
      <c r="AD25" s="180" t="s">
        <v>1643</v>
      </c>
      <c r="AE25" s="173" t="s">
        <v>69</v>
      </c>
      <c r="AF25" s="181" t="s">
        <v>142</v>
      </c>
      <c r="AG25" s="192" t="s">
        <v>1657</v>
      </c>
      <c r="AH25" s="198"/>
      <c r="AI25" s="181">
        <v>44849</v>
      </c>
      <c r="AJ25" s="181"/>
      <c r="AK25" s="181">
        <f t="shared" ca="1" si="1"/>
        <v>44958</v>
      </c>
      <c r="AL25" s="173">
        <f t="shared" ca="1" si="6"/>
        <v>109</v>
      </c>
      <c r="AM25" s="173" t="str">
        <f t="shared" si="7"/>
        <v/>
      </c>
      <c r="AN25" s="181"/>
      <c r="AO25" s="190" t="s">
        <v>1673</v>
      </c>
      <c r="AP25" s="176">
        <v>10.76</v>
      </c>
      <c r="AQ25" s="176">
        <v>10.77</v>
      </c>
      <c r="AR25" s="176">
        <v>10.794999999999998</v>
      </c>
      <c r="AS25" s="176">
        <v>10.799999999999999</v>
      </c>
      <c r="AT25" s="173" t="str">
        <f t="shared" si="4"/>
        <v/>
      </c>
      <c r="AU25" s="173">
        <v>456</v>
      </c>
      <c r="AW25" s="142" t="s">
        <v>123</v>
      </c>
    </row>
    <row r="26" spans="2:49" s="142" customFormat="1" ht="21" customHeight="1" x14ac:dyDescent="0.25">
      <c r="B26" s="173" t="str">
        <f t="shared" si="5"/>
        <v>0-304L/1D-2.89X643</v>
      </c>
      <c r="C26" s="173" t="s">
        <v>4335</v>
      </c>
      <c r="D26" s="173" t="s">
        <v>13</v>
      </c>
      <c r="E26" s="190" t="s">
        <v>4336</v>
      </c>
      <c r="F26" s="190" t="s">
        <v>4337</v>
      </c>
      <c r="G26" s="173" t="s">
        <v>182</v>
      </c>
      <c r="H26" s="173" t="s">
        <v>127</v>
      </c>
      <c r="I26" s="174">
        <v>2.89</v>
      </c>
      <c r="J26" s="174"/>
      <c r="K26" s="174"/>
      <c r="L26" s="174"/>
      <c r="M26" s="191">
        <v>643</v>
      </c>
      <c r="N26" s="176">
        <v>10.77</v>
      </c>
      <c r="O26" s="176">
        <v>10.77</v>
      </c>
      <c r="P26" s="176"/>
      <c r="Q26" s="178"/>
      <c r="R26" s="179"/>
      <c r="S26" s="179"/>
      <c r="T26" s="177"/>
      <c r="U26" s="177">
        <v>44951</v>
      </c>
      <c r="V26" s="177"/>
      <c r="W26" s="177"/>
      <c r="X26" s="177"/>
      <c r="Y26" s="177"/>
      <c r="Z26" s="177"/>
      <c r="AA26" s="177"/>
      <c r="AB26" s="177"/>
      <c r="AC26" s="177"/>
      <c r="AD26" s="180" t="s">
        <v>1643</v>
      </c>
      <c r="AE26" s="173" t="s">
        <v>69</v>
      </c>
      <c r="AF26" s="181" t="s">
        <v>142</v>
      </c>
      <c r="AG26" s="192" t="s">
        <v>1594</v>
      </c>
      <c r="AH26" s="198"/>
      <c r="AI26" s="181">
        <v>44849</v>
      </c>
      <c r="AJ26" s="181"/>
      <c r="AK26" s="181">
        <f t="shared" ca="1" si="1"/>
        <v>44958</v>
      </c>
      <c r="AL26" s="173">
        <f t="shared" ca="1" si="6"/>
        <v>109</v>
      </c>
      <c r="AM26" s="173" t="str">
        <f t="shared" si="7"/>
        <v/>
      </c>
      <c r="AN26" s="181"/>
      <c r="AO26" s="190" t="s">
        <v>4321</v>
      </c>
      <c r="AP26" s="176">
        <v>10.77</v>
      </c>
      <c r="AQ26" s="176">
        <v>10.78</v>
      </c>
      <c r="AR26" s="176">
        <v>10.804999999999998</v>
      </c>
      <c r="AS26" s="176">
        <v>10.809999999999999</v>
      </c>
      <c r="AT26" s="173" t="str">
        <f t="shared" si="4"/>
        <v/>
      </c>
      <c r="AU26" s="173">
        <v>456</v>
      </c>
      <c r="AW26" s="142" t="s">
        <v>123</v>
      </c>
    </row>
    <row r="27" spans="2:49" s="142" customFormat="1" ht="21" customHeight="1" x14ac:dyDescent="0.25">
      <c r="B27" s="173" t="str">
        <f t="shared" si="5"/>
        <v>0-304L/1D-2.89X642</v>
      </c>
      <c r="C27" s="173" t="s">
        <v>4335</v>
      </c>
      <c r="D27" s="173" t="s">
        <v>13</v>
      </c>
      <c r="E27" s="190" t="s">
        <v>4338</v>
      </c>
      <c r="F27" s="190" t="s">
        <v>4339</v>
      </c>
      <c r="G27" s="173" t="s">
        <v>182</v>
      </c>
      <c r="H27" s="173" t="s">
        <v>127</v>
      </c>
      <c r="I27" s="174">
        <v>2.89</v>
      </c>
      <c r="J27" s="174"/>
      <c r="K27" s="174"/>
      <c r="L27" s="174"/>
      <c r="M27" s="191">
        <v>642</v>
      </c>
      <c r="N27" s="176">
        <v>10.755000000000001</v>
      </c>
      <c r="O27" s="176">
        <v>10.755000000000001</v>
      </c>
      <c r="P27" s="176"/>
      <c r="Q27" s="178"/>
      <c r="R27" s="179"/>
      <c r="S27" s="179"/>
      <c r="T27" s="177"/>
      <c r="U27" s="177">
        <v>44951</v>
      </c>
      <c r="V27" s="177"/>
      <c r="W27" s="177"/>
      <c r="X27" s="177"/>
      <c r="Y27" s="177"/>
      <c r="Z27" s="177"/>
      <c r="AA27" s="177"/>
      <c r="AB27" s="177"/>
      <c r="AC27" s="177"/>
      <c r="AD27" s="180" t="s">
        <v>1643</v>
      </c>
      <c r="AE27" s="173" t="s">
        <v>69</v>
      </c>
      <c r="AF27" s="181" t="s">
        <v>142</v>
      </c>
      <c r="AG27" s="192" t="s">
        <v>1594</v>
      </c>
      <c r="AH27" s="198"/>
      <c r="AI27" s="181">
        <v>44849</v>
      </c>
      <c r="AJ27" s="181"/>
      <c r="AK27" s="181">
        <f t="shared" ca="1" si="1"/>
        <v>44958</v>
      </c>
      <c r="AL27" s="173">
        <f t="shared" ca="1" si="6"/>
        <v>109</v>
      </c>
      <c r="AM27" s="173" t="str">
        <f t="shared" si="7"/>
        <v/>
      </c>
      <c r="AN27" s="181"/>
      <c r="AO27" s="190" t="s">
        <v>1640</v>
      </c>
      <c r="AP27" s="176">
        <v>10.755000000000001</v>
      </c>
      <c r="AQ27" s="176">
        <v>10.765000000000001</v>
      </c>
      <c r="AR27" s="176">
        <v>10.79</v>
      </c>
      <c r="AS27" s="176">
        <v>10.795</v>
      </c>
      <c r="AT27" s="173" t="str">
        <f t="shared" si="4"/>
        <v/>
      </c>
      <c r="AU27" s="173">
        <v>456</v>
      </c>
      <c r="AW27" s="142" t="s">
        <v>123</v>
      </c>
    </row>
    <row r="28" spans="2:49" s="142" customFormat="1" ht="21" customHeight="1" x14ac:dyDescent="0.25">
      <c r="B28" s="173" t="str">
        <f t="shared" si="5"/>
        <v>0-304L/1D-3.88X638</v>
      </c>
      <c r="C28" s="173" t="s">
        <v>4335</v>
      </c>
      <c r="D28" s="173" t="s">
        <v>13</v>
      </c>
      <c r="E28" s="190" t="s">
        <v>4234</v>
      </c>
      <c r="F28" s="190" t="s">
        <v>4235</v>
      </c>
      <c r="G28" s="173" t="s">
        <v>182</v>
      </c>
      <c r="H28" s="173" t="s">
        <v>127</v>
      </c>
      <c r="I28" s="174">
        <v>3.88</v>
      </c>
      <c r="J28" s="174"/>
      <c r="K28" s="174"/>
      <c r="L28" s="174"/>
      <c r="M28" s="191">
        <v>638</v>
      </c>
      <c r="N28" s="176">
        <v>10.395</v>
      </c>
      <c r="O28" s="176">
        <v>10.395</v>
      </c>
      <c r="P28" s="176"/>
      <c r="Q28" s="178"/>
      <c r="R28" s="179"/>
      <c r="S28" s="179"/>
      <c r="T28" s="177"/>
      <c r="U28" s="177">
        <v>44951</v>
      </c>
      <c r="V28" s="177"/>
      <c r="W28" s="177"/>
      <c r="X28" s="177"/>
      <c r="Y28" s="177"/>
      <c r="Z28" s="177"/>
      <c r="AA28" s="177"/>
      <c r="AB28" s="177"/>
      <c r="AC28" s="177"/>
      <c r="AD28" s="180" t="s">
        <v>1609</v>
      </c>
      <c r="AE28" s="173" t="s">
        <v>69</v>
      </c>
      <c r="AF28" s="181" t="s">
        <v>142</v>
      </c>
      <c r="AG28" s="192" t="s">
        <v>1594</v>
      </c>
      <c r="AH28" s="198"/>
      <c r="AI28" s="181">
        <v>44849</v>
      </c>
      <c r="AJ28" s="181"/>
      <c r="AK28" s="181">
        <f t="shared" ca="1" si="1"/>
        <v>44958</v>
      </c>
      <c r="AL28" s="173">
        <f t="shared" ca="1" si="6"/>
        <v>109</v>
      </c>
      <c r="AM28" s="173" t="str">
        <f t="shared" si="7"/>
        <v/>
      </c>
      <c r="AN28" s="181"/>
      <c r="AO28" s="190" t="s">
        <v>1612</v>
      </c>
      <c r="AP28" s="176">
        <v>10.395</v>
      </c>
      <c r="AQ28" s="176">
        <v>10.404999999999999</v>
      </c>
      <c r="AR28" s="176">
        <v>10.429999999999998</v>
      </c>
      <c r="AS28" s="176">
        <v>10.434999999999999</v>
      </c>
      <c r="AT28" s="173" t="str">
        <f t="shared" si="4"/>
        <v/>
      </c>
      <c r="AU28" s="173">
        <v>456</v>
      </c>
      <c r="AW28" s="142" t="s">
        <v>123</v>
      </c>
    </row>
    <row r="29" spans="2:49" s="142" customFormat="1" ht="21" customHeight="1" x14ac:dyDescent="0.25">
      <c r="B29" s="173" t="str">
        <f t="shared" si="5"/>
        <v>0-J3/1D-2.40X620</v>
      </c>
      <c r="C29" s="173" t="s">
        <v>4335</v>
      </c>
      <c r="D29" s="173" t="s">
        <v>13</v>
      </c>
      <c r="E29" s="190" t="s">
        <v>689</v>
      </c>
      <c r="F29" s="190" t="s">
        <v>690</v>
      </c>
      <c r="G29" s="173" t="s">
        <v>34</v>
      </c>
      <c r="H29" s="173" t="s">
        <v>127</v>
      </c>
      <c r="I29" s="174">
        <v>2.4</v>
      </c>
      <c r="J29" s="174"/>
      <c r="K29" s="174"/>
      <c r="L29" s="174"/>
      <c r="M29" s="191">
        <v>620</v>
      </c>
      <c r="N29" s="176">
        <v>10.154</v>
      </c>
      <c r="O29" s="176">
        <v>10.154</v>
      </c>
      <c r="P29" s="176"/>
      <c r="Q29" s="178"/>
      <c r="R29" s="179"/>
      <c r="S29" s="179"/>
      <c r="T29" s="177"/>
      <c r="U29" s="177">
        <v>44951</v>
      </c>
      <c r="V29" s="177"/>
      <c r="W29" s="177"/>
      <c r="X29" s="177"/>
      <c r="Y29" s="177"/>
      <c r="Z29" s="177"/>
      <c r="AA29" s="177"/>
      <c r="AB29" s="177"/>
      <c r="AC29" s="177"/>
      <c r="AD29" s="180"/>
      <c r="AE29" s="173" t="s">
        <v>69</v>
      </c>
      <c r="AF29" s="181" t="s">
        <v>248</v>
      </c>
      <c r="AG29" s="181" t="s">
        <v>678</v>
      </c>
      <c r="AH29" s="181">
        <v>44621</v>
      </c>
      <c r="AI29" s="181">
        <v>44644</v>
      </c>
      <c r="AJ29" s="181"/>
      <c r="AK29" s="181">
        <f t="shared" ca="1" si="1"/>
        <v>44958</v>
      </c>
      <c r="AL29" s="173">
        <f t="shared" ca="1" si="6"/>
        <v>314</v>
      </c>
      <c r="AM29" s="173" t="str">
        <f t="shared" si="7"/>
        <v/>
      </c>
      <c r="AN29" s="181" t="s">
        <v>691</v>
      </c>
      <c r="AO29" s="190" t="s">
        <v>692</v>
      </c>
      <c r="AP29" s="176">
        <v>10.154</v>
      </c>
      <c r="AQ29" s="176">
        <v>10.194000000000001</v>
      </c>
      <c r="AR29" s="176">
        <v>10.218999999999999</v>
      </c>
      <c r="AS29" s="176">
        <v>10.224</v>
      </c>
      <c r="AT29" s="173" t="str">
        <f t="shared" si="4"/>
        <v/>
      </c>
      <c r="AU29" s="173">
        <v>427</v>
      </c>
      <c r="AW29" s="142" t="s">
        <v>123</v>
      </c>
    </row>
    <row r="30" spans="2:49" s="142" customFormat="1" ht="21" customHeight="1" x14ac:dyDescent="0.25">
      <c r="B30" s="173" t="str">
        <f t="shared" si="5"/>
        <v>0-J3/1D-2.40X620</v>
      </c>
      <c r="C30" s="173" t="s">
        <v>4335</v>
      </c>
      <c r="D30" s="173" t="s">
        <v>13</v>
      </c>
      <c r="E30" s="190" t="s">
        <v>799</v>
      </c>
      <c r="F30" s="190" t="s">
        <v>800</v>
      </c>
      <c r="G30" s="173" t="s">
        <v>34</v>
      </c>
      <c r="H30" s="173" t="s">
        <v>127</v>
      </c>
      <c r="I30" s="174">
        <v>2.4</v>
      </c>
      <c r="J30" s="174"/>
      <c r="K30" s="174"/>
      <c r="L30" s="174"/>
      <c r="M30" s="191">
        <v>620</v>
      </c>
      <c r="N30" s="176">
        <v>10.105</v>
      </c>
      <c r="O30" s="176">
        <v>10.105</v>
      </c>
      <c r="P30" s="176"/>
      <c r="Q30" s="178"/>
      <c r="R30" s="179"/>
      <c r="S30" s="179"/>
      <c r="T30" s="177"/>
      <c r="U30" s="177">
        <v>44951</v>
      </c>
      <c r="V30" s="177"/>
      <c r="W30" s="177"/>
      <c r="X30" s="177"/>
      <c r="Y30" s="177"/>
      <c r="Z30" s="177"/>
      <c r="AA30" s="177"/>
      <c r="AB30" s="177"/>
      <c r="AC30" s="177"/>
      <c r="AD30" s="180"/>
      <c r="AE30" s="173" t="s">
        <v>69</v>
      </c>
      <c r="AF30" s="181" t="s">
        <v>119</v>
      </c>
      <c r="AG30" s="181" t="s">
        <v>795</v>
      </c>
      <c r="AH30" s="181">
        <v>44624</v>
      </c>
      <c r="AI30" s="181">
        <v>44658</v>
      </c>
      <c r="AJ30" s="181"/>
      <c r="AK30" s="181">
        <f t="shared" ca="1" si="1"/>
        <v>44958</v>
      </c>
      <c r="AL30" s="173">
        <f t="shared" ca="1" si="6"/>
        <v>300</v>
      </c>
      <c r="AM30" s="173" t="str">
        <f t="shared" si="7"/>
        <v/>
      </c>
      <c r="AN30" s="181" t="s">
        <v>801</v>
      </c>
      <c r="AO30" s="190" t="s">
        <v>802</v>
      </c>
      <c r="AP30" s="176">
        <v>10.105</v>
      </c>
      <c r="AQ30" s="176">
        <v>10.125</v>
      </c>
      <c r="AR30" s="176">
        <v>10.149999999999999</v>
      </c>
      <c r="AS30" s="176">
        <v>10.154999999999999</v>
      </c>
      <c r="AT30" s="173" t="str">
        <f t="shared" si="4"/>
        <v/>
      </c>
      <c r="AU30" s="173">
        <v>431</v>
      </c>
      <c r="AW30" s="142" t="s">
        <v>123</v>
      </c>
    </row>
    <row r="31" spans="2:49" s="142" customFormat="1" ht="21" customHeight="1" x14ac:dyDescent="0.25">
      <c r="B31" s="173" t="str">
        <f t="shared" si="5"/>
        <v>0-304L/FH-1.45X642</v>
      </c>
      <c r="C31" s="173" t="s">
        <v>4340</v>
      </c>
      <c r="D31" s="173" t="s">
        <v>16</v>
      </c>
      <c r="E31" s="190" t="s">
        <v>1623</v>
      </c>
      <c r="F31" s="190" t="s">
        <v>1624</v>
      </c>
      <c r="G31" s="173" t="s">
        <v>182</v>
      </c>
      <c r="H31" s="173" t="s">
        <v>70</v>
      </c>
      <c r="I31" s="174">
        <v>3.88</v>
      </c>
      <c r="J31" s="174">
        <v>1.45</v>
      </c>
      <c r="K31" s="174"/>
      <c r="L31" s="174"/>
      <c r="M31" s="191">
        <v>642</v>
      </c>
      <c r="N31" s="176">
        <v>10.494999999999999</v>
      </c>
      <c r="O31" s="176">
        <v>10.494999999999999</v>
      </c>
      <c r="P31" s="176"/>
      <c r="Q31" s="178"/>
      <c r="R31" s="179"/>
      <c r="S31" s="179"/>
      <c r="T31" s="177">
        <v>44950</v>
      </c>
      <c r="U31" s="177"/>
      <c r="V31" s="177"/>
      <c r="W31" s="177"/>
      <c r="X31" s="177"/>
      <c r="Y31" s="177"/>
      <c r="Z31" s="177"/>
      <c r="AA31" s="177"/>
      <c r="AB31" s="177"/>
      <c r="AC31" s="177"/>
      <c r="AD31" s="180" t="s">
        <v>1605</v>
      </c>
      <c r="AE31" s="173" t="s">
        <v>69</v>
      </c>
      <c r="AF31" s="181" t="s">
        <v>142</v>
      </c>
      <c r="AG31" s="192" t="s">
        <v>1594</v>
      </c>
      <c r="AH31" s="198"/>
      <c r="AI31" s="181">
        <v>44849</v>
      </c>
      <c r="AJ31" s="181"/>
      <c r="AK31" s="181">
        <f t="shared" ca="1" si="1"/>
        <v>44958</v>
      </c>
      <c r="AL31" s="173">
        <f t="shared" ca="1" si="6"/>
        <v>109</v>
      </c>
      <c r="AM31" s="173" t="str">
        <f t="shared" si="7"/>
        <v/>
      </c>
      <c r="AN31" s="181"/>
      <c r="AO31" s="190" t="s">
        <v>1625</v>
      </c>
      <c r="AP31" s="176">
        <v>10.494999999999999</v>
      </c>
      <c r="AQ31" s="176">
        <v>10.505000000000001</v>
      </c>
      <c r="AR31" s="176">
        <v>10.53</v>
      </c>
      <c r="AS31" s="176">
        <v>10.535</v>
      </c>
      <c r="AT31" s="173" t="str">
        <f t="shared" si="4"/>
        <v/>
      </c>
      <c r="AU31" s="173">
        <v>456</v>
      </c>
      <c r="AW31" s="142" t="s">
        <v>123</v>
      </c>
    </row>
    <row r="32" spans="2:49" s="142" customFormat="1" ht="21" customHeight="1" x14ac:dyDescent="0.25">
      <c r="B32" s="173" t="str">
        <f t="shared" si="5"/>
        <v>0-304/1D-3.51X643</v>
      </c>
      <c r="C32" s="173" t="s">
        <v>4341</v>
      </c>
      <c r="D32" s="173" t="s">
        <v>13</v>
      </c>
      <c r="E32" s="190" t="s">
        <v>1665</v>
      </c>
      <c r="F32" s="190" t="s">
        <v>1666</v>
      </c>
      <c r="G32" s="173">
        <v>304</v>
      </c>
      <c r="H32" s="173" t="s">
        <v>127</v>
      </c>
      <c r="I32" s="174">
        <v>3.51</v>
      </c>
      <c r="J32" s="174"/>
      <c r="K32" s="174"/>
      <c r="L32" s="174"/>
      <c r="M32" s="191">
        <v>643</v>
      </c>
      <c r="N32" s="176">
        <v>10.63</v>
      </c>
      <c r="O32" s="176">
        <v>10.63</v>
      </c>
      <c r="P32" s="176"/>
      <c r="Q32" s="178"/>
      <c r="R32" s="179"/>
      <c r="S32" s="179"/>
      <c r="T32" s="177"/>
      <c r="U32" s="177">
        <v>44953</v>
      </c>
      <c r="V32" s="177"/>
      <c r="W32" s="177"/>
      <c r="X32" s="177"/>
      <c r="Y32" s="177"/>
      <c r="Z32" s="177"/>
      <c r="AA32" s="177"/>
      <c r="AB32" s="177"/>
      <c r="AC32" s="177"/>
      <c r="AD32" s="180" t="s">
        <v>1643</v>
      </c>
      <c r="AE32" s="173" t="s">
        <v>69</v>
      </c>
      <c r="AF32" s="181" t="s">
        <v>142</v>
      </c>
      <c r="AG32" s="192" t="s">
        <v>1657</v>
      </c>
      <c r="AH32" s="198"/>
      <c r="AI32" s="181">
        <v>44849</v>
      </c>
      <c r="AJ32" s="181"/>
      <c r="AK32" s="181">
        <f t="shared" ca="1" si="1"/>
        <v>44958</v>
      </c>
      <c r="AL32" s="173">
        <f t="shared" ca="1" si="6"/>
        <v>109</v>
      </c>
      <c r="AM32" s="173" t="str">
        <f t="shared" si="7"/>
        <v/>
      </c>
      <c r="AN32" s="181"/>
      <c r="AO32" s="190" t="s">
        <v>1667</v>
      </c>
      <c r="AP32" s="176">
        <v>10.63</v>
      </c>
      <c r="AQ32" s="176">
        <v>10.64</v>
      </c>
      <c r="AR32" s="176">
        <v>10.664999999999999</v>
      </c>
      <c r="AS32" s="176">
        <v>10.67</v>
      </c>
      <c r="AT32" s="173" t="str">
        <f t="shared" si="4"/>
        <v/>
      </c>
      <c r="AU32" s="173">
        <v>456</v>
      </c>
      <c r="AW32" s="142" t="s">
        <v>123</v>
      </c>
    </row>
    <row r="33" spans="2:53" s="142" customFormat="1" ht="21" customHeight="1" x14ac:dyDescent="0.25">
      <c r="B33" s="173" t="str">
        <f t="shared" si="5"/>
        <v>0-J3/1D-2.40X620</v>
      </c>
      <c r="C33" s="173" t="s">
        <v>4341</v>
      </c>
      <c r="D33" s="173" t="s">
        <v>13</v>
      </c>
      <c r="E33" s="190" t="s">
        <v>373</v>
      </c>
      <c r="F33" s="190" t="s">
        <v>374</v>
      </c>
      <c r="G33" s="173" t="s">
        <v>34</v>
      </c>
      <c r="H33" s="173" t="s">
        <v>127</v>
      </c>
      <c r="I33" s="174">
        <v>2.4</v>
      </c>
      <c r="J33" s="174"/>
      <c r="K33" s="174"/>
      <c r="L33" s="174"/>
      <c r="M33" s="191">
        <v>620</v>
      </c>
      <c r="N33" s="176">
        <v>10.025</v>
      </c>
      <c r="O33" s="176">
        <v>10.025</v>
      </c>
      <c r="P33" s="176"/>
      <c r="Q33" s="178"/>
      <c r="R33" s="179"/>
      <c r="S33" s="179"/>
      <c r="T33" s="177"/>
      <c r="U33" s="177">
        <v>44953</v>
      </c>
      <c r="V33" s="177"/>
      <c r="W33" s="177"/>
      <c r="X33" s="177"/>
      <c r="Y33" s="177"/>
      <c r="Z33" s="177"/>
      <c r="AA33" s="177"/>
      <c r="AB33" s="177"/>
      <c r="AC33" s="177"/>
      <c r="AD33" s="180"/>
      <c r="AE33" s="173" t="s">
        <v>69</v>
      </c>
      <c r="AF33" s="181" t="s">
        <v>248</v>
      </c>
      <c r="AG33" s="181"/>
      <c r="AH33" s="181"/>
      <c r="AI33" s="181">
        <v>44384</v>
      </c>
      <c r="AJ33" s="181"/>
      <c r="AK33" s="181">
        <f t="shared" ca="1" si="1"/>
        <v>44958</v>
      </c>
      <c r="AL33" s="173">
        <f t="shared" ca="1" si="6"/>
        <v>574</v>
      </c>
      <c r="AM33" s="173" t="str">
        <f t="shared" si="7"/>
        <v/>
      </c>
      <c r="AN33" s="181" t="s">
        <v>375</v>
      </c>
      <c r="AO33" s="190" t="s">
        <v>376</v>
      </c>
      <c r="AP33" s="176">
        <v>10.025</v>
      </c>
      <c r="AQ33" s="176">
        <v>10.065</v>
      </c>
      <c r="AR33" s="176">
        <v>10.089999999999998</v>
      </c>
      <c r="AS33" s="176">
        <v>10.094999999999999</v>
      </c>
      <c r="AT33" s="173" t="str">
        <f t="shared" si="4"/>
        <v/>
      </c>
      <c r="AU33" s="173">
        <v>400</v>
      </c>
      <c r="AW33" s="142" t="s">
        <v>123</v>
      </c>
    </row>
    <row r="34" spans="2:53" s="142" customFormat="1" ht="21" customHeight="1" x14ac:dyDescent="0.25">
      <c r="B34" s="173" t="str">
        <f t="shared" si="5"/>
        <v>0-J3/1D-2.40X620</v>
      </c>
      <c r="C34" s="173" t="s">
        <v>4342</v>
      </c>
      <c r="D34" s="173" t="s">
        <v>13</v>
      </c>
      <c r="E34" s="190" t="s">
        <v>737</v>
      </c>
      <c r="F34" s="190" t="s">
        <v>738</v>
      </c>
      <c r="G34" s="173" t="s">
        <v>34</v>
      </c>
      <c r="H34" s="173" t="s">
        <v>127</v>
      </c>
      <c r="I34" s="174">
        <v>2.4</v>
      </c>
      <c r="J34" s="174"/>
      <c r="K34" s="174"/>
      <c r="L34" s="174"/>
      <c r="M34" s="191">
        <v>620</v>
      </c>
      <c r="N34" s="176">
        <v>10.156000000000001</v>
      </c>
      <c r="O34" s="176">
        <v>10.156000000000001</v>
      </c>
      <c r="P34" s="176"/>
      <c r="Q34" s="178"/>
      <c r="R34" s="179"/>
      <c r="S34" s="179"/>
      <c r="T34" s="177"/>
      <c r="U34" s="177">
        <v>44954</v>
      </c>
      <c r="V34" s="177"/>
      <c r="W34" s="177"/>
      <c r="X34" s="177"/>
      <c r="Y34" s="177"/>
      <c r="Z34" s="177"/>
      <c r="AA34" s="177"/>
      <c r="AB34" s="177"/>
      <c r="AC34" s="177"/>
      <c r="AD34" s="180"/>
      <c r="AE34" s="173" t="s">
        <v>69</v>
      </c>
      <c r="AF34" s="181" t="s">
        <v>248</v>
      </c>
      <c r="AG34" s="181" t="s">
        <v>678</v>
      </c>
      <c r="AH34" s="181">
        <v>44621</v>
      </c>
      <c r="AI34" s="181">
        <v>44644</v>
      </c>
      <c r="AJ34" s="181"/>
      <c r="AK34" s="181">
        <f t="shared" ca="1" si="1"/>
        <v>44958</v>
      </c>
      <c r="AL34" s="173">
        <f t="shared" ca="1" si="6"/>
        <v>314</v>
      </c>
      <c r="AM34" s="173" t="str">
        <f t="shared" si="7"/>
        <v/>
      </c>
      <c r="AN34" s="181" t="s">
        <v>730</v>
      </c>
      <c r="AO34" s="190" t="s">
        <v>739</v>
      </c>
      <c r="AP34" s="176">
        <v>10.156000000000001</v>
      </c>
      <c r="AQ34" s="176">
        <v>10.196</v>
      </c>
      <c r="AR34" s="176">
        <v>10.220999999999998</v>
      </c>
      <c r="AS34" s="176">
        <v>10.225999999999999</v>
      </c>
      <c r="AT34" s="173" t="str">
        <f t="shared" si="4"/>
        <v/>
      </c>
      <c r="AU34" s="173">
        <v>427</v>
      </c>
      <c r="AW34" s="142" t="s">
        <v>123</v>
      </c>
    </row>
    <row r="35" spans="2:53" s="142" customFormat="1" ht="21" customHeight="1" x14ac:dyDescent="0.25">
      <c r="B35" s="173" t="str">
        <f t="shared" si="5"/>
        <v>0-304/FH-1.15X643</v>
      </c>
      <c r="C35" s="173" t="s">
        <v>4343</v>
      </c>
      <c r="D35" s="173" t="s">
        <v>16</v>
      </c>
      <c r="E35" s="190" t="s">
        <v>4182</v>
      </c>
      <c r="F35" s="190" t="s">
        <v>4183</v>
      </c>
      <c r="G35" s="173">
        <v>304</v>
      </c>
      <c r="H35" s="173" t="s">
        <v>70</v>
      </c>
      <c r="I35" s="174">
        <v>3.39</v>
      </c>
      <c r="J35" s="174">
        <v>1.1499999999999999</v>
      </c>
      <c r="K35" s="174"/>
      <c r="L35" s="174"/>
      <c r="M35" s="191">
        <v>643</v>
      </c>
      <c r="N35" s="176">
        <v>10.055</v>
      </c>
      <c r="O35" s="176">
        <v>10.055</v>
      </c>
      <c r="P35" s="176"/>
      <c r="Q35" s="178"/>
      <c r="R35" s="179" t="s">
        <v>4328</v>
      </c>
      <c r="S35" s="179"/>
      <c r="T35" s="177">
        <v>44946</v>
      </c>
      <c r="U35" s="177"/>
      <c r="V35" s="177"/>
      <c r="W35" s="177">
        <v>44951</v>
      </c>
      <c r="X35" s="177"/>
      <c r="Y35" s="177"/>
      <c r="Z35" s="177"/>
      <c r="AA35" s="177"/>
      <c r="AB35" s="177"/>
      <c r="AC35" s="177"/>
      <c r="AD35" s="180" t="s">
        <v>1605</v>
      </c>
      <c r="AE35" s="173" t="s">
        <v>69</v>
      </c>
      <c r="AF35" s="181" t="s">
        <v>142</v>
      </c>
      <c r="AG35" s="192" t="s">
        <v>1657</v>
      </c>
      <c r="AH35" s="198"/>
      <c r="AI35" s="181">
        <v>44849</v>
      </c>
      <c r="AJ35" s="181"/>
      <c r="AK35" s="181">
        <f t="shared" ca="1" si="1"/>
        <v>44958</v>
      </c>
      <c r="AL35" s="173">
        <f t="shared" ca="1" si="6"/>
        <v>109</v>
      </c>
      <c r="AM35" s="173" t="str">
        <f t="shared" si="7"/>
        <v/>
      </c>
      <c r="AN35" s="181"/>
      <c r="AO35" s="190" t="s">
        <v>4184</v>
      </c>
      <c r="AP35" s="176">
        <v>10.055</v>
      </c>
      <c r="AQ35" s="176">
        <v>10.065</v>
      </c>
      <c r="AR35" s="176">
        <v>10.089999999999998</v>
      </c>
      <c r="AS35" s="176">
        <v>10.094999999999999</v>
      </c>
      <c r="AT35" s="173" t="str">
        <f t="shared" si="4"/>
        <v/>
      </c>
      <c r="AU35" s="173">
        <v>456</v>
      </c>
      <c r="AW35" s="142" t="s">
        <v>123</v>
      </c>
    </row>
    <row r="36" spans="2:53" s="142" customFormat="1" ht="21" customHeight="1" x14ac:dyDescent="0.25">
      <c r="B36" s="173" t="str">
        <f t="shared" si="5"/>
        <v>0-304L/FH-1.15X643</v>
      </c>
      <c r="C36" s="173" t="s">
        <v>4343</v>
      </c>
      <c r="D36" s="173" t="s">
        <v>16</v>
      </c>
      <c r="E36" s="190" t="s">
        <v>4333</v>
      </c>
      <c r="F36" s="190" t="s">
        <v>4334</v>
      </c>
      <c r="G36" s="173" t="s">
        <v>182</v>
      </c>
      <c r="H36" s="173" t="s">
        <v>70</v>
      </c>
      <c r="I36" s="174">
        <v>2.99</v>
      </c>
      <c r="J36" s="174">
        <v>1.1499999999999999</v>
      </c>
      <c r="K36" s="174"/>
      <c r="L36" s="174"/>
      <c r="M36" s="191">
        <v>643</v>
      </c>
      <c r="N36" s="176">
        <v>10.76</v>
      </c>
      <c r="O36" s="176">
        <v>10.76</v>
      </c>
      <c r="P36" s="176"/>
      <c r="Q36" s="178"/>
      <c r="R36" s="179" t="s">
        <v>4328</v>
      </c>
      <c r="S36" s="179"/>
      <c r="T36" s="177">
        <v>44950</v>
      </c>
      <c r="U36" s="177"/>
      <c r="V36" s="177"/>
      <c r="W36" s="177"/>
      <c r="X36" s="177"/>
      <c r="Y36" s="177"/>
      <c r="Z36" s="177"/>
      <c r="AA36" s="177"/>
      <c r="AB36" s="177"/>
      <c r="AC36" s="177"/>
      <c r="AD36" s="180" t="s">
        <v>1643</v>
      </c>
      <c r="AE36" s="173" t="s">
        <v>69</v>
      </c>
      <c r="AF36" s="181" t="s">
        <v>142</v>
      </c>
      <c r="AG36" s="192" t="s">
        <v>1657</v>
      </c>
      <c r="AH36" s="198"/>
      <c r="AI36" s="181">
        <v>44849</v>
      </c>
      <c r="AJ36" s="181"/>
      <c r="AK36" s="181">
        <f t="shared" ca="1" si="1"/>
        <v>44958</v>
      </c>
      <c r="AL36" s="173">
        <f t="shared" ca="1" si="6"/>
        <v>109</v>
      </c>
      <c r="AM36" s="173" t="str">
        <f t="shared" si="7"/>
        <v/>
      </c>
      <c r="AN36" s="181"/>
      <c r="AO36" s="190" t="s">
        <v>1673</v>
      </c>
      <c r="AP36" s="176">
        <v>10.76</v>
      </c>
      <c r="AQ36" s="176">
        <v>10.77</v>
      </c>
      <c r="AR36" s="176">
        <v>10.794999999999998</v>
      </c>
      <c r="AS36" s="176">
        <v>10.799999999999999</v>
      </c>
      <c r="AT36" s="173" t="str">
        <f t="shared" si="4"/>
        <v/>
      </c>
      <c r="AU36" s="173">
        <v>456</v>
      </c>
      <c r="AW36" s="142" t="s">
        <v>123</v>
      </c>
    </row>
    <row r="37" spans="2:53" s="142" customFormat="1" ht="21" customHeight="1" x14ac:dyDescent="0.25">
      <c r="B37" s="173" t="str">
        <f t="shared" si="5"/>
        <v>0-304L/FH-1.15X642</v>
      </c>
      <c r="C37" s="173" t="s">
        <v>4343</v>
      </c>
      <c r="D37" s="173" t="s">
        <v>16</v>
      </c>
      <c r="E37" s="190" t="s">
        <v>4338</v>
      </c>
      <c r="F37" s="190" t="s">
        <v>4339</v>
      </c>
      <c r="G37" s="173" t="s">
        <v>182</v>
      </c>
      <c r="H37" s="173" t="s">
        <v>70</v>
      </c>
      <c r="I37" s="174">
        <v>2.89</v>
      </c>
      <c r="J37" s="174">
        <v>1.1499999999999999</v>
      </c>
      <c r="K37" s="174"/>
      <c r="L37" s="174"/>
      <c r="M37" s="191">
        <v>642</v>
      </c>
      <c r="N37" s="176">
        <v>10.755000000000001</v>
      </c>
      <c r="O37" s="176">
        <v>10.755000000000001</v>
      </c>
      <c r="P37" s="176"/>
      <c r="Q37" s="178"/>
      <c r="R37" s="179" t="s">
        <v>4328</v>
      </c>
      <c r="S37" s="179"/>
      <c r="T37" s="177"/>
      <c r="U37" s="177">
        <v>44951</v>
      </c>
      <c r="V37" s="177"/>
      <c r="W37" s="177"/>
      <c r="X37" s="177"/>
      <c r="Y37" s="177"/>
      <c r="Z37" s="177"/>
      <c r="AA37" s="177"/>
      <c r="AB37" s="177"/>
      <c r="AC37" s="177"/>
      <c r="AD37" s="180" t="s">
        <v>1643</v>
      </c>
      <c r="AE37" s="173" t="s">
        <v>69</v>
      </c>
      <c r="AF37" s="181" t="s">
        <v>142</v>
      </c>
      <c r="AG37" s="192" t="s">
        <v>1594</v>
      </c>
      <c r="AH37" s="198"/>
      <c r="AI37" s="181">
        <v>44849</v>
      </c>
      <c r="AJ37" s="181"/>
      <c r="AK37" s="181">
        <f t="shared" ca="1" si="1"/>
        <v>44958</v>
      </c>
      <c r="AL37" s="173">
        <f t="shared" ca="1" si="6"/>
        <v>109</v>
      </c>
      <c r="AM37" s="173" t="str">
        <f t="shared" si="7"/>
        <v/>
      </c>
      <c r="AN37" s="181"/>
      <c r="AO37" s="190" t="s">
        <v>1640</v>
      </c>
      <c r="AP37" s="176">
        <v>10.755000000000001</v>
      </c>
      <c r="AQ37" s="176">
        <v>10.765000000000001</v>
      </c>
      <c r="AR37" s="176">
        <v>10.79</v>
      </c>
      <c r="AS37" s="176">
        <v>10.795</v>
      </c>
      <c r="AT37" s="173" t="str">
        <f t="shared" si="4"/>
        <v/>
      </c>
      <c r="AU37" s="173">
        <v>456</v>
      </c>
      <c r="AW37" s="142" t="s">
        <v>123</v>
      </c>
    </row>
    <row r="38" spans="2:53" s="142" customFormat="1" ht="21" customHeight="1" x14ac:dyDescent="0.25">
      <c r="B38" s="173" t="str">
        <f t="shared" si="5"/>
        <v>0-304L/FH-0.90X643</v>
      </c>
      <c r="C38" s="173" t="s">
        <v>4343</v>
      </c>
      <c r="D38" s="173" t="s">
        <v>16</v>
      </c>
      <c r="E38" s="190" t="s">
        <v>4336</v>
      </c>
      <c r="F38" s="190" t="s">
        <v>4337</v>
      </c>
      <c r="G38" s="173" t="s">
        <v>182</v>
      </c>
      <c r="H38" s="173" t="s">
        <v>70</v>
      </c>
      <c r="I38" s="174">
        <v>2.89</v>
      </c>
      <c r="J38" s="174">
        <v>0.9</v>
      </c>
      <c r="K38" s="174"/>
      <c r="L38" s="174"/>
      <c r="M38" s="191">
        <v>643</v>
      </c>
      <c r="N38" s="176">
        <v>10.77</v>
      </c>
      <c r="O38" s="176">
        <v>10.77</v>
      </c>
      <c r="P38" s="176"/>
      <c r="Q38" s="178"/>
      <c r="R38" s="179"/>
      <c r="S38" s="179"/>
      <c r="T38" s="177"/>
      <c r="U38" s="177">
        <v>44951</v>
      </c>
      <c r="V38" s="177"/>
      <c r="W38" s="177"/>
      <c r="X38" s="177"/>
      <c r="Y38" s="177"/>
      <c r="Z38" s="177"/>
      <c r="AA38" s="177"/>
      <c r="AB38" s="177"/>
      <c r="AC38" s="177"/>
      <c r="AD38" s="180" t="s">
        <v>1643</v>
      </c>
      <c r="AE38" s="173" t="s">
        <v>69</v>
      </c>
      <c r="AF38" s="181" t="s">
        <v>142</v>
      </c>
      <c r="AG38" s="192" t="s">
        <v>1594</v>
      </c>
      <c r="AH38" s="198"/>
      <c r="AI38" s="181">
        <v>44849</v>
      </c>
      <c r="AJ38" s="181"/>
      <c r="AK38" s="181">
        <f t="shared" ca="1" si="1"/>
        <v>44958</v>
      </c>
      <c r="AL38" s="173">
        <f t="shared" ca="1" si="6"/>
        <v>109</v>
      </c>
      <c r="AM38" s="173" t="str">
        <f t="shared" si="7"/>
        <v/>
      </c>
      <c r="AN38" s="181"/>
      <c r="AO38" s="190" t="s">
        <v>4321</v>
      </c>
      <c r="AP38" s="176">
        <v>10.77</v>
      </c>
      <c r="AQ38" s="176">
        <v>10.78</v>
      </c>
      <c r="AR38" s="176">
        <v>10.804999999999998</v>
      </c>
      <c r="AS38" s="176">
        <v>10.809999999999999</v>
      </c>
      <c r="AT38" s="173" t="str">
        <f t="shared" si="4"/>
        <v/>
      </c>
      <c r="AU38" s="173">
        <v>456</v>
      </c>
      <c r="AW38" s="142" t="s">
        <v>123</v>
      </c>
    </row>
    <row r="39" spans="2:53" s="142" customFormat="1" ht="21" customHeight="1" x14ac:dyDescent="0.25">
      <c r="B39" s="173" t="str">
        <f t="shared" si="5"/>
        <v>0-J3/1D-2.20X620</v>
      </c>
      <c r="C39" s="173" t="s">
        <v>4342</v>
      </c>
      <c r="D39" s="173" t="s">
        <v>13</v>
      </c>
      <c r="E39" s="190" t="s">
        <v>2852</v>
      </c>
      <c r="F39" s="190" t="s">
        <v>2853</v>
      </c>
      <c r="G39" s="173" t="s">
        <v>34</v>
      </c>
      <c r="H39" s="173" t="s">
        <v>127</v>
      </c>
      <c r="I39" s="174">
        <v>2.2000000000000002</v>
      </c>
      <c r="J39" s="174"/>
      <c r="K39" s="174"/>
      <c r="L39" s="174"/>
      <c r="M39" s="191">
        <v>620</v>
      </c>
      <c r="N39" s="176">
        <v>9.9600000000000009</v>
      </c>
      <c r="O39" s="176">
        <v>9.9600000000000009</v>
      </c>
      <c r="P39" s="176"/>
      <c r="Q39" s="178"/>
      <c r="R39" s="179"/>
      <c r="S39" s="179"/>
      <c r="T39" s="177"/>
      <c r="U39" s="177">
        <v>44954</v>
      </c>
      <c r="V39" s="177"/>
      <c r="W39" s="177"/>
      <c r="X39" s="177"/>
      <c r="Y39" s="177"/>
      <c r="Z39" s="177"/>
      <c r="AA39" s="177"/>
      <c r="AB39" s="177"/>
      <c r="AC39" s="177"/>
      <c r="AD39" s="180"/>
      <c r="AE39" s="173" t="s">
        <v>69</v>
      </c>
      <c r="AF39" s="181" t="s">
        <v>119</v>
      </c>
      <c r="AG39" s="192" t="s">
        <v>2834</v>
      </c>
      <c r="AH39" s="198">
        <v>44895</v>
      </c>
      <c r="AI39" s="181">
        <v>44925</v>
      </c>
      <c r="AJ39" s="181"/>
      <c r="AK39" s="181">
        <f t="shared" ca="1" si="1"/>
        <v>44958</v>
      </c>
      <c r="AL39" s="173">
        <f t="shared" ca="1" si="6"/>
        <v>33</v>
      </c>
      <c r="AM39" s="173" t="str">
        <f t="shared" si="7"/>
        <v/>
      </c>
      <c r="AN39" s="181" t="s">
        <v>2854</v>
      </c>
      <c r="AO39" s="190" t="s">
        <v>2855</v>
      </c>
      <c r="AP39" s="176">
        <v>9.9600000000000009</v>
      </c>
      <c r="AQ39" s="176">
        <v>9.98</v>
      </c>
      <c r="AR39" s="176">
        <v>10.004999999999999</v>
      </c>
      <c r="AS39" s="176">
        <v>10.01</v>
      </c>
      <c r="AT39" s="173"/>
      <c r="AU39" s="173">
        <v>464</v>
      </c>
      <c r="AV39" s="149"/>
      <c r="AW39" s="142" t="s">
        <v>123</v>
      </c>
      <c r="AY39" s="212"/>
      <c r="AZ39" s="196"/>
      <c r="BA39" s="196"/>
    </row>
    <row r="40" spans="2:53" s="142" customFormat="1" ht="21" customHeight="1" x14ac:dyDescent="0.25">
      <c r="B40" s="173" t="str">
        <f t="shared" si="5"/>
        <v>0-J3/1D-2.20X620</v>
      </c>
      <c r="C40" s="173" t="s">
        <v>4344</v>
      </c>
      <c r="D40" s="173" t="s">
        <v>13</v>
      </c>
      <c r="E40" s="190" t="s">
        <v>685</v>
      </c>
      <c r="F40" s="190" t="s">
        <v>686</v>
      </c>
      <c r="G40" s="173" t="s">
        <v>34</v>
      </c>
      <c r="H40" s="173" t="s">
        <v>127</v>
      </c>
      <c r="I40" s="174">
        <v>2.2000000000000002</v>
      </c>
      <c r="J40" s="174"/>
      <c r="K40" s="174"/>
      <c r="L40" s="174"/>
      <c r="M40" s="191">
        <v>620</v>
      </c>
      <c r="N40" s="176">
        <v>10.298999999999999</v>
      </c>
      <c r="O40" s="176">
        <v>10.298999999999999</v>
      </c>
      <c r="P40" s="176"/>
      <c r="Q40" s="178"/>
      <c r="R40" s="179"/>
      <c r="S40" s="179"/>
      <c r="T40" s="177"/>
      <c r="U40" s="177">
        <v>44955</v>
      </c>
      <c r="V40" s="177"/>
      <c r="W40" s="177"/>
      <c r="X40" s="177"/>
      <c r="Y40" s="177"/>
      <c r="Z40" s="177"/>
      <c r="AA40" s="177"/>
      <c r="AB40" s="177"/>
      <c r="AC40" s="177"/>
      <c r="AD40" s="180"/>
      <c r="AE40" s="173" t="s">
        <v>69</v>
      </c>
      <c r="AF40" s="181" t="s">
        <v>248</v>
      </c>
      <c r="AG40" s="181" t="s">
        <v>678</v>
      </c>
      <c r="AH40" s="181">
        <v>44621</v>
      </c>
      <c r="AI40" s="181">
        <v>44644</v>
      </c>
      <c r="AJ40" s="181"/>
      <c r="AK40" s="181">
        <f t="shared" ca="1" si="1"/>
        <v>44958</v>
      </c>
      <c r="AL40" s="173">
        <f t="shared" ca="1" si="6"/>
        <v>314</v>
      </c>
      <c r="AM40" s="173" t="str">
        <f t="shared" si="7"/>
        <v/>
      </c>
      <c r="AN40" s="181" t="s">
        <v>687</v>
      </c>
      <c r="AO40" s="190" t="s">
        <v>688</v>
      </c>
      <c r="AP40" s="176">
        <v>10.298999999999999</v>
      </c>
      <c r="AQ40" s="176">
        <v>10.339</v>
      </c>
      <c r="AR40" s="176">
        <v>10.363999999999999</v>
      </c>
      <c r="AS40" s="176">
        <v>10.369</v>
      </c>
      <c r="AT40" s="173" t="str">
        <f t="shared" ref="AT40:AT47" si="9">IF(ISNUMBER(V40)=TRUE,AK40-V40,IF(V40="","",(AK40)-(MID(RIGHT(V40,10),4,2)&amp;"/"&amp;LEFT((RIGHT(V40,10)),2)&amp;"/"&amp;RIGHT(V40,4))))</f>
        <v/>
      </c>
      <c r="AU40" s="173">
        <v>427</v>
      </c>
      <c r="AW40" s="142" t="s">
        <v>123</v>
      </c>
    </row>
    <row r="41" spans="2:53" s="142" customFormat="1" ht="21" customHeight="1" x14ac:dyDescent="0.25">
      <c r="B41" s="173" t="str">
        <f t="shared" si="5"/>
        <v>0-304L/1D-2.99X643</v>
      </c>
      <c r="C41" s="173" t="s">
        <v>4344</v>
      </c>
      <c r="D41" s="173" t="s">
        <v>13</v>
      </c>
      <c r="E41" s="190" t="s">
        <v>1671</v>
      </c>
      <c r="F41" s="190" t="s">
        <v>1672</v>
      </c>
      <c r="G41" s="173" t="s">
        <v>182</v>
      </c>
      <c r="H41" s="173" t="s">
        <v>127</v>
      </c>
      <c r="I41" s="174">
        <v>2.99</v>
      </c>
      <c r="J41" s="174"/>
      <c r="K41" s="174"/>
      <c r="L41" s="174"/>
      <c r="M41" s="191">
        <v>643</v>
      </c>
      <c r="N41" s="176">
        <v>10.71</v>
      </c>
      <c r="O41" s="176">
        <v>10.71</v>
      </c>
      <c r="P41" s="176"/>
      <c r="Q41" s="178"/>
      <c r="R41" s="179"/>
      <c r="S41" s="179"/>
      <c r="T41" s="177"/>
      <c r="U41" s="177">
        <v>44955</v>
      </c>
      <c r="V41" s="177"/>
      <c r="W41" s="177"/>
      <c r="X41" s="177"/>
      <c r="Y41" s="177"/>
      <c r="Z41" s="177"/>
      <c r="AA41" s="177"/>
      <c r="AB41" s="177"/>
      <c r="AC41" s="177"/>
      <c r="AD41" s="180" t="s">
        <v>1593</v>
      </c>
      <c r="AE41" s="173" t="s">
        <v>69</v>
      </c>
      <c r="AF41" s="181" t="s">
        <v>142</v>
      </c>
      <c r="AG41" s="192" t="s">
        <v>1657</v>
      </c>
      <c r="AH41" s="198"/>
      <c r="AI41" s="181">
        <v>44849</v>
      </c>
      <c r="AJ41" s="181"/>
      <c r="AK41" s="181">
        <f t="shared" ca="1" si="1"/>
        <v>44958</v>
      </c>
      <c r="AL41" s="173">
        <f t="shared" ca="1" si="6"/>
        <v>109</v>
      </c>
      <c r="AM41" s="173" t="str">
        <f t="shared" si="7"/>
        <v/>
      </c>
      <c r="AN41" s="181"/>
      <c r="AO41" s="190" t="s">
        <v>1673</v>
      </c>
      <c r="AP41" s="176">
        <v>10.71</v>
      </c>
      <c r="AQ41" s="176">
        <v>10.72</v>
      </c>
      <c r="AR41" s="176">
        <v>10.744999999999999</v>
      </c>
      <c r="AS41" s="176">
        <v>10.75</v>
      </c>
      <c r="AT41" s="173" t="str">
        <f t="shared" si="9"/>
        <v/>
      </c>
      <c r="AU41" s="173">
        <v>456</v>
      </c>
      <c r="AW41" s="142" t="s">
        <v>123</v>
      </c>
    </row>
    <row r="42" spans="2:53" s="142" customFormat="1" ht="21" customHeight="1" x14ac:dyDescent="0.25">
      <c r="B42" s="173" t="str">
        <f t="shared" si="5"/>
        <v>0-304L/1D-2.99X642</v>
      </c>
      <c r="C42" s="173" t="s">
        <v>4344</v>
      </c>
      <c r="D42" s="173" t="s">
        <v>13</v>
      </c>
      <c r="E42" s="190" t="s">
        <v>1714</v>
      </c>
      <c r="F42" s="190" t="s">
        <v>1715</v>
      </c>
      <c r="G42" s="173" t="s">
        <v>182</v>
      </c>
      <c r="H42" s="173" t="s">
        <v>127</v>
      </c>
      <c r="I42" s="174">
        <v>2.99</v>
      </c>
      <c r="J42" s="174"/>
      <c r="K42" s="174"/>
      <c r="L42" s="174"/>
      <c r="M42" s="191">
        <v>642</v>
      </c>
      <c r="N42" s="176">
        <v>10.71</v>
      </c>
      <c r="O42" s="176">
        <v>10.71</v>
      </c>
      <c r="P42" s="176"/>
      <c r="Q42" s="178"/>
      <c r="R42" s="179"/>
      <c r="S42" s="179"/>
      <c r="T42" s="177"/>
      <c r="U42" s="177">
        <v>44955</v>
      </c>
      <c r="V42" s="177"/>
      <c r="W42" s="177"/>
      <c r="X42" s="177"/>
      <c r="Y42" s="177"/>
      <c r="Z42" s="177"/>
      <c r="AA42" s="177"/>
      <c r="AB42" s="177"/>
      <c r="AC42" s="177"/>
      <c r="AD42" s="180" t="s">
        <v>1593</v>
      </c>
      <c r="AE42" s="173" t="s">
        <v>69</v>
      </c>
      <c r="AF42" s="181" t="s">
        <v>142</v>
      </c>
      <c r="AG42" s="192" t="s">
        <v>1657</v>
      </c>
      <c r="AH42" s="198"/>
      <c r="AI42" s="181">
        <v>44849</v>
      </c>
      <c r="AJ42" s="181"/>
      <c r="AK42" s="181">
        <f t="shared" ca="1" si="1"/>
        <v>44958</v>
      </c>
      <c r="AL42" s="173">
        <f t="shared" ca="1" si="6"/>
        <v>109</v>
      </c>
      <c r="AM42" s="173" t="str">
        <f t="shared" si="7"/>
        <v/>
      </c>
      <c r="AN42" s="181"/>
      <c r="AO42" s="190" t="s">
        <v>1716</v>
      </c>
      <c r="AP42" s="176">
        <v>10.71</v>
      </c>
      <c r="AQ42" s="176">
        <v>10.72</v>
      </c>
      <c r="AR42" s="176">
        <v>10.744999999999999</v>
      </c>
      <c r="AS42" s="176">
        <v>10.75</v>
      </c>
      <c r="AT42" s="173" t="str">
        <f t="shared" si="9"/>
        <v/>
      </c>
      <c r="AU42" s="173">
        <v>456</v>
      </c>
      <c r="AW42" s="142" t="s">
        <v>123</v>
      </c>
    </row>
    <row r="43" spans="2:53" s="142" customFormat="1" ht="21" customHeight="1" x14ac:dyDescent="0.25">
      <c r="B43" s="173" t="str">
        <f t="shared" si="5"/>
        <v>0-304L/1D-2.99X643</v>
      </c>
      <c r="C43" s="173" t="s">
        <v>4345</v>
      </c>
      <c r="D43" s="173" t="s">
        <v>13</v>
      </c>
      <c r="E43" s="190" t="s">
        <v>1671</v>
      </c>
      <c r="F43" s="190" t="s">
        <v>1672</v>
      </c>
      <c r="G43" s="173" t="s">
        <v>182</v>
      </c>
      <c r="H43" s="173" t="s">
        <v>127</v>
      </c>
      <c r="I43" s="174">
        <v>2.99</v>
      </c>
      <c r="J43" s="174"/>
      <c r="K43" s="174"/>
      <c r="L43" s="174"/>
      <c r="M43" s="191">
        <v>643</v>
      </c>
      <c r="N43" s="176">
        <v>10.71</v>
      </c>
      <c r="O43" s="176">
        <v>10.71</v>
      </c>
      <c r="P43" s="176"/>
      <c r="Q43" s="178"/>
      <c r="R43" s="179" t="s">
        <v>4346</v>
      </c>
      <c r="S43" s="179"/>
      <c r="T43" s="177"/>
      <c r="U43" s="177">
        <v>44955</v>
      </c>
      <c r="V43" s="177"/>
      <c r="W43" s="177"/>
      <c r="X43" s="177"/>
      <c r="Y43" s="177"/>
      <c r="Z43" s="177"/>
      <c r="AA43" s="177"/>
      <c r="AB43" s="177"/>
      <c r="AC43" s="177"/>
      <c r="AD43" s="180" t="s">
        <v>1593</v>
      </c>
      <c r="AE43" s="173" t="s">
        <v>69</v>
      </c>
      <c r="AF43" s="181" t="s">
        <v>142</v>
      </c>
      <c r="AG43" s="192" t="s">
        <v>1657</v>
      </c>
      <c r="AH43" s="198"/>
      <c r="AI43" s="181">
        <v>44849</v>
      </c>
      <c r="AJ43" s="181"/>
      <c r="AK43" s="181">
        <f t="shared" ca="1" si="1"/>
        <v>44958</v>
      </c>
      <c r="AL43" s="173">
        <f t="shared" ca="1" si="6"/>
        <v>109</v>
      </c>
      <c r="AM43" s="173" t="str">
        <f t="shared" si="7"/>
        <v/>
      </c>
      <c r="AN43" s="181"/>
      <c r="AO43" s="190" t="s">
        <v>1673</v>
      </c>
      <c r="AP43" s="176">
        <v>10.71</v>
      </c>
      <c r="AQ43" s="176">
        <v>10.72</v>
      </c>
      <c r="AR43" s="176">
        <v>10.744999999999999</v>
      </c>
      <c r="AS43" s="176">
        <v>10.75</v>
      </c>
      <c r="AT43" s="173" t="str">
        <f t="shared" si="9"/>
        <v/>
      </c>
      <c r="AU43" s="173">
        <v>456</v>
      </c>
      <c r="AW43" s="142" t="s">
        <v>123</v>
      </c>
    </row>
    <row r="44" spans="2:53" s="142" customFormat="1" ht="21" customHeight="1" x14ac:dyDescent="0.25">
      <c r="B44" s="173" t="str">
        <f t="shared" si="5"/>
        <v>0-304L/FH-1.45X638</v>
      </c>
      <c r="C44" s="173" t="s">
        <v>4347</v>
      </c>
      <c r="D44" s="173" t="s">
        <v>16</v>
      </c>
      <c r="E44" s="190" t="s">
        <v>1701</v>
      </c>
      <c r="F44" s="190" t="s">
        <v>1702</v>
      </c>
      <c r="G44" s="173" t="s">
        <v>182</v>
      </c>
      <c r="H44" s="173" t="s">
        <v>70</v>
      </c>
      <c r="I44" s="174">
        <v>3.87</v>
      </c>
      <c r="J44" s="174">
        <v>1.45</v>
      </c>
      <c r="K44" s="174"/>
      <c r="L44" s="174"/>
      <c r="M44" s="191">
        <v>638</v>
      </c>
      <c r="N44" s="176">
        <v>10.515000000000001</v>
      </c>
      <c r="O44" s="176">
        <v>10.515000000000001</v>
      </c>
      <c r="P44" s="176"/>
      <c r="Q44" s="178"/>
      <c r="R44" s="179"/>
      <c r="S44" s="179"/>
      <c r="T44" s="177" t="s">
        <v>1703</v>
      </c>
      <c r="U44" s="177"/>
      <c r="V44" s="177"/>
      <c r="W44" s="177"/>
      <c r="X44" s="177"/>
      <c r="Y44" s="177"/>
      <c r="Z44" s="177"/>
      <c r="AA44" s="177"/>
      <c r="AB44" s="177"/>
      <c r="AC44" s="177"/>
      <c r="AD44" s="180" t="s">
        <v>1609</v>
      </c>
      <c r="AE44" s="173" t="s">
        <v>69</v>
      </c>
      <c r="AF44" s="181" t="s">
        <v>142</v>
      </c>
      <c r="AG44" s="192" t="s">
        <v>1657</v>
      </c>
      <c r="AH44" s="198"/>
      <c r="AI44" s="181">
        <v>44849</v>
      </c>
      <c r="AJ44" s="181"/>
      <c r="AK44" s="181">
        <f t="shared" ca="1" si="1"/>
        <v>44958</v>
      </c>
      <c r="AL44" s="173">
        <f t="shared" ca="1" si="6"/>
        <v>109</v>
      </c>
      <c r="AM44" s="173" t="str">
        <f t="shared" si="7"/>
        <v/>
      </c>
      <c r="AN44" s="181"/>
      <c r="AO44" s="190" t="s">
        <v>1700</v>
      </c>
      <c r="AP44" s="176">
        <v>10.515000000000001</v>
      </c>
      <c r="AQ44" s="176">
        <v>10.525</v>
      </c>
      <c r="AR44" s="176">
        <v>10.549999999999999</v>
      </c>
      <c r="AS44" s="176">
        <v>10.555</v>
      </c>
      <c r="AT44" s="173" t="str">
        <f t="shared" si="9"/>
        <v/>
      </c>
      <c r="AU44" s="173">
        <v>456</v>
      </c>
      <c r="AW44" s="142" t="s">
        <v>123</v>
      </c>
    </row>
    <row r="45" spans="2:53" s="142" customFormat="1" ht="21" customHeight="1" x14ac:dyDescent="0.25">
      <c r="B45" s="173" t="str">
        <f t="shared" si="5"/>
        <v>0-304L/FH-1.15X642</v>
      </c>
      <c r="C45" s="173" t="s">
        <v>4348</v>
      </c>
      <c r="D45" s="173" t="s">
        <v>16</v>
      </c>
      <c r="E45" s="190" t="s">
        <v>1714</v>
      </c>
      <c r="F45" s="190" t="s">
        <v>1715</v>
      </c>
      <c r="G45" s="173" t="s">
        <v>182</v>
      </c>
      <c r="H45" s="173" t="s">
        <v>70</v>
      </c>
      <c r="I45" s="174">
        <v>2.99</v>
      </c>
      <c r="J45" s="174">
        <v>1.1499999999999999</v>
      </c>
      <c r="K45" s="174"/>
      <c r="L45" s="174"/>
      <c r="M45" s="191">
        <v>642</v>
      </c>
      <c r="N45" s="176">
        <v>10.71</v>
      </c>
      <c r="O45" s="176">
        <v>10.72</v>
      </c>
      <c r="P45" s="176"/>
      <c r="Q45" s="178"/>
      <c r="R45" s="179"/>
      <c r="S45" s="179"/>
      <c r="T45" s="177"/>
      <c r="U45" s="177">
        <v>44955</v>
      </c>
      <c r="V45" s="177"/>
      <c r="W45" s="177"/>
      <c r="X45" s="177"/>
      <c r="Y45" s="177"/>
      <c r="Z45" s="177"/>
      <c r="AA45" s="177"/>
      <c r="AB45" s="177"/>
      <c r="AC45" s="177"/>
      <c r="AD45" s="180" t="s">
        <v>1593</v>
      </c>
      <c r="AE45" s="173" t="s">
        <v>69</v>
      </c>
      <c r="AF45" s="181" t="s">
        <v>142</v>
      </c>
      <c r="AG45" s="192" t="s">
        <v>1657</v>
      </c>
      <c r="AH45" s="198"/>
      <c r="AI45" s="181">
        <v>44849</v>
      </c>
      <c r="AJ45" s="181"/>
      <c r="AK45" s="181">
        <f t="shared" ca="1" si="1"/>
        <v>44958</v>
      </c>
      <c r="AL45" s="173">
        <f t="shared" ca="1" si="6"/>
        <v>109</v>
      </c>
      <c r="AM45" s="173" t="str">
        <f t="shared" si="7"/>
        <v/>
      </c>
      <c r="AN45" s="181"/>
      <c r="AO45" s="190" t="s">
        <v>1716</v>
      </c>
      <c r="AP45" s="176">
        <v>10.71</v>
      </c>
      <c r="AQ45" s="176">
        <v>10.72</v>
      </c>
      <c r="AR45" s="176">
        <v>10.744999999999999</v>
      </c>
      <c r="AS45" s="176">
        <v>10.75</v>
      </c>
      <c r="AT45" s="173" t="str">
        <f t="shared" si="9"/>
        <v/>
      </c>
      <c r="AU45" s="173">
        <v>456</v>
      </c>
      <c r="AW45" s="142" t="s">
        <v>123</v>
      </c>
    </row>
    <row r="46" spans="2:53" s="142" customFormat="1" ht="21" customHeight="1" x14ac:dyDescent="0.25">
      <c r="B46" s="173" t="str">
        <f t="shared" si="5"/>
        <v>0-304L/1D-2.88X647</v>
      </c>
      <c r="C46" s="173" t="s">
        <v>4349</v>
      </c>
      <c r="D46" s="173" t="s">
        <v>13</v>
      </c>
      <c r="E46" s="190" t="s">
        <v>1633</v>
      </c>
      <c r="F46" s="190" t="s">
        <v>1634</v>
      </c>
      <c r="G46" s="173" t="s">
        <v>182</v>
      </c>
      <c r="H46" s="173" t="s">
        <v>127</v>
      </c>
      <c r="I46" s="174">
        <v>2.88</v>
      </c>
      <c r="J46" s="174"/>
      <c r="K46" s="174"/>
      <c r="L46" s="174"/>
      <c r="M46" s="191">
        <v>647</v>
      </c>
      <c r="N46" s="176">
        <v>10.33</v>
      </c>
      <c r="O46" s="176">
        <v>10.33</v>
      </c>
      <c r="P46" s="176"/>
      <c r="Q46" s="178"/>
      <c r="R46" s="179"/>
      <c r="S46" s="179"/>
      <c r="T46" s="177"/>
      <c r="U46" s="177">
        <v>44957</v>
      </c>
      <c r="V46" s="177"/>
      <c r="W46" s="177"/>
      <c r="X46" s="177"/>
      <c r="Y46" s="177"/>
      <c r="Z46" s="177"/>
      <c r="AA46" s="177"/>
      <c r="AB46" s="177"/>
      <c r="AC46" s="177"/>
      <c r="AD46" s="180" t="s">
        <v>1593</v>
      </c>
      <c r="AE46" s="173" t="s">
        <v>69</v>
      </c>
      <c r="AF46" s="181" t="s">
        <v>142</v>
      </c>
      <c r="AG46" s="192" t="s">
        <v>1594</v>
      </c>
      <c r="AH46" s="198"/>
      <c r="AI46" s="181">
        <v>44849</v>
      </c>
      <c r="AJ46" s="181"/>
      <c r="AK46" s="181">
        <f t="shared" ca="1" si="1"/>
        <v>44958</v>
      </c>
      <c r="AL46" s="173">
        <f t="shared" ca="1" si="6"/>
        <v>109</v>
      </c>
      <c r="AM46" s="173" t="str">
        <f t="shared" si="7"/>
        <v/>
      </c>
      <c r="AN46" s="181"/>
      <c r="AO46" s="190" t="s">
        <v>1635</v>
      </c>
      <c r="AP46" s="176">
        <v>10.33</v>
      </c>
      <c r="AQ46" s="176">
        <v>10.34</v>
      </c>
      <c r="AR46" s="176">
        <v>10.364999999999998</v>
      </c>
      <c r="AS46" s="176">
        <v>10.37</v>
      </c>
      <c r="AT46" s="173" t="str">
        <f t="shared" si="9"/>
        <v/>
      </c>
      <c r="AU46" s="173">
        <v>456</v>
      </c>
      <c r="AW46" s="142" t="s">
        <v>123</v>
      </c>
    </row>
    <row r="47" spans="2:53" s="142" customFormat="1" ht="21" customHeight="1" x14ac:dyDescent="0.25">
      <c r="B47" s="173" t="str">
        <f t="shared" si="5"/>
        <v>0-304L/FH-1.15X643</v>
      </c>
      <c r="C47" s="173" t="s">
        <v>4348</v>
      </c>
      <c r="D47" s="173" t="s">
        <v>16</v>
      </c>
      <c r="E47" s="190" t="s">
        <v>1671</v>
      </c>
      <c r="F47" s="190" t="s">
        <v>1672</v>
      </c>
      <c r="G47" s="173" t="s">
        <v>182</v>
      </c>
      <c r="H47" s="173" t="s">
        <v>70</v>
      </c>
      <c r="I47" s="174">
        <v>2.99</v>
      </c>
      <c r="J47" s="174">
        <v>1.1499999999999999</v>
      </c>
      <c r="K47" s="174"/>
      <c r="L47" s="174"/>
      <c r="M47" s="191">
        <v>643</v>
      </c>
      <c r="N47" s="176">
        <v>10.71</v>
      </c>
      <c r="O47" s="176">
        <v>10.72</v>
      </c>
      <c r="P47" s="176"/>
      <c r="Q47" s="178"/>
      <c r="R47" s="179"/>
      <c r="S47" s="179"/>
      <c r="T47" s="177"/>
      <c r="U47" s="177">
        <v>44955</v>
      </c>
      <c r="V47" s="177"/>
      <c r="W47" s="177"/>
      <c r="X47" s="177"/>
      <c r="Y47" s="177"/>
      <c r="Z47" s="177"/>
      <c r="AA47" s="177"/>
      <c r="AB47" s="177"/>
      <c r="AC47" s="177"/>
      <c r="AD47" s="180" t="s">
        <v>1593</v>
      </c>
      <c r="AE47" s="173" t="s">
        <v>69</v>
      </c>
      <c r="AF47" s="181" t="s">
        <v>142</v>
      </c>
      <c r="AG47" s="192" t="s">
        <v>1657</v>
      </c>
      <c r="AH47" s="198"/>
      <c r="AI47" s="181">
        <v>44849</v>
      </c>
      <c r="AJ47" s="181"/>
      <c r="AK47" s="181">
        <f t="shared" ca="1" si="1"/>
        <v>44958</v>
      </c>
      <c r="AL47" s="173">
        <f t="shared" ca="1" si="6"/>
        <v>109</v>
      </c>
      <c r="AM47" s="173" t="str">
        <f t="shared" si="7"/>
        <v/>
      </c>
      <c r="AN47" s="181"/>
      <c r="AO47" s="190" t="s">
        <v>1673</v>
      </c>
      <c r="AP47" s="176">
        <v>10.71</v>
      </c>
      <c r="AQ47" s="176">
        <v>10.72</v>
      </c>
      <c r="AR47" s="176">
        <v>10.744999999999999</v>
      </c>
      <c r="AS47" s="176">
        <v>10.75</v>
      </c>
      <c r="AT47" s="173" t="str">
        <f t="shared" si="9"/>
        <v/>
      </c>
      <c r="AU47" s="173">
        <v>456</v>
      </c>
      <c r="AW47" s="142" t="s">
        <v>123</v>
      </c>
    </row>
    <row r="48" spans="2:53" s="142" customFormat="1" ht="21" customHeight="1" x14ac:dyDescent="0.25">
      <c r="B48" s="173" t="str">
        <f t="shared" si="5"/>
        <v>0-304/1D-3.79X642</v>
      </c>
      <c r="C48" s="173" t="s">
        <v>4349</v>
      </c>
      <c r="D48" s="173" t="s">
        <v>13</v>
      </c>
      <c r="E48" s="190" t="s">
        <v>1590</v>
      </c>
      <c r="F48" s="190" t="s">
        <v>1591</v>
      </c>
      <c r="G48" s="173">
        <v>304</v>
      </c>
      <c r="H48" s="173" t="s">
        <v>127</v>
      </c>
      <c r="I48" s="174">
        <v>3.79</v>
      </c>
      <c r="J48" s="174"/>
      <c r="K48" s="174"/>
      <c r="L48" s="174"/>
      <c r="M48" s="191">
        <v>642</v>
      </c>
      <c r="N48" s="176">
        <v>10.545</v>
      </c>
      <c r="O48" s="176">
        <v>10.545</v>
      </c>
      <c r="P48" s="177"/>
      <c r="Q48" s="178"/>
      <c r="R48" s="179"/>
      <c r="S48" s="179"/>
      <c r="T48" s="177"/>
      <c r="U48" s="177">
        <v>44957</v>
      </c>
      <c r="V48" s="177"/>
      <c r="W48" s="177"/>
      <c r="X48" s="177"/>
      <c r="Y48" s="177"/>
      <c r="Z48" s="177"/>
      <c r="AA48" s="177"/>
      <c r="AB48" s="177"/>
      <c r="AC48" s="177"/>
      <c r="AD48" s="180" t="s">
        <v>1593</v>
      </c>
      <c r="AE48" s="173" t="s">
        <v>69</v>
      </c>
      <c r="AF48" s="181" t="s">
        <v>142</v>
      </c>
      <c r="AG48" s="192" t="s">
        <v>1594</v>
      </c>
      <c r="AH48" s="198"/>
      <c r="AI48" s="181">
        <v>44849</v>
      </c>
      <c r="AJ48" s="181"/>
      <c r="AK48" s="181">
        <f t="shared" ca="1" si="1"/>
        <v>44958</v>
      </c>
      <c r="AL48" s="173">
        <f t="shared" ca="1" si="6"/>
        <v>109</v>
      </c>
      <c r="AM48" s="173" t="str">
        <f t="shared" si="7"/>
        <v/>
      </c>
      <c r="AN48" s="181"/>
      <c r="AO48" s="190" t="s">
        <v>1595</v>
      </c>
      <c r="AP48" s="176">
        <v>10.545</v>
      </c>
      <c r="AQ48" s="176">
        <v>10.555</v>
      </c>
      <c r="AR48" s="176">
        <v>10.579999999999998</v>
      </c>
      <c r="AS48" s="176">
        <v>10.584999999999999</v>
      </c>
      <c r="AT48" s="173">
        <f t="shared" ref="AT48:AT49" ca="1" si="10">IF(ISNUMBER(U48)=TRUE,AK48-U48,IF(U48="","",(AK48)-(MID(RIGHT(U48,10),4,2)&amp;"/"&amp;LEFT((RIGHT(U48,10)),2)&amp;"/"&amp;RIGHT(U48,4))))</f>
        <v>1</v>
      </c>
      <c r="AU48" s="173">
        <v>456</v>
      </c>
      <c r="AW48" s="142" t="s">
        <v>123</v>
      </c>
    </row>
    <row r="49" spans="2:49" s="142" customFormat="1" ht="21" customHeight="1" x14ac:dyDescent="0.25">
      <c r="B49" s="173" t="str">
        <f t="shared" si="5"/>
        <v>0-304L/1D-3.90X638</v>
      </c>
      <c r="C49" s="173" t="s">
        <v>4349</v>
      </c>
      <c r="D49" s="173" t="s">
        <v>13</v>
      </c>
      <c r="E49" s="190" t="s">
        <v>1680</v>
      </c>
      <c r="F49" s="190" t="s">
        <v>1681</v>
      </c>
      <c r="G49" s="173" t="s">
        <v>182</v>
      </c>
      <c r="H49" s="173" t="s">
        <v>127</v>
      </c>
      <c r="I49" s="174">
        <v>3.9</v>
      </c>
      <c r="J49" s="174"/>
      <c r="K49" s="174"/>
      <c r="L49" s="174"/>
      <c r="M49" s="191">
        <v>638</v>
      </c>
      <c r="N49" s="176">
        <v>10.545</v>
      </c>
      <c r="O49" s="176">
        <v>10.545</v>
      </c>
      <c r="P49" s="177"/>
      <c r="Q49" s="178"/>
      <c r="R49" s="179"/>
      <c r="S49" s="179"/>
      <c r="T49" s="177"/>
      <c r="U49" s="177">
        <v>44957</v>
      </c>
      <c r="V49" s="177"/>
      <c r="W49" s="177"/>
      <c r="X49" s="177"/>
      <c r="Y49" s="177"/>
      <c r="Z49" s="177"/>
      <c r="AA49" s="177"/>
      <c r="AB49" s="177"/>
      <c r="AC49" s="177"/>
      <c r="AD49" s="180" t="s">
        <v>1593</v>
      </c>
      <c r="AE49" s="173" t="s">
        <v>69</v>
      </c>
      <c r="AF49" s="181" t="s">
        <v>142</v>
      </c>
      <c r="AG49" s="192" t="s">
        <v>1657</v>
      </c>
      <c r="AH49" s="198"/>
      <c r="AI49" s="181">
        <v>44849</v>
      </c>
      <c r="AJ49" s="181"/>
      <c r="AK49" s="181">
        <f t="shared" ca="1" si="1"/>
        <v>44958</v>
      </c>
      <c r="AL49" s="173">
        <f t="shared" ca="1" si="6"/>
        <v>109</v>
      </c>
      <c r="AM49" s="173" t="str">
        <f t="shared" si="7"/>
        <v/>
      </c>
      <c r="AN49" s="181"/>
      <c r="AO49" s="190" t="s">
        <v>1682</v>
      </c>
      <c r="AP49" s="176">
        <v>10.545</v>
      </c>
      <c r="AQ49" s="176">
        <v>10.555</v>
      </c>
      <c r="AR49" s="176">
        <v>10.579999999999998</v>
      </c>
      <c r="AS49" s="176">
        <v>10.584999999999999</v>
      </c>
      <c r="AT49" s="173">
        <f t="shared" ca="1" si="10"/>
        <v>1</v>
      </c>
      <c r="AU49" s="173">
        <v>456</v>
      </c>
      <c r="AW49" s="142" t="s">
        <v>123</v>
      </c>
    </row>
    <row r="50" spans="2:49" s="142" customFormat="1" ht="21" customHeight="1" x14ac:dyDescent="0.25">
      <c r="B50" s="173" t="str">
        <f t="shared" si="5"/>
        <v>0-304/FH-1.15X643</v>
      </c>
      <c r="C50" s="173" t="s">
        <v>4348</v>
      </c>
      <c r="D50" s="173" t="s">
        <v>16</v>
      </c>
      <c r="E50" s="190" t="s">
        <v>1665</v>
      </c>
      <c r="F50" s="190" t="s">
        <v>1666</v>
      </c>
      <c r="G50" s="173">
        <v>304</v>
      </c>
      <c r="H50" s="173" t="s">
        <v>70</v>
      </c>
      <c r="I50" s="174">
        <v>3.51</v>
      </c>
      <c r="J50" s="174">
        <v>1.1499999999999999</v>
      </c>
      <c r="K50" s="174"/>
      <c r="L50" s="174"/>
      <c r="M50" s="191">
        <v>643</v>
      </c>
      <c r="N50" s="176">
        <v>10.63</v>
      </c>
      <c r="O50" s="176">
        <v>10.625</v>
      </c>
      <c r="P50" s="176"/>
      <c r="Q50" s="178"/>
      <c r="R50" s="179"/>
      <c r="S50" s="179"/>
      <c r="T50" s="177"/>
      <c r="U50" s="177">
        <v>44953</v>
      </c>
      <c r="V50" s="177"/>
      <c r="W50" s="177"/>
      <c r="X50" s="177"/>
      <c r="Y50" s="177"/>
      <c r="Z50" s="177"/>
      <c r="AA50" s="177"/>
      <c r="AB50" s="177"/>
      <c r="AC50" s="177"/>
      <c r="AD50" s="180" t="s">
        <v>1643</v>
      </c>
      <c r="AE50" s="173" t="s">
        <v>69</v>
      </c>
      <c r="AF50" s="181" t="s">
        <v>142</v>
      </c>
      <c r="AG50" s="192" t="s">
        <v>1657</v>
      </c>
      <c r="AH50" s="198"/>
      <c r="AI50" s="181">
        <v>44849</v>
      </c>
      <c r="AJ50" s="181"/>
      <c r="AK50" s="181">
        <f t="shared" ca="1" si="1"/>
        <v>44958</v>
      </c>
      <c r="AL50" s="173">
        <f t="shared" ca="1" si="6"/>
        <v>109</v>
      </c>
      <c r="AM50" s="173" t="str">
        <f t="shared" si="7"/>
        <v/>
      </c>
      <c r="AN50" s="181"/>
      <c r="AO50" s="190" t="s">
        <v>1667</v>
      </c>
      <c r="AP50" s="176">
        <v>10.63</v>
      </c>
      <c r="AQ50" s="176">
        <v>10.64</v>
      </c>
      <c r="AR50" s="176">
        <v>10.664999999999999</v>
      </c>
      <c r="AS50" s="176">
        <v>10.67</v>
      </c>
      <c r="AT50" s="173" t="str">
        <f>IF(ISNUMBER(V50)=TRUE,AK50-V50,IF(V50="","",(AK50)-(MID(RIGHT(V50,10),4,2)&amp;"/"&amp;LEFT((RIGHT(V50,10)),2)&amp;"/"&amp;RIGHT(V50,4))))</f>
        <v/>
      </c>
      <c r="AU50" s="173">
        <v>456</v>
      </c>
      <c r="AW50" s="142" t="s">
        <v>123</v>
      </c>
    </row>
    <row r="51" spans="2:49" s="142" customFormat="1" ht="21" customHeight="1" x14ac:dyDescent="0.25">
      <c r="B51" s="173" t="str">
        <f t="shared" si="5"/>
        <v>0-304L/1D-3.92X638</v>
      </c>
      <c r="C51" s="173" t="s">
        <v>4349</v>
      </c>
      <c r="D51" s="173" t="s">
        <v>13</v>
      </c>
      <c r="E51" s="190" t="s">
        <v>1695</v>
      </c>
      <c r="F51" s="190" t="s">
        <v>1696</v>
      </c>
      <c r="G51" s="173" t="s">
        <v>182</v>
      </c>
      <c r="H51" s="173" t="s">
        <v>127</v>
      </c>
      <c r="I51" s="174">
        <v>3.92</v>
      </c>
      <c r="J51" s="174"/>
      <c r="K51" s="174"/>
      <c r="L51" s="174"/>
      <c r="M51" s="191">
        <v>638</v>
      </c>
      <c r="N51" s="176">
        <v>10.545</v>
      </c>
      <c r="O51" s="176">
        <v>10.545</v>
      </c>
      <c r="P51" s="177"/>
      <c r="Q51" s="178"/>
      <c r="R51" s="179"/>
      <c r="S51" s="179"/>
      <c r="T51" s="177">
        <v>44957</v>
      </c>
      <c r="U51" s="177"/>
      <c r="V51" s="177"/>
      <c r="W51" s="177"/>
      <c r="X51" s="177"/>
      <c r="Y51" s="177"/>
      <c r="Z51" s="177"/>
      <c r="AA51" s="177"/>
      <c r="AB51" s="177"/>
      <c r="AC51" s="177"/>
      <c r="AD51" s="180" t="s">
        <v>1593</v>
      </c>
      <c r="AE51" s="173" t="s">
        <v>69</v>
      </c>
      <c r="AF51" s="181" t="s">
        <v>142</v>
      </c>
      <c r="AG51" s="192" t="s">
        <v>1657</v>
      </c>
      <c r="AH51" s="198"/>
      <c r="AI51" s="181">
        <v>44849</v>
      </c>
      <c r="AJ51" s="181"/>
      <c r="AK51" s="181">
        <f t="shared" ca="1" si="1"/>
        <v>44958</v>
      </c>
      <c r="AL51" s="173">
        <f t="shared" ca="1" si="6"/>
        <v>109</v>
      </c>
      <c r="AM51" s="173" t="str">
        <f t="shared" si="7"/>
        <v/>
      </c>
      <c r="AN51" s="181"/>
      <c r="AO51" s="190" t="s">
        <v>1697</v>
      </c>
      <c r="AP51" s="176">
        <v>10.545</v>
      </c>
      <c r="AQ51" s="176">
        <v>10.555</v>
      </c>
      <c r="AR51" s="176">
        <v>10.579999999999998</v>
      </c>
      <c r="AS51" s="176">
        <v>10.584999999999999</v>
      </c>
      <c r="AT51" s="173" t="str">
        <f t="shared" ref="AT51:AT53" si="11">IF(ISNUMBER(U51)=TRUE,AK51-U51,IF(U51="","",(AK51)-(MID(RIGHT(U51,10),4,2)&amp;"/"&amp;LEFT((RIGHT(U51,10)),2)&amp;"/"&amp;RIGHT(U51,4))))</f>
        <v/>
      </c>
      <c r="AU51" s="173">
        <v>456</v>
      </c>
      <c r="AW51" s="142" t="s">
        <v>123</v>
      </c>
    </row>
    <row r="52" spans="2:49" s="142" customFormat="1" ht="21" customHeight="1" x14ac:dyDescent="0.25">
      <c r="B52" s="173" t="str">
        <f t="shared" si="5"/>
        <v>0-304L/1D-3.95X643</v>
      </c>
      <c r="C52" s="173" t="s">
        <v>4349</v>
      </c>
      <c r="D52" s="173" t="s">
        <v>13</v>
      </c>
      <c r="E52" s="190" t="s">
        <v>1722</v>
      </c>
      <c r="F52" s="190" t="s">
        <v>1723</v>
      </c>
      <c r="G52" s="173" t="s">
        <v>182</v>
      </c>
      <c r="H52" s="173" t="s">
        <v>127</v>
      </c>
      <c r="I52" s="174">
        <v>3.95</v>
      </c>
      <c r="J52" s="174"/>
      <c r="K52" s="174"/>
      <c r="L52" s="174"/>
      <c r="M52" s="191">
        <v>643</v>
      </c>
      <c r="N52" s="176">
        <v>10.64</v>
      </c>
      <c r="O52" s="176">
        <v>10.64</v>
      </c>
      <c r="P52" s="177"/>
      <c r="Q52" s="178"/>
      <c r="R52" s="179"/>
      <c r="S52" s="179"/>
      <c r="T52" s="177">
        <v>44957</v>
      </c>
      <c r="U52" s="177"/>
      <c r="V52" s="177"/>
      <c r="W52" s="177"/>
      <c r="X52" s="177"/>
      <c r="Y52" s="177"/>
      <c r="Z52" s="177"/>
      <c r="AA52" s="177"/>
      <c r="AB52" s="177"/>
      <c r="AC52" s="177"/>
      <c r="AD52" s="180" t="s">
        <v>1593</v>
      </c>
      <c r="AE52" s="173" t="s">
        <v>69</v>
      </c>
      <c r="AF52" s="181" t="s">
        <v>142</v>
      </c>
      <c r="AG52" s="192" t="s">
        <v>1657</v>
      </c>
      <c r="AH52" s="198"/>
      <c r="AI52" s="181">
        <v>44849</v>
      </c>
      <c r="AJ52" s="181"/>
      <c r="AK52" s="181">
        <f t="shared" ca="1" si="1"/>
        <v>44958</v>
      </c>
      <c r="AL52" s="173">
        <f t="shared" ca="1" si="6"/>
        <v>109</v>
      </c>
      <c r="AM52" s="173" t="str">
        <f t="shared" si="7"/>
        <v/>
      </c>
      <c r="AN52" s="181"/>
      <c r="AO52" s="190" t="s">
        <v>1724</v>
      </c>
      <c r="AP52" s="176">
        <v>10.64</v>
      </c>
      <c r="AQ52" s="176">
        <v>10.65</v>
      </c>
      <c r="AR52" s="176">
        <v>10.674999999999999</v>
      </c>
      <c r="AS52" s="176">
        <v>10.68</v>
      </c>
      <c r="AT52" s="173" t="str">
        <f t="shared" si="11"/>
        <v/>
      </c>
      <c r="AU52" s="173">
        <v>456</v>
      </c>
      <c r="AW52" s="142" t="s">
        <v>123</v>
      </c>
    </row>
    <row r="53" spans="2:49" s="142" customFormat="1" ht="21" customHeight="1" x14ac:dyDescent="0.25">
      <c r="B53" s="173" t="str">
        <f t="shared" si="5"/>
        <v>0-304/1D-3.79X643</v>
      </c>
      <c r="C53" s="173" t="s">
        <v>4349</v>
      </c>
      <c r="D53" s="173" t="s">
        <v>13</v>
      </c>
      <c r="E53" s="190" t="s">
        <v>1596</v>
      </c>
      <c r="F53" s="190" t="s">
        <v>1597</v>
      </c>
      <c r="G53" s="173">
        <v>304</v>
      </c>
      <c r="H53" s="173" t="s">
        <v>127</v>
      </c>
      <c r="I53" s="174">
        <v>3.79</v>
      </c>
      <c r="J53" s="174"/>
      <c r="K53" s="174"/>
      <c r="L53" s="174"/>
      <c r="M53" s="191">
        <v>643</v>
      </c>
      <c r="N53" s="176">
        <v>10.565</v>
      </c>
      <c r="O53" s="176">
        <v>10.565</v>
      </c>
      <c r="P53" s="177"/>
      <c r="Q53" s="178"/>
      <c r="R53" s="179"/>
      <c r="S53" s="179"/>
      <c r="T53" s="177"/>
      <c r="U53" s="177">
        <v>44957</v>
      </c>
      <c r="V53" s="177"/>
      <c r="W53" s="177"/>
      <c r="X53" s="177"/>
      <c r="Y53" s="177"/>
      <c r="Z53" s="177"/>
      <c r="AA53" s="177"/>
      <c r="AB53" s="177"/>
      <c r="AC53" s="177"/>
      <c r="AD53" s="180" t="s">
        <v>1593</v>
      </c>
      <c r="AE53" s="173" t="s">
        <v>69</v>
      </c>
      <c r="AF53" s="181" t="s">
        <v>142</v>
      </c>
      <c r="AG53" s="192" t="s">
        <v>1594</v>
      </c>
      <c r="AH53" s="198"/>
      <c r="AI53" s="181">
        <v>44849</v>
      </c>
      <c r="AJ53" s="181"/>
      <c r="AK53" s="181">
        <f t="shared" ca="1" si="1"/>
        <v>44958</v>
      </c>
      <c r="AL53" s="173">
        <f t="shared" ca="1" si="6"/>
        <v>109</v>
      </c>
      <c r="AM53" s="173" t="str">
        <f t="shared" si="7"/>
        <v/>
      </c>
      <c r="AN53" s="181"/>
      <c r="AO53" s="190" t="s">
        <v>1595</v>
      </c>
      <c r="AP53" s="176">
        <v>10.565</v>
      </c>
      <c r="AQ53" s="176">
        <v>10.574999999999999</v>
      </c>
      <c r="AR53" s="176">
        <v>10.599999999999998</v>
      </c>
      <c r="AS53" s="176">
        <v>10.604999999999999</v>
      </c>
      <c r="AT53" s="173">
        <f t="shared" ca="1" si="11"/>
        <v>1</v>
      </c>
      <c r="AU53" s="173">
        <v>456</v>
      </c>
      <c r="AW53" s="142" t="s">
        <v>123</v>
      </c>
    </row>
    <row r="54" spans="2:49" s="142" customFormat="1" ht="21" customHeight="1" x14ac:dyDescent="0.25">
      <c r="E54" s="196"/>
      <c r="F54" s="196"/>
      <c r="I54" s="187"/>
      <c r="J54" s="187"/>
      <c r="K54" s="187"/>
      <c r="L54" s="187"/>
      <c r="M54" s="213"/>
      <c r="N54" s="149"/>
      <c r="O54" s="149"/>
      <c r="P54" s="149"/>
      <c r="Q54" s="214"/>
      <c r="R54" s="215"/>
      <c r="S54" s="215"/>
      <c r="T54" s="216"/>
      <c r="U54" s="216"/>
      <c r="V54" s="216"/>
      <c r="W54" s="216"/>
      <c r="X54" s="216"/>
      <c r="Y54" s="216"/>
      <c r="Z54" s="216"/>
      <c r="AA54" s="216"/>
      <c r="AB54" s="216"/>
      <c r="AC54" s="216"/>
      <c r="AD54" s="217"/>
      <c r="AF54" s="218"/>
      <c r="AG54" s="189"/>
      <c r="AH54" s="218"/>
      <c r="AI54" s="218"/>
      <c r="AJ54" s="218"/>
      <c r="AK54" s="218"/>
      <c r="AN54" s="218"/>
      <c r="AO54" s="196"/>
      <c r="AP54" s="149"/>
      <c r="AQ54" s="149"/>
      <c r="AR54" s="149"/>
      <c r="AS54" s="149"/>
    </row>
    <row r="55" spans="2:49" s="142" customFormat="1" ht="21" customHeight="1" x14ac:dyDescent="0.25">
      <c r="E55" s="196"/>
      <c r="F55" s="196"/>
      <c r="I55" s="187"/>
      <c r="J55" s="187"/>
      <c r="K55" s="187"/>
      <c r="L55" s="187"/>
      <c r="M55" s="213"/>
      <c r="N55" s="149"/>
      <c r="O55" s="149"/>
      <c r="P55" s="149"/>
      <c r="Q55" s="214"/>
      <c r="R55" s="215"/>
      <c r="S55" s="215"/>
      <c r="T55" s="216"/>
      <c r="U55" s="216"/>
      <c r="V55" s="216"/>
      <c r="W55" s="216"/>
      <c r="X55" s="216"/>
      <c r="Y55" s="216"/>
      <c r="Z55" s="216"/>
      <c r="AA55" s="216"/>
      <c r="AB55" s="216"/>
      <c r="AC55" s="216"/>
      <c r="AD55" s="217"/>
      <c r="AF55" s="218"/>
      <c r="AG55" s="218"/>
      <c r="AH55" s="218"/>
      <c r="AI55" s="218"/>
      <c r="AJ55" s="218"/>
      <c r="AK55" s="218"/>
      <c r="AN55" s="218"/>
      <c r="AO55" s="196"/>
      <c r="AP55" s="149"/>
      <c r="AQ55" s="149"/>
      <c r="AR55" s="149"/>
      <c r="AS55" s="149"/>
    </row>
    <row r="56" spans="2:49" x14ac:dyDescent="0.25">
      <c r="C56" s="142"/>
      <c r="D56" s="142"/>
      <c r="N56" s="354">
        <f>SUBTOTAL(9,N4:N55)</f>
        <v>514.06399999999985</v>
      </c>
      <c r="O56" s="354">
        <f>SUBTOTAL(9,O4:O55)</f>
        <v>514.07899999999995</v>
      </c>
      <c r="P56" s="354">
        <f>SUBTOTAL(9,P9:P55)</f>
        <v>0</v>
      </c>
    </row>
    <row r="57" spans="2:49" x14ac:dyDescent="0.25">
      <c r="H57" s="142"/>
    </row>
    <row r="59" spans="2:49" x14ac:dyDescent="0.25">
      <c r="I59" s="353"/>
      <c r="N59" s="353"/>
    </row>
    <row r="60" spans="2:49" x14ac:dyDescent="0.25">
      <c r="N60" s="356"/>
      <c r="O60" s="357"/>
    </row>
    <row r="61" spans="2:49" x14ac:dyDescent="0.25">
      <c r="N61" s="356"/>
      <c r="O61" s="357"/>
    </row>
    <row r="62" spans="2:49" x14ac:dyDescent="0.25">
      <c r="M62" s="358"/>
      <c r="N62" s="356"/>
      <c r="O62" s="357"/>
    </row>
    <row r="63" spans="2:49" x14ac:dyDescent="0.25">
      <c r="O63" s="357"/>
    </row>
    <row r="64" spans="2:49" x14ac:dyDescent="0.25">
      <c r="N64" s="356"/>
    </row>
    <row r="65" spans="14:15" x14ac:dyDescent="0.25">
      <c r="N65" s="353"/>
      <c r="O65" s="357"/>
    </row>
    <row r="66" spans="14:15" x14ac:dyDescent="0.25">
      <c r="O66" s="357"/>
    </row>
    <row r="67" spans="14:15" x14ac:dyDescent="0.25">
      <c r="O67" s="357"/>
    </row>
    <row r="69" spans="14:15" x14ac:dyDescent="0.25">
      <c r="O69" s="357"/>
    </row>
    <row r="70" spans="14:15" x14ac:dyDescent="0.25">
      <c r="O70" s="357"/>
    </row>
    <row r="126" s="336" customFormat="1" x14ac:dyDescent="0.25"/>
  </sheetData>
  <autoFilter ref="A3:BG3" xr:uid="{00000000-0009-0000-0000-000000000000}"/>
  <pageMargins left="0.7" right="0.7" top="0.75" bottom="0.75" header="0.3" footer="0.3"/>
  <pageSetup scale="7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4B159-DD3A-4F78-93FA-698E5F7660BD}">
  <dimension ref="A1:BB329"/>
  <sheetViews>
    <sheetView zoomScale="70" zoomScaleNormal="70" workbookViewId="0">
      <pane ySplit="3" topLeftCell="A229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2" width="5.28515625" style="336" customWidth="1"/>
    <col min="3" max="3" width="20.42578125" style="336" customWidth="1"/>
    <col min="4" max="4" width="16.28515625" style="336" customWidth="1"/>
    <col min="5" max="5" width="22" style="336" customWidth="1"/>
    <col min="6" max="6" width="17.28515625" style="336" customWidth="1"/>
    <col min="7" max="7" width="9.7109375" style="336" customWidth="1"/>
    <col min="8" max="8" width="9.140625" style="336" customWidth="1"/>
    <col min="9" max="10" width="12.42578125" style="351" customWidth="1"/>
    <col min="11" max="12" width="9.7109375" style="352" customWidth="1"/>
    <col min="13" max="13" width="11.140625" style="353" customWidth="1"/>
    <col min="14" max="14" width="14.42578125" style="351" customWidth="1"/>
    <col min="15" max="15" width="14.85546875" style="351" customWidth="1"/>
    <col min="16" max="16" width="12.42578125" style="351" customWidth="1"/>
    <col min="17" max="17" width="42.7109375" style="351" customWidth="1"/>
    <col min="18" max="18" width="9.140625" style="336" customWidth="1"/>
    <col min="19" max="23" width="11.5703125" style="336" customWidth="1"/>
    <col min="24" max="25" width="14" style="336" customWidth="1"/>
    <col min="26" max="28" width="13.42578125" style="336" customWidth="1"/>
    <col min="29" max="29" width="14.140625" style="336" customWidth="1"/>
    <col min="30" max="31" width="9.140625" style="336" customWidth="1"/>
    <col min="32" max="32" width="26.85546875" style="336" customWidth="1"/>
    <col min="33" max="33" width="17.42578125" style="336" customWidth="1"/>
    <col min="34" max="35" width="14.140625" style="336" customWidth="1"/>
    <col min="36" max="36" width="15" style="336" customWidth="1"/>
    <col min="37" max="37" width="12.5703125" style="336" customWidth="1"/>
    <col min="38" max="41" width="9.140625" style="336" customWidth="1"/>
    <col min="42" max="42" width="13.42578125" style="336" customWidth="1"/>
    <col min="43" max="44" width="11.28515625" style="336" customWidth="1"/>
    <col min="45" max="45" width="11.140625" style="336" customWidth="1"/>
    <col min="46" max="65" width="9.140625" style="336" customWidth="1"/>
    <col min="66" max="16384" width="9.140625" style="336"/>
  </cols>
  <sheetData>
    <row r="1" spans="1:53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S1" s="334"/>
      <c r="T1" s="334"/>
    </row>
    <row r="3" spans="1:53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3796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38"/>
      <c r="P3" s="338"/>
      <c r="Q3" s="338" t="s">
        <v>88</v>
      </c>
      <c r="R3" s="338"/>
      <c r="S3" s="338" t="s">
        <v>90</v>
      </c>
      <c r="T3" s="342" t="s">
        <v>3801</v>
      </c>
      <c r="U3" s="343" t="s">
        <v>3802</v>
      </c>
      <c r="V3" s="161" t="s">
        <v>3803</v>
      </c>
      <c r="W3" s="162" t="s">
        <v>3804</v>
      </c>
      <c r="X3" s="344" t="s">
        <v>3805</v>
      </c>
      <c r="Y3" s="164" t="s">
        <v>3806</v>
      </c>
      <c r="Z3" s="345" t="s">
        <v>3807</v>
      </c>
      <c r="AA3" s="346" t="s">
        <v>3808</v>
      </c>
      <c r="AB3" s="167" t="s">
        <v>3809</v>
      </c>
      <c r="AC3" s="343" t="s">
        <v>3810</v>
      </c>
      <c r="AD3" s="338" t="s">
        <v>91</v>
      </c>
      <c r="AE3" s="338" t="s">
        <v>4350</v>
      </c>
      <c r="AF3" s="337" t="s">
        <v>93</v>
      </c>
      <c r="AG3" s="337" t="s">
        <v>94</v>
      </c>
      <c r="AH3" s="347" t="s">
        <v>95</v>
      </c>
      <c r="AI3" s="347" t="s">
        <v>96</v>
      </c>
      <c r="AJ3" s="347" t="s">
        <v>3811</v>
      </c>
      <c r="AK3" s="347" t="s">
        <v>3812</v>
      </c>
      <c r="AL3" s="347" t="s">
        <v>3813</v>
      </c>
      <c r="AM3" s="347" t="s">
        <v>98</v>
      </c>
      <c r="AN3" s="337" t="s">
        <v>100</v>
      </c>
      <c r="AO3" s="337" t="s">
        <v>101</v>
      </c>
      <c r="AP3" s="348" t="s">
        <v>3814</v>
      </c>
      <c r="AQ3" s="348" t="s">
        <v>3815</v>
      </c>
      <c r="AR3" s="348" t="s">
        <v>4351</v>
      </c>
      <c r="AS3" s="348" t="s">
        <v>3817</v>
      </c>
      <c r="AY3" s="359" t="s">
        <v>4352</v>
      </c>
      <c r="AZ3" s="359" t="s">
        <v>4353</v>
      </c>
      <c r="BA3" s="153" t="s">
        <v>5</v>
      </c>
    </row>
    <row r="4" spans="1:53" s="142" customFormat="1" ht="21" customHeight="1" x14ac:dyDescent="0.25">
      <c r="B4" s="173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0-316L/FH-1.50X777</v>
      </c>
      <c r="C4" s="173" t="s">
        <v>4354</v>
      </c>
      <c r="D4" s="173" t="s">
        <v>16</v>
      </c>
      <c r="E4" s="190" t="s">
        <v>3829</v>
      </c>
      <c r="F4" s="190" t="s">
        <v>3830</v>
      </c>
      <c r="G4" s="173" t="s">
        <v>135</v>
      </c>
      <c r="H4" s="173" t="s">
        <v>70</v>
      </c>
      <c r="I4" s="174">
        <v>3.73</v>
      </c>
      <c r="J4" s="174">
        <v>1.5</v>
      </c>
      <c r="K4" s="174"/>
      <c r="L4" s="174"/>
      <c r="M4" s="191">
        <v>777</v>
      </c>
      <c r="N4" s="176">
        <v>10.84</v>
      </c>
      <c r="O4" s="176">
        <v>10.84</v>
      </c>
      <c r="P4" s="176" t="s">
        <v>114</v>
      </c>
      <c r="Q4" s="178" t="s">
        <v>761</v>
      </c>
      <c r="R4" s="179"/>
      <c r="S4" s="179"/>
      <c r="T4" s="177">
        <v>44926</v>
      </c>
      <c r="U4" s="177"/>
      <c r="V4" s="177">
        <v>44928</v>
      </c>
      <c r="W4" s="177"/>
      <c r="X4" s="177"/>
      <c r="Y4" s="177"/>
      <c r="Z4" s="177"/>
      <c r="AA4" s="177">
        <v>44910</v>
      </c>
      <c r="AB4" s="177"/>
      <c r="AC4" s="177"/>
      <c r="AD4" s="180" t="s">
        <v>2374</v>
      </c>
      <c r="AE4" s="173" t="s">
        <v>69</v>
      </c>
      <c r="AF4" s="181" t="s">
        <v>142</v>
      </c>
      <c r="AG4" s="192" t="s">
        <v>1887</v>
      </c>
      <c r="AH4" s="198"/>
      <c r="AI4" s="181">
        <v>44880</v>
      </c>
      <c r="AJ4" s="181"/>
      <c r="AK4" s="181">
        <f t="shared" ref="AK4:AK67" ca="1" si="1">TODAY()</f>
        <v>44958</v>
      </c>
      <c r="AL4" s="173">
        <f t="shared" ref="AL4:AL67" ca="1" si="2">IF(AI4&lt;&gt;0,AK4-AI4,0)</f>
        <v>78</v>
      </c>
      <c r="AM4" s="173" t="str">
        <f t="shared" ref="AM4:AM67" si="3">IF(ISNUMBER(X4)=TRUE,AK4-X4,IF(X4="","",(AK4)-(MID(RIGHT(X4,10),4,2)&amp;"/"&amp;LEFT((RIGHT(X4,10)),2)&amp;"/"&amp;RIGHT(X4,4))))</f>
        <v/>
      </c>
      <c r="AN4" s="181"/>
      <c r="AO4" s="190" t="s">
        <v>3831</v>
      </c>
      <c r="AP4" s="176">
        <v>21.63</v>
      </c>
      <c r="AQ4" s="176">
        <v>21.689999999999998</v>
      </c>
      <c r="AR4" s="176">
        <v>21.715</v>
      </c>
      <c r="AS4" s="176">
        <v>21.72</v>
      </c>
      <c r="AT4" s="173">
        <f t="shared" ref="AT4:AT67" ca="1" si="4">IF(ISNUMBER(V4)=TRUE,AK4-V4,IF(V4="","",(AK4)-(MID(RIGHT(V4,10),4,2)&amp;"/"&amp;LEFT((RIGHT(V4,10)),2)&amp;"/"&amp;RIGHT(V4,4))))</f>
        <v>30</v>
      </c>
      <c r="AU4" s="173">
        <v>460</v>
      </c>
      <c r="AW4" s="142" t="s">
        <v>123</v>
      </c>
      <c r="AX4" s="142" t="str">
        <f>LEFT(RIGHT(C4,LEN(C4)-MIN(SEARCH({0,1,2,3,4,5,6,7,8,9},C4&amp;"0123456789"))+1),2)</f>
        <v>02</v>
      </c>
      <c r="AY4" s="142">
        <v>1</v>
      </c>
      <c r="AZ4" s="142" t="str">
        <f>LEFT(RIGHT(C4,LEN(C4)-MIN(SEARCH({0,1,2,3,4,5,6,7,8,9},C4&amp;"0123456789"))+1),5)</f>
        <v>02.01</v>
      </c>
      <c r="BA4" s="142" t="str">
        <f t="shared" ref="BA4:BA67" si="5">LEFT(C4,2)</f>
        <v>MI</v>
      </c>
    </row>
    <row r="5" spans="1:53" s="142" customFormat="1" ht="21" customHeight="1" x14ac:dyDescent="0.25">
      <c r="B5" s="173" t="str">
        <f t="shared" si="0"/>
        <v>0-316L/FH-2.00X775</v>
      </c>
      <c r="C5" s="173" t="s">
        <v>4354</v>
      </c>
      <c r="D5" s="173" t="s">
        <v>16</v>
      </c>
      <c r="E5" s="190" t="s">
        <v>3835</v>
      </c>
      <c r="F5" s="190" t="s">
        <v>3836</v>
      </c>
      <c r="G5" s="173" t="s">
        <v>135</v>
      </c>
      <c r="H5" s="173" t="s">
        <v>70</v>
      </c>
      <c r="I5" s="174">
        <v>3.93</v>
      </c>
      <c r="J5" s="174">
        <v>2</v>
      </c>
      <c r="K5" s="174"/>
      <c r="L5" s="174"/>
      <c r="M5" s="191">
        <v>775</v>
      </c>
      <c r="N5" s="176">
        <v>10.654999999999999</v>
      </c>
      <c r="O5" s="176">
        <v>10.654999999999999</v>
      </c>
      <c r="P5" s="176" t="s">
        <v>114</v>
      </c>
      <c r="Q5" s="178" t="s">
        <v>761</v>
      </c>
      <c r="R5" s="179"/>
      <c r="S5" s="179"/>
      <c r="T5" s="177">
        <v>44926</v>
      </c>
      <c r="U5" s="177"/>
      <c r="V5" s="177">
        <v>44928</v>
      </c>
      <c r="W5" s="177"/>
      <c r="X5" s="177"/>
      <c r="Y5" s="177"/>
      <c r="Z5" s="177"/>
      <c r="AA5" s="177">
        <v>44909</v>
      </c>
      <c r="AB5" s="177"/>
      <c r="AC5" s="177"/>
      <c r="AD5" s="180" t="s">
        <v>2374</v>
      </c>
      <c r="AE5" s="173" t="s">
        <v>69</v>
      </c>
      <c r="AF5" s="181" t="s">
        <v>142</v>
      </c>
      <c r="AG5" s="192" t="s">
        <v>1887</v>
      </c>
      <c r="AH5" s="198"/>
      <c r="AI5" s="181">
        <v>44880</v>
      </c>
      <c r="AJ5" s="181"/>
      <c r="AK5" s="181">
        <f t="shared" ca="1" si="1"/>
        <v>44958</v>
      </c>
      <c r="AL5" s="173">
        <f t="shared" ca="1" si="2"/>
        <v>78</v>
      </c>
      <c r="AM5" s="173" t="str">
        <f t="shared" si="3"/>
        <v/>
      </c>
      <c r="AN5" s="181"/>
      <c r="AO5" s="190" t="s">
        <v>3837</v>
      </c>
      <c r="AP5" s="176">
        <v>21.295000000000002</v>
      </c>
      <c r="AQ5" s="176">
        <v>21.355</v>
      </c>
      <c r="AR5" s="176">
        <v>21.380000000000003</v>
      </c>
      <c r="AS5" s="176">
        <v>21.385000000000002</v>
      </c>
      <c r="AT5" s="173">
        <f t="shared" ca="1" si="4"/>
        <v>30</v>
      </c>
      <c r="AU5" s="173">
        <v>460</v>
      </c>
      <c r="AW5" s="142" t="s">
        <v>123</v>
      </c>
      <c r="AX5" s="142" t="str">
        <f>LEFT(RIGHT(C5,LEN(C5)-MIN(SEARCH({0,1,2,3,4,5,6,7,8,9},C5&amp;"0123456789"))+1),2)</f>
        <v>02</v>
      </c>
      <c r="AY5" s="142">
        <v>1</v>
      </c>
      <c r="AZ5" s="142" t="str">
        <f>LEFT(RIGHT(C5,LEN(C5)-MIN(SEARCH({0,1,2,3,4,5,6,7,8,9},C5&amp;"0123456789"))+1),5)</f>
        <v>02.01</v>
      </c>
      <c r="BA5" s="142" t="str">
        <f t="shared" si="5"/>
        <v>MI</v>
      </c>
    </row>
    <row r="6" spans="1:53" s="142" customFormat="1" ht="21" customHeight="1" x14ac:dyDescent="0.25">
      <c r="B6" s="173" t="str">
        <f t="shared" si="0"/>
        <v>0-316L/FH-1.50X776</v>
      </c>
      <c r="C6" s="173" t="s">
        <v>4354</v>
      </c>
      <c r="D6" s="173" t="s">
        <v>16</v>
      </c>
      <c r="E6" s="190" t="s">
        <v>3832</v>
      </c>
      <c r="F6" s="190" t="s">
        <v>3833</v>
      </c>
      <c r="G6" s="173" t="s">
        <v>135</v>
      </c>
      <c r="H6" s="173" t="s">
        <v>70</v>
      </c>
      <c r="I6" s="174">
        <v>3.92</v>
      </c>
      <c r="J6" s="174">
        <v>1.5</v>
      </c>
      <c r="K6" s="174"/>
      <c r="L6" s="174"/>
      <c r="M6" s="191">
        <v>776</v>
      </c>
      <c r="N6" s="176">
        <v>10.755000000000001</v>
      </c>
      <c r="O6" s="176">
        <v>10.755000000000001</v>
      </c>
      <c r="P6" s="176" t="s">
        <v>114</v>
      </c>
      <c r="Q6" s="178" t="s">
        <v>761</v>
      </c>
      <c r="R6" s="179"/>
      <c r="S6" s="179"/>
      <c r="T6" s="177">
        <v>44928</v>
      </c>
      <c r="U6" s="177"/>
      <c r="V6" s="177">
        <v>44928</v>
      </c>
      <c r="W6" s="177"/>
      <c r="X6" s="177"/>
      <c r="Y6" s="177"/>
      <c r="Z6" s="177"/>
      <c r="AA6" s="177">
        <v>44910</v>
      </c>
      <c r="AB6" s="177"/>
      <c r="AC6" s="177"/>
      <c r="AD6" s="180" t="s">
        <v>2374</v>
      </c>
      <c r="AE6" s="173" t="s">
        <v>69</v>
      </c>
      <c r="AF6" s="181" t="s">
        <v>142</v>
      </c>
      <c r="AG6" s="192" t="s">
        <v>1887</v>
      </c>
      <c r="AH6" s="198"/>
      <c r="AI6" s="181">
        <v>44880</v>
      </c>
      <c r="AJ6" s="181"/>
      <c r="AK6" s="181">
        <f t="shared" ca="1" si="1"/>
        <v>44958</v>
      </c>
      <c r="AL6" s="173">
        <f t="shared" ca="1" si="2"/>
        <v>78</v>
      </c>
      <c r="AM6" s="173" t="str">
        <f t="shared" si="3"/>
        <v/>
      </c>
      <c r="AN6" s="181"/>
      <c r="AO6" s="190" t="s">
        <v>3834</v>
      </c>
      <c r="AP6" s="176">
        <v>21.524999999999999</v>
      </c>
      <c r="AQ6" s="176">
        <v>21.584999999999997</v>
      </c>
      <c r="AR6" s="176">
        <v>21.61</v>
      </c>
      <c r="AS6" s="176">
        <v>21.614999999999998</v>
      </c>
      <c r="AT6" s="173">
        <f t="shared" ca="1" si="4"/>
        <v>30</v>
      </c>
      <c r="AU6" s="173">
        <v>460</v>
      </c>
      <c r="AW6" s="142" t="s">
        <v>123</v>
      </c>
      <c r="AX6" s="142" t="str">
        <f>LEFT(RIGHT(C6,LEN(C6)-MIN(SEARCH({0,1,2,3,4,5,6,7,8,9},C6&amp;"0123456789"))+1),2)</f>
        <v>02</v>
      </c>
      <c r="AY6" s="142">
        <v>2</v>
      </c>
      <c r="AZ6" s="142" t="str">
        <f>LEFT(RIGHT(C6,LEN(C6)-MIN(SEARCH({0,1,2,3,4,5,6,7,8,9},C6&amp;"0123456789"))+1),5)</f>
        <v>02.01</v>
      </c>
      <c r="BA6" s="142" t="str">
        <f t="shared" si="5"/>
        <v>MI</v>
      </c>
    </row>
    <row r="7" spans="1:53" s="142" customFormat="1" ht="21" customHeight="1" x14ac:dyDescent="0.25">
      <c r="B7" s="173" t="str">
        <f t="shared" si="0"/>
        <v>0-316L/FH-2.00X777</v>
      </c>
      <c r="C7" s="173" t="s">
        <v>4354</v>
      </c>
      <c r="D7" s="173" t="s">
        <v>16</v>
      </c>
      <c r="E7" s="190" t="s">
        <v>3832</v>
      </c>
      <c r="F7" s="190" t="s">
        <v>3838</v>
      </c>
      <c r="G7" s="173" t="s">
        <v>135</v>
      </c>
      <c r="H7" s="173" t="s">
        <v>70</v>
      </c>
      <c r="I7" s="174">
        <v>3.92</v>
      </c>
      <c r="J7" s="174">
        <v>2</v>
      </c>
      <c r="K7" s="174"/>
      <c r="L7" s="174"/>
      <c r="M7" s="191">
        <v>777</v>
      </c>
      <c r="N7" s="176">
        <v>10.74</v>
      </c>
      <c r="O7" s="176">
        <v>10.74</v>
      </c>
      <c r="P7" s="176" t="s">
        <v>114</v>
      </c>
      <c r="Q7" s="178" t="s">
        <v>761</v>
      </c>
      <c r="R7" s="179"/>
      <c r="S7" s="179"/>
      <c r="T7" s="177">
        <v>44928</v>
      </c>
      <c r="U7" s="177"/>
      <c r="V7" s="177">
        <v>44928</v>
      </c>
      <c r="W7" s="177"/>
      <c r="X7" s="177"/>
      <c r="Y7" s="177"/>
      <c r="Z7" s="177"/>
      <c r="AA7" s="177">
        <v>44910</v>
      </c>
      <c r="AB7" s="177"/>
      <c r="AC7" s="177"/>
      <c r="AD7" s="180" t="s">
        <v>2374</v>
      </c>
      <c r="AE7" s="173" t="s">
        <v>69</v>
      </c>
      <c r="AF7" s="181" t="s">
        <v>142</v>
      </c>
      <c r="AG7" s="192" t="s">
        <v>1887</v>
      </c>
      <c r="AH7" s="198"/>
      <c r="AI7" s="181">
        <v>44880</v>
      </c>
      <c r="AJ7" s="181"/>
      <c r="AK7" s="181">
        <f t="shared" ca="1" si="1"/>
        <v>44958</v>
      </c>
      <c r="AL7" s="173">
        <f t="shared" ca="1" si="2"/>
        <v>78</v>
      </c>
      <c r="AM7" s="173" t="str">
        <f t="shared" si="3"/>
        <v/>
      </c>
      <c r="AN7" s="181"/>
      <c r="AO7" s="190" t="s">
        <v>3834</v>
      </c>
      <c r="AP7" s="176">
        <v>21.524999999999999</v>
      </c>
      <c r="AQ7" s="176">
        <v>21.584999999999997</v>
      </c>
      <c r="AR7" s="176">
        <v>21.61</v>
      </c>
      <c r="AS7" s="176">
        <v>21.614999999999998</v>
      </c>
      <c r="AT7" s="173">
        <f t="shared" ca="1" si="4"/>
        <v>30</v>
      </c>
      <c r="AU7" s="173">
        <v>460</v>
      </c>
      <c r="AW7" s="142" t="s">
        <v>123</v>
      </c>
      <c r="AX7" s="142" t="str">
        <f>LEFT(RIGHT(C7,LEN(C7)-MIN(SEARCH({0,1,2,3,4,5,6,7,8,9},C7&amp;"0123456789"))+1),2)</f>
        <v>02</v>
      </c>
      <c r="AY7" s="142">
        <v>2</v>
      </c>
      <c r="AZ7" s="142" t="str">
        <f>LEFT(RIGHT(C7,LEN(C7)-MIN(SEARCH({0,1,2,3,4,5,6,7,8,9},C7&amp;"0123456789"))+1),5)</f>
        <v>02.01</v>
      </c>
      <c r="BA7" s="142" t="str">
        <f t="shared" si="5"/>
        <v>MI</v>
      </c>
    </row>
    <row r="8" spans="1:53" s="142" customFormat="1" ht="21" customHeight="1" x14ac:dyDescent="0.25">
      <c r="B8" s="173" t="str">
        <f t="shared" si="0"/>
        <v>0-316L/FH-2.00X777</v>
      </c>
      <c r="C8" s="173" t="s">
        <v>4354</v>
      </c>
      <c r="D8" s="173" t="s">
        <v>16</v>
      </c>
      <c r="E8" s="190" t="s">
        <v>3839</v>
      </c>
      <c r="F8" s="190" t="s">
        <v>3845</v>
      </c>
      <c r="G8" s="173" t="s">
        <v>135</v>
      </c>
      <c r="H8" s="173" t="s">
        <v>70</v>
      </c>
      <c r="I8" s="174">
        <v>3.92</v>
      </c>
      <c r="J8" s="174">
        <v>2</v>
      </c>
      <c r="K8" s="174"/>
      <c r="L8" s="174"/>
      <c r="M8" s="191">
        <v>777</v>
      </c>
      <c r="N8" s="176">
        <v>10.805</v>
      </c>
      <c r="O8" s="176">
        <v>10.805</v>
      </c>
      <c r="P8" s="176" t="s">
        <v>114</v>
      </c>
      <c r="Q8" s="178" t="s">
        <v>761</v>
      </c>
      <c r="R8" s="179"/>
      <c r="S8" s="179"/>
      <c r="T8" s="177">
        <v>44926</v>
      </c>
      <c r="U8" s="177"/>
      <c r="V8" s="177">
        <v>44928</v>
      </c>
      <c r="W8" s="177"/>
      <c r="X8" s="177"/>
      <c r="Y8" s="177"/>
      <c r="Z8" s="177"/>
      <c r="AA8" s="177">
        <v>44911</v>
      </c>
      <c r="AB8" s="177"/>
      <c r="AC8" s="177"/>
      <c r="AD8" s="180" t="s">
        <v>2374</v>
      </c>
      <c r="AE8" s="173" t="s">
        <v>69</v>
      </c>
      <c r="AF8" s="181" t="s">
        <v>142</v>
      </c>
      <c r="AG8" s="192" t="s">
        <v>1887</v>
      </c>
      <c r="AH8" s="198"/>
      <c r="AI8" s="181">
        <v>44880</v>
      </c>
      <c r="AJ8" s="181"/>
      <c r="AK8" s="181">
        <f t="shared" ca="1" si="1"/>
        <v>44958</v>
      </c>
      <c r="AL8" s="173">
        <f t="shared" ca="1" si="2"/>
        <v>78</v>
      </c>
      <c r="AM8" s="173" t="str">
        <f t="shared" si="3"/>
        <v/>
      </c>
      <c r="AN8" s="181"/>
      <c r="AO8" s="190" t="s">
        <v>3841</v>
      </c>
      <c r="AP8" s="176">
        <v>21.62</v>
      </c>
      <c r="AQ8" s="176">
        <v>21.68</v>
      </c>
      <c r="AR8" s="176">
        <v>21.705000000000002</v>
      </c>
      <c r="AS8" s="176">
        <v>21.71</v>
      </c>
      <c r="AT8" s="173">
        <f t="shared" ca="1" si="4"/>
        <v>30</v>
      </c>
      <c r="AU8" s="173">
        <v>460</v>
      </c>
      <c r="AW8" s="142" t="s">
        <v>123</v>
      </c>
      <c r="AX8" s="142" t="str">
        <f>LEFT(RIGHT(C8,LEN(C8)-MIN(SEARCH({0,1,2,3,4,5,6,7,8,9},C8&amp;"0123456789"))+1),2)</f>
        <v>02</v>
      </c>
      <c r="AY8" s="142">
        <v>2</v>
      </c>
      <c r="AZ8" s="142" t="str">
        <f>LEFT(RIGHT(C8,LEN(C8)-MIN(SEARCH({0,1,2,3,4,5,6,7,8,9},C8&amp;"0123456789"))+1),5)</f>
        <v>02.01</v>
      </c>
      <c r="BA8" s="142" t="str">
        <f t="shared" si="5"/>
        <v>MI</v>
      </c>
    </row>
    <row r="9" spans="1:53" s="142" customFormat="1" ht="21" customHeight="1" x14ac:dyDescent="0.25">
      <c r="B9" s="173" t="str">
        <f t="shared" si="0"/>
        <v>0-316L/FH-2.00X776</v>
      </c>
      <c r="C9" s="173" t="s">
        <v>4354</v>
      </c>
      <c r="D9" s="173" t="s">
        <v>16</v>
      </c>
      <c r="E9" s="190" t="s">
        <v>3819</v>
      </c>
      <c r="F9" s="190" t="s">
        <v>3820</v>
      </c>
      <c r="G9" s="173" t="s">
        <v>135</v>
      </c>
      <c r="H9" s="173" t="s">
        <v>70</v>
      </c>
      <c r="I9" s="174">
        <v>3.93</v>
      </c>
      <c r="J9" s="174">
        <v>2</v>
      </c>
      <c r="K9" s="174"/>
      <c r="L9" s="174"/>
      <c r="M9" s="191">
        <v>776</v>
      </c>
      <c r="N9" s="176">
        <v>10.845000000000001</v>
      </c>
      <c r="O9" s="176">
        <v>10.845000000000001</v>
      </c>
      <c r="P9" s="176" t="s">
        <v>114</v>
      </c>
      <c r="Q9" s="178" t="s">
        <v>761</v>
      </c>
      <c r="R9" s="179"/>
      <c r="S9" s="179"/>
      <c r="T9" s="177">
        <v>44928</v>
      </c>
      <c r="U9" s="177"/>
      <c r="V9" s="177">
        <v>44928</v>
      </c>
      <c r="W9" s="177"/>
      <c r="X9" s="177"/>
      <c r="Y9" s="177"/>
      <c r="Z9" s="177"/>
      <c r="AA9" s="177">
        <v>44911</v>
      </c>
      <c r="AB9" s="177"/>
      <c r="AC9" s="177"/>
      <c r="AD9" s="180" t="s">
        <v>2374</v>
      </c>
      <c r="AE9" s="173" t="s">
        <v>69</v>
      </c>
      <c r="AF9" s="181" t="s">
        <v>142</v>
      </c>
      <c r="AG9" s="192" t="s">
        <v>1887</v>
      </c>
      <c r="AH9" s="198"/>
      <c r="AI9" s="181">
        <v>44880</v>
      </c>
      <c r="AJ9" s="181"/>
      <c r="AK9" s="181">
        <f t="shared" ca="1" si="1"/>
        <v>44958</v>
      </c>
      <c r="AL9" s="173">
        <f t="shared" ca="1" si="2"/>
        <v>78</v>
      </c>
      <c r="AM9" s="173" t="str">
        <f t="shared" si="3"/>
        <v/>
      </c>
      <c r="AN9" s="181"/>
      <c r="AO9" s="190" t="s">
        <v>3821</v>
      </c>
      <c r="AP9" s="176">
        <v>21.65</v>
      </c>
      <c r="AQ9" s="176">
        <v>21.709999999999997</v>
      </c>
      <c r="AR9" s="176">
        <v>21.734999999999999</v>
      </c>
      <c r="AS9" s="176">
        <v>21.74</v>
      </c>
      <c r="AT9" s="173">
        <f t="shared" ca="1" si="4"/>
        <v>30</v>
      </c>
      <c r="AU9" s="173">
        <v>460</v>
      </c>
      <c r="AW9" s="142" t="s">
        <v>123</v>
      </c>
      <c r="AX9" s="142" t="str">
        <f>LEFT(RIGHT(C9,LEN(C9)-MIN(SEARCH({0,1,2,3,4,5,6,7,8,9},C9&amp;"0123456789"))+1),2)</f>
        <v>02</v>
      </c>
      <c r="AY9" s="142">
        <v>3</v>
      </c>
      <c r="AZ9" s="142" t="str">
        <f>LEFT(RIGHT(C9,LEN(C9)-MIN(SEARCH({0,1,2,3,4,5,6,7,8,9},C9&amp;"0123456789"))+1),5)</f>
        <v>02.01</v>
      </c>
      <c r="BA9" s="142" t="str">
        <f t="shared" si="5"/>
        <v>MI</v>
      </c>
    </row>
    <row r="10" spans="1:53" s="142" customFormat="1" ht="21" customHeight="1" x14ac:dyDescent="0.25">
      <c r="B10" s="173" t="str">
        <f t="shared" si="0"/>
        <v>0-316L/FH-1.50X777</v>
      </c>
      <c r="C10" s="173" t="s">
        <v>4354</v>
      </c>
      <c r="D10" s="173" t="s">
        <v>16</v>
      </c>
      <c r="E10" s="190" t="s">
        <v>3839</v>
      </c>
      <c r="F10" s="190" t="s">
        <v>3840</v>
      </c>
      <c r="G10" s="173" t="s">
        <v>135</v>
      </c>
      <c r="H10" s="173" t="s">
        <v>70</v>
      </c>
      <c r="I10" s="174">
        <v>3.92</v>
      </c>
      <c r="J10" s="174">
        <v>1.5</v>
      </c>
      <c r="K10" s="174"/>
      <c r="L10" s="174"/>
      <c r="M10" s="191">
        <v>777</v>
      </c>
      <c r="N10" s="176">
        <v>10.81</v>
      </c>
      <c r="O10" s="176">
        <v>10.81</v>
      </c>
      <c r="P10" s="176" t="s">
        <v>114</v>
      </c>
      <c r="Q10" s="178" t="s">
        <v>761</v>
      </c>
      <c r="R10" s="179"/>
      <c r="S10" s="179"/>
      <c r="T10" s="177">
        <v>44928</v>
      </c>
      <c r="U10" s="177"/>
      <c r="V10" s="177">
        <v>44928</v>
      </c>
      <c r="W10" s="177"/>
      <c r="X10" s="177"/>
      <c r="Y10" s="177"/>
      <c r="Z10" s="177"/>
      <c r="AA10" s="177">
        <v>44911</v>
      </c>
      <c r="AB10" s="177"/>
      <c r="AC10" s="177"/>
      <c r="AD10" s="180" t="s">
        <v>2374</v>
      </c>
      <c r="AE10" s="173" t="s">
        <v>69</v>
      </c>
      <c r="AF10" s="181" t="s">
        <v>142</v>
      </c>
      <c r="AG10" s="192" t="s">
        <v>1887</v>
      </c>
      <c r="AH10" s="198"/>
      <c r="AI10" s="181">
        <v>44880</v>
      </c>
      <c r="AJ10" s="181"/>
      <c r="AK10" s="181">
        <f t="shared" ca="1" si="1"/>
        <v>44958</v>
      </c>
      <c r="AL10" s="173">
        <f t="shared" ca="1" si="2"/>
        <v>78</v>
      </c>
      <c r="AM10" s="173" t="str">
        <f t="shared" si="3"/>
        <v/>
      </c>
      <c r="AN10" s="181"/>
      <c r="AO10" s="190" t="s">
        <v>3841</v>
      </c>
      <c r="AP10" s="176">
        <v>21.62</v>
      </c>
      <c r="AQ10" s="176">
        <v>21.68</v>
      </c>
      <c r="AR10" s="176">
        <v>21.705000000000002</v>
      </c>
      <c r="AS10" s="176">
        <v>21.71</v>
      </c>
      <c r="AT10" s="173">
        <f t="shared" ca="1" si="4"/>
        <v>30</v>
      </c>
      <c r="AU10" s="173">
        <v>460</v>
      </c>
      <c r="AW10" s="142" t="s">
        <v>123</v>
      </c>
      <c r="AX10" s="142" t="str">
        <f>LEFT(RIGHT(C10,LEN(C10)-MIN(SEARCH({0,1,2,3,4,5,6,7,8,9},C10&amp;"0123456789"))+1),2)</f>
        <v>02</v>
      </c>
      <c r="AY10" s="142">
        <v>3</v>
      </c>
      <c r="AZ10" s="142" t="str">
        <f>LEFT(RIGHT(C10,LEN(C10)-MIN(SEARCH({0,1,2,3,4,5,6,7,8,9},C10&amp;"0123456789"))+1),5)</f>
        <v>02.01</v>
      </c>
      <c r="BA10" s="142" t="str">
        <f t="shared" si="5"/>
        <v>MI</v>
      </c>
    </row>
    <row r="11" spans="1:53" s="142" customFormat="1" ht="21" customHeight="1" x14ac:dyDescent="0.25">
      <c r="B11" s="173" t="str">
        <f t="shared" si="0"/>
        <v>0-316L/FH-1.50X778</v>
      </c>
      <c r="C11" s="173" t="s">
        <v>4354</v>
      </c>
      <c r="D11" s="173" t="s">
        <v>16</v>
      </c>
      <c r="E11" s="190" t="s">
        <v>3842</v>
      </c>
      <c r="F11" s="190" t="s">
        <v>3849</v>
      </c>
      <c r="G11" s="173" t="s">
        <v>135</v>
      </c>
      <c r="H11" s="173" t="s">
        <v>70</v>
      </c>
      <c r="I11" s="174">
        <v>3.92</v>
      </c>
      <c r="J11" s="174">
        <v>1.5</v>
      </c>
      <c r="K11" s="174"/>
      <c r="L11" s="174"/>
      <c r="M11" s="191">
        <v>778</v>
      </c>
      <c r="N11" s="176">
        <v>10.785</v>
      </c>
      <c r="O11" s="176">
        <v>10.785</v>
      </c>
      <c r="P11" s="176" t="s">
        <v>114</v>
      </c>
      <c r="Q11" s="178" t="s">
        <v>761</v>
      </c>
      <c r="R11" s="179"/>
      <c r="S11" s="179"/>
      <c r="T11" s="177">
        <v>44928</v>
      </c>
      <c r="U11" s="177"/>
      <c r="V11" s="177">
        <v>44928</v>
      </c>
      <c r="W11" s="177"/>
      <c r="X11" s="177"/>
      <c r="Y11" s="177"/>
      <c r="Z11" s="177"/>
      <c r="AA11" s="177">
        <v>44911</v>
      </c>
      <c r="AB11" s="177"/>
      <c r="AC11" s="177"/>
      <c r="AD11" s="180" t="s">
        <v>2374</v>
      </c>
      <c r="AE11" s="173" t="s">
        <v>69</v>
      </c>
      <c r="AF11" s="181" t="s">
        <v>142</v>
      </c>
      <c r="AG11" s="192" t="s">
        <v>1887</v>
      </c>
      <c r="AH11" s="198"/>
      <c r="AI11" s="181">
        <v>44880</v>
      </c>
      <c r="AJ11" s="181"/>
      <c r="AK11" s="181">
        <f t="shared" ca="1" si="1"/>
        <v>44958</v>
      </c>
      <c r="AL11" s="173">
        <f t="shared" ca="1" si="2"/>
        <v>78</v>
      </c>
      <c r="AM11" s="173" t="str">
        <f t="shared" si="3"/>
        <v/>
      </c>
      <c r="AN11" s="181"/>
      <c r="AO11" s="190" t="s">
        <v>3844</v>
      </c>
      <c r="AP11" s="176">
        <v>21.51</v>
      </c>
      <c r="AQ11" s="176">
        <v>21.57</v>
      </c>
      <c r="AR11" s="176">
        <v>21.595000000000002</v>
      </c>
      <c r="AS11" s="176">
        <v>21.6</v>
      </c>
      <c r="AT11" s="173">
        <f t="shared" ca="1" si="4"/>
        <v>30</v>
      </c>
      <c r="AU11" s="173">
        <v>460</v>
      </c>
      <c r="AW11" s="142" t="s">
        <v>123</v>
      </c>
      <c r="AX11" s="142" t="str">
        <f>LEFT(RIGHT(C11,LEN(C11)-MIN(SEARCH({0,1,2,3,4,5,6,7,8,9},C11&amp;"0123456789"))+1),2)</f>
        <v>02</v>
      </c>
      <c r="AY11" s="142">
        <v>3</v>
      </c>
      <c r="AZ11" s="142" t="str">
        <f>LEFT(RIGHT(C11,LEN(C11)-MIN(SEARCH({0,1,2,3,4,5,6,7,8,9},C11&amp;"0123456789"))+1),5)</f>
        <v>02.01</v>
      </c>
      <c r="BA11" s="142" t="str">
        <f t="shared" si="5"/>
        <v>MI</v>
      </c>
    </row>
    <row r="12" spans="1:53" s="142" customFormat="1" ht="21" customHeight="1" x14ac:dyDescent="0.25">
      <c r="B12" s="173" t="str">
        <f t="shared" si="0"/>
        <v>0-316L/FH-2.00X777</v>
      </c>
      <c r="C12" s="173" t="s">
        <v>4354</v>
      </c>
      <c r="D12" s="173" t="s">
        <v>16</v>
      </c>
      <c r="E12" s="190" t="s">
        <v>3846</v>
      </c>
      <c r="F12" s="190" t="s">
        <v>3847</v>
      </c>
      <c r="G12" s="173" t="s">
        <v>135</v>
      </c>
      <c r="H12" s="173" t="s">
        <v>70</v>
      </c>
      <c r="I12" s="174">
        <v>3.94</v>
      </c>
      <c r="J12" s="174">
        <v>2</v>
      </c>
      <c r="K12" s="174"/>
      <c r="L12" s="174"/>
      <c r="M12" s="191">
        <v>777</v>
      </c>
      <c r="N12" s="176">
        <v>10.824999999999999</v>
      </c>
      <c r="O12" s="176">
        <v>10.824999999999999</v>
      </c>
      <c r="P12" s="176" t="s">
        <v>114</v>
      </c>
      <c r="Q12" s="178" t="s">
        <v>761</v>
      </c>
      <c r="R12" s="179"/>
      <c r="S12" s="179"/>
      <c r="T12" s="177">
        <v>44928</v>
      </c>
      <c r="U12" s="177"/>
      <c r="V12" s="177">
        <v>44928</v>
      </c>
      <c r="W12" s="177"/>
      <c r="X12" s="177"/>
      <c r="Y12" s="177"/>
      <c r="Z12" s="177">
        <v>44911</v>
      </c>
      <c r="AA12" s="177">
        <v>44911</v>
      </c>
      <c r="AB12" s="177"/>
      <c r="AC12" s="177"/>
      <c r="AD12" s="180" t="s">
        <v>2374</v>
      </c>
      <c r="AE12" s="173" t="s">
        <v>69</v>
      </c>
      <c r="AF12" s="181" t="s">
        <v>142</v>
      </c>
      <c r="AG12" s="192" t="s">
        <v>1887</v>
      </c>
      <c r="AH12" s="198"/>
      <c r="AI12" s="181">
        <v>44880</v>
      </c>
      <c r="AJ12" s="181"/>
      <c r="AK12" s="181">
        <f t="shared" ca="1" si="1"/>
        <v>44958</v>
      </c>
      <c r="AL12" s="173">
        <f t="shared" ca="1" si="2"/>
        <v>78</v>
      </c>
      <c r="AM12" s="173" t="str">
        <f t="shared" si="3"/>
        <v/>
      </c>
      <c r="AN12" s="181"/>
      <c r="AO12" s="190" t="s">
        <v>3848</v>
      </c>
      <c r="AP12" s="176">
        <v>21.585000000000001</v>
      </c>
      <c r="AQ12" s="176">
        <v>21.645</v>
      </c>
      <c r="AR12" s="176">
        <v>21.67</v>
      </c>
      <c r="AS12" s="176">
        <v>21.675000000000001</v>
      </c>
      <c r="AT12" s="173">
        <f t="shared" ca="1" si="4"/>
        <v>30</v>
      </c>
      <c r="AU12" s="173">
        <v>460</v>
      </c>
      <c r="AW12" s="142" t="s">
        <v>123</v>
      </c>
      <c r="AX12" s="142" t="str">
        <f>LEFT(RIGHT(C12,LEN(C12)-MIN(SEARCH({0,1,2,3,4,5,6,7,8,9},C12&amp;"0123456789"))+1),2)</f>
        <v>02</v>
      </c>
      <c r="AY12" s="142">
        <v>3</v>
      </c>
      <c r="AZ12" s="142" t="str">
        <f>LEFT(RIGHT(C12,LEN(C12)-MIN(SEARCH({0,1,2,3,4,5,6,7,8,9},C12&amp;"0123456789"))+1),5)</f>
        <v>02.01</v>
      </c>
      <c r="BA12" s="142" t="str">
        <f t="shared" si="5"/>
        <v>MI</v>
      </c>
    </row>
    <row r="13" spans="1:53" s="142" customFormat="1" ht="21" customHeight="1" x14ac:dyDescent="0.25">
      <c r="B13" s="173" t="str">
        <f t="shared" si="0"/>
        <v>0-316L/FH-2.00X776</v>
      </c>
      <c r="C13" s="173" t="s">
        <v>4355</v>
      </c>
      <c r="D13" s="173" t="s">
        <v>16</v>
      </c>
      <c r="E13" s="190" t="s">
        <v>3846</v>
      </c>
      <c r="F13" s="190" t="s">
        <v>3850</v>
      </c>
      <c r="G13" s="173" t="s">
        <v>135</v>
      </c>
      <c r="H13" s="173" t="s">
        <v>70</v>
      </c>
      <c r="I13" s="174">
        <v>3.94</v>
      </c>
      <c r="J13" s="174">
        <v>2</v>
      </c>
      <c r="K13" s="174"/>
      <c r="L13" s="174"/>
      <c r="M13" s="191">
        <v>776</v>
      </c>
      <c r="N13" s="176">
        <v>10.845000000000001</v>
      </c>
      <c r="O13" s="176">
        <v>10.845000000000001</v>
      </c>
      <c r="P13" s="176" t="s">
        <v>114</v>
      </c>
      <c r="Q13" s="178" t="s">
        <v>761</v>
      </c>
      <c r="R13" s="179"/>
      <c r="S13" s="179"/>
      <c r="T13" s="177">
        <v>44928</v>
      </c>
      <c r="U13" s="177"/>
      <c r="V13" s="177">
        <v>44929</v>
      </c>
      <c r="W13" s="177"/>
      <c r="X13" s="177"/>
      <c r="Y13" s="177"/>
      <c r="Z13" s="177"/>
      <c r="AA13" s="177">
        <v>44911</v>
      </c>
      <c r="AB13" s="177"/>
      <c r="AC13" s="177"/>
      <c r="AD13" s="180" t="s">
        <v>2374</v>
      </c>
      <c r="AE13" s="173" t="s">
        <v>69</v>
      </c>
      <c r="AF13" s="181" t="s">
        <v>142</v>
      </c>
      <c r="AG13" s="192" t="s">
        <v>1887</v>
      </c>
      <c r="AH13" s="198"/>
      <c r="AI13" s="181">
        <v>44880</v>
      </c>
      <c r="AJ13" s="181"/>
      <c r="AK13" s="181">
        <f t="shared" ca="1" si="1"/>
        <v>44958</v>
      </c>
      <c r="AL13" s="173">
        <f t="shared" ca="1" si="2"/>
        <v>78</v>
      </c>
      <c r="AM13" s="173" t="str">
        <f t="shared" si="3"/>
        <v/>
      </c>
      <c r="AN13" s="181"/>
      <c r="AO13" s="190" t="s">
        <v>3848</v>
      </c>
      <c r="AP13" s="176">
        <v>21.585000000000001</v>
      </c>
      <c r="AQ13" s="176">
        <v>21.645</v>
      </c>
      <c r="AR13" s="176">
        <v>21.67</v>
      </c>
      <c r="AS13" s="176">
        <v>21.675000000000001</v>
      </c>
      <c r="AT13" s="173">
        <f t="shared" ca="1" si="4"/>
        <v>29</v>
      </c>
      <c r="AU13" s="173">
        <v>460</v>
      </c>
      <c r="AW13" s="142" t="s">
        <v>123</v>
      </c>
      <c r="AX13" s="142" t="str">
        <f>LEFT(RIGHT(C13,LEN(C13)-MIN(SEARCH({0,1,2,3,4,5,6,7,8,9},C13&amp;"0123456789"))+1),2)</f>
        <v>03</v>
      </c>
      <c r="AY13" s="142">
        <v>1</v>
      </c>
      <c r="AZ13" s="142" t="str">
        <f>LEFT(RIGHT(C13,LEN(C13)-MIN(SEARCH({0,1,2,3,4,5,6,7,8,9},C13&amp;"0123456789"))+1),5)</f>
        <v>03.01</v>
      </c>
      <c r="BA13" s="142" t="str">
        <f t="shared" si="5"/>
        <v>MI</v>
      </c>
    </row>
    <row r="14" spans="1:53" s="142" customFormat="1" ht="21" customHeight="1" x14ac:dyDescent="0.25">
      <c r="B14" s="173" t="str">
        <f t="shared" si="0"/>
        <v>0-316L/FH-2.00X777</v>
      </c>
      <c r="C14" s="173" t="s">
        <v>4355</v>
      </c>
      <c r="D14" s="173" t="s">
        <v>16</v>
      </c>
      <c r="E14" s="190" t="s">
        <v>3851</v>
      </c>
      <c r="F14" s="190" t="s">
        <v>3852</v>
      </c>
      <c r="G14" s="173" t="s">
        <v>135</v>
      </c>
      <c r="H14" s="173" t="s">
        <v>70</v>
      </c>
      <c r="I14" s="174">
        <v>3.92</v>
      </c>
      <c r="J14" s="174">
        <v>2</v>
      </c>
      <c r="K14" s="174"/>
      <c r="L14" s="174"/>
      <c r="M14" s="191">
        <v>777</v>
      </c>
      <c r="N14" s="176">
        <v>10.855</v>
      </c>
      <c r="O14" s="176">
        <v>10.855</v>
      </c>
      <c r="P14" s="176" t="s">
        <v>114</v>
      </c>
      <c r="Q14" s="178" t="s">
        <v>761</v>
      </c>
      <c r="R14" s="179"/>
      <c r="S14" s="179"/>
      <c r="T14" s="177">
        <v>44928</v>
      </c>
      <c r="U14" s="177"/>
      <c r="V14" s="177">
        <v>44929</v>
      </c>
      <c r="W14" s="177"/>
      <c r="X14" s="177"/>
      <c r="Y14" s="177"/>
      <c r="Z14" s="177"/>
      <c r="AA14" s="177">
        <v>44909</v>
      </c>
      <c r="AB14" s="177"/>
      <c r="AC14" s="177"/>
      <c r="AD14" s="180" t="s">
        <v>2374</v>
      </c>
      <c r="AE14" s="173" t="s">
        <v>69</v>
      </c>
      <c r="AF14" s="181" t="s">
        <v>142</v>
      </c>
      <c r="AG14" s="192" t="s">
        <v>1887</v>
      </c>
      <c r="AH14" s="198"/>
      <c r="AI14" s="181">
        <v>44880</v>
      </c>
      <c r="AJ14" s="181"/>
      <c r="AK14" s="181">
        <f t="shared" ca="1" si="1"/>
        <v>44958</v>
      </c>
      <c r="AL14" s="173">
        <f t="shared" ca="1" si="2"/>
        <v>78</v>
      </c>
      <c r="AM14" s="173" t="str">
        <f t="shared" si="3"/>
        <v/>
      </c>
      <c r="AN14" s="181"/>
      <c r="AO14" s="190" t="s">
        <v>3853</v>
      </c>
      <c r="AP14" s="176">
        <v>21.605</v>
      </c>
      <c r="AQ14" s="176">
        <v>21.664999999999999</v>
      </c>
      <c r="AR14" s="176">
        <v>21.69</v>
      </c>
      <c r="AS14" s="176">
        <v>21.695</v>
      </c>
      <c r="AT14" s="173">
        <f t="shared" ca="1" si="4"/>
        <v>29</v>
      </c>
      <c r="AU14" s="173">
        <v>460</v>
      </c>
      <c r="AW14" s="142" t="s">
        <v>123</v>
      </c>
      <c r="AX14" s="142" t="str">
        <f>LEFT(RIGHT(C14,LEN(C14)-MIN(SEARCH({0,1,2,3,4,5,6,7,8,9},C14&amp;"0123456789"))+1),2)</f>
        <v>03</v>
      </c>
      <c r="AY14" s="142">
        <v>1</v>
      </c>
      <c r="AZ14" s="142" t="str">
        <f>LEFT(RIGHT(C14,LEN(C14)-MIN(SEARCH({0,1,2,3,4,5,6,7,8,9},C14&amp;"0123456789"))+1),5)</f>
        <v>03.01</v>
      </c>
      <c r="BA14" s="142" t="str">
        <f t="shared" si="5"/>
        <v>MI</v>
      </c>
    </row>
    <row r="15" spans="1:53" s="142" customFormat="1" ht="21" customHeight="1" x14ac:dyDescent="0.25">
      <c r="B15" s="173" t="str">
        <f t="shared" si="0"/>
        <v>0-316L/FH-2.00X777</v>
      </c>
      <c r="C15" s="173" t="s">
        <v>4355</v>
      </c>
      <c r="D15" s="173" t="s">
        <v>16</v>
      </c>
      <c r="E15" s="190" t="s">
        <v>3826</v>
      </c>
      <c r="F15" s="190" t="s">
        <v>3827</v>
      </c>
      <c r="G15" s="173" t="s">
        <v>135</v>
      </c>
      <c r="H15" s="173" t="s">
        <v>70</v>
      </c>
      <c r="I15" s="174">
        <v>3.94</v>
      </c>
      <c r="J15" s="174">
        <v>2</v>
      </c>
      <c r="K15" s="174"/>
      <c r="L15" s="174"/>
      <c r="M15" s="191">
        <v>777</v>
      </c>
      <c r="N15" s="176">
        <v>10.85</v>
      </c>
      <c r="O15" s="176">
        <v>10.85</v>
      </c>
      <c r="P15" s="176" t="s">
        <v>114</v>
      </c>
      <c r="Q15" s="178" t="s">
        <v>761</v>
      </c>
      <c r="R15" s="179"/>
      <c r="S15" s="179"/>
      <c r="T15" s="177">
        <v>44928</v>
      </c>
      <c r="U15" s="177"/>
      <c r="V15" s="177">
        <v>44929</v>
      </c>
      <c r="W15" s="177"/>
      <c r="X15" s="177"/>
      <c r="Y15" s="177"/>
      <c r="Z15" s="177"/>
      <c r="AA15" s="177">
        <v>44910</v>
      </c>
      <c r="AB15" s="177"/>
      <c r="AC15" s="177"/>
      <c r="AD15" s="180" t="s">
        <v>2374</v>
      </c>
      <c r="AE15" s="173" t="s">
        <v>69</v>
      </c>
      <c r="AF15" s="181" t="s">
        <v>142</v>
      </c>
      <c r="AG15" s="192" t="s">
        <v>1887</v>
      </c>
      <c r="AH15" s="198"/>
      <c r="AI15" s="181">
        <v>44880</v>
      </c>
      <c r="AJ15" s="181"/>
      <c r="AK15" s="181">
        <f t="shared" ca="1" si="1"/>
        <v>44958</v>
      </c>
      <c r="AL15" s="173">
        <f t="shared" ca="1" si="2"/>
        <v>78</v>
      </c>
      <c r="AM15" s="173" t="str">
        <f t="shared" si="3"/>
        <v/>
      </c>
      <c r="AN15" s="181"/>
      <c r="AO15" s="190" t="s">
        <v>3828</v>
      </c>
      <c r="AP15" s="176">
        <v>21.56</v>
      </c>
      <c r="AQ15" s="176">
        <v>21.619999999999997</v>
      </c>
      <c r="AR15" s="176">
        <v>21.645</v>
      </c>
      <c r="AS15" s="176">
        <v>21.65</v>
      </c>
      <c r="AT15" s="173">
        <f t="shared" ca="1" si="4"/>
        <v>29</v>
      </c>
      <c r="AU15" s="173">
        <v>460</v>
      </c>
      <c r="AW15" s="142" t="s">
        <v>123</v>
      </c>
      <c r="AX15" s="142" t="str">
        <f>LEFT(RIGHT(C15,LEN(C15)-MIN(SEARCH({0,1,2,3,4,5,6,7,8,9},C15&amp;"0123456789"))+1),2)</f>
        <v>03</v>
      </c>
      <c r="AY15" s="142">
        <v>1</v>
      </c>
      <c r="AZ15" s="142" t="str">
        <f>LEFT(RIGHT(C15,LEN(C15)-MIN(SEARCH({0,1,2,3,4,5,6,7,8,9},C15&amp;"0123456789"))+1),5)</f>
        <v>03.01</v>
      </c>
      <c r="BA15" s="142" t="str">
        <f t="shared" si="5"/>
        <v>MI</v>
      </c>
    </row>
    <row r="16" spans="1:53" s="142" customFormat="1" ht="21" customHeight="1" x14ac:dyDescent="0.25">
      <c r="B16" s="173" t="str">
        <f t="shared" si="0"/>
        <v>0-316L/FH-1.50X777</v>
      </c>
      <c r="C16" s="173" t="s">
        <v>4355</v>
      </c>
      <c r="D16" s="173" t="s">
        <v>16</v>
      </c>
      <c r="E16" s="190" t="s">
        <v>3842</v>
      </c>
      <c r="F16" s="190" t="s">
        <v>3843</v>
      </c>
      <c r="G16" s="173" t="s">
        <v>135</v>
      </c>
      <c r="H16" s="173" t="s">
        <v>70</v>
      </c>
      <c r="I16" s="174">
        <v>3.92</v>
      </c>
      <c r="J16" s="174">
        <v>1.5</v>
      </c>
      <c r="K16" s="174"/>
      <c r="L16" s="174"/>
      <c r="M16" s="191">
        <v>777</v>
      </c>
      <c r="N16" s="176">
        <v>10.805</v>
      </c>
      <c r="O16" s="176">
        <v>10.805</v>
      </c>
      <c r="P16" s="176" t="s">
        <v>114</v>
      </c>
      <c r="Q16" s="178" t="s">
        <v>761</v>
      </c>
      <c r="R16" s="179"/>
      <c r="S16" s="179"/>
      <c r="T16" s="177">
        <v>44928</v>
      </c>
      <c r="U16" s="177"/>
      <c r="V16" s="177">
        <v>44929</v>
      </c>
      <c r="W16" s="177"/>
      <c r="X16" s="177"/>
      <c r="Y16" s="177"/>
      <c r="Z16" s="177"/>
      <c r="AA16" s="177">
        <v>44911</v>
      </c>
      <c r="AB16" s="177"/>
      <c r="AC16" s="177"/>
      <c r="AD16" s="180" t="s">
        <v>2374</v>
      </c>
      <c r="AE16" s="173" t="s">
        <v>69</v>
      </c>
      <c r="AF16" s="181" t="s">
        <v>142</v>
      </c>
      <c r="AG16" s="192" t="s">
        <v>1887</v>
      </c>
      <c r="AH16" s="198"/>
      <c r="AI16" s="181">
        <v>44880</v>
      </c>
      <c r="AJ16" s="181"/>
      <c r="AK16" s="181">
        <f t="shared" ca="1" si="1"/>
        <v>44958</v>
      </c>
      <c r="AL16" s="173">
        <f t="shared" ca="1" si="2"/>
        <v>78</v>
      </c>
      <c r="AM16" s="173" t="str">
        <f t="shared" si="3"/>
        <v/>
      </c>
      <c r="AN16" s="181"/>
      <c r="AO16" s="190" t="s">
        <v>3844</v>
      </c>
      <c r="AP16" s="176">
        <v>21.51</v>
      </c>
      <c r="AQ16" s="176">
        <v>21.57</v>
      </c>
      <c r="AR16" s="176">
        <v>21.595000000000002</v>
      </c>
      <c r="AS16" s="176">
        <v>21.6</v>
      </c>
      <c r="AT16" s="173">
        <f t="shared" ca="1" si="4"/>
        <v>29</v>
      </c>
      <c r="AU16" s="173">
        <v>460</v>
      </c>
      <c r="AW16" s="142" t="s">
        <v>123</v>
      </c>
      <c r="AX16" s="142" t="str">
        <f>LEFT(RIGHT(C16,LEN(C16)-MIN(SEARCH({0,1,2,3,4,5,6,7,8,9},C16&amp;"0123456789"))+1),2)</f>
        <v>03</v>
      </c>
      <c r="AY16" s="142">
        <v>1</v>
      </c>
      <c r="AZ16" s="142" t="str">
        <f>LEFT(RIGHT(C16,LEN(C16)-MIN(SEARCH({0,1,2,3,4,5,6,7,8,9},C16&amp;"0123456789"))+1),5)</f>
        <v>03.01</v>
      </c>
      <c r="BA16" s="142" t="str">
        <f t="shared" si="5"/>
        <v>MI</v>
      </c>
    </row>
    <row r="17" spans="2:53" s="142" customFormat="1" ht="21" customHeight="1" x14ac:dyDescent="0.25">
      <c r="B17" s="173" t="str">
        <f t="shared" si="0"/>
        <v>0-304L/FH-1.50X765</v>
      </c>
      <c r="C17" s="173" t="s">
        <v>4355</v>
      </c>
      <c r="D17" s="173" t="s">
        <v>16</v>
      </c>
      <c r="E17" s="190" t="s">
        <v>3856</v>
      </c>
      <c r="F17" s="190" t="s">
        <v>3857</v>
      </c>
      <c r="G17" s="173" t="s">
        <v>182</v>
      </c>
      <c r="H17" s="173" t="s">
        <v>70</v>
      </c>
      <c r="I17" s="174">
        <v>3.79</v>
      </c>
      <c r="J17" s="174">
        <v>1.5</v>
      </c>
      <c r="K17" s="174"/>
      <c r="L17" s="174"/>
      <c r="M17" s="191">
        <v>765</v>
      </c>
      <c r="N17" s="176">
        <v>11.975</v>
      </c>
      <c r="O17" s="176">
        <v>11.975</v>
      </c>
      <c r="P17" s="176" t="s">
        <v>114</v>
      </c>
      <c r="Q17" s="178" t="s">
        <v>1344</v>
      </c>
      <c r="R17" s="179"/>
      <c r="S17" s="179"/>
      <c r="T17" s="177">
        <v>44929</v>
      </c>
      <c r="U17" s="177"/>
      <c r="V17" s="177">
        <v>44929</v>
      </c>
      <c r="W17" s="177"/>
      <c r="X17" s="177"/>
      <c r="Y17" s="177"/>
      <c r="Z17" s="177"/>
      <c r="AA17" s="177"/>
      <c r="AB17" s="177"/>
      <c r="AC17" s="177"/>
      <c r="AD17" s="180" t="s">
        <v>1345</v>
      </c>
      <c r="AE17" s="173" t="s">
        <v>69</v>
      </c>
      <c r="AF17" s="181" t="s">
        <v>142</v>
      </c>
      <c r="AG17" s="192" t="s">
        <v>1653</v>
      </c>
      <c r="AH17" s="198"/>
      <c r="AI17" s="181">
        <v>44880</v>
      </c>
      <c r="AJ17" s="181"/>
      <c r="AK17" s="181">
        <f t="shared" ca="1" si="1"/>
        <v>44958</v>
      </c>
      <c r="AL17" s="173">
        <f t="shared" ca="1" si="2"/>
        <v>78</v>
      </c>
      <c r="AM17" s="173" t="str">
        <f t="shared" si="3"/>
        <v/>
      </c>
      <c r="AN17" s="181"/>
      <c r="AO17" s="190" t="s">
        <v>3858</v>
      </c>
      <c r="AP17" s="176">
        <v>11.975</v>
      </c>
      <c r="AQ17" s="176">
        <v>11.984999999999999</v>
      </c>
      <c r="AR17" s="176">
        <v>12.009999999999998</v>
      </c>
      <c r="AS17" s="176">
        <v>12.014999999999999</v>
      </c>
      <c r="AT17" s="173">
        <f t="shared" ca="1" si="4"/>
        <v>29</v>
      </c>
      <c r="AU17" s="173">
        <v>459</v>
      </c>
      <c r="AW17" s="142" t="s">
        <v>123</v>
      </c>
      <c r="AX17" s="142" t="str">
        <f>LEFT(RIGHT(C17,LEN(C17)-MIN(SEARCH({0,1,2,3,4,5,6,7,8,9},C17&amp;"0123456789"))+1),2)</f>
        <v>03</v>
      </c>
      <c r="AY17" s="142">
        <v>2</v>
      </c>
      <c r="AZ17" s="142" t="str">
        <f>LEFT(RIGHT(C17,LEN(C17)-MIN(SEARCH({0,1,2,3,4,5,6,7,8,9},C17&amp;"0123456789"))+1),5)</f>
        <v>03.01</v>
      </c>
      <c r="BA17" s="142" t="str">
        <f t="shared" si="5"/>
        <v>MI</v>
      </c>
    </row>
    <row r="18" spans="2:53" s="142" customFormat="1" ht="21" customHeight="1" x14ac:dyDescent="0.25">
      <c r="B18" s="173" t="str">
        <f t="shared" si="0"/>
        <v>0-304L/FH-1.20X765</v>
      </c>
      <c r="C18" s="173" t="s">
        <v>4355</v>
      </c>
      <c r="D18" s="173" t="s">
        <v>16</v>
      </c>
      <c r="E18" s="190" t="s">
        <v>3860</v>
      </c>
      <c r="F18" s="190" t="s">
        <v>3861</v>
      </c>
      <c r="G18" s="173" t="s">
        <v>182</v>
      </c>
      <c r="H18" s="173" t="s">
        <v>70</v>
      </c>
      <c r="I18" s="174">
        <v>3.78</v>
      </c>
      <c r="J18" s="174">
        <v>1.2</v>
      </c>
      <c r="K18" s="174"/>
      <c r="L18" s="174"/>
      <c r="M18" s="191">
        <v>765</v>
      </c>
      <c r="N18" s="176">
        <v>11.87</v>
      </c>
      <c r="O18" s="176">
        <v>11.87</v>
      </c>
      <c r="P18" s="176" t="s">
        <v>114</v>
      </c>
      <c r="Q18" s="178" t="s">
        <v>4356</v>
      </c>
      <c r="R18" s="179"/>
      <c r="S18" s="179"/>
      <c r="T18" s="177">
        <v>44929</v>
      </c>
      <c r="U18" s="177"/>
      <c r="V18" s="177">
        <v>44929</v>
      </c>
      <c r="W18" s="177"/>
      <c r="X18" s="177"/>
      <c r="Y18" s="177"/>
      <c r="Z18" s="177"/>
      <c r="AA18" s="177"/>
      <c r="AB18" s="177"/>
      <c r="AC18" s="177"/>
      <c r="AD18" s="180" t="s">
        <v>1345</v>
      </c>
      <c r="AE18" s="173" t="s">
        <v>69</v>
      </c>
      <c r="AF18" s="181" t="s">
        <v>142</v>
      </c>
      <c r="AG18" s="192" t="s">
        <v>2283</v>
      </c>
      <c r="AH18" s="198"/>
      <c r="AI18" s="181">
        <v>44880</v>
      </c>
      <c r="AJ18" s="181"/>
      <c r="AK18" s="181">
        <f t="shared" ca="1" si="1"/>
        <v>44958</v>
      </c>
      <c r="AL18" s="173">
        <f t="shared" ca="1" si="2"/>
        <v>78</v>
      </c>
      <c r="AM18" s="173" t="str">
        <f t="shared" si="3"/>
        <v/>
      </c>
      <c r="AN18" s="181"/>
      <c r="AO18" s="190" t="s">
        <v>3862</v>
      </c>
      <c r="AP18" s="176">
        <v>11.87</v>
      </c>
      <c r="AQ18" s="176">
        <v>11.879999999999999</v>
      </c>
      <c r="AR18" s="176">
        <v>11.904999999999998</v>
      </c>
      <c r="AS18" s="176">
        <v>11.909999999999998</v>
      </c>
      <c r="AT18" s="173">
        <f t="shared" ca="1" si="4"/>
        <v>29</v>
      </c>
      <c r="AU18" s="173">
        <v>459</v>
      </c>
      <c r="AW18" s="142" t="s">
        <v>123</v>
      </c>
      <c r="AX18" s="142" t="str">
        <f>LEFT(RIGHT(C18,LEN(C18)-MIN(SEARCH({0,1,2,3,4,5,6,7,8,9},C18&amp;"0123456789"))+1),2)</f>
        <v>03</v>
      </c>
      <c r="AY18" s="142">
        <v>2</v>
      </c>
      <c r="AZ18" s="142" t="str">
        <f>LEFT(RIGHT(C18,LEN(C18)-MIN(SEARCH({0,1,2,3,4,5,6,7,8,9},C18&amp;"0123456789"))+1),5)</f>
        <v>03.01</v>
      </c>
      <c r="BA18" s="142" t="str">
        <f t="shared" si="5"/>
        <v>MI</v>
      </c>
    </row>
    <row r="19" spans="2:53" s="142" customFormat="1" ht="21" customHeight="1" x14ac:dyDescent="0.25">
      <c r="B19" s="173" t="str">
        <f t="shared" si="0"/>
        <v>0-304/FH-1.50X770</v>
      </c>
      <c r="C19" s="173" t="s">
        <v>4355</v>
      </c>
      <c r="D19" s="173" t="s">
        <v>16</v>
      </c>
      <c r="E19" s="190" t="s">
        <v>3863</v>
      </c>
      <c r="F19" s="190" t="s">
        <v>3864</v>
      </c>
      <c r="G19" s="173">
        <v>304</v>
      </c>
      <c r="H19" s="173" t="s">
        <v>70</v>
      </c>
      <c r="I19" s="174">
        <v>3.79</v>
      </c>
      <c r="J19" s="174">
        <v>1.5</v>
      </c>
      <c r="K19" s="174"/>
      <c r="L19" s="174"/>
      <c r="M19" s="191">
        <v>770</v>
      </c>
      <c r="N19" s="176">
        <v>10.52</v>
      </c>
      <c r="O19" s="176">
        <v>10.52</v>
      </c>
      <c r="P19" s="176" t="s">
        <v>114</v>
      </c>
      <c r="Q19" s="178" t="s">
        <v>1344</v>
      </c>
      <c r="R19" s="179"/>
      <c r="S19" s="179"/>
      <c r="T19" s="177">
        <v>44929</v>
      </c>
      <c r="U19" s="177"/>
      <c r="V19" s="177">
        <v>44929</v>
      </c>
      <c r="W19" s="177"/>
      <c r="X19" s="177"/>
      <c r="Y19" s="177"/>
      <c r="Z19" s="177"/>
      <c r="AA19" s="177"/>
      <c r="AB19" s="177"/>
      <c r="AC19" s="177"/>
      <c r="AD19" s="180" t="s">
        <v>1345</v>
      </c>
      <c r="AE19" s="173" t="s">
        <v>69</v>
      </c>
      <c r="AF19" s="181" t="s">
        <v>142</v>
      </c>
      <c r="AG19" s="192" t="s">
        <v>2283</v>
      </c>
      <c r="AH19" s="198"/>
      <c r="AI19" s="181">
        <v>44880</v>
      </c>
      <c r="AJ19" s="181"/>
      <c r="AK19" s="181">
        <f t="shared" ca="1" si="1"/>
        <v>44958</v>
      </c>
      <c r="AL19" s="173">
        <f t="shared" ca="1" si="2"/>
        <v>78</v>
      </c>
      <c r="AM19" s="173" t="str">
        <f t="shared" si="3"/>
        <v/>
      </c>
      <c r="AN19" s="181"/>
      <c r="AO19" s="190" t="s">
        <v>3865</v>
      </c>
      <c r="AP19" s="176">
        <v>10.52</v>
      </c>
      <c r="AQ19" s="176">
        <v>10.53</v>
      </c>
      <c r="AR19" s="176">
        <v>10.554999999999998</v>
      </c>
      <c r="AS19" s="176">
        <v>10.559999999999999</v>
      </c>
      <c r="AT19" s="173">
        <f t="shared" ca="1" si="4"/>
        <v>29</v>
      </c>
      <c r="AU19" s="173">
        <v>459</v>
      </c>
      <c r="AW19" s="142" t="s">
        <v>123</v>
      </c>
      <c r="AX19" s="142" t="str">
        <f>LEFT(RIGHT(C19,LEN(C19)-MIN(SEARCH({0,1,2,3,4,5,6,7,8,9},C19&amp;"0123456789"))+1),2)</f>
        <v>03</v>
      </c>
      <c r="AY19" s="142">
        <v>2</v>
      </c>
      <c r="AZ19" s="142" t="str">
        <f>LEFT(RIGHT(C19,LEN(C19)-MIN(SEARCH({0,1,2,3,4,5,6,7,8,9},C19&amp;"0123456789"))+1),5)</f>
        <v>03.01</v>
      </c>
      <c r="BA19" s="142" t="str">
        <f t="shared" si="5"/>
        <v>MI</v>
      </c>
    </row>
    <row r="20" spans="2:53" s="142" customFormat="1" ht="21" customHeight="1" x14ac:dyDescent="0.25">
      <c r="B20" s="173" t="str">
        <f t="shared" si="0"/>
        <v>0-304/FH-2.00X767</v>
      </c>
      <c r="C20" s="173" t="s">
        <v>4355</v>
      </c>
      <c r="D20" s="173" t="s">
        <v>16</v>
      </c>
      <c r="E20" s="190" t="s">
        <v>2279</v>
      </c>
      <c r="F20" s="190" t="s">
        <v>3859</v>
      </c>
      <c r="G20" s="173">
        <v>304</v>
      </c>
      <c r="H20" s="173" t="s">
        <v>70</v>
      </c>
      <c r="I20" s="174">
        <v>3.94</v>
      </c>
      <c r="J20" s="174">
        <v>2</v>
      </c>
      <c r="K20" s="174"/>
      <c r="L20" s="174"/>
      <c r="M20" s="191">
        <v>767</v>
      </c>
      <c r="N20" s="176">
        <v>12.03</v>
      </c>
      <c r="O20" s="176">
        <v>12.03</v>
      </c>
      <c r="P20" s="176" t="s">
        <v>114</v>
      </c>
      <c r="Q20" s="178" t="s">
        <v>2281</v>
      </c>
      <c r="R20" s="179"/>
      <c r="S20" s="179"/>
      <c r="T20" s="177">
        <v>44929</v>
      </c>
      <c r="U20" s="177"/>
      <c r="V20" s="177">
        <v>44929</v>
      </c>
      <c r="W20" s="177"/>
      <c r="X20" s="177"/>
      <c r="Y20" s="177"/>
      <c r="Z20" s="177"/>
      <c r="AA20" s="177"/>
      <c r="AB20" s="177"/>
      <c r="AC20" s="177"/>
      <c r="AD20" s="180" t="s">
        <v>1345</v>
      </c>
      <c r="AE20" s="173" t="s">
        <v>69</v>
      </c>
      <c r="AF20" s="181" t="s">
        <v>142</v>
      </c>
      <c r="AG20" s="192" t="s">
        <v>2283</v>
      </c>
      <c r="AH20" s="198"/>
      <c r="AI20" s="181">
        <v>44880</v>
      </c>
      <c r="AJ20" s="181"/>
      <c r="AK20" s="181">
        <f t="shared" ca="1" si="1"/>
        <v>44958</v>
      </c>
      <c r="AL20" s="173">
        <f t="shared" ca="1" si="2"/>
        <v>78</v>
      </c>
      <c r="AM20" s="173" t="str">
        <f t="shared" si="3"/>
        <v/>
      </c>
      <c r="AN20" s="181"/>
      <c r="AO20" s="190" t="s">
        <v>2284</v>
      </c>
      <c r="AP20" s="176">
        <v>12.03</v>
      </c>
      <c r="AQ20" s="176">
        <v>12.04</v>
      </c>
      <c r="AR20" s="176">
        <v>12.064999999999998</v>
      </c>
      <c r="AS20" s="176">
        <v>12.069999999999999</v>
      </c>
      <c r="AT20" s="173">
        <f t="shared" ca="1" si="4"/>
        <v>29</v>
      </c>
      <c r="AU20" s="173">
        <v>459</v>
      </c>
      <c r="AW20" s="142" t="s">
        <v>123</v>
      </c>
      <c r="AX20" s="142" t="str">
        <f>LEFT(RIGHT(C20,LEN(C20)-MIN(SEARCH({0,1,2,3,4,5,6,7,8,9},C20&amp;"0123456789"))+1),2)</f>
        <v>03</v>
      </c>
      <c r="AY20" s="142">
        <v>2</v>
      </c>
      <c r="AZ20" s="142" t="str">
        <f>LEFT(RIGHT(C20,LEN(C20)-MIN(SEARCH({0,1,2,3,4,5,6,7,8,9},C20&amp;"0123456789"))+1),5)</f>
        <v>03.01</v>
      </c>
      <c r="BA20" s="142" t="str">
        <f t="shared" si="5"/>
        <v>MI</v>
      </c>
    </row>
    <row r="21" spans="2:53" s="142" customFormat="1" ht="21" customHeight="1" x14ac:dyDescent="0.25">
      <c r="B21" s="173" t="str">
        <f t="shared" si="0"/>
        <v>0-304/FH-0.80X777</v>
      </c>
      <c r="C21" s="173" t="s">
        <v>4355</v>
      </c>
      <c r="D21" s="173" t="s">
        <v>16</v>
      </c>
      <c r="E21" s="190" t="s">
        <v>1342</v>
      </c>
      <c r="F21" s="190" t="s">
        <v>3869</v>
      </c>
      <c r="G21" s="173">
        <v>304</v>
      </c>
      <c r="H21" s="173" t="s">
        <v>70</v>
      </c>
      <c r="I21" s="174">
        <v>2.94</v>
      </c>
      <c r="J21" s="174">
        <v>0.8</v>
      </c>
      <c r="K21" s="174"/>
      <c r="L21" s="174"/>
      <c r="M21" s="191">
        <v>777</v>
      </c>
      <c r="N21" s="176">
        <v>10.675000000000001</v>
      </c>
      <c r="O21" s="176">
        <v>10.675000000000001</v>
      </c>
      <c r="P21" s="176" t="s">
        <v>114</v>
      </c>
      <c r="Q21" s="178" t="s">
        <v>1344</v>
      </c>
      <c r="R21" s="179"/>
      <c r="S21" s="179"/>
      <c r="T21" s="177">
        <v>44929</v>
      </c>
      <c r="U21" s="177"/>
      <c r="V21" s="177">
        <v>44929</v>
      </c>
      <c r="W21" s="177"/>
      <c r="X21" s="177"/>
      <c r="Y21" s="177"/>
      <c r="Z21" s="177"/>
      <c r="AA21" s="177">
        <v>44928</v>
      </c>
      <c r="AB21" s="177"/>
      <c r="AC21" s="177"/>
      <c r="AD21" s="180" t="s">
        <v>1345</v>
      </c>
      <c r="AE21" s="173" t="s">
        <v>69</v>
      </c>
      <c r="AF21" s="181" t="s">
        <v>142</v>
      </c>
      <c r="AG21" s="181" t="s">
        <v>1346</v>
      </c>
      <c r="AH21" s="181"/>
      <c r="AI21" s="181">
        <v>44813</v>
      </c>
      <c r="AJ21" s="181"/>
      <c r="AK21" s="181">
        <f t="shared" ca="1" si="1"/>
        <v>44958</v>
      </c>
      <c r="AL21" s="173">
        <f t="shared" ca="1" si="2"/>
        <v>145</v>
      </c>
      <c r="AM21" s="173" t="str">
        <f t="shared" si="3"/>
        <v/>
      </c>
      <c r="AN21" s="181"/>
      <c r="AO21" s="190" t="s">
        <v>1347</v>
      </c>
      <c r="AP21" s="176">
        <v>21.414999999999999</v>
      </c>
      <c r="AQ21" s="176">
        <v>21.475000000000001</v>
      </c>
      <c r="AR21" s="176">
        <v>21.500000000000004</v>
      </c>
      <c r="AS21" s="176">
        <v>21.505000000000003</v>
      </c>
      <c r="AT21" s="173">
        <f t="shared" ca="1" si="4"/>
        <v>29</v>
      </c>
      <c r="AU21" s="173">
        <v>451</v>
      </c>
      <c r="AW21" s="142" t="s">
        <v>123</v>
      </c>
      <c r="AX21" s="142" t="str">
        <f>LEFT(RIGHT(C21,LEN(C21)-MIN(SEARCH({0,1,2,3,4,5,6,7,8,9},C21&amp;"0123456789"))+1),2)</f>
        <v>03</v>
      </c>
      <c r="AY21" s="142">
        <v>3</v>
      </c>
      <c r="AZ21" s="142" t="str">
        <f>LEFT(RIGHT(C21,LEN(C21)-MIN(SEARCH({0,1,2,3,4,5,6,7,8,9},C21&amp;"0123456789"))+1),5)</f>
        <v>03.01</v>
      </c>
      <c r="BA21" s="142" t="str">
        <f t="shared" si="5"/>
        <v>MI</v>
      </c>
    </row>
    <row r="22" spans="2:53" s="142" customFormat="1" ht="21" customHeight="1" x14ac:dyDescent="0.25">
      <c r="B22" s="173" t="str">
        <f t="shared" si="0"/>
        <v>0-304L/FH-1.50X769</v>
      </c>
      <c r="C22" s="173" t="s">
        <v>4355</v>
      </c>
      <c r="D22" s="173" t="s">
        <v>16</v>
      </c>
      <c r="E22" s="190" t="s">
        <v>3872</v>
      </c>
      <c r="F22" s="190" t="s">
        <v>3873</v>
      </c>
      <c r="G22" s="173" t="s">
        <v>182</v>
      </c>
      <c r="H22" s="173" t="s">
        <v>70</v>
      </c>
      <c r="I22" s="174">
        <v>3.78</v>
      </c>
      <c r="J22" s="174">
        <v>1.5</v>
      </c>
      <c r="K22" s="174"/>
      <c r="L22" s="174"/>
      <c r="M22" s="191">
        <v>769</v>
      </c>
      <c r="N22" s="176">
        <v>12.25</v>
      </c>
      <c r="O22" s="176">
        <v>12.25</v>
      </c>
      <c r="P22" s="176" t="s">
        <v>114</v>
      </c>
      <c r="Q22" s="178" t="s">
        <v>1344</v>
      </c>
      <c r="R22" s="179"/>
      <c r="S22" s="179"/>
      <c r="T22" s="177">
        <v>44929</v>
      </c>
      <c r="U22" s="177"/>
      <c r="V22" s="177">
        <v>44929</v>
      </c>
      <c r="W22" s="177"/>
      <c r="X22" s="177"/>
      <c r="Y22" s="177"/>
      <c r="Z22" s="177"/>
      <c r="AA22" s="177"/>
      <c r="AB22" s="177"/>
      <c r="AC22" s="177"/>
      <c r="AD22" s="180" t="s">
        <v>1345</v>
      </c>
      <c r="AE22" s="173" t="s">
        <v>69</v>
      </c>
      <c r="AF22" s="181" t="s">
        <v>142</v>
      </c>
      <c r="AG22" s="192" t="s">
        <v>2283</v>
      </c>
      <c r="AH22" s="198"/>
      <c r="AI22" s="181">
        <v>44880</v>
      </c>
      <c r="AJ22" s="181"/>
      <c r="AK22" s="181">
        <f t="shared" ca="1" si="1"/>
        <v>44958</v>
      </c>
      <c r="AL22" s="173">
        <f t="shared" ca="1" si="2"/>
        <v>78</v>
      </c>
      <c r="AM22" s="173" t="str">
        <f t="shared" si="3"/>
        <v/>
      </c>
      <c r="AN22" s="181"/>
      <c r="AO22" s="190" t="s">
        <v>3874</v>
      </c>
      <c r="AP22" s="176">
        <v>12.25</v>
      </c>
      <c r="AQ22" s="176">
        <v>12.26</v>
      </c>
      <c r="AR22" s="176">
        <v>12.284999999999998</v>
      </c>
      <c r="AS22" s="176">
        <v>12.29</v>
      </c>
      <c r="AT22" s="173">
        <f t="shared" ca="1" si="4"/>
        <v>29</v>
      </c>
      <c r="AU22" s="173">
        <v>459</v>
      </c>
      <c r="AW22" s="142" t="s">
        <v>123</v>
      </c>
      <c r="AX22" s="142" t="str">
        <f>LEFT(RIGHT(C22,LEN(C22)-MIN(SEARCH({0,1,2,3,4,5,6,7,8,9},C22&amp;"0123456789"))+1),2)</f>
        <v>03</v>
      </c>
      <c r="AY22" s="142">
        <v>3</v>
      </c>
      <c r="AZ22" s="142" t="str">
        <f>LEFT(RIGHT(C22,LEN(C22)-MIN(SEARCH({0,1,2,3,4,5,6,7,8,9},C22&amp;"0123456789"))+1),5)</f>
        <v>03.01</v>
      </c>
      <c r="BA22" s="142" t="str">
        <f t="shared" si="5"/>
        <v>MI</v>
      </c>
    </row>
    <row r="23" spans="2:53" s="142" customFormat="1" ht="21" customHeight="1" x14ac:dyDescent="0.25">
      <c r="B23" s="173" t="str">
        <f t="shared" si="0"/>
        <v>0-304/FH-0.95X770</v>
      </c>
      <c r="C23" s="173" t="s">
        <v>4355</v>
      </c>
      <c r="D23" s="173" t="s">
        <v>16</v>
      </c>
      <c r="E23" s="190" t="s">
        <v>3866</v>
      </c>
      <c r="F23" s="190" t="s">
        <v>3867</v>
      </c>
      <c r="G23" s="173">
        <v>304</v>
      </c>
      <c r="H23" s="173" t="s">
        <v>70</v>
      </c>
      <c r="I23" s="174">
        <v>2.88</v>
      </c>
      <c r="J23" s="174">
        <v>0.95</v>
      </c>
      <c r="K23" s="174"/>
      <c r="L23" s="174"/>
      <c r="M23" s="191">
        <v>770</v>
      </c>
      <c r="N23" s="176">
        <v>10.55</v>
      </c>
      <c r="O23" s="176">
        <v>10.55</v>
      </c>
      <c r="P23" s="176" t="s">
        <v>114</v>
      </c>
      <c r="Q23" s="178" t="s">
        <v>1344</v>
      </c>
      <c r="R23" s="179"/>
      <c r="S23" s="179"/>
      <c r="T23" s="177">
        <v>44929</v>
      </c>
      <c r="U23" s="177"/>
      <c r="V23" s="177">
        <v>44929</v>
      </c>
      <c r="W23" s="177"/>
      <c r="X23" s="177"/>
      <c r="Y23" s="177"/>
      <c r="Z23" s="177"/>
      <c r="AA23" s="177"/>
      <c r="AB23" s="177"/>
      <c r="AC23" s="177"/>
      <c r="AD23" s="180" t="s">
        <v>2479</v>
      </c>
      <c r="AE23" s="173" t="s">
        <v>69</v>
      </c>
      <c r="AF23" s="181" t="s">
        <v>142</v>
      </c>
      <c r="AG23" s="192" t="s">
        <v>1584</v>
      </c>
      <c r="AH23" s="198"/>
      <c r="AI23" s="181">
        <v>44914</v>
      </c>
      <c r="AJ23" s="181"/>
      <c r="AK23" s="181">
        <f t="shared" ca="1" si="1"/>
        <v>44958</v>
      </c>
      <c r="AL23" s="173">
        <f t="shared" ca="1" si="2"/>
        <v>44</v>
      </c>
      <c r="AM23" s="173" t="str">
        <f t="shared" si="3"/>
        <v/>
      </c>
      <c r="AN23" s="181"/>
      <c r="AO23" s="190" t="s">
        <v>3868</v>
      </c>
      <c r="AP23" s="176">
        <v>10.55</v>
      </c>
      <c r="AQ23" s="176">
        <v>10.56</v>
      </c>
      <c r="AR23" s="176">
        <v>10.584999999999999</v>
      </c>
      <c r="AS23" s="176">
        <v>10.59</v>
      </c>
      <c r="AT23" s="173">
        <f t="shared" ca="1" si="4"/>
        <v>29</v>
      </c>
      <c r="AU23" s="173">
        <v>462</v>
      </c>
      <c r="AW23" s="142" t="s">
        <v>123</v>
      </c>
      <c r="AX23" s="142" t="str">
        <f>LEFT(RIGHT(C23,LEN(C23)-MIN(SEARCH({0,1,2,3,4,5,6,7,8,9},C23&amp;"0123456789"))+1),2)</f>
        <v>03</v>
      </c>
      <c r="AY23" s="142">
        <v>3</v>
      </c>
      <c r="AZ23" s="142" t="str">
        <f>LEFT(RIGHT(C23,LEN(C23)-MIN(SEARCH({0,1,2,3,4,5,6,7,8,9},C23&amp;"0123456789"))+1),5)</f>
        <v>03.01</v>
      </c>
      <c r="BA23" s="142" t="str">
        <f t="shared" si="5"/>
        <v>MI</v>
      </c>
    </row>
    <row r="24" spans="2:53" s="142" customFormat="1" ht="21" customHeight="1" x14ac:dyDescent="0.25">
      <c r="B24" s="173" t="str">
        <f t="shared" si="0"/>
        <v>0-304L/FH-1.20X771</v>
      </c>
      <c r="C24" s="173" t="s">
        <v>4355</v>
      </c>
      <c r="D24" s="173" t="s">
        <v>16</v>
      </c>
      <c r="E24" s="190" t="s">
        <v>3870</v>
      </c>
      <c r="F24" s="190" t="s">
        <v>3871</v>
      </c>
      <c r="G24" s="173" t="s">
        <v>182</v>
      </c>
      <c r="H24" s="173" t="s">
        <v>70</v>
      </c>
      <c r="I24" s="174">
        <v>3.78</v>
      </c>
      <c r="J24" s="174">
        <v>1.2</v>
      </c>
      <c r="K24" s="174"/>
      <c r="L24" s="174"/>
      <c r="M24" s="191">
        <v>771</v>
      </c>
      <c r="N24" s="176">
        <v>11.99</v>
      </c>
      <c r="O24" s="176">
        <v>11.99</v>
      </c>
      <c r="P24" s="176" t="s">
        <v>114</v>
      </c>
      <c r="Q24" s="178" t="s">
        <v>1344</v>
      </c>
      <c r="R24" s="179"/>
      <c r="S24" s="179"/>
      <c r="T24" s="177">
        <v>44929</v>
      </c>
      <c r="U24" s="177"/>
      <c r="V24" s="177">
        <v>44929</v>
      </c>
      <c r="W24" s="177"/>
      <c r="X24" s="177"/>
      <c r="Y24" s="177"/>
      <c r="Z24" s="177"/>
      <c r="AA24" s="177"/>
      <c r="AB24" s="177"/>
      <c r="AC24" s="177"/>
      <c r="AD24" s="180" t="s">
        <v>1345</v>
      </c>
      <c r="AE24" s="173" t="s">
        <v>69</v>
      </c>
      <c r="AF24" s="181" t="s">
        <v>142</v>
      </c>
      <c r="AG24" s="192" t="s">
        <v>2283</v>
      </c>
      <c r="AH24" s="198"/>
      <c r="AI24" s="181">
        <v>44880</v>
      </c>
      <c r="AJ24" s="181"/>
      <c r="AK24" s="181">
        <f t="shared" ca="1" si="1"/>
        <v>44958</v>
      </c>
      <c r="AL24" s="173">
        <f t="shared" ca="1" si="2"/>
        <v>78</v>
      </c>
      <c r="AM24" s="173" t="str">
        <f t="shared" si="3"/>
        <v/>
      </c>
      <c r="AN24" s="181"/>
      <c r="AO24" s="190" t="s">
        <v>3862</v>
      </c>
      <c r="AP24" s="176">
        <v>11.99</v>
      </c>
      <c r="AQ24" s="176">
        <v>12</v>
      </c>
      <c r="AR24" s="176">
        <v>12.024999999999999</v>
      </c>
      <c r="AS24" s="176">
        <v>12.03</v>
      </c>
      <c r="AT24" s="173">
        <f t="shared" ca="1" si="4"/>
        <v>29</v>
      </c>
      <c r="AU24" s="173">
        <v>459</v>
      </c>
      <c r="AW24" s="142" t="s">
        <v>123</v>
      </c>
      <c r="AX24" s="142" t="str">
        <f>LEFT(RIGHT(C24,LEN(C24)-MIN(SEARCH({0,1,2,3,4,5,6,7,8,9},C24&amp;"0123456789"))+1),2)</f>
        <v>03</v>
      </c>
      <c r="AY24" s="142">
        <v>3</v>
      </c>
      <c r="AZ24" s="142" t="str">
        <f>LEFT(RIGHT(C24,LEN(C24)-MIN(SEARCH({0,1,2,3,4,5,6,7,8,9},C24&amp;"0123456789"))+1),5)</f>
        <v>03.01</v>
      </c>
      <c r="BA24" s="142" t="str">
        <f t="shared" si="5"/>
        <v>MI</v>
      </c>
    </row>
    <row r="25" spans="2:53" s="142" customFormat="1" ht="21" customHeight="1" x14ac:dyDescent="0.25">
      <c r="B25" s="173" t="str">
        <f t="shared" si="0"/>
        <v>0-304L/FH-1.20X767</v>
      </c>
      <c r="C25" s="173" t="s">
        <v>4357</v>
      </c>
      <c r="D25" s="173" t="s">
        <v>16</v>
      </c>
      <c r="E25" s="190" t="s">
        <v>3875</v>
      </c>
      <c r="F25" s="190" t="s">
        <v>3876</v>
      </c>
      <c r="G25" s="173" t="s">
        <v>182</v>
      </c>
      <c r="H25" s="173" t="s">
        <v>70</v>
      </c>
      <c r="I25" s="174">
        <v>3.78</v>
      </c>
      <c r="J25" s="174">
        <v>1.2</v>
      </c>
      <c r="K25" s="174"/>
      <c r="L25" s="174"/>
      <c r="M25" s="191">
        <v>767</v>
      </c>
      <c r="N25" s="176">
        <v>12.215</v>
      </c>
      <c r="O25" s="176">
        <v>12.215</v>
      </c>
      <c r="P25" s="176" t="s">
        <v>114</v>
      </c>
      <c r="Q25" s="178" t="s">
        <v>1344</v>
      </c>
      <c r="R25" s="179"/>
      <c r="S25" s="179"/>
      <c r="T25" s="177">
        <v>44929</v>
      </c>
      <c r="U25" s="177"/>
      <c r="V25" s="177">
        <v>44930</v>
      </c>
      <c r="W25" s="177"/>
      <c r="X25" s="177"/>
      <c r="Y25" s="177"/>
      <c r="Z25" s="177"/>
      <c r="AA25" s="177"/>
      <c r="AB25" s="177"/>
      <c r="AC25" s="177"/>
      <c r="AD25" s="180" t="s">
        <v>1345</v>
      </c>
      <c r="AE25" s="173" t="s">
        <v>69</v>
      </c>
      <c r="AF25" s="181" t="s">
        <v>142</v>
      </c>
      <c r="AG25" s="192" t="s">
        <v>2283</v>
      </c>
      <c r="AH25" s="198"/>
      <c r="AI25" s="181">
        <v>44880</v>
      </c>
      <c r="AJ25" s="181"/>
      <c r="AK25" s="181">
        <f t="shared" ca="1" si="1"/>
        <v>44958</v>
      </c>
      <c r="AL25" s="173">
        <f t="shared" ca="1" si="2"/>
        <v>78</v>
      </c>
      <c r="AM25" s="173" t="str">
        <f t="shared" si="3"/>
        <v/>
      </c>
      <c r="AN25" s="181"/>
      <c r="AO25" s="190" t="s">
        <v>3874</v>
      </c>
      <c r="AP25" s="176">
        <v>12.215</v>
      </c>
      <c r="AQ25" s="176">
        <v>12.225</v>
      </c>
      <c r="AR25" s="176">
        <v>12.249999999999998</v>
      </c>
      <c r="AS25" s="176">
        <v>12.254999999999999</v>
      </c>
      <c r="AT25" s="173">
        <f t="shared" ca="1" si="4"/>
        <v>28</v>
      </c>
      <c r="AU25" s="173">
        <v>459</v>
      </c>
      <c r="AW25" s="142" t="s">
        <v>123</v>
      </c>
      <c r="AX25" s="142" t="str">
        <f>LEFT(RIGHT(C25,LEN(C25)-MIN(SEARCH({0,1,2,3,4,5,6,7,8,9},C25&amp;"0123456789"))+1),2)</f>
        <v>04</v>
      </c>
      <c r="AY25" s="142">
        <v>1</v>
      </c>
      <c r="AZ25" s="142" t="str">
        <f>LEFT(RIGHT(C25,LEN(C25)-MIN(SEARCH({0,1,2,3,4,5,6,7,8,9},C25&amp;"0123456789"))+1),5)</f>
        <v>04.01</v>
      </c>
      <c r="BA25" s="142" t="str">
        <f t="shared" si="5"/>
        <v>MI</v>
      </c>
    </row>
    <row r="26" spans="2:53" s="142" customFormat="1" ht="21" customHeight="1" x14ac:dyDescent="0.25">
      <c r="B26" s="173" t="str">
        <f t="shared" si="0"/>
        <v>0-304/FH-1.10X777</v>
      </c>
      <c r="C26" s="173" t="s">
        <v>4357</v>
      </c>
      <c r="D26" s="173" t="s">
        <v>16</v>
      </c>
      <c r="E26" s="190" t="s">
        <v>3880</v>
      </c>
      <c r="F26" s="190" t="s">
        <v>3881</v>
      </c>
      <c r="G26" s="173">
        <v>304</v>
      </c>
      <c r="H26" s="173" t="s">
        <v>70</v>
      </c>
      <c r="I26" s="174">
        <v>2.96</v>
      </c>
      <c r="J26" s="174">
        <v>1.1000000000000001</v>
      </c>
      <c r="K26" s="174"/>
      <c r="L26" s="174"/>
      <c r="M26" s="191">
        <v>777</v>
      </c>
      <c r="N26" s="176">
        <v>10.755000000000001</v>
      </c>
      <c r="O26" s="176">
        <v>10.755000000000001</v>
      </c>
      <c r="P26" s="176" t="s">
        <v>114</v>
      </c>
      <c r="Q26" s="178" t="s">
        <v>4358</v>
      </c>
      <c r="R26" s="179"/>
      <c r="S26" s="179"/>
      <c r="T26" s="177">
        <v>44929</v>
      </c>
      <c r="U26" s="177"/>
      <c r="V26" s="177">
        <v>44930</v>
      </c>
      <c r="W26" s="177"/>
      <c r="X26" s="177"/>
      <c r="Y26" s="177"/>
      <c r="Z26" s="177"/>
      <c r="AA26" s="177">
        <v>44926</v>
      </c>
      <c r="AB26" s="177"/>
      <c r="AC26" s="177"/>
      <c r="AD26" s="180" t="s">
        <v>1345</v>
      </c>
      <c r="AE26" s="173" t="s">
        <v>69</v>
      </c>
      <c r="AF26" s="181" t="s">
        <v>142</v>
      </c>
      <c r="AG26" s="181" t="s">
        <v>1346</v>
      </c>
      <c r="AH26" s="181"/>
      <c r="AI26" s="181">
        <v>44813</v>
      </c>
      <c r="AJ26" s="181"/>
      <c r="AK26" s="181">
        <f t="shared" ca="1" si="1"/>
        <v>44958</v>
      </c>
      <c r="AL26" s="173">
        <f t="shared" ca="1" si="2"/>
        <v>145</v>
      </c>
      <c r="AM26" s="173" t="str">
        <f t="shared" si="3"/>
        <v/>
      </c>
      <c r="AN26" s="181"/>
      <c r="AO26" s="190" t="s">
        <v>3882</v>
      </c>
      <c r="AP26" s="176">
        <v>21.445</v>
      </c>
      <c r="AQ26" s="176">
        <v>21.504999999999999</v>
      </c>
      <c r="AR26" s="176">
        <v>21.53</v>
      </c>
      <c r="AS26" s="176">
        <v>21.535</v>
      </c>
      <c r="AT26" s="173">
        <f t="shared" ca="1" si="4"/>
        <v>28</v>
      </c>
      <c r="AU26" s="173">
        <v>451</v>
      </c>
      <c r="AW26" s="142" t="s">
        <v>123</v>
      </c>
      <c r="AX26" s="142" t="str">
        <f>LEFT(RIGHT(C26,LEN(C26)-MIN(SEARCH({0,1,2,3,4,5,6,7,8,9},C26&amp;"0123456789"))+1),2)</f>
        <v>04</v>
      </c>
      <c r="AY26" s="142">
        <v>1</v>
      </c>
      <c r="AZ26" s="142" t="str">
        <f>LEFT(RIGHT(C26,LEN(C26)-MIN(SEARCH({0,1,2,3,4,5,6,7,8,9},C26&amp;"0123456789"))+1),5)</f>
        <v>04.01</v>
      </c>
      <c r="BA26" s="142" t="str">
        <f t="shared" si="5"/>
        <v>MI</v>
      </c>
    </row>
    <row r="27" spans="2:53" s="142" customFormat="1" ht="21" customHeight="1" x14ac:dyDescent="0.25">
      <c r="B27" s="173" t="str">
        <f t="shared" si="0"/>
        <v>0-304/FH-1.10X777</v>
      </c>
      <c r="C27" s="173" t="s">
        <v>4357</v>
      </c>
      <c r="D27" s="173" t="s">
        <v>16</v>
      </c>
      <c r="E27" s="190" t="s">
        <v>3877</v>
      </c>
      <c r="F27" s="190" t="s">
        <v>3878</v>
      </c>
      <c r="G27" s="173">
        <v>304</v>
      </c>
      <c r="H27" s="173" t="s">
        <v>70</v>
      </c>
      <c r="I27" s="174">
        <v>3.18</v>
      </c>
      <c r="J27" s="174">
        <v>1.1000000000000001</v>
      </c>
      <c r="K27" s="174"/>
      <c r="L27" s="174"/>
      <c r="M27" s="191">
        <v>777</v>
      </c>
      <c r="N27" s="176">
        <v>10.695</v>
      </c>
      <c r="O27" s="176">
        <v>10.695</v>
      </c>
      <c r="P27" s="176" t="s">
        <v>114</v>
      </c>
      <c r="Q27" s="178" t="s">
        <v>4358</v>
      </c>
      <c r="R27" s="179"/>
      <c r="S27" s="179"/>
      <c r="T27" s="177">
        <v>44929</v>
      </c>
      <c r="U27" s="177"/>
      <c r="V27" s="177">
        <v>44930</v>
      </c>
      <c r="W27" s="177"/>
      <c r="X27" s="177"/>
      <c r="Y27" s="177"/>
      <c r="Z27" s="177"/>
      <c r="AA27" s="177">
        <v>44929</v>
      </c>
      <c r="AB27" s="177"/>
      <c r="AC27" s="177"/>
      <c r="AD27" s="180" t="s">
        <v>1345</v>
      </c>
      <c r="AE27" s="173" t="s">
        <v>69</v>
      </c>
      <c r="AF27" s="181" t="s">
        <v>142</v>
      </c>
      <c r="AG27" s="181" t="s">
        <v>1346</v>
      </c>
      <c r="AH27" s="181"/>
      <c r="AI27" s="181">
        <v>44813</v>
      </c>
      <c r="AJ27" s="181"/>
      <c r="AK27" s="181">
        <f t="shared" ca="1" si="1"/>
        <v>44958</v>
      </c>
      <c r="AL27" s="173">
        <f t="shared" ca="1" si="2"/>
        <v>145</v>
      </c>
      <c r="AM27" s="173" t="str">
        <f t="shared" si="3"/>
        <v/>
      </c>
      <c r="AN27" s="181"/>
      <c r="AO27" s="190" t="s">
        <v>3879</v>
      </c>
      <c r="AP27" s="176">
        <v>21.465</v>
      </c>
      <c r="AQ27" s="176">
        <v>21.524999999999999</v>
      </c>
      <c r="AR27" s="176">
        <v>21.55</v>
      </c>
      <c r="AS27" s="176">
        <v>21.555</v>
      </c>
      <c r="AT27" s="173">
        <f t="shared" ca="1" si="4"/>
        <v>28</v>
      </c>
      <c r="AU27" s="173">
        <v>451</v>
      </c>
      <c r="AW27" s="142" t="s">
        <v>123</v>
      </c>
      <c r="AX27" s="142" t="str">
        <f>LEFT(RIGHT(C27,LEN(C27)-MIN(SEARCH({0,1,2,3,4,5,6,7,8,9},C27&amp;"0123456789"))+1),2)</f>
        <v>04</v>
      </c>
      <c r="AY27" s="142">
        <v>1</v>
      </c>
      <c r="AZ27" s="142" t="str">
        <f>LEFT(RIGHT(C27,LEN(C27)-MIN(SEARCH({0,1,2,3,4,5,6,7,8,9},C27&amp;"0123456789"))+1),5)</f>
        <v>04.01</v>
      </c>
      <c r="BA27" s="142" t="str">
        <f t="shared" si="5"/>
        <v>MI</v>
      </c>
    </row>
    <row r="28" spans="2:53" s="142" customFormat="1" ht="21" customHeight="1" x14ac:dyDescent="0.25">
      <c r="B28" s="173" t="str">
        <f t="shared" si="0"/>
        <v>0-304/FH-1.20X768</v>
      </c>
      <c r="C28" s="173" t="s">
        <v>4357</v>
      </c>
      <c r="D28" s="173" t="s">
        <v>16</v>
      </c>
      <c r="E28" s="190" t="s">
        <v>3889</v>
      </c>
      <c r="F28" s="190" t="s">
        <v>3890</v>
      </c>
      <c r="G28" s="173">
        <v>304</v>
      </c>
      <c r="H28" s="173" t="s">
        <v>70</v>
      </c>
      <c r="I28" s="174">
        <v>3.46</v>
      </c>
      <c r="J28" s="174">
        <v>1.2</v>
      </c>
      <c r="K28" s="174"/>
      <c r="L28" s="174"/>
      <c r="M28" s="191">
        <v>768</v>
      </c>
      <c r="N28" s="176">
        <v>9.6850000000000005</v>
      </c>
      <c r="O28" s="176">
        <v>9.6850000000000005</v>
      </c>
      <c r="P28" s="176" t="s">
        <v>114</v>
      </c>
      <c r="Q28" s="178" t="s">
        <v>1344</v>
      </c>
      <c r="R28" s="179"/>
      <c r="S28" s="179"/>
      <c r="T28" s="177">
        <v>44930</v>
      </c>
      <c r="U28" s="177"/>
      <c r="V28" s="177">
        <v>44930</v>
      </c>
      <c r="W28" s="177"/>
      <c r="X28" s="177"/>
      <c r="Y28" s="177"/>
      <c r="Z28" s="177"/>
      <c r="AA28" s="177"/>
      <c r="AB28" s="177"/>
      <c r="AC28" s="177"/>
      <c r="AD28" s="180" t="s">
        <v>2470</v>
      </c>
      <c r="AE28" s="173" t="s">
        <v>69</v>
      </c>
      <c r="AF28" s="181" t="s">
        <v>142</v>
      </c>
      <c r="AG28" s="192" t="s">
        <v>1584</v>
      </c>
      <c r="AH28" s="198"/>
      <c r="AI28" s="181">
        <v>44914</v>
      </c>
      <c r="AJ28" s="181"/>
      <c r="AK28" s="181">
        <f t="shared" ca="1" si="1"/>
        <v>44958</v>
      </c>
      <c r="AL28" s="173">
        <f t="shared" ca="1" si="2"/>
        <v>44</v>
      </c>
      <c r="AM28" s="173" t="str">
        <f t="shared" si="3"/>
        <v/>
      </c>
      <c r="AN28" s="181"/>
      <c r="AO28" s="190" t="s">
        <v>3891</v>
      </c>
      <c r="AP28" s="176">
        <v>9.6850000000000005</v>
      </c>
      <c r="AQ28" s="176">
        <v>9.6950000000000003</v>
      </c>
      <c r="AR28" s="176">
        <v>9.7199999999999989</v>
      </c>
      <c r="AS28" s="176">
        <v>9.7249999999999996</v>
      </c>
      <c r="AT28" s="173">
        <f t="shared" ca="1" si="4"/>
        <v>28</v>
      </c>
      <c r="AU28" s="173">
        <v>462</v>
      </c>
      <c r="AW28" s="142" t="s">
        <v>123</v>
      </c>
      <c r="AX28" s="142" t="str">
        <f>LEFT(RIGHT(C28,LEN(C28)-MIN(SEARCH({0,1,2,3,4,5,6,7,8,9},C28&amp;"0123456789"))+1),2)</f>
        <v>04</v>
      </c>
      <c r="AY28" s="142">
        <v>2</v>
      </c>
      <c r="AZ28" s="142" t="str">
        <f>LEFT(RIGHT(C28,LEN(C28)-MIN(SEARCH({0,1,2,3,4,5,6,7,8,9},C28&amp;"0123456789"))+1),5)</f>
        <v>04.01</v>
      </c>
      <c r="BA28" s="142" t="str">
        <f t="shared" si="5"/>
        <v>MI</v>
      </c>
    </row>
    <row r="29" spans="2:53" s="142" customFormat="1" ht="21" customHeight="1" x14ac:dyDescent="0.25">
      <c r="B29" s="173" t="str">
        <f t="shared" si="0"/>
        <v>0-304/FH-0.95X777</v>
      </c>
      <c r="C29" s="173" t="s">
        <v>4357</v>
      </c>
      <c r="D29" s="173" t="s">
        <v>16</v>
      </c>
      <c r="E29" s="190" t="s">
        <v>3892</v>
      </c>
      <c r="F29" s="190" t="s">
        <v>3893</v>
      </c>
      <c r="G29" s="173">
        <v>304</v>
      </c>
      <c r="H29" s="173" t="s">
        <v>70</v>
      </c>
      <c r="I29" s="174">
        <v>2.95</v>
      </c>
      <c r="J29" s="174">
        <v>0.95</v>
      </c>
      <c r="K29" s="174"/>
      <c r="L29" s="174"/>
      <c r="M29" s="191">
        <v>777</v>
      </c>
      <c r="N29" s="176">
        <v>10.695</v>
      </c>
      <c r="O29" s="176">
        <v>10.695</v>
      </c>
      <c r="P29" s="176" t="s">
        <v>114</v>
      </c>
      <c r="Q29" s="178" t="s">
        <v>1344</v>
      </c>
      <c r="R29" s="179"/>
      <c r="S29" s="179"/>
      <c r="T29" s="177">
        <v>44930</v>
      </c>
      <c r="U29" s="177"/>
      <c r="V29" s="177">
        <v>44930</v>
      </c>
      <c r="W29" s="177"/>
      <c r="X29" s="177"/>
      <c r="Y29" s="177"/>
      <c r="Z29" s="177"/>
      <c r="AA29" s="177">
        <v>44926</v>
      </c>
      <c r="AB29" s="177"/>
      <c r="AC29" s="177"/>
      <c r="AD29" s="180" t="s">
        <v>1345</v>
      </c>
      <c r="AE29" s="173" t="s">
        <v>69</v>
      </c>
      <c r="AF29" s="181" t="s">
        <v>142</v>
      </c>
      <c r="AG29" s="181" t="s">
        <v>1346</v>
      </c>
      <c r="AH29" s="181"/>
      <c r="AI29" s="181">
        <v>44813</v>
      </c>
      <c r="AJ29" s="181"/>
      <c r="AK29" s="181">
        <f t="shared" ca="1" si="1"/>
        <v>44958</v>
      </c>
      <c r="AL29" s="173">
        <f t="shared" ca="1" si="2"/>
        <v>145</v>
      </c>
      <c r="AM29" s="173" t="str">
        <f t="shared" si="3"/>
        <v/>
      </c>
      <c r="AN29" s="181"/>
      <c r="AO29" s="190" t="s">
        <v>3894</v>
      </c>
      <c r="AP29" s="176">
        <v>21.414999999999999</v>
      </c>
      <c r="AQ29" s="176">
        <v>21.475000000000001</v>
      </c>
      <c r="AR29" s="176">
        <v>21.500000000000004</v>
      </c>
      <c r="AS29" s="176">
        <v>21.505000000000003</v>
      </c>
      <c r="AT29" s="173">
        <f t="shared" ca="1" si="4"/>
        <v>28</v>
      </c>
      <c r="AU29" s="173">
        <v>451</v>
      </c>
      <c r="AW29" s="142" t="s">
        <v>123</v>
      </c>
      <c r="AX29" s="142" t="str">
        <f>LEFT(RIGHT(C29,LEN(C29)-MIN(SEARCH({0,1,2,3,4,5,6,7,8,9},C29&amp;"0123456789"))+1),2)</f>
        <v>04</v>
      </c>
      <c r="AY29" s="142">
        <v>2</v>
      </c>
      <c r="AZ29" s="142" t="str">
        <f>LEFT(RIGHT(C29,LEN(C29)-MIN(SEARCH({0,1,2,3,4,5,6,7,8,9},C29&amp;"0123456789"))+1),5)</f>
        <v>04.01</v>
      </c>
      <c r="BA29" s="142" t="str">
        <f t="shared" si="5"/>
        <v>MI</v>
      </c>
    </row>
    <row r="30" spans="2:53" s="142" customFormat="1" ht="21" customHeight="1" x14ac:dyDescent="0.25">
      <c r="B30" s="173" t="str">
        <f t="shared" si="0"/>
        <v>0-304L/FH-1.20X766</v>
      </c>
      <c r="C30" s="173" t="s">
        <v>4357</v>
      </c>
      <c r="D30" s="173" t="s">
        <v>16</v>
      </c>
      <c r="E30" s="190" t="s">
        <v>1586</v>
      </c>
      <c r="F30" s="190" t="s">
        <v>3898</v>
      </c>
      <c r="G30" s="173" t="s">
        <v>182</v>
      </c>
      <c r="H30" s="173" t="s">
        <v>70</v>
      </c>
      <c r="I30" s="174">
        <v>3.57</v>
      </c>
      <c r="J30" s="174">
        <v>1.2</v>
      </c>
      <c r="K30" s="174"/>
      <c r="L30" s="174"/>
      <c r="M30" s="191">
        <v>766</v>
      </c>
      <c r="N30" s="176">
        <v>10.44</v>
      </c>
      <c r="O30" s="176">
        <v>10.44</v>
      </c>
      <c r="P30" s="176" t="s">
        <v>114</v>
      </c>
      <c r="Q30" s="178" t="s">
        <v>1540</v>
      </c>
      <c r="R30" s="179"/>
      <c r="S30" s="179"/>
      <c r="T30" s="177">
        <v>44930</v>
      </c>
      <c r="U30" s="177"/>
      <c r="V30" s="177">
        <v>44930</v>
      </c>
      <c r="W30" s="177"/>
      <c r="X30" s="177"/>
      <c r="Y30" s="177"/>
      <c r="Z30" s="177"/>
      <c r="AA30" s="177">
        <v>44929</v>
      </c>
      <c r="AB30" s="177"/>
      <c r="AC30" s="177"/>
      <c r="AD30" s="180" t="s">
        <v>1345</v>
      </c>
      <c r="AE30" s="173" t="s">
        <v>69</v>
      </c>
      <c r="AF30" s="181" t="s">
        <v>142</v>
      </c>
      <c r="AG30" s="192" t="s">
        <v>1508</v>
      </c>
      <c r="AH30" s="198"/>
      <c r="AI30" s="181">
        <v>44849</v>
      </c>
      <c r="AJ30" s="181"/>
      <c r="AK30" s="181">
        <f t="shared" ca="1" si="1"/>
        <v>44958</v>
      </c>
      <c r="AL30" s="173">
        <f t="shared" ca="1" si="2"/>
        <v>109</v>
      </c>
      <c r="AM30" s="173" t="str">
        <f t="shared" si="3"/>
        <v/>
      </c>
      <c r="AN30" s="181"/>
      <c r="AO30" s="190" t="s">
        <v>1588</v>
      </c>
      <c r="AP30" s="176">
        <v>20.92</v>
      </c>
      <c r="AQ30" s="176">
        <v>20.98</v>
      </c>
      <c r="AR30" s="176">
        <v>21.005000000000003</v>
      </c>
      <c r="AS30" s="176">
        <v>21.01</v>
      </c>
      <c r="AT30" s="173">
        <f t="shared" ca="1" si="4"/>
        <v>28</v>
      </c>
      <c r="AU30" s="173">
        <v>456</v>
      </c>
      <c r="AW30" s="142" t="s">
        <v>123</v>
      </c>
      <c r="AX30" s="142" t="str">
        <f>LEFT(RIGHT(C30,LEN(C30)-MIN(SEARCH({0,1,2,3,4,5,6,7,8,9},C30&amp;"0123456789"))+1),2)</f>
        <v>04</v>
      </c>
      <c r="AY30" s="142">
        <v>2</v>
      </c>
      <c r="AZ30" s="142" t="str">
        <f>LEFT(RIGHT(C30,LEN(C30)-MIN(SEARCH({0,1,2,3,4,5,6,7,8,9},C30&amp;"0123456789"))+1),5)</f>
        <v>04.01</v>
      </c>
      <c r="BA30" s="142" t="str">
        <f t="shared" si="5"/>
        <v>MI</v>
      </c>
    </row>
    <row r="31" spans="2:53" s="142" customFormat="1" ht="21" customHeight="1" x14ac:dyDescent="0.25">
      <c r="B31" s="173" t="str">
        <f t="shared" si="0"/>
        <v>0-304/FH-1.10X777</v>
      </c>
      <c r="C31" s="173" t="s">
        <v>4357</v>
      </c>
      <c r="D31" s="173" t="s">
        <v>16</v>
      </c>
      <c r="E31" s="190" t="s">
        <v>3884</v>
      </c>
      <c r="F31" s="190" t="s">
        <v>3888</v>
      </c>
      <c r="G31" s="173">
        <v>304</v>
      </c>
      <c r="H31" s="173" t="s">
        <v>70</v>
      </c>
      <c r="I31" s="174">
        <v>3.18</v>
      </c>
      <c r="J31" s="174">
        <v>1.1000000000000001</v>
      </c>
      <c r="K31" s="174"/>
      <c r="L31" s="174"/>
      <c r="M31" s="191">
        <v>777</v>
      </c>
      <c r="N31" s="176">
        <v>10.744999999999999</v>
      </c>
      <c r="O31" s="176">
        <v>10.744999999999999</v>
      </c>
      <c r="P31" s="176" t="s">
        <v>114</v>
      </c>
      <c r="Q31" s="178" t="s">
        <v>4358</v>
      </c>
      <c r="R31" s="179"/>
      <c r="S31" s="179"/>
      <c r="T31" s="177">
        <v>44930</v>
      </c>
      <c r="U31" s="177"/>
      <c r="V31" s="177">
        <v>44930</v>
      </c>
      <c r="W31" s="177"/>
      <c r="X31" s="177"/>
      <c r="Y31" s="177"/>
      <c r="Z31" s="177"/>
      <c r="AA31" s="177">
        <v>44928</v>
      </c>
      <c r="AB31" s="177"/>
      <c r="AC31" s="177"/>
      <c r="AD31" s="180" t="s">
        <v>1345</v>
      </c>
      <c r="AE31" s="173" t="s">
        <v>69</v>
      </c>
      <c r="AF31" s="181" t="s">
        <v>142</v>
      </c>
      <c r="AG31" s="181" t="s">
        <v>1346</v>
      </c>
      <c r="AH31" s="181"/>
      <c r="AI31" s="181">
        <v>44813</v>
      </c>
      <c r="AJ31" s="181"/>
      <c r="AK31" s="181">
        <f t="shared" ca="1" si="1"/>
        <v>44958</v>
      </c>
      <c r="AL31" s="173">
        <f t="shared" ca="1" si="2"/>
        <v>145</v>
      </c>
      <c r="AM31" s="173" t="str">
        <f t="shared" si="3"/>
        <v/>
      </c>
      <c r="AN31" s="181"/>
      <c r="AO31" s="190" t="s">
        <v>3886</v>
      </c>
      <c r="AP31" s="176">
        <v>21.445</v>
      </c>
      <c r="AQ31" s="176">
        <v>21.504999999999999</v>
      </c>
      <c r="AR31" s="176">
        <v>21.53</v>
      </c>
      <c r="AS31" s="176">
        <v>21.535</v>
      </c>
      <c r="AT31" s="173">
        <f t="shared" ca="1" si="4"/>
        <v>28</v>
      </c>
      <c r="AU31" s="173">
        <v>451</v>
      </c>
      <c r="AW31" s="142" t="s">
        <v>123</v>
      </c>
      <c r="AX31" s="142" t="str">
        <f>LEFT(RIGHT(C31,LEN(C31)-MIN(SEARCH({0,1,2,3,4,5,6,7,8,9},C31&amp;"0123456789"))+1),2)</f>
        <v>04</v>
      </c>
      <c r="AY31" s="142">
        <v>3</v>
      </c>
      <c r="AZ31" s="142" t="str">
        <f>LEFT(RIGHT(C31,LEN(C31)-MIN(SEARCH({0,1,2,3,4,5,6,7,8,9},C31&amp;"0123456789"))+1),5)</f>
        <v>04.01</v>
      </c>
      <c r="BA31" s="142" t="str">
        <f t="shared" si="5"/>
        <v>MI</v>
      </c>
    </row>
    <row r="32" spans="2:53" s="142" customFormat="1" ht="21" customHeight="1" x14ac:dyDescent="0.25">
      <c r="B32" s="173" t="str">
        <f t="shared" si="0"/>
        <v>0-304/FH-0.90X765</v>
      </c>
      <c r="C32" s="173" t="s">
        <v>4357</v>
      </c>
      <c r="D32" s="173" t="s">
        <v>16</v>
      </c>
      <c r="E32" s="190" t="s">
        <v>3895</v>
      </c>
      <c r="F32" s="190" t="s">
        <v>3899</v>
      </c>
      <c r="G32" s="173">
        <v>304</v>
      </c>
      <c r="H32" s="173" t="s">
        <v>70</v>
      </c>
      <c r="I32" s="174">
        <v>2.89</v>
      </c>
      <c r="J32" s="174">
        <v>0.9</v>
      </c>
      <c r="K32" s="174"/>
      <c r="L32" s="174"/>
      <c r="M32" s="191">
        <v>765</v>
      </c>
      <c r="N32" s="176">
        <v>10.46</v>
      </c>
      <c r="O32" s="176">
        <v>10.46</v>
      </c>
      <c r="P32" s="176" t="s">
        <v>114</v>
      </c>
      <c r="Q32" s="178" t="s">
        <v>1540</v>
      </c>
      <c r="R32" s="179"/>
      <c r="S32" s="179"/>
      <c r="T32" s="177">
        <v>44930</v>
      </c>
      <c r="U32" s="177"/>
      <c r="V32" s="177">
        <v>44930</v>
      </c>
      <c r="W32" s="177"/>
      <c r="X32" s="177"/>
      <c r="Y32" s="177"/>
      <c r="Z32" s="177"/>
      <c r="AA32" s="177">
        <v>44926</v>
      </c>
      <c r="AB32" s="177"/>
      <c r="AC32" s="177"/>
      <c r="AD32" s="180" t="s">
        <v>1345</v>
      </c>
      <c r="AE32" s="173" t="s">
        <v>69</v>
      </c>
      <c r="AF32" s="181" t="s">
        <v>142</v>
      </c>
      <c r="AG32" s="192" t="s">
        <v>1508</v>
      </c>
      <c r="AH32" s="198"/>
      <c r="AI32" s="181">
        <v>44849</v>
      </c>
      <c r="AJ32" s="181"/>
      <c r="AK32" s="181">
        <f t="shared" ca="1" si="1"/>
        <v>44958</v>
      </c>
      <c r="AL32" s="173">
        <f t="shared" ca="1" si="2"/>
        <v>109</v>
      </c>
      <c r="AM32" s="173" t="str">
        <f t="shared" si="3"/>
        <v/>
      </c>
      <c r="AN32" s="181"/>
      <c r="AO32" s="190" t="s">
        <v>3897</v>
      </c>
      <c r="AP32" s="176">
        <v>20.984999999999999</v>
      </c>
      <c r="AQ32" s="176">
        <v>21.045000000000002</v>
      </c>
      <c r="AR32" s="176">
        <v>21.070000000000004</v>
      </c>
      <c r="AS32" s="176">
        <v>21.075000000000003</v>
      </c>
      <c r="AT32" s="173">
        <f t="shared" ca="1" si="4"/>
        <v>28</v>
      </c>
      <c r="AU32" s="173">
        <v>456</v>
      </c>
      <c r="AW32" s="142" t="s">
        <v>123</v>
      </c>
      <c r="AX32" s="142" t="str">
        <f>LEFT(RIGHT(C32,LEN(C32)-MIN(SEARCH({0,1,2,3,4,5,6,7,8,9},C32&amp;"0123456789"))+1),2)</f>
        <v>04</v>
      </c>
      <c r="AY32" s="142">
        <v>3</v>
      </c>
      <c r="AZ32" s="142" t="str">
        <f>LEFT(RIGHT(C32,LEN(C32)-MIN(SEARCH({0,1,2,3,4,5,6,7,8,9},C32&amp;"0123456789"))+1),5)</f>
        <v>04.01</v>
      </c>
      <c r="BA32" s="142" t="str">
        <f t="shared" si="5"/>
        <v>MI</v>
      </c>
    </row>
    <row r="33" spans="2:53" s="142" customFormat="1" ht="21" customHeight="1" x14ac:dyDescent="0.25">
      <c r="B33" s="173" t="str">
        <f t="shared" si="0"/>
        <v>0-304/FH-1.10X780</v>
      </c>
      <c r="C33" s="173" t="s">
        <v>4359</v>
      </c>
      <c r="D33" s="173" t="s">
        <v>16</v>
      </c>
      <c r="E33" s="190" t="s">
        <v>3877</v>
      </c>
      <c r="F33" s="190" t="s">
        <v>3905</v>
      </c>
      <c r="G33" s="173">
        <v>304</v>
      </c>
      <c r="H33" s="173" t="s">
        <v>70</v>
      </c>
      <c r="I33" s="174">
        <v>3.18</v>
      </c>
      <c r="J33" s="174">
        <v>1.1000000000000001</v>
      </c>
      <c r="K33" s="174"/>
      <c r="L33" s="174"/>
      <c r="M33" s="191">
        <v>780</v>
      </c>
      <c r="N33" s="176">
        <v>10.775</v>
      </c>
      <c r="O33" s="176">
        <v>10.775</v>
      </c>
      <c r="P33" s="176" t="s">
        <v>114</v>
      </c>
      <c r="Q33" s="178" t="s">
        <v>4358</v>
      </c>
      <c r="R33" s="179"/>
      <c r="S33" s="179"/>
      <c r="T33" s="177">
        <v>44930</v>
      </c>
      <c r="U33" s="177"/>
      <c r="V33" s="177">
        <v>44931</v>
      </c>
      <c r="W33" s="177"/>
      <c r="X33" s="177"/>
      <c r="Y33" s="177"/>
      <c r="Z33" s="177"/>
      <c r="AA33" s="177">
        <v>44929</v>
      </c>
      <c r="AB33" s="177"/>
      <c r="AC33" s="177"/>
      <c r="AD33" s="180" t="s">
        <v>1345</v>
      </c>
      <c r="AE33" s="173" t="s">
        <v>69</v>
      </c>
      <c r="AF33" s="181" t="s">
        <v>142</v>
      </c>
      <c r="AG33" s="181" t="s">
        <v>1346</v>
      </c>
      <c r="AH33" s="181"/>
      <c r="AI33" s="181">
        <v>44813</v>
      </c>
      <c r="AJ33" s="181"/>
      <c r="AK33" s="181">
        <f t="shared" ca="1" si="1"/>
        <v>44958</v>
      </c>
      <c r="AL33" s="173">
        <f t="shared" ca="1" si="2"/>
        <v>145</v>
      </c>
      <c r="AM33" s="173" t="str">
        <f t="shared" si="3"/>
        <v/>
      </c>
      <c r="AN33" s="181"/>
      <c r="AO33" s="190" t="s">
        <v>3879</v>
      </c>
      <c r="AP33" s="176">
        <v>21.465</v>
      </c>
      <c r="AQ33" s="176">
        <v>21.524999999999999</v>
      </c>
      <c r="AR33" s="176">
        <v>21.55</v>
      </c>
      <c r="AS33" s="176">
        <v>21.555</v>
      </c>
      <c r="AT33" s="173">
        <f t="shared" ca="1" si="4"/>
        <v>27</v>
      </c>
      <c r="AU33" s="173">
        <v>451</v>
      </c>
      <c r="AW33" s="142" t="s">
        <v>123</v>
      </c>
      <c r="AX33" s="142" t="str">
        <f>LEFT(RIGHT(C33,LEN(C33)-MIN(SEARCH({0,1,2,3,4,5,6,7,8,9},C33&amp;"0123456789"))+1),2)</f>
        <v>05</v>
      </c>
      <c r="AY33" s="142">
        <v>1</v>
      </c>
      <c r="AZ33" s="142" t="str">
        <f>LEFT(RIGHT(C33,LEN(C33)-MIN(SEARCH({0,1,2,3,4,5,6,7,8,9},C33&amp;"0123456789"))+1),5)</f>
        <v>05.01</v>
      </c>
      <c r="BA33" s="142" t="str">
        <f t="shared" si="5"/>
        <v>MI</v>
      </c>
    </row>
    <row r="34" spans="2:53" s="142" customFormat="1" ht="21" customHeight="1" x14ac:dyDescent="0.25">
      <c r="B34" s="173" t="str">
        <f t="shared" si="0"/>
        <v>0-304/FH-0.90X777</v>
      </c>
      <c r="C34" s="173" t="s">
        <v>4359</v>
      </c>
      <c r="D34" s="173" t="s">
        <v>16</v>
      </c>
      <c r="E34" s="190" t="s">
        <v>3884</v>
      </c>
      <c r="F34" s="190" t="s">
        <v>3885</v>
      </c>
      <c r="G34" s="173">
        <v>304</v>
      </c>
      <c r="H34" s="173" t="s">
        <v>70</v>
      </c>
      <c r="I34" s="174">
        <v>3.18</v>
      </c>
      <c r="J34" s="174">
        <v>0.9</v>
      </c>
      <c r="K34" s="174"/>
      <c r="L34" s="174"/>
      <c r="M34" s="191">
        <v>777</v>
      </c>
      <c r="N34" s="176">
        <v>10.69</v>
      </c>
      <c r="O34" s="176">
        <v>10.69</v>
      </c>
      <c r="P34" s="176" t="s">
        <v>114</v>
      </c>
      <c r="Q34" s="178" t="s">
        <v>1210</v>
      </c>
      <c r="R34" s="179"/>
      <c r="S34" s="179"/>
      <c r="T34" s="177">
        <v>44930</v>
      </c>
      <c r="U34" s="177"/>
      <c r="V34" s="177">
        <v>44931</v>
      </c>
      <c r="W34" s="177"/>
      <c r="X34" s="177"/>
      <c r="Y34" s="177"/>
      <c r="Z34" s="177"/>
      <c r="AA34" s="177">
        <v>44928</v>
      </c>
      <c r="AB34" s="177"/>
      <c r="AC34" s="177"/>
      <c r="AD34" s="180" t="s">
        <v>1345</v>
      </c>
      <c r="AE34" s="173" t="s">
        <v>69</v>
      </c>
      <c r="AF34" s="181" t="s">
        <v>142</v>
      </c>
      <c r="AG34" s="181" t="s">
        <v>1346</v>
      </c>
      <c r="AH34" s="181"/>
      <c r="AI34" s="181">
        <v>44813</v>
      </c>
      <c r="AJ34" s="181"/>
      <c r="AK34" s="181">
        <f t="shared" ca="1" si="1"/>
        <v>44958</v>
      </c>
      <c r="AL34" s="173">
        <f t="shared" ca="1" si="2"/>
        <v>145</v>
      </c>
      <c r="AM34" s="173" t="str">
        <f t="shared" si="3"/>
        <v/>
      </c>
      <c r="AN34" s="181"/>
      <c r="AO34" s="190" t="s">
        <v>3886</v>
      </c>
      <c r="AP34" s="176">
        <v>21.445</v>
      </c>
      <c r="AQ34" s="176">
        <v>21.504999999999999</v>
      </c>
      <c r="AR34" s="176">
        <v>21.53</v>
      </c>
      <c r="AS34" s="176">
        <v>21.535</v>
      </c>
      <c r="AT34" s="173">
        <f t="shared" ca="1" si="4"/>
        <v>27</v>
      </c>
      <c r="AU34" s="173">
        <v>451</v>
      </c>
      <c r="AW34" s="142" t="s">
        <v>123</v>
      </c>
      <c r="AX34" s="142" t="str">
        <f>LEFT(RIGHT(C34,LEN(C34)-MIN(SEARCH({0,1,2,3,4,5,6,7,8,9},C34&amp;"0123456789"))+1),2)</f>
        <v>05</v>
      </c>
      <c r="AY34" s="142">
        <v>1</v>
      </c>
      <c r="AZ34" s="142" t="str">
        <f>LEFT(RIGHT(C34,LEN(C34)-MIN(SEARCH({0,1,2,3,4,5,6,7,8,9},C34&amp;"0123456789"))+1),5)</f>
        <v>05.01</v>
      </c>
      <c r="BA34" s="142" t="str">
        <f t="shared" si="5"/>
        <v>MI</v>
      </c>
    </row>
    <row r="35" spans="2:53" s="142" customFormat="1" ht="21" customHeight="1" x14ac:dyDescent="0.25">
      <c r="B35" s="173" t="str">
        <f t="shared" si="0"/>
        <v>0-304/FH-1.00X777</v>
      </c>
      <c r="C35" s="173" t="s">
        <v>4359</v>
      </c>
      <c r="D35" s="173" t="s">
        <v>16</v>
      </c>
      <c r="E35" s="190" t="s">
        <v>3902</v>
      </c>
      <c r="F35" s="190" t="s">
        <v>3903</v>
      </c>
      <c r="G35" s="173">
        <v>304</v>
      </c>
      <c r="H35" s="173" t="s">
        <v>70</v>
      </c>
      <c r="I35" s="174">
        <v>2.92</v>
      </c>
      <c r="J35" s="174">
        <v>1</v>
      </c>
      <c r="K35" s="174"/>
      <c r="L35" s="174"/>
      <c r="M35" s="191">
        <v>777</v>
      </c>
      <c r="N35" s="176">
        <v>10.725</v>
      </c>
      <c r="O35" s="176">
        <v>10.725</v>
      </c>
      <c r="P35" s="176" t="s">
        <v>114</v>
      </c>
      <c r="Q35" s="178" t="s">
        <v>750</v>
      </c>
      <c r="R35" s="179"/>
      <c r="S35" s="179"/>
      <c r="T35" s="177">
        <v>44930</v>
      </c>
      <c r="U35" s="177"/>
      <c r="V35" s="177">
        <v>44931</v>
      </c>
      <c r="W35" s="177"/>
      <c r="X35" s="177"/>
      <c r="Y35" s="177"/>
      <c r="Z35" s="177"/>
      <c r="AA35" s="177">
        <v>44929</v>
      </c>
      <c r="AB35" s="177"/>
      <c r="AC35" s="177"/>
      <c r="AD35" s="180" t="s">
        <v>1345</v>
      </c>
      <c r="AE35" s="173" t="s">
        <v>69</v>
      </c>
      <c r="AF35" s="181" t="s">
        <v>142</v>
      </c>
      <c r="AG35" s="181" t="s">
        <v>1346</v>
      </c>
      <c r="AH35" s="181"/>
      <c r="AI35" s="181">
        <v>44813</v>
      </c>
      <c r="AJ35" s="181"/>
      <c r="AK35" s="181">
        <f t="shared" ca="1" si="1"/>
        <v>44958</v>
      </c>
      <c r="AL35" s="173">
        <f t="shared" ca="1" si="2"/>
        <v>145</v>
      </c>
      <c r="AM35" s="173" t="str">
        <f t="shared" si="3"/>
        <v/>
      </c>
      <c r="AN35" s="181"/>
      <c r="AO35" s="190" t="s">
        <v>3904</v>
      </c>
      <c r="AP35" s="176">
        <v>21.43</v>
      </c>
      <c r="AQ35" s="176">
        <v>21.49</v>
      </c>
      <c r="AR35" s="176">
        <v>21.515000000000001</v>
      </c>
      <c r="AS35" s="176">
        <v>21.52</v>
      </c>
      <c r="AT35" s="173">
        <f t="shared" ca="1" si="4"/>
        <v>27</v>
      </c>
      <c r="AU35" s="173">
        <v>451</v>
      </c>
      <c r="AW35" s="142" t="s">
        <v>123</v>
      </c>
      <c r="AX35" s="142" t="str">
        <f>LEFT(RIGHT(C35,LEN(C35)-MIN(SEARCH({0,1,2,3,4,5,6,7,8,9},C35&amp;"0123456789"))+1),2)</f>
        <v>05</v>
      </c>
      <c r="AY35" s="142">
        <v>1</v>
      </c>
      <c r="AZ35" s="142" t="str">
        <f>LEFT(RIGHT(C35,LEN(C35)-MIN(SEARCH({0,1,2,3,4,5,6,7,8,9},C35&amp;"0123456789"))+1),5)</f>
        <v>05.01</v>
      </c>
      <c r="BA35" s="142" t="str">
        <f t="shared" si="5"/>
        <v>MI</v>
      </c>
    </row>
    <row r="36" spans="2:53" s="142" customFormat="1" ht="21" customHeight="1" x14ac:dyDescent="0.25">
      <c r="B36" s="173" t="str">
        <f t="shared" si="0"/>
        <v>0-304L/FH-1.00X769</v>
      </c>
      <c r="C36" s="173" t="s">
        <v>4359</v>
      </c>
      <c r="D36" s="173" t="s">
        <v>16</v>
      </c>
      <c r="E36" s="190" t="s">
        <v>3906</v>
      </c>
      <c r="F36" s="190" t="s">
        <v>3907</v>
      </c>
      <c r="G36" s="173" t="s">
        <v>182</v>
      </c>
      <c r="H36" s="173" t="s">
        <v>70</v>
      </c>
      <c r="I36" s="174">
        <v>2.92</v>
      </c>
      <c r="J36" s="174">
        <v>1</v>
      </c>
      <c r="K36" s="174"/>
      <c r="L36" s="174"/>
      <c r="M36" s="191">
        <v>769</v>
      </c>
      <c r="N36" s="176">
        <v>12.255000000000001</v>
      </c>
      <c r="O36" s="176">
        <v>12.255000000000001</v>
      </c>
      <c r="P36" s="176" t="s">
        <v>114</v>
      </c>
      <c r="Q36" s="178" t="s">
        <v>1540</v>
      </c>
      <c r="R36" s="179"/>
      <c r="S36" s="179"/>
      <c r="T36" s="177">
        <v>44930</v>
      </c>
      <c r="U36" s="177"/>
      <c r="V36" s="177">
        <v>44931</v>
      </c>
      <c r="W36" s="177"/>
      <c r="X36" s="177"/>
      <c r="Y36" s="177"/>
      <c r="Z36" s="177"/>
      <c r="AA36" s="177">
        <v>44930</v>
      </c>
      <c r="AB36" s="177"/>
      <c r="AC36" s="177"/>
      <c r="AD36" s="180" t="s">
        <v>1345</v>
      </c>
      <c r="AE36" s="173" t="s">
        <v>69</v>
      </c>
      <c r="AF36" s="181" t="s">
        <v>142</v>
      </c>
      <c r="AG36" s="192" t="s">
        <v>1508</v>
      </c>
      <c r="AH36" s="198"/>
      <c r="AI36" s="181">
        <v>44849</v>
      </c>
      <c r="AJ36" s="181"/>
      <c r="AK36" s="181">
        <f t="shared" ca="1" si="1"/>
        <v>44958</v>
      </c>
      <c r="AL36" s="173">
        <f t="shared" ca="1" si="2"/>
        <v>109</v>
      </c>
      <c r="AM36" s="173" t="str">
        <f t="shared" si="3"/>
        <v/>
      </c>
      <c r="AN36" s="181"/>
      <c r="AO36" s="190" t="s">
        <v>3908</v>
      </c>
      <c r="AP36" s="176">
        <v>24.495000000000001</v>
      </c>
      <c r="AQ36" s="176">
        <v>24.555</v>
      </c>
      <c r="AR36" s="176">
        <v>24.580000000000002</v>
      </c>
      <c r="AS36" s="176">
        <v>24.585000000000001</v>
      </c>
      <c r="AT36" s="173">
        <f t="shared" ca="1" si="4"/>
        <v>27</v>
      </c>
      <c r="AU36" s="173">
        <v>456</v>
      </c>
      <c r="AW36" s="142" t="s">
        <v>123</v>
      </c>
      <c r="AX36" s="142" t="str">
        <f>LEFT(RIGHT(C36,LEN(C36)-MIN(SEARCH({0,1,2,3,4,5,6,7,8,9},C36&amp;"0123456789"))+1),2)</f>
        <v>05</v>
      </c>
      <c r="AY36" s="142">
        <v>2</v>
      </c>
      <c r="AZ36" s="142" t="str">
        <f>LEFT(RIGHT(C36,LEN(C36)-MIN(SEARCH({0,1,2,3,4,5,6,7,8,9},C36&amp;"0123456789"))+1),5)</f>
        <v>05.01</v>
      </c>
      <c r="BA36" s="142" t="str">
        <f t="shared" si="5"/>
        <v>MI</v>
      </c>
    </row>
    <row r="37" spans="2:53" s="142" customFormat="1" ht="21" customHeight="1" x14ac:dyDescent="0.25">
      <c r="B37" s="173" t="str">
        <f t="shared" si="0"/>
        <v>0-304/FH-1.50X765</v>
      </c>
      <c r="C37" s="173" t="s">
        <v>4359</v>
      </c>
      <c r="D37" s="173" t="s">
        <v>16</v>
      </c>
      <c r="E37" s="190" t="s">
        <v>2346</v>
      </c>
      <c r="F37" s="190" t="s">
        <v>2347</v>
      </c>
      <c r="G37" s="173">
        <v>304</v>
      </c>
      <c r="H37" s="173" t="s">
        <v>70</v>
      </c>
      <c r="I37" s="174">
        <v>3.89</v>
      </c>
      <c r="J37" s="174">
        <v>1.5</v>
      </c>
      <c r="K37" s="174"/>
      <c r="L37" s="174"/>
      <c r="M37" s="191">
        <v>765</v>
      </c>
      <c r="N37" s="176">
        <v>10.455</v>
      </c>
      <c r="O37" s="176">
        <v>10.455</v>
      </c>
      <c r="P37" s="176" t="s">
        <v>114</v>
      </c>
      <c r="Q37" s="178" t="s">
        <v>1540</v>
      </c>
      <c r="R37" s="179"/>
      <c r="S37" s="179"/>
      <c r="T37" s="177">
        <v>44931</v>
      </c>
      <c r="U37" s="177"/>
      <c r="V37" s="177">
        <v>44931</v>
      </c>
      <c r="W37" s="177"/>
      <c r="X37" s="177"/>
      <c r="Y37" s="177"/>
      <c r="Z37" s="177"/>
      <c r="AA37" s="177"/>
      <c r="AB37" s="177"/>
      <c r="AC37" s="177"/>
      <c r="AD37" s="180" t="s">
        <v>1345</v>
      </c>
      <c r="AE37" s="173" t="s">
        <v>69</v>
      </c>
      <c r="AF37" s="181" t="s">
        <v>142</v>
      </c>
      <c r="AG37" s="192" t="s">
        <v>2283</v>
      </c>
      <c r="AH37" s="198"/>
      <c r="AI37" s="181">
        <v>44880</v>
      </c>
      <c r="AJ37" s="181"/>
      <c r="AK37" s="181">
        <f t="shared" ca="1" si="1"/>
        <v>44958</v>
      </c>
      <c r="AL37" s="173">
        <f t="shared" ca="1" si="2"/>
        <v>78</v>
      </c>
      <c r="AM37" s="173" t="str">
        <f t="shared" si="3"/>
        <v/>
      </c>
      <c r="AN37" s="181"/>
      <c r="AO37" s="190" t="s">
        <v>2348</v>
      </c>
      <c r="AP37" s="176">
        <v>10.455</v>
      </c>
      <c r="AQ37" s="176">
        <v>10.465</v>
      </c>
      <c r="AR37" s="176">
        <v>10.489999999999998</v>
      </c>
      <c r="AS37" s="176">
        <v>10.494999999999999</v>
      </c>
      <c r="AT37" s="173">
        <f t="shared" ca="1" si="4"/>
        <v>27</v>
      </c>
      <c r="AU37" s="173">
        <v>459</v>
      </c>
      <c r="AW37" s="142" t="s">
        <v>123</v>
      </c>
      <c r="AX37" s="142" t="str">
        <f>LEFT(RIGHT(C37,LEN(C37)-MIN(SEARCH({0,1,2,3,4,5,6,7,8,9},C37&amp;"0123456789"))+1),2)</f>
        <v>05</v>
      </c>
      <c r="AY37" s="142">
        <v>2</v>
      </c>
      <c r="AZ37" s="142" t="str">
        <f>LEFT(RIGHT(C37,LEN(C37)-MIN(SEARCH({0,1,2,3,4,5,6,7,8,9},C37&amp;"0123456789"))+1),5)</f>
        <v>05.01</v>
      </c>
      <c r="BA37" s="142" t="str">
        <f t="shared" si="5"/>
        <v>MI</v>
      </c>
    </row>
    <row r="38" spans="2:53" s="142" customFormat="1" ht="21" customHeight="1" x14ac:dyDescent="0.25">
      <c r="B38" s="173" t="str">
        <f t="shared" si="0"/>
        <v>0-304/FH-1.10X777</v>
      </c>
      <c r="C38" s="173" t="s">
        <v>4359</v>
      </c>
      <c r="D38" s="173" t="s">
        <v>16</v>
      </c>
      <c r="E38" s="190" t="s">
        <v>3911</v>
      </c>
      <c r="F38" s="190" t="s">
        <v>3912</v>
      </c>
      <c r="G38" s="173">
        <v>304</v>
      </c>
      <c r="H38" s="173" t="s">
        <v>70</v>
      </c>
      <c r="I38" s="174">
        <v>2.9</v>
      </c>
      <c r="J38" s="174">
        <v>1.1000000000000001</v>
      </c>
      <c r="K38" s="174"/>
      <c r="L38" s="174"/>
      <c r="M38" s="191">
        <v>777</v>
      </c>
      <c r="N38" s="176">
        <v>10.35</v>
      </c>
      <c r="O38" s="176">
        <v>10.35</v>
      </c>
      <c r="P38" s="176" t="s">
        <v>114</v>
      </c>
      <c r="Q38" s="178" t="s">
        <v>4358</v>
      </c>
      <c r="R38" s="179"/>
      <c r="S38" s="179"/>
      <c r="T38" s="177">
        <v>44931</v>
      </c>
      <c r="U38" s="177"/>
      <c r="V38" s="177">
        <v>44931</v>
      </c>
      <c r="W38" s="177"/>
      <c r="X38" s="177"/>
      <c r="Y38" s="177"/>
      <c r="Z38" s="177"/>
      <c r="AA38" s="177">
        <v>44926</v>
      </c>
      <c r="AB38" s="177"/>
      <c r="AC38" s="177"/>
      <c r="AD38" s="180" t="s">
        <v>1345</v>
      </c>
      <c r="AE38" s="173" t="s">
        <v>69</v>
      </c>
      <c r="AF38" s="181" t="s">
        <v>142</v>
      </c>
      <c r="AG38" s="181" t="s">
        <v>1346</v>
      </c>
      <c r="AH38" s="181"/>
      <c r="AI38" s="181">
        <v>44813</v>
      </c>
      <c r="AJ38" s="181"/>
      <c r="AK38" s="181">
        <f t="shared" ca="1" si="1"/>
        <v>44958</v>
      </c>
      <c r="AL38" s="173">
        <f t="shared" ca="1" si="2"/>
        <v>145</v>
      </c>
      <c r="AM38" s="173" t="str">
        <f t="shared" si="3"/>
        <v/>
      </c>
      <c r="AN38" s="181"/>
      <c r="AO38" s="190" t="s">
        <v>3913</v>
      </c>
      <c r="AP38" s="176">
        <v>20.73</v>
      </c>
      <c r="AQ38" s="176">
        <v>20.79</v>
      </c>
      <c r="AR38" s="176">
        <v>20.815000000000001</v>
      </c>
      <c r="AS38" s="176">
        <v>20.82</v>
      </c>
      <c r="AT38" s="173">
        <f t="shared" ca="1" si="4"/>
        <v>27</v>
      </c>
      <c r="AU38" s="173">
        <v>451</v>
      </c>
      <c r="AW38" s="142" t="s">
        <v>123</v>
      </c>
      <c r="AX38" s="142" t="str">
        <f>LEFT(RIGHT(C38,LEN(C38)-MIN(SEARCH({0,1,2,3,4,5,6,7,8,9},C38&amp;"0123456789"))+1),2)</f>
        <v>05</v>
      </c>
      <c r="AY38" s="142">
        <v>2</v>
      </c>
      <c r="AZ38" s="142" t="str">
        <f>LEFT(RIGHT(C38,LEN(C38)-MIN(SEARCH({0,1,2,3,4,5,6,7,8,9},C38&amp;"0123456789"))+1),5)</f>
        <v>05.01</v>
      </c>
      <c r="BA38" s="142" t="str">
        <f t="shared" si="5"/>
        <v>MI</v>
      </c>
    </row>
    <row r="39" spans="2:53" s="142" customFormat="1" ht="21" customHeight="1" x14ac:dyDescent="0.25">
      <c r="B39" s="173" t="str">
        <f t="shared" si="0"/>
        <v>0-304/FH-1.00X777</v>
      </c>
      <c r="C39" s="173" t="s">
        <v>4359</v>
      </c>
      <c r="D39" s="173" t="s">
        <v>16</v>
      </c>
      <c r="E39" s="190" t="s">
        <v>3914</v>
      </c>
      <c r="F39" s="190" t="s">
        <v>3915</v>
      </c>
      <c r="G39" s="173">
        <v>304</v>
      </c>
      <c r="H39" s="173" t="s">
        <v>70</v>
      </c>
      <c r="I39" s="174">
        <v>2.96</v>
      </c>
      <c r="J39" s="174">
        <v>1</v>
      </c>
      <c r="K39" s="174"/>
      <c r="L39" s="174"/>
      <c r="M39" s="191">
        <v>777</v>
      </c>
      <c r="N39" s="176">
        <v>10.734999999999999</v>
      </c>
      <c r="O39" s="176">
        <v>10.734999999999999</v>
      </c>
      <c r="P39" s="176" t="s">
        <v>114</v>
      </c>
      <c r="Q39" s="178" t="s">
        <v>1210</v>
      </c>
      <c r="R39" s="179"/>
      <c r="S39" s="179"/>
      <c r="T39" s="177">
        <v>44931</v>
      </c>
      <c r="U39" s="177"/>
      <c r="V39" s="177">
        <v>44931</v>
      </c>
      <c r="W39" s="177"/>
      <c r="X39" s="177"/>
      <c r="Y39" s="177"/>
      <c r="Z39" s="177"/>
      <c r="AA39" s="177">
        <v>44928</v>
      </c>
      <c r="AB39" s="177"/>
      <c r="AC39" s="177"/>
      <c r="AD39" s="180" t="s">
        <v>1345</v>
      </c>
      <c r="AE39" s="173" t="s">
        <v>69</v>
      </c>
      <c r="AF39" s="181" t="s">
        <v>142</v>
      </c>
      <c r="AG39" s="181" t="s">
        <v>1346</v>
      </c>
      <c r="AH39" s="181"/>
      <c r="AI39" s="181">
        <v>44813</v>
      </c>
      <c r="AJ39" s="181"/>
      <c r="AK39" s="181">
        <f t="shared" ca="1" si="1"/>
        <v>44958</v>
      </c>
      <c r="AL39" s="173">
        <f t="shared" ca="1" si="2"/>
        <v>145</v>
      </c>
      <c r="AM39" s="173" t="str">
        <f t="shared" si="3"/>
        <v/>
      </c>
      <c r="AN39" s="181"/>
      <c r="AO39" s="190" t="s">
        <v>3916</v>
      </c>
      <c r="AP39" s="176">
        <v>21.39</v>
      </c>
      <c r="AQ39" s="176">
        <v>21.45</v>
      </c>
      <c r="AR39" s="176">
        <v>21.475000000000001</v>
      </c>
      <c r="AS39" s="176">
        <v>21.48</v>
      </c>
      <c r="AT39" s="173">
        <f t="shared" ca="1" si="4"/>
        <v>27</v>
      </c>
      <c r="AU39" s="173">
        <v>451</v>
      </c>
      <c r="AW39" s="142" t="s">
        <v>123</v>
      </c>
      <c r="AX39" s="142" t="str">
        <f>LEFT(RIGHT(C39,LEN(C39)-MIN(SEARCH({0,1,2,3,4,5,6,7,8,9},C39&amp;"0123456789"))+1),2)</f>
        <v>05</v>
      </c>
      <c r="AY39" s="142">
        <v>2</v>
      </c>
      <c r="AZ39" s="142" t="str">
        <f>LEFT(RIGHT(C39,LEN(C39)-MIN(SEARCH({0,1,2,3,4,5,6,7,8,9},C39&amp;"0123456789"))+1),5)</f>
        <v>05.01</v>
      </c>
      <c r="BA39" s="142" t="str">
        <f t="shared" si="5"/>
        <v>MI</v>
      </c>
    </row>
    <row r="40" spans="2:53" s="142" customFormat="1" ht="21" customHeight="1" x14ac:dyDescent="0.25">
      <c r="B40" s="173" t="str">
        <f t="shared" si="0"/>
        <v>0-304/FH-2.00X770</v>
      </c>
      <c r="C40" s="173" t="s">
        <v>4359</v>
      </c>
      <c r="D40" s="173" t="s">
        <v>16</v>
      </c>
      <c r="E40" s="190" t="s">
        <v>2343</v>
      </c>
      <c r="F40" s="190" t="s">
        <v>2344</v>
      </c>
      <c r="G40" s="173">
        <v>304</v>
      </c>
      <c r="H40" s="173" t="s">
        <v>70</v>
      </c>
      <c r="I40" s="174">
        <v>3.89</v>
      </c>
      <c r="J40" s="174">
        <v>2</v>
      </c>
      <c r="K40" s="174"/>
      <c r="L40" s="174"/>
      <c r="M40" s="191">
        <v>770</v>
      </c>
      <c r="N40" s="176">
        <v>10.52</v>
      </c>
      <c r="O40" s="176">
        <v>10.52</v>
      </c>
      <c r="P40" s="176" t="s">
        <v>114</v>
      </c>
      <c r="Q40" s="178" t="s">
        <v>1344</v>
      </c>
      <c r="R40" s="179"/>
      <c r="S40" s="179"/>
      <c r="T40" s="177">
        <v>44931</v>
      </c>
      <c r="U40" s="177"/>
      <c r="V40" s="177">
        <v>44931</v>
      </c>
      <c r="W40" s="177"/>
      <c r="X40" s="177"/>
      <c r="Y40" s="177"/>
      <c r="Z40" s="177"/>
      <c r="AA40" s="177"/>
      <c r="AB40" s="177"/>
      <c r="AC40" s="177"/>
      <c r="AD40" s="180" t="s">
        <v>1345</v>
      </c>
      <c r="AE40" s="173" t="s">
        <v>69</v>
      </c>
      <c r="AF40" s="181" t="s">
        <v>142</v>
      </c>
      <c r="AG40" s="192" t="s">
        <v>2283</v>
      </c>
      <c r="AH40" s="198"/>
      <c r="AI40" s="181">
        <v>44880</v>
      </c>
      <c r="AJ40" s="181"/>
      <c r="AK40" s="181">
        <f t="shared" ca="1" si="1"/>
        <v>44958</v>
      </c>
      <c r="AL40" s="173">
        <f t="shared" ca="1" si="2"/>
        <v>78</v>
      </c>
      <c r="AM40" s="173" t="str">
        <f t="shared" si="3"/>
        <v/>
      </c>
      <c r="AN40" s="181"/>
      <c r="AO40" s="190" t="s">
        <v>2345</v>
      </c>
      <c r="AP40" s="176">
        <v>10.52</v>
      </c>
      <c r="AQ40" s="176">
        <v>10.53</v>
      </c>
      <c r="AR40" s="176">
        <v>10.554999999999998</v>
      </c>
      <c r="AS40" s="176">
        <v>10.559999999999999</v>
      </c>
      <c r="AT40" s="173">
        <f t="shared" ca="1" si="4"/>
        <v>27</v>
      </c>
      <c r="AU40" s="173">
        <v>459</v>
      </c>
      <c r="AW40" s="142" t="s">
        <v>123</v>
      </c>
      <c r="AX40" s="142" t="str">
        <f>LEFT(RIGHT(C40,LEN(C40)-MIN(SEARCH({0,1,2,3,4,5,6,7,8,9},C40&amp;"0123456789"))+1),2)</f>
        <v>05</v>
      </c>
      <c r="AY40" s="142">
        <v>3</v>
      </c>
      <c r="AZ40" s="142" t="str">
        <f>LEFT(RIGHT(C40,LEN(C40)-MIN(SEARCH({0,1,2,3,4,5,6,7,8,9},C40&amp;"0123456789"))+1),5)</f>
        <v>05.01</v>
      </c>
      <c r="BA40" s="142" t="str">
        <f t="shared" si="5"/>
        <v>MI</v>
      </c>
    </row>
    <row r="41" spans="2:53" s="142" customFormat="1" ht="21" customHeight="1" x14ac:dyDescent="0.25">
      <c r="B41" s="173" t="str">
        <f t="shared" si="0"/>
        <v>0-304/FH-0.90X769</v>
      </c>
      <c r="C41" s="173" t="s">
        <v>4359</v>
      </c>
      <c r="D41" s="173" t="s">
        <v>16</v>
      </c>
      <c r="E41" s="190" t="s">
        <v>3895</v>
      </c>
      <c r="F41" s="190" t="s">
        <v>3896</v>
      </c>
      <c r="G41" s="173">
        <v>304</v>
      </c>
      <c r="H41" s="173" t="s">
        <v>70</v>
      </c>
      <c r="I41" s="174">
        <v>2.89</v>
      </c>
      <c r="J41" s="174">
        <v>0.9</v>
      </c>
      <c r="K41" s="174"/>
      <c r="L41" s="174"/>
      <c r="M41" s="191">
        <v>769</v>
      </c>
      <c r="N41" s="176">
        <v>10.525</v>
      </c>
      <c r="O41" s="176">
        <v>10.525</v>
      </c>
      <c r="P41" s="176" t="s">
        <v>114</v>
      </c>
      <c r="Q41" s="178" t="s">
        <v>1540</v>
      </c>
      <c r="R41" s="179"/>
      <c r="S41" s="179"/>
      <c r="T41" s="177">
        <v>44930</v>
      </c>
      <c r="U41" s="177"/>
      <c r="V41" s="177">
        <v>44931</v>
      </c>
      <c r="W41" s="177"/>
      <c r="X41" s="177"/>
      <c r="Y41" s="177"/>
      <c r="Z41" s="177"/>
      <c r="AA41" s="177">
        <v>44926</v>
      </c>
      <c r="AB41" s="177"/>
      <c r="AC41" s="177"/>
      <c r="AD41" s="180" t="s">
        <v>1345</v>
      </c>
      <c r="AE41" s="173" t="s">
        <v>69</v>
      </c>
      <c r="AF41" s="181" t="s">
        <v>142</v>
      </c>
      <c r="AG41" s="192" t="s">
        <v>1508</v>
      </c>
      <c r="AH41" s="198"/>
      <c r="AI41" s="181">
        <v>44849</v>
      </c>
      <c r="AJ41" s="181"/>
      <c r="AK41" s="181">
        <f t="shared" ca="1" si="1"/>
        <v>44958</v>
      </c>
      <c r="AL41" s="173">
        <f t="shared" ca="1" si="2"/>
        <v>109</v>
      </c>
      <c r="AM41" s="173" t="str">
        <f t="shared" si="3"/>
        <v/>
      </c>
      <c r="AN41" s="181"/>
      <c r="AO41" s="190" t="s">
        <v>3897</v>
      </c>
      <c r="AP41" s="176">
        <v>20.984999999999999</v>
      </c>
      <c r="AQ41" s="176">
        <v>21.045000000000002</v>
      </c>
      <c r="AR41" s="176">
        <v>21.070000000000004</v>
      </c>
      <c r="AS41" s="176">
        <v>21.075000000000003</v>
      </c>
      <c r="AT41" s="173">
        <f t="shared" ca="1" si="4"/>
        <v>27</v>
      </c>
      <c r="AU41" s="173">
        <v>456</v>
      </c>
      <c r="AW41" s="142" t="s">
        <v>123</v>
      </c>
      <c r="AX41" s="142" t="str">
        <f>LEFT(RIGHT(C41,LEN(C41)-MIN(SEARCH({0,1,2,3,4,5,6,7,8,9},C41&amp;"0123456789"))+1),2)</f>
        <v>05</v>
      </c>
      <c r="AY41" s="142">
        <v>3</v>
      </c>
      <c r="AZ41" s="142" t="str">
        <f>LEFT(RIGHT(C41,LEN(C41)-MIN(SEARCH({0,1,2,3,4,5,6,7,8,9},C41&amp;"0123456789"))+1),5)</f>
        <v>05.01</v>
      </c>
      <c r="BA41" s="142" t="str">
        <f t="shared" si="5"/>
        <v>MI</v>
      </c>
    </row>
    <row r="42" spans="2:53" s="142" customFormat="1" ht="21" customHeight="1" x14ac:dyDescent="0.25">
      <c r="B42" s="173" t="str">
        <f t="shared" si="0"/>
        <v>0-304/FH-1.15X777</v>
      </c>
      <c r="C42" s="173" t="s">
        <v>4360</v>
      </c>
      <c r="D42" s="173" t="s">
        <v>16</v>
      </c>
      <c r="E42" s="190" t="s">
        <v>3914</v>
      </c>
      <c r="F42" s="190" t="s">
        <v>3920</v>
      </c>
      <c r="G42" s="173">
        <v>304</v>
      </c>
      <c r="H42" s="173" t="s">
        <v>70</v>
      </c>
      <c r="I42" s="174">
        <v>2.96</v>
      </c>
      <c r="J42" s="174">
        <v>1.1499999999999999</v>
      </c>
      <c r="K42" s="174"/>
      <c r="L42" s="174"/>
      <c r="M42" s="191">
        <v>777</v>
      </c>
      <c r="N42" s="176">
        <v>10.725</v>
      </c>
      <c r="O42" s="176">
        <v>10.725</v>
      </c>
      <c r="P42" s="176" t="s">
        <v>114</v>
      </c>
      <c r="Q42" s="178" t="s">
        <v>1210</v>
      </c>
      <c r="R42" s="179"/>
      <c r="S42" s="179"/>
      <c r="T42" s="177">
        <v>44931</v>
      </c>
      <c r="U42" s="177"/>
      <c r="V42" s="177">
        <v>44932</v>
      </c>
      <c r="W42" s="177"/>
      <c r="X42" s="177"/>
      <c r="Y42" s="177"/>
      <c r="Z42" s="177"/>
      <c r="AA42" s="177">
        <v>44928</v>
      </c>
      <c r="AB42" s="177"/>
      <c r="AC42" s="177"/>
      <c r="AD42" s="180" t="s">
        <v>1345</v>
      </c>
      <c r="AE42" s="173" t="s">
        <v>69</v>
      </c>
      <c r="AF42" s="181" t="s">
        <v>142</v>
      </c>
      <c r="AG42" s="181" t="s">
        <v>1346</v>
      </c>
      <c r="AH42" s="181"/>
      <c r="AI42" s="181">
        <v>44813</v>
      </c>
      <c r="AJ42" s="181"/>
      <c r="AK42" s="181">
        <f t="shared" ca="1" si="1"/>
        <v>44958</v>
      </c>
      <c r="AL42" s="173">
        <f t="shared" ca="1" si="2"/>
        <v>145</v>
      </c>
      <c r="AM42" s="173" t="str">
        <f t="shared" si="3"/>
        <v/>
      </c>
      <c r="AN42" s="181"/>
      <c r="AO42" s="190" t="s">
        <v>3916</v>
      </c>
      <c r="AP42" s="176">
        <v>21.39</v>
      </c>
      <c r="AQ42" s="176">
        <v>21.45</v>
      </c>
      <c r="AR42" s="176">
        <v>21.475000000000001</v>
      </c>
      <c r="AS42" s="176">
        <v>21.48</v>
      </c>
      <c r="AT42" s="173">
        <f t="shared" ca="1" si="4"/>
        <v>26</v>
      </c>
      <c r="AU42" s="173">
        <v>451</v>
      </c>
      <c r="AW42" s="142" t="s">
        <v>123</v>
      </c>
      <c r="AX42" s="142" t="str">
        <f>LEFT(RIGHT(C42,LEN(C42)-MIN(SEARCH({0,1,2,3,4,5,6,7,8,9},C42&amp;"0123456789"))+1),2)</f>
        <v>06</v>
      </c>
      <c r="AY42" s="142">
        <v>1</v>
      </c>
      <c r="AZ42" s="142" t="str">
        <f>LEFT(RIGHT(C42,LEN(C42)-MIN(SEARCH({0,1,2,3,4,5,6,7,8,9},C42&amp;"0123456789"))+1),5)</f>
        <v>06.01</v>
      </c>
      <c r="BA42" s="142" t="str">
        <f t="shared" si="5"/>
        <v>MI</v>
      </c>
    </row>
    <row r="43" spans="2:53" s="142" customFormat="1" ht="21" customHeight="1" x14ac:dyDescent="0.25">
      <c r="B43" s="173" t="str">
        <f t="shared" si="0"/>
        <v>0-304/FH-1.00X778</v>
      </c>
      <c r="C43" s="173" t="s">
        <v>4360</v>
      </c>
      <c r="D43" s="173" t="s">
        <v>16</v>
      </c>
      <c r="E43" s="190" t="s">
        <v>3911</v>
      </c>
      <c r="F43" s="190" t="s">
        <v>3927</v>
      </c>
      <c r="G43" s="173">
        <v>304</v>
      </c>
      <c r="H43" s="173" t="s">
        <v>70</v>
      </c>
      <c r="I43" s="174">
        <v>2.9</v>
      </c>
      <c r="J43" s="174">
        <v>1</v>
      </c>
      <c r="K43" s="174"/>
      <c r="L43" s="174"/>
      <c r="M43" s="191">
        <v>778</v>
      </c>
      <c r="N43" s="176">
        <v>10.385</v>
      </c>
      <c r="O43" s="176">
        <v>10.385</v>
      </c>
      <c r="P43" s="176" t="s">
        <v>114</v>
      </c>
      <c r="Q43" s="178" t="s">
        <v>1540</v>
      </c>
      <c r="R43" s="179"/>
      <c r="S43" s="179"/>
      <c r="T43" s="177">
        <v>44931</v>
      </c>
      <c r="U43" s="177"/>
      <c r="V43" s="177">
        <v>44932</v>
      </c>
      <c r="W43" s="177"/>
      <c r="X43" s="177"/>
      <c r="Y43" s="177"/>
      <c r="Z43" s="177"/>
      <c r="AA43" s="177">
        <v>44926</v>
      </c>
      <c r="AB43" s="177"/>
      <c r="AC43" s="177"/>
      <c r="AD43" s="180" t="s">
        <v>1345</v>
      </c>
      <c r="AE43" s="173" t="s">
        <v>69</v>
      </c>
      <c r="AF43" s="181" t="s">
        <v>142</v>
      </c>
      <c r="AG43" s="181" t="s">
        <v>1346</v>
      </c>
      <c r="AH43" s="181"/>
      <c r="AI43" s="181">
        <v>44813</v>
      </c>
      <c r="AJ43" s="181"/>
      <c r="AK43" s="181">
        <f t="shared" ca="1" si="1"/>
        <v>44958</v>
      </c>
      <c r="AL43" s="173">
        <f t="shared" ca="1" si="2"/>
        <v>145</v>
      </c>
      <c r="AM43" s="173" t="str">
        <f t="shared" si="3"/>
        <v/>
      </c>
      <c r="AN43" s="181"/>
      <c r="AO43" s="190" t="s">
        <v>3913</v>
      </c>
      <c r="AP43" s="176">
        <v>20.73</v>
      </c>
      <c r="AQ43" s="176">
        <v>20.79</v>
      </c>
      <c r="AR43" s="176">
        <v>20.815000000000001</v>
      </c>
      <c r="AS43" s="176">
        <v>20.82</v>
      </c>
      <c r="AT43" s="173">
        <f t="shared" ca="1" si="4"/>
        <v>26</v>
      </c>
      <c r="AU43" s="173">
        <v>451</v>
      </c>
      <c r="AW43" s="142" t="s">
        <v>123</v>
      </c>
      <c r="AX43" s="142" t="str">
        <f>LEFT(RIGHT(C43,LEN(C43)-MIN(SEARCH({0,1,2,3,4,5,6,7,8,9},C43&amp;"0123456789"))+1),2)</f>
        <v>06</v>
      </c>
      <c r="AY43" s="142">
        <v>1</v>
      </c>
      <c r="AZ43" s="142" t="str">
        <f>LEFT(RIGHT(C43,LEN(C43)-MIN(SEARCH({0,1,2,3,4,5,6,7,8,9},C43&amp;"0123456789"))+1),5)</f>
        <v>06.01</v>
      </c>
      <c r="BA43" s="142" t="str">
        <f t="shared" si="5"/>
        <v>MI</v>
      </c>
    </row>
    <row r="44" spans="2:53" s="142" customFormat="1" ht="21" customHeight="1" x14ac:dyDescent="0.25">
      <c r="B44" s="173" t="str">
        <f t="shared" si="0"/>
        <v>0-304/FH-1.15X767</v>
      </c>
      <c r="C44" s="173" t="s">
        <v>4360</v>
      </c>
      <c r="D44" s="173" t="s">
        <v>16</v>
      </c>
      <c r="E44" s="190" t="s">
        <v>3924</v>
      </c>
      <c r="F44" s="190" t="s">
        <v>3925</v>
      </c>
      <c r="G44" s="173">
        <v>304</v>
      </c>
      <c r="H44" s="173" t="s">
        <v>70</v>
      </c>
      <c r="I44" s="174">
        <v>3.45</v>
      </c>
      <c r="J44" s="174">
        <v>1.1499999999999999</v>
      </c>
      <c r="K44" s="174"/>
      <c r="L44" s="174"/>
      <c r="M44" s="191">
        <v>767</v>
      </c>
      <c r="N44" s="176">
        <v>12.185</v>
      </c>
      <c r="O44" s="176">
        <v>12.185</v>
      </c>
      <c r="P44" s="176" t="s">
        <v>114</v>
      </c>
      <c r="Q44" s="178" t="s">
        <v>1210</v>
      </c>
      <c r="R44" s="179"/>
      <c r="S44" s="179"/>
      <c r="T44" s="177">
        <v>44931</v>
      </c>
      <c r="U44" s="177"/>
      <c r="V44" s="177">
        <v>44932</v>
      </c>
      <c r="W44" s="177"/>
      <c r="X44" s="177"/>
      <c r="Y44" s="177"/>
      <c r="Z44" s="177"/>
      <c r="AA44" s="177">
        <v>44931</v>
      </c>
      <c r="AB44" s="177"/>
      <c r="AC44" s="177"/>
      <c r="AD44" s="180" t="s">
        <v>1345</v>
      </c>
      <c r="AE44" s="173" t="s">
        <v>69</v>
      </c>
      <c r="AF44" s="181" t="s">
        <v>142</v>
      </c>
      <c r="AG44" s="192" t="s">
        <v>1508</v>
      </c>
      <c r="AH44" s="198"/>
      <c r="AI44" s="181">
        <v>44849</v>
      </c>
      <c r="AJ44" s="181"/>
      <c r="AK44" s="181">
        <f t="shared" ca="1" si="1"/>
        <v>44958</v>
      </c>
      <c r="AL44" s="173">
        <f t="shared" ca="1" si="2"/>
        <v>109</v>
      </c>
      <c r="AM44" s="173" t="str">
        <f t="shared" si="3"/>
        <v/>
      </c>
      <c r="AN44" s="181"/>
      <c r="AO44" s="190" t="s">
        <v>3926</v>
      </c>
      <c r="AP44" s="176">
        <v>24.335000000000001</v>
      </c>
      <c r="AQ44" s="176">
        <v>24.395</v>
      </c>
      <c r="AR44" s="176">
        <v>24.42</v>
      </c>
      <c r="AS44" s="176">
        <v>24.425000000000001</v>
      </c>
      <c r="AT44" s="173">
        <f t="shared" ca="1" si="4"/>
        <v>26</v>
      </c>
      <c r="AU44" s="173">
        <v>456</v>
      </c>
      <c r="AW44" s="142" t="s">
        <v>123</v>
      </c>
      <c r="AX44" s="142" t="str">
        <f>LEFT(RIGHT(C44,LEN(C44)-MIN(SEARCH({0,1,2,3,4,5,6,7,8,9},C44&amp;"0123456789"))+1),2)</f>
        <v>06</v>
      </c>
      <c r="AY44" s="142">
        <v>1</v>
      </c>
      <c r="AZ44" s="142" t="str">
        <f>LEFT(RIGHT(C44,LEN(C44)-MIN(SEARCH({0,1,2,3,4,5,6,7,8,9},C44&amp;"0123456789"))+1),5)</f>
        <v>06.01</v>
      </c>
      <c r="BA44" s="142" t="str">
        <f t="shared" si="5"/>
        <v>MI</v>
      </c>
    </row>
    <row r="45" spans="2:53" s="142" customFormat="1" ht="21" customHeight="1" x14ac:dyDescent="0.25">
      <c r="B45" s="173" t="str">
        <f t="shared" si="0"/>
        <v>0-304L/FH-0.50X642</v>
      </c>
      <c r="C45" s="173" t="s">
        <v>4360</v>
      </c>
      <c r="D45" s="173" t="s">
        <v>16</v>
      </c>
      <c r="E45" s="190" t="s">
        <v>3921</v>
      </c>
      <c r="F45" s="190" t="s">
        <v>3922</v>
      </c>
      <c r="G45" s="173" t="s">
        <v>182</v>
      </c>
      <c r="H45" s="173" t="s">
        <v>70</v>
      </c>
      <c r="I45" s="174">
        <v>2.4900000000000002</v>
      </c>
      <c r="J45" s="174">
        <v>0.5</v>
      </c>
      <c r="K45" s="174"/>
      <c r="L45" s="174"/>
      <c r="M45" s="191">
        <v>642</v>
      </c>
      <c r="N45" s="176">
        <v>10.62</v>
      </c>
      <c r="O45" s="176">
        <v>10.62</v>
      </c>
      <c r="P45" s="176" t="s">
        <v>114</v>
      </c>
      <c r="Q45" s="178" t="s">
        <v>1344</v>
      </c>
      <c r="R45" s="179"/>
      <c r="S45" s="179"/>
      <c r="T45" s="177">
        <v>44931</v>
      </c>
      <c r="U45" s="177"/>
      <c r="V45" s="177">
        <v>44932</v>
      </c>
      <c r="W45" s="177"/>
      <c r="X45" s="177"/>
      <c r="Y45" s="177"/>
      <c r="Z45" s="177"/>
      <c r="AA45" s="177"/>
      <c r="AB45" s="177"/>
      <c r="AC45" s="177"/>
      <c r="AD45" s="180" t="s">
        <v>2479</v>
      </c>
      <c r="AE45" s="173" t="s">
        <v>69</v>
      </c>
      <c r="AF45" s="181" t="s">
        <v>142</v>
      </c>
      <c r="AG45" s="192" t="s">
        <v>1657</v>
      </c>
      <c r="AH45" s="198"/>
      <c r="AI45" s="181">
        <v>44849</v>
      </c>
      <c r="AJ45" s="181"/>
      <c r="AK45" s="181">
        <f t="shared" ca="1" si="1"/>
        <v>44958</v>
      </c>
      <c r="AL45" s="173">
        <f t="shared" ca="1" si="2"/>
        <v>109</v>
      </c>
      <c r="AM45" s="173" t="str">
        <f t="shared" si="3"/>
        <v/>
      </c>
      <c r="AN45" s="181"/>
      <c r="AO45" s="190" t="s">
        <v>3923</v>
      </c>
      <c r="AP45" s="176">
        <v>10.62</v>
      </c>
      <c r="AQ45" s="176">
        <v>10.63</v>
      </c>
      <c r="AR45" s="176">
        <v>10.654999999999999</v>
      </c>
      <c r="AS45" s="176">
        <v>10.66</v>
      </c>
      <c r="AT45" s="173">
        <f t="shared" ca="1" si="4"/>
        <v>26</v>
      </c>
      <c r="AU45" s="173">
        <v>456</v>
      </c>
      <c r="AW45" s="142" t="s">
        <v>123</v>
      </c>
      <c r="AX45" s="142" t="str">
        <f>LEFT(RIGHT(C45,LEN(C45)-MIN(SEARCH({0,1,2,3,4,5,6,7,8,9},C45&amp;"0123456789"))+1),2)</f>
        <v>06</v>
      </c>
      <c r="AY45" s="142">
        <v>2</v>
      </c>
      <c r="AZ45" s="142" t="str">
        <f>LEFT(RIGHT(C45,LEN(C45)-MIN(SEARCH({0,1,2,3,4,5,6,7,8,9},C45&amp;"0123456789"))+1),5)</f>
        <v>06.01</v>
      </c>
      <c r="BA45" s="142" t="str">
        <f t="shared" si="5"/>
        <v>MI</v>
      </c>
    </row>
    <row r="46" spans="2:53" s="142" customFormat="1" ht="21" customHeight="1" x14ac:dyDescent="0.25">
      <c r="B46" s="173" t="str">
        <f t="shared" si="0"/>
        <v>0-304/FH-1.45X773</v>
      </c>
      <c r="C46" s="173" t="s">
        <v>4360</v>
      </c>
      <c r="D46" s="173" t="s">
        <v>16</v>
      </c>
      <c r="E46" s="190" t="s">
        <v>3940</v>
      </c>
      <c r="F46" s="190" t="s">
        <v>3941</v>
      </c>
      <c r="G46" s="173">
        <v>304</v>
      </c>
      <c r="H46" s="173" t="s">
        <v>70</v>
      </c>
      <c r="I46" s="174">
        <v>3.77</v>
      </c>
      <c r="J46" s="174">
        <v>1.45</v>
      </c>
      <c r="K46" s="174"/>
      <c r="L46" s="174"/>
      <c r="M46" s="191">
        <v>773</v>
      </c>
      <c r="N46" s="176">
        <v>10.574999999999999</v>
      </c>
      <c r="O46" s="176">
        <v>10.574999999999999</v>
      </c>
      <c r="P46" s="176" t="s">
        <v>114</v>
      </c>
      <c r="Q46" s="178" t="s">
        <v>1210</v>
      </c>
      <c r="R46" s="179"/>
      <c r="S46" s="179"/>
      <c r="T46" s="177">
        <v>44932</v>
      </c>
      <c r="U46" s="177"/>
      <c r="V46" s="177">
        <v>44932</v>
      </c>
      <c r="W46" s="177"/>
      <c r="X46" s="177"/>
      <c r="Y46" s="177"/>
      <c r="Z46" s="177"/>
      <c r="AA46" s="177"/>
      <c r="AB46" s="177"/>
      <c r="AC46" s="177"/>
      <c r="AD46" s="180" t="s">
        <v>1345</v>
      </c>
      <c r="AE46" s="173" t="s">
        <v>69</v>
      </c>
      <c r="AF46" s="181" t="s">
        <v>142</v>
      </c>
      <c r="AG46" s="192" t="s">
        <v>2283</v>
      </c>
      <c r="AH46" s="198"/>
      <c r="AI46" s="181">
        <v>44880</v>
      </c>
      <c r="AJ46" s="181"/>
      <c r="AK46" s="181">
        <f t="shared" ca="1" si="1"/>
        <v>44958</v>
      </c>
      <c r="AL46" s="173">
        <f t="shared" ca="1" si="2"/>
        <v>78</v>
      </c>
      <c r="AM46" s="173" t="str">
        <f t="shared" si="3"/>
        <v/>
      </c>
      <c r="AN46" s="181"/>
      <c r="AO46" s="190" t="s">
        <v>3942</v>
      </c>
      <c r="AP46" s="176">
        <v>10.574999999999999</v>
      </c>
      <c r="AQ46" s="176">
        <v>10.584999999999999</v>
      </c>
      <c r="AR46" s="176">
        <v>10.609999999999998</v>
      </c>
      <c r="AS46" s="176">
        <v>10.614999999999998</v>
      </c>
      <c r="AT46" s="173">
        <f t="shared" ca="1" si="4"/>
        <v>26</v>
      </c>
      <c r="AU46" s="173">
        <v>459</v>
      </c>
      <c r="AW46" s="142" t="s">
        <v>123</v>
      </c>
      <c r="AX46" s="142" t="str">
        <f>LEFT(RIGHT(C46,LEN(C46)-MIN(SEARCH({0,1,2,3,4,5,6,7,8,9},C46&amp;"0123456789"))+1),2)</f>
        <v>06</v>
      </c>
      <c r="AY46" s="142">
        <v>2</v>
      </c>
      <c r="AZ46" s="142" t="str">
        <f>LEFT(RIGHT(C46,LEN(C46)-MIN(SEARCH({0,1,2,3,4,5,6,7,8,9},C46&amp;"0123456789"))+1),5)</f>
        <v>06.01</v>
      </c>
      <c r="BA46" s="142" t="str">
        <f t="shared" si="5"/>
        <v>MI</v>
      </c>
    </row>
    <row r="47" spans="2:53" s="142" customFormat="1" ht="21" customHeight="1" x14ac:dyDescent="0.25">
      <c r="B47" s="173" t="str">
        <f t="shared" si="0"/>
        <v>0-304/FH-0.50X641</v>
      </c>
      <c r="C47" s="173" t="s">
        <v>4360</v>
      </c>
      <c r="D47" s="173" t="s">
        <v>16</v>
      </c>
      <c r="E47" s="190" t="s">
        <v>3933</v>
      </c>
      <c r="F47" s="190" t="s">
        <v>3934</v>
      </c>
      <c r="G47" s="173">
        <v>304</v>
      </c>
      <c r="H47" s="173" t="s">
        <v>70</v>
      </c>
      <c r="I47" s="174">
        <v>2.48</v>
      </c>
      <c r="J47" s="174">
        <v>0.5</v>
      </c>
      <c r="K47" s="174"/>
      <c r="L47" s="174"/>
      <c r="M47" s="191">
        <v>641</v>
      </c>
      <c r="N47" s="176">
        <v>10.135</v>
      </c>
      <c r="O47" s="176">
        <v>10.135</v>
      </c>
      <c r="P47" s="176" t="s">
        <v>114</v>
      </c>
      <c r="Q47" s="178" t="s">
        <v>1344</v>
      </c>
      <c r="R47" s="179"/>
      <c r="S47" s="179"/>
      <c r="T47" s="177">
        <v>44932</v>
      </c>
      <c r="U47" s="177"/>
      <c r="V47" s="177">
        <v>44932</v>
      </c>
      <c r="W47" s="177"/>
      <c r="X47" s="177"/>
      <c r="Y47" s="177"/>
      <c r="Z47" s="177"/>
      <c r="AA47" s="177"/>
      <c r="AB47" s="177"/>
      <c r="AC47" s="177"/>
      <c r="AD47" s="180" t="s">
        <v>2479</v>
      </c>
      <c r="AE47" s="173" t="s">
        <v>69</v>
      </c>
      <c r="AF47" s="181" t="s">
        <v>142</v>
      </c>
      <c r="AG47" s="192" t="s">
        <v>1594</v>
      </c>
      <c r="AH47" s="198"/>
      <c r="AI47" s="181">
        <v>44849</v>
      </c>
      <c r="AJ47" s="181"/>
      <c r="AK47" s="181">
        <f t="shared" ca="1" si="1"/>
        <v>44958</v>
      </c>
      <c r="AL47" s="173">
        <f t="shared" ca="1" si="2"/>
        <v>109</v>
      </c>
      <c r="AM47" s="173" t="str">
        <f t="shared" si="3"/>
        <v/>
      </c>
      <c r="AN47" s="181"/>
      <c r="AO47" s="190" t="s">
        <v>3935</v>
      </c>
      <c r="AP47" s="176">
        <v>10.135</v>
      </c>
      <c r="AQ47" s="176">
        <v>10.145</v>
      </c>
      <c r="AR47" s="176">
        <v>10.169999999999998</v>
      </c>
      <c r="AS47" s="176">
        <v>10.174999999999999</v>
      </c>
      <c r="AT47" s="173">
        <f t="shared" ca="1" si="4"/>
        <v>26</v>
      </c>
      <c r="AU47" s="173">
        <v>456</v>
      </c>
      <c r="AW47" s="142" t="s">
        <v>123</v>
      </c>
      <c r="AX47" s="142" t="str">
        <f>LEFT(RIGHT(C47,LEN(C47)-MIN(SEARCH({0,1,2,3,4,5,6,7,8,9},C47&amp;"0123456789"))+1),2)</f>
        <v>06</v>
      </c>
      <c r="AY47" s="142">
        <v>3</v>
      </c>
      <c r="AZ47" s="142" t="str">
        <f>LEFT(RIGHT(C47,LEN(C47)-MIN(SEARCH({0,1,2,3,4,5,6,7,8,9},C47&amp;"0123456789"))+1),5)</f>
        <v>06.01</v>
      </c>
      <c r="BA47" s="142" t="str">
        <f t="shared" si="5"/>
        <v>MI</v>
      </c>
    </row>
    <row r="48" spans="2:53" s="142" customFormat="1" ht="21" customHeight="1" x14ac:dyDescent="0.25">
      <c r="B48" s="173" t="str">
        <f t="shared" si="0"/>
        <v>0-304/FH-1.03X778</v>
      </c>
      <c r="C48" s="173" t="s">
        <v>4360</v>
      </c>
      <c r="D48" s="173" t="s">
        <v>16</v>
      </c>
      <c r="E48" s="190" t="s">
        <v>3945</v>
      </c>
      <c r="F48" s="190" t="s">
        <v>3946</v>
      </c>
      <c r="G48" s="173">
        <v>304</v>
      </c>
      <c r="H48" s="173" t="s">
        <v>70</v>
      </c>
      <c r="I48" s="174">
        <v>3.49</v>
      </c>
      <c r="J48" s="174">
        <v>1.03</v>
      </c>
      <c r="K48" s="174"/>
      <c r="L48" s="174"/>
      <c r="M48" s="191">
        <v>778</v>
      </c>
      <c r="N48" s="176">
        <v>10.685</v>
      </c>
      <c r="O48" s="176">
        <v>10.685</v>
      </c>
      <c r="P48" s="176" t="s">
        <v>114</v>
      </c>
      <c r="Q48" s="178" t="s">
        <v>750</v>
      </c>
      <c r="R48" s="179"/>
      <c r="S48" s="179"/>
      <c r="T48" s="177">
        <v>44932</v>
      </c>
      <c r="U48" s="177"/>
      <c r="V48" s="177">
        <v>44932</v>
      </c>
      <c r="W48" s="177"/>
      <c r="X48" s="177"/>
      <c r="Y48" s="177"/>
      <c r="Z48" s="177"/>
      <c r="AA48" s="177">
        <v>44929</v>
      </c>
      <c r="AB48" s="177"/>
      <c r="AC48" s="177"/>
      <c r="AD48" s="180" t="s">
        <v>1345</v>
      </c>
      <c r="AE48" s="173" t="s">
        <v>69</v>
      </c>
      <c r="AF48" s="181" t="s">
        <v>142</v>
      </c>
      <c r="AG48" s="181" t="s">
        <v>1346</v>
      </c>
      <c r="AH48" s="181"/>
      <c r="AI48" s="181">
        <v>44813</v>
      </c>
      <c r="AJ48" s="181"/>
      <c r="AK48" s="181">
        <f t="shared" ca="1" si="1"/>
        <v>44958</v>
      </c>
      <c r="AL48" s="173">
        <f t="shared" ca="1" si="2"/>
        <v>145</v>
      </c>
      <c r="AM48" s="173" t="str">
        <f t="shared" si="3"/>
        <v/>
      </c>
      <c r="AN48" s="181"/>
      <c r="AO48" s="190" t="s">
        <v>3947</v>
      </c>
      <c r="AP48" s="176">
        <v>21.434999999999999</v>
      </c>
      <c r="AQ48" s="176">
        <v>21.495000000000001</v>
      </c>
      <c r="AR48" s="176">
        <v>21.520000000000003</v>
      </c>
      <c r="AS48" s="176">
        <v>21.525000000000002</v>
      </c>
      <c r="AT48" s="173">
        <f t="shared" ca="1" si="4"/>
        <v>26</v>
      </c>
      <c r="AU48" s="173">
        <v>451</v>
      </c>
      <c r="AW48" s="142" t="s">
        <v>123</v>
      </c>
      <c r="AX48" s="142" t="str">
        <f>LEFT(RIGHT(C48,LEN(C48)-MIN(SEARCH({0,1,2,3,4,5,6,7,8,9},C48&amp;"0123456789"))+1),2)</f>
        <v>06</v>
      </c>
      <c r="AY48" s="142">
        <v>3</v>
      </c>
      <c r="AZ48" s="142" t="str">
        <f>LEFT(RIGHT(C48,LEN(C48)-MIN(SEARCH({0,1,2,3,4,5,6,7,8,9},C48&amp;"0123456789"))+1),5)</f>
        <v>06.01</v>
      </c>
      <c r="BA48" s="142" t="str">
        <f t="shared" si="5"/>
        <v>MI</v>
      </c>
    </row>
    <row r="49" spans="2:53" s="142" customFormat="1" ht="21" customHeight="1" x14ac:dyDescent="0.25">
      <c r="B49" s="173" t="str">
        <f t="shared" si="0"/>
        <v>0-304L/FH-1.15X765</v>
      </c>
      <c r="C49" s="173" t="s">
        <v>4361</v>
      </c>
      <c r="D49" s="173" t="s">
        <v>16</v>
      </c>
      <c r="E49" s="190" t="s">
        <v>1579</v>
      </c>
      <c r="F49" s="190" t="s">
        <v>1580</v>
      </c>
      <c r="G49" s="173" t="s">
        <v>182</v>
      </c>
      <c r="H49" s="173" t="s">
        <v>70</v>
      </c>
      <c r="I49" s="174">
        <v>3.4</v>
      </c>
      <c r="J49" s="174">
        <v>1.1499999999999999</v>
      </c>
      <c r="K49" s="174"/>
      <c r="L49" s="174"/>
      <c r="M49" s="191">
        <v>765</v>
      </c>
      <c r="N49" s="176">
        <v>10.345000000000001</v>
      </c>
      <c r="O49" s="176">
        <v>10.345000000000001</v>
      </c>
      <c r="P49" s="176" t="s">
        <v>114</v>
      </c>
      <c r="Q49" s="178" t="s">
        <v>1210</v>
      </c>
      <c r="R49" s="179"/>
      <c r="S49" s="179"/>
      <c r="T49" s="177">
        <v>44932</v>
      </c>
      <c r="U49" s="177"/>
      <c r="V49" s="177">
        <v>44933</v>
      </c>
      <c r="W49" s="177"/>
      <c r="X49" s="177"/>
      <c r="Y49" s="177"/>
      <c r="Z49" s="177"/>
      <c r="AA49" s="177">
        <v>44930</v>
      </c>
      <c r="AB49" s="177"/>
      <c r="AC49" s="177"/>
      <c r="AD49" s="180" t="s">
        <v>1345</v>
      </c>
      <c r="AE49" s="173" t="s">
        <v>69</v>
      </c>
      <c r="AF49" s="181" t="s">
        <v>142</v>
      </c>
      <c r="AG49" s="192" t="s">
        <v>1508</v>
      </c>
      <c r="AH49" s="198"/>
      <c r="AI49" s="181">
        <v>44849</v>
      </c>
      <c r="AJ49" s="181"/>
      <c r="AK49" s="181">
        <f t="shared" ca="1" si="1"/>
        <v>44958</v>
      </c>
      <c r="AL49" s="173">
        <f t="shared" ca="1" si="2"/>
        <v>109</v>
      </c>
      <c r="AM49" s="173" t="str">
        <f t="shared" si="3"/>
        <v/>
      </c>
      <c r="AN49" s="181"/>
      <c r="AO49" s="190" t="s">
        <v>1581</v>
      </c>
      <c r="AP49" s="176">
        <v>20.74</v>
      </c>
      <c r="AQ49" s="176">
        <v>20.8</v>
      </c>
      <c r="AR49" s="176">
        <v>20.825000000000003</v>
      </c>
      <c r="AS49" s="176">
        <v>20.830000000000002</v>
      </c>
      <c r="AT49" s="173">
        <f t="shared" ca="1" si="4"/>
        <v>25</v>
      </c>
      <c r="AU49" s="173">
        <v>456</v>
      </c>
      <c r="AW49" s="142" t="s">
        <v>123</v>
      </c>
      <c r="AX49" s="142" t="str">
        <f>LEFT(RIGHT(C49,LEN(C49)-MIN(SEARCH({0,1,2,3,4,5,6,7,8,9},C49&amp;"0123456789"))+1),2)</f>
        <v>07</v>
      </c>
      <c r="AY49" s="142">
        <v>1</v>
      </c>
      <c r="AZ49" s="142" t="str">
        <f>LEFT(RIGHT(C49,LEN(C49)-MIN(SEARCH({0,1,2,3,4,5,6,7,8,9},C49&amp;"0123456789"))+1),5)</f>
        <v>07.01</v>
      </c>
      <c r="BA49" s="142" t="str">
        <f t="shared" si="5"/>
        <v>MI</v>
      </c>
    </row>
    <row r="50" spans="2:53" s="142" customFormat="1" ht="21" customHeight="1" x14ac:dyDescent="0.25">
      <c r="B50" s="173" t="str">
        <f t="shared" si="0"/>
        <v>0-304/FH-0.40X641</v>
      </c>
      <c r="C50" s="173" t="s">
        <v>4361</v>
      </c>
      <c r="D50" s="173" t="s">
        <v>16</v>
      </c>
      <c r="E50" s="190" t="s">
        <v>3943</v>
      </c>
      <c r="F50" s="190" t="s">
        <v>3944</v>
      </c>
      <c r="G50" s="173">
        <v>304</v>
      </c>
      <c r="H50" s="173" t="s">
        <v>70</v>
      </c>
      <c r="I50" s="174">
        <v>2.48</v>
      </c>
      <c r="J50" s="174">
        <v>0.4</v>
      </c>
      <c r="K50" s="174"/>
      <c r="L50" s="174"/>
      <c r="M50" s="191">
        <v>641</v>
      </c>
      <c r="N50" s="176">
        <v>10.135</v>
      </c>
      <c r="O50" s="176">
        <v>10.135</v>
      </c>
      <c r="P50" s="176" t="s">
        <v>114</v>
      </c>
      <c r="Q50" s="178" t="s">
        <v>1344</v>
      </c>
      <c r="R50" s="179"/>
      <c r="S50" s="179"/>
      <c r="T50" s="177">
        <v>44932</v>
      </c>
      <c r="U50" s="177"/>
      <c r="V50" s="177">
        <v>44933</v>
      </c>
      <c r="W50" s="177"/>
      <c r="X50" s="177"/>
      <c r="Y50" s="177"/>
      <c r="Z50" s="177"/>
      <c r="AA50" s="177"/>
      <c r="AB50" s="177"/>
      <c r="AC50" s="177"/>
      <c r="AD50" s="180" t="s">
        <v>2479</v>
      </c>
      <c r="AE50" s="173" t="s">
        <v>69</v>
      </c>
      <c r="AF50" s="181" t="s">
        <v>142</v>
      </c>
      <c r="AG50" s="192" t="s">
        <v>1594</v>
      </c>
      <c r="AH50" s="198"/>
      <c r="AI50" s="181">
        <v>44849</v>
      </c>
      <c r="AJ50" s="181"/>
      <c r="AK50" s="181">
        <f t="shared" ca="1" si="1"/>
        <v>44958</v>
      </c>
      <c r="AL50" s="173">
        <f t="shared" ca="1" si="2"/>
        <v>109</v>
      </c>
      <c r="AM50" s="173" t="str">
        <f t="shared" si="3"/>
        <v/>
      </c>
      <c r="AN50" s="181"/>
      <c r="AO50" s="190" t="s">
        <v>3935</v>
      </c>
      <c r="AP50" s="176">
        <v>10.135</v>
      </c>
      <c r="AQ50" s="176">
        <v>10.145</v>
      </c>
      <c r="AR50" s="176">
        <v>10.169999999999998</v>
      </c>
      <c r="AS50" s="176">
        <v>10.174999999999999</v>
      </c>
      <c r="AT50" s="173">
        <f t="shared" ca="1" si="4"/>
        <v>25</v>
      </c>
      <c r="AU50" s="173">
        <v>456</v>
      </c>
      <c r="AW50" s="142" t="s">
        <v>123</v>
      </c>
      <c r="AX50" s="142" t="str">
        <f>LEFT(RIGHT(C50,LEN(C50)-MIN(SEARCH({0,1,2,3,4,5,6,7,8,9},C50&amp;"0123456789"))+1),2)</f>
        <v>07</v>
      </c>
      <c r="AY50" s="142">
        <v>1</v>
      </c>
      <c r="AZ50" s="142" t="str">
        <f>LEFT(RIGHT(C50,LEN(C50)-MIN(SEARCH({0,1,2,3,4,5,6,7,8,9},C50&amp;"0123456789"))+1),5)</f>
        <v>07.01</v>
      </c>
      <c r="BA50" s="142" t="str">
        <f t="shared" si="5"/>
        <v>MI</v>
      </c>
    </row>
    <row r="51" spans="2:53" s="142" customFormat="1" ht="21" customHeight="1" x14ac:dyDescent="0.25">
      <c r="B51" s="173" t="str">
        <f t="shared" si="0"/>
        <v>0-304/FH-1.15X777</v>
      </c>
      <c r="C51" s="173" t="s">
        <v>4361</v>
      </c>
      <c r="D51" s="173" t="s">
        <v>16</v>
      </c>
      <c r="E51" s="190" t="s">
        <v>3949</v>
      </c>
      <c r="F51" s="190" t="s">
        <v>3950</v>
      </c>
      <c r="G51" s="173">
        <v>304</v>
      </c>
      <c r="H51" s="173" t="s">
        <v>70</v>
      </c>
      <c r="I51" s="174">
        <v>3.51</v>
      </c>
      <c r="J51" s="174">
        <v>1.1499999999999999</v>
      </c>
      <c r="K51" s="174"/>
      <c r="L51" s="174"/>
      <c r="M51" s="191">
        <v>777</v>
      </c>
      <c r="N51" s="176">
        <v>10.715</v>
      </c>
      <c r="O51" s="176">
        <v>10.715</v>
      </c>
      <c r="P51" s="176" t="s">
        <v>114</v>
      </c>
      <c r="Q51" s="178" t="s">
        <v>1210</v>
      </c>
      <c r="R51" s="179"/>
      <c r="S51" s="179"/>
      <c r="T51" s="177">
        <v>44933</v>
      </c>
      <c r="U51" s="177"/>
      <c r="V51" s="177">
        <v>44933</v>
      </c>
      <c r="W51" s="177"/>
      <c r="X51" s="177"/>
      <c r="Y51" s="177"/>
      <c r="Z51" s="177"/>
      <c r="AA51" s="177">
        <v>44930</v>
      </c>
      <c r="AB51" s="177"/>
      <c r="AC51" s="177"/>
      <c r="AD51" s="180" t="s">
        <v>1345</v>
      </c>
      <c r="AE51" s="173" t="s">
        <v>69</v>
      </c>
      <c r="AF51" s="181" t="s">
        <v>142</v>
      </c>
      <c r="AG51" s="181" t="s">
        <v>1346</v>
      </c>
      <c r="AH51" s="181"/>
      <c r="AI51" s="181">
        <v>44813</v>
      </c>
      <c r="AJ51" s="181"/>
      <c r="AK51" s="181">
        <f t="shared" ca="1" si="1"/>
        <v>44958</v>
      </c>
      <c r="AL51" s="173">
        <f t="shared" ca="1" si="2"/>
        <v>145</v>
      </c>
      <c r="AM51" s="173" t="str">
        <f t="shared" si="3"/>
        <v/>
      </c>
      <c r="AN51" s="181"/>
      <c r="AO51" s="190" t="s">
        <v>3951</v>
      </c>
      <c r="AP51" s="176">
        <v>21.465</v>
      </c>
      <c r="AQ51" s="176">
        <v>21.524999999999999</v>
      </c>
      <c r="AR51" s="176">
        <v>21.55</v>
      </c>
      <c r="AS51" s="176">
        <v>21.555</v>
      </c>
      <c r="AT51" s="173">
        <f t="shared" ca="1" si="4"/>
        <v>25</v>
      </c>
      <c r="AU51" s="173">
        <v>451</v>
      </c>
      <c r="AW51" s="142" t="s">
        <v>123</v>
      </c>
      <c r="AX51" s="142" t="str">
        <f>LEFT(RIGHT(C51,LEN(C51)-MIN(SEARCH({0,1,2,3,4,5,6,7,8,9},C51&amp;"0123456789"))+1),2)</f>
        <v>07</v>
      </c>
      <c r="AY51" s="142">
        <v>2</v>
      </c>
      <c r="AZ51" s="142" t="str">
        <f>LEFT(RIGHT(C51,LEN(C51)-MIN(SEARCH({0,1,2,3,4,5,6,7,8,9},C51&amp;"0123456789"))+1),5)</f>
        <v>07.01</v>
      </c>
      <c r="BA51" s="142" t="str">
        <f t="shared" si="5"/>
        <v>MI</v>
      </c>
    </row>
    <row r="52" spans="2:53" s="142" customFormat="1" ht="21" customHeight="1" x14ac:dyDescent="0.25">
      <c r="B52" s="173" t="str">
        <f t="shared" si="0"/>
        <v>0-304/FH-0.90X778</v>
      </c>
      <c r="C52" s="173" t="s">
        <v>4361</v>
      </c>
      <c r="D52" s="173" t="s">
        <v>16</v>
      </c>
      <c r="E52" s="190" t="s">
        <v>3892</v>
      </c>
      <c r="F52" s="190" t="s">
        <v>3956</v>
      </c>
      <c r="G52" s="173">
        <v>304</v>
      </c>
      <c r="H52" s="173" t="s">
        <v>70</v>
      </c>
      <c r="I52" s="174">
        <v>2.95</v>
      </c>
      <c r="J52" s="174">
        <v>0.9</v>
      </c>
      <c r="K52" s="174"/>
      <c r="L52" s="174"/>
      <c r="M52" s="191">
        <v>778</v>
      </c>
      <c r="N52" s="176">
        <v>10.755000000000001</v>
      </c>
      <c r="O52" s="176">
        <v>10.755000000000001</v>
      </c>
      <c r="P52" s="176" t="s">
        <v>114</v>
      </c>
      <c r="Q52" s="178" t="s">
        <v>1210</v>
      </c>
      <c r="R52" s="179"/>
      <c r="S52" s="179"/>
      <c r="T52" s="177">
        <v>44933</v>
      </c>
      <c r="U52" s="177"/>
      <c r="V52" s="177">
        <v>44933</v>
      </c>
      <c r="W52" s="177"/>
      <c r="X52" s="177"/>
      <c r="Y52" s="177"/>
      <c r="Z52" s="177"/>
      <c r="AA52" s="177">
        <v>44926</v>
      </c>
      <c r="AB52" s="177"/>
      <c r="AC52" s="177"/>
      <c r="AD52" s="180" t="s">
        <v>1345</v>
      </c>
      <c r="AE52" s="173" t="s">
        <v>69</v>
      </c>
      <c r="AF52" s="181" t="s">
        <v>142</v>
      </c>
      <c r="AG52" s="181" t="s">
        <v>1346</v>
      </c>
      <c r="AH52" s="181"/>
      <c r="AI52" s="181">
        <v>44813</v>
      </c>
      <c r="AJ52" s="181"/>
      <c r="AK52" s="181">
        <f t="shared" ca="1" si="1"/>
        <v>44958</v>
      </c>
      <c r="AL52" s="173">
        <f t="shared" ca="1" si="2"/>
        <v>145</v>
      </c>
      <c r="AM52" s="173" t="str">
        <f t="shared" si="3"/>
        <v/>
      </c>
      <c r="AN52" s="181"/>
      <c r="AO52" s="190" t="s">
        <v>3894</v>
      </c>
      <c r="AP52" s="176">
        <v>21.414999999999999</v>
      </c>
      <c r="AQ52" s="176">
        <v>21.475000000000001</v>
      </c>
      <c r="AR52" s="176">
        <v>21.500000000000004</v>
      </c>
      <c r="AS52" s="176">
        <v>21.505000000000003</v>
      </c>
      <c r="AT52" s="173">
        <f t="shared" ca="1" si="4"/>
        <v>25</v>
      </c>
      <c r="AU52" s="173">
        <v>451</v>
      </c>
      <c r="AW52" s="142" t="s">
        <v>123</v>
      </c>
      <c r="AX52" s="142" t="str">
        <f>LEFT(RIGHT(C52,LEN(C52)-MIN(SEARCH({0,1,2,3,4,5,6,7,8,9},C52&amp;"0123456789"))+1),2)</f>
        <v>07</v>
      </c>
      <c r="AY52" s="142">
        <v>2</v>
      </c>
      <c r="AZ52" s="142" t="str">
        <f>LEFT(RIGHT(C52,LEN(C52)-MIN(SEARCH({0,1,2,3,4,5,6,7,8,9},C52&amp;"0123456789"))+1),5)</f>
        <v>07.01</v>
      </c>
      <c r="BA52" s="142" t="str">
        <f t="shared" si="5"/>
        <v>MI</v>
      </c>
    </row>
    <row r="53" spans="2:53" s="142" customFormat="1" ht="21" customHeight="1" x14ac:dyDescent="0.25">
      <c r="B53" s="173" t="str">
        <f t="shared" si="0"/>
        <v>0-304L/FH-1.15X766</v>
      </c>
      <c r="C53" s="173" t="s">
        <v>4361</v>
      </c>
      <c r="D53" s="173" t="s">
        <v>16</v>
      </c>
      <c r="E53" s="190" t="s">
        <v>1579</v>
      </c>
      <c r="F53" s="190" t="s">
        <v>3957</v>
      </c>
      <c r="G53" s="173" t="s">
        <v>182</v>
      </c>
      <c r="H53" s="173" t="s">
        <v>70</v>
      </c>
      <c r="I53" s="174">
        <v>3.4</v>
      </c>
      <c r="J53" s="174">
        <v>1.1499999999999999</v>
      </c>
      <c r="K53" s="174"/>
      <c r="L53" s="174"/>
      <c r="M53" s="191">
        <v>766</v>
      </c>
      <c r="N53" s="176">
        <v>10.385</v>
      </c>
      <c r="O53" s="176">
        <v>10.385</v>
      </c>
      <c r="P53" s="176" t="s">
        <v>114</v>
      </c>
      <c r="Q53" s="178" t="s">
        <v>1210</v>
      </c>
      <c r="R53" s="179"/>
      <c r="S53" s="179"/>
      <c r="T53" s="177">
        <v>44933</v>
      </c>
      <c r="U53" s="177"/>
      <c r="V53" s="177">
        <v>44933</v>
      </c>
      <c r="W53" s="177"/>
      <c r="X53" s="177"/>
      <c r="Y53" s="177"/>
      <c r="Z53" s="177"/>
      <c r="AA53" s="177">
        <v>44930</v>
      </c>
      <c r="AB53" s="177"/>
      <c r="AC53" s="177"/>
      <c r="AD53" s="180" t="s">
        <v>1345</v>
      </c>
      <c r="AE53" s="173" t="s">
        <v>69</v>
      </c>
      <c r="AF53" s="181" t="s">
        <v>142</v>
      </c>
      <c r="AG53" s="192" t="s">
        <v>1508</v>
      </c>
      <c r="AH53" s="198"/>
      <c r="AI53" s="181">
        <v>44849</v>
      </c>
      <c r="AJ53" s="181"/>
      <c r="AK53" s="181">
        <f t="shared" ca="1" si="1"/>
        <v>44958</v>
      </c>
      <c r="AL53" s="173">
        <f t="shared" ca="1" si="2"/>
        <v>109</v>
      </c>
      <c r="AM53" s="173" t="str">
        <f t="shared" si="3"/>
        <v/>
      </c>
      <c r="AN53" s="181"/>
      <c r="AO53" s="190" t="s">
        <v>1581</v>
      </c>
      <c r="AP53" s="176">
        <v>20.74</v>
      </c>
      <c r="AQ53" s="176">
        <v>20.8</v>
      </c>
      <c r="AR53" s="176">
        <v>20.825000000000003</v>
      </c>
      <c r="AS53" s="176">
        <v>20.830000000000002</v>
      </c>
      <c r="AT53" s="173">
        <f t="shared" ca="1" si="4"/>
        <v>25</v>
      </c>
      <c r="AU53" s="173">
        <v>456</v>
      </c>
      <c r="AW53" s="142" t="s">
        <v>123</v>
      </c>
      <c r="AX53" s="142" t="str">
        <f>LEFT(RIGHT(C53,LEN(C53)-MIN(SEARCH({0,1,2,3,4,5,6,7,8,9},C53&amp;"0123456789"))+1),2)</f>
        <v>07</v>
      </c>
      <c r="AY53" s="142">
        <v>2</v>
      </c>
      <c r="AZ53" s="142" t="str">
        <f>LEFT(RIGHT(C53,LEN(C53)-MIN(SEARCH({0,1,2,3,4,5,6,7,8,9},C53&amp;"0123456789"))+1),5)</f>
        <v>07.01</v>
      </c>
      <c r="BA53" s="142" t="str">
        <f t="shared" si="5"/>
        <v>MI</v>
      </c>
    </row>
    <row r="54" spans="2:53" s="142" customFormat="1" ht="21" customHeight="1" x14ac:dyDescent="0.25">
      <c r="B54" s="173" t="str">
        <f t="shared" si="0"/>
        <v>0-304/FH-0.40X642</v>
      </c>
      <c r="C54" s="173" t="s">
        <v>4362</v>
      </c>
      <c r="D54" s="173" t="s">
        <v>16</v>
      </c>
      <c r="E54" s="190" t="s">
        <v>1621</v>
      </c>
      <c r="F54" s="190" t="s">
        <v>3990</v>
      </c>
      <c r="G54" s="173">
        <v>304</v>
      </c>
      <c r="H54" s="173" t="s">
        <v>70</v>
      </c>
      <c r="I54" s="174">
        <v>2.4900000000000002</v>
      </c>
      <c r="J54" s="174">
        <v>0.4</v>
      </c>
      <c r="K54" s="174"/>
      <c r="L54" s="174"/>
      <c r="M54" s="191">
        <v>642</v>
      </c>
      <c r="N54" s="176">
        <v>8.2100000000000009</v>
      </c>
      <c r="O54" s="176">
        <v>8.2100000000000009</v>
      </c>
      <c r="P54" s="176" t="s">
        <v>114</v>
      </c>
      <c r="Q54" s="178" t="s">
        <v>1344</v>
      </c>
      <c r="R54" s="179"/>
      <c r="S54" s="179"/>
      <c r="T54" s="177">
        <v>44933</v>
      </c>
      <c r="U54" s="177"/>
      <c r="V54" s="177">
        <v>44934</v>
      </c>
      <c r="W54" s="177"/>
      <c r="X54" s="177"/>
      <c r="Y54" s="177"/>
      <c r="Z54" s="177"/>
      <c r="AA54" s="177"/>
      <c r="AB54" s="177"/>
      <c r="AC54" s="177"/>
      <c r="AD54" s="180" t="s">
        <v>1619</v>
      </c>
      <c r="AE54" s="173" t="s">
        <v>69</v>
      </c>
      <c r="AF54" s="181" t="s">
        <v>142</v>
      </c>
      <c r="AG54" s="181" t="s">
        <v>1594</v>
      </c>
      <c r="AH54" s="181"/>
      <c r="AI54" s="181">
        <v>44849</v>
      </c>
      <c r="AJ54" s="181"/>
      <c r="AK54" s="181">
        <f t="shared" ca="1" si="1"/>
        <v>44958</v>
      </c>
      <c r="AL54" s="173">
        <f t="shared" ca="1" si="2"/>
        <v>109</v>
      </c>
      <c r="AM54" s="173" t="str">
        <f t="shared" si="3"/>
        <v/>
      </c>
      <c r="AN54" s="181"/>
      <c r="AO54" s="190" t="s">
        <v>1620</v>
      </c>
      <c r="AP54" s="176">
        <v>10.68</v>
      </c>
      <c r="AQ54" s="176">
        <v>10.69</v>
      </c>
      <c r="AR54" s="176">
        <v>10.714999999999998</v>
      </c>
      <c r="AS54" s="176">
        <v>10.719999999999999</v>
      </c>
      <c r="AT54" s="173">
        <f t="shared" ca="1" si="4"/>
        <v>24</v>
      </c>
      <c r="AU54" s="173">
        <v>456</v>
      </c>
      <c r="AW54" s="142" t="s">
        <v>123</v>
      </c>
      <c r="AX54" s="142" t="str">
        <f>LEFT(RIGHT(C54,LEN(C54)-MIN(SEARCH({0,1,2,3,4,5,6,7,8,9},C54&amp;"0123456789"))+1),2)</f>
        <v>08</v>
      </c>
      <c r="AY54" s="142">
        <v>1</v>
      </c>
      <c r="AZ54" s="142" t="str">
        <f>LEFT(RIGHT(C54,LEN(C54)-MIN(SEARCH({0,1,2,3,4,5,6,7,8,9},C54&amp;"0123456789"))+1),5)</f>
        <v>08.01</v>
      </c>
      <c r="BA54" s="142" t="str">
        <f t="shared" si="5"/>
        <v>MI</v>
      </c>
    </row>
    <row r="55" spans="2:53" s="142" customFormat="1" ht="21" customHeight="1" x14ac:dyDescent="0.25">
      <c r="B55" s="173" t="str">
        <f t="shared" si="0"/>
        <v>0-304/FH-1.15X777</v>
      </c>
      <c r="C55" s="173" t="s">
        <v>4362</v>
      </c>
      <c r="D55" s="173" t="s">
        <v>16</v>
      </c>
      <c r="E55" s="190" t="s">
        <v>3945</v>
      </c>
      <c r="F55" s="190" t="s">
        <v>3955</v>
      </c>
      <c r="G55" s="173">
        <v>304</v>
      </c>
      <c r="H55" s="173" t="s">
        <v>70</v>
      </c>
      <c r="I55" s="174">
        <v>3.49</v>
      </c>
      <c r="J55" s="174">
        <v>1.1499999999999999</v>
      </c>
      <c r="K55" s="174"/>
      <c r="L55" s="174"/>
      <c r="M55" s="191">
        <v>777</v>
      </c>
      <c r="N55" s="176">
        <v>10.79</v>
      </c>
      <c r="O55" s="176">
        <v>10.79</v>
      </c>
      <c r="P55" s="176" t="s">
        <v>114</v>
      </c>
      <c r="Q55" s="178" t="s">
        <v>1210</v>
      </c>
      <c r="R55" s="179"/>
      <c r="S55" s="179"/>
      <c r="T55" s="177">
        <v>44933</v>
      </c>
      <c r="U55" s="177"/>
      <c r="V55" s="177">
        <v>44934</v>
      </c>
      <c r="W55" s="177"/>
      <c r="X55" s="177"/>
      <c r="Y55" s="177"/>
      <c r="Z55" s="177"/>
      <c r="AA55" s="177">
        <v>44929</v>
      </c>
      <c r="AB55" s="177"/>
      <c r="AC55" s="177"/>
      <c r="AD55" s="180" t="s">
        <v>1345</v>
      </c>
      <c r="AE55" s="173" t="s">
        <v>69</v>
      </c>
      <c r="AF55" s="181" t="s">
        <v>142</v>
      </c>
      <c r="AG55" s="181" t="s">
        <v>1346</v>
      </c>
      <c r="AH55" s="181"/>
      <c r="AI55" s="181">
        <v>44813</v>
      </c>
      <c r="AJ55" s="181"/>
      <c r="AK55" s="181">
        <f t="shared" ca="1" si="1"/>
        <v>44958</v>
      </c>
      <c r="AL55" s="173">
        <f t="shared" ca="1" si="2"/>
        <v>145</v>
      </c>
      <c r="AM55" s="173" t="str">
        <f t="shared" si="3"/>
        <v/>
      </c>
      <c r="AN55" s="181"/>
      <c r="AO55" s="190" t="s">
        <v>3947</v>
      </c>
      <c r="AP55" s="176">
        <v>21.434999999999999</v>
      </c>
      <c r="AQ55" s="176">
        <v>21.495000000000001</v>
      </c>
      <c r="AR55" s="176">
        <v>21.520000000000003</v>
      </c>
      <c r="AS55" s="176">
        <v>21.525000000000002</v>
      </c>
      <c r="AT55" s="173">
        <f t="shared" ca="1" si="4"/>
        <v>24</v>
      </c>
      <c r="AU55" s="173">
        <v>451</v>
      </c>
      <c r="AW55" s="142" t="s">
        <v>123</v>
      </c>
      <c r="AX55" s="142" t="str">
        <f>LEFT(RIGHT(C55,LEN(C55)-MIN(SEARCH({0,1,2,3,4,5,6,7,8,9},C55&amp;"0123456789"))+1),2)</f>
        <v>08</v>
      </c>
      <c r="AY55" s="142">
        <v>1</v>
      </c>
      <c r="AZ55" s="142" t="str">
        <f>LEFT(RIGHT(C55,LEN(C55)-MIN(SEARCH({0,1,2,3,4,5,6,7,8,9},C55&amp;"0123456789"))+1),5)</f>
        <v>08.01</v>
      </c>
      <c r="BA55" s="142" t="str">
        <f t="shared" si="5"/>
        <v>MI</v>
      </c>
    </row>
    <row r="56" spans="2:53" s="142" customFormat="1" ht="21" customHeight="1" x14ac:dyDescent="0.25">
      <c r="B56" s="173" t="str">
        <f t="shared" si="0"/>
        <v>0-304/FH-1.95X767</v>
      </c>
      <c r="C56" s="173" t="s">
        <v>4362</v>
      </c>
      <c r="D56" s="173" t="s">
        <v>16</v>
      </c>
      <c r="E56" s="190" t="s">
        <v>3958</v>
      </c>
      <c r="F56" s="190" t="s">
        <v>3959</v>
      </c>
      <c r="G56" s="173">
        <v>304</v>
      </c>
      <c r="H56" s="173" t="s">
        <v>70</v>
      </c>
      <c r="I56" s="174">
        <v>3.95</v>
      </c>
      <c r="J56" s="174">
        <v>1.95</v>
      </c>
      <c r="K56" s="174"/>
      <c r="L56" s="174"/>
      <c r="M56" s="191">
        <v>767</v>
      </c>
      <c r="N56" s="176">
        <v>10.41</v>
      </c>
      <c r="O56" s="176">
        <v>10.41</v>
      </c>
      <c r="P56" s="176" t="s">
        <v>114</v>
      </c>
      <c r="Q56" s="178" t="s">
        <v>1210</v>
      </c>
      <c r="R56" s="179"/>
      <c r="S56" s="179"/>
      <c r="T56" s="177">
        <v>44933</v>
      </c>
      <c r="U56" s="177"/>
      <c r="V56" s="177">
        <v>44934</v>
      </c>
      <c r="W56" s="177"/>
      <c r="X56" s="177"/>
      <c r="Y56" s="177"/>
      <c r="Z56" s="177"/>
      <c r="AA56" s="177"/>
      <c r="AB56" s="177"/>
      <c r="AC56" s="177"/>
      <c r="AD56" s="180" t="s">
        <v>1345</v>
      </c>
      <c r="AE56" s="173" t="s">
        <v>69</v>
      </c>
      <c r="AF56" s="181" t="s">
        <v>142</v>
      </c>
      <c r="AG56" s="192" t="s">
        <v>2283</v>
      </c>
      <c r="AH56" s="198"/>
      <c r="AI56" s="181">
        <v>44880</v>
      </c>
      <c r="AJ56" s="181"/>
      <c r="AK56" s="181">
        <f t="shared" ca="1" si="1"/>
        <v>44958</v>
      </c>
      <c r="AL56" s="173">
        <f t="shared" ca="1" si="2"/>
        <v>78</v>
      </c>
      <c r="AM56" s="173" t="str">
        <f t="shared" si="3"/>
        <v/>
      </c>
      <c r="AN56" s="181"/>
      <c r="AO56" s="190" t="s">
        <v>3960</v>
      </c>
      <c r="AP56" s="176">
        <v>10.41</v>
      </c>
      <c r="AQ56" s="176">
        <v>10.42</v>
      </c>
      <c r="AR56" s="176">
        <v>10.444999999999999</v>
      </c>
      <c r="AS56" s="176">
        <v>10.45</v>
      </c>
      <c r="AT56" s="173">
        <f t="shared" ca="1" si="4"/>
        <v>24</v>
      </c>
      <c r="AU56" s="173">
        <v>459</v>
      </c>
      <c r="AW56" s="142" t="s">
        <v>123</v>
      </c>
      <c r="AX56" s="142" t="str">
        <f>LEFT(RIGHT(C56,LEN(C56)-MIN(SEARCH({0,1,2,3,4,5,6,7,8,9},C56&amp;"0123456789"))+1),2)</f>
        <v>08</v>
      </c>
      <c r="AY56" s="142">
        <v>1</v>
      </c>
      <c r="AZ56" s="142" t="str">
        <f>LEFT(RIGHT(C56,LEN(C56)-MIN(SEARCH({0,1,2,3,4,5,6,7,8,9},C56&amp;"0123456789"))+1),5)</f>
        <v>08.01</v>
      </c>
      <c r="BA56" s="142" t="str">
        <f t="shared" si="5"/>
        <v>MI</v>
      </c>
    </row>
    <row r="57" spans="2:53" s="142" customFormat="1" ht="21" customHeight="1" x14ac:dyDescent="0.25">
      <c r="B57" s="173" t="str">
        <f t="shared" si="0"/>
        <v>0-304L/FH-1.15X765</v>
      </c>
      <c r="C57" s="173" t="s">
        <v>4362</v>
      </c>
      <c r="D57" s="173" t="s">
        <v>16</v>
      </c>
      <c r="E57" s="190" t="s">
        <v>1586</v>
      </c>
      <c r="F57" s="190" t="s">
        <v>3964</v>
      </c>
      <c r="G57" s="173" t="s">
        <v>182</v>
      </c>
      <c r="H57" s="173" t="s">
        <v>70</v>
      </c>
      <c r="I57" s="174">
        <v>3.57</v>
      </c>
      <c r="J57" s="174">
        <v>1.1499999999999999</v>
      </c>
      <c r="K57" s="174"/>
      <c r="L57" s="174"/>
      <c r="M57" s="191">
        <v>765</v>
      </c>
      <c r="N57" s="176">
        <v>10.48</v>
      </c>
      <c r="O57" s="176">
        <v>10.48</v>
      </c>
      <c r="P57" s="176" t="s">
        <v>114</v>
      </c>
      <c r="Q57" s="178" t="s">
        <v>1210</v>
      </c>
      <c r="R57" s="179"/>
      <c r="S57" s="179"/>
      <c r="T57" s="177">
        <v>44934</v>
      </c>
      <c r="U57" s="177"/>
      <c r="V57" s="177">
        <v>44934</v>
      </c>
      <c r="W57" s="177"/>
      <c r="X57" s="177"/>
      <c r="Y57" s="177"/>
      <c r="Z57" s="177"/>
      <c r="AA57" s="177">
        <v>44929</v>
      </c>
      <c r="AB57" s="177"/>
      <c r="AC57" s="177"/>
      <c r="AD57" s="180" t="s">
        <v>1345</v>
      </c>
      <c r="AE57" s="173" t="s">
        <v>69</v>
      </c>
      <c r="AF57" s="181" t="s">
        <v>142</v>
      </c>
      <c r="AG57" s="192" t="s">
        <v>1508</v>
      </c>
      <c r="AH57" s="198"/>
      <c r="AI57" s="181">
        <v>44849</v>
      </c>
      <c r="AJ57" s="181"/>
      <c r="AK57" s="181">
        <f t="shared" ca="1" si="1"/>
        <v>44958</v>
      </c>
      <c r="AL57" s="173">
        <f t="shared" ca="1" si="2"/>
        <v>109</v>
      </c>
      <c r="AM57" s="173" t="str">
        <f t="shared" si="3"/>
        <v/>
      </c>
      <c r="AN57" s="181"/>
      <c r="AO57" s="190" t="s">
        <v>1588</v>
      </c>
      <c r="AP57" s="176">
        <v>20.92</v>
      </c>
      <c r="AQ57" s="176">
        <v>20.98</v>
      </c>
      <c r="AR57" s="176">
        <v>21.005000000000003</v>
      </c>
      <c r="AS57" s="176">
        <v>21.01</v>
      </c>
      <c r="AT57" s="173">
        <f t="shared" ca="1" si="4"/>
        <v>24</v>
      </c>
      <c r="AU57" s="173">
        <v>456</v>
      </c>
      <c r="AW57" s="142" t="s">
        <v>123</v>
      </c>
      <c r="AX57" s="142" t="str">
        <f>LEFT(RIGHT(C57,LEN(C57)-MIN(SEARCH({0,1,2,3,4,5,6,7,8,9},C57&amp;"0123456789"))+1),2)</f>
        <v>08</v>
      </c>
      <c r="AY57" s="142">
        <v>2</v>
      </c>
      <c r="AZ57" s="142" t="str">
        <f>LEFT(RIGHT(C57,LEN(C57)-MIN(SEARCH({0,1,2,3,4,5,6,7,8,9},C57&amp;"0123456789"))+1),5)</f>
        <v>08.01</v>
      </c>
      <c r="BA57" s="142" t="str">
        <f t="shared" si="5"/>
        <v>MI</v>
      </c>
    </row>
    <row r="58" spans="2:53" s="142" customFormat="1" ht="21" customHeight="1" x14ac:dyDescent="0.25">
      <c r="B58" s="173" t="str">
        <f t="shared" si="0"/>
        <v>0-304L/FH-1.45X774</v>
      </c>
      <c r="C58" s="173" t="s">
        <v>4362</v>
      </c>
      <c r="D58" s="173" t="s">
        <v>16</v>
      </c>
      <c r="E58" s="190" t="s">
        <v>3972</v>
      </c>
      <c r="F58" s="190" t="s">
        <v>3973</v>
      </c>
      <c r="G58" s="173" t="s">
        <v>182</v>
      </c>
      <c r="H58" s="173" t="s">
        <v>70</v>
      </c>
      <c r="I58" s="174">
        <v>3.79</v>
      </c>
      <c r="J58" s="174">
        <v>1.45</v>
      </c>
      <c r="K58" s="174"/>
      <c r="L58" s="174"/>
      <c r="M58" s="191">
        <v>774</v>
      </c>
      <c r="N58" s="176">
        <v>11.88</v>
      </c>
      <c r="O58" s="176">
        <v>11.88</v>
      </c>
      <c r="P58" s="176" t="s">
        <v>114</v>
      </c>
      <c r="Q58" s="178" t="s">
        <v>1210</v>
      </c>
      <c r="R58" s="179"/>
      <c r="S58" s="179"/>
      <c r="T58" s="177">
        <v>44934</v>
      </c>
      <c r="U58" s="177"/>
      <c r="V58" s="177">
        <v>44934</v>
      </c>
      <c r="W58" s="177"/>
      <c r="X58" s="177"/>
      <c r="Y58" s="177"/>
      <c r="Z58" s="177"/>
      <c r="AA58" s="177"/>
      <c r="AB58" s="177"/>
      <c r="AC58" s="177"/>
      <c r="AD58" s="180" t="s">
        <v>1345</v>
      </c>
      <c r="AE58" s="173" t="s">
        <v>69</v>
      </c>
      <c r="AF58" s="181" t="s">
        <v>142</v>
      </c>
      <c r="AG58" s="192" t="s">
        <v>1653</v>
      </c>
      <c r="AH58" s="198"/>
      <c r="AI58" s="181">
        <v>44880</v>
      </c>
      <c r="AJ58" s="181"/>
      <c r="AK58" s="181">
        <f t="shared" ca="1" si="1"/>
        <v>44958</v>
      </c>
      <c r="AL58" s="173">
        <f t="shared" ca="1" si="2"/>
        <v>78</v>
      </c>
      <c r="AM58" s="173" t="str">
        <f t="shared" si="3"/>
        <v/>
      </c>
      <c r="AN58" s="181"/>
      <c r="AO58" s="190" t="s">
        <v>3974</v>
      </c>
      <c r="AP58" s="176">
        <v>11.88</v>
      </c>
      <c r="AQ58" s="176">
        <v>11.89</v>
      </c>
      <c r="AR58" s="176">
        <v>11.914999999999999</v>
      </c>
      <c r="AS58" s="176">
        <v>11.92</v>
      </c>
      <c r="AT58" s="173">
        <f t="shared" ca="1" si="4"/>
        <v>24</v>
      </c>
      <c r="AU58" s="173">
        <v>459</v>
      </c>
      <c r="AW58" s="142" t="s">
        <v>123</v>
      </c>
      <c r="AX58" s="142" t="str">
        <f>LEFT(RIGHT(C58,LEN(C58)-MIN(SEARCH({0,1,2,3,4,5,6,7,8,9},C58&amp;"0123456789"))+1),2)</f>
        <v>08</v>
      </c>
      <c r="AY58" s="142">
        <v>2</v>
      </c>
      <c r="AZ58" s="142" t="str">
        <f>LEFT(RIGHT(C58,LEN(C58)-MIN(SEARCH({0,1,2,3,4,5,6,7,8,9},C58&amp;"0123456789"))+1),5)</f>
        <v>08.01</v>
      </c>
      <c r="BA58" s="142" t="str">
        <f t="shared" si="5"/>
        <v>MI</v>
      </c>
    </row>
    <row r="59" spans="2:53" s="142" customFormat="1" ht="21" customHeight="1" x14ac:dyDescent="0.25">
      <c r="B59" s="173" t="str">
        <f t="shared" si="0"/>
        <v>0-304/FH-0.90X777</v>
      </c>
      <c r="C59" s="173" t="s">
        <v>4362</v>
      </c>
      <c r="D59" s="173" t="s">
        <v>16</v>
      </c>
      <c r="E59" s="190" t="s">
        <v>1342</v>
      </c>
      <c r="F59" s="190" t="s">
        <v>1349</v>
      </c>
      <c r="G59" s="173">
        <v>304</v>
      </c>
      <c r="H59" s="173" t="s">
        <v>70</v>
      </c>
      <c r="I59" s="174">
        <v>2.94</v>
      </c>
      <c r="J59" s="174">
        <v>0.9</v>
      </c>
      <c r="K59" s="174"/>
      <c r="L59" s="174"/>
      <c r="M59" s="191">
        <v>777</v>
      </c>
      <c r="N59" s="176">
        <v>10.73</v>
      </c>
      <c r="O59" s="176">
        <v>10.73</v>
      </c>
      <c r="P59" s="176" t="s">
        <v>114</v>
      </c>
      <c r="Q59" s="178" t="s">
        <v>1210</v>
      </c>
      <c r="R59" s="179"/>
      <c r="S59" s="179"/>
      <c r="T59" s="177">
        <v>44933</v>
      </c>
      <c r="U59" s="177"/>
      <c r="V59" s="177">
        <v>44934</v>
      </c>
      <c r="W59" s="177"/>
      <c r="X59" s="177"/>
      <c r="Y59" s="177"/>
      <c r="Z59" s="177"/>
      <c r="AA59" s="177">
        <v>44928</v>
      </c>
      <c r="AB59" s="177"/>
      <c r="AC59" s="177"/>
      <c r="AD59" s="180" t="s">
        <v>1345</v>
      </c>
      <c r="AE59" s="173" t="s">
        <v>69</v>
      </c>
      <c r="AF59" s="181" t="s">
        <v>142</v>
      </c>
      <c r="AG59" s="181" t="s">
        <v>1346</v>
      </c>
      <c r="AH59" s="181"/>
      <c r="AI59" s="181">
        <v>44813</v>
      </c>
      <c r="AJ59" s="181"/>
      <c r="AK59" s="181">
        <f t="shared" ca="1" si="1"/>
        <v>44958</v>
      </c>
      <c r="AL59" s="173">
        <f t="shared" ca="1" si="2"/>
        <v>145</v>
      </c>
      <c r="AM59" s="173" t="str">
        <f t="shared" si="3"/>
        <v/>
      </c>
      <c r="AN59" s="181"/>
      <c r="AO59" s="190" t="s">
        <v>1347</v>
      </c>
      <c r="AP59" s="176">
        <v>21.414999999999999</v>
      </c>
      <c r="AQ59" s="176">
        <v>21.475000000000001</v>
      </c>
      <c r="AR59" s="176">
        <v>21.500000000000004</v>
      </c>
      <c r="AS59" s="176">
        <v>21.505000000000003</v>
      </c>
      <c r="AT59" s="173">
        <f t="shared" ca="1" si="4"/>
        <v>24</v>
      </c>
      <c r="AU59" s="173">
        <v>451</v>
      </c>
      <c r="AW59" s="142" t="s">
        <v>123</v>
      </c>
      <c r="AX59" s="142" t="str">
        <f>LEFT(RIGHT(C59,LEN(C59)-MIN(SEARCH({0,1,2,3,4,5,6,7,8,9},C59&amp;"0123456789"))+1),2)</f>
        <v>08</v>
      </c>
      <c r="AY59" s="142">
        <v>2</v>
      </c>
      <c r="AZ59" s="142" t="str">
        <f>LEFT(RIGHT(C59,LEN(C59)-MIN(SEARCH({0,1,2,3,4,5,6,7,8,9},C59&amp;"0123456789"))+1),5)</f>
        <v>08.01</v>
      </c>
      <c r="BA59" s="142" t="str">
        <f t="shared" si="5"/>
        <v>MI</v>
      </c>
    </row>
    <row r="60" spans="2:53" s="142" customFormat="1" ht="21" customHeight="1" x14ac:dyDescent="0.25">
      <c r="B60" s="173" t="str">
        <f t="shared" si="0"/>
        <v>0-304/FH-1.00X777</v>
      </c>
      <c r="C60" s="173" t="s">
        <v>4362</v>
      </c>
      <c r="D60" s="173" t="s">
        <v>16</v>
      </c>
      <c r="E60" s="190" t="s">
        <v>3880</v>
      </c>
      <c r="F60" s="190" t="s">
        <v>3978</v>
      </c>
      <c r="G60" s="173">
        <v>304</v>
      </c>
      <c r="H60" s="173" t="s">
        <v>70</v>
      </c>
      <c r="I60" s="174">
        <v>2.96</v>
      </c>
      <c r="J60" s="174">
        <v>1</v>
      </c>
      <c r="K60" s="174"/>
      <c r="L60" s="174"/>
      <c r="M60" s="191">
        <v>777</v>
      </c>
      <c r="N60" s="176">
        <v>10.7</v>
      </c>
      <c r="O60" s="176">
        <v>10.7</v>
      </c>
      <c r="P60" s="176" t="s">
        <v>114</v>
      </c>
      <c r="Q60" s="178" t="s">
        <v>1210</v>
      </c>
      <c r="R60" s="179"/>
      <c r="S60" s="179"/>
      <c r="T60" s="177">
        <v>44934</v>
      </c>
      <c r="U60" s="177"/>
      <c r="V60" s="177">
        <v>44934</v>
      </c>
      <c r="W60" s="177"/>
      <c r="X60" s="177"/>
      <c r="Y60" s="177"/>
      <c r="Z60" s="177"/>
      <c r="AA60" s="177">
        <v>44926</v>
      </c>
      <c r="AB60" s="177"/>
      <c r="AC60" s="177"/>
      <c r="AD60" s="180" t="s">
        <v>1345</v>
      </c>
      <c r="AE60" s="173" t="s">
        <v>69</v>
      </c>
      <c r="AF60" s="181" t="s">
        <v>142</v>
      </c>
      <c r="AG60" s="181" t="s">
        <v>1346</v>
      </c>
      <c r="AH60" s="181"/>
      <c r="AI60" s="181">
        <v>44813</v>
      </c>
      <c r="AJ60" s="181"/>
      <c r="AK60" s="181">
        <f t="shared" ca="1" si="1"/>
        <v>44958</v>
      </c>
      <c r="AL60" s="173">
        <f t="shared" ca="1" si="2"/>
        <v>145</v>
      </c>
      <c r="AM60" s="173" t="str">
        <f t="shared" si="3"/>
        <v/>
      </c>
      <c r="AN60" s="181"/>
      <c r="AO60" s="190" t="s">
        <v>3882</v>
      </c>
      <c r="AP60" s="176">
        <v>21.445</v>
      </c>
      <c r="AQ60" s="176">
        <v>21.504999999999999</v>
      </c>
      <c r="AR60" s="176">
        <v>21.53</v>
      </c>
      <c r="AS60" s="176">
        <v>21.535</v>
      </c>
      <c r="AT60" s="173">
        <f t="shared" ca="1" si="4"/>
        <v>24</v>
      </c>
      <c r="AU60" s="173">
        <v>451</v>
      </c>
      <c r="AW60" s="142" t="s">
        <v>123</v>
      </c>
      <c r="AX60" s="142" t="str">
        <f>LEFT(RIGHT(C60,LEN(C60)-MIN(SEARCH({0,1,2,3,4,5,6,7,8,9},C60&amp;"0123456789"))+1),2)</f>
        <v>08</v>
      </c>
      <c r="AY60" s="142">
        <v>3</v>
      </c>
      <c r="AZ60" s="142" t="str">
        <f>LEFT(RIGHT(C60,LEN(C60)-MIN(SEARCH({0,1,2,3,4,5,6,7,8,9},C60&amp;"0123456789"))+1),5)</f>
        <v>08.01</v>
      </c>
      <c r="BA60" s="142" t="str">
        <f t="shared" si="5"/>
        <v>MI</v>
      </c>
    </row>
    <row r="61" spans="2:53" s="142" customFormat="1" ht="21" customHeight="1" x14ac:dyDescent="0.25">
      <c r="B61" s="173" t="str">
        <f t="shared" si="0"/>
        <v>0-304L/FH-0.90X768</v>
      </c>
      <c r="C61" s="173" t="s">
        <v>4362</v>
      </c>
      <c r="D61" s="173" t="s">
        <v>16</v>
      </c>
      <c r="E61" s="190" t="s">
        <v>3906</v>
      </c>
      <c r="F61" s="190" t="s">
        <v>3979</v>
      </c>
      <c r="G61" s="173" t="s">
        <v>182</v>
      </c>
      <c r="H61" s="173" t="s">
        <v>70</v>
      </c>
      <c r="I61" s="174">
        <v>2.92</v>
      </c>
      <c r="J61" s="174">
        <v>0.9</v>
      </c>
      <c r="K61" s="174"/>
      <c r="L61" s="174"/>
      <c r="M61" s="191">
        <v>768</v>
      </c>
      <c r="N61" s="176">
        <v>12.25</v>
      </c>
      <c r="O61" s="176">
        <v>12.25</v>
      </c>
      <c r="P61" s="176" t="s">
        <v>114</v>
      </c>
      <c r="Q61" s="178" t="s">
        <v>1546</v>
      </c>
      <c r="R61" s="179"/>
      <c r="S61" s="179"/>
      <c r="T61" s="177">
        <v>44934</v>
      </c>
      <c r="U61" s="177"/>
      <c r="V61" s="177">
        <v>44934</v>
      </c>
      <c r="W61" s="177"/>
      <c r="X61" s="177"/>
      <c r="Y61" s="177"/>
      <c r="Z61" s="177"/>
      <c r="AA61" s="177">
        <v>44930</v>
      </c>
      <c r="AB61" s="177"/>
      <c r="AC61" s="177"/>
      <c r="AD61" s="180" t="s">
        <v>1345</v>
      </c>
      <c r="AE61" s="173" t="s">
        <v>69</v>
      </c>
      <c r="AF61" s="181" t="s">
        <v>142</v>
      </c>
      <c r="AG61" s="192" t="s">
        <v>1508</v>
      </c>
      <c r="AH61" s="198"/>
      <c r="AI61" s="181">
        <v>44849</v>
      </c>
      <c r="AJ61" s="181"/>
      <c r="AK61" s="181">
        <f t="shared" ca="1" si="1"/>
        <v>44958</v>
      </c>
      <c r="AL61" s="173">
        <f t="shared" ca="1" si="2"/>
        <v>109</v>
      </c>
      <c r="AM61" s="173" t="str">
        <f t="shared" si="3"/>
        <v/>
      </c>
      <c r="AN61" s="181"/>
      <c r="AO61" s="190" t="s">
        <v>3908</v>
      </c>
      <c r="AP61" s="176">
        <v>24.495000000000001</v>
      </c>
      <c r="AQ61" s="176">
        <v>24.555</v>
      </c>
      <c r="AR61" s="176">
        <v>24.580000000000002</v>
      </c>
      <c r="AS61" s="176">
        <v>24.585000000000001</v>
      </c>
      <c r="AT61" s="173">
        <f t="shared" ca="1" si="4"/>
        <v>24</v>
      </c>
      <c r="AU61" s="173">
        <v>456</v>
      </c>
      <c r="AW61" s="142" t="s">
        <v>123</v>
      </c>
      <c r="AX61" s="142" t="str">
        <f>LEFT(RIGHT(C61,LEN(C61)-MIN(SEARCH({0,1,2,3,4,5,6,7,8,9},C61&amp;"0123456789"))+1),2)</f>
        <v>08</v>
      </c>
      <c r="AY61" s="142">
        <v>3</v>
      </c>
      <c r="AZ61" s="142" t="str">
        <f>LEFT(RIGHT(C61,LEN(C61)-MIN(SEARCH({0,1,2,3,4,5,6,7,8,9},C61&amp;"0123456789"))+1),5)</f>
        <v>08.01</v>
      </c>
      <c r="BA61" s="142" t="str">
        <f t="shared" si="5"/>
        <v>MI</v>
      </c>
    </row>
    <row r="62" spans="2:53" s="142" customFormat="1" ht="21" customHeight="1" x14ac:dyDescent="0.25">
      <c r="B62" s="173" t="str">
        <f t="shared" si="0"/>
        <v>0-304L/FH-1.45X767</v>
      </c>
      <c r="C62" s="173" t="s">
        <v>4362</v>
      </c>
      <c r="D62" s="173" t="s">
        <v>16</v>
      </c>
      <c r="E62" s="190" t="s">
        <v>3975</v>
      </c>
      <c r="F62" s="190" t="s">
        <v>3986</v>
      </c>
      <c r="G62" s="173" t="s">
        <v>182</v>
      </c>
      <c r="H62" s="173" t="s">
        <v>70</v>
      </c>
      <c r="I62" s="174">
        <v>3.8</v>
      </c>
      <c r="J62" s="174">
        <v>1.45</v>
      </c>
      <c r="K62" s="174"/>
      <c r="L62" s="174"/>
      <c r="M62" s="191">
        <v>767</v>
      </c>
      <c r="N62" s="176">
        <v>4.915</v>
      </c>
      <c r="O62" s="176">
        <v>4.915</v>
      </c>
      <c r="P62" s="176" t="s">
        <v>114</v>
      </c>
      <c r="Q62" s="178" t="s">
        <v>1210</v>
      </c>
      <c r="R62" s="179"/>
      <c r="S62" s="179"/>
      <c r="T62" s="177">
        <v>44934</v>
      </c>
      <c r="U62" s="177"/>
      <c r="V62" s="177">
        <v>44934</v>
      </c>
      <c r="W62" s="177"/>
      <c r="X62" s="177"/>
      <c r="Y62" s="177"/>
      <c r="Z62" s="177"/>
      <c r="AA62" s="177">
        <v>44933</v>
      </c>
      <c r="AB62" s="177"/>
      <c r="AC62" s="177"/>
      <c r="AD62" s="180" t="s">
        <v>1507</v>
      </c>
      <c r="AE62" s="173" t="s">
        <v>69</v>
      </c>
      <c r="AF62" s="181" t="s">
        <v>142</v>
      </c>
      <c r="AG62" s="181" t="s">
        <v>1508</v>
      </c>
      <c r="AH62" s="181"/>
      <c r="AI62" s="181">
        <v>44849</v>
      </c>
      <c r="AJ62" s="181"/>
      <c r="AK62" s="181">
        <f t="shared" ca="1" si="1"/>
        <v>44958</v>
      </c>
      <c r="AL62" s="173">
        <f t="shared" ca="1" si="2"/>
        <v>109</v>
      </c>
      <c r="AM62" s="173" t="str">
        <f t="shared" si="3"/>
        <v/>
      </c>
      <c r="AN62" s="181"/>
      <c r="AO62" s="190" t="s">
        <v>3977</v>
      </c>
      <c r="AP62" s="176">
        <v>24.56</v>
      </c>
      <c r="AQ62" s="176">
        <v>24.62</v>
      </c>
      <c r="AR62" s="176">
        <v>24.645000000000003</v>
      </c>
      <c r="AS62" s="176">
        <v>24.650000000000002</v>
      </c>
      <c r="AT62" s="173">
        <f t="shared" ca="1" si="4"/>
        <v>24</v>
      </c>
      <c r="AU62" s="173">
        <v>456</v>
      </c>
      <c r="AW62" s="142" t="s">
        <v>123</v>
      </c>
      <c r="AX62" s="142" t="str">
        <f>LEFT(RIGHT(C62,LEN(C62)-MIN(SEARCH({0,1,2,3,4,5,6,7,8,9},C62&amp;"0123456789"))+1),2)</f>
        <v>08</v>
      </c>
      <c r="AY62" s="142">
        <v>3</v>
      </c>
      <c r="AZ62" s="142" t="str">
        <f>LEFT(RIGHT(C62,LEN(C62)-MIN(SEARCH({0,1,2,3,4,5,6,7,8,9},C62&amp;"0123456789"))+1),5)</f>
        <v>08.01</v>
      </c>
      <c r="BA62" s="142" t="str">
        <f t="shared" si="5"/>
        <v>MI</v>
      </c>
    </row>
    <row r="63" spans="2:53" s="142" customFormat="1" ht="21" customHeight="1" x14ac:dyDescent="0.25">
      <c r="B63" s="173" t="str">
        <f t="shared" si="0"/>
        <v>0-304/FH-1.15X778</v>
      </c>
      <c r="C63" s="173" t="s">
        <v>4362</v>
      </c>
      <c r="D63" s="173" t="s">
        <v>16</v>
      </c>
      <c r="E63" s="190" t="s">
        <v>3949</v>
      </c>
      <c r="F63" s="190" t="s">
        <v>3981</v>
      </c>
      <c r="G63" s="173">
        <v>304</v>
      </c>
      <c r="H63" s="173" t="s">
        <v>70</v>
      </c>
      <c r="I63" s="174">
        <v>3.51</v>
      </c>
      <c r="J63" s="174">
        <v>1.1499999999999999</v>
      </c>
      <c r="K63" s="174"/>
      <c r="L63" s="174"/>
      <c r="M63" s="191">
        <v>778</v>
      </c>
      <c r="N63" s="176">
        <v>10.734999999999999</v>
      </c>
      <c r="O63" s="176">
        <v>10.734999999999999</v>
      </c>
      <c r="P63" s="176" t="s">
        <v>114</v>
      </c>
      <c r="Q63" s="178" t="s">
        <v>1210</v>
      </c>
      <c r="R63" s="179"/>
      <c r="S63" s="179"/>
      <c r="T63" s="177">
        <v>44934</v>
      </c>
      <c r="U63" s="177"/>
      <c r="V63" s="177">
        <v>44934</v>
      </c>
      <c r="W63" s="177"/>
      <c r="X63" s="177"/>
      <c r="Y63" s="177"/>
      <c r="Z63" s="177"/>
      <c r="AA63" s="177">
        <v>44930</v>
      </c>
      <c r="AB63" s="177"/>
      <c r="AC63" s="177"/>
      <c r="AD63" s="180" t="s">
        <v>1345</v>
      </c>
      <c r="AE63" s="173" t="s">
        <v>69</v>
      </c>
      <c r="AF63" s="181" t="s">
        <v>142</v>
      </c>
      <c r="AG63" s="181" t="s">
        <v>1346</v>
      </c>
      <c r="AH63" s="181"/>
      <c r="AI63" s="181">
        <v>44813</v>
      </c>
      <c r="AJ63" s="181"/>
      <c r="AK63" s="181">
        <f t="shared" ca="1" si="1"/>
        <v>44958</v>
      </c>
      <c r="AL63" s="173">
        <f t="shared" ca="1" si="2"/>
        <v>145</v>
      </c>
      <c r="AM63" s="173" t="str">
        <f t="shared" si="3"/>
        <v/>
      </c>
      <c r="AN63" s="181"/>
      <c r="AO63" s="190" t="s">
        <v>3951</v>
      </c>
      <c r="AP63" s="176">
        <v>21.465</v>
      </c>
      <c r="AQ63" s="176">
        <v>21.524999999999999</v>
      </c>
      <c r="AR63" s="176">
        <v>21.55</v>
      </c>
      <c r="AS63" s="176">
        <v>21.555</v>
      </c>
      <c r="AT63" s="173">
        <f t="shared" ca="1" si="4"/>
        <v>24</v>
      </c>
      <c r="AU63" s="173">
        <v>451</v>
      </c>
      <c r="AW63" s="142" t="s">
        <v>123</v>
      </c>
      <c r="AX63" s="142" t="str">
        <f>LEFT(RIGHT(C63,LEN(C63)-MIN(SEARCH({0,1,2,3,4,5,6,7,8,9},C63&amp;"0123456789"))+1),2)</f>
        <v>08</v>
      </c>
      <c r="AY63" s="142">
        <v>3</v>
      </c>
      <c r="AZ63" s="142" t="str">
        <f>LEFT(RIGHT(C63,LEN(C63)-MIN(SEARCH({0,1,2,3,4,5,6,7,8,9},C63&amp;"0123456789"))+1),5)</f>
        <v>08.01</v>
      </c>
      <c r="BA63" s="142" t="str">
        <f t="shared" si="5"/>
        <v>MI</v>
      </c>
    </row>
    <row r="64" spans="2:53" s="142" customFormat="1" ht="21" customHeight="1" x14ac:dyDescent="0.25">
      <c r="B64" s="173" t="str">
        <f t="shared" si="0"/>
        <v>0-304/FH-0.90X780</v>
      </c>
      <c r="C64" s="173" t="s">
        <v>4363</v>
      </c>
      <c r="D64" s="173" t="s">
        <v>16</v>
      </c>
      <c r="E64" s="190" t="s">
        <v>3902</v>
      </c>
      <c r="F64" s="190" t="s">
        <v>3980</v>
      </c>
      <c r="G64" s="173">
        <v>304</v>
      </c>
      <c r="H64" s="173" t="s">
        <v>70</v>
      </c>
      <c r="I64" s="174">
        <v>2.92</v>
      </c>
      <c r="J64" s="174">
        <v>0.9</v>
      </c>
      <c r="K64" s="174"/>
      <c r="L64" s="174"/>
      <c r="M64" s="191">
        <v>780</v>
      </c>
      <c r="N64" s="176">
        <v>10.734999999999999</v>
      </c>
      <c r="O64" s="176">
        <v>10.734999999999999</v>
      </c>
      <c r="P64" s="176" t="s">
        <v>114</v>
      </c>
      <c r="Q64" s="178" t="s">
        <v>1210</v>
      </c>
      <c r="R64" s="179"/>
      <c r="S64" s="179"/>
      <c r="T64" s="177">
        <v>44934</v>
      </c>
      <c r="U64" s="177"/>
      <c r="V64" s="177">
        <v>44935</v>
      </c>
      <c r="W64" s="177"/>
      <c r="X64" s="177"/>
      <c r="Y64" s="177"/>
      <c r="Z64" s="177"/>
      <c r="AA64" s="177">
        <v>44929</v>
      </c>
      <c r="AB64" s="177"/>
      <c r="AC64" s="177"/>
      <c r="AD64" s="180" t="s">
        <v>1345</v>
      </c>
      <c r="AE64" s="173" t="s">
        <v>69</v>
      </c>
      <c r="AF64" s="181" t="s">
        <v>142</v>
      </c>
      <c r="AG64" s="181" t="s">
        <v>1346</v>
      </c>
      <c r="AH64" s="181"/>
      <c r="AI64" s="181">
        <v>44813</v>
      </c>
      <c r="AJ64" s="181"/>
      <c r="AK64" s="181">
        <f t="shared" ca="1" si="1"/>
        <v>44958</v>
      </c>
      <c r="AL64" s="173">
        <f t="shared" ca="1" si="2"/>
        <v>145</v>
      </c>
      <c r="AM64" s="173" t="str">
        <f t="shared" si="3"/>
        <v/>
      </c>
      <c r="AN64" s="181"/>
      <c r="AO64" s="190" t="s">
        <v>3904</v>
      </c>
      <c r="AP64" s="176">
        <v>21.43</v>
      </c>
      <c r="AQ64" s="176">
        <v>21.49</v>
      </c>
      <c r="AR64" s="176">
        <v>21.515000000000001</v>
      </c>
      <c r="AS64" s="176">
        <v>21.52</v>
      </c>
      <c r="AT64" s="173">
        <f t="shared" ca="1" si="4"/>
        <v>23</v>
      </c>
      <c r="AU64" s="173">
        <v>451</v>
      </c>
      <c r="AW64" s="142" t="s">
        <v>123</v>
      </c>
      <c r="AX64" s="142" t="str">
        <f>LEFT(RIGHT(C64,LEN(C64)-MIN(SEARCH({0,1,2,3,4,5,6,7,8,9},C64&amp;"0123456789"))+1),2)</f>
        <v>09</v>
      </c>
      <c r="AY64" s="142">
        <v>1</v>
      </c>
      <c r="AZ64" s="142" t="str">
        <f>LEFT(RIGHT(C64,LEN(C64)-MIN(SEARCH({0,1,2,3,4,5,6,7,8,9},C64&amp;"0123456789"))+1),5)</f>
        <v>09.01</v>
      </c>
      <c r="BA64" s="142" t="str">
        <f t="shared" si="5"/>
        <v>MI</v>
      </c>
    </row>
    <row r="65" spans="2:53" s="142" customFormat="1" ht="21" customHeight="1" x14ac:dyDescent="0.25">
      <c r="B65" s="173" t="str">
        <f t="shared" si="0"/>
        <v>0-304/FH-1.15X767</v>
      </c>
      <c r="C65" s="173" t="s">
        <v>4363</v>
      </c>
      <c r="D65" s="173" t="s">
        <v>16</v>
      </c>
      <c r="E65" s="190" t="s">
        <v>3924</v>
      </c>
      <c r="F65" s="190" t="s">
        <v>3982</v>
      </c>
      <c r="G65" s="173">
        <v>304</v>
      </c>
      <c r="H65" s="173" t="s">
        <v>70</v>
      </c>
      <c r="I65" s="174">
        <v>3.45</v>
      </c>
      <c r="J65" s="174">
        <v>1.1499999999999999</v>
      </c>
      <c r="K65" s="174"/>
      <c r="L65" s="174"/>
      <c r="M65" s="191">
        <v>767</v>
      </c>
      <c r="N65" s="176">
        <v>12.275</v>
      </c>
      <c r="O65" s="176">
        <v>12.275</v>
      </c>
      <c r="P65" s="176" t="s">
        <v>114</v>
      </c>
      <c r="Q65" s="178" t="s">
        <v>1210</v>
      </c>
      <c r="R65" s="179"/>
      <c r="S65" s="179"/>
      <c r="T65" s="177">
        <v>44934</v>
      </c>
      <c r="U65" s="177"/>
      <c r="V65" s="177">
        <v>44935</v>
      </c>
      <c r="W65" s="177"/>
      <c r="X65" s="177"/>
      <c r="Y65" s="177"/>
      <c r="Z65" s="177"/>
      <c r="AA65" s="177">
        <v>44931</v>
      </c>
      <c r="AB65" s="177"/>
      <c r="AC65" s="177"/>
      <c r="AD65" s="180" t="s">
        <v>1345</v>
      </c>
      <c r="AE65" s="173" t="s">
        <v>69</v>
      </c>
      <c r="AF65" s="181" t="s">
        <v>142</v>
      </c>
      <c r="AG65" s="192" t="s">
        <v>1508</v>
      </c>
      <c r="AH65" s="198"/>
      <c r="AI65" s="181">
        <v>44849</v>
      </c>
      <c r="AJ65" s="181"/>
      <c r="AK65" s="181">
        <f t="shared" ca="1" si="1"/>
        <v>44958</v>
      </c>
      <c r="AL65" s="173">
        <f t="shared" ca="1" si="2"/>
        <v>109</v>
      </c>
      <c r="AM65" s="173" t="str">
        <f t="shared" si="3"/>
        <v/>
      </c>
      <c r="AN65" s="181"/>
      <c r="AO65" s="190" t="s">
        <v>3926</v>
      </c>
      <c r="AP65" s="176">
        <v>24.335000000000001</v>
      </c>
      <c r="AQ65" s="176">
        <v>24.395</v>
      </c>
      <c r="AR65" s="176">
        <v>24.42</v>
      </c>
      <c r="AS65" s="176">
        <v>24.425000000000001</v>
      </c>
      <c r="AT65" s="173">
        <f t="shared" ca="1" si="4"/>
        <v>23</v>
      </c>
      <c r="AU65" s="173">
        <v>456</v>
      </c>
      <c r="AW65" s="142" t="s">
        <v>123</v>
      </c>
      <c r="AX65" s="142" t="str">
        <f>LEFT(RIGHT(C65,LEN(C65)-MIN(SEARCH({0,1,2,3,4,5,6,7,8,9},C65&amp;"0123456789"))+1),2)</f>
        <v>09</v>
      </c>
      <c r="AY65" s="142">
        <v>1</v>
      </c>
      <c r="AZ65" s="142" t="str">
        <f>LEFT(RIGHT(C65,LEN(C65)-MIN(SEARCH({0,1,2,3,4,5,6,7,8,9},C65&amp;"0123456789"))+1),5)</f>
        <v>09.01</v>
      </c>
      <c r="BA65" s="142" t="str">
        <f t="shared" si="5"/>
        <v>MI</v>
      </c>
    </row>
    <row r="66" spans="2:53" s="142" customFormat="1" ht="21" customHeight="1" x14ac:dyDescent="0.25">
      <c r="B66" s="173" t="str">
        <f t="shared" si="0"/>
        <v>0-304/FH-1.15X770</v>
      </c>
      <c r="C66" s="173" t="s">
        <v>4363</v>
      </c>
      <c r="D66" s="173" t="s">
        <v>16</v>
      </c>
      <c r="E66" s="190" t="s">
        <v>2545</v>
      </c>
      <c r="F66" s="190" t="s">
        <v>3985</v>
      </c>
      <c r="G66" s="173">
        <v>304</v>
      </c>
      <c r="H66" s="173" t="s">
        <v>70</v>
      </c>
      <c r="I66" s="174">
        <v>3.39</v>
      </c>
      <c r="J66" s="174">
        <v>1.1499999999999999</v>
      </c>
      <c r="K66" s="174"/>
      <c r="L66" s="174"/>
      <c r="M66" s="191">
        <v>770</v>
      </c>
      <c r="N66" s="176">
        <v>10.555</v>
      </c>
      <c r="O66" s="176">
        <v>10.555</v>
      </c>
      <c r="P66" s="176" t="s">
        <v>114</v>
      </c>
      <c r="Q66" s="178" t="s">
        <v>1210</v>
      </c>
      <c r="R66" s="179"/>
      <c r="S66" s="179"/>
      <c r="T66" s="177">
        <v>44935</v>
      </c>
      <c r="U66" s="177"/>
      <c r="V66" s="177">
        <v>44935</v>
      </c>
      <c r="W66" s="177"/>
      <c r="X66" s="177"/>
      <c r="Y66" s="177"/>
      <c r="Z66" s="177"/>
      <c r="AA66" s="177"/>
      <c r="AB66" s="177"/>
      <c r="AC66" s="177"/>
      <c r="AD66" s="180" t="s">
        <v>1507</v>
      </c>
      <c r="AE66" s="173" t="s">
        <v>69</v>
      </c>
      <c r="AF66" s="181" t="s">
        <v>142</v>
      </c>
      <c r="AG66" s="192" t="s">
        <v>1584</v>
      </c>
      <c r="AH66" s="198"/>
      <c r="AI66" s="181">
        <v>44914</v>
      </c>
      <c r="AJ66" s="181"/>
      <c r="AK66" s="181">
        <f t="shared" ca="1" si="1"/>
        <v>44958</v>
      </c>
      <c r="AL66" s="173">
        <f t="shared" ca="1" si="2"/>
        <v>44</v>
      </c>
      <c r="AM66" s="173" t="str">
        <f t="shared" si="3"/>
        <v/>
      </c>
      <c r="AN66" s="181"/>
      <c r="AO66" s="190" t="s">
        <v>2548</v>
      </c>
      <c r="AP66" s="176">
        <v>10.555</v>
      </c>
      <c r="AQ66" s="176">
        <v>10.565</v>
      </c>
      <c r="AR66" s="176">
        <v>10.589999999999998</v>
      </c>
      <c r="AS66" s="176">
        <v>10.594999999999999</v>
      </c>
      <c r="AT66" s="173">
        <f t="shared" ca="1" si="4"/>
        <v>23</v>
      </c>
      <c r="AU66" s="173">
        <v>462</v>
      </c>
      <c r="AW66" s="142" t="s">
        <v>123</v>
      </c>
      <c r="AX66" s="142" t="str">
        <f>LEFT(RIGHT(C66,LEN(C66)-MIN(SEARCH({0,1,2,3,4,5,6,7,8,9},C66&amp;"0123456789"))+1),2)</f>
        <v>09</v>
      </c>
      <c r="AY66" s="142">
        <v>1</v>
      </c>
      <c r="AZ66" s="142" t="str">
        <f>LEFT(RIGHT(C66,LEN(C66)-MIN(SEARCH({0,1,2,3,4,5,6,7,8,9},C66&amp;"0123456789"))+1),5)</f>
        <v>09.01</v>
      </c>
      <c r="BA66" s="142" t="str">
        <f t="shared" si="5"/>
        <v>MI</v>
      </c>
    </row>
    <row r="67" spans="2:53" s="142" customFormat="1" ht="21" customHeight="1" x14ac:dyDescent="0.25">
      <c r="B67" s="173" t="str">
        <f t="shared" si="0"/>
        <v>0-304/FH-0.40X642</v>
      </c>
      <c r="C67" s="173" t="s">
        <v>4363</v>
      </c>
      <c r="D67" s="173" t="s">
        <v>16</v>
      </c>
      <c r="E67" s="190" t="s">
        <v>1621</v>
      </c>
      <c r="F67" s="190" t="s">
        <v>1622</v>
      </c>
      <c r="G67" s="173">
        <v>304</v>
      </c>
      <c r="H67" s="173" t="s">
        <v>70</v>
      </c>
      <c r="I67" s="174">
        <v>2.4900000000000002</v>
      </c>
      <c r="J67" s="174">
        <v>0.4</v>
      </c>
      <c r="K67" s="174"/>
      <c r="L67" s="174"/>
      <c r="M67" s="191">
        <v>642</v>
      </c>
      <c r="N67" s="176">
        <v>2.4700000000000002</v>
      </c>
      <c r="O67" s="176">
        <v>2.4700000000000002</v>
      </c>
      <c r="P67" s="176" t="s">
        <v>114</v>
      </c>
      <c r="Q67" s="178" t="s">
        <v>1344</v>
      </c>
      <c r="R67" s="179"/>
      <c r="S67" s="179"/>
      <c r="T67" s="177">
        <v>44933</v>
      </c>
      <c r="U67" s="177"/>
      <c r="V67" s="177">
        <v>44935</v>
      </c>
      <c r="W67" s="177"/>
      <c r="X67" s="177"/>
      <c r="Y67" s="177"/>
      <c r="Z67" s="177"/>
      <c r="AA67" s="177"/>
      <c r="AB67" s="177"/>
      <c r="AC67" s="177"/>
      <c r="AD67" s="180" t="s">
        <v>1619</v>
      </c>
      <c r="AE67" s="173" t="s">
        <v>69</v>
      </c>
      <c r="AF67" s="181" t="s">
        <v>142</v>
      </c>
      <c r="AG67" s="192" t="s">
        <v>1594</v>
      </c>
      <c r="AH67" s="198"/>
      <c r="AI67" s="181">
        <v>44849</v>
      </c>
      <c r="AJ67" s="181"/>
      <c r="AK67" s="181">
        <f t="shared" ca="1" si="1"/>
        <v>44958</v>
      </c>
      <c r="AL67" s="173">
        <f t="shared" ca="1" si="2"/>
        <v>109</v>
      </c>
      <c r="AM67" s="173" t="str">
        <f t="shared" si="3"/>
        <v/>
      </c>
      <c r="AN67" s="181"/>
      <c r="AO67" s="190" t="s">
        <v>1620</v>
      </c>
      <c r="AP67" s="176">
        <v>10.68</v>
      </c>
      <c r="AQ67" s="176">
        <v>10.69</v>
      </c>
      <c r="AR67" s="176">
        <v>10.714999999999998</v>
      </c>
      <c r="AS67" s="176">
        <v>10.719999999999999</v>
      </c>
      <c r="AT67" s="173">
        <f t="shared" ca="1" si="4"/>
        <v>23</v>
      </c>
      <c r="AU67" s="173">
        <v>456</v>
      </c>
      <c r="AW67" s="142" t="s">
        <v>123</v>
      </c>
      <c r="AX67" s="142" t="str">
        <f>LEFT(RIGHT(C67,LEN(C67)-MIN(SEARCH({0,1,2,3,4,5,6,7,8,9},C67&amp;"0123456789"))+1),2)</f>
        <v>09</v>
      </c>
      <c r="AY67" s="142">
        <v>2</v>
      </c>
      <c r="AZ67" s="142" t="str">
        <f>LEFT(RIGHT(C67,LEN(C67)-MIN(SEARCH({0,1,2,3,4,5,6,7,8,9},C67&amp;"0123456789"))+1),5)</f>
        <v>09.01</v>
      </c>
      <c r="BA67" s="142" t="str">
        <f t="shared" si="5"/>
        <v>MI</v>
      </c>
    </row>
    <row r="68" spans="2:53" s="142" customFormat="1" ht="21" customHeight="1" x14ac:dyDescent="0.25">
      <c r="B68" s="173" t="str">
        <f t="shared" ref="B68:B87" si="6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0-304L/FH-1.95X767</v>
      </c>
      <c r="C68" s="173" t="s">
        <v>4363</v>
      </c>
      <c r="D68" s="173" t="s">
        <v>16</v>
      </c>
      <c r="E68" s="190" t="s">
        <v>1519</v>
      </c>
      <c r="F68" s="190" t="s">
        <v>3996</v>
      </c>
      <c r="G68" s="173" t="s">
        <v>182</v>
      </c>
      <c r="H68" s="173" t="s">
        <v>70</v>
      </c>
      <c r="I68" s="174">
        <v>3.8</v>
      </c>
      <c r="J68" s="174">
        <v>1.95</v>
      </c>
      <c r="K68" s="174"/>
      <c r="L68" s="174"/>
      <c r="M68" s="191">
        <v>767</v>
      </c>
      <c r="N68" s="176">
        <v>12.234999999999999</v>
      </c>
      <c r="O68" s="176">
        <v>12.234999999999999</v>
      </c>
      <c r="P68" s="176" t="s">
        <v>114</v>
      </c>
      <c r="Q68" s="178" t="s">
        <v>1210</v>
      </c>
      <c r="R68" s="179"/>
      <c r="S68" s="179"/>
      <c r="T68" s="177">
        <v>44935</v>
      </c>
      <c r="U68" s="177"/>
      <c r="V68" s="177">
        <v>44935</v>
      </c>
      <c r="W68" s="177"/>
      <c r="X68" s="177"/>
      <c r="Y68" s="177"/>
      <c r="Z68" s="177"/>
      <c r="AA68" s="177">
        <v>44934</v>
      </c>
      <c r="AB68" s="177"/>
      <c r="AC68" s="177"/>
      <c r="AD68" s="180" t="s">
        <v>1507</v>
      </c>
      <c r="AE68" s="173" t="s">
        <v>69</v>
      </c>
      <c r="AF68" s="181" t="s">
        <v>142</v>
      </c>
      <c r="AG68" s="192" t="s">
        <v>1508</v>
      </c>
      <c r="AH68" s="198"/>
      <c r="AI68" s="181">
        <v>44849</v>
      </c>
      <c r="AJ68" s="181"/>
      <c r="AK68" s="181">
        <f t="shared" ref="AK68:AK131" ca="1" si="7">TODAY()</f>
        <v>44958</v>
      </c>
      <c r="AL68" s="173">
        <f t="shared" ref="AL68:AL87" ca="1" si="8">IF(AI68&lt;&gt;0,AK68-AI68,0)</f>
        <v>109</v>
      </c>
      <c r="AM68" s="173" t="str">
        <f t="shared" ref="AM68:AM87" si="9">IF(ISNUMBER(X68)=TRUE,AK68-X68,IF(X68="","",(AK68)-(MID(RIGHT(X68,10),4,2)&amp;"/"&amp;LEFT((RIGHT(X68,10)),2)&amp;"/"&amp;RIGHT(X68,4))))</f>
        <v/>
      </c>
      <c r="AN68" s="181"/>
      <c r="AO68" s="190" t="s">
        <v>1521</v>
      </c>
      <c r="AP68" s="176">
        <v>24.605</v>
      </c>
      <c r="AQ68" s="176">
        <v>24.664999999999999</v>
      </c>
      <c r="AR68" s="176">
        <v>24.69</v>
      </c>
      <c r="AS68" s="176">
        <v>24.695</v>
      </c>
      <c r="AT68" s="173">
        <f t="shared" ref="AT68:AT131" ca="1" si="10">IF(ISNUMBER(V68)=TRUE,AK68-V68,IF(V68="","",(AK68)-(MID(RIGHT(V68,10),4,2)&amp;"/"&amp;LEFT((RIGHT(V68,10)),2)&amp;"/"&amp;RIGHT(V68,4))))</f>
        <v>23</v>
      </c>
      <c r="AU68" s="173">
        <v>456</v>
      </c>
      <c r="AW68" s="142" t="s">
        <v>123</v>
      </c>
      <c r="AX68" s="142" t="str">
        <f>LEFT(RIGHT(C68,LEN(C68)-MIN(SEARCH({0,1,2,3,4,5,6,7,8,9},C68&amp;"0123456789"))+1),2)</f>
        <v>09</v>
      </c>
      <c r="AY68" s="142">
        <v>2</v>
      </c>
      <c r="AZ68" s="142" t="str">
        <f>LEFT(RIGHT(C68,LEN(C68)-MIN(SEARCH({0,1,2,3,4,5,6,7,8,9},C68&amp;"0123456789"))+1),5)</f>
        <v>09.01</v>
      </c>
      <c r="BA68" s="142" t="str">
        <f t="shared" ref="BA68:BA85" si="11">LEFT(C68,2)</f>
        <v>MI</v>
      </c>
    </row>
    <row r="69" spans="2:53" s="142" customFormat="1" ht="21" customHeight="1" x14ac:dyDescent="0.25">
      <c r="B69" s="173" t="str">
        <f t="shared" si="6"/>
        <v>0-304L/FH-0.95X771</v>
      </c>
      <c r="C69" s="173" t="s">
        <v>4363</v>
      </c>
      <c r="D69" s="173" t="s">
        <v>16</v>
      </c>
      <c r="E69" s="190" t="s">
        <v>3997</v>
      </c>
      <c r="F69" s="190" t="s">
        <v>3998</v>
      </c>
      <c r="G69" s="173" t="s">
        <v>182</v>
      </c>
      <c r="H69" s="173" t="s">
        <v>70</v>
      </c>
      <c r="I69" s="174">
        <v>2.8</v>
      </c>
      <c r="J69" s="174">
        <v>0.95</v>
      </c>
      <c r="K69" s="174"/>
      <c r="L69" s="174"/>
      <c r="M69" s="191">
        <v>771</v>
      </c>
      <c r="N69" s="176">
        <v>10.55</v>
      </c>
      <c r="O69" s="176">
        <v>10.55</v>
      </c>
      <c r="P69" s="176" t="s">
        <v>114</v>
      </c>
      <c r="Q69" s="178" t="s">
        <v>361</v>
      </c>
      <c r="R69" s="179"/>
      <c r="S69" s="179"/>
      <c r="T69" s="177">
        <v>44935</v>
      </c>
      <c r="U69" s="177"/>
      <c r="V69" s="177">
        <v>44935</v>
      </c>
      <c r="W69" s="177"/>
      <c r="X69" s="177"/>
      <c r="Y69" s="177"/>
      <c r="Z69" s="177"/>
      <c r="AA69" s="177"/>
      <c r="AB69" s="177"/>
      <c r="AC69" s="177"/>
      <c r="AD69" s="180" t="s">
        <v>1507</v>
      </c>
      <c r="AE69" s="173" t="s">
        <v>69</v>
      </c>
      <c r="AF69" s="181" t="s">
        <v>142</v>
      </c>
      <c r="AG69" s="192" t="s">
        <v>1584</v>
      </c>
      <c r="AH69" s="198"/>
      <c r="AI69" s="181">
        <v>44914</v>
      </c>
      <c r="AJ69" s="181"/>
      <c r="AK69" s="181">
        <f t="shared" ca="1" si="7"/>
        <v>44958</v>
      </c>
      <c r="AL69" s="173">
        <f t="shared" ca="1" si="8"/>
        <v>44</v>
      </c>
      <c r="AM69" s="173" t="str">
        <f t="shared" si="9"/>
        <v/>
      </c>
      <c r="AN69" s="181"/>
      <c r="AO69" s="190" t="s">
        <v>2723</v>
      </c>
      <c r="AP69" s="176">
        <v>10.55</v>
      </c>
      <c r="AQ69" s="176">
        <v>10.56</v>
      </c>
      <c r="AR69" s="176">
        <v>10.584999999999999</v>
      </c>
      <c r="AS69" s="176">
        <v>10.59</v>
      </c>
      <c r="AT69" s="173">
        <f t="shared" ca="1" si="10"/>
        <v>23</v>
      </c>
      <c r="AU69" s="173">
        <v>462</v>
      </c>
      <c r="AW69" s="142" t="s">
        <v>123</v>
      </c>
      <c r="AX69" s="142" t="str">
        <f>LEFT(RIGHT(C69,LEN(C69)-MIN(SEARCH({0,1,2,3,4,5,6,7,8,9},C69&amp;"0123456789"))+1),2)</f>
        <v>09</v>
      </c>
      <c r="AY69" s="142">
        <v>3</v>
      </c>
      <c r="AZ69" s="142" t="str">
        <f>LEFT(RIGHT(C69,LEN(C69)-MIN(SEARCH({0,1,2,3,4,5,6,7,8,9},C69&amp;"0123456789"))+1),5)</f>
        <v>09.01</v>
      </c>
      <c r="BA69" s="142" t="str">
        <f t="shared" si="11"/>
        <v>MI</v>
      </c>
    </row>
    <row r="70" spans="2:53" s="142" customFormat="1" ht="21" customHeight="1" x14ac:dyDescent="0.25">
      <c r="B70" s="173" t="str">
        <f t="shared" si="6"/>
        <v>0-304/FH-0.90X773</v>
      </c>
      <c r="C70" s="173" t="s">
        <v>4363</v>
      </c>
      <c r="D70" s="173" t="s">
        <v>16</v>
      </c>
      <c r="E70" s="190" t="s">
        <v>3987</v>
      </c>
      <c r="F70" s="190" t="s">
        <v>3988</v>
      </c>
      <c r="G70" s="173">
        <v>304</v>
      </c>
      <c r="H70" s="173" t="s">
        <v>70</v>
      </c>
      <c r="I70" s="174">
        <v>2.84</v>
      </c>
      <c r="J70" s="174">
        <v>0.9</v>
      </c>
      <c r="K70" s="174"/>
      <c r="L70" s="174"/>
      <c r="M70" s="191">
        <v>773</v>
      </c>
      <c r="N70" s="176">
        <v>9.8249999999999993</v>
      </c>
      <c r="O70" s="176">
        <v>9.8249999999999993</v>
      </c>
      <c r="P70" s="176" t="s">
        <v>114</v>
      </c>
      <c r="Q70" s="178" t="s">
        <v>4364</v>
      </c>
      <c r="R70" s="179"/>
      <c r="S70" s="179"/>
      <c r="T70" s="177">
        <v>44935</v>
      </c>
      <c r="U70" s="177"/>
      <c r="V70" s="177">
        <v>44935</v>
      </c>
      <c r="W70" s="177"/>
      <c r="X70" s="177"/>
      <c r="Y70" s="177"/>
      <c r="Z70" s="177"/>
      <c r="AA70" s="177"/>
      <c r="AB70" s="177"/>
      <c r="AC70" s="177"/>
      <c r="AD70" s="180" t="s">
        <v>1507</v>
      </c>
      <c r="AE70" s="173" t="s">
        <v>69</v>
      </c>
      <c r="AF70" s="181" t="s">
        <v>142</v>
      </c>
      <c r="AG70" s="192" t="s">
        <v>1584</v>
      </c>
      <c r="AH70" s="198"/>
      <c r="AI70" s="181">
        <v>44914</v>
      </c>
      <c r="AJ70" s="181"/>
      <c r="AK70" s="181">
        <f t="shared" ca="1" si="7"/>
        <v>44958</v>
      </c>
      <c r="AL70" s="173">
        <f t="shared" ca="1" si="8"/>
        <v>44</v>
      </c>
      <c r="AM70" s="173" t="str">
        <f t="shared" si="9"/>
        <v/>
      </c>
      <c r="AN70" s="181"/>
      <c r="AO70" s="190" t="s">
        <v>3989</v>
      </c>
      <c r="AP70" s="176">
        <v>9.8249999999999993</v>
      </c>
      <c r="AQ70" s="176">
        <v>9.8350000000000009</v>
      </c>
      <c r="AR70" s="176">
        <v>9.86</v>
      </c>
      <c r="AS70" s="176">
        <v>9.8650000000000002</v>
      </c>
      <c r="AT70" s="173">
        <f t="shared" ca="1" si="10"/>
        <v>23</v>
      </c>
      <c r="AU70" s="173">
        <v>462</v>
      </c>
      <c r="AW70" s="142" t="s">
        <v>123</v>
      </c>
      <c r="AX70" s="142" t="str">
        <f>LEFT(RIGHT(C70,LEN(C70)-MIN(SEARCH({0,1,2,3,4,5,6,7,8,9},C70&amp;"0123456789"))+1),2)</f>
        <v>09</v>
      </c>
      <c r="AY70" s="142">
        <v>3</v>
      </c>
      <c r="AZ70" s="142" t="str">
        <f>LEFT(RIGHT(C70,LEN(C70)-MIN(SEARCH({0,1,2,3,4,5,6,7,8,9},C70&amp;"0123456789"))+1),5)</f>
        <v>09.01</v>
      </c>
      <c r="BA70" s="142" t="str">
        <f t="shared" si="11"/>
        <v>MI</v>
      </c>
    </row>
    <row r="71" spans="2:53" s="142" customFormat="1" ht="21" customHeight="1" x14ac:dyDescent="0.25">
      <c r="B71" s="173" t="str">
        <f t="shared" si="6"/>
        <v>0-304L/FH-1.15X768</v>
      </c>
      <c r="C71" s="173" t="s">
        <v>4363</v>
      </c>
      <c r="D71" s="173" t="s">
        <v>16</v>
      </c>
      <c r="E71" s="190" t="s">
        <v>4002</v>
      </c>
      <c r="F71" s="190" t="s">
        <v>4003</v>
      </c>
      <c r="G71" s="173" t="s">
        <v>182</v>
      </c>
      <c r="H71" s="173" t="s">
        <v>70</v>
      </c>
      <c r="I71" s="174">
        <v>3.44</v>
      </c>
      <c r="J71" s="174">
        <v>1.1499999999999999</v>
      </c>
      <c r="K71" s="174"/>
      <c r="L71" s="174"/>
      <c r="M71" s="191">
        <v>768</v>
      </c>
      <c r="N71" s="176">
        <v>10.39</v>
      </c>
      <c r="O71" s="176">
        <v>10.39</v>
      </c>
      <c r="P71" s="176" t="s">
        <v>114</v>
      </c>
      <c r="Q71" s="178" t="s">
        <v>1210</v>
      </c>
      <c r="R71" s="179"/>
      <c r="S71" s="179"/>
      <c r="T71" s="177">
        <v>44935</v>
      </c>
      <c r="U71" s="177"/>
      <c r="V71" s="177">
        <v>44935</v>
      </c>
      <c r="W71" s="177"/>
      <c r="X71" s="177"/>
      <c r="Y71" s="177"/>
      <c r="Z71" s="177"/>
      <c r="AA71" s="177"/>
      <c r="AB71" s="177"/>
      <c r="AC71" s="177"/>
      <c r="AD71" s="180" t="s">
        <v>1507</v>
      </c>
      <c r="AE71" s="173" t="s">
        <v>69</v>
      </c>
      <c r="AF71" s="181" t="s">
        <v>142</v>
      </c>
      <c r="AG71" s="192" t="s">
        <v>1584</v>
      </c>
      <c r="AH71" s="198"/>
      <c r="AI71" s="181">
        <v>44914</v>
      </c>
      <c r="AJ71" s="181"/>
      <c r="AK71" s="181">
        <f t="shared" ca="1" si="7"/>
        <v>44958</v>
      </c>
      <c r="AL71" s="173">
        <f t="shared" ca="1" si="8"/>
        <v>44</v>
      </c>
      <c r="AM71" s="173" t="str">
        <f t="shared" si="9"/>
        <v/>
      </c>
      <c r="AN71" s="181"/>
      <c r="AO71" s="190" t="s">
        <v>4004</v>
      </c>
      <c r="AP71" s="176">
        <v>10.39</v>
      </c>
      <c r="AQ71" s="176">
        <v>10.4</v>
      </c>
      <c r="AR71" s="176">
        <v>10.424999999999999</v>
      </c>
      <c r="AS71" s="176">
        <v>10.43</v>
      </c>
      <c r="AT71" s="173">
        <f t="shared" ca="1" si="10"/>
        <v>23</v>
      </c>
      <c r="AU71" s="173">
        <v>462</v>
      </c>
      <c r="AW71" s="142" t="s">
        <v>123</v>
      </c>
      <c r="AX71" s="142" t="str">
        <f>LEFT(RIGHT(C71,LEN(C71)-MIN(SEARCH({0,1,2,3,4,5,6,7,8,9},C71&amp;"0123456789"))+1),2)</f>
        <v>09</v>
      </c>
      <c r="AY71" s="142">
        <v>3</v>
      </c>
      <c r="AZ71" s="142" t="str">
        <f>LEFT(RIGHT(C71,LEN(C71)-MIN(SEARCH({0,1,2,3,4,5,6,7,8,9},C71&amp;"0123456789"))+1),5)</f>
        <v>09.01</v>
      </c>
      <c r="BA71" s="142" t="str">
        <f t="shared" si="11"/>
        <v>MI</v>
      </c>
    </row>
    <row r="72" spans="2:53" s="142" customFormat="1" ht="21" customHeight="1" x14ac:dyDescent="0.25">
      <c r="B72" s="173" t="str">
        <f t="shared" si="6"/>
        <v>0-304L/FH-1.45X767</v>
      </c>
      <c r="C72" s="173" t="s">
        <v>4363</v>
      </c>
      <c r="D72" s="173" t="s">
        <v>16</v>
      </c>
      <c r="E72" s="190" t="s">
        <v>3975</v>
      </c>
      <c r="F72" s="190" t="s">
        <v>4009</v>
      </c>
      <c r="G72" s="173" t="s">
        <v>182</v>
      </c>
      <c r="H72" s="173" t="s">
        <v>70</v>
      </c>
      <c r="I72" s="174">
        <v>3.8</v>
      </c>
      <c r="J72" s="174">
        <v>1.45</v>
      </c>
      <c r="K72" s="174"/>
      <c r="L72" s="174"/>
      <c r="M72" s="191">
        <v>767</v>
      </c>
      <c r="N72" s="176">
        <v>7.36</v>
      </c>
      <c r="O72" s="176">
        <v>7.36</v>
      </c>
      <c r="P72" s="176" t="s">
        <v>114</v>
      </c>
      <c r="Q72" s="178" t="s">
        <v>1210</v>
      </c>
      <c r="R72" s="179"/>
      <c r="S72" s="179"/>
      <c r="T72" s="177">
        <v>44934</v>
      </c>
      <c r="U72" s="177"/>
      <c r="V72" s="177">
        <v>44935</v>
      </c>
      <c r="W72" s="177"/>
      <c r="X72" s="177"/>
      <c r="Y72" s="177"/>
      <c r="Z72" s="177"/>
      <c r="AA72" s="177">
        <v>44933</v>
      </c>
      <c r="AB72" s="177"/>
      <c r="AC72" s="177"/>
      <c r="AD72" s="180" t="s">
        <v>1507</v>
      </c>
      <c r="AE72" s="173" t="s">
        <v>69</v>
      </c>
      <c r="AF72" s="181" t="s">
        <v>142</v>
      </c>
      <c r="AG72" s="192" t="s">
        <v>1508</v>
      </c>
      <c r="AH72" s="198"/>
      <c r="AI72" s="181">
        <v>44849</v>
      </c>
      <c r="AJ72" s="181"/>
      <c r="AK72" s="181">
        <f t="shared" ca="1" si="7"/>
        <v>44958</v>
      </c>
      <c r="AL72" s="173">
        <f t="shared" ca="1" si="8"/>
        <v>109</v>
      </c>
      <c r="AM72" s="173" t="str">
        <f t="shared" si="9"/>
        <v/>
      </c>
      <c r="AN72" s="181"/>
      <c r="AO72" s="190" t="s">
        <v>3977</v>
      </c>
      <c r="AP72" s="176">
        <v>24.56</v>
      </c>
      <c r="AQ72" s="176">
        <v>24.62</v>
      </c>
      <c r="AR72" s="176">
        <v>24.645000000000003</v>
      </c>
      <c r="AS72" s="176">
        <v>24.650000000000002</v>
      </c>
      <c r="AT72" s="173">
        <f t="shared" ca="1" si="10"/>
        <v>23</v>
      </c>
      <c r="AU72" s="173">
        <v>456</v>
      </c>
      <c r="AW72" s="142" t="s">
        <v>123</v>
      </c>
      <c r="AX72" s="142" t="str">
        <f>LEFT(RIGHT(C72,LEN(C72)-MIN(SEARCH({0,1,2,3,4,5,6,7,8,9},C72&amp;"0123456789"))+1),2)</f>
        <v>09</v>
      </c>
      <c r="AY72" s="142">
        <v>3</v>
      </c>
      <c r="AZ72" s="142" t="str">
        <f>LEFT(RIGHT(C72,LEN(C72)-MIN(SEARCH({0,1,2,3,4,5,6,7,8,9},C72&amp;"0123456789"))+1),5)</f>
        <v>09.01</v>
      </c>
      <c r="BA72" s="142" t="str">
        <f t="shared" si="11"/>
        <v>MI</v>
      </c>
    </row>
    <row r="73" spans="2:53" s="142" customFormat="1" ht="21" customHeight="1" x14ac:dyDescent="0.25">
      <c r="B73" s="173" t="str">
        <f t="shared" si="6"/>
        <v>0-304L/FH-0.30X630</v>
      </c>
      <c r="C73" s="173" t="s">
        <v>4365</v>
      </c>
      <c r="D73" s="173" t="s">
        <v>16</v>
      </c>
      <c r="E73" s="190" t="s">
        <v>3992</v>
      </c>
      <c r="F73" s="190" t="s">
        <v>3993</v>
      </c>
      <c r="G73" s="173" t="s">
        <v>182</v>
      </c>
      <c r="H73" s="173" t="s">
        <v>70</v>
      </c>
      <c r="I73" s="174">
        <v>0.57999999999999996</v>
      </c>
      <c r="J73" s="174">
        <v>0.3</v>
      </c>
      <c r="K73" s="174"/>
      <c r="L73" s="174"/>
      <c r="M73" s="191">
        <v>630</v>
      </c>
      <c r="N73" s="176">
        <v>10.58</v>
      </c>
      <c r="O73" s="176">
        <v>10.58</v>
      </c>
      <c r="P73" s="176" t="s">
        <v>114</v>
      </c>
      <c r="Q73" s="178" t="s">
        <v>1344</v>
      </c>
      <c r="R73" s="179"/>
      <c r="S73" s="179" t="s">
        <v>230</v>
      </c>
      <c r="T73" s="177" t="s">
        <v>3994</v>
      </c>
      <c r="U73" s="177"/>
      <c r="V73" s="177">
        <v>44936</v>
      </c>
      <c r="W73" s="177">
        <v>44923</v>
      </c>
      <c r="X73" s="177">
        <v>44929</v>
      </c>
      <c r="Y73" s="177"/>
      <c r="Z73" s="177" t="s">
        <v>3969</v>
      </c>
      <c r="AA73" s="177"/>
      <c r="AB73" s="177"/>
      <c r="AC73" s="177"/>
      <c r="AD73" s="180" t="s">
        <v>2479</v>
      </c>
      <c r="AE73" s="173" t="s">
        <v>69</v>
      </c>
      <c r="AF73" s="181" t="s">
        <v>142</v>
      </c>
      <c r="AG73" s="192" t="s">
        <v>1594</v>
      </c>
      <c r="AH73" s="198"/>
      <c r="AI73" s="181">
        <v>44849</v>
      </c>
      <c r="AJ73" s="181"/>
      <c r="AK73" s="181">
        <f t="shared" ca="1" si="7"/>
        <v>44958</v>
      </c>
      <c r="AL73" s="173">
        <f t="shared" ca="1" si="8"/>
        <v>109</v>
      </c>
      <c r="AM73" s="173">
        <f t="shared" ca="1" si="9"/>
        <v>29</v>
      </c>
      <c r="AN73" s="181"/>
      <c r="AO73" s="190" t="s">
        <v>3995</v>
      </c>
      <c r="AP73" s="176">
        <v>10.705</v>
      </c>
      <c r="AQ73" s="176">
        <v>10.715</v>
      </c>
      <c r="AR73" s="176">
        <v>10.739999999999998</v>
      </c>
      <c r="AS73" s="176">
        <v>10.744999999999999</v>
      </c>
      <c r="AT73" s="173">
        <f t="shared" ca="1" si="10"/>
        <v>22</v>
      </c>
      <c r="AU73" s="173">
        <v>456</v>
      </c>
      <c r="AW73" s="142" t="s">
        <v>123</v>
      </c>
      <c r="AX73" s="142" t="str">
        <f>LEFT(RIGHT(C73,LEN(C73)-MIN(SEARCH({0,1,2,3,4,5,6,7,8,9},C73&amp;"0123456789"))+1),2)</f>
        <v>10</v>
      </c>
      <c r="AY73" s="142">
        <v>1</v>
      </c>
      <c r="AZ73" s="142" t="str">
        <f>LEFT(RIGHT(C73,LEN(C73)-MIN(SEARCH({0,1,2,3,4,5,6,7,8,9},C73&amp;"0123456789"))+1),5)</f>
        <v>10.01</v>
      </c>
      <c r="BA73" s="142" t="str">
        <f t="shared" si="11"/>
        <v>RR</v>
      </c>
    </row>
    <row r="74" spans="2:53" s="142" customFormat="1" ht="21" customHeight="1" x14ac:dyDescent="0.25">
      <c r="B74" s="173" t="str">
        <f t="shared" si="6"/>
        <v>0-304L/FH-0.30X630</v>
      </c>
      <c r="C74" s="173" t="s">
        <v>4365</v>
      </c>
      <c r="D74" s="173" t="s">
        <v>16</v>
      </c>
      <c r="E74" s="190" t="s">
        <v>3966</v>
      </c>
      <c r="F74" s="190" t="s">
        <v>3967</v>
      </c>
      <c r="G74" s="173" t="s">
        <v>182</v>
      </c>
      <c r="H74" s="173" t="s">
        <v>70</v>
      </c>
      <c r="I74" s="174">
        <v>0.57999999999999996</v>
      </c>
      <c r="J74" s="174">
        <v>0.3</v>
      </c>
      <c r="K74" s="174"/>
      <c r="L74" s="174"/>
      <c r="M74" s="191">
        <v>630</v>
      </c>
      <c r="N74" s="176">
        <v>10.555</v>
      </c>
      <c r="O74" s="176">
        <v>10.555</v>
      </c>
      <c r="P74" s="176" t="s">
        <v>114</v>
      </c>
      <c r="Q74" s="178" t="s">
        <v>1344</v>
      </c>
      <c r="R74" s="179"/>
      <c r="S74" s="179" t="s">
        <v>230</v>
      </c>
      <c r="T74" s="177" t="s">
        <v>3968</v>
      </c>
      <c r="U74" s="177"/>
      <c r="V74" s="177">
        <v>44936</v>
      </c>
      <c r="W74" s="177">
        <v>44922</v>
      </c>
      <c r="X74" s="177">
        <v>44930</v>
      </c>
      <c r="Y74" s="177"/>
      <c r="Z74" s="177" t="s">
        <v>3969</v>
      </c>
      <c r="AA74" s="177"/>
      <c r="AB74" s="177"/>
      <c r="AC74" s="177"/>
      <c r="AD74" s="180" t="s">
        <v>2479</v>
      </c>
      <c r="AE74" s="173" t="s">
        <v>69</v>
      </c>
      <c r="AF74" s="181" t="s">
        <v>142</v>
      </c>
      <c r="AG74" s="192" t="s">
        <v>1594</v>
      </c>
      <c r="AH74" s="198"/>
      <c r="AI74" s="181">
        <v>44849</v>
      </c>
      <c r="AJ74" s="181"/>
      <c r="AK74" s="181">
        <f t="shared" ca="1" si="7"/>
        <v>44958</v>
      </c>
      <c r="AL74" s="173">
        <f t="shared" ca="1" si="8"/>
        <v>109</v>
      </c>
      <c r="AM74" s="173">
        <f t="shared" ca="1" si="9"/>
        <v>28</v>
      </c>
      <c r="AN74" s="181"/>
      <c r="AO74" s="190" t="s">
        <v>3970</v>
      </c>
      <c r="AP74" s="176">
        <v>10.715</v>
      </c>
      <c r="AQ74" s="176">
        <v>10.725</v>
      </c>
      <c r="AR74" s="176">
        <v>10.749999999999998</v>
      </c>
      <c r="AS74" s="176">
        <v>10.754999999999999</v>
      </c>
      <c r="AT74" s="173">
        <f t="shared" ca="1" si="10"/>
        <v>22</v>
      </c>
      <c r="AU74" s="173">
        <v>456</v>
      </c>
      <c r="AW74" s="142" t="s">
        <v>123</v>
      </c>
      <c r="AX74" s="142" t="str">
        <f>LEFT(RIGHT(C74,LEN(C74)-MIN(SEARCH({0,1,2,3,4,5,6,7,8,9},C74&amp;"0123456789"))+1),2)</f>
        <v>10</v>
      </c>
      <c r="AY74" s="142">
        <v>2</v>
      </c>
      <c r="AZ74" s="142" t="str">
        <f>LEFT(RIGHT(C74,LEN(C74)-MIN(SEARCH({0,1,2,3,4,5,6,7,8,9},C74&amp;"0123456789"))+1),5)</f>
        <v>10.01</v>
      </c>
      <c r="BA74" s="142" t="str">
        <f t="shared" si="11"/>
        <v>RR</v>
      </c>
    </row>
    <row r="75" spans="2:53" s="142" customFormat="1" ht="21" customHeight="1" x14ac:dyDescent="0.25">
      <c r="B75" s="173" t="str">
        <f t="shared" si="6"/>
        <v>0-304/FH-1.50X772</v>
      </c>
      <c r="C75" s="173" t="s">
        <v>4366</v>
      </c>
      <c r="D75" s="173" t="s">
        <v>16</v>
      </c>
      <c r="E75" s="190" t="s">
        <v>4006</v>
      </c>
      <c r="F75" s="190" t="s">
        <v>4007</v>
      </c>
      <c r="G75" s="173">
        <v>304</v>
      </c>
      <c r="H75" s="173" t="s">
        <v>70</v>
      </c>
      <c r="I75" s="174">
        <v>3.82</v>
      </c>
      <c r="J75" s="174">
        <v>1.5</v>
      </c>
      <c r="K75" s="174"/>
      <c r="L75" s="174"/>
      <c r="M75" s="191">
        <v>772</v>
      </c>
      <c r="N75" s="176">
        <v>9.1850000000000005</v>
      </c>
      <c r="O75" s="176">
        <v>9.1850000000000005</v>
      </c>
      <c r="P75" s="176" t="s">
        <v>114</v>
      </c>
      <c r="Q75" s="178" t="s">
        <v>1546</v>
      </c>
      <c r="R75" s="179"/>
      <c r="S75" s="179"/>
      <c r="T75" s="177">
        <v>44935</v>
      </c>
      <c r="U75" s="177"/>
      <c r="V75" s="177">
        <v>44936</v>
      </c>
      <c r="W75" s="177"/>
      <c r="X75" s="177"/>
      <c r="Y75" s="177"/>
      <c r="Z75" s="177"/>
      <c r="AA75" s="177"/>
      <c r="AB75" s="177"/>
      <c r="AC75" s="177"/>
      <c r="AD75" s="180" t="s">
        <v>1507</v>
      </c>
      <c r="AE75" s="173" t="s">
        <v>69</v>
      </c>
      <c r="AF75" s="181" t="s">
        <v>142</v>
      </c>
      <c r="AG75" s="192" t="s">
        <v>1584</v>
      </c>
      <c r="AH75" s="198"/>
      <c r="AI75" s="181">
        <v>44914</v>
      </c>
      <c r="AJ75" s="181"/>
      <c r="AK75" s="181">
        <f t="shared" ca="1" si="7"/>
        <v>44958</v>
      </c>
      <c r="AL75" s="173">
        <f t="shared" ca="1" si="8"/>
        <v>44</v>
      </c>
      <c r="AM75" s="173" t="str">
        <f t="shared" si="9"/>
        <v/>
      </c>
      <c r="AN75" s="181"/>
      <c r="AO75" s="190" t="s">
        <v>2601</v>
      </c>
      <c r="AP75" s="176">
        <v>9.1850000000000005</v>
      </c>
      <c r="AQ75" s="176">
        <v>9.1950000000000003</v>
      </c>
      <c r="AR75" s="176">
        <v>9.2199999999999989</v>
      </c>
      <c r="AS75" s="176">
        <v>9.2249999999999996</v>
      </c>
      <c r="AT75" s="173">
        <f t="shared" ca="1" si="10"/>
        <v>22</v>
      </c>
      <c r="AU75" s="173">
        <v>462</v>
      </c>
      <c r="AW75" s="142" t="s">
        <v>123</v>
      </c>
      <c r="AX75" s="142" t="str">
        <f>LEFT(RIGHT(C75,LEN(C75)-MIN(SEARCH({0,1,2,3,4,5,6,7,8,9},C75&amp;"0123456789"))+1),2)</f>
        <v>10</v>
      </c>
      <c r="AY75" s="142">
        <v>2</v>
      </c>
      <c r="AZ75" s="142" t="str">
        <f>LEFT(RIGHT(C75,LEN(C75)-MIN(SEARCH({0,1,2,3,4,5,6,7,8,9},C75&amp;"0123456789"))+1),5)</f>
        <v>10.01</v>
      </c>
      <c r="BA75" s="142" t="str">
        <f t="shared" si="11"/>
        <v>MI</v>
      </c>
    </row>
    <row r="76" spans="2:53" s="142" customFormat="1" ht="21" customHeight="1" x14ac:dyDescent="0.25">
      <c r="B76" s="173" t="str">
        <f t="shared" si="6"/>
        <v>0-304L/FH-1.45X770</v>
      </c>
      <c r="C76" s="173" t="s">
        <v>4366</v>
      </c>
      <c r="D76" s="173" t="s">
        <v>16</v>
      </c>
      <c r="E76" s="190" t="s">
        <v>3975</v>
      </c>
      <c r="F76" s="190" t="s">
        <v>4018</v>
      </c>
      <c r="G76" s="173" t="s">
        <v>182</v>
      </c>
      <c r="H76" s="173" t="s">
        <v>70</v>
      </c>
      <c r="I76" s="174">
        <v>3.8</v>
      </c>
      <c r="J76" s="174">
        <v>1.45</v>
      </c>
      <c r="K76" s="174"/>
      <c r="L76" s="174"/>
      <c r="M76" s="191">
        <v>770</v>
      </c>
      <c r="N76" s="176">
        <v>12.305</v>
      </c>
      <c r="O76" s="176">
        <v>12.305</v>
      </c>
      <c r="P76" s="176" t="s">
        <v>114</v>
      </c>
      <c r="Q76" s="178" t="s">
        <v>1210</v>
      </c>
      <c r="R76" s="179"/>
      <c r="S76" s="179"/>
      <c r="T76" s="177">
        <v>44936</v>
      </c>
      <c r="U76" s="177"/>
      <c r="V76" s="177">
        <v>44936</v>
      </c>
      <c r="W76" s="177"/>
      <c r="X76" s="177"/>
      <c r="Y76" s="177"/>
      <c r="Z76" s="177"/>
      <c r="AA76" s="177">
        <v>44933</v>
      </c>
      <c r="AB76" s="177"/>
      <c r="AC76" s="177"/>
      <c r="AD76" s="180" t="s">
        <v>1507</v>
      </c>
      <c r="AE76" s="173" t="s">
        <v>69</v>
      </c>
      <c r="AF76" s="181" t="s">
        <v>142</v>
      </c>
      <c r="AG76" s="192" t="s">
        <v>1508</v>
      </c>
      <c r="AH76" s="198"/>
      <c r="AI76" s="181">
        <v>44849</v>
      </c>
      <c r="AJ76" s="181"/>
      <c r="AK76" s="181">
        <f t="shared" ca="1" si="7"/>
        <v>44958</v>
      </c>
      <c r="AL76" s="173">
        <f t="shared" ca="1" si="8"/>
        <v>109</v>
      </c>
      <c r="AM76" s="173" t="str">
        <f t="shared" si="9"/>
        <v/>
      </c>
      <c r="AN76" s="181"/>
      <c r="AO76" s="190" t="s">
        <v>3977</v>
      </c>
      <c r="AP76" s="176">
        <v>24.56</v>
      </c>
      <c r="AQ76" s="176">
        <v>24.62</v>
      </c>
      <c r="AR76" s="176">
        <v>24.645000000000003</v>
      </c>
      <c r="AS76" s="176">
        <v>24.650000000000002</v>
      </c>
      <c r="AT76" s="173">
        <f t="shared" ca="1" si="10"/>
        <v>22</v>
      </c>
      <c r="AU76" s="173">
        <v>456</v>
      </c>
      <c r="AW76" s="142" t="s">
        <v>123</v>
      </c>
      <c r="AX76" s="142" t="str">
        <f>LEFT(RIGHT(C76,LEN(C76)-MIN(SEARCH({0,1,2,3,4,5,6,7,8,9},C76&amp;"0123456789"))+1),2)</f>
        <v>10</v>
      </c>
      <c r="AY76" s="142">
        <v>2</v>
      </c>
      <c r="AZ76" s="142" t="str">
        <f>LEFT(RIGHT(C76,LEN(C76)-MIN(SEARCH({0,1,2,3,4,5,6,7,8,9},C76&amp;"0123456789"))+1),5)</f>
        <v>10.01</v>
      </c>
      <c r="BA76" s="142" t="str">
        <f t="shared" si="11"/>
        <v>MI</v>
      </c>
    </row>
    <row r="77" spans="2:53" s="142" customFormat="1" ht="21" customHeight="1" x14ac:dyDescent="0.25">
      <c r="B77" s="173" t="str">
        <f t="shared" si="6"/>
        <v>0-304L/FH-0.80X773</v>
      </c>
      <c r="C77" s="173" t="s">
        <v>4366</v>
      </c>
      <c r="D77" s="173" t="s">
        <v>16</v>
      </c>
      <c r="E77" s="190" t="s">
        <v>3999</v>
      </c>
      <c r="F77" s="190" t="s">
        <v>4000</v>
      </c>
      <c r="G77" s="173" t="s">
        <v>182</v>
      </c>
      <c r="H77" s="173" t="s">
        <v>70</v>
      </c>
      <c r="I77" s="174">
        <v>2.8</v>
      </c>
      <c r="J77" s="174">
        <v>0.8</v>
      </c>
      <c r="K77" s="174"/>
      <c r="L77" s="174"/>
      <c r="M77" s="191">
        <v>773</v>
      </c>
      <c r="N77" s="176">
        <v>10.574999999999999</v>
      </c>
      <c r="O77" s="176">
        <v>10.574999999999999</v>
      </c>
      <c r="P77" s="176" t="s">
        <v>114</v>
      </c>
      <c r="Q77" s="178" t="s">
        <v>1540</v>
      </c>
      <c r="R77" s="179"/>
      <c r="S77" s="179"/>
      <c r="T77" s="177">
        <v>44935</v>
      </c>
      <c r="U77" s="177"/>
      <c r="V77" s="177">
        <v>44936</v>
      </c>
      <c r="W77" s="177"/>
      <c r="X77" s="177"/>
      <c r="Y77" s="177"/>
      <c r="Z77" s="177"/>
      <c r="AA77" s="177"/>
      <c r="AB77" s="177"/>
      <c r="AC77" s="177"/>
      <c r="AD77" s="180" t="s">
        <v>1507</v>
      </c>
      <c r="AE77" s="173" t="s">
        <v>69</v>
      </c>
      <c r="AF77" s="181" t="s">
        <v>142</v>
      </c>
      <c r="AG77" s="192" t="s">
        <v>1584</v>
      </c>
      <c r="AH77" s="198"/>
      <c r="AI77" s="181">
        <v>44914</v>
      </c>
      <c r="AJ77" s="181"/>
      <c r="AK77" s="181">
        <f t="shared" ca="1" si="7"/>
        <v>44958</v>
      </c>
      <c r="AL77" s="173">
        <f t="shared" ca="1" si="8"/>
        <v>44</v>
      </c>
      <c r="AM77" s="173" t="str">
        <f t="shared" si="9"/>
        <v/>
      </c>
      <c r="AN77" s="181"/>
      <c r="AO77" s="190" t="s">
        <v>4001</v>
      </c>
      <c r="AP77" s="176">
        <v>10.574999999999999</v>
      </c>
      <c r="AQ77" s="176">
        <v>10.585000000000001</v>
      </c>
      <c r="AR77" s="176">
        <v>10.61</v>
      </c>
      <c r="AS77" s="176">
        <v>10.615</v>
      </c>
      <c r="AT77" s="173">
        <f t="shared" ca="1" si="10"/>
        <v>22</v>
      </c>
      <c r="AU77" s="173">
        <v>462</v>
      </c>
      <c r="AW77" s="142" t="s">
        <v>123</v>
      </c>
      <c r="AX77" s="142" t="str">
        <f>LEFT(RIGHT(C77,LEN(C77)-MIN(SEARCH({0,1,2,3,4,5,6,7,8,9},C77&amp;"0123456789"))+1),2)</f>
        <v>10</v>
      </c>
      <c r="AY77" s="142">
        <v>3</v>
      </c>
      <c r="AZ77" s="142" t="str">
        <f>LEFT(RIGHT(C77,LEN(C77)-MIN(SEARCH({0,1,2,3,4,5,6,7,8,9},C77&amp;"0123456789"))+1),5)</f>
        <v>10.01</v>
      </c>
      <c r="BA77" s="142" t="str">
        <f t="shared" si="11"/>
        <v>MI</v>
      </c>
    </row>
    <row r="78" spans="2:53" s="142" customFormat="1" ht="21" customHeight="1" x14ac:dyDescent="0.25">
      <c r="B78" s="173" t="str">
        <f t="shared" si="6"/>
        <v>0-304/FH-1.15X772</v>
      </c>
      <c r="C78" s="173" t="s">
        <v>4366</v>
      </c>
      <c r="D78" s="173" t="s">
        <v>16</v>
      </c>
      <c r="E78" s="190" t="s">
        <v>2549</v>
      </c>
      <c r="F78" s="190" t="s">
        <v>4005</v>
      </c>
      <c r="G78" s="173">
        <v>304</v>
      </c>
      <c r="H78" s="173" t="s">
        <v>70</v>
      </c>
      <c r="I78" s="174">
        <v>3.39</v>
      </c>
      <c r="J78" s="174">
        <v>1.1499999999999999</v>
      </c>
      <c r="K78" s="174"/>
      <c r="L78" s="174"/>
      <c r="M78" s="191">
        <v>772</v>
      </c>
      <c r="N78" s="176">
        <v>10.62</v>
      </c>
      <c r="O78" s="176">
        <v>10.62</v>
      </c>
      <c r="P78" s="176" t="s">
        <v>114</v>
      </c>
      <c r="Q78" s="178" t="s">
        <v>1210</v>
      </c>
      <c r="R78" s="179"/>
      <c r="S78" s="179"/>
      <c r="T78" s="177">
        <v>44935</v>
      </c>
      <c r="U78" s="177"/>
      <c r="V78" s="177">
        <v>44936</v>
      </c>
      <c r="W78" s="177"/>
      <c r="X78" s="177"/>
      <c r="Y78" s="177"/>
      <c r="Z78" s="177"/>
      <c r="AA78" s="177"/>
      <c r="AB78" s="177"/>
      <c r="AC78" s="177"/>
      <c r="AD78" s="180" t="s">
        <v>1507</v>
      </c>
      <c r="AE78" s="173" t="s">
        <v>69</v>
      </c>
      <c r="AF78" s="181" t="s">
        <v>142</v>
      </c>
      <c r="AG78" s="192" t="s">
        <v>1584</v>
      </c>
      <c r="AH78" s="198"/>
      <c r="AI78" s="181">
        <v>44914</v>
      </c>
      <c r="AJ78" s="181"/>
      <c r="AK78" s="181">
        <f t="shared" ca="1" si="7"/>
        <v>44958</v>
      </c>
      <c r="AL78" s="173">
        <f t="shared" ca="1" si="8"/>
        <v>44</v>
      </c>
      <c r="AM78" s="173" t="str">
        <f t="shared" si="9"/>
        <v/>
      </c>
      <c r="AN78" s="181"/>
      <c r="AO78" s="190" t="s">
        <v>2548</v>
      </c>
      <c r="AP78" s="176">
        <v>10.62</v>
      </c>
      <c r="AQ78" s="176">
        <v>10.63</v>
      </c>
      <c r="AR78" s="176">
        <v>10.654999999999999</v>
      </c>
      <c r="AS78" s="176">
        <v>10.66</v>
      </c>
      <c r="AT78" s="173">
        <f t="shared" ca="1" si="10"/>
        <v>22</v>
      </c>
      <c r="AU78" s="173">
        <v>462</v>
      </c>
      <c r="AW78" s="142" t="s">
        <v>123</v>
      </c>
      <c r="AX78" s="142" t="str">
        <f>LEFT(RIGHT(C78,LEN(C78)-MIN(SEARCH({0,1,2,3,4,5,6,7,8,9},C78&amp;"0123456789"))+1),2)</f>
        <v>10</v>
      </c>
      <c r="AY78" s="142">
        <v>3</v>
      </c>
      <c r="AZ78" s="142" t="str">
        <f>LEFT(RIGHT(C78,LEN(C78)-MIN(SEARCH({0,1,2,3,4,5,6,7,8,9},C78&amp;"0123456789"))+1),5)</f>
        <v>10.01</v>
      </c>
      <c r="BA78" s="142" t="str">
        <f t="shared" si="11"/>
        <v>MI</v>
      </c>
    </row>
    <row r="79" spans="2:53" s="142" customFormat="1" ht="21" customHeight="1" x14ac:dyDescent="0.25">
      <c r="B79" s="173" t="str">
        <f t="shared" si="6"/>
        <v>0-304/FH-1.20X767</v>
      </c>
      <c r="C79" s="173" t="s">
        <v>4367</v>
      </c>
      <c r="D79" s="173" t="s">
        <v>16</v>
      </c>
      <c r="E79" s="190" t="s">
        <v>1582</v>
      </c>
      <c r="F79" s="190" t="s">
        <v>4021</v>
      </c>
      <c r="G79" s="173">
        <v>304</v>
      </c>
      <c r="H79" s="173" t="s">
        <v>70</v>
      </c>
      <c r="I79" s="174">
        <v>3.76</v>
      </c>
      <c r="J79" s="174">
        <v>1.2</v>
      </c>
      <c r="K79" s="174"/>
      <c r="L79" s="174"/>
      <c r="M79" s="191">
        <v>767</v>
      </c>
      <c r="N79" s="176">
        <v>10.305</v>
      </c>
      <c r="O79" s="176">
        <v>10.305</v>
      </c>
      <c r="P79" s="176" t="s">
        <v>114</v>
      </c>
      <c r="Q79" s="178" t="s">
        <v>4368</v>
      </c>
      <c r="R79" s="179"/>
      <c r="S79" s="179"/>
      <c r="T79" s="177">
        <v>44936</v>
      </c>
      <c r="U79" s="177"/>
      <c r="V79" s="177">
        <v>44937</v>
      </c>
      <c r="W79" s="177"/>
      <c r="X79" s="177"/>
      <c r="Y79" s="177"/>
      <c r="Z79" s="177"/>
      <c r="AA79" s="177"/>
      <c r="AB79" s="177"/>
      <c r="AC79" s="177"/>
      <c r="AD79" s="180" t="s">
        <v>1507</v>
      </c>
      <c r="AE79" s="173" t="s">
        <v>69</v>
      </c>
      <c r="AF79" s="181" t="s">
        <v>142</v>
      </c>
      <c r="AG79" s="192" t="s">
        <v>1584</v>
      </c>
      <c r="AH79" s="198"/>
      <c r="AI79" s="181">
        <v>44914</v>
      </c>
      <c r="AJ79" s="181"/>
      <c r="AK79" s="181">
        <f t="shared" ca="1" si="7"/>
        <v>44958</v>
      </c>
      <c r="AL79" s="173">
        <f t="shared" ca="1" si="8"/>
        <v>44</v>
      </c>
      <c r="AM79" s="173" t="str">
        <f t="shared" si="9"/>
        <v/>
      </c>
      <c r="AN79" s="181"/>
      <c r="AO79" s="190" t="s">
        <v>1585</v>
      </c>
      <c r="AP79" s="176">
        <v>10.305</v>
      </c>
      <c r="AQ79" s="176">
        <v>10.315</v>
      </c>
      <c r="AR79" s="176">
        <v>10.339999999999998</v>
      </c>
      <c r="AS79" s="176">
        <v>10.344999999999999</v>
      </c>
      <c r="AT79" s="173">
        <f t="shared" ca="1" si="10"/>
        <v>21</v>
      </c>
      <c r="AU79" s="173">
        <v>462</v>
      </c>
      <c r="AW79" s="142" t="s">
        <v>123</v>
      </c>
      <c r="AX79" s="142" t="str">
        <f>LEFT(RIGHT(C79,LEN(C79)-MIN(SEARCH({0,1,2,3,4,5,6,7,8,9},C79&amp;"0123456789"))+1),2)</f>
        <v>11</v>
      </c>
      <c r="AY79" s="142">
        <v>1</v>
      </c>
      <c r="AZ79" s="142" t="str">
        <f>LEFT(RIGHT(C79,LEN(C79)-MIN(SEARCH({0,1,2,3,4,5,6,7,8,9},C79&amp;"0123456789"))+1),5)</f>
        <v>11.01</v>
      </c>
      <c r="BA79" s="142" t="str">
        <f t="shared" si="11"/>
        <v>MI</v>
      </c>
    </row>
    <row r="80" spans="2:53" s="142" customFormat="1" ht="21" customHeight="1" x14ac:dyDescent="0.25">
      <c r="B80" s="173" t="str">
        <f t="shared" si="6"/>
        <v>0-304L/FH-2.00X768</v>
      </c>
      <c r="C80" s="173" t="s">
        <v>4367</v>
      </c>
      <c r="D80" s="173" t="s">
        <v>16</v>
      </c>
      <c r="E80" s="190" t="s">
        <v>4025</v>
      </c>
      <c r="F80" s="190" t="s">
        <v>4026</v>
      </c>
      <c r="G80" s="173" t="s">
        <v>182</v>
      </c>
      <c r="H80" s="173" t="s">
        <v>70</v>
      </c>
      <c r="I80" s="174">
        <v>3.8</v>
      </c>
      <c r="J80" s="174">
        <v>2</v>
      </c>
      <c r="K80" s="174"/>
      <c r="L80" s="174"/>
      <c r="M80" s="191">
        <v>768</v>
      </c>
      <c r="N80" s="176">
        <v>12.324999999999999</v>
      </c>
      <c r="O80" s="176">
        <v>12.324999999999999</v>
      </c>
      <c r="P80" s="176" t="s">
        <v>114</v>
      </c>
      <c r="Q80" s="178" t="s">
        <v>4369</v>
      </c>
      <c r="R80" s="179"/>
      <c r="S80" s="179"/>
      <c r="T80" s="177">
        <v>44936</v>
      </c>
      <c r="U80" s="177"/>
      <c r="V80" s="177">
        <v>44937</v>
      </c>
      <c r="W80" s="177"/>
      <c r="X80" s="177"/>
      <c r="Y80" s="177"/>
      <c r="Z80" s="177"/>
      <c r="AA80" s="177">
        <v>44932</v>
      </c>
      <c r="AB80" s="177"/>
      <c r="AC80" s="177"/>
      <c r="AD80" s="180" t="s">
        <v>1507</v>
      </c>
      <c r="AE80" s="173" t="s">
        <v>69</v>
      </c>
      <c r="AF80" s="181" t="s">
        <v>142</v>
      </c>
      <c r="AG80" s="192" t="s">
        <v>1508</v>
      </c>
      <c r="AH80" s="198"/>
      <c r="AI80" s="181">
        <v>44849</v>
      </c>
      <c r="AJ80" s="181"/>
      <c r="AK80" s="181">
        <f t="shared" ca="1" si="7"/>
        <v>44958</v>
      </c>
      <c r="AL80" s="173">
        <f t="shared" ca="1" si="8"/>
        <v>109</v>
      </c>
      <c r="AM80" s="173" t="str">
        <f t="shared" si="9"/>
        <v/>
      </c>
      <c r="AN80" s="181"/>
      <c r="AO80" s="190" t="s">
        <v>4027</v>
      </c>
      <c r="AP80" s="176">
        <v>24.6</v>
      </c>
      <c r="AQ80" s="176">
        <v>24.66</v>
      </c>
      <c r="AR80" s="176">
        <v>24.685000000000002</v>
      </c>
      <c r="AS80" s="176">
        <v>24.69</v>
      </c>
      <c r="AT80" s="173">
        <f t="shared" ca="1" si="10"/>
        <v>21</v>
      </c>
      <c r="AU80" s="173">
        <v>456</v>
      </c>
      <c r="AW80" s="142" t="s">
        <v>123</v>
      </c>
      <c r="AX80" s="142" t="str">
        <f>LEFT(RIGHT(C80,LEN(C80)-MIN(SEARCH({0,1,2,3,4,5,6,7,8,9},C80&amp;"0123456789"))+1),2)</f>
        <v>11</v>
      </c>
      <c r="AY80" s="142">
        <v>1</v>
      </c>
      <c r="AZ80" s="142" t="str">
        <f>LEFT(RIGHT(C80,LEN(C80)-MIN(SEARCH({0,1,2,3,4,5,6,7,8,9},C80&amp;"0123456789"))+1),5)</f>
        <v>11.01</v>
      </c>
      <c r="BA80" s="142" t="str">
        <f t="shared" si="11"/>
        <v>MI</v>
      </c>
    </row>
    <row r="81" spans="2:53" s="142" customFormat="1" ht="21" customHeight="1" x14ac:dyDescent="0.25">
      <c r="B81" s="173" t="str">
        <f t="shared" si="6"/>
        <v>0-304L/FH-1.20X765</v>
      </c>
      <c r="C81" s="173" t="s">
        <v>4367</v>
      </c>
      <c r="D81" s="173" t="s">
        <v>16</v>
      </c>
      <c r="E81" s="190" t="s">
        <v>1576</v>
      </c>
      <c r="F81" s="190" t="s">
        <v>4034</v>
      </c>
      <c r="G81" s="173" t="s">
        <v>182</v>
      </c>
      <c r="H81" s="173" t="s">
        <v>70</v>
      </c>
      <c r="I81" s="174">
        <v>3.79666666666667</v>
      </c>
      <c r="J81" s="174">
        <v>1.2</v>
      </c>
      <c r="K81" s="174"/>
      <c r="L81" s="174"/>
      <c r="M81" s="191">
        <v>765</v>
      </c>
      <c r="N81" s="176">
        <v>10.33</v>
      </c>
      <c r="O81" s="176">
        <v>10.33</v>
      </c>
      <c r="P81" s="176" t="s">
        <v>114</v>
      </c>
      <c r="Q81" s="178" t="s">
        <v>1386</v>
      </c>
      <c r="R81" s="179"/>
      <c r="S81" s="179"/>
      <c r="T81" s="177">
        <v>44937</v>
      </c>
      <c r="U81" s="177"/>
      <c r="V81" s="177">
        <v>44937</v>
      </c>
      <c r="W81" s="177"/>
      <c r="X81" s="177"/>
      <c r="Y81" s="177"/>
      <c r="Z81" s="177"/>
      <c r="AA81" s="177">
        <v>44935</v>
      </c>
      <c r="AB81" s="177"/>
      <c r="AC81" s="177"/>
      <c r="AD81" s="180" t="s">
        <v>1507</v>
      </c>
      <c r="AE81" s="173" t="s">
        <v>69</v>
      </c>
      <c r="AF81" s="181" t="s">
        <v>142</v>
      </c>
      <c r="AG81" s="192" t="s">
        <v>1508</v>
      </c>
      <c r="AH81" s="198"/>
      <c r="AI81" s="181">
        <v>44849</v>
      </c>
      <c r="AJ81" s="181"/>
      <c r="AK81" s="181">
        <f t="shared" ca="1" si="7"/>
        <v>44958</v>
      </c>
      <c r="AL81" s="173">
        <f t="shared" ca="1" si="8"/>
        <v>109</v>
      </c>
      <c r="AM81" s="173" t="str">
        <f t="shared" si="9"/>
        <v/>
      </c>
      <c r="AN81" s="181"/>
      <c r="AO81" s="190" t="s">
        <v>1578</v>
      </c>
      <c r="AP81" s="176">
        <v>20.625</v>
      </c>
      <c r="AQ81" s="176">
        <v>20.684999999999999</v>
      </c>
      <c r="AR81" s="176">
        <v>20.71</v>
      </c>
      <c r="AS81" s="176">
        <v>20.715</v>
      </c>
      <c r="AT81" s="173">
        <f t="shared" ca="1" si="10"/>
        <v>21</v>
      </c>
      <c r="AU81" s="173">
        <v>456</v>
      </c>
      <c r="AW81" s="142" t="s">
        <v>123</v>
      </c>
      <c r="AX81" s="142" t="str">
        <f>LEFT(RIGHT(C81,LEN(C81)-MIN(SEARCH({0,1,2,3,4,5,6,7,8,9},C81&amp;"0123456789"))+1),2)</f>
        <v>11</v>
      </c>
      <c r="AY81" s="142">
        <v>1</v>
      </c>
      <c r="AZ81" s="142" t="str">
        <f>LEFT(RIGHT(C81,LEN(C81)-MIN(SEARCH({0,1,2,3,4,5,6,7,8,9},C81&amp;"0123456789"))+1),5)</f>
        <v>11.01</v>
      </c>
      <c r="BA81" s="142" t="str">
        <f t="shared" si="11"/>
        <v>MI</v>
      </c>
    </row>
    <row r="82" spans="2:53" s="142" customFormat="1" ht="21" customHeight="1" x14ac:dyDescent="0.25">
      <c r="B82" s="173" t="str">
        <f t="shared" si="6"/>
        <v>0-304/FH-1.20X763</v>
      </c>
      <c r="C82" s="173" t="s">
        <v>4367</v>
      </c>
      <c r="D82" s="173" t="s">
        <v>16</v>
      </c>
      <c r="E82" s="190" t="s">
        <v>4039</v>
      </c>
      <c r="F82" s="190" t="s">
        <v>4040</v>
      </c>
      <c r="G82" s="173">
        <v>304</v>
      </c>
      <c r="H82" s="173" t="s">
        <v>70</v>
      </c>
      <c r="I82" s="174">
        <v>3.77</v>
      </c>
      <c r="J82" s="174">
        <v>1.2</v>
      </c>
      <c r="K82" s="174"/>
      <c r="L82" s="174"/>
      <c r="M82" s="191">
        <v>763</v>
      </c>
      <c r="N82" s="176">
        <v>10.31</v>
      </c>
      <c r="O82" s="176">
        <v>10.31</v>
      </c>
      <c r="P82" s="176" t="s">
        <v>114</v>
      </c>
      <c r="Q82" s="178" t="s">
        <v>1546</v>
      </c>
      <c r="R82" s="179"/>
      <c r="S82" s="179"/>
      <c r="T82" s="177">
        <v>44937</v>
      </c>
      <c r="U82" s="177"/>
      <c r="V82" s="177">
        <v>44937</v>
      </c>
      <c r="W82" s="177"/>
      <c r="X82" s="177"/>
      <c r="Y82" s="177"/>
      <c r="Z82" s="177"/>
      <c r="AA82" s="177"/>
      <c r="AB82" s="177"/>
      <c r="AC82" s="177"/>
      <c r="AD82" s="180" t="s">
        <v>1507</v>
      </c>
      <c r="AE82" s="173" t="s">
        <v>69</v>
      </c>
      <c r="AF82" s="181" t="s">
        <v>142</v>
      </c>
      <c r="AG82" s="192" t="s">
        <v>1584</v>
      </c>
      <c r="AH82" s="198"/>
      <c r="AI82" s="181">
        <v>44914</v>
      </c>
      <c r="AJ82" s="181"/>
      <c r="AK82" s="181">
        <f t="shared" ca="1" si="7"/>
        <v>44958</v>
      </c>
      <c r="AL82" s="173">
        <f t="shared" ca="1" si="8"/>
        <v>44</v>
      </c>
      <c r="AM82" s="173" t="str">
        <f t="shared" si="9"/>
        <v/>
      </c>
      <c r="AN82" s="181"/>
      <c r="AO82" s="190" t="s">
        <v>4041</v>
      </c>
      <c r="AP82" s="176">
        <v>10.31</v>
      </c>
      <c r="AQ82" s="176">
        <v>10.32</v>
      </c>
      <c r="AR82" s="176">
        <v>10.344999999999999</v>
      </c>
      <c r="AS82" s="176">
        <v>10.35</v>
      </c>
      <c r="AT82" s="173">
        <f t="shared" ca="1" si="10"/>
        <v>21</v>
      </c>
      <c r="AU82" s="173">
        <v>462</v>
      </c>
      <c r="AW82" s="142" t="s">
        <v>123</v>
      </c>
      <c r="AX82" s="142" t="str">
        <f>LEFT(RIGHT(C82,LEN(C82)-MIN(SEARCH({0,1,2,3,4,5,6,7,8,9},C82&amp;"0123456789"))+1),2)</f>
        <v>11</v>
      </c>
      <c r="AY82" s="142">
        <v>2</v>
      </c>
      <c r="AZ82" s="142" t="str">
        <f>LEFT(RIGHT(C82,LEN(C82)-MIN(SEARCH({0,1,2,3,4,5,6,7,8,9},C82&amp;"0123456789"))+1),5)</f>
        <v>11.01</v>
      </c>
      <c r="BA82" s="142" t="str">
        <f t="shared" si="11"/>
        <v>MI</v>
      </c>
    </row>
    <row r="83" spans="2:53" s="142" customFormat="1" ht="21" customHeight="1" x14ac:dyDescent="0.25">
      <c r="B83" s="173" t="str">
        <f t="shared" si="6"/>
        <v>0-304L/FH-1.50X767</v>
      </c>
      <c r="C83" s="173" t="s">
        <v>4367</v>
      </c>
      <c r="D83" s="173" t="s">
        <v>16</v>
      </c>
      <c r="E83" s="190" t="s">
        <v>4042</v>
      </c>
      <c r="F83" s="190" t="s">
        <v>4043</v>
      </c>
      <c r="G83" s="173" t="s">
        <v>182</v>
      </c>
      <c r="H83" s="173" t="s">
        <v>70</v>
      </c>
      <c r="I83" s="174">
        <v>3.79</v>
      </c>
      <c r="J83" s="174">
        <v>1.5</v>
      </c>
      <c r="K83" s="174"/>
      <c r="L83" s="174"/>
      <c r="M83" s="191">
        <v>767</v>
      </c>
      <c r="N83" s="176">
        <v>12.19</v>
      </c>
      <c r="O83" s="176">
        <v>12.19</v>
      </c>
      <c r="P83" s="176" t="s">
        <v>114</v>
      </c>
      <c r="Q83" s="178" t="s">
        <v>1386</v>
      </c>
      <c r="R83" s="179"/>
      <c r="S83" s="179"/>
      <c r="T83" s="177">
        <v>44937</v>
      </c>
      <c r="U83" s="177"/>
      <c r="V83" s="177">
        <v>44937</v>
      </c>
      <c r="W83" s="177"/>
      <c r="X83" s="177"/>
      <c r="Y83" s="177"/>
      <c r="Z83" s="177"/>
      <c r="AA83" s="177">
        <v>44933</v>
      </c>
      <c r="AB83" s="177"/>
      <c r="AC83" s="177"/>
      <c r="AD83" s="180" t="s">
        <v>1507</v>
      </c>
      <c r="AE83" s="173" t="s">
        <v>69</v>
      </c>
      <c r="AF83" s="181" t="s">
        <v>142</v>
      </c>
      <c r="AG83" s="192" t="s">
        <v>1508</v>
      </c>
      <c r="AH83" s="198"/>
      <c r="AI83" s="181">
        <v>44849</v>
      </c>
      <c r="AJ83" s="181"/>
      <c r="AK83" s="181">
        <f t="shared" ca="1" si="7"/>
        <v>44958</v>
      </c>
      <c r="AL83" s="173">
        <f t="shared" ca="1" si="8"/>
        <v>109</v>
      </c>
      <c r="AM83" s="173" t="str">
        <f t="shared" si="9"/>
        <v/>
      </c>
      <c r="AN83" s="181"/>
      <c r="AO83" s="190" t="s">
        <v>4044</v>
      </c>
      <c r="AP83" s="176">
        <v>24.504999999999999</v>
      </c>
      <c r="AQ83" s="176">
        <v>24.565000000000001</v>
      </c>
      <c r="AR83" s="176">
        <v>24.590000000000003</v>
      </c>
      <c r="AS83" s="176">
        <v>24.595000000000002</v>
      </c>
      <c r="AT83" s="173">
        <f t="shared" ca="1" si="10"/>
        <v>21</v>
      </c>
      <c r="AU83" s="173">
        <v>456</v>
      </c>
      <c r="AW83" s="142" t="s">
        <v>123</v>
      </c>
      <c r="AX83" s="142" t="str">
        <f>LEFT(RIGHT(C83,LEN(C83)-MIN(SEARCH({0,1,2,3,4,5,6,7,8,9},C83&amp;"0123456789"))+1),2)</f>
        <v>11</v>
      </c>
      <c r="AY83" s="142">
        <v>2</v>
      </c>
      <c r="AZ83" s="142" t="str">
        <f>LEFT(RIGHT(C83,LEN(C83)-MIN(SEARCH({0,1,2,3,4,5,6,7,8,9},C83&amp;"0123456789"))+1),5)</f>
        <v>11.01</v>
      </c>
      <c r="BA83" s="142" t="str">
        <f t="shared" si="11"/>
        <v>MI</v>
      </c>
    </row>
    <row r="84" spans="2:53" s="142" customFormat="1" ht="21" customHeight="1" x14ac:dyDescent="0.25">
      <c r="B84" s="173" t="str">
        <f t="shared" si="6"/>
        <v>0-304L/FH-1.20X768</v>
      </c>
      <c r="C84" s="173" t="s">
        <v>4367</v>
      </c>
      <c r="D84" s="173" t="s">
        <v>16</v>
      </c>
      <c r="E84" s="190" t="s">
        <v>1558</v>
      </c>
      <c r="F84" s="190" t="s">
        <v>4047</v>
      </c>
      <c r="G84" s="173" t="s">
        <v>182</v>
      </c>
      <c r="H84" s="173" t="s">
        <v>70</v>
      </c>
      <c r="I84" s="174">
        <v>3.78</v>
      </c>
      <c r="J84" s="174">
        <v>1.2</v>
      </c>
      <c r="K84" s="174"/>
      <c r="L84" s="174"/>
      <c r="M84" s="191">
        <v>768</v>
      </c>
      <c r="N84" s="176">
        <v>12.295</v>
      </c>
      <c r="O84" s="176">
        <v>12.295</v>
      </c>
      <c r="P84" s="176" t="s">
        <v>114</v>
      </c>
      <c r="Q84" s="178" t="s">
        <v>1386</v>
      </c>
      <c r="R84" s="179"/>
      <c r="S84" s="179"/>
      <c r="T84" s="177">
        <v>44937</v>
      </c>
      <c r="U84" s="177"/>
      <c r="V84" s="177">
        <v>44937</v>
      </c>
      <c r="W84" s="177"/>
      <c r="X84" s="177"/>
      <c r="Y84" s="177"/>
      <c r="Z84" s="177"/>
      <c r="AA84" s="177">
        <v>44934</v>
      </c>
      <c r="AB84" s="177"/>
      <c r="AC84" s="177"/>
      <c r="AD84" s="180" t="s">
        <v>1507</v>
      </c>
      <c r="AE84" s="173" t="s">
        <v>69</v>
      </c>
      <c r="AF84" s="181" t="s">
        <v>142</v>
      </c>
      <c r="AG84" s="192" t="s">
        <v>1508</v>
      </c>
      <c r="AH84" s="198"/>
      <c r="AI84" s="181">
        <v>44849</v>
      </c>
      <c r="AJ84" s="181"/>
      <c r="AK84" s="181">
        <f t="shared" ca="1" si="7"/>
        <v>44958</v>
      </c>
      <c r="AL84" s="173">
        <f t="shared" ca="1" si="8"/>
        <v>109</v>
      </c>
      <c r="AM84" s="173" t="str">
        <f t="shared" si="9"/>
        <v/>
      </c>
      <c r="AN84" s="181"/>
      <c r="AO84" s="190" t="s">
        <v>1560</v>
      </c>
      <c r="AP84" s="176">
        <v>24.535</v>
      </c>
      <c r="AQ84" s="176">
        <v>24.594999999999999</v>
      </c>
      <c r="AR84" s="176">
        <v>24.62</v>
      </c>
      <c r="AS84" s="176">
        <v>24.625</v>
      </c>
      <c r="AT84" s="173">
        <f t="shared" ca="1" si="10"/>
        <v>21</v>
      </c>
      <c r="AU84" s="173">
        <v>456</v>
      </c>
      <c r="AW84" s="142" t="s">
        <v>123</v>
      </c>
      <c r="AX84" s="142" t="str">
        <f>LEFT(RIGHT(C84,LEN(C84)-MIN(SEARCH({0,1,2,3,4,5,6,7,8,9},C84&amp;"0123456789"))+1),2)</f>
        <v>11</v>
      </c>
      <c r="AY84" s="142">
        <v>3</v>
      </c>
      <c r="AZ84" s="142" t="str">
        <f>LEFT(RIGHT(C84,LEN(C84)-MIN(SEARCH({0,1,2,3,4,5,6,7,8,9},C84&amp;"0123456789"))+1),5)</f>
        <v>11.01</v>
      </c>
      <c r="BA84" s="142" t="str">
        <f t="shared" si="11"/>
        <v>MI</v>
      </c>
    </row>
    <row r="85" spans="2:53" s="142" customFormat="1" ht="21" customHeight="1" x14ac:dyDescent="0.25">
      <c r="B85" s="173" t="str">
        <f t="shared" si="6"/>
        <v>0-304/FH-1.20X765</v>
      </c>
      <c r="C85" s="173" t="s">
        <v>4367</v>
      </c>
      <c r="D85" s="173" t="s">
        <v>16</v>
      </c>
      <c r="E85" s="190" t="s">
        <v>2349</v>
      </c>
      <c r="F85" s="190" t="s">
        <v>2350</v>
      </c>
      <c r="G85" s="173">
        <v>304</v>
      </c>
      <c r="H85" s="173" t="s">
        <v>70</v>
      </c>
      <c r="I85" s="174">
        <v>3.77</v>
      </c>
      <c r="J85" s="174">
        <v>1.2</v>
      </c>
      <c r="K85" s="174"/>
      <c r="L85" s="174"/>
      <c r="M85" s="191">
        <v>765</v>
      </c>
      <c r="N85" s="176">
        <v>10.425000000000001</v>
      </c>
      <c r="O85" s="176">
        <v>10.425000000000001</v>
      </c>
      <c r="P85" s="176" t="s">
        <v>114</v>
      </c>
      <c r="Q85" s="178" t="s">
        <v>986</v>
      </c>
      <c r="R85" s="179"/>
      <c r="S85" s="179"/>
      <c r="T85" s="177">
        <v>44937</v>
      </c>
      <c r="U85" s="177"/>
      <c r="V85" s="177">
        <v>44937</v>
      </c>
      <c r="W85" s="177"/>
      <c r="X85" s="177"/>
      <c r="Y85" s="177"/>
      <c r="Z85" s="177"/>
      <c r="AA85" s="177"/>
      <c r="AB85" s="177"/>
      <c r="AC85" s="177"/>
      <c r="AD85" s="180" t="s">
        <v>1345</v>
      </c>
      <c r="AE85" s="173" t="s">
        <v>69</v>
      </c>
      <c r="AF85" s="181" t="s">
        <v>142</v>
      </c>
      <c r="AG85" s="192" t="s">
        <v>2283</v>
      </c>
      <c r="AH85" s="198"/>
      <c r="AI85" s="181">
        <v>44880</v>
      </c>
      <c r="AJ85" s="181"/>
      <c r="AK85" s="181">
        <f t="shared" ca="1" si="7"/>
        <v>44958</v>
      </c>
      <c r="AL85" s="173">
        <f t="shared" ca="1" si="8"/>
        <v>78</v>
      </c>
      <c r="AM85" s="173" t="str">
        <f t="shared" si="9"/>
        <v/>
      </c>
      <c r="AN85" s="181"/>
      <c r="AO85" s="190" t="s">
        <v>2351</v>
      </c>
      <c r="AP85" s="176">
        <v>10.425000000000001</v>
      </c>
      <c r="AQ85" s="176">
        <v>10.435</v>
      </c>
      <c r="AR85" s="176">
        <v>10.459999999999999</v>
      </c>
      <c r="AS85" s="176">
        <v>10.465</v>
      </c>
      <c r="AT85" s="173">
        <f t="shared" ca="1" si="10"/>
        <v>21</v>
      </c>
      <c r="AU85" s="173">
        <v>459</v>
      </c>
      <c r="AW85" s="142" t="s">
        <v>123</v>
      </c>
      <c r="AX85" s="142" t="str">
        <f>LEFT(RIGHT(C85,LEN(C85)-MIN(SEARCH({0,1,2,3,4,5,6,7,8,9},C85&amp;"0123456789"))+1),2)</f>
        <v>11</v>
      </c>
      <c r="AY85" s="142">
        <v>3</v>
      </c>
      <c r="AZ85" s="142" t="str">
        <f>LEFT(RIGHT(C85,LEN(C85)-MIN(SEARCH({0,1,2,3,4,5,6,7,8,9},C85&amp;"0123456789"))+1),5)</f>
        <v>11.01</v>
      </c>
      <c r="BA85" s="142" t="str">
        <f t="shared" si="11"/>
        <v>MI</v>
      </c>
    </row>
    <row r="86" spans="2:53" s="142" customFormat="1" ht="21" customHeight="1" x14ac:dyDescent="0.25">
      <c r="B86" s="173" t="str">
        <f t="shared" si="6"/>
        <v>0-304/FH-1.20X765</v>
      </c>
      <c r="C86" s="173" t="s">
        <v>4370</v>
      </c>
      <c r="D86" s="173" t="s">
        <v>16</v>
      </c>
      <c r="E86" s="190" t="s">
        <v>4051</v>
      </c>
      <c r="F86" s="190" t="s">
        <v>4052</v>
      </c>
      <c r="G86" s="173">
        <v>304</v>
      </c>
      <c r="H86" s="173" t="s">
        <v>70</v>
      </c>
      <c r="I86" s="174">
        <v>3.78</v>
      </c>
      <c r="J86" s="174">
        <v>1.2</v>
      </c>
      <c r="K86" s="174"/>
      <c r="L86" s="174"/>
      <c r="M86" s="191">
        <v>765</v>
      </c>
      <c r="N86" s="176">
        <v>10.475</v>
      </c>
      <c r="O86" s="176">
        <v>10.475</v>
      </c>
      <c r="P86" s="176" t="s">
        <v>114</v>
      </c>
      <c r="Q86" s="178" t="s">
        <v>986</v>
      </c>
      <c r="R86" s="179"/>
      <c r="S86" s="179"/>
      <c r="T86" s="177">
        <v>44937</v>
      </c>
      <c r="U86" s="177"/>
      <c r="V86" s="177">
        <v>44938</v>
      </c>
      <c r="W86" s="177"/>
      <c r="X86" s="177"/>
      <c r="Y86" s="177"/>
      <c r="Z86" s="177"/>
      <c r="AA86" s="177"/>
      <c r="AB86" s="177"/>
      <c r="AC86" s="177"/>
      <c r="AD86" s="180" t="s">
        <v>1345</v>
      </c>
      <c r="AE86" s="173" t="s">
        <v>69</v>
      </c>
      <c r="AF86" s="181" t="s">
        <v>142</v>
      </c>
      <c r="AG86" s="192" t="s">
        <v>2283</v>
      </c>
      <c r="AH86" s="198"/>
      <c r="AI86" s="181">
        <v>44880</v>
      </c>
      <c r="AJ86" s="181"/>
      <c r="AK86" s="181">
        <f t="shared" ca="1" si="7"/>
        <v>44958</v>
      </c>
      <c r="AL86" s="173">
        <f t="shared" ca="1" si="8"/>
        <v>78</v>
      </c>
      <c r="AM86" s="173" t="str">
        <f t="shared" si="9"/>
        <v/>
      </c>
      <c r="AN86" s="181"/>
      <c r="AO86" s="190" t="s">
        <v>3942</v>
      </c>
      <c r="AP86" s="176">
        <v>10.475</v>
      </c>
      <c r="AQ86" s="176">
        <v>10.484999999999999</v>
      </c>
      <c r="AR86" s="176">
        <v>10.509999999999998</v>
      </c>
      <c r="AS86" s="176">
        <v>10.514999999999999</v>
      </c>
      <c r="AT86" s="173">
        <f t="shared" ca="1" si="10"/>
        <v>20</v>
      </c>
      <c r="AU86" s="173">
        <v>459</v>
      </c>
      <c r="AW86" s="142" t="s">
        <v>123</v>
      </c>
    </row>
    <row r="87" spans="2:53" s="142" customFormat="1" ht="21" customHeight="1" x14ac:dyDescent="0.25">
      <c r="B87" s="173" t="str">
        <f t="shared" si="6"/>
        <v>0-304L/FH-1.50X767</v>
      </c>
      <c r="C87" s="173" t="s">
        <v>4370</v>
      </c>
      <c r="D87" s="173" t="s">
        <v>16</v>
      </c>
      <c r="E87" s="190" t="s">
        <v>4025</v>
      </c>
      <c r="F87" s="190" t="s">
        <v>4054</v>
      </c>
      <c r="G87" s="173" t="s">
        <v>182</v>
      </c>
      <c r="H87" s="173" t="s">
        <v>70</v>
      </c>
      <c r="I87" s="174">
        <v>3.8</v>
      </c>
      <c r="J87" s="174">
        <v>1.5</v>
      </c>
      <c r="K87" s="174"/>
      <c r="L87" s="174"/>
      <c r="M87" s="191">
        <v>767</v>
      </c>
      <c r="N87" s="176">
        <v>12.29</v>
      </c>
      <c r="O87" s="176">
        <v>12.29</v>
      </c>
      <c r="P87" s="176" t="s">
        <v>114</v>
      </c>
      <c r="Q87" s="178" t="s">
        <v>986</v>
      </c>
      <c r="R87" s="179"/>
      <c r="S87" s="179"/>
      <c r="T87" s="177">
        <v>44938</v>
      </c>
      <c r="U87" s="177"/>
      <c r="V87" s="177">
        <v>44938</v>
      </c>
      <c r="W87" s="177"/>
      <c r="X87" s="177"/>
      <c r="Y87" s="177"/>
      <c r="Z87" s="177"/>
      <c r="AA87" s="177">
        <v>44932</v>
      </c>
      <c r="AB87" s="177"/>
      <c r="AC87" s="177"/>
      <c r="AD87" s="180" t="s">
        <v>1507</v>
      </c>
      <c r="AE87" s="173" t="s">
        <v>69</v>
      </c>
      <c r="AF87" s="181" t="s">
        <v>142</v>
      </c>
      <c r="AG87" s="192" t="s">
        <v>1508</v>
      </c>
      <c r="AH87" s="198"/>
      <c r="AI87" s="181">
        <v>44849</v>
      </c>
      <c r="AJ87" s="181"/>
      <c r="AK87" s="181">
        <f t="shared" ca="1" si="7"/>
        <v>44958</v>
      </c>
      <c r="AL87" s="173">
        <f t="shared" ca="1" si="8"/>
        <v>109</v>
      </c>
      <c r="AM87" s="173" t="str">
        <f t="shared" si="9"/>
        <v/>
      </c>
      <c r="AN87" s="181"/>
      <c r="AO87" s="190" t="s">
        <v>4027</v>
      </c>
      <c r="AP87" s="176">
        <v>24.6</v>
      </c>
      <c r="AQ87" s="176">
        <v>24.66</v>
      </c>
      <c r="AR87" s="176">
        <v>24.685000000000002</v>
      </c>
      <c r="AS87" s="176">
        <v>24.69</v>
      </c>
      <c r="AT87" s="173">
        <f t="shared" ca="1" si="10"/>
        <v>20</v>
      </c>
      <c r="AU87" s="173">
        <v>456</v>
      </c>
      <c r="AW87" s="142" t="s">
        <v>123</v>
      </c>
    </row>
    <row r="88" spans="2:53" s="142" customFormat="1" ht="21" customHeight="1" x14ac:dyDescent="0.25">
      <c r="B88" s="173" t="str">
        <f>IF(C88="HOLD RM","HOLD RM",IF(C88="BAL","WIP",IF(C88="HOLD SLT","HOLD SLT",IF(C88="MILL","RM",IF(C88="RE SLT","WIP",IF(C88="RM","RM",IF(C88="RM BAL","RM",IF(C88="RM SLT","RM",IF(C88="RR","WIP",IF(C88="SKP","WIP",IF(C88="SLT","WIP",IF(C88="CTL","WIP",IF(C88="RM SLT RUST","RM SLT RUST",0)))))))))))))&amp;"-"&amp;G88&amp;"/"&amp;IF(H88="2B","2B",IF(H88="NO.1","1D",IF(H88="FH","FH",0)))&amp;"-"&amp;IF(J88="",(TEXT(I88,"0.00")),TEXT(J88,"0.00"))&amp;"X"&amp;M88</f>
        <v>0-304L/FH-1.20X767</v>
      </c>
      <c r="C88" s="173" t="s">
        <v>4370</v>
      </c>
      <c r="D88" s="173" t="s">
        <v>16</v>
      </c>
      <c r="E88" s="190" t="s">
        <v>1522</v>
      </c>
      <c r="F88" s="190" t="s">
        <v>4022</v>
      </c>
      <c r="G88" s="173" t="s">
        <v>182</v>
      </c>
      <c r="H88" s="173" t="s">
        <v>70</v>
      </c>
      <c r="I88" s="174">
        <v>3.8</v>
      </c>
      <c r="J88" s="174">
        <v>1.2</v>
      </c>
      <c r="K88" s="174"/>
      <c r="L88" s="174"/>
      <c r="M88" s="191">
        <v>767</v>
      </c>
      <c r="N88" s="176">
        <v>12.1</v>
      </c>
      <c r="O88" s="176">
        <v>12.1</v>
      </c>
      <c r="P88" s="176" t="s">
        <v>114</v>
      </c>
      <c r="Q88" s="178" t="s">
        <v>4371</v>
      </c>
      <c r="R88" s="179"/>
      <c r="S88" s="179"/>
      <c r="T88" s="177">
        <v>44936</v>
      </c>
      <c r="U88" s="177"/>
      <c r="V88" s="177">
        <v>44938</v>
      </c>
      <c r="W88" s="177"/>
      <c r="X88" s="177"/>
      <c r="Y88" s="177"/>
      <c r="Z88" s="177"/>
      <c r="AA88" s="177">
        <v>44935</v>
      </c>
      <c r="AB88" s="177"/>
      <c r="AC88" s="177"/>
      <c r="AD88" s="180" t="s">
        <v>1507</v>
      </c>
      <c r="AE88" s="173" t="s">
        <v>69</v>
      </c>
      <c r="AF88" s="181" t="s">
        <v>142</v>
      </c>
      <c r="AG88" s="192" t="s">
        <v>1508</v>
      </c>
      <c r="AH88" s="198"/>
      <c r="AI88" s="181">
        <v>44849</v>
      </c>
      <c r="AJ88" s="181"/>
      <c r="AK88" s="181">
        <f t="shared" ca="1" si="7"/>
        <v>44958</v>
      </c>
      <c r="AL88" s="173">
        <f ca="1">IF(AI88&lt;&gt;0,AK88-AI88,0)</f>
        <v>109</v>
      </c>
      <c r="AM88" s="173" t="str">
        <f>IF(ISNUMBER(X88)=TRUE,AK88-X88,IF(X88="","",(AK88)-(MID(RIGHT(X88,10),4,2)&amp;"/"&amp;LEFT((RIGHT(X88,10)),2)&amp;"/"&amp;RIGHT(X88,4))))</f>
        <v/>
      </c>
      <c r="AN88" s="181"/>
      <c r="AO88" s="190" t="s">
        <v>1525</v>
      </c>
      <c r="AP88" s="176">
        <v>24.204999999999998</v>
      </c>
      <c r="AQ88" s="176">
        <v>24.265000000000001</v>
      </c>
      <c r="AR88" s="176">
        <v>24.290000000000003</v>
      </c>
      <c r="AS88" s="176">
        <v>24.295000000000002</v>
      </c>
      <c r="AT88" s="173">
        <f t="shared" ca="1" si="10"/>
        <v>20</v>
      </c>
      <c r="AU88" s="173">
        <v>456</v>
      </c>
      <c r="AW88" s="142" t="s">
        <v>123</v>
      </c>
      <c r="AX88" s="142" t="str">
        <f>LEFT(RIGHT(C88,LEN(C88)-MIN(SEARCH({0,1,2,3,4,5,6,7,8,9},C88&amp;"0123456789"))+1),2)</f>
        <v>12</v>
      </c>
      <c r="AY88" s="142">
        <v>3</v>
      </c>
      <c r="AZ88" s="142" t="str">
        <f>LEFT(RIGHT(C88,LEN(C88)-MIN(SEARCH({0,1,2,3,4,5,6,7,8,9},C88&amp;"0123456789"))+1),5)</f>
        <v>12.01</v>
      </c>
      <c r="BA88" s="142" t="str">
        <f>LEFT(C88,2)</f>
        <v>MI</v>
      </c>
    </row>
    <row r="89" spans="2:53" s="142" customFormat="1" ht="21" customHeight="1" x14ac:dyDescent="0.25">
      <c r="B89" s="173" t="str">
        <f t="shared" ref="B89:B152" si="12">IF(C89="HOLD RM","HOLD RM",IF(C89="BAL","WIP",IF(C89="HOLD SLT","HOLD SLT",IF(C89="MILL","RM",IF(C89="RE SLT","WIP",IF(C89="RM","RM",IF(C89="RM BAL","RM",IF(C89="RM SLT","RM",IF(C89="RR","WIP",IF(C89="SKP","WIP",IF(C89="SLT","WIP",IF(C89="CTL","WIP",IF(C89="RM SLT RUST","RM SLT RUST",0)))))))))))))&amp;"-"&amp;G89&amp;"/"&amp;IF(H89="2B","2B",IF(H89="NO.1","1D",IF(H89="FH","FH",0)))&amp;"-"&amp;IF(J89="",(TEXT(I89,"0.00")),TEXT(J89,"0.00"))&amp;"X"&amp;M89</f>
        <v>0-304L/FH-1.20X768</v>
      </c>
      <c r="C89" s="173" t="s">
        <v>4370</v>
      </c>
      <c r="D89" s="173" t="s">
        <v>16</v>
      </c>
      <c r="E89" s="190" t="s">
        <v>1565</v>
      </c>
      <c r="F89" s="190" t="s">
        <v>1566</v>
      </c>
      <c r="G89" s="173" t="s">
        <v>182</v>
      </c>
      <c r="H89" s="173" t="s">
        <v>70</v>
      </c>
      <c r="I89" s="174">
        <v>3.79</v>
      </c>
      <c r="J89" s="174">
        <v>1.2</v>
      </c>
      <c r="K89" s="174"/>
      <c r="L89" s="174"/>
      <c r="M89" s="191">
        <v>768</v>
      </c>
      <c r="N89" s="176">
        <v>12.27</v>
      </c>
      <c r="O89" s="176">
        <v>12.27</v>
      </c>
      <c r="P89" s="176" t="s">
        <v>114</v>
      </c>
      <c r="Q89" s="178" t="s">
        <v>986</v>
      </c>
      <c r="R89" s="179"/>
      <c r="S89" s="179"/>
      <c r="T89" s="177">
        <v>44938</v>
      </c>
      <c r="U89" s="177"/>
      <c r="V89" s="177">
        <v>44938</v>
      </c>
      <c r="W89" s="177"/>
      <c r="X89" s="177"/>
      <c r="Y89" s="177"/>
      <c r="Z89" s="177"/>
      <c r="AA89" s="177">
        <v>44933</v>
      </c>
      <c r="AB89" s="177"/>
      <c r="AC89" s="177"/>
      <c r="AD89" s="180" t="s">
        <v>1507</v>
      </c>
      <c r="AE89" s="173" t="s">
        <v>69</v>
      </c>
      <c r="AF89" s="181" t="s">
        <v>142</v>
      </c>
      <c r="AG89" s="192" t="s">
        <v>1508</v>
      </c>
      <c r="AH89" s="198"/>
      <c r="AI89" s="181">
        <v>44849</v>
      </c>
      <c r="AJ89" s="181"/>
      <c r="AK89" s="181">
        <f t="shared" ca="1" si="7"/>
        <v>44958</v>
      </c>
      <c r="AL89" s="173">
        <f t="shared" ref="AL89:AL152" ca="1" si="13">IF(AI89&lt;&gt;0,AK89-AI89,0)</f>
        <v>109</v>
      </c>
      <c r="AM89" s="173" t="str">
        <f t="shared" ref="AM89:AM152" si="14">IF(ISNUMBER(X89)=TRUE,AK89-X89,IF(X89="","",(AK89)-(MID(RIGHT(X89,10),4,2)&amp;"/"&amp;LEFT((RIGHT(X89,10)),2)&amp;"/"&amp;RIGHT(X89,4))))</f>
        <v/>
      </c>
      <c r="AN89" s="181"/>
      <c r="AO89" s="190" t="s">
        <v>1567</v>
      </c>
      <c r="AP89" s="176">
        <v>24.59</v>
      </c>
      <c r="AQ89" s="176">
        <v>24.65</v>
      </c>
      <c r="AR89" s="176">
        <v>24.675000000000001</v>
      </c>
      <c r="AS89" s="176">
        <v>24.68</v>
      </c>
      <c r="AT89" s="173">
        <f t="shared" ca="1" si="10"/>
        <v>20</v>
      </c>
      <c r="AU89" s="173">
        <v>456</v>
      </c>
      <c r="AW89" s="142" t="s">
        <v>123</v>
      </c>
    </row>
    <row r="90" spans="2:53" s="142" customFormat="1" ht="21" customHeight="1" x14ac:dyDescent="0.25">
      <c r="B90" s="173" t="str">
        <f t="shared" si="12"/>
        <v>0-304L/FH-1.20X768</v>
      </c>
      <c r="C90" s="173" t="s">
        <v>4370</v>
      </c>
      <c r="D90" s="173" t="s">
        <v>16</v>
      </c>
      <c r="E90" s="190" t="s">
        <v>1511</v>
      </c>
      <c r="F90" s="190" t="s">
        <v>1512</v>
      </c>
      <c r="G90" s="173" t="s">
        <v>182</v>
      </c>
      <c r="H90" s="173" t="s">
        <v>70</v>
      </c>
      <c r="I90" s="174">
        <v>3.77</v>
      </c>
      <c r="J90" s="174">
        <v>1.2</v>
      </c>
      <c r="K90" s="174"/>
      <c r="L90" s="174"/>
      <c r="M90" s="191">
        <v>768</v>
      </c>
      <c r="N90" s="176">
        <v>12.28</v>
      </c>
      <c r="O90" s="176">
        <v>12.28</v>
      </c>
      <c r="P90" s="176" t="s">
        <v>114</v>
      </c>
      <c r="Q90" s="178" t="s">
        <v>1386</v>
      </c>
      <c r="R90" s="179"/>
      <c r="S90" s="179"/>
      <c r="T90" s="177">
        <v>44938</v>
      </c>
      <c r="U90" s="177"/>
      <c r="V90" s="177">
        <v>44938</v>
      </c>
      <c r="W90" s="177"/>
      <c r="X90" s="177"/>
      <c r="Y90" s="177"/>
      <c r="Z90" s="177"/>
      <c r="AA90" s="177">
        <v>44938</v>
      </c>
      <c r="AB90" s="177"/>
      <c r="AC90" s="177"/>
      <c r="AD90" s="180" t="s">
        <v>1507</v>
      </c>
      <c r="AE90" s="173" t="s">
        <v>69</v>
      </c>
      <c r="AF90" s="181" t="s">
        <v>142</v>
      </c>
      <c r="AG90" s="192" t="s">
        <v>1508</v>
      </c>
      <c r="AH90" s="198"/>
      <c r="AI90" s="181">
        <v>44849</v>
      </c>
      <c r="AJ90" s="181"/>
      <c r="AK90" s="181">
        <f t="shared" ca="1" si="7"/>
        <v>44958</v>
      </c>
      <c r="AL90" s="173">
        <f t="shared" ca="1" si="13"/>
        <v>109</v>
      </c>
      <c r="AM90" s="173" t="str">
        <f t="shared" si="14"/>
        <v/>
      </c>
      <c r="AN90" s="181"/>
      <c r="AO90" s="190" t="s">
        <v>1514</v>
      </c>
      <c r="AP90" s="176">
        <v>24.54</v>
      </c>
      <c r="AQ90" s="176">
        <v>24.6</v>
      </c>
      <c r="AR90" s="176">
        <v>24.625000000000004</v>
      </c>
      <c r="AS90" s="176">
        <v>24.630000000000003</v>
      </c>
      <c r="AT90" s="173">
        <f t="shared" ca="1" si="10"/>
        <v>20</v>
      </c>
      <c r="AU90" s="173">
        <v>456</v>
      </c>
      <c r="AW90" s="142" t="s">
        <v>123</v>
      </c>
    </row>
    <row r="91" spans="2:53" s="142" customFormat="1" ht="21" customHeight="1" x14ac:dyDescent="0.25">
      <c r="B91" s="173" t="str">
        <f t="shared" si="12"/>
        <v>0-304L/FH-1.20X767</v>
      </c>
      <c r="C91" s="173" t="s">
        <v>4370</v>
      </c>
      <c r="D91" s="173" t="s">
        <v>16</v>
      </c>
      <c r="E91" s="190" t="s">
        <v>1511</v>
      </c>
      <c r="F91" s="190" t="s">
        <v>4062</v>
      </c>
      <c r="G91" s="173" t="s">
        <v>182</v>
      </c>
      <c r="H91" s="173" t="s">
        <v>70</v>
      </c>
      <c r="I91" s="174">
        <v>3.77</v>
      </c>
      <c r="J91" s="174">
        <v>1.2</v>
      </c>
      <c r="K91" s="174"/>
      <c r="L91" s="174"/>
      <c r="M91" s="191">
        <v>767</v>
      </c>
      <c r="N91" s="176">
        <v>12.26</v>
      </c>
      <c r="O91" s="176">
        <v>12.26</v>
      </c>
      <c r="P91" s="176" t="s">
        <v>114</v>
      </c>
      <c r="Q91" s="178" t="s">
        <v>1386</v>
      </c>
      <c r="R91" s="179"/>
      <c r="S91" s="179"/>
      <c r="T91" s="177">
        <v>44938</v>
      </c>
      <c r="U91" s="177"/>
      <c r="V91" s="177">
        <v>44938</v>
      </c>
      <c r="W91" s="177"/>
      <c r="X91" s="177"/>
      <c r="Y91" s="177"/>
      <c r="Z91" s="177"/>
      <c r="AA91" s="177">
        <v>44938</v>
      </c>
      <c r="AB91" s="177"/>
      <c r="AC91" s="177"/>
      <c r="AD91" s="180" t="s">
        <v>1507</v>
      </c>
      <c r="AE91" s="173" t="s">
        <v>69</v>
      </c>
      <c r="AF91" s="181" t="s">
        <v>142</v>
      </c>
      <c r="AG91" s="192" t="s">
        <v>1508</v>
      </c>
      <c r="AH91" s="198"/>
      <c r="AI91" s="181">
        <v>44849</v>
      </c>
      <c r="AJ91" s="181"/>
      <c r="AK91" s="181">
        <f t="shared" ca="1" si="7"/>
        <v>44958</v>
      </c>
      <c r="AL91" s="173">
        <f t="shared" ca="1" si="13"/>
        <v>109</v>
      </c>
      <c r="AM91" s="173" t="str">
        <f t="shared" si="14"/>
        <v/>
      </c>
      <c r="AN91" s="181"/>
      <c r="AO91" s="190" t="s">
        <v>1514</v>
      </c>
      <c r="AP91" s="176">
        <v>24.54</v>
      </c>
      <c r="AQ91" s="176">
        <v>24.6</v>
      </c>
      <c r="AR91" s="176">
        <v>24.625000000000004</v>
      </c>
      <c r="AS91" s="176">
        <v>24.630000000000003</v>
      </c>
      <c r="AT91" s="173">
        <f t="shared" ca="1" si="10"/>
        <v>20</v>
      </c>
      <c r="AU91" s="173">
        <v>456</v>
      </c>
      <c r="AW91" s="142" t="s">
        <v>123</v>
      </c>
    </row>
    <row r="92" spans="2:53" s="142" customFormat="1" ht="21" customHeight="1" x14ac:dyDescent="0.25">
      <c r="B92" s="173" t="str">
        <f t="shared" si="12"/>
        <v>0-304L/FH-1.50X768</v>
      </c>
      <c r="C92" s="173" t="s">
        <v>4370</v>
      </c>
      <c r="D92" s="173" t="s">
        <v>16</v>
      </c>
      <c r="E92" s="190" t="s">
        <v>1551</v>
      </c>
      <c r="F92" s="190" t="s">
        <v>1552</v>
      </c>
      <c r="G92" s="173" t="s">
        <v>182</v>
      </c>
      <c r="H92" s="173" t="s">
        <v>70</v>
      </c>
      <c r="I92" s="174">
        <v>3.79</v>
      </c>
      <c r="J92" s="174">
        <v>1.5</v>
      </c>
      <c r="K92" s="174"/>
      <c r="L92" s="174"/>
      <c r="M92" s="191">
        <v>768</v>
      </c>
      <c r="N92" s="176">
        <v>12.265000000000001</v>
      </c>
      <c r="O92" s="176">
        <v>12.265000000000001</v>
      </c>
      <c r="P92" s="176" t="s">
        <v>114</v>
      </c>
      <c r="Q92" s="178" t="s">
        <v>986</v>
      </c>
      <c r="R92" s="179"/>
      <c r="S92" s="179"/>
      <c r="T92" s="177">
        <v>44938</v>
      </c>
      <c r="U92" s="177"/>
      <c r="V92" s="177">
        <v>44938</v>
      </c>
      <c r="W92" s="177"/>
      <c r="X92" s="177"/>
      <c r="Y92" s="177"/>
      <c r="Z92" s="177"/>
      <c r="AA92" s="177">
        <v>44934</v>
      </c>
      <c r="AB92" s="177"/>
      <c r="AC92" s="177"/>
      <c r="AD92" s="180" t="s">
        <v>1507</v>
      </c>
      <c r="AE92" s="173" t="s">
        <v>69</v>
      </c>
      <c r="AF92" s="181" t="s">
        <v>142</v>
      </c>
      <c r="AG92" s="192" t="s">
        <v>1508</v>
      </c>
      <c r="AH92" s="198"/>
      <c r="AI92" s="181">
        <v>44849</v>
      </c>
      <c r="AJ92" s="181"/>
      <c r="AK92" s="181">
        <f t="shared" ca="1" si="7"/>
        <v>44958</v>
      </c>
      <c r="AL92" s="173">
        <f t="shared" ca="1" si="13"/>
        <v>109</v>
      </c>
      <c r="AM92" s="173" t="str">
        <f t="shared" si="14"/>
        <v/>
      </c>
      <c r="AN92" s="181"/>
      <c r="AO92" s="190" t="s">
        <v>1553</v>
      </c>
      <c r="AP92" s="176">
        <v>24.51</v>
      </c>
      <c r="AQ92" s="176">
        <v>24.57</v>
      </c>
      <c r="AR92" s="176">
        <v>24.595000000000002</v>
      </c>
      <c r="AS92" s="176">
        <v>24.6</v>
      </c>
      <c r="AT92" s="173">
        <f t="shared" ca="1" si="10"/>
        <v>20</v>
      </c>
      <c r="AU92" s="173">
        <v>456</v>
      </c>
      <c r="AW92" s="142" t="s">
        <v>123</v>
      </c>
    </row>
    <row r="93" spans="2:53" s="142" customFormat="1" ht="21" customHeight="1" x14ac:dyDescent="0.25">
      <c r="B93" s="173" t="str">
        <f t="shared" si="12"/>
        <v>0-304L/FH-1.50X768</v>
      </c>
      <c r="C93" s="173" t="s">
        <v>4372</v>
      </c>
      <c r="D93" s="173" t="s">
        <v>16</v>
      </c>
      <c r="E93" s="190" t="s">
        <v>1551</v>
      </c>
      <c r="F93" s="190" t="s">
        <v>4063</v>
      </c>
      <c r="G93" s="173" t="s">
        <v>182</v>
      </c>
      <c r="H93" s="173" t="s">
        <v>70</v>
      </c>
      <c r="I93" s="174">
        <v>3.79</v>
      </c>
      <c r="J93" s="174">
        <v>1.5</v>
      </c>
      <c r="K93" s="174"/>
      <c r="L93" s="174"/>
      <c r="M93" s="191">
        <v>768</v>
      </c>
      <c r="N93" s="176">
        <v>12.25</v>
      </c>
      <c r="O93" s="176">
        <v>12.25</v>
      </c>
      <c r="P93" s="176" t="s">
        <v>114</v>
      </c>
      <c r="Q93" s="178" t="s">
        <v>986</v>
      </c>
      <c r="R93" s="179"/>
      <c r="S93" s="179"/>
      <c r="T93" s="177">
        <v>44938</v>
      </c>
      <c r="U93" s="177"/>
      <c r="V93" s="177">
        <v>44939</v>
      </c>
      <c r="W93" s="177"/>
      <c r="X93" s="177"/>
      <c r="Y93" s="177"/>
      <c r="Z93" s="177"/>
      <c r="AA93" s="177">
        <v>44934</v>
      </c>
      <c r="AB93" s="177"/>
      <c r="AC93" s="177"/>
      <c r="AD93" s="180" t="s">
        <v>1507</v>
      </c>
      <c r="AE93" s="173" t="s">
        <v>69</v>
      </c>
      <c r="AF93" s="181" t="s">
        <v>142</v>
      </c>
      <c r="AG93" s="192" t="s">
        <v>1508</v>
      </c>
      <c r="AH93" s="198"/>
      <c r="AI93" s="181">
        <v>44849</v>
      </c>
      <c r="AJ93" s="181"/>
      <c r="AK93" s="181">
        <f t="shared" ca="1" si="7"/>
        <v>44958</v>
      </c>
      <c r="AL93" s="173">
        <f t="shared" ca="1" si="13"/>
        <v>109</v>
      </c>
      <c r="AM93" s="173" t="str">
        <f t="shared" si="14"/>
        <v/>
      </c>
      <c r="AN93" s="181"/>
      <c r="AO93" s="190" t="s">
        <v>1553</v>
      </c>
      <c r="AP93" s="176">
        <v>24.51</v>
      </c>
      <c r="AQ93" s="176">
        <v>24.57</v>
      </c>
      <c r="AR93" s="176">
        <v>24.595000000000002</v>
      </c>
      <c r="AS93" s="176">
        <v>24.6</v>
      </c>
      <c r="AT93" s="173">
        <f t="shared" ca="1" si="10"/>
        <v>19</v>
      </c>
      <c r="AU93" s="173">
        <v>456</v>
      </c>
      <c r="AW93" s="142" t="s">
        <v>123</v>
      </c>
      <c r="AX93" s="142" t="str">
        <f>LEFT(RIGHT(C93,LEN(C93)-MIN(SEARCH({0,1,2,3,4,5,6,7,8,9},C93&amp;"0123456789"))+1),2)</f>
        <v>13</v>
      </c>
      <c r="AY93" s="142">
        <v>1</v>
      </c>
      <c r="AZ93" s="142" t="str">
        <f>LEFT(RIGHT(C93,LEN(C93)-MIN(SEARCH({0,1,2,3,4,5,6,7,8,9},C93&amp;"0123456789"))+1),5)</f>
        <v>13.01</v>
      </c>
      <c r="BA93" s="142" t="str">
        <f t="shared" ref="BA93:BA156" si="15">LEFT(C93,2)</f>
        <v>MI</v>
      </c>
    </row>
    <row r="94" spans="2:53" s="142" customFormat="1" ht="21" customHeight="1" x14ac:dyDescent="0.25">
      <c r="B94" s="173" t="str">
        <f t="shared" si="12"/>
        <v>0-304L/FH-1.50X767</v>
      </c>
      <c r="C94" s="173" t="s">
        <v>4372</v>
      </c>
      <c r="D94" s="173" t="s">
        <v>16</v>
      </c>
      <c r="E94" s="190" t="s">
        <v>1522</v>
      </c>
      <c r="F94" s="190" t="s">
        <v>1523</v>
      </c>
      <c r="G94" s="173" t="s">
        <v>182</v>
      </c>
      <c r="H94" s="173" t="s">
        <v>70</v>
      </c>
      <c r="I94" s="174">
        <v>3.8</v>
      </c>
      <c r="J94" s="174">
        <v>1.5</v>
      </c>
      <c r="K94" s="174"/>
      <c r="L94" s="174"/>
      <c r="M94" s="191">
        <v>767</v>
      </c>
      <c r="N94" s="176">
        <v>12.15</v>
      </c>
      <c r="O94" s="176">
        <v>12.15</v>
      </c>
      <c r="P94" s="176" t="s">
        <v>114</v>
      </c>
      <c r="Q94" s="178" t="s">
        <v>1524</v>
      </c>
      <c r="R94" s="179"/>
      <c r="S94" s="179"/>
      <c r="T94" s="177">
        <v>44939</v>
      </c>
      <c r="U94" s="177"/>
      <c r="V94" s="177">
        <v>44939</v>
      </c>
      <c r="W94" s="177"/>
      <c r="X94" s="177"/>
      <c r="Y94" s="177"/>
      <c r="Z94" s="177"/>
      <c r="AA94" s="177">
        <v>44935</v>
      </c>
      <c r="AB94" s="177"/>
      <c r="AC94" s="177"/>
      <c r="AD94" s="180" t="s">
        <v>1507</v>
      </c>
      <c r="AE94" s="173" t="s">
        <v>69</v>
      </c>
      <c r="AF94" s="181" t="s">
        <v>142</v>
      </c>
      <c r="AG94" s="192" t="s">
        <v>1508</v>
      </c>
      <c r="AH94" s="198"/>
      <c r="AI94" s="181">
        <v>44849</v>
      </c>
      <c r="AJ94" s="181"/>
      <c r="AK94" s="181">
        <f t="shared" ca="1" si="7"/>
        <v>44958</v>
      </c>
      <c r="AL94" s="173">
        <f t="shared" ca="1" si="13"/>
        <v>109</v>
      </c>
      <c r="AM94" s="173" t="str">
        <f t="shared" si="14"/>
        <v/>
      </c>
      <c r="AN94" s="181"/>
      <c r="AO94" s="190" t="s">
        <v>1525</v>
      </c>
      <c r="AP94" s="176">
        <v>24.204999999999998</v>
      </c>
      <c r="AQ94" s="176">
        <v>24.265000000000001</v>
      </c>
      <c r="AR94" s="176">
        <v>24.290000000000003</v>
      </c>
      <c r="AS94" s="176">
        <v>24.295000000000002</v>
      </c>
      <c r="AT94" s="173">
        <f t="shared" ca="1" si="10"/>
        <v>19</v>
      </c>
      <c r="AU94" s="173">
        <v>456</v>
      </c>
      <c r="AW94" s="142" t="s">
        <v>123</v>
      </c>
      <c r="AX94" s="142" t="str">
        <f>LEFT(RIGHT(C94,LEN(C94)-MIN(SEARCH({0,1,2,3,4,5,6,7,8,9},C94&amp;"0123456789"))+1),2)</f>
        <v>13</v>
      </c>
      <c r="AY94" s="142">
        <v>1</v>
      </c>
      <c r="AZ94" s="142" t="str">
        <f>LEFT(RIGHT(C94,LEN(C94)-MIN(SEARCH({0,1,2,3,4,5,6,7,8,9},C94&amp;"0123456789"))+1),5)</f>
        <v>13.01</v>
      </c>
      <c r="BA94" s="142" t="str">
        <f t="shared" si="15"/>
        <v>MI</v>
      </c>
    </row>
    <row r="95" spans="2:53" s="142" customFormat="1" ht="21" customHeight="1" x14ac:dyDescent="0.25">
      <c r="B95" s="173" t="str">
        <f t="shared" si="12"/>
        <v>0-304L/FH-1.50X768</v>
      </c>
      <c r="C95" s="173" t="s">
        <v>4372</v>
      </c>
      <c r="D95" s="173" t="s">
        <v>16</v>
      </c>
      <c r="E95" s="190" t="s">
        <v>1519</v>
      </c>
      <c r="F95" s="190" t="s">
        <v>1520</v>
      </c>
      <c r="G95" s="173" t="s">
        <v>182</v>
      </c>
      <c r="H95" s="173" t="s">
        <v>70</v>
      </c>
      <c r="I95" s="174">
        <v>3.8</v>
      </c>
      <c r="J95" s="174">
        <v>1.5</v>
      </c>
      <c r="K95" s="174"/>
      <c r="L95" s="174"/>
      <c r="M95" s="191">
        <v>768</v>
      </c>
      <c r="N95" s="176">
        <v>12.315</v>
      </c>
      <c r="O95" s="176">
        <v>12.315</v>
      </c>
      <c r="P95" s="176" t="s">
        <v>114</v>
      </c>
      <c r="Q95" s="178" t="s">
        <v>986</v>
      </c>
      <c r="R95" s="179"/>
      <c r="S95" s="179"/>
      <c r="T95" s="177">
        <v>44939</v>
      </c>
      <c r="U95" s="177"/>
      <c r="V95" s="177">
        <v>44939</v>
      </c>
      <c r="W95" s="177"/>
      <c r="X95" s="177"/>
      <c r="Y95" s="177"/>
      <c r="Z95" s="177"/>
      <c r="AA95" s="177">
        <v>44934</v>
      </c>
      <c r="AB95" s="177"/>
      <c r="AC95" s="177"/>
      <c r="AD95" s="180" t="s">
        <v>1507</v>
      </c>
      <c r="AE95" s="173" t="s">
        <v>69</v>
      </c>
      <c r="AF95" s="181" t="s">
        <v>142</v>
      </c>
      <c r="AG95" s="192" t="s">
        <v>1508</v>
      </c>
      <c r="AH95" s="198"/>
      <c r="AI95" s="181">
        <v>44849</v>
      </c>
      <c r="AJ95" s="181"/>
      <c r="AK95" s="181">
        <f t="shared" ca="1" si="7"/>
        <v>44958</v>
      </c>
      <c r="AL95" s="173">
        <f t="shared" ca="1" si="13"/>
        <v>109</v>
      </c>
      <c r="AM95" s="173" t="str">
        <f t="shared" si="14"/>
        <v/>
      </c>
      <c r="AN95" s="181"/>
      <c r="AO95" s="190" t="s">
        <v>1521</v>
      </c>
      <c r="AP95" s="176">
        <v>24.605</v>
      </c>
      <c r="AQ95" s="176">
        <v>24.664999999999999</v>
      </c>
      <c r="AR95" s="176">
        <v>24.69</v>
      </c>
      <c r="AS95" s="176">
        <v>24.695</v>
      </c>
      <c r="AT95" s="173">
        <f t="shared" ca="1" si="10"/>
        <v>19</v>
      </c>
      <c r="AU95" s="173">
        <v>456</v>
      </c>
      <c r="AW95" s="142" t="s">
        <v>123</v>
      </c>
      <c r="AX95" s="142" t="str">
        <f>LEFT(RIGHT(C95,LEN(C95)-MIN(SEARCH({0,1,2,3,4,5,6,7,8,9},C95&amp;"0123456789"))+1),2)</f>
        <v>13</v>
      </c>
      <c r="AY95" s="142">
        <v>2</v>
      </c>
      <c r="AZ95" s="142" t="str">
        <f>LEFT(RIGHT(C95,LEN(C95)-MIN(SEARCH({0,1,2,3,4,5,6,7,8,9},C95&amp;"0123456789"))+1),5)</f>
        <v>13.01</v>
      </c>
      <c r="BA95" s="142" t="str">
        <f t="shared" si="15"/>
        <v>MI</v>
      </c>
    </row>
    <row r="96" spans="2:53" s="142" customFormat="1" ht="21" customHeight="1" x14ac:dyDescent="0.25">
      <c r="B96" s="173" t="str">
        <f t="shared" si="12"/>
        <v>0-304L/FH-1.20X768</v>
      </c>
      <c r="C96" s="173" t="s">
        <v>4372</v>
      </c>
      <c r="D96" s="173" t="s">
        <v>16</v>
      </c>
      <c r="E96" s="190" t="s">
        <v>1573</v>
      </c>
      <c r="F96" s="190" t="s">
        <v>4072</v>
      </c>
      <c r="G96" s="173" t="s">
        <v>182</v>
      </c>
      <c r="H96" s="173" t="s">
        <v>70</v>
      </c>
      <c r="I96" s="174">
        <v>3.79</v>
      </c>
      <c r="J96" s="174">
        <v>1.2</v>
      </c>
      <c r="K96" s="174"/>
      <c r="L96" s="174"/>
      <c r="M96" s="191">
        <v>768</v>
      </c>
      <c r="N96" s="176">
        <v>12.305</v>
      </c>
      <c r="O96" s="176">
        <v>12.305</v>
      </c>
      <c r="P96" s="176" t="s">
        <v>114</v>
      </c>
      <c r="Q96" s="178" t="s">
        <v>1386</v>
      </c>
      <c r="R96" s="179"/>
      <c r="S96" s="179"/>
      <c r="T96" s="177">
        <v>44939</v>
      </c>
      <c r="U96" s="177"/>
      <c r="V96" s="177">
        <v>44939</v>
      </c>
      <c r="W96" s="177"/>
      <c r="X96" s="177"/>
      <c r="Y96" s="177"/>
      <c r="Z96" s="177"/>
      <c r="AA96" s="177">
        <v>44934</v>
      </c>
      <c r="AB96" s="177"/>
      <c r="AC96" s="177"/>
      <c r="AD96" s="180" t="s">
        <v>1507</v>
      </c>
      <c r="AE96" s="173" t="s">
        <v>69</v>
      </c>
      <c r="AF96" s="181" t="s">
        <v>142</v>
      </c>
      <c r="AG96" s="192" t="s">
        <v>1508</v>
      </c>
      <c r="AH96" s="198"/>
      <c r="AI96" s="181">
        <v>44849</v>
      </c>
      <c r="AJ96" s="181"/>
      <c r="AK96" s="181">
        <f t="shared" ca="1" si="7"/>
        <v>44958</v>
      </c>
      <c r="AL96" s="173">
        <f t="shared" ca="1" si="13"/>
        <v>109</v>
      </c>
      <c r="AM96" s="173" t="str">
        <f t="shared" si="14"/>
        <v/>
      </c>
      <c r="AN96" s="181"/>
      <c r="AO96" s="190" t="s">
        <v>1575</v>
      </c>
      <c r="AP96" s="176">
        <v>24.63</v>
      </c>
      <c r="AQ96" s="176">
        <v>24.69</v>
      </c>
      <c r="AR96" s="176">
        <v>24.715000000000003</v>
      </c>
      <c r="AS96" s="176">
        <v>24.720000000000002</v>
      </c>
      <c r="AT96" s="173">
        <f t="shared" ca="1" si="10"/>
        <v>19</v>
      </c>
      <c r="AU96" s="173">
        <v>456</v>
      </c>
      <c r="AW96" s="142" t="s">
        <v>123</v>
      </c>
      <c r="AX96" s="142" t="str">
        <f>LEFT(RIGHT(C96,LEN(C96)-MIN(SEARCH({0,1,2,3,4,5,6,7,8,9},C96&amp;"0123456789"))+1),2)</f>
        <v>13</v>
      </c>
      <c r="AY96" s="142">
        <v>2</v>
      </c>
      <c r="AZ96" s="142" t="str">
        <f>LEFT(RIGHT(C96,LEN(C96)-MIN(SEARCH({0,1,2,3,4,5,6,7,8,9},C96&amp;"0123456789"))+1),5)</f>
        <v>13.01</v>
      </c>
      <c r="BA96" s="142" t="str">
        <f t="shared" si="15"/>
        <v>MI</v>
      </c>
    </row>
    <row r="97" spans="2:53" s="142" customFormat="1" ht="21" customHeight="1" x14ac:dyDescent="0.25">
      <c r="B97" s="173" t="str">
        <f t="shared" si="12"/>
        <v>0-304L/FH-1.20X769</v>
      </c>
      <c r="C97" s="173" t="s">
        <v>4372</v>
      </c>
      <c r="D97" s="173" t="s">
        <v>16</v>
      </c>
      <c r="E97" s="190" t="s">
        <v>1573</v>
      </c>
      <c r="F97" s="190" t="s">
        <v>4076</v>
      </c>
      <c r="G97" s="173" t="s">
        <v>182</v>
      </c>
      <c r="H97" s="173" t="s">
        <v>70</v>
      </c>
      <c r="I97" s="174">
        <v>3.79</v>
      </c>
      <c r="J97" s="174">
        <v>1.2</v>
      </c>
      <c r="K97" s="174"/>
      <c r="L97" s="174"/>
      <c r="M97" s="191">
        <v>769</v>
      </c>
      <c r="N97" s="176">
        <v>12.34</v>
      </c>
      <c r="O97" s="176">
        <v>12.34</v>
      </c>
      <c r="P97" s="176" t="s">
        <v>114</v>
      </c>
      <c r="Q97" s="178" t="s">
        <v>986</v>
      </c>
      <c r="R97" s="179"/>
      <c r="S97" s="179"/>
      <c r="T97" s="177">
        <v>44939</v>
      </c>
      <c r="U97" s="177"/>
      <c r="V97" s="177">
        <v>44939</v>
      </c>
      <c r="W97" s="177"/>
      <c r="X97" s="177"/>
      <c r="Y97" s="177"/>
      <c r="Z97" s="177"/>
      <c r="AA97" s="177">
        <v>44934</v>
      </c>
      <c r="AB97" s="177"/>
      <c r="AC97" s="177"/>
      <c r="AD97" s="180" t="s">
        <v>1507</v>
      </c>
      <c r="AE97" s="173" t="s">
        <v>69</v>
      </c>
      <c r="AF97" s="181" t="s">
        <v>142</v>
      </c>
      <c r="AG97" s="192" t="s">
        <v>1508</v>
      </c>
      <c r="AH97" s="198"/>
      <c r="AI97" s="181">
        <v>44849</v>
      </c>
      <c r="AJ97" s="181"/>
      <c r="AK97" s="181">
        <f t="shared" ca="1" si="7"/>
        <v>44958</v>
      </c>
      <c r="AL97" s="173">
        <f t="shared" ca="1" si="13"/>
        <v>109</v>
      </c>
      <c r="AM97" s="173" t="str">
        <f t="shared" si="14"/>
        <v/>
      </c>
      <c r="AN97" s="181"/>
      <c r="AO97" s="190" t="s">
        <v>1575</v>
      </c>
      <c r="AP97" s="176">
        <v>24.63</v>
      </c>
      <c r="AQ97" s="176">
        <v>24.69</v>
      </c>
      <c r="AR97" s="176">
        <v>24.715000000000003</v>
      </c>
      <c r="AS97" s="176">
        <v>24.720000000000002</v>
      </c>
      <c r="AT97" s="173">
        <f t="shared" ca="1" si="10"/>
        <v>19</v>
      </c>
      <c r="AU97" s="173">
        <v>456</v>
      </c>
      <c r="AW97" s="142" t="s">
        <v>123</v>
      </c>
      <c r="AX97" s="142" t="str">
        <f>LEFT(RIGHT(C97,LEN(C97)-MIN(SEARCH({0,1,2,3,4,5,6,7,8,9},C97&amp;"0123456789"))+1),2)</f>
        <v>13</v>
      </c>
      <c r="AY97" s="142">
        <v>2</v>
      </c>
      <c r="AZ97" s="142" t="str">
        <f>LEFT(RIGHT(C97,LEN(C97)-MIN(SEARCH({0,1,2,3,4,5,6,7,8,9},C97&amp;"0123456789"))+1),5)</f>
        <v>13.01</v>
      </c>
      <c r="BA97" s="142" t="str">
        <f t="shared" si="15"/>
        <v>MI</v>
      </c>
    </row>
    <row r="98" spans="2:53" s="142" customFormat="1" ht="21" customHeight="1" x14ac:dyDescent="0.25">
      <c r="B98" s="173" t="str">
        <f t="shared" si="12"/>
        <v>0-304/FH-2.00X765</v>
      </c>
      <c r="C98" s="173" t="s">
        <v>4372</v>
      </c>
      <c r="D98" s="173" t="s">
        <v>16</v>
      </c>
      <c r="E98" s="190" t="s">
        <v>4077</v>
      </c>
      <c r="F98" s="190" t="s">
        <v>4078</v>
      </c>
      <c r="G98" s="173">
        <v>304</v>
      </c>
      <c r="H98" s="173" t="s">
        <v>70</v>
      </c>
      <c r="I98" s="174">
        <v>4.38</v>
      </c>
      <c r="J98" s="174">
        <v>2</v>
      </c>
      <c r="K98" s="174"/>
      <c r="L98" s="174"/>
      <c r="M98" s="191">
        <v>765</v>
      </c>
      <c r="N98" s="176">
        <v>10.47</v>
      </c>
      <c r="O98" s="176">
        <v>10.47</v>
      </c>
      <c r="P98" s="176" t="s">
        <v>114</v>
      </c>
      <c r="Q98" s="178" t="s">
        <v>1386</v>
      </c>
      <c r="R98" s="179"/>
      <c r="S98" s="179"/>
      <c r="T98" s="177">
        <v>44939</v>
      </c>
      <c r="U98" s="177"/>
      <c r="V98" s="177">
        <v>44939</v>
      </c>
      <c r="W98" s="177"/>
      <c r="X98" s="177"/>
      <c r="Y98" s="177"/>
      <c r="Z98" s="177"/>
      <c r="AA98" s="177"/>
      <c r="AB98" s="177"/>
      <c r="AC98" s="177"/>
      <c r="AD98" s="180" t="s">
        <v>1619</v>
      </c>
      <c r="AE98" s="173" t="s">
        <v>69</v>
      </c>
      <c r="AF98" s="181" t="s">
        <v>142</v>
      </c>
      <c r="AG98" s="192" t="s">
        <v>1887</v>
      </c>
      <c r="AH98" s="198"/>
      <c r="AI98" s="181">
        <v>44880</v>
      </c>
      <c r="AJ98" s="181"/>
      <c r="AK98" s="181">
        <f t="shared" ca="1" si="7"/>
        <v>44958</v>
      </c>
      <c r="AL98" s="173">
        <f t="shared" ca="1" si="13"/>
        <v>78</v>
      </c>
      <c r="AM98" s="173" t="str">
        <f t="shared" si="14"/>
        <v/>
      </c>
      <c r="AN98" s="181"/>
      <c r="AO98" s="190" t="s">
        <v>4079</v>
      </c>
      <c r="AP98" s="176">
        <v>10.47</v>
      </c>
      <c r="AQ98" s="176">
        <v>10.48</v>
      </c>
      <c r="AR98" s="176">
        <v>10.504999999999999</v>
      </c>
      <c r="AS98" s="176">
        <v>10.51</v>
      </c>
      <c r="AT98" s="173">
        <f t="shared" ca="1" si="10"/>
        <v>19</v>
      </c>
      <c r="AU98" s="173">
        <v>459</v>
      </c>
      <c r="AW98" s="142" t="s">
        <v>123</v>
      </c>
      <c r="AX98" s="142" t="str">
        <f>LEFT(RIGHT(C98,LEN(C98)-MIN(SEARCH({0,1,2,3,4,5,6,7,8,9},C98&amp;"0123456789"))+1),2)</f>
        <v>13</v>
      </c>
      <c r="AY98" s="142">
        <v>3</v>
      </c>
      <c r="AZ98" s="142" t="str">
        <f>LEFT(RIGHT(C98,LEN(C98)-MIN(SEARCH({0,1,2,3,4,5,6,7,8,9},C98&amp;"0123456789"))+1),5)</f>
        <v>13.01</v>
      </c>
      <c r="BA98" s="142" t="str">
        <f t="shared" si="15"/>
        <v>MI</v>
      </c>
    </row>
    <row r="99" spans="2:53" s="142" customFormat="1" ht="21" customHeight="1" x14ac:dyDescent="0.25">
      <c r="B99" s="173" t="str">
        <f t="shared" si="12"/>
        <v>0-304L/FH-1.50X767</v>
      </c>
      <c r="C99" s="173" t="s">
        <v>4372</v>
      </c>
      <c r="D99" s="173" t="s">
        <v>16</v>
      </c>
      <c r="E99" s="190" t="s">
        <v>1515</v>
      </c>
      <c r="F99" s="190" t="s">
        <v>1518</v>
      </c>
      <c r="G99" s="173" t="s">
        <v>182</v>
      </c>
      <c r="H99" s="173" t="s">
        <v>70</v>
      </c>
      <c r="I99" s="174">
        <v>3.79</v>
      </c>
      <c r="J99" s="174">
        <v>1.5</v>
      </c>
      <c r="K99" s="174"/>
      <c r="L99" s="174"/>
      <c r="M99" s="191">
        <v>767</v>
      </c>
      <c r="N99" s="176">
        <v>12.13</v>
      </c>
      <c r="O99" s="176">
        <v>12.13</v>
      </c>
      <c r="P99" s="176" t="s">
        <v>114</v>
      </c>
      <c r="Q99" s="178" t="s">
        <v>986</v>
      </c>
      <c r="R99" s="179"/>
      <c r="S99" s="179"/>
      <c r="T99" s="177">
        <v>44939</v>
      </c>
      <c r="U99" s="177"/>
      <c r="V99" s="177">
        <v>44939</v>
      </c>
      <c r="W99" s="177"/>
      <c r="X99" s="177"/>
      <c r="Y99" s="177"/>
      <c r="Z99" s="177"/>
      <c r="AA99" s="177">
        <v>44932</v>
      </c>
      <c r="AB99" s="177"/>
      <c r="AC99" s="177"/>
      <c r="AD99" s="180" t="s">
        <v>1507</v>
      </c>
      <c r="AE99" s="173" t="s">
        <v>69</v>
      </c>
      <c r="AF99" s="181" t="s">
        <v>142</v>
      </c>
      <c r="AG99" s="192" t="s">
        <v>1508</v>
      </c>
      <c r="AH99" s="198"/>
      <c r="AI99" s="181">
        <v>44849</v>
      </c>
      <c r="AJ99" s="181"/>
      <c r="AK99" s="181">
        <f t="shared" ca="1" si="7"/>
        <v>44958</v>
      </c>
      <c r="AL99" s="173">
        <f t="shared" ca="1" si="13"/>
        <v>109</v>
      </c>
      <c r="AM99" s="173" t="str">
        <f t="shared" si="14"/>
        <v/>
      </c>
      <c r="AN99" s="181"/>
      <c r="AO99" s="190" t="s">
        <v>1517</v>
      </c>
      <c r="AP99" s="176">
        <v>24.25</v>
      </c>
      <c r="AQ99" s="176">
        <v>24.31</v>
      </c>
      <c r="AR99" s="176">
        <v>24.335000000000001</v>
      </c>
      <c r="AS99" s="176">
        <v>24.34</v>
      </c>
      <c r="AT99" s="173">
        <f t="shared" ca="1" si="10"/>
        <v>19</v>
      </c>
      <c r="AU99" s="173">
        <v>456</v>
      </c>
      <c r="AW99" s="142" t="s">
        <v>123</v>
      </c>
      <c r="AX99" s="142" t="str">
        <f>LEFT(RIGHT(C99,LEN(C99)-MIN(SEARCH({0,1,2,3,4,5,6,7,8,9},C99&amp;"0123456789"))+1),2)</f>
        <v>13</v>
      </c>
      <c r="AY99" s="142">
        <v>3</v>
      </c>
      <c r="AZ99" s="142" t="str">
        <f>LEFT(RIGHT(C99,LEN(C99)-MIN(SEARCH({0,1,2,3,4,5,6,7,8,9},C99&amp;"0123456789"))+1),5)</f>
        <v>13.01</v>
      </c>
      <c r="BA99" s="142" t="str">
        <f t="shared" si="15"/>
        <v>MI</v>
      </c>
    </row>
    <row r="100" spans="2:53" s="142" customFormat="1" ht="21" customHeight="1" x14ac:dyDescent="0.25">
      <c r="B100" s="173" t="str">
        <f t="shared" si="12"/>
        <v>0-304L/FH-1.50X767</v>
      </c>
      <c r="C100" s="173" t="s">
        <v>4372</v>
      </c>
      <c r="D100" s="173" t="s">
        <v>16</v>
      </c>
      <c r="E100" s="190" t="s">
        <v>1576</v>
      </c>
      <c r="F100" s="190" t="s">
        <v>1577</v>
      </c>
      <c r="G100" s="173" t="s">
        <v>182</v>
      </c>
      <c r="H100" s="173" t="s">
        <v>70</v>
      </c>
      <c r="I100" s="174">
        <v>3.79666666666667</v>
      </c>
      <c r="J100" s="174">
        <v>1.5</v>
      </c>
      <c r="K100" s="174"/>
      <c r="L100" s="174"/>
      <c r="M100" s="191">
        <v>767</v>
      </c>
      <c r="N100" s="176">
        <v>10.31</v>
      </c>
      <c r="O100" s="176">
        <v>10.31</v>
      </c>
      <c r="P100" s="176" t="s">
        <v>114</v>
      </c>
      <c r="Q100" s="178" t="s">
        <v>986</v>
      </c>
      <c r="R100" s="179"/>
      <c r="S100" s="179"/>
      <c r="T100" s="177">
        <v>44939</v>
      </c>
      <c r="U100" s="177"/>
      <c r="V100" s="177">
        <v>44939</v>
      </c>
      <c r="W100" s="177"/>
      <c r="X100" s="177"/>
      <c r="Y100" s="177"/>
      <c r="Z100" s="177"/>
      <c r="AA100" s="177">
        <v>44935</v>
      </c>
      <c r="AB100" s="177"/>
      <c r="AC100" s="177"/>
      <c r="AD100" s="180" t="s">
        <v>1507</v>
      </c>
      <c r="AE100" s="173" t="s">
        <v>69</v>
      </c>
      <c r="AF100" s="181" t="s">
        <v>142</v>
      </c>
      <c r="AG100" s="192" t="s">
        <v>1508</v>
      </c>
      <c r="AH100" s="198"/>
      <c r="AI100" s="181">
        <v>44849</v>
      </c>
      <c r="AJ100" s="181"/>
      <c r="AK100" s="181">
        <f t="shared" ca="1" si="7"/>
        <v>44958</v>
      </c>
      <c r="AL100" s="173">
        <f t="shared" ca="1" si="13"/>
        <v>109</v>
      </c>
      <c r="AM100" s="173" t="str">
        <f t="shared" si="14"/>
        <v/>
      </c>
      <c r="AN100" s="181"/>
      <c r="AO100" s="190" t="s">
        <v>1578</v>
      </c>
      <c r="AP100" s="176">
        <v>20.625</v>
      </c>
      <c r="AQ100" s="176">
        <v>20.684999999999999</v>
      </c>
      <c r="AR100" s="176">
        <v>20.71</v>
      </c>
      <c r="AS100" s="176">
        <v>20.715</v>
      </c>
      <c r="AT100" s="173">
        <f t="shared" ca="1" si="10"/>
        <v>19</v>
      </c>
      <c r="AU100" s="173">
        <v>456</v>
      </c>
      <c r="AW100" s="142" t="s">
        <v>123</v>
      </c>
      <c r="AX100" s="142" t="str">
        <f>LEFT(RIGHT(C100,LEN(C100)-MIN(SEARCH({0,1,2,3,4,5,6,7,8,9},C100&amp;"0123456789"))+1),2)</f>
        <v>13</v>
      </c>
      <c r="AY100" s="142">
        <v>3</v>
      </c>
      <c r="AZ100" s="142" t="str">
        <f>LEFT(RIGHT(C100,LEN(C100)-MIN(SEARCH({0,1,2,3,4,5,6,7,8,9},C100&amp;"0123456789"))+1),5)</f>
        <v>13.01</v>
      </c>
      <c r="BA100" s="142" t="str">
        <f t="shared" si="15"/>
        <v>MI</v>
      </c>
    </row>
    <row r="101" spans="2:53" s="142" customFormat="1" ht="21" customHeight="1" x14ac:dyDescent="0.25">
      <c r="B101" s="173" t="str">
        <f t="shared" si="12"/>
        <v>0-304L/FH-1.20X768</v>
      </c>
      <c r="C101" s="173" t="s">
        <v>4373</v>
      </c>
      <c r="D101" s="173" t="s">
        <v>16</v>
      </c>
      <c r="E101" s="190" t="s">
        <v>1544</v>
      </c>
      <c r="F101" s="190" t="s">
        <v>1549</v>
      </c>
      <c r="G101" s="173" t="s">
        <v>182</v>
      </c>
      <c r="H101" s="173" t="s">
        <v>70</v>
      </c>
      <c r="I101" s="174">
        <v>3.79</v>
      </c>
      <c r="J101" s="174">
        <v>1.2</v>
      </c>
      <c r="K101" s="174"/>
      <c r="L101" s="174"/>
      <c r="M101" s="191">
        <v>768</v>
      </c>
      <c r="N101" s="176">
        <v>12.27</v>
      </c>
      <c r="O101" s="176">
        <v>12.27</v>
      </c>
      <c r="P101" s="176" t="s">
        <v>114</v>
      </c>
      <c r="Q101" s="178" t="s">
        <v>1550</v>
      </c>
      <c r="R101" s="179"/>
      <c r="S101" s="179"/>
      <c r="T101" s="177">
        <v>44939</v>
      </c>
      <c r="U101" s="177"/>
      <c r="V101" s="177">
        <v>44940</v>
      </c>
      <c r="W101" s="177"/>
      <c r="X101" s="177"/>
      <c r="Y101" s="177"/>
      <c r="Z101" s="177"/>
      <c r="AA101" s="177">
        <v>44934</v>
      </c>
      <c r="AB101" s="177"/>
      <c r="AC101" s="177"/>
      <c r="AD101" s="180" t="s">
        <v>1507</v>
      </c>
      <c r="AE101" s="173" t="s">
        <v>69</v>
      </c>
      <c r="AF101" s="181" t="s">
        <v>142</v>
      </c>
      <c r="AG101" s="192" t="s">
        <v>1508</v>
      </c>
      <c r="AH101" s="198"/>
      <c r="AI101" s="181">
        <v>44849</v>
      </c>
      <c r="AJ101" s="181"/>
      <c r="AK101" s="181">
        <f t="shared" ca="1" si="7"/>
        <v>44958</v>
      </c>
      <c r="AL101" s="173">
        <f t="shared" ca="1" si="13"/>
        <v>109</v>
      </c>
      <c r="AM101" s="173" t="str">
        <f t="shared" si="14"/>
        <v/>
      </c>
      <c r="AN101" s="181"/>
      <c r="AO101" s="190" t="s">
        <v>1548</v>
      </c>
      <c r="AP101" s="176">
        <v>24.535</v>
      </c>
      <c r="AQ101" s="176">
        <v>24.594999999999999</v>
      </c>
      <c r="AR101" s="176">
        <v>24.62</v>
      </c>
      <c r="AS101" s="176">
        <v>24.625</v>
      </c>
      <c r="AT101" s="173">
        <f t="shared" ca="1" si="10"/>
        <v>18</v>
      </c>
      <c r="AU101" s="173">
        <v>456</v>
      </c>
      <c r="AW101" s="142" t="s">
        <v>123</v>
      </c>
      <c r="AX101" s="142" t="str">
        <f>LEFT(RIGHT(C101,LEN(C101)-MIN(SEARCH({0,1,2,3,4,5,6,7,8,9},C101&amp;"0123456789"))+1),2)</f>
        <v>14</v>
      </c>
      <c r="AY101" s="142">
        <v>1</v>
      </c>
      <c r="AZ101" s="142" t="str">
        <f>LEFT(RIGHT(C101,LEN(C101)-MIN(SEARCH({0,1,2,3,4,5,6,7,8,9},C101&amp;"0123456789"))+1),5)</f>
        <v>14.01</v>
      </c>
      <c r="BA101" s="142" t="str">
        <f t="shared" si="15"/>
        <v>MI</v>
      </c>
    </row>
    <row r="102" spans="2:53" s="142" customFormat="1" ht="21" customHeight="1" x14ac:dyDescent="0.25">
      <c r="B102" s="173" t="str">
        <f t="shared" si="12"/>
        <v>0-304L/FH-1.50X770</v>
      </c>
      <c r="C102" s="173" t="s">
        <v>4373</v>
      </c>
      <c r="D102" s="173" t="s">
        <v>16</v>
      </c>
      <c r="E102" s="190" t="s">
        <v>4042</v>
      </c>
      <c r="F102" s="190" t="s">
        <v>4084</v>
      </c>
      <c r="G102" s="173" t="s">
        <v>182</v>
      </c>
      <c r="H102" s="173" t="s">
        <v>70</v>
      </c>
      <c r="I102" s="174">
        <v>3.79</v>
      </c>
      <c r="J102" s="174">
        <v>1.5</v>
      </c>
      <c r="K102" s="174"/>
      <c r="L102" s="174"/>
      <c r="M102" s="191">
        <v>770</v>
      </c>
      <c r="N102" s="176">
        <v>12.29</v>
      </c>
      <c r="O102" s="176">
        <v>12.29</v>
      </c>
      <c r="P102" s="176" t="s">
        <v>114</v>
      </c>
      <c r="Q102" s="178" t="s">
        <v>1386</v>
      </c>
      <c r="R102" s="179"/>
      <c r="S102" s="179"/>
      <c r="T102" s="177">
        <v>44940</v>
      </c>
      <c r="U102" s="177"/>
      <c r="V102" s="177">
        <v>44940</v>
      </c>
      <c r="W102" s="177"/>
      <c r="X102" s="177"/>
      <c r="Y102" s="177"/>
      <c r="Z102" s="177"/>
      <c r="AA102" s="177">
        <v>44933</v>
      </c>
      <c r="AB102" s="177"/>
      <c r="AC102" s="177"/>
      <c r="AD102" s="180" t="s">
        <v>1507</v>
      </c>
      <c r="AE102" s="173" t="s">
        <v>69</v>
      </c>
      <c r="AF102" s="181" t="s">
        <v>142</v>
      </c>
      <c r="AG102" s="192" t="s">
        <v>1508</v>
      </c>
      <c r="AH102" s="198"/>
      <c r="AI102" s="181">
        <v>44849</v>
      </c>
      <c r="AJ102" s="181"/>
      <c r="AK102" s="181">
        <f t="shared" ca="1" si="7"/>
        <v>44958</v>
      </c>
      <c r="AL102" s="173">
        <f t="shared" ca="1" si="13"/>
        <v>109</v>
      </c>
      <c r="AM102" s="173" t="str">
        <f t="shared" si="14"/>
        <v/>
      </c>
      <c r="AN102" s="181"/>
      <c r="AO102" s="190" t="s">
        <v>4044</v>
      </c>
      <c r="AP102" s="176">
        <v>24.504999999999999</v>
      </c>
      <c r="AQ102" s="176">
        <v>24.565000000000001</v>
      </c>
      <c r="AR102" s="176">
        <v>24.590000000000003</v>
      </c>
      <c r="AS102" s="176">
        <v>24.595000000000002</v>
      </c>
      <c r="AT102" s="173">
        <f t="shared" ca="1" si="10"/>
        <v>18</v>
      </c>
      <c r="AU102" s="173">
        <v>456</v>
      </c>
      <c r="AW102" s="142" t="s">
        <v>123</v>
      </c>
      <c r="AX102" s="142" t="str">
        <f>LEFT(RIGHT(C102,LEN(C102)-MIN(SEARCH({0,1,2,3,4,5,6,7,8,9},C102&amp;"0123456789"))+1),2)</f>
        <v>14</v>
      </c>
      <c r="AY102" s="142">
        <v>1</v>
      </c>
      <c r="AZ102" s="142" t="str">
        <f>LEFT(RIGHT(C102,LEN(C102)-MIN(SEARCH({0,1,2,3,4,5,6,7,8,9},C102&amp;"0123456789"))+1),5)</f>
        <v>14.01</v>
      </c>
      <c r="BA102" s="142" t="str">
        <f t="shared" si="15"/>
        <v>MI</v>
      </c>
    </row>
    <row r="103" spans="2:53" s="142" customFormat="1" ht="21" customHeight="1" x14ac:dyDescent="0.25">
      <c r="B103" s="173" t="str">
        <f t="shared" si="12"/>
        <v>0-304L/FH-1.20X769</v>
      </c>
      <c r="C103" s="173" t="s">
        <v>4373</v>
      </c>
      <c r="D103" s="173" t="s">
        <v>16</v>
      </c>
      <c r="E103" s="190" t="s">
        <v>1565</v>
      </c>
      <c r="F103" s="190" t="s">
        <v>1568</v>
      </c>
      <c r="G103" s="173" t="s">
        <v>182</v>
      </c>
      <c r="H103" s="173" t="s">
        <v>70</v>
      </c>
      <c r="I103" s="174">
        <v>3.79</v>
      </c>
      <c r="J103" s="174">
        <v>1.2</v>
      </c>
      <c r="K103" s="174"/>
      <c r="L103" s="174"/>
      <c r="M103" s="191">
        <v>769</v>
      </c>
      <c r="N103" s="176">
        <v>12.315</v>
      </c>
      <c r="O103" s="176">
        <v>12.315</v>
      </c>
      <c r="P103" s="176" t="s">
        <v>114</v>
      </c>
      <c r="Q103" s="178" t="s">
        <v>986</v>
      </c>
      <c r="R103" s="179"/>
      <c r="S103" s="179"/>
      <c r="T103" s="177">
        <v>44940</v>
      </c>
      <c r="U103" s="177"/>
      <c r="V103" s="177">
        <v>44940</v>
      </c>
      <c r="W103" s="177"/>
      <c r="X103" s="177"/>
      <c r="Y103" s="177"/>
      <c r="Z103" s="177"/>
      <c r="AA103" s="177">
        <v>44933</v>
      </c>
      <c r="AB103" s="177"/>
      <c r="AC103" s="177"/>
      <c r="AD103" s="180" t="s">
        <v>1507</v>
      </c>
      <c r="AE103" s="173" t="s">
        <v>69</v>
      </c>
      <c r="AF103" s="181" t="s">
        <v>142</v>
      </c>
      <c r="AG103" s="192" t="s">
        <v>1508</v>
      </c>
      <c r="AH103" s="198"/>
      <c r="AI103" s="181">
        <v>44849</v>
      </c>
      <c r="AJ103" s="181"/>
      <c r="AK103" s="181">
        <f t="shared" ca="1" si="7"/>
        <v>44958</v>
      </c>
      <c r="AL103" s="173">
        <f t="shared" ca="1" si="13"/>
        <v>109</v>
      </c>
      <c r="AM103" s="173" t="str">
        <f t="shared" si="14"/>
        <v/>
      </c>
      <c r="AN103" s="181"/>
      <c r="AO103" s="190" t="s">
        <v>1567</v>
      </c>
      <c r="AP103" s="176">
        <v>24.59</v>
      </c>
      <c r="AQ103" s="176">
        <v>24.65</v>
      </c>
      <c r="AR103" s="176">
        <v>24.675000000000001</v>
      </c>
      <c r="AS103" s="176">
        <v>24.68</v>
      </c>
      <c r="AT103" s="173">
        <f t="shared" ca="1" si="10"/>
        <v>18</v>
      </c>
      <c r="AU103" s="173">
        <v>456</v>
      </c>
      <c r="AW103" s="142" t="s">
        <v>123</v>
      </c>
      <c r="AX103" s="142" t="str">
        <f>LEFT(RIGHT(C103,LEN(C103)-MIN(SEARCH({0,1,2,3,4,5,6,7,8,9},C103&amp;"0123456789"))+1),2)</f>
        <v>14</v>
      </c>
      <c r="AY103" s="142">
        <v>2</v>
      </c>
      <c r="AZ103" s="142" t="str">
        <f>LEFT(RIGHT(C103,LEN(C103)-MIN(SEARCH({0,1,2,3,4,5,6,7,8,9},C103&amp;"0123456789"))+1),5)</f>
        <v>14.01</v>
      </c>
      <c r="BA103" s="142" t="str">
        <f t="shared" si="15"/>
        <v>MI</v>
      </c>
    </row>
    <row r="104" spans="2:53" s="142" customFormat="1" ht="21" customHeight="1" x14ac:dyDescent="0.25">
      <c r="B104" s="173" t="str">
        <f t="shared" si="12"/>
        <v>0-304L/FH-2.00X765</v>
      </c>
      <c r="C104" s="173" t="s">
        <v>4373</v>
      </c>
      <c r="D104" s="173" t="s">
        <v>16</v>
      </c>
      <c r="E104" s="190" t="s">
        <v>2352</v>
      </c>
      <c r="F104" s="190" t="s">
        <v>2353</v>
      </c>
      <c r="G104" s="173" t="s">
        <v>182</v>
      </c>
      <c r="H104" s="173" t="s">
        <v>70</v>
      </c>
      <c r="I104" s="174">
        <v>3.96</v>
      </c>
      <c r="J104" s="174">
        <v>2</v>
      </c>
      <c r="K104" s="174"/>
      <c r="L104" s="174"/>
      <c r="M104" s="191">
        <v>765</v>
      </c>
      <c r="N104" s="176">
        <v>10.61</v>
      </c>
      <c r="O104" s="176">
        <v>10.61</v>
      </c>
      <c r="P104" s="176" t="s">
        <v>114</v>
      </c>
      <c r="Q104" s="178" t="s">
        <v>1386</v>
      </c>
      <c r="R104" s="179"/>
      <c r="S104" s="179"/>
      <c r="T104" s="177">
        <v>44940</v>
      </c>
      <c r="U104" s="177"/>
      <c r="V104" s="177">
        <v>44940</v>
      </c>
      <c r="W104" s="177"/>
      <c r="X104" s="177"/>
      <c r="Y104" s="177"/>
      <c r="Z104" s="177"/>
      <c r="AA104" s="177"/>
      <c r="AB104" s="177"/>
      <c r="AC104" s="177"/>
      <c r="AD104" s="180" t="s">
        <v>1345</v>
      </c>
      <c r="AE104" s="173" t="s">
        <v>69</v>
      </c>
      <c r="AF104" s="181" t="s">
        <v>142</v>
      </c>
      <c r="AG104" s="192" t="s">
        <v>1653</v>
      </c>
      <c r="AH104" s="198"/>
      <c r="AI104" s="181">
        <v>44880</v>
      </c>
      <c r="AJ104" s="181"/>
      <c r="AK104" s="181">
        <f t="shared" ca="1" si="7"/>
        <v>44958</v>
      </c>
      <c r="AL104" s="173">
        <f t="shared" ca="1" si="13"/>
        <v>78</v>
      </c>
      <c r="AM104" s="173" t="str">
        <f t="shared" si="14"/>
        <v/>
      </c>
      <c r="AN104" s="181"/>
      <c r="AO104" s="190" t="s">
        <v>2355</v>
      </c>
      <c r="AP104" s="176">
        <v>10.61</v>
      </c>
      <c r="AQ104" s="176">
        <v>10.62</v>
      </c>
      <c r="AR104" s="176">
        <v>10.644999999999998</v>
      </c>
      <c r="AS104" s="176">
        <v>10.649999999999999</v>
      </c>
      <c r="AT104" s="173">
        <f t="shared" ca="1" si="10"/>
        <v>18</v>
      </c>
      <c r="AU104" s="173">
        <v>459</v>
      </c>
      <c r="AW104" s="142" t="s">
        <v>123</v>
      </c>
      <c r="AX104" s="142" t="str">
        <f>LEFT(RIGHT(C104,LEN(C104)-MIN(SEARCH({0,1,2,3,4,5,6,7,8,9},C104&amp;"0123456789"))+1),2)</f>
        <v>14</v>
      </c>
      <c r="AY104" s="142">
        <v>2</v>
      </c>
      <c r="AZ104" s="142" t="str">
        <f>LEFT(RIGHT(C104,LEN(C104)-MIN(SEARCH({0,1,2,3,4,5,6,7,8,9},C104&amp;"0123456789"))+1),5)</f>
        <v>14.01</v>
      </c>
      <c r="BA104" s="142" t="str">
        <f t="shared" si="15"/>
        <v>MI</v>
      </c>
    </row>
    <row r="105" spans="2:53" s="142" customFormat="1" ht="21" customHeight="1" x14ac:dyDescent="0.25">
      <c r="B105" s="173" t="str">
        <f t="shared" si="12"/>
        <v>0-304L/FH-1.20X768</v>
      </c>
      <c r="C105" s="173" t="s">
        <v>4373</v>
      </c>
      <c r="D105" s="173" t="s">
        <v>16</v>
      </c>
      <c r="E105" s="190" t="s">
        <v>1558</v>
      </c>
      <c r="F105" s="190" t="s">
        <v>4093</v>
      </c>
      <c r="G105" s="173" t="s">
        <v>182</v>
      </c>
      <c r="H105" s="173" t="s">
        <v>70</v>
      </c>
      <c r="I105" s="174">
        <v>3.78</v>
      </c>
      <c r="J105" s="174">
        <v>1.2</v>
      </c>
      <c r="K105" s="174"/>
      <c r="L105" s="174"/>
      <c r="M105" s="191">
        <v>768</v>
      </c>
      <c r="N105" s="176">
        <v>12.285</v>
      </c>
      <c r="O105" s="176">
        <v>12.285</v>
      </c>
      <c r="P105" s="176" t="s">
        <v>114</v>
      </c>
      <c r="Q105" s="178" t="s">
        <v>4374</v>
      </c>
      <c r="R105" s="179"/>
      <c r="S105" s="179"/>
      <c r="T105" s="177">
        <v>44940</v>
      </c>
      <c r="U105" s="177"/>
      <c r="V105" s="177">
        <v>44940</v>
      </c>
      <c r="W105" s="177"/>
      <c r="X105" s="177"/>
      <c r="Y105" s="177"/>
      <c r="Z105" s="177"/>
      <c r="AA105" s="177">
        <v>44934</v>
      </c>
      <c r="AB105" s="177"/>
      <c r="AC105" s="177"/>
      <c r="AD105" s="180" t="s">
        <v>1507</v>
      </c>
      <c r="AE105" s="173" t="s">
        <v>69</v>
      </c>
      <c r="AF105" s="181" t="s">
        <v>142</v>
      </c>
      <c r="AG105" s="192" t="s">
        <v>1508</v>
      </c>
      <c r="AH105" s="198"/>
      <c r="AI105" s="181">
        <v>44849</v>
      </c>
      <c r="AJ105" s="181"/>
      <c r="AK105" s="181">
        <f t="shared" ca="1" si="7"/>
        <v>44958</v>
      </c>
      <c r="AL105" s="173">
        <f t="shared" ca="1" si="13"/>
        <v>109</v>
      </c>
      <c r="AM105" s="173" t="str">
        <f t="shared" si="14"/>
        <v/>
      </c>
      <c r="AN105" s="181"/>
      <c r="AO105" s="190" t="s">
        <v>1560</v>
      </c>
      <c r="AP105" s="176">
        <v>24.535</v>
      </c>
      <c r="AQ105" s="176">
        <v>24.594999999999999</v>
      </c>
      <c r="AR105" s="176">
        <v>24.62</v>
      </c>
      <c r="AS105" s="176">
        <v>24.625</v>
      </c>
      <c r="AT105" s="173">
        <f t="shared" ca="1" si="10"/>
        <v>18</v>
      </c>
      <c r="AU105" s="173">
        <v>456</v>
      </c>
      <c r="AW105" s="142" t="s">
        <v>123</v>
      </c>
      <c r="AX105" s="142" t="str">
        <f>LEFT(RIGHT(C105,LEN(C105)-MIN(SEARCH({0,1,2,3,4,5,6,7,8,9},C105&amp;"0123456789"))+1),2)</f>
        <v>14</v>
      </c>
      <c r="AY105" s="142">
        <v>3</v>
      </c>
      <c r="AZ105" s="142" t="str">
        <f>LEFT(RIGHT(C105,LEN(C105)-MIN(SEARCH({0,1,2,3,4,5,6,7,8,9},C105&amp;"0123456789"))+1),5)</f>
        <v>14.01</v>
      </c>
      <c r="BA105" s="142" t="str">
        <f t="shared" si="15"/>
        <v>MI</v>
      </c>
    </row>
    <row r="106" spans="2:53" s="142" customFormat="1" ht="21" customHeight="1" x14ac:dyDescent="0.25">
      <c r="B106" s="173" t="str">
        <f t="shared" si="12"/>
        <v>0-304L/FH-1.50X768</v>
      </c>
      <c r="C106" s="173" t="s">
        <v>4373</v>
      </c>
      <c r="D106" s="173" t="s">
        <v>16</v>
      </c>
      <c r="E106" s="190" t="s">
        <v>1569</v>
      </c>
      <c r="F106" s="190" t="s">
        <v>1570</v>
      </c>
      <c r="G106" s="173" t="s">
        <v>182</v>
      </c>
      <c r="H106" s="173" t="s">
        <v>70</v>
      </c>
      <c r="I106" s="174">
        <v>3.81</v>
      </c>
      <c r="J106" s="174">
        <v>1.5</v>
      </c>
      <c r="K106" s="174"/>
      <c r="L106" s="174"/>
      <c r="M106" s="191">
        <v>768</v>
      </c>
      <c r="N106" s="176">
        <v>12.3</v>
      </c>
      <c r="O106" s="176">
        <v>12.3</v>
      </c>
      <c r="P106" s="176" t="s">
        <v>114</v>
      </c>
      <c r="Q106" s="178" t="s">
        <v>1571</v>
      </c>
      <c r="R106" s="179"/>
      <c r="S106" s="179"/>
      <c r="T106" s="177">
        <v>44940</v>
      </c>
      <c r="U106" s="177"/>
      <c r="V106" s="177">
        <v>44940</v>
      </c>
      <c r="W106" s="177"/>
      <c r="X106" s="177"/>
      <c r="Y106" s="177"/>
      <c r="Z106" s="177">
        <v>44934</v>
      </c>
      <c r="AA106" s="177">
        <v>44934</v>
      </c>
      <c r="AB106" s="177"/>
      <c r="AC106" s="177"/>
      <c r="AD106" s="180" t="s">
        <v>1507</v>
      </c>
      <c r="AE106" s="173" t="s">
        <v>69</v>
      </c>
      <c r="AF106" s="181" t="s">
        <v>142</v>
      </c>
      <c r="AG106" s="192" t="s">
        <v>1508</v>
      </c>
      <c r="AH106" s="198"/>
      <c r="AI106" s="181">
        <v>44849</v>
      </c>
      <c r="AJ106" s="181"/>
      <c r="AK106" s="181">
        <f t="shared" ca="1" si="7"/>
        <v>44958</v>
      </c>
      <c r="AL106" s="173">
        <f t="shared" ca="1" si="13"/>
        <v>109</v>
      </c>
      <c r="AM106" s="173" t="str">
        <f t="shared" si="14"/>
        <v/>
      </c>
      <c r="AN106" s="181"/>
      <c r="AO106" s="190" t="s">
        <v>1572</v>
      </c>
      <c r="AP106" s="176">
        <v>24.53</v>
      </c>
      <c r="AQ106" s="176">
        <v>24.59</v>
      </c>
      <c r="AR106" s="176">
        <v>24.615000000000002</v>
      </c>
      <c r="AS106" s="176">
        <v>24.62</v>
      </c>
      <c r="AT106" s="173">
        <f t="shared" ca="1" si="10"/>
        <v>18</v>
      </c>
      <c r="AU106" s="173">
        <v>456</v>
      </c>
      <c r="AW106" s="142" t="s">
        <v>123</v>
      </c>
      <c r="AX106" s="142" t="str">
        <f>LEFT(RIGHT(C106,LEN(C106)-MIN(SEARCH({0,1,2,3,4,5,6,7,8,9},C106&amp;"0123456789"))+1),2)</f>
        <v>14</v>
      </c>
      <c r="AY106" s="142">
        <v>3</v>
      </c>
      <c r="AZ106" s="142" t="str">
        <f>LEFT(RIGHT(C106,LEN(C106)-MIN(SEARCH({0,1,2,3,4,5,6,7,8,9},C106&amp;"0123456789"))+1),5)</f>
        <v>14.01</v>
      </c>
      <c r="BA106" s="142" t="str">
        <f t="shared" si="15"/>
        <v>MI</v>
      </c>
    </row>
    <row r="107" spans="2:53" s="142" customFormat="1" ht="21" customHeight="1" x14ac:dyDescent="0.25">
      <c r="B107" s="173" t="str">
        <f t="shared" si="12"/>
        <v>0-304/FH-2.00X764</v>
      </c>
      <c r="C107" s="173" t="s">
        <v>4373</v>
      </c>
      <c r="D107" s="173" t="s">
        <v>16</v>
      </c>
      <c r="E107" s="190" t="s">
        <v>2598</v>
      </c>
      <c r="F107" s="190" t="s">
        <v>2599</v>
      </c>
      <c r="G107" s="173">
        <v>304</v>
      </c>
      <c r="H107" s="173" t="s">
        <v>70</v>
      </c>
      <c r="I107" s="174">
        <v>3.82</v>
      </c>
      <c r="J107" s="174">
        <v>2</v>
      </c>
      <c r="K107" s="174"/>
      <c r="L107" s="174"/>
      <c r="M107" s="191">
        <v>764</v>
      </c>
      <c r="N107" s="176">
        <v>9.15</v>
      </c>
      <c r="O107" s="176">
        <v>9.15</v>
      </c>
      <c r="P107" s="176" t="s">
        <v>114</v>
      </c>
      <c r="Q107" s="178" t="s">
        <v>2600</v>
      </c>
      <c r="R107" s="179"/>
      <c r="S107" s="179"/>
      <c r="T107" s="177">
        <v>44940</v>
      </c>
      <c r="U107" s="177"/>
      <c r="V107" s="177">
        <v>44940</v>
      </c>
      <c r="W107" s="177"/>
      <c r="X107" s="177"/>
      <c r="Y107" s="177"/>
      <c r="Z107" s="177"/>
      <c r="AA107" s="177"/>
      <c r="AB107" s="177"/>
      <c r="AC107" s="177"/>
      <c r="AD107" s="180" t="s">
        <v>1507</v>
      </c>
      <c r="AE107" s="173" t="s">
        <v>69</v>
      </c>
      <c r="AF107" s="181" t="s">
        <v>142</v>
      </c>
      <c r="AG107" s="192" t="s">
        <v>1584</v>
      </c>
      <c r="AH107" s="198"/>
      <c r="AI107" s="181">
        <v>44914</v>
      </c>
      <c r="AJ107" s="181"/>
      <c r="AK107" s="181">
        <f t="shared" ca="1" si="7"/>
        <v>44958</v>
      </c>
      <c r="AL107" s="173">
        <f t="shared" ca="1" si="13"/>
        <v>44</v>
      </c>
      <c r="AM107" s="173" t="str">
        <f t="shared" si="14"/>
        <v/>
      </c>
      <c r="AN107" s="181"/>
      <c r="AO107" s="190" t="s">
        <v>2601</v>
      </c>
      <c r="AP107" s="176">
        <v>9.15</v>
      </c>
      <c r="AQ107" s="176">
        <v>9.16</v>
      </c>
      <c r="AR107" s="176">
        <v>9.1849999999999987</v>
      </c>
      <c r="AS107" s="176">
        <v>9.19</v>
      </c>
      <c r="AT107" s="173">
        <f t="shared" ca="1" si="10"/>
        <v>18</v>
      </c>
      <c r="AU107" s="173">
        <v>462</v>
      </c>
      <c r="AW107" s="142" t="s">
        <v>123</v>
      </c>
      <c r="AX107" s="142" t="str">
        <f>LEFT(RIGHT(C107,LEN(C107)-MIN(SEARCH({0,1,2,3,4,5,6,7,8,9},C107&amp;"0123456789"))+1),2)</f>
        <v>14</v>
      </c>
      <c r="AY107" s="142">
        <v>3</v>
      </c>
      <c r="AZ107" s="142" t="str">
        <f>LEFT(RIGHT(C107,LEN(C107)-MIN(SEARCH({0,1,2,3,4,5,6,7,8,9},C107&amp;"0123456789"))+1),5)</f>
        <v>14.01</v>
      </c>
      <c r="BA107" s="142" t="str">
        <f t="shared" si="15"/>
        <v>MI</v>
      </c>
    </row>
    <row r="108" spans="2:53" s="142" customFormat="1" ht="21" customHeight="1" x14ac:dyDescent="0.25">
      <c r="B108" s="173" t="str">
        <f t="shared" si="12"/>
        <v>0-304L/FH-0.80X767</v>
      </c>
      <c r="C108" s="173" t="s">
        <v>4375</v>
      </c>
      <c r="D108" s="173" t="s">
        <v>16</v>
      </c>
      <c r="E108" s="190" t="s">
        <v>4094</v>
      </c>
      <c r="F108" s="190" t="s">
        <v>4095</v>
      </c>
      <c r="G108" s="173" t="s">
        <v>182</v>
      </c>
      <c r="H108" s="173" t="s">
        <v>70</v>
      </c>
      <c r="I108" s="174">
        <v>2.89</v>
      </c>
      <c r="J108" s="174">
        <v>0.8</v>
      </c>
      <c r="K108" s="174"/>
      <c r="L108" s="174"/>
      <c r="M108" s="191">
        <v>767</v>
      </c>
      <c r="N108" s="176">
        <v>8.4649999999999999</v>
      </c>
      <c r="O108" s="176">
        <v>8.4649999999999999</v>
      </c>
      <c r="P108" s="176" t="s">
        <v>114</v>
      </c>
      <c r="Q108" s="178" t="s">
        <v>1344</v>
      </c>
      <c r="R108" s="179"/>
      <c r="S108" s="179"/>
      <c r="T108" s="177">
        <v>44940</v>
      </c>
      <c r="U108" s="177"/>
      <c r="V108" s="177">
        <v>44941</v>
      </c>
      <c r="W108" s="177"/>
      <c r="X108" s="177"/>
      <c r="Y108" s="177"/>
      <c r="Z108" s="177"/>
      <c r="AA108" s="177"/>
      <c r="AB108" s="177"/>
      <c r="AC108" s="177"/>
      <c r="AD108" s="180" t="s">
        <v>2448</v>
      </c>
      <c r="AE108" s="173" t="s">
        <v>69</v>
      </c>
      <c r="AF108" s="181" t="s">
        <v>142</v>
      </c>
      <c r="AG108" s="192" t="s">
        <v>1584</v>
      </c>
      <c r="AH108" s="198"/>
      <c r="AI108" s="181">
        <v>44914</v>
      </c>
      <c r="AJ108" s="181"/>
      <c r="AK108" s="181">
        <f t="shared" ca="1" si="7"/>
        <v>44958</v>
      </c>
      <c r="AL108" s="173">
        <f t="shared" ca="1" si="13"/>
        <v>44</v>
      </c>
      <c r="AM108" s="173" t="str">
        <f t="shared" si="14"/>
        <v/>
      </c>
      <c r="AN108" s="181"/>
      <c r="AO108" s="190" t="s">
        <v>4096</v>
      </c>
      <c r="AP108" s="176">
        <v>8.4649999999999999</v>
      </c>
      <c r="AQ108" s="176">
        <v>8.4749999999999996</v>
      </c>
      <c r="AR108" s="176">
        <v>8.4999999999999982</v>
      </c>
      <c r="AS108" s="176">
        <v>8.504999999999999</v>
      </c>
      <c r="AT108" s="173">
        <f t="shared" ca="1" si="10"/>
        <v>17</v>
      </c>
      <c r="AU108" s="173">
        <v>462</v>
      </c>
      <c r="AW108" s="142" t="s">
        <v>123</v>
      </c>
      <c r="AX108" s="142" t="str">
        <f>LEFT(RIGHT(C108,LEN(C108)-MIN(SEARCH({0,1,2,3,4,5,6,7,8,9},C108&amp;"0123456789"))+1),2)</f>
        <v>15</v>
      </c>
      <c r="AY108" s="142">
        <v>1</v>
      </c>
      <c r="AZ108" s="142" t="str">
        <f>LEFT(RIGHT(C108,LEN(C108)-MIN(SEARCH({0,1,2,3,4,5,6,7,8,9},C108&amp;"0123456789"))+1),5)</f>
        <v>15.01</v>
      </c>
      <c r="BA108" s="142" t="str">
        <f t="shared" si="15"/>
        <v>MI</v>
      </c>
    </row>
    <row r="109" spans="2:53" s="142" customFormat="1" ht="21" customHeight="1" x14ac:dyDescent="0.25">
      <c r="B109" s="173" t="str">
        <f t="shared" si="12"/>
        <v>0-304L/FH-1.20X768</v>
      </c>
      <c r="C109" s="173" t="s">
        <v>4375</v>
      </c>
      <c r="D109" s="173" t="s">
        <v>16</v>
      </c>
      <c r="E109" s="190" t="s">
        <v>1544</v>
      </c>
      <c r="F109" s="190" t="s">
        <v>4101</v>
      </c>
      <c r="G109" s="173" t="s">
        <v>182</v>
      </c>
      <c r="H109" s="173" t="s">
        <v>70</v>
      </c>
      <c r="I109" s="174">
        <v>3.79</v>
      </c>
      <c r="J109" s="174">
        <v>1.2</v>
      </c>
      <c r="K109" s="174"/>
      <c r="L109" s="174"/>
      <c r="M109" s="191">
        <v>768</v>
      </c>
      <c r="N109" s="176">
        <v>12.27</v>
      </c>
      <c r="O109" s="176">
        <v>12.27</v>
      </c>
      <c r="P109" s="176" t="s">
        <v>114</v>
      </c>
      <c r="Q109" s="178" t="s">
        <v>1546</v>
      </c>
      <c r="R109" s="179"/>
      <c r="S109" s="179"/>
      <c r="T109" s="177">
        <v>44941</v>
      </c>
      <c r="U109" s="177"/>
      <c r="V109" s="177">
        <v>44941</v>
      </c>
      <c r="W109" s="177"/>
      <c r="X109" s="177"/>
      <c r="Y109" s="177"/>
      <c r="Z109" s="177">
        <v>44935</v>
      </c>
      <c r="AA109" s="177">
        <v>44934</v>
      </c>
      <c r="AB109" s="177"/>
      <c r="AC109" s="177"/>
      <c r="AD109" s="180" t="s">
        <v>1507</v>
      </c>
      <c r="AE109" s="173" t="s">
        <v>69</v>
      </c>
      <c r="AF109" s="181" t="s">
        <v>142</v>
      </c>
      <c r="AG109" s="192" t="s">
        <v>1508</v>
      </c>
      <c r="AH109" s="198"/>
      <c r="AI109" s="181">
        <v>44849</v>
      </c>
      <c r="AJ109" s="181"/>
      <c r="AK109" s="181">
        <f t="shared" ca="1" si="7"/>
        <v>44958</v>
      </c>
      <c r="AL109" s="173">
        <f t="shared" ca="1" si="13"/>
        <v>109</v>
      </c>
      <c r="AM109" s="173" t="str">
        <f t="shared" si="14"/>
        <v/>
      </c>
      <c r="AN109" s="181"/>
      <c r="AO109" s="190" t="s">
        <v>1548</v>
      </c>
      <c r="AP109" s="176">
        <v>24.535</v>
      </c>
      <c r="AQ109" s="176">
        <v>24.594999999999999</v>
      </c>
      <c r="AR109" s="176">
        <v>24.62</v>
      </c>
      <c r="AS109" s="176">
        <v>24.625</v>
      </c>
      <c r="AT109" s="173">
        <f t="shared" ca="1" si="10"/>
        <v>17</v>
      </c>
      <c r="AU109" s="173">
        <v>456</v>
      </c>
      <c r="AW109" s="142" t="s">
        <v>123</v>
      </c>
      <c r="AX109" s="142" t="str">
        <f>LEFT(RIGHT(C109,LEN(C109)-MIN(SEARCH({0,1,2,3,4,5,6,7,8,9},C109&amp;"0123456789"))+1),2)</f>
        <v>15</v>
      </c>
      <c r="AY109" s="142">
        <v>1</v>
      </c>
      <c r="AZ109" s="142" t="str">
        <f>LEFT(RIGHT(C109,LEN(C109)-MIN(SEARCH({0,1,2,3,4,5,6,7,8,9},C109&amp;"0123456789"))+1),5)</f>
        <v>15.01</v>
      </c>
      <c r="BA109" s="142" t="str">
        <f t="shared" si="15"/>
        <v>MI</v>
      </c>
    </row>
    <row r="110" spans="2:53" s="142" customFormat="1" ht="21" customHeight="1" x14ac:dyDescent="0.25">
      <c r="B110" s="173" t="str">
        <f t="shared" si="12"/>
        <v>0-304L/FH-1.20X768.5</v>
      </c>
      <c r="C110" s="173" t="s">
        <v>4375</v>
      </c>
      <c r="D110" s="173" t="s">
        <v>16</v>
      </c>
      <c r="E110" s="190" t="s">
        <v>1530</v>
      </c>
      <c r="F110" s="190" t="s">
        <v>1531</v>
      </c>
      <c r="G110" s="173" t="s">
        <v>182</v>
      </c>
      <c r="H110" s="173" t="s">
        <v>70</v>
      </c>
      <c r="I110" s="174">
        <v>3.8</v>
      </c>
      <c r="J110" s="174">
        <v>1.2</v>
      </c>
      <c r="K110" s="174"/>
      <c r="L110" s="174"/>
      <c r="M110" s="191">
        <f>1537/2</f>
        <v>768.5</v>
      </c>
      <c r="N110" s="176">
        <v>12.28</v>
      </c>
      <c r="O110" s="176">
        <v>12.28</v>
      </c>
      <c r="P110" s="176" t="s">
        <v>114</v>
      </c>
      <c r="Q110" s="178" t="s">
        <v>1506</v>
      </c>
      <c r="R110" s="179"/>
      <c r="S110" s="179"/>
      <c r="T110" s="177">
        <v>44941</v>
      </c>
      <c r="U110" s="177"/>
      <c r="V110" s="177">
        <v>44941</v>
      </c>
      <c r="W110" s="177"/>
      <c r="X110" s="177"/>
      <c r="Y110" s="177"/>
      <c r="Z110" s="177"/>
      <c r="AA110" s="177">
        <v>44935</v>
      </c>
      <c r="AB110" s="177"/>
      <c r="AC110" s="177"/>
      <c r="AD110" s="180" t="s">
        <v>1507</v>
      </c>
      <c r="AE110" s="173" t="s">
        <v>69</v>
      </c>
      <c r="AF110" s="181" t="s">
        <v>142</v>
      </c>
      <c r="AG110" s="192" t="s">
        <v>1508</v>
      </c>
      <c r="AH110" s="198"/>
      <c r="AI110" s="181">
        <v>44849</v>
      </c>
      <c r="AJ110" s="181"/>
      <c r="AK110" s="181">
        <f t="shared" ca="1" si="7"/>
        <v>44958</v>
      </c>
      <c r="AL110" s="173">
        <f t="shared" ca="1" si="13"/>
        <v>109</v>
      </c>
      <c r="AM110" s="173" t="str">
        <f t="shared" si="14"/>
        <v/>
      </c>
      <c r="AN110" s="181"/>
      <c r="AO110" s="190" t="s">
        <v>1532</v>
      </c>
      <c r="AP110" s="176">
        <v>24.57</v>
      </c>
      <c r="AQ110" s="176">
        <v>24.63</v>
      </c>
      <c r="AR110" s="176">
        <v>24.655000000000001</v>
      </c>
      <c r="AS110" s="176">
        <v>24.66</v>
      </c>
      <c r="AT110" s="173">
        <f t="shared" ca="1" si="10"/>
        <v>17</v>
      </c>
      <c r="AU110" s="173">
        <v>456</v>
      </c>
      <c r="AW110" s="142" t="s">
        <v>123</v>
      </c>
      <c r="AX110" s="142" t="str">
        <f>LEFT(RIGHT(C110,LEN(C110)-MIN(SEARCH({0,1,2,3,4,5,6,7,8,9},C110&amp;"0123456789"))+1),2)</f>
        <v>15</v>
      </c>
      <c r="AY110" s="142">
        <v>1</v>
      </c>
      <c r="AZ110" s="142" t="str">
        <f>LEFT(RIGHT(C110,LEN(C110)-MIN(SEARCH({0,1,2,3,4,5,6,7,8,9},C110&amp;"0123456789"))+1),5)</f>
        <v>15.01</v>
      </c>
      <c r="BA110" s="142" t="str">
        <f t="shared" si="15"/>
        <v>MI</v>
      </c>
    </row>
    <row r="111" spans="2:53" s="142" customFormat="1" ht="21" customHeight="1" x14ac:dyDescent="0.25">
      <c r="B111" s="173" t="str">
        <f t="shared" si="12"/>
        <v>0-304L/FH-1.50X769</v>
      </c>
      <c r="C111" s="173" t="s">
        <v>4375</v>
      </c>
      <c r="D111" s="173" t="s">
        <v>16</v>
      </c>
      <c r="E111" s="190" t="s">
        <v>1526</v>
      </c>
      <c r="F111" s="190" t="s">
        <v>1527</v>
      </c>
      <c r="G111" s="173" t="s">
        <v>182</v>
      </c>
      <c r="H111" s="173" t="s">
        <v>70</v>
      </c>
      <c r="I111" s="174">
        <v>3.82</v>
      </c>
      <c r="J111" s="174">
        <v>1.5</v>
      </c>
      <c r="K111" s="174"/>
      <c r="L111" s="174"/>
      <c r="M111" s="191">
        <v>769</v>
      </c>
      <c r="N111" s="176">
        <v>12.285</v>
      </c>
      <c r="O111" s="176">
        <v>12.285</v>
      </c>
      <c r="P111" s="176" t="s">
        <v>114</v>
      </c>
      <c r="Q111" s="178" t="s">
        <v>1506</v>
      </c>
      <c r="R111" s="179"/>
      <c r="S111" s="179"/>
      <c r="T111" s="177">
        <v>44941</v>
      </c>
      <c r="U111" s="177"/>
      <c r="V111" s="177">
        <v>44941</v>
      </c>
      <c r="W111" s="177"/>
      <c r="X111" s="177"/>
      <c r="Y111" s="177"/>
      <c r="Z111" s="177"/>
      <c r="AA111" s="177">
        <v>44933</v>
      </c>
      <c r="AB111" s="177"/>
      <c r="AC111" s="177"/>
      <c r="AD111" s="180" t="s">
        <v>1507</v>
      </c>
      <c r="AE111" s="173" t="s">
        <v>69</v>
      </c>
      <c r="AF111" s="181" t="s">
        <v>142</v>
      </c>
      <c r="AG111" s="192" t="s">
        <v>1508</v>
      </c>
      <c r="AH111" s="198"/>
      <c r="AI111" s="181">
        <v>44849</v>
      </c>
      <c r="AJ111" s="181"/>
      <c r="AK111" s="181">
        <f t="shared" ca="1" si="7"/>
        <v>44958</v>
      </c>
      <c r="AL111" s="173">
        <f t="shared" ca="1" si="13"/>
        <v>109</v>
      </c>
      <c r="AM111" s="173" t="str">
        <f t="shared" si="14"/>
        <v/>
      </c>
      <c r="AN111" s="181"/>
      <c r="AO111" s="190" t="s">
        <v>1528</v>
      </c>
      <c r="AP111" s="176">
        <v>24.565000000000001</v>
      </c>
      <c r="AQ111" s="176">
        <v>24.625</v>
      </c>
      <c r="AR111" s="176">
        <v>24.650000000000002</v>
      </c>
      <c r="AS111" s="176">
        <v>24.655000000000001</v>
      </c>
      <c r="AT111" s="173">
        <f t="shared" ca="1" si="10"/>
        <v>17</v>
      </c>
      <c r="AU111" s="173">
        <v>456</v>
      </c>
      <c r="AW111" s="142" t="s">
        <v>123</v>
      </c>
      <c r="AX111" s="142" t="str">
        <f>LEFT(RIGHT(C111,LEN(C111)-MIN(SEARCH({0,1,2,3,4,5,6,7,8,9},C111&amp;"0123456789"))+1),2)</f>
        <v>15</v>
      </c>
      <c r="AY111" s="142">
        <v>2</v>
      </c>
      <c r="AZ111" s="142" t="str">
        <f>LEFT(RIGHT(C111,LEN(C111)-MIN(SEARCH({0,1,2,3,4,5,6,7,8,9},C111&amp;"0123456789"))+1),5)</f>
        <v>15.01</v>
      </c>
      <c r="BA111" s="142" t="str">
        <f t="shared" si="15"/>
        <v>MI</v>
      </c>
    </row>
    <row r="112" spans="2:53" s="142" customFormat="1" ht="21" customHeight="1" x14ac:dyDescent="0.25">
      <c r="B112" s="173" t="str">
        <f t="shared" si="12"/>
        <v>0-304L/FH-1.45X770</v>
      </c>
      <c r="C112" s="173" t="s">
        <v>4375</v>
      </c>
      <c r="D112" s="173" t="s">
        <v>16</v>
      </c>
      <c r="E112" s="190" t="s">
        <v>1515</v>
      </c>
      <c r="F112" s="190" t="s">
        <v>1516</v>
      </c>
      <c r="G112" s="173" t="s">
        <v>182</v>
      </c>
      <c r="H112" s="173" t="s">
        <v>70</v>
      </c>
      <c r="I112" s="174">
        <v>3.79</v>
      </c>
      <c r="J112" s="174">
        <v>1.45</v>
      </c>
      <c r="K112" s="174"/>
      <c r="L112" s="174"/>
      <c r="M112" s="191">
        <v>770</v>
      </c>
      <c r="N112" s="176">
        <v>12.14</v>
      </c>
      <c r="O112" s="176">
        <v>12.14</v>
      </c>
      <c r="P112" s="176" t="s">
        <v>114</v>
      </c>
      <c r="Q112" s="178" t="s">
        <v>361</v>
      </c>
      <c r="R112" s="179"/>
      <c r="S112" s="179"/>
      <c r="T112" s="177">
        <v>44940</v>
      </c>
      <c r="U112" s="177"/>
      <c r="V112" s="177">
        <v>44941</v>
      </c>
      <c r="W112" s="177"/>
      <c r="X112" s="177"/>
      <c r="Y112" s="177"/>
      <c r="Z112" s="177"/>
      <c r="AA112" s="177">
        <v>44932</v>
      </c>
      <c r="AB112" s="177"/>
      <c r="AC112" s="177"/>
      <c r="AD112" s="180" t="s">
        <v>1507</v>
      </c>
      <c r="AE112" s="173" t="s">
        <v>69</v>
      </c>
      <c r="AF112" s="181" t="s">
        <v>142</v>
      </c>
      <c r="AG112" s="192" t="s">
        <v>1508</v>
      </c>
      <c r="AH112" s="198"/>
      <c r="AI112" s="181">
        <v>44849</v>
      </c>
      <c r="AJ112" s="181"/>
      <c r="AK112" s="181">
        <f t="shared" ca="1" si="7"/>
        <v>44958</v>
      </c>
      <c r="AL112" s="173">
        <f t="shared" ca="1" si="13"/>
        <v>109</v>
      </c>
      <c r="AM112" s="173" t="str">
        <f t="shared" si="14"/>
        <v/>
      </c>
      <c r="AN112" s="181"/>
      <c r="AO112" s="190" t="s">
        <v>1517</v>
      </c>
      <c r="AP112" s="176">
        <v>24.25</v>
      </c>
      <c r="AQ112" s="176">
        <v>24.31</v>
      </c>
      <c r="AR112" s="176">
        <v>24.335000000000001</v>
      </c>
      <c r="AS112" s="176">
        <v>24.34</v>
      </c>
      <c r="AT112" s="173">
        <f t="shared" ca="1" si="10"/>
        <v>17</v>
      </c>
      <c r="AU112" s="173">
        <v>456</v>
      </c>
      <c r="AW112" s="142" t="s">
        <v>123</v>
      </c>
      <c r="AX112" s="142" t="str">
        <f>LEFT(RIGHT(C112,LEN(C112)-MIN(SEARCH({0,1,2,3,4,5,6,7,8,9},C112&amp;"0123456789"))+1),2)</f>
        <v>15</v>
      </c>
      <c r="AY112" s="142">
        <v>2</v>
      </c>
      <c r="AZ112" s="142" t="str">
        <f>LEFT(RIGHT(C112,LEN(C112)-MIN(SEARCH({0,1,2,3,4,5,6,7,8,9},C112&amp;"0123456789"))+1),5)</f>
        <v>15.01</v>
      </c>
      <c r="BA112" s="142" t="str">
        <f t="shared" si="15"/>
        <v>MI</v>
      </c>
    </row>
    <row r="113" spans="2:53" s="142" customFormat="1" ht="21" customHeight="1" x14ac:dyDescent="0.25">
      <c r="B113" s="173" t="str">
        <f t="shared" si="12"/>
        <v>0-304L/FH-0.80X778</v>
      </c>
      <c r="C113" s="173" t="s">
        <v>4375</v>
      </c>
      <c r="D113" s="173" t="s">
        <v>16</v>
      </c>
      <c r="E113" s="190" t="s">
        <v>4105</v>
      </c>
      <c r="F113" s="190" t="s">
        <v>4106</v>
      </c>
      <c r="G113" s="173" t="s">
        <v>182</v>
      </c>
      <c r="H113" s="173" t="s">
        <v>70</v>
      </c>
      <c r="I113" s="174">
        <v>2.82</v>
      </c>
      <c r="J113" s="174">
        <v>0.8</v>
      </c>
      <c r="K113" s="174"/>
      <c r="L113" s="174"/>
      <c r="M113" s="191">
        <v>778</v>
      </c>
      <c r="N113" s="176">
        <v>8.9849999999999994</v>
      </c>
      <c r="O113" s="176">
        <v>8.9849999999999994</v>
      </c>
      <c r="P113" s="176" t="s">
        <v>114</v>
      </c>
      <c r="Q113" s="178" t="s">
        <v>1344</v>
      </c>
      <c r="R113" s="179"/>
      <c r="S113" s="179"/>
      <c r="T113" s="177">
        <v>44941</v>
      </c>
      <c r="U113" s="177"/>
      <c r="V113" s="177">
        <v>44941</v>
      </c>
      <c r="W113" s="177"/>
      <c r="X113" s="177"/>
      <c r="Y113" s="177"/>
      <c r="Z113" s="177"/>
      <c r="AA113" s="177"/>
      <c r="AB113" s="177"/>
      <c r="AC113" s="177"/>
      <c r="AD113" s="180" t="s">
        <v>2448</v>
      </c>
      <c r="AE113" s="173" t="s">
        <v>69</v>
      </c>
      <c r="AF113" s="181" t="s">
        <v>142</v>
      </c>
      <c r="AG113" s="192" t="s">
        <v>1584</v>
      </c>
      <c r="AH113" s="198"/>
      <c r="AI113" s="181">
        <v>44914</v>
      </c>
      <c r="AJ113" s="181"/>
      <c r="AK113" s="181">
        <f t="shared" ca="1" si="7"/>
        <v>44958</v>
      </c>
      <c r="AL113" s="173">
        <f t="shared" ca="1" si="13"/>
        <v>44</v>
      </c>
      <c r="AM113" s="173" t="str">
        <f t="shared" si="14"/>
        <v/>
      </c>
      <c r="AN113" s="181"/>
      <c r="AO113" s="190" t="s">
        <v>4107</v>
      </c>
      <c r="AP113" s="176">
        <v>8.9849999999999994</v>
      </c>
      <c r="AQ113" s="176">
        <v>8.9949999999999992</v>
      </c>
      <c r="AR113" s="176">
        <v>9.0199999999999978</v>
      </c>
      <c r="AS113" s="176">
        <v>9.0249999999999986</v>
      </c>
      <c r="AT113" s="173">
        <f t="shared" ca="1" si="10"/>
        <v>17</v>
      </c>
      <c r="AU113" s="173">
        <v>462</v>
      </c>
      <c r="AW113" s="142" t="s">
        <v>123</v>
      </c>
      <c r="AX113" s="142" t="str">
        <f>LEFT(RIGHT(C113,LEN(C113)-MIN(SEARCH({0,1,2,3,4,5,6,7,8,9},C113&amp;"0123456789"))+1),2)</f>
        <v>15</v>
      </c>
      <c r="AY113" s="142">
        <v>3</v>
      </c>
      <c r="AZ113" s="142" t="str">
        <f>LEFT(RIGHT(C113,LEN(C113)-MIN(SEARCH({0,1,2,3,4,5,6,7,8,9},C113&amp;"0123456789"))+1),5)</f>
        <v>15.01</v>
      </c>
      <c r="BA113" s="142" t="str">
        <f t="shared" si="15"/>
        <v>MI</v>
      </c>
    </row>
    <row r="114" spans="2:53" s="142" customFormat="1" ht="21" customHeight="1" x14ac:dyDescent="0.25">
      <c r="B114" s="173" t="str">
        <f t="shared" si="12"/>
        <v>0-304/FH-0.88X777</v>
      </c>
      <c r="C114" s="173" t="s">
        <v>4375</v>
      </c>
      <c r="D114" s="173" t="s">
        <v>16</v>
      </c>
      <c r="E114" s="190" t="s">
        <v>2515</v>
      </c>
      <c r="F114" s="190" t="s">
        <v>2516</v>
      </c>
      <c r="G114" s="173">
        <v>304</v>
      </c>
      <c r="H114" s="173" t="s">
        <v>70</v>
      </c>
      <c r="I114" s="174">
        <v>2.9</v>
      </c>
      <c r="J114" s="174">
        <v>0.88</v>
      </c>
      <c r="K114" s="174"/>
      <c r="L114" s="174"/>
      <c r="M114" s="191">
        <v>777</v>
      </c>
      <c r="N114" s="176">
        <v>10.26</v>
      </c>
      <c r="O114" s="176">
        <v>10.26</v>
      </c>
      <c r="P114" s="176" t="s">
        <v>114</v>
      </c>
      <c r="Q114" s="178" t="s">
        <v>1506</v>
      </c>
      <c r="R114" s="179"/>
      <c r="S114" s="179"/>
      <c r="T114" s="177">
        <v>44941</v>
      </c>
      <c r="U114" s="177"/>
      <c r="V114" s="177">
        <v>44941</v>
      </c>
      <c r="W114" s="177"/>
      <c r="X114" s="177"/>
      <c r="Y114" s="177"/>
      <c r="Z114" s="177"/>
      <c r="AA114" s="177"/>
      <c r="AB114" s="177"/>
      <c r="AC114" s="177"/>
      <c r="AD114" s="180" t="s">
        <v>2448</v>
      </c>
      <c r="AE114" s="173" t="s">
        <v>69</v>
      </c>
      <c r="AF114" s="181" t="s">
        <v>142</v>
      </c>
      <c r="AG114" s="192" t="s">
        <v>1584</v>
      </c>
      <c r="AH114" s="198"/>
      <c r="AI114" s="181">
        <v>44914</v>
      </c>
      <c r="AJ114" s="181"/>
      <c r="AK114" s="181">
        <f t="shared" ca="1" si="7"/>
        <v>44958</v>
      </c>
      <c r="AL114" s="173">
        <f t="shared" ca="1" si="13"/>
        <v>44</v>
      </c>
      <c r="AM114" s="173" t="str">
        <f t="shared" si="14"/>
        <v/>
      </c>
      <c r="AN114" s="181"/>
      <c r="AO114" s="190" t="s">
        <v>2514</v>
      </c>
      <c r="AP114" s="176">
        <v>10.26</v>
      </c>
      <c r="AQ114" s="176">
        <v>10.27</v>
      </c>
      <c r="AR114" s="176">
        <v>10.294999999999998</v>
      </c>
      <c r="AS114" s="176">
        <v>10.299999999999999</v>
      </c>
      <c r="AT114" s="173">
        <f t="shared" ca="1" si="10"/>
        <v>17</v>
      </c>
      <c r="AU114" s="173">
        <v>462</v>
      </c>
      <c r="AW114" s="142" t="s">
        <v>123</v>
      </c>
      <c r="AX114" s="142" t="str">
        <f>LEFT(RIGHT(C114,LEN(C114)-MIN(SEARCH({0,1,2,3,4,5,6,7,8,9},C114&amp;"0123456789"))+1),2)</f>
        <v>15</v>
      </c>
      <c r="AY114" s="142">
        <v>3</v>
      </c>
      <c r="AZ114" s="142" t="str">
        <f>LEFT(RIGHT(C114,LEN(C114)-MIN(SEARCH({0,1,2,3,4,5,6,7,8,9},C114&amp;"0123456789"))+1),5)</f>
        <v>15.01</v>
      </c>
      <c r="BA114" s="142" t="str">
        <f t="shared" si="15"/>
        <v>MI</v>
      </c>
    </row>
    <row r="115" spans="2:53" s="142" customFormat="1" ht="21" customHeight="1" x14ac:dyDescent="0.25">
      <c r="B115" s="173" t="str">
        <f t="shared" si="12"/>
        <v>0-304L/FH-1.50X768</v>
      </c>
      <c r="C115" s="173" t="s">
        <v>4375</v>
      </c>
      <c r="D115" s="173" t="s">
        <v>16</v>
      </c>
      <c r="E115" s="190" t="s">
        <v>1569</v>
      </c>
      <c r="F115" s="190" t="s">
        <v>4112</v>
      </c>
      <c r="G115" s="173" t="s">
        <v>182</v>
      </c>
      <c r="H115" s="173" t="s">
        <v>70</v>
      </c>
      <c r="I115" s="174">
        <v>3.81</v>
      </c>
      <c r="J115" s="174">
        <v>1.5</v>
      </c>
      <c r="K115" s="174"/>
      <c r="L115" s="174"/>
      <c r="M115" s="191">
        <v>768</v>
      </c>
      <c r="N115" s="176">
        <v>12.285</v>
      </c>
      <c r="O115" s="176">
        <v>12.285</v>
      </c>
      <c r="P115" s="176" t="s">
        <v>114</v>
      </c>
      <c r="Q115" s="178" t="s">
        <v>1546</v>
      </c>
      <c r="R115" s="179"/>
      <c r="S115" s="179"/>
      <c r="T115" s="177">
        <v>44941</v>
      </c>
      <c r="U115" s="177"/>
      <c r="V115" s="177">
        <v>44941</v>
      </c>
      <c r="W115" s="177"/>
      <c r="X115" s="177"/>
      <c r="Y115" s="177"/>
      <c r="Z115" s="177"/>
      <c r="AA115" s="177">
        <v>44934</v>
      </c>
      <c r="AB115" s="177"/>
      <c r="AC115" s="177"/>
      <c r="AD115" s="180" t="s">
        <v>1507</v>
      </c>
      <c r="AE115" s="173" t="s">
        <v>69</v>
      </c>
      <c r="AF115" s="181" t="s">
        <v>142</v>
      </c>
      <c r="AG115" s="192" t="s">
        <v>1508</v>
      </c>
      <c r="AH115" s="198"/>
      <c r="AI115" s="181">
        <v>44849</v>
      </c>
      <c r="AJ115" s="181"/>
      <c r="AK115" s="181">
        <f t="shared" ca="1" si="7"/>
        <v>44958</v>
      </c>
      <c r="AL115" s="173">
        <f t="shared" ca="1" si="13"/>
        <v>109</v>
      </c>
      <c r="AM115" s="173" t="str">
        <f t="shared" si="14"/>
        <v/>
      </c>
      <c r="AN115" s="181"/>
      <c r="AO115" s="190" t="s">
        <v>1572</v>
      </c>
      <c r="AP115" s="176">
        <v>24.53</v>
      </c>
      <c r="AQ115" s="176">
        <v>24.59</v>
      </c>
      <c r="AR115" s="176">
        <v>24.615000000000002</v>
      </c>
      <c r="AS115" s="176">
        <v>24.62</v>
      </c>
      <c r="AT115" s="173">
        <f t="shared" ca="1" si="10"/>
        <v>17</v>
      </c>
      <c r="AU115" s="173">
        <v>456</v>
      </c>
      <c r="AW115" s="142" t="s">
        <v>123</v>
      </c>
      <c r="AX115" s="142" t="str">
        <f>LEFT(RIGHT(C115,LEN(C115)-MIN(SEARCH({0,1,2,3,4,5,6,7,8,9},C115&amp;"0123456789"))+1),2)</f>
        <v>15</v>
      </c>
      <c r="AY115" s="142">
        <v>3</v>
      </c>
      <c r="AZ115" s="142" t="str">
        <f>LEFT(RIGHT(C115,LEN(C115)-MIN(SEARCH({0,1,2,3,4,5,6,7,8,9},C115&amp;"0123456789"))+1),5)</f>
        <v>15.01</v>
      </c>
      <c r="BA115" s="142" t="str">
        <f t="shared" si="15"/>
        <v>MI</v>
      </c>
    </row>
    <row r="116" spans="2:53" s="142" customFormat="1" ht="21" customHeight="1" x14ac:dyDescent="0.25">
      <c r="B116" s="173" t="str">
        <f t="shared" si="12"/>
        <v>0-304/FH-0.88X778</v>
      </c>
      <c r="C116" s="173" t="s">
        <v>4376</v>
      </c>
      <c r="D116" s="173" t="s">
        <v>16</v>
      </c>
      <c r="E116" s="190" t="s">
        <v>2512</v>
      </c>
      <c r="F116" s="190" t="s">
        <v>2513</v>
      </c>
      <c r="G116" s="173">
        <v>304</v>
      </c>
      <c r="H116" s="173" t="s">
        <v>70</v>
      </c>
      <c r="I116" s="174">
        <v>2.9</v>
      </c>
      <c r="J116" s="174">
        <v>0.88</v>
      </c>
      <c r="K116" s="174"/>
      <c r="L116" s="174"/>
      <c r="M116" s="191">
        <v>778</v>
      </c>
      <c r="N116" s="176">
        <v>10.3</v>
      </c>
      <c r="O116" s="176">
        <v>10.3</v>
      </c>
      <c r="P116" s="176" t="s">
        <v>114</v>
      </c>
      <c r="Q116" s="178" t="s">
        <v>1506</v>
      </c>
      <c r="R116" s="179"/>
      <c r="S116" s="179"/>
      <c r="T116" s="177">
        <v>44941</v>
      </c>
      <c r="U116" s="177"/>
      <c r="V116" s="177">
        <v>44942</v>
      </c>
      <c r="W116" s="177"/>
      <c r="X116" s="177"/>
      <c r="Y116" s="177"/>
      <c r="Z116" s="177"/>
      <c r="AA116" s="177"/>
      <c r="AB116" s="177"/>
      <c r="AC116" s="177"/>
      <c r="AD116" s="180" t="s">
        <v>2448</v>
      </c>
      <c r="AE116" s="173" t="s">
        <v>69</v>
      </c>
      <c r="AF116" s="181" t="s">
        <v>142</v>
      </c>
      <c r="AG116" s="192" t="s">
        <v>1584</v>
      </c>
      <c r="AH116" s="198"/>
      <c r="AI116" s="181">
        <v>44914</v>
      </c>
      <c r="AJ116" s="181"/>
      <c r="AK116" s="181">
        <f t="shared" ca="1" si="7"/>
        <v>44958</v>
      </c>
      <c r="AL116" s="173">
        <f t="shared" ca="1" si="13"/>
        <v>44</v>
      </c>
      <c r="AM116" s="173" t="str">
        <f t="shared" si="14"/>
        <v/>
      </c>
      <c r="AN116" s="181"/>
      <c r="AO116" s="190" t="s">
        <v>2514</v>
      </c>
      <c r="AP116" s="176">
        <v>10.3</v>
      </c>
      <c r="AQ116" s="176">
        <v>10.31</v>
      </c>
      <c r="AR116" s="176">
        <v>10.334999999999999</v>
      </c>
      <c r="AS116" s="176">
        <v>10.34</v>
      </c>
      <c r="AT116" s="173">
        <f t="shared" ca="1" si="10"/>
        <v>16</v>
      </c>
      <c r="AU116" s="173">
        <v>462</v>
      </c>
      <c r="AW116" s="142" t="s">
        <v>123</v>
      </c>
      <c r="AX116" s="142" t="str">
        <f>LEFT(RIGHT(C116,LEN(C116)-MIN(SEARCH({0,1,2,3,4,5,6,7,8,9},C116&amp;"0123456789"))+1),2)</f>
        <v>16</v>
      </c>
      <c r="AY116" s="142">
        <v>1</v>
      </c>
      <c r="AZ116" s="142" t="str">
        <f>LEFT(RIGHT(C116,LEN(C116)-MIN(SEARCH({0,1,2,3,4,5,6,7,8,9},C116&amp;"0123456789"))+1),5)</f>
        <v>16.01</v>
      </c>
      <c r="BA116" s="142" t="str">
        <f t="shared" si="15"/>
        <v>MI</v>
      </c>
    </row>
    <row r="117" spans="2:53" s="142" customFormat="1" ht="21" customHeight="1" x14ac:dyDescent="0.25">
      <c r="B117" s="173" t="str">
        <f t="shared" si="12"/>
        <v>0-304/FH-2.00X768</v>
      </c>
      <c r="C117" s="173" t="s">
        <v>4376</v>
      </c>
      <c r="D117" s="173" t="s">
        <v>16</v>
      </c>
      <c r="E117" s="190" t="s">
        <v>4110</v>
      </c>
      <c r="F117" s="190" t="s">
        <v>4111</v>
      </c>
      <c r="G117" s="173">
        <v>304</v>
      </c>
      <c r="H117" s="173" t="s">
        <v>70</v>
      </c>
      <c r="I117" s="174">
        <v>3.94</v>
      </c>
      <c r="J117" s="174">
        <v>2</v>
      </c>
      <c r="K117" s="174"/>
      <c r="L117" s="174"/>
      <c r="M117" s="191">
        <v>768</v>
      </c>
      <c r="N117" s="176">
        <v>9.6300000000000008</v>
      </c>
      <c r="O117" s="176">
        <v>9.6300000000000008</v>
      </c>
      <c r="P117" s="176" t="s">
        <v>114</v>
      </c>
      <c r="Q117" s="178" t="s">
        <v>4369</v>
      </c>
      <c r="R117" s="179"/>
      <c r="S117" s="179"/>
      <c r="T117" s="177">
        <v>44941</v>
      </c>
      <c r="U117" s="177"/>
      <c r="V117" s="177">
        <v>44942</v>
      </c>
      <c r="W117" s="177"/>
      <c r="X117" s="177"/>
      <c r="Y117" s="177"/>
      <c r="Z117" s="177"/>
      <c r="AA117" s="177"/>
      <c r="AB117" s="177"/>
      <c r="AC117" s="177"/>
      <c r="AD117" s="180" t="s">
        <v>2448</v>
      </c>
      <c r="AE117" s="173" t="s">
        <v>69</v>
      </c>
      <c r="AF117" s="181" t="s">
        <v>142</v>
      </c>
      <c r="AG117" s="192" t="s">
        <v>1584</v>
      </c>
      <c r="AH117" s="198"/>
      <c r="AI117" s="181">
        <v>44914</v>
      </c>
      <c r="AJ117" s="181"/>
      <c r="AK117" s="181">
        <f t="shared" ca="1" si="7"/>
        <v>44958</v>
      </c>
      <c r="AL117" s="173">
        <f t="shared" ca="1" si="13"/>
        <v>44</v>
      </c>
      <c r="AM117" s="173" t="str">
        <f t="shared" si="14"/>
        <v/>
      </c>
      <c r="AN117" s="181"/>
      <c r="AO117" s="190" t="s">
        <v>2564</v>
      </c>
      <c r="AP117" s="176">
        <v>9.6300000000000008</v>
      </c>
      <c r="AQ117" s="176">
        <v>9.64</v>
      </c>
      <c r="AR117" s="176">
        <v>9.6649999999999991</v>
      </c>
      <c r="AS117" s="176">
        <v>9.67</v>
      </c>
      <c r="AT117" s="173">
        <f t="shared" ca="1" si="10"/>
        <v>16</v>
      </c>
      <c r="AU117" s="173">
        <v>462</v>
      </c>
      <c r="AW117" s="142" t="s">
        <v>123</v>
      </c>
      <c r="AX117" s="142" t="str">
        <f>LEFT(RIGHT(C117,LEN(C117)-MIN(SEARCH({0,1,2,3,4,5,6,7,8,9},C117&amp;"0123456789"))+1),2)</f>
        <v>16</v>
      </c>
      <c r="AY117" s="142">
        <v>1</v>
      </c>
      <c r="AZ117" s="142" t="str">
        <f>LEFT(RIGHT(C117,LEN(C117)-MIN(SEARCH({0,1,2,3,4,5,6,7,8,9},C117&amp;"0123456789"))+1),5)</f>
        <v>16.01</v>
      </c>
      <c r="BA117" s="142" t="str">
        <f t="shared" si="15"/>
        <v>MI</v>
      </c>
    </row>
    <row r="118" spans="2:53" s="142" customFormat="1" ht="21" customHeight="1" x14ac:dyDescent="0.25">
      <c r="B118" s="173" t="str">
        <f t="shared" si="12"/>
        <v>0-304L/FH-1.50X769</v>
      </c>
      <c r="C118" s="173" t="s">
        <v>4377</v>
      </c>
      <c r="D118" s="173" t="s">
        <v>16</v>
      </c>
      <c r="E118" s="190" t="s">
        <v>1504</v>
      </c>
      <c r="F118" s="190" t="s">
        <v>1510</v>
      </c>
      <c r="G118" s="173" t="s">
        <v>182</v>
      </c>
      <c r="H118" s="173" t="s">
        <v>70</v>
      </c>
      <c r="I118" s="174">
        <v>3.81</v>
      </c>
      <c r="J118" s="174">
        <v>1.5</v>
      </c>
      <c r="K118" s="174"/>
      <c r="L118" s="174"/>
      <c r="M118" s="191">
        <v>769</v>
      </c>
      <c r="N118" s="176">
        <v>12.26</v>
      </c>
      <c r="O118" s="176">
        <v>12.26</v>
      </c>
      <c r="P118" s="176" t="s">
        <v>114</v>
      </c>
      <c r="Q118" s="178" t="s">
        <v>1506</v>
      </c>
      <c r="R118" s="179"/>
      <c r="S118" s="179"/>
      <c r="T118" s="177">
        <v>44942</v>
      </c>
      <c r="U118" s="177"/>
      <c r="V118" s="177">
        <v>44943</v>
      </c>
      <c r="W118" s="177"/>
      <c r="X118" s="177"/>
      <c r="Y118" s="177"/>
      <c r="Z118" s="177"/>
      <c r="AA118" s="177">
        <v>44940</v>
      </c>
      <c r="AB118" s="177"/>
      <c r="AC118" s="177"/>
      <c r="AD118" s="180" t="s">
        <v>1507</v>
      </c>
      <c r="AE118" s="173" t="s">
        <v>69</v>
      </c>
      <c r="AF118" s="181" t="s">
        <v>142</v>
      </c>
      <c r="AG118" s="192" t="s">
        <v>1508</v>
      </c>
      <c r="AH118" s="198"/>
      <c r="AI118" s="181">
        <v>44849</v>
      </c>
      <c r="AJ118" s="181"/>
      <c r="AK118" s="181">
        <f t="shared" ca="1" si="7"/>
        <v>44958</v>
      </c>
      <c r="AL118" s="173">
        <f t="shared" ca="1" si="13"/>
        <v>109</v>
      </c>
      <c r="AM118" s="173" t="str">
        <f t="shared" si="14"/>
        <v/>
      </c>
      <c r="AN118" s="181"/>
      <c r="AO118" s="190" t="s">
        <v>1509</v>
      </c>
      <c r="AP118" s="176">
        <v>24.504999999999999</v>
      </c>
      <c r="AQ118" s="176">
        <v>24.565000000000001</v>
      </c>
      <c r="AR118" s="176">
        <v>24.590000000000003</v>
      </c>
      <c r="AS118" s="176">
        <v>24.595000000000002</v>
      </c>
      <c r="AT118" s="173">
        <f t="shared" ca="1" si="10"/>
        <v>15</v>
      </c>
      <c r="AU118" s="173">
        <v>456</v>
      </c>
      <c r="AW118" s="142" t="s">
        <v>123</v>
      </c>
      <c r="AX118" s="142" t="str">
        <f>LEFT(RIGHT(C118,LEN(C118)-MIN(SEARCH({0,1,2,3,4,5,6,7,8,9},C118&amp;"0123456789"))+1),2)</f>
        <v>17</v>
      </c>
      <c r="AY118" s="142">
        <v>1</v>
      </c>
      <c r="AZ118" s="142" t="str">
        <f>LEFT(RIGHT(C118,LEN(C118)-MIN(SEARCH({0,1,2,3,4,5,6,7,8,9},C118&amp;"0123456789"))+1),5)</f>
        <v>17.01</v>
      </c>
      <c r="BA118" s="142" t="str">
        <f t="shared" si="15"/>
        <v>MI</v>
      </c>
    </row>
    <row r="119" spans="2:53" s="142" customFormat="1" ht="21" customHeight="1" x14ac:dyDescent="0.25">
      <c r="B119" s="173" t="str">
        <f t="shared" si="12"/>
        <v>0-304L/FH-1.50X770</v>
      </c>
      <c r="C119" s="173" t="s">
        <v>4377</v>
      </c>
      <c r="D119" s="173" t="s">
        <v>16</v>
      </c>
      <c r="E119" s="190" t="s">
        <v>1526</v>
      </c>
      <c r="F119" s="190" t="s">
        <v>1529</v>
      </c>
      <c r="G119" s="173" t="s">
        <v>182</v>
      </c>
      <c r="H119" s="173" t="s">
        <v>70</v>
      </c>
      <c r="I119" s="174">
        <v>3.82</v>
      </c>
      <c r="J119" s="174">
        <v>1.5</v>
      </c>
      <c r="K119" s="174"/>
      <c r="L119" s="174"/>
      <c r="M119" s="191">
        <v>770</v>
      </c>
      <c r="N119" s="176">
        <v>12.3</v>
      </c>
      <c r="O119" s="176">
        <v>12.3</v>
      </c>
      <c r="P119" s="176" t="s">
        <v>114</v>
      </c>
      <c r="Q119" s="178" t="s">
        <v>1506</v>
      </c>
      <c r="R119" s="179"/>
      <c r="S119" s="179"/>
      <c r="T119" s="177">
        <v>44942</v>
      </c>
      <c r="U119" s="177"/>
      <c r="V119" s="177">
        <v>44943</v>
      </c>
      <c r="W119" s="177"/>
      <c r="X119" s="177"/>
      <c r="Y119" s="177"/>
      <c r="Z119" s="177"/>
      <c r="AA119" s="177">
        <v>44933</v>
      </c>
      <c r="AB119" s="177"/>
      <c r="AC119" s="177"/>
      <c r="AD119" s="180" t="s">
        <v>1507</v>
      </c>
      <c r="AE119" s="173" t="s">
        <v>69</v>
      </c>
      <c r="AF119" s="181" t="s">
        <v>142</v>
      </c>
      <c r="AG119" s="192" t="s">
        <v>1508</v>
      </c>
      <c r="AH119" s="198"/>
      <c r="AI119" s="181">
        <v>44849</v>
      </c>
      <c r="AJ119" s="181"/>
      <c r="AK119" s="181">
        <f t="shared" ca="1" si="7"/>
        <v>44958</v>
      </c>
      <c r="AL119" s="173">
        <f t="shared" ca="1" si="13"/>
        <v>109</v>
      </c>
      <c r="AM119" s="173" t="str">
        <f t="shared" si="14"/>
        <v/>
      </c>
      <c r="AN119" s="181"/>
      <c r="AO119" s="190" t="s">
        <v>1528</v>
      </c>
      <c r="AP119" s="176">
        <v>24.565000000000001</v>
      </c>
      <c r="AQ119" s="176">
        <v>24.625</v>
      </c>
      <c r="AR119" s="176">
        <v>24.650000000000002</v>
      </c>
      <c r="AS119" s="176">
        <v>24.655000000000001</v>
      </c>
      <c r="AT119" s="173">
        <f t="shared" ca="1" si="10"/>
        <v>15</v>
      </c>
      <c r="AU119" s="173">
        <v>456</v>
      </c>
      <c r="AW119" s="142" t="s">
        <v>123</v>
      </c>
      <c r="AX119" s="142" t="str">
        <f>LEFT(RIGHT(C119,LEN(C119)-MIN(SEARCH({0,1,2,3,4,5,6,7,8,9},C119&amp;"0123456789"))+1),2)</f>
        <v>17</v>
      </c>
      <c r="AY119" s="142">
        <v>1</v>
      </c>
      <c r="AZ119" s="142" t="str">
        <f>LEFT(RIGHT(C119,LEN(C119)-MIN(SEARCH({0,1,2,3,4,5,6,7,8,9},C119&amp;"0123456789"))+1),5)</f>
        <v>17.01</v>
      </c>
      <c r="BA119" s="142" t="str">
        <f t="shared" si="15"/>
        <v>MI</v>
      </c>
    </row>
    <row r="120" spans="2:53" s="142" customFormat="1" ht="21" customHeight="1" x14ac:dyDescent="0.25">
      <c r="B120" s="173" t="str">
        <f t="shared" si="12"/>
        <v>0-304L/FH-1.50X774</v>
      </c>
      <c r="C120" s="173" t="s">
        <v>4377</v>
      </c>
      <c r="D120" s="173" t="s">
        <v>16</v>
      </c>
      <c r="E120" s="190" t="s">
        <v>4115</v>
      </c>
      <c r="F120" s="190" t="s">
        <v>4116</v>
      </c>
      <c r="G120" s="173" t="s">
        <v>182</v>
      </c>
      <c r="H120" s="173" t="s">
        <v>70</v>
      </c>
      <c r="I120" s="174">
        <v>3.88</v>
      </c>
      <c r="J120" s="174">
        <v>1.5</v>
      </c>
      <c r="K120" s="174"/>
      <c r="L120" s="174"/>
      <c r="M120" s="191">
        <v>774</v>
      </c>
      <c r="N120" s="176">
        <v>12.234999999999999</v>
      </c>
      <c r="O120" s="176">
        <v>12.234999999999999</v>
      </c>
      <c r="P120" s="176" t="s">
        <v>114</v>
      </c>
      <c r="Q120" s="178" t="s">
        <v>761</v>
      </c>
      <c r="R120" s="179"/>
      <c r="S120" s="179"/>
      <c r="T120" s="177">
        <v>44942</v>
      </c>
      <c r="U120" s="177"/>
      <c r="V120" s="177">
        <v>44943</v>
      </c>
      <c r="W120" s="177"/>
      <c r="X120" s="177"/>
      <c r="Y120" s="177"/>
      <c r="Z120" s="177"/>
      <c r="AA120" s="177"/>
      <c r="AB120" s="177"/>
      <c r="AC120" s="177"/>
      <c r="AD120" s="180" t="s">
        <v>2448</v>
      </c>
      <c r="AE120" s="173" t="s">
        <v>69</v>
      </c>
      <c r="AF120" s="181" t="s">
        <v>142</v>
      </c>
      <c r="AG120" s="192" t="s">
        <v>1584</v>
      </c>
      <c r="AH120" s="198"/>
      <c r="AI120" s="181">
        <v>44914</v>
      </c>
      <c r="AJ120" s="181"/>
      <c r="AK120" s="181">
        <f t="shared" ca="1" si="7"/>
        <v>44958</v>
      </c>
      <c r="AL120" s="173">
        <f t="shared" ca="1" si="13"/>
        <v>44</v>
      </c>
      <c r="AM120" s="173" t="str">
        <f t="shared" si="14"/>
        <v/>
      </c>
      <c r="AN120" s="181"/>
      <c r="AO120" s="190" t="s">
        <v>2452</v>
      </c>
      <c r="AP120" s="176">
        <v>12.234999999999999</v>
      </c>
      <c r="AQ120" s="176">
        <v>12.244999999999999</v>
      </c>
      <c r="AR120" s="176">
        <v>12.269999999999998</v>
      </c>
      <c r="AS120" s="176">
        <v>12.274999999999999</v>
      </c>
      <c r="AT120" s="173">
        <f t="shared" ca="1" si="10"/>
        <v>15</v>
      </c>
      <c r="AU120" s="173">
        <v>462</v>
      </c>
      <c r="AW120" s="142" t="s">
        <v>123</v>
      </c>
      <c r="AX120" s="142" t="str">
        <f>LEFT(RIGHT(C120,LEN(C120)-MIN(SEARCH({0,1,2,3,4,5,6,7,8,9},C120&amp;"0123456789"))+1),2)</f>
        <v>17</v>
      </c>
      <c r="AY120" s="142">
        <v>1</v>
      </c>
      <c r="AZ120" s="142" t="str">
        <f>LEFT(RIGHT(C120,LEN(C120)-MIN(SEARCH({0,1,2,3,4,5,6,7,8,9},C120&amp;"0123456789"))+1),5)</f>
        <v>17.01</v>
      </c>
      <c r="BA120" s="142" t="str">
        <f t="shared" si="15"/>
        <v>MI</v>
      </c>
    </row>
    <row r="121" spans="2:53" s="142" customFormat="1" ht="21" customHeight="1" x14ac:dyDescent="0.25">
      <c r="B121" s="173" t="str">
        <f t="shared" si="12"/>
        <v>0-304L/FH-1.50X768</v>
      </c>
      <c r="C121" s="173" t="s">
        <v>4377</v>
      </c>
      <c r="D121" s="173" t="s">
        <v>16</v>
      </c>
      <c r="E121" s="190" t="s">
        <v>1534</v>
      </c>
      <c r="F121" s="190" t="s">
        <v>1535</v>
      </c>
      <c r="G121" s="173" t="s">
        <v>182</v>
      </c>
      <c r="H121" s="173" t="s">
        <v>70</v>
      </c>
      <c r="I121" s="174">
        <v>3.79</v>
      </c>
      <c r="J121" s="174">
        <v>1.5</v>
      </c>
      <c r="K121" s="174"/>
      <c r="L121" s="174"/>
      <c r="M121" s="191">
        <v>768</v>
      </c>
      <c r="N121" s="176">
        <v>12.27</v>
      </c>
      <c r="O121" s="176">
        <v>12.27</v>
      </c>
      <c r="P121" s="176" t="s">
        <v>114</v>
      </c>
      <c r="Q121" s="178" t="s">
        <v>1536</v>
      </c>
      <c r="R121" s="179"/>
      <c r="S121" s="179"/>
      <c r="T121" s="177">
        <v>44943</v>
      </c>
      <c r="U121" s="177"/>
      <c r="V121" s="177">
        <v>44943</v>
      </c>
      <c r="W121" s="177"/>
      <c r="X121" s="177"/>
      <c r="Y121" s="177"/>
      <c r="Z121" s="177"/>
      <c r="AA121" s="177">
        <v>44940</v>
      </c>
      <c r="AB121" s="177"/>
      <c r="AC121" s="177"/>
      <c r="AD121" s="180" t="s">
        <v>1507</v>
      </c>
      <c r="AE121" s="173" t="s">
        <v>69</v>
      </c>
      <c r="AF121" s="181" t="s">
        <v>142</v>
      </c>
      <c r="AG121" s="192" t="s">
        <v>1508</v>
      </c>
      <c r="AH121" s="198"/>
      <c r="AI121" s="181">
        <v>44849</v>
      </c>
      <c r="AJ121" s="181"/>
      <c r="AK121" s="181">
        <f t="shared" ca="1" si="7"/>
        <v>44958</v>
      </c>
      <c r="AL121" s="173">
        <f t="shared" ca="1" si="13"/>
        <v>109</v>
      </c>
      <c r="AM121" s="173" t="str">
        <f t="shared" si="14"/>
        <v/>
      </c>
      <c r="AN121" s="181"/>
      <c r="AO121" s="190" t="s">
        <v>1537</v>
      </c>
      <c r="AP121" s="176">
        <v>24.545000000000002</v>
      </c>
      <c r="AQ121" s="176">
        <v>24.605</v>
      </c>
      <c r="AR121" s="176">
        <v>24.630000000000003</v>
      </c>
      <c r="AS121" s="176">
        <v>24.635000000000002</v>
      </c>
      <c r="AT121" s="173">
        <f t="shared" ca="1" si="10"/>
        <v>15</v>
      </c>
      <c r="AU121" s="173">
        <v>456</v>
      </c>
      <c r="AW121" s="142" t="s">
        <v>123</v>
      </c>
      <c r="AX121" s="142" t="str">
        <f>LEFT(RIGHT(C121,LEN(C121)-MIN(SEARCH({0,1,2,3,4,5,6,7,8,9},C121&amp;"0123456789"))+1),2)</f>
        <v>17</v>
      </c>
      <c r="AY121" s="142">
        <v>2</v>
      </c>
      <c r="AZ121" s="142" t="str">
        <f>LEFT(RIGHT(C121,LEN(C121)-MIN(SEARCH({0,1,2,3,4,5,6,7,8,9},C121&amp;"0123456789"))+1),5)</f>
        <v>17.01</v>
      </c>
      <c r="BA121" s="142" t="str">
        <f t="shared" si="15"/>
        <v>MI</v>
      </c>
    </row>
    <row r="122" spans="2:53" s="142" customFormat="1" ht="21" customHeight="1" x14ac:dyDescent="0.25">
      <c r="B122" s="173" t="str">
        <f t="shared" si="12"/>
        <v>0-304L/FH-1.00X767</v>
      </c>
      <c r="C122" s="173" t="s">
        <v>4377</v>
      </c>
      <c r="D122" s="173" t="s">
        <v>16</v>
      </c>
      <c r="E122" s="190" t="s">
        <v>4125</v>
      </c>
      <c r="F122" s="190" t="s">
        <v>4126</v>
      </c>
      <c r="G122" s="173" t="s">
        <v>182</v>
      </c>
      <c r="H122" s="173" t="s">
        <v>70</v>
      </c>
      <c r="I122" s="174">
        <v>2.89</v>
      </c>
      <c r="J122" s="174">
        <v>1</v>
      </c>
      <c r="K122" s="174"/>
      <c r="L122" s="174"/>
      <c r="M122" s="191">
        <v>767</v>
      </c>
      <c r="N122" s="176">
        <v>8.48</v>
      </c>
      <c r="O122" s="176">
        <v>8.48</v>
      </c>
      <c r="P122" s="176" t="s">
        <v>114</v>
      </c>
      <c r="Q122" s="178" t="s">
        <v>4378</v>
      </c>
      <c r="R122" s="179"/>
      <c r="S122" s="179"/>
      <c r="T122" s="177">
        <v>44943</v>
      </c>
      <c r="U122" s="177"/>
      <c r="V122" s="177">
        <v>44943</v>
      </c>
      <c r="W122" s="177"/>
      <c r="X122" s="177"/>
      <c r="Y122" s="177"/>
      <c r="Z122" s="177"/>
      <c r="AA122" s="177"/>
      <c r="AB122" s="177"/>
      <c r="AC122" s="177"/>
      <c r="AD122" s="180" t="s">
        <v>2448</v>
      </c>
      <c r="AE122" s="173" t="s">
        <v>69</v>
      </c>
      <c r="AF122" s="181" t="s">
        <v>142</v>
      </c>
      <c r="AG122" s="192" t="s">
        <v>1584</v>
      </c>
      <c r="AH122" s="198"/>
      <c r="AI122" s="181">
        <v>44914</v>
      </c>
      <c r="AJ122" s="181"/>
      <c r="AK122" s="181">
        <f t="shared" ca="1" si="7"/>
        <v>44958</v>
      </c>
      <c r="AL122" s="173">
        <f t="shared" ca="1" si="13"/>
        <v>44</v>
      </c>
      <c r="AM122" s="173" t="str">
        <f t="shared" si="14"/>
        <v/>
      </c>
      <c r="AN122" s="181"/>
      <c r="AO122" s="190" t="s">
        <v>4096</v>
      </c>
      <c r="AP122" s="176">
        <v>8.48</v>
      </c>
      <c r="AQ122" s="176">
        <v>8.49</v>
      </c>
      <c r="AR122" s="176">
        <v>8.5149999999999988</v>
      </c>
      <c r="AS122" s="176">
        <v>8.52</v>
      </c>
      <c r="AT122" s="173">
        <f t="shared" ca="1" si="10"/>
        <v>15</v>
      </c>
      <c r="AU122" s="173">
        <v>462</v>
      </c>
      <c r="AW122" s="142" t="s">
        <v>123</v>
      </c>
      <c r="AX122" s="142" t="str">
        <f>LEFT(RIGHT(C122,LEN(C122)-MIN(SEARCH({0,1,2,3,4,5,6,7,8,9},C122&amp;"0123456789"))+1),2)</f>
        <v>17</v>
      </c>
      <c r="AY122" s="142">
        <v>2</v>
      </c>
      <c r="AZ122" s="142" t="str">
        <f>LEFT(RIGHT(C122,LEN(C122)-MIN(SEARCH({0,1,2,3,4,5,6,7,8,9},C122&amp;"0123456789"))+1),5)</f>
        <v>17.01</v>
      </c>
      <c r="BA122" s="142" t="str">
        <f t="shared" si="15"/>
        <v>MI</v>
      </c>
    </row>
    <row r="123" spans="2:53" s="142" customFormat="1" ht="21" customHeight="1" x14ac:dyDescent="0.25">
      <c r="B123" s="173" t="str">
        <f t="shared" si="12"/>
        <v>0-304/FH-1.00X770</v>
      </c>
      <c r="C123" s="173" t="s">
        <v>4377</v>
      </c>
      <c r="D123" s="173" t="s">
        <v>16</v>
      </c>
      <c r="E123" s="190" t="s">
        <v>2632</v>
      </c>
      <c r="F123" s="190" t="s">
        <v>2633</v>
      </c>
      <c r="G123" s="173">
        <v>304</v>
      </c>
      <c r="H123" s="173" t="s">
        <v>70</v>
      </c>
      <c r="I123" s="174">
        <v>2.9</v>
      </c>
      <c r="J123" s="174">
        <v>1</v>
      </c>
      <c r="K123" s="174"/>
      <c r="L123" s="174"/>
      <c r="M123" s="191">
        <v>770</v>
      </c>
      <c r="N123" s="176">
        <v>10.535</v>
      </c>
      <c r="O123" s="176">
        <v>10.535</v>
      </c>
      <c r="P123" s="176" t="s">
        <v>114</v>
      </c>
      <c r="Q123" s="178" t="s">
        <v>511</v>
      </c>
      <c r="R123" s="179"/>
      <c r="S123" s="179"/>
      <c r="T123" s="177">
        <v>44942</v>
      </c>
      <c r="U123" s="177"/>
      <c r="V123" s="177">
        <v>44943</v>
      </c>
      <c r="W123" s="177"/>
      <c r="X123" s="177"/>
      <c r="Y123" s="177"/>
      <c r="Z123" s="177"/>
      <c r="AA123" s="177"/>
      <c r="AB123" s="177"/>
      <c r="AC123" s="177"/>
      <c r="AD123" s="180" t="s">
        <v>2448</v>
      </c>
      <c r="AE123" s="173" t="s">
        <v>69</v>
      </c>
      <c r="AF123" s="181" t="s">
        <v>142</v>
      </c>
      <c r="AG123" s="192" t="s">
        <v>1584</v>
      </c>
      <c r="AH123" s="198"/>
      <c r="AI123" s="181">
        <v>44914</v>
      </c>
      <c r="AJ123" s="181"/>
      <c r="AK123" s="181">
        <f t="shared" ca="1" si="7"/>
        <v>44958</v>
      </c>
      <c r="AL123" s="173">
        <f t="shared" ca="1" si="13"/>
        <v>44</v>
      </c>
      <c r="AM123" s="173" t="str">
        <f t="shared" si="14"/>
        <v/>
      </c>
      <c r="AN123" s="181"/>
      <c r="AO123" s="190" t="s">
        <v>2634</v>
      </c>
      <c r="AP123" s="176">
        <v>10.535</v>
      </c>
      <c r="AQ123" s="176">
        <v>10.545</v>
      </c>
      <c r="AR123" s="176">
        <v>10.569999999999999</v>
      </c>
      <c r="AS123" s="176">
        <v>10.574999999999999</v>
      </c>
      <c r="AT123" s="173">
        <f t="shared" ca="1" si="10"/>
        <v>15</v>
      </c>
      <c r="AU123" s="173">
        <v>462</v>
      </c>
      <c r="AW123" s="142" t="s">
        <v>123</v>
      </c>
      <c r="AX123" s="142" t="str">
        <f>LEFT(RIGHT(C123,LEN(C123)-MIN(SEARCH({0,1,2,3,4,5,6,7,8,9},C123&amp;"0123456789"))+1),2)</f>
        <v>17</v>
      </c>
      <c r="AY123" s="142">
        <v>3</v>
      </c>
      <c r="AZ123" s="142" t="str">
        <f>LEFT(RIGHT(C123,LEN(C123)-MIN(SEARCH({0,1,2,3,4,5,6,7,8,9},C123&amp;"0123456789"))+1),5)</f>
        <v>17.01</v>
      </c>
      <c r="BA123" s="142" t="str">
        <f t="shared" si="15"/>
        <v>MI</v>
      </c>
    </row>
    <row r="124" spans="2:53" s="142" customFormat="1" ht="21" customHeight="1" x14ac:dyDescent="0.25">
      <c r="B124" s="173" t="str">
        <f t="shared" si="12"/>
        <v>0-304L/FH-1.50X768</v>
      </c>
      <c r="C124" s="173" t="s">
        <v>4377</v>
      </c>
      <c r="D124" s="173" t="s">
        <v>16</v>
      </c>
      <c r="E124" s="190" t="s">
        <v>1504</v>
      </c>
      <c r="F124" s="190" t="s">
        <v>1505</v>
      </c>
      <c r="G124" s="173" t="s">
        <v>182</v>
      </c>
      <c r="H124" s="173" t="s">
        <v>70</v>
      </c>
      <c r="I124" s="174">
        <v>3.81</v>
      </c>
      <c r="J124" s="174">
        <v>1.5</v>
      </c>
      <c r="K124" s="174"/>
      <c r="L124" s="174"/>
      <c r="M124" s="191">
        <v>768</v>
      </c>
      <c r="N124" s="176">
        <v>12.26</v>
      </c>
      <c r="O124" s="176">
        <v>12.26</v>
      </c>
      <c r="P124" s="176" t="s">
        <v>114</v>
      </c>
      <c r="Q124" s="178" t="s">
        <v>1506</v>
      </c>
      <c r="R124" s="179"/>
      <c r="S124" s="179"/>
      <c r="T124" s="177">
        <v>44943</v>
      </c>
      <c r="U124" s="177"/>
      <c r="V124" s="177">
        <v>44943</v>
      </c>
      <c r="W124" s="177"/>
      <c r="X124" s="177"/>
      <c r="Y124" s="177"/>
      <c r="Z124" s="177"/>
      <c r="AA124" s="177">
        <v>44940</v>
      </c>
      <c r="AB124" s="177"/>
      <c r="AC124" s="177"/>
      <c r="AD124" s="180" t="s">
        <v>1507</v>
      </c>
      <c r="AE124" s="173" t="s">
        <v>69</v>
      </c>
      <c r="AF124" s="181" t="s">
        <v>142</v>
      </c>
      <c r="AG124" s="192" t="s">
        <v>1508</v>
      </c>
      <c r="AH124" s="198"/>
      <c r="AI124" s="181">
        <v>44849</v>
      </c>
      <c r="AJ124" s="181"/>
      <c r="AK124" s="181">
        <f t="shared" ca="1" si="7"/>
        <v>44958</v>
      </c>
      <c r="AL124" s="173">
        <f t="shared" ca="1" si="13"/>
        <v>109</v>
      </c>
      <c r="AM124" s="173" t="str">
        <f t="shared" si="14"/>
        <v/>
      </c>
      <c r="AN124" s="181"/>
      <c r="AO124" s="190" t="s">
        <v>1509</v>
      </c>
      <c r="AP124" s="176">
        <v>24.504999999999999</v>
      </c>
      <c r="AQ124" s="176">
        <v>24.565000000000001</v>
      </c>
      <c r="AR124" s="176">
        <v>24.590000000000003</v>
      </c>
      <c r="AS124" s="176">
        <v>24.595000000000002</v>
      </c>
      <c r="AT124" s="173">
        <f t="shared" ca="1" si="10"/>
        <v>15</v>
      </c>
      <c r="AU124" s="173">
        <v>456</v>
      </c>
      <c r="AW124" s="142" t="s">
        <v>123</v>
      </c>
      <c r="AX124" s="142" t="str">
        <f>LEFT(RIGHT(C124,LEN(C124)-MIN(SEARCH({0,1,2,3,4,5,6,7,8,9},C124&amp;"0123456789"))+1),2)</f>
        <v>17</v>
      </c>
      <c r="AY124" s="142">
        <v>3</v>
      </c>
      <c r="AZ124" s="142" t="str">
        <f>LEFT(RIGHT(C124,LEN(C124)-MIN(SEARCH({0,1,2,3,4,5,6,7,8,9},C124&amp;"0123456789"))+1),5)</f>
        <v>17.01</v>
      </c>
      <c r="BA124" s="142" t="str">
        <f t="shared" si="15"/>
        <v>MI</v>
      </c>
    </row>
    <row r="125" spans="2:53" s="142" customFormat="1" ht="21" customHeight="1" x14ac:dyDescent="0.25">
      <c r="B125" s="173" t="str">
        <f t="shared" si="12"/>
        <v>0-304L/FH-1.20X768</v>
      </c>
      <c r="C125" s="173" t="s">
        <v>4377</v>
      </c>
      <c r="D125" s="173" t="s">
        <v>16</v>
      </c>
      <c r="E125" s="190" t="s">
        <v>1541</v>
      </c>
      <c r="F125" s="190" t="s">
        <v>1542</v>
      </c>
      <c r="G125" s="173" t="s">
        <v>182</v>
      </c>
      <c r="H125" s="173" t="s">
        <v>70</v>
      </c>
      <c r="I125" s="174">
        <v>3.79</v>
      </c>
      <c r="J125" s="174">
        <v>1.2</v>
      </c>
      <c r="K125" s="174"/>
      <c r="L125" s="174"/>
      <c r="M125" s="191">
        <v>768</v>
      </c>
      <c r="N125" s="176">
        <v>12.244999999999999</v>
      </c>
      <c r="O125" s="176">
        <v>12.244999999999999</v>
      </c>
      <c r="P125" s="176" t="s">
        <v>114</v>
      </c>
      <c r="Q125" s="178" t="s">
        <v>1506</v>
      </c>
      <c r="R125" s="179"/>
      <c r="S125" s="179"/>
      <c r="T125" s="177">
        <v>44943</v>
      </c>
      <c r="U125" s="177"/>
      <c r="V125" s="177">
        <v>44943</v>
      </c>
      <c r="W125" s="177"/>
      <c r="X125" s="177"/>
      <c r="Y125" s="177"/>
      <c r="Z125" s="177"/>
      <c r="AA125" s="177">
        <v>44940</v>
      </c>
      <c r="AB125" s="177"/>
      <c r="AC125" s="177"/>
      <c r="AD125" s="180" t="s">
        <v>1507</v>
      </c>
      <c r="AE125" s="173" t="s">
        <v>69</v>
      </c>
      <c r="AF125" s="181" t="s">
        <v>142</v>
      </c>
      <c r="AG125" s="192" t="s">
        <v>1508</v>
      </c>
      <c r="AH125" s="198"/>
      <c r="AI125" s="181">
        <v>44849</v>
      </c>
      <c r="AJ125" s="181"/>
      <c r="AK125" s="181">
        <f t="shared" ca="1" si="7"/>
        <v>44958</v>
      </c>
      <c r="AL125" s="173">
        <f t="shared" ca="1" si="13"/>
        <v>109</v>
      </c>
      <c r="AM125" s="173" t="str">
        <f t="shared" si="14"/>
        <v/>
      </c>
      <c r="AN125" s="181"/>
      <c r="AO125" s="190" t="s">
        <v>1543</v>
      </c>
      <c r="AP125" s="176">
        <v>24.51</v>
      </c>
      <c r="AQ125" s="176">
        <v>24.57</v>
      </c>
      <c r="AR125" s="176">
        <v>24.595000000000002</v>
      </c>
      <c r="AS125" s="176">
        <v>24.6</v>
      </c>
      <c r="AT125" s="173">
        <f t="shared" ca="1" si="10"/>
        <v>15</v>
      </c>
      <c r="AU125" s="173">
        <v>456</v>
      </c>
      <c r="AW125" s="142" t="s">
        <v>123</v>
      </c>
      <c r="AX125" s="142" t="str">
        <f>LEFT(RIGHT(C125,LEN(C125)-MIN(SEARCH({0,1,2,3,4,5,6,7,8,9},C125&amp;"0123456789"))+1),2)</f>
        <v>17</v>
      </c>
      <c r="AY125" s="142">
        <v>3</v>
      </c>
      <c r="AZ125" s="142" t="str">
        <f>LEFT(RIGHT(C125,LEN(C125)-MIN(SEARCH({0,1,2,3,4,5,6,7,8,9},C125&amp;"0123456789"))+1),5)</f>
        <v>17.01</v>
      </c>
      <c r="BA125" s="142" t="str">
        <f t="shared" si="15"/>
        <v>MI</v>
      </c>
    </row>
    <row r="126" spans="2:53" s="142" customFormat="1" ht="21" customHeight="1" x14ac:dyDescent="0.25">
      <c r="B126" s="173" t="str">
        <f t="shared" si="12"/>
        <v>0-304L/FH-1.20X768.5</v>
      </c>
      <c r="C126" s="173" t="s">
        <v>4379</v>
      </c>
      <c r="D126" s="173" t="s">
        <v>16</v>
      </c>
      <c r="E126" s="190" t="s">
        <v>1530</v>
      </c>
      <c r="F126" s="190" t="s">
        <v>1533</v>
      </c>
      <c r="G126" s="173" t="s">
        <v>182</v>
      </c>
      <c r="H126" s="173" t="s">
        <v>70</v>
      </c>
      <c r="I126" s="174">
        <v>3.8</v>
      </c>
      <c r="J126" s="174">
        <v>1.2</v>
      </c>
      <c r="K126" s="174"/>
      <c r="L126" s="174"/>
      <c r="M126" s="191">
        <f>1537/2</f>
        <v>768.5</v>
      </c>
      <c r="N126" s="176">
        <v>12.34</v>
      </c>
      <c r="O126" s="176">
        <v>12.34</v>
      </c>
      <c r="P126" s="176" t="s">
        <v>114</v>
      </c>
      <c r="Q126" s="178" t="s">
        <v>1506</v>
      </c>
      <c r="R126" s="179"/>
      <c r="S126" s="179"/>
      <c r="T126" s="177">
        <v>44943</v>
      </c>
      <c r="U126" s="177"/>
      <c r="V126" s="177">
        <v>44944</v>
      </c>
      <c r="W126" s="177"/>
      <c r="X126" s="177"/>
      <c r="Y126" s="177"/>
      <c r="Z126" s="177"/>
      <c r="AA126" s="177">
        <v>44935</v>
      </c>
      <c r="AB126" s="177"/>
      <c r="AC126" s="177"/>
      <c r="AD126" s="180" t="s">
        <v>1507</v>
      </c>
      <c r="AE126" s="173" t="s">
        <v>69</v>
      </c>
      <c r="AF126" s="181" t="s">
        <v>142</v>
      </c>
      <c r="AG126" s="192" t="s">
        <v>1508</v>
      </c>
      <c r="AH126" s="198"/>
      <c r="AI126" s="181">
        <v>44849</v>
      </c>
      <c r="AJ126" s="181"/>
      <c r="AK126" s="181">
        <f t="shared" ca="1" si="7"/>
        <v>44958</v>
      </c>
      <c r="AL126" s="173">
        <f t="shared" ca="1" si="13"/>
        <v>109</v>
      </c>
      <c r="AM126" s="173" t="str">
        <f t="shared" si="14"/>
        <v/>
      </c>
      <c r="AN126" s="181"/>
      <c r="AO126" s="190" t="s">
        <v>1532</v>
      </c>
      <c r="AP126" s="176">
        <v>24.57</v>
      </c>
      <c r="AQ126" s="176">
        <v>24.63</v>
      </c>
      <c r="AR126" s="176">
        <v>24.655000000000001</v>
      </c>
      <c r="AS126" s="176">
        <v>24.66</v>
      </c>
      <c r="AT126" s="173">
        <f t="shared" ca="1" si="10"/>
        <v>14</v>
      </c>
      <c r="AU126" s="173">
        <v>456</v>
      </c>
      <c r="AW126" s="142" t="s">
        <v>123</v>
      </c>
      <c r="AX126" s="142" t="str">
        <f>LEFT(RIGHT(C126,LEN(C126)-MIN(SEARCH({0,1,2,3,4,5,6,7,8,9},C126&amp;"0123456789"))+1),2)</f>
        <v>18</v>
      </c>
      <c r="AY126" s="142">
        <v>1</v>
      </c>
      <c r="AZ126" s="142" t="str">
        <f>LEFT(RIGHT(C126,LEN(C126)-MIN(SEARCH({0,1,2,3,4,5,6,7,8,9},C126&amp;"0123456789"))+1),5)</f>
        <v>18.01</v>
      </c>
      <c r="BA126" s="142" t="str">
        <f t="shared" si="15"/>
        <v>MI</v>
      </c>
    </row>
    <row r="127" spans="2:53" s="142" customFormat="1" ht="21" customHeight="1" x14ac:dyDescent="0.25">
      <c r="B127" s="173" t="str">
        <f t="shared" si="12"/>
        <v>0-304/FH-1.00X769</v>
      </c>
      <c r="C127" s="173" t="s">
        <v>4379</v>
      </c>
      <c r="D127" s="173" t="s">
        <v>16</v>
      </c>
      <c r="E127" s="190" t="s">
        <v>4130</v>
      </c>
      <c r="F127" s="190" t="s">
        <v>4131</v>
      </c>
      <c r="G127" s="173">
        <v>304</v>
      </c>
      <c r="H127" s="173" t="s">
        <v>70</v>
      </c>
      <c r="I127" s="174">
        <v>2.9</v>
      </c>
      <c r="J127" s="174">
        <v>1</v>
      </c>
      <c r="K127" s="174"/>
      <c r="L127" s="174"/>
      <c r="M127" s="191">
        <v>769</v>
      </c>
      <c r="N127" s="176">
        <v>10.595000000000001</v>
      </c>
      <c r="O127" s="176">
        <v>10.595000000000001</v>
      </c>
      <c r="P127" s="176" t="s">
        <v>114</v>
      </c>
      <c r="Q127" s="178" t="s">
        <v>511</v>
      </c>
      <c r="R127" s="179"/>
      <c r="S127" s="179"/>
      <c r="T127" s="177">
        <v>44943</v>
      </c>
      <c r="U127" s="177"/>
      <c r="V127" s="177">
        <v>44944</v>
      </c>
      <c r="W127" s="177"/>
      <c r="X127" s="177"/>
      <c r="Y127" s="177"/>
      <c r="Z127" s="177"/>
      <c r="AA127" s="177"/>
      <c r="AB127" s="177"/>
      <c r="AC127" s="177"/>
      <c r="AD127" s="180" t="s">
        <v>2448</v>
      </c>
      <c r="AE127" s="173" t="s">
        <v>69</v>
      </c>
      <c r="AF127" s="181" t="s">
        <v>142</v>
      </c>
      <c r="AG127" s="192" t="s">
        <v>1584</v>
      </c>
      <c r="AH127" s="198"/>
      <c r="AI127" s="181">
        <v>44914</v>
      </c>
      <c r="AJ127" s="181"/>
      <c r="AK127" s="181">
        <f t="shared" ca="1" si="7"/>
        <v>44958</v>
      </c>
      <c r="AL127" s="173">
        <f t="shared" ca="1" si="13"/>
        <v>44</v>
      </c>
      <c r="AM127" s="173" t="str">
        <f t="shared" si="14"/>
        <v/>
      </c>
      <c r="AN127" s="181"/>
      <c r="AO127" s="190" t="s">
        <v>4132</v>
      </c>
      <c r="AP127" s="176">
        <v>10.595000000000001</v>
      </c>
      <c r="AQ127" s="176">
        <v>10.605</v>
      </c>
      <c r="AR127" s="176">
        <v>10.629999999999999</v>
      </c>
      <c r="AS127" s="176">
        <v>10.635</v>
      </c>
      <c r="AT127" s="173">
        <f t="shared" ca="1" si="10"/>
        <v>14</v>
      </c>
      <c r="AU127" s="173">
        <v>462</v>
      </c>
      <c r="AW127" s="142" t="s">
        <v>123</v>
      </c>
      <c r="AX127" s="142" t="str">
        <f>LEFT(RIGHT(C127,LEN(C127)-MIN(SEARCH({0,1,2,3,4,5,6,7,8,9},C127&amp;"0123456789"))+1),2)</f>
        <v>18</v>
      </c>
      <c r="AY127" s="142">
        <v>1</v>
      </c>
      <c r="AZ127" s="142" t="str">
        <f>LEFT(RIGHT(C127,LEN(C127)-MIN(SEARCH({0,1,2,3,4,5,6,7,8,9},C127&amp;"0123456789"))+1),5)</f>
        <v>18.01</v>
      </c>
      <c r="BA127" s="142" t="str">
        <f t="shared" si="15"/>
        <v>MI</v>
      </c>
    </row>
    <row r="128" spans="2:53" s="142" customFormat="1" ht="21" customHeight="1" x14ac:dyDescent="0.25">
      <c r="B128" s="173" t="str">
        <f t="shared" si="12"/>
        <v>0-304/FH-1.00X769</v>
      </c>
      <c r="C128" s="173" t="s">
        <v>4379</v>
      </c>
      <c r="D128" s="173" t="s">
        <v>16</v>
      </c>
      <c r="E128" s="190" t="s">
        <v>4138</v>
      </c>
      <c r="F128" s="190" t="s">
        <v>4139</v>
      </c>
      <c r="G128" s="173">
        <v>304</v>
      </c>
      <c r="H128" s="173" t="s">
        <v>70</v>
      </c>
      <c r="I128" s="174">
        <v>2.9</v>
      </c>
      <c r="J128" s="174">
        <v>1</v>
      </c>
      <c r="K128" s="174"/>
      <c r="L128" s="174"/>
      <c r="M128" s="191">
        <v>769</v>
      </c>
      <c r="N128" s="176">
        <v>10.545</v>
      </c>
      <c r="O128" s="176">
        <v>10.545</v>
      </c>
      <c r="P128" s="176" t="s">
        <v>114</v>
      </c>
      <c r="Q128" s="178" t="s">
        <v>511</v>
      </c>
      <c r="R128" s="179"/>
      <c r="S128" s="179"/>
      <c r="T128" s="177">
        <v>44944</v>
      </c>
      <c r="U128" s="177"/>
      <c r="V128" s="177">
        <v>44944</v>
      </c>
      <c r="W128" s="177"/>
      <c r="X128" s="177"/>
      <c r="Y128" s="177"/>
      <c r="Z128" s="177"/>
      <c r="AA128" s="177"/>
      <c r="AB128" s="177"/>
      <c r="AC128" s="177"/>
      <c r="AD128" s="180" t="s">
        <v>2448</v>
      </c>
      <c r="AE128" s="173" t="s">
        <v>69</v>
      </c>
      <c r="AF128" s="181" t="s">
        <v>142</v>
      </c>
      <c r="AG128" s="192" t="s">
        <v>1584</v>
      </c>
      <c r="AH128" s="198"/>
      <c r="AI128" s="181">
        <v>44914</v>
      </c>
      <c r="AJ128" s="181"/>
      <c r="AK128" s="181">
        <f t="shared" ca="1" si="7"/>
        <v>44958</v>
      </c>
      <c r="AL128" s="173">
        <f t="shared" ca="1" si="13"/>
        <v>44</v>
      </c>
      <c r="AM128" s="173" t="str">
        <f t="shared" si="14"/>
        <v/>
      </c>
      <c r="AN128" s="181"/>
      <c r="AO128" s="190" t="s">
        <v>4140</v>
      </c>
      <c r="AP128" s="176">
        <v>10.545</v>
      </c>
      <c r="AQ128" s="176">
        <v>10.555</v>
      </c>
      <c r="AR128" s="176">
        <v>10.579999999999998</v>
      </c>
      <c r="AS128" s="176">
        <v>10.584999999999999</v>
      </c>
      <c r="AT128" s="173">
        <f t="shared" ca="1" si="10"/>
        <v>14</v>
      </c>
      <c r="AU128" s="173">
        <v>462</v>
      </c>
      <c r="AW128" s="142" t="s">
        <v>123</v>
      </c>
      <c r="AX128" s="142" t="str">
        <f>LEFT(RIGHT(C128,LEN(C128)-MIN(SEARCH({0,1,2,3,4,5,6,7,8,9},C128&amp;"0123456789"))+1),2)</f>
        <v>18</v>
      </c>
      <c r="AY128" s="142">
        <v>1</v>
      </c>
      <c r="AZ128" s="142" t="str">
        <f>LEFT(RIGHT(C128,LEN(C128)-MIN(SEARCH({0,1,2,3,4,5,6,7,8,9},C128&amp;"0123456789"))+1),5)</f>
        <v>18.01</v>
      </c>
      <c r="BA128" s="142" t="str">
        <f t="shared" si="15"/>
        <v>MI</v>
      </c>
    </row>
    <row r="129" spans="2:53" s="142" customFormat="1" ht="21" customHeight="1" x14ac:dyDescent="0.25">
      <c r="B129" s="173" t="str">
        <f t="shared" si="12"/>
        <v>0-304L/FH-1.00X769</v>
      </c>
      <c r="C129" s="173" t="s">
        <v>4379</v>
      </c>
      <c r="D129" s="173" t="s">
        <v>16</v>
      </c>
      <c r="E129" s="190" t="s">
        <v>4134</v>
      </c>
      <c r="F129" s="190" t="s">
        <v>4135</v>
      </c>
      <c r="G129" s="173" t="s">
        <v>182</v>
      </c>
      <c r="H129" s="173" t="s">
        <v>70</v>
      </c>
      <c r="I129" s="174">
        <v>2.99</v>
      </c>
      <c r="J129" s="174">
        <v>1</v>
      </c>
      <c r="K129" s="174"/>
      <c r="L129" s="174"/>
      <c r="M129" s="191">
        <v>769</v>
      </c>
      <c r="N129" s="176">
        <v>7.98</v>
      </c>
      <c r="O129" s="176">
        <v>7.98</v>
      </c>
      <c r="P129" s="176" t="s">
        <v>114</v>
      </c>
      <c r="Q129" s="178" t="s">
        <v>4380</v>
      </c>
      <c r="R129" s="179"/>
      <c r="S129" s="179"/>
      <c r="T129" s="177">
        <v>44944</v>
      </c>
      <c r="U129" s="177"/>
      <c r="V129" s="177">
        <v>44944</v>
      </c>
      <c r="W129" s="177"/>
      <c r="X129" s="177"/>
      <c r="Y129" s="177"/>
      <c r="Z129" s="177"/>
      <c r="AA129" s="177"/>
      <c r="AB129" s="177"/>
      <c r="AC129" s="177"/>
      <c r="AD129" s="180" t="s">
        <v>2448</v>
      </c>
      <c r="AE129" s="173" t="s">
        <v>69</v>
      </c>
      <c r="AF129" s="181" t="s">
        <v>142</v>
      </c>
      <c r="AG129" s="192" t="s">
        <v>1584</v>
      </c>
      <c r="AH129" s="198"/>
      <c r="AI129" s="181">
        <v>44914</v>
      </c>
      <c r="AJ129" s="181"/>
      <c r="AK129" s="181">
        <f t="shared" ca="1" si="7"/>
        <v>44958</v>
      </c>
      <c r="AL129" s="173">
        <f t="shared" ca="1" si="13"/>
        <v>44</v>
      </c>
      <c r="AM129" s="173" t="str">
        <f t="shared" si="14"/>
        <v/>
      </c>
      <c r="AN129" s="181"/>
      <c r="AO129" s="190" t="s">
        <v>4136</v>
      </c>
      <c r="AP129" s="176">
        <v>7.98</v>
      </c>
      <c r="AQ129" s="176">
        <v>7.99</v>
      </c>
      <c r="AR129" s="176">
        <v>8.0149999999999988</v>
      </c>
      <c r="AS129" s="176">
        <v>8.02</v>
      </c>
      <c r="AT129" s="173">
        <f t="shared" ca="1" si="10"/>
        <v>14</v>
      </c>
      <c r="AU129" s="173">
        <v>462</v>
      </c>
      <c r="AW129" s="142" t="s">
        <v>123</v>
      </c>
      <c r="AX129" s="142" t="str">
        <f>LEFT(RIGHT(C129,LEN(C129)-MIN(SEARCH({0,1,2,3,4,5,6,7,8,9},C129&amp;"0123456789"))+1),2)</f>
        <v>18</v>
      </c>
      <c r="AY129" s="142">
        <v>2</v>
      </c>
      <c r="AZ129" s="142" t="str">
        <f>LEFT(RIGHT(C129,LEN(C129)-MIN(SEARCH({0,1,2,3,4,5,6,7,8,9},C129&amp;"0123456789"))+1),5)</f>
        <v>18.01</v>
      </c>
      <c r="BA129" s="142" t="str">
        <f t="shared" si="15"/>
        <v>MI</v>
      </c>
    </row>
    <row r="130" spans="2:53" s="142" customFormat="1" ht="21" customHeight="1" x14ac:dyDescent="0.25">
      <c r="B130" s="173" t="str">
        <f t="shared" si="12"/>
        <v>0-304/FH-0.88X773</v>
      </c>
      <c r="C130" s="173" t="s">
        <v>4379</v>
      </c>
      <c r="D130" s="173" t="s">
        <v>16</v>
      </c>
      <c r="E130" s="190" t="s">
        <v>2635</v>
      </c>
      <c r="F130" s="190" t="s">
        <v>2636</v>
      </c>
      <c r="G130" s="173">
        <v>304</v>
      </c>
      <c r="H130" s="173" t="s">
        <v>70</v>
      </c>
      <c r="I130" s="174">
        <v>2.9</v>
      </c>
      <c r="J130" s="174">
        <v>0.88</v>
      </c>
      <c r="K130" s="174"/>
      <c r="L130" s="174"/>
      <c r="M130" s="191">
        <v>773</v>
      </c>
      <c r="N130" s="176">
        <v>10.025</v>
      </c>
      <c r="O130" s="176">
        <v>10.025</v>
      </c>
      <c r="P130" s="176" t="s">
        <v>114</v>
      </c>
      <c r="Q130" s="178" t="s">
        <v>1506</v>
      </c>
      <c r="R130" s="179"/>
      <c r="S130" s="179"/>
      <c r="T130" s="177">
        <v>44942</v>
      </c>
      <c r="U130" s="177"/>
      <c r="V130" s="177">
        <v>44944</v>
      </c>
      <c r="W130" s="177"/>
      <c r="X130" s="177"/>
      <c r="Y130" s="177"/>
      <c r="Z130" s="177"/>
      <c r="AA130" s="177"/>
      <c r="AB130" s="177"/>
      <c r="AC130" s="177"/>
      <c r="AD130" s="180" t="s">
        <v>2448</v>
      </c>
      <c r="AE130" s="173" t="s">
        <v>69</v>
      </c>
      <c r="AF130" s="181" t="s">
        <v>142</v>
      </c>
      <c r="AG130" s="192" t="s">
        <v>1584</v>
      </c>
      <c r="AH130" s="198"/>
      <c r="AI130" s="181">
        <v>44914</v>
      </c>
      <c r="AJ130" s="181"/>
      <c r="AK130" s="181">
        <f t="shared" ca="1" si="7"/>
        <v>44958</v>
      </c>
      <c r="AL130" s="173">
        <f t="shared" ca="1" si="13"/>
        <v>44</v>
      </c>
      <c r="AM130" s="173" t="str">
        <f t="shared" si="14"/>
        <v/>
      </c>
      <c r="AN130" s="181"/>
      <c r="AO130" s="190" t="s">
        <v>2637</v>
      </c>
      <c r="AP130" s="176">
        <v>10.025</v>
      </c>
      <c r="AQ130" s="176">
        <v>10.035</v>
      </c>
      <c r="AR130" s="176">
        <v>10.059999999999999</v>
      </c>
      <c r="AS130" s="176">
        <v>10.065</v>
      </c>
      <c r="AT130" s="173">
        <f t="shared" ca="1" si="10"/>
        <v>14</v>
      </c>
      <c r="AU130" s="173">
        <v>462</v>
      </c>
      <c r="AW130" s="142" t="s">
        <v>123</v>
      </c>
      <c r="AX130" s="142" t="str">
        <f>LEFT(RIGHT(C130,LEN(C130)-MIN(SEARCH({0,1,2,3,4,5,6,7,8,9},C130&amp;"0123456789"))+1),2)</f>
        <v>18</v>
      </c>
      <c r="AY130" s="142">
        <v>2</v>
      </c>
      <c r="AZ130" s="142" t="str">
        <f>LEFT(RIGHT(C130,LEN(C130)-MIN(SEARCH({0,1,2,3,4,5,6,7,8,9},C130&amp;"0123456789"))+1),5)</f>
        <v>18.01</v>
      </c>
      <c r="BA130" s="142" t="str">
        <f t="shared" si="15"/>
        <v>MI</v>
      </c>
    </row>
    <row r="131" spans="2:53" s="142" customFormat="1" ht="21" customHeight="1" x14ac:dyDescent="0.25">
      <c r="B131" s="173" t="str">
        <f t="shared" si="12"/>
        <v>0-304L/FH-0.88X773</v>
      </c>
      <c r="C131" s="173" t="s">
        <v>4379</v>
      </c>
      <c r="D131" s="173" t="s">
        <v>16</v>
      </c>
      <c r="E131" s="190" t="s">
        <v>2772</v>
      </c>
      <c r="F131" s="190" t="s">
        <v>2773</v>
      </c>
      <c r="G131" s="173" t="s">
        <v>182</v>
      </c>
      <c r="H131" s="173" t="s">
        <v>70</v>
      </c>
      <c r="I131" s="174">
        <v>2.81</v>
      </c>
      <c r="J131" s="174">
        <v>0.88</v>
      </c>
      <c r="K131" s="174"/>
      <c r="L131" s="174"/>
      <c r="M131" s="191">
        <v>773</v>
      </c>
      <c r="N131" s="176">
        <v>10.44</v>
      </c>
      <c r="O131" s="176">
        <v>10.44</v>
      </c>
      <c r="P131" s="176" t="s">
        <v>114</v>
      </c>
      <c r="Q131" s="178" t="s">
        <v>1506</v>
      </c>
      <c r="R131" s="179"/>
      <c r="S131" s="179"/>
      <c r="T131" s="177">
        <v>44944</v>
      </c>
      <c r="U131" s="177"/>
      <c r="V131" s="177">
        <v>44944</v>
      </c>
      <c r="W131" s="177"/>
      <c r="X131" s="177"/>
      <c r="Y131" s="177"/>
      <c r="Z131" s="177"/>
      <c r="AA131" s="177"/>
      <c r="AB131" s="177"/>
      <c r="AC131" s="177"/>
      <c r="AD131" s="180" t="s">
        <v>1605</v>
      </c>
      <c r="AE131" s="173" t="s">
        <v>69</v>
      </c>
      <c r="AF131" s="181" t="s">
        <v>142</v>
      </c>
      <c r="AG131" s="192" t="s">
        <v>1584</v>
      </c>
      <c r="AH131" s="198"/>
      <c r="AI131" s="181">
        <v>44914</v>
      </c>
      <c r="AJ131" s="181"/>
      <c r="AK131" s="181">
        <f t="shared" ca="1" si="7"/>
        <v>44958</v>
      </c>
      <c r="AL131" s="173">
        <f t="shared" ca="1" si="13"/>
        <v>44</v>
      </c>
      <c r="AM131" s="173" t="str">
        <f t="shared" si="14"/>
        <v/>
      </c>
      <c r="AN131" s="181"/>
      <c r="AO131" s="190" t="s">
        <v>2771</v>
      </c>
      <c r="AP131" s="176">
        <v>10.44</v>
      </c>
      <c r="AQ131" s="176">
        <v>10.45</v>
      </c>
      <c r="AR131" s="176">
        <v>10.474999999999998</v>
      </c>
      <c r="AS131" s="176">
        <v>10.479999999999999</v>
      </c>
      <c r="AT131" s="173">
        <f t="shared" ca="1" si="10"/>
        <v>14</v>
      </c>
      <c r="AU131" s="173">
        <v>462</v>
      </c>
      <c r="AW131" s="142" t="s">
        <v>123</v>
      </c>
      <c r="AX131" s="142" t="str">
        <f>LEFT(RIGHT(C131,LEN(C131)-MIN(SEARCH({0,1,2,3,4,5,6,7,8,9},C131&amp;"0123456789"))+1),2)</f>
        <v>18</v>
      </c>
      <c r="AY131" s="142">
        <v>3</v>
      </c>
      <c r="AZ131" s="142" t="str">
        <f>LEFT(RIGHT(C131,LEN(C131)-MIN(SEARCH({0,1,2,3,4,5,6,7,8,9},C131&amp;"0123456789"))+1),5)</f>
        <v>18.01</v>
      </c>
      <c r="BA131" s="142" t="str">
        <f t="shared" si="15"/>
        <v>MI</v>
      </c>
    </row>
    <row r="132" spans="2:53" s="142" customFormat="1" ht="21" customHeight="1" x14ac:dyDescent="0.25">
      <c r="B132" s="173" t="str">
        <f t="shared" si="12"/>
        <v>0-304/FH-1.50X768</v>
      </c>
      <c r="C132" s="173" t="s">
        <v>4379</v>
      </c>
      <c r="D132" s="173" t="s">
        <v>16</v>
      </c>
      <c r="E132" s="190" t="s">
        <v>2644</v>
      </c>
      <c r="F132" s="190" t="s">
        <v>2645</v>
      </c>
      <c r="G132" s="173">
        <v>304</v>
      </c>
      <c r="H132" s="173" t="s">
        <v>70</v>
      </c>
      <c r="I132" s="174">
        <v>3.87</v>
      </c>
      <c r="J132" s="174">
        <v>1.5</v>
      </c>
      <c r="K132" s="174"/>
      <c r="L132" s="174"/>
      <c r="M132" s="191">
        <v>768</v>
      </c>
      <c r="N132" s="176">
        <v>9.36</v>
      </c>
      <c r="O132" s="176">
        <v>9.36</v>
      </c>
      <c r="P132" s="176" t="s">
        <v>114</v>
      </c>
      <c r="Q132" s="178" t="s">
        <v>1506</v>
      </c>
      <c r="R132" s="179"/>
      <c r="S132" s="179"/>
      <c r="T132" s="177">
        <v>44944</v>
      </c>
      <c r="U132" s="177"/>
      <c r="V132" s="177">
        <v>44944</v>
      </c>
      <c r="W132" s="177"/>
      <c r="X132" s="177"/>
      <c r="Y132" s="177"/>
      <c r="Z132" s="177"/>
      <c r="AA132" s="177"/>
      <c r="AB132" s="177"/>
      <c r="AC132" s="177"/>
      <c r="AD132" s="180" t="s">
        <v>1507</v>
      </c>
      <c r="AE132" s="173" t="s">
        <v>69</v>
      </c>
      <c r="AF132" s="181" t="s">
        <v>142</v>
      </c>
      <c r="AG132" s="192" t="s">
        <v>1584</v>
      </c>
      <c r="AH132" s="198"/>
      <c r="AI132" s="181">
        <v>44914</v>
      </c>
      <c r="AJ132" s="181"/>
      <c r="AK132" s="181">
        <f t="shared" ref="AK132:AK195" ca="1" si="16">TODAY()</f>
        <v>44958</v>
      </c>
      <c r="AL132" s="173">
        <f t="shared" ca="1" si="13"/>
        <v>44</v>
      </c>
      <c r="AM132" s="173" t="str">
        <f t="shared" si="14"/>
        <v/>
      </c>
      <c r="AN132" s="181"/>
      <c r="AO132" s="190" t="s">
        <v>2646</v>
      </c>
      <c r="AP132" s="176">
        <v>9.36</v>
      </c>
      <c r="AQ132" s="176">
        <v>9.3699999999999992</v>
      </c>
      <c r="AR132" s="176">
        <v>9.3949999999999978</v>
      </c>
      <c r="AS132" s="176">
        <v>9.3999999999999986</v>
      </c>
      <c r="AT132" s="173">
        <f t="shared" ref="AT132:AT183" ca="1" si="17">IF(ISNUMBER(V132)=TRUE,AK132-V132,IF(V132="","",(AK132)-(MID(RIGHT(V132,10),4,2)&amp;"/"&amp;LEFT((RIGHT(V132,10)),2)&amp;"/"&amp;RIGHT(V132,4))))</f>
        <v>14</v>
      </c>
      <c r="AU132" s="173">
        <v>462</v>
      </c>
      <c r="AW132" s="142" t="s">
        <v>123</v>
      </c>
      <c r="AX132" s="142" t="str">
        <f>LEFT(RIGHT(C132,LEN(C132)-MIN(SEARCH({0,1,2,3,4,5,6,7,8,9},C132&amp;"0123456789"))+1),2)</f>
        <v>18</v>
      </c>
      <c r="AY132" s="142">
        <v>3</v>
      </c>
      <c r="AZ132" s="142" t="str">
        <f>LEFT(RIGHT(C132,LEN(C132)-MIN(SEARCH({0,1,2,3,4,5,6,7,8,9},C132&amp;"0123456789"))+1),5)</f>
        <v>18.01</v>
      </c>
      <c r="BA132" s="142" t="str">
        <f t="shared" si="15"/>
        <v>MI</v>
      </c>
    </row>
    <row r="133" spans="2:53" s="142" customFormat="1" ht="21" customHeight="1" x14ac:dyDescent="0.25">
      <c r="B133" s="173" t="str">
        <f t="shared" si="12"/>
        <v>0-304L/FH-0.80X770</v>
      </c>
      <c r="C133" s="173" t="s">
        <v>4381</v>
      </c>
      <c r="D133" s="173" t="s">
        <v>16</v>
      </c>
      <c r="E133" s="190" t="s">
        <v>2647</v>
      </c>
      <c r="F133" s="190" t="s">
        <v>2648</v>
      </c>
      <c r="G133" s="173" t="s">
        <v>182</v>
      </c>
      <c r="H133" s="173" t="s">
        <v>70</v>
      </c>
      <c r="I133" s="174">
        <v>2.95</v>
      </c>
      <c r="J133" s="174">
        <v>0.8</v>
      </c>
      <c r="K133" s="174"/>
      <c r="L133" s="174"/>
      <c r="M133" s="191">
        <v>770</v>
      </c>
      <c r="N133" s="176">
        <v>10.555</v>
      </c>
      <c r="O133" s="176">
        <v>10.555</v>
      </c>
      <c r="P133" s="176" t="s">
        <v>114</v>
      </c>
      <c r="Q133" s="178" t="s">
        <v>511</v>
      </c>
      <c r="R133" s="179"/>
      <c r="S133" s="179"/>
      <c r="T133" s="177">
        <v>44944</v>
      </c>
      <c r="U133" s="177"/>
      <c r="V133" s="177">
        <v>44945</v>
      </c>
      <c r="W133" s="177"/>
      <c r="X133" s="177"/>
      <c r="Y133" s="177"/>
      <c r="Z133" s="177"/>
      <c r="AA133" s="177"/>
      <c r="AB133" s="177"/>
      <c r="AC133" s="177"/>
      <c r="AD133" s="180" t="s">
        <v>2448</v>
      </c>
      <c r="AE133" s="173" t="s">
        <v>69</v>
      </c>
      <c r="AF133" s="181" t="s">
        <v>142</v>
      </c>
      <c r="AG133" s="192" t="s">
        <v>1584</v>
      </c>
      <c r="AH133" s="198"/>
      <c r="AI133" s="181">
        <v>44914</v>
      </c>
      <c r="AJ133" s="181"/>
      <c r="AK133" s="181">
        <f t="shared" ca="1" si="16"/>
        <v>44958</v>
      </c>
      <c r="AL133" s="173">
        <f t="shared" ca="1" si="13"/>
        <v>44</v>
      </c>
      <c r="AM133" s="173" t="str">
        <f t="shared" si="14"/>
        <v/>
      </c>
      <c r="AN133" s="181"/>
      <c r="AO133" s="190" t="s">
        <v>2649</v>
      </c>
      <c r="AP133" s="176">
        <v>10.555</v>
      </c>
      <c r="AQ133" s="176">
        <v>10.565</v>
      </c>
      <c r="AR133" s="176">
        <v>10.589999999999998</v>
      </c>
      <c r="AS133" s="176">
        <v>10.594999999999999</v>
      </c>
      <c r="AT133" s="173">
        <f t="shared" ca="1" si="17"/>
        <v>13</v>
      </c>
      <c r="AU133" s="173">
        <v>462</v>
      </c>
      <c r="AW133" s="142" t="s">
        <v>123</v>
      </c>
      <c r="AX133" s="142" t="str">
        <f>LEFT(RIGHT(C133,LEN(C133)-MIN(SEARCH({0,1,2,3,4,5,6,7,8,9},C133&amp;"0123456789"))+1),2)</f>
        <v>19</v>
      </c>
      <c r="AY133" s="142">
        <v>1</v>
      </c>
      <c r="AZ133" s="142" t="str">
        <f>LEFT(RIGHT(C133,LEN(C133)-MIN(SEARCH({0,1,2,3,4,5,6,7,8,9},C133&amp;"0123456789"))+1),5)</f>
        <v>19.01</v>
      </c>
      <c r="BA133" s="142" t="str">
        <f t="shared" si="15"/>
        <v>MI</v>
      </c>
    </row>
    <row r="134" spans="2:53" s="142" customFormat="1" ht="21" customHeight="1" x14ac:dyDescent="0.25">
      <c r="B134" s="173" t="str">
        <f t="shared" si="12"/>
        <v>0-304/FH-1.00X770</v>
      </c>
      <c r="C134" s="173" t="s">
        <v>4381</v>
      </c>
      <c r="D134" s="173" t="s">
        <v>16</v>
      </c>
      <c r="E134" s="190" t="s">
        <v>2665</v>
      </c>
      <c r="F134" s="190" t="s">
        <v>4145</v>
      </c>
      <c r="G134" s="173">
        <v>304</v>
      </c>
      <c r="H134" s="173" t="s">
        <v>70</v>
      </c>
      <c r="I134" s="174">
        <v>2.89</v>
      </c>
      <c r="J134" s="174">
        <v>1</v>
      </c>
      <c r="K134" s="174"/>
      <c r="L134" s="174"/>
      <c r="M134" s="191">
        <v>770</v>
      </c>
      <c r="N134" s="176">
        <v>10.525</v>
      </c>
      <c r="O134" s="176">
        <v>10.525</v>
      </c>
      <c r="P134" s="176" t="s">
        <v>114</v>
      </c>
      <c r="Q134" s="178" t="s">
        <v>511</v>
      </c>
      <c r="R134" s="179"/>
      <c r="S134" s="179"/>
      <c r="T134" s="177">
        <v>44944</v>
      </c>
      <c r="U134" s="177"/>
      <c r="V134" s="177">
        <v>44945</v>
      </c>
      <c r="W134" s="177"/>
      <c r="X134" s="177"/>
      <c r="Y134" s="177"/>
      <c r="Z134" s="177"/>
      <c r="AA134" s="177"/>
      <c r="AB134" s="177"/>
      <c r="AC134" s="177"/>
      <c r="AD134" s="180" t="s">
        <v>2448</v>
      </c>
      <c r="AE134" s="173" t="s">
        <v>69</v>
      </c>
      <c r="AF134" s="181" t="s">
        <v>142</v>
      </c>
      <c r="AG134" s="192" t="s">
        <v>1584</v>
      </c>
      <c r="AH134" s="198"/>
      <c r="AI134" s="181">
        <v>44914</v>
      </c>
      <c r="AJ134" s="181"/>
      <c r="AK134" s="181">
        <f t="shared" ca="1" si="16"/>
        <v>44958</v>
      </c>
      <c r="AL134" s="173">
        <f t="shared" ca="1" si="13"/>
        <v>44</v>
      </c>
      <c r="AM134" s="173" t="str">
        <f t="shared" si="14"/>
        <v/>
      </c>
      <c r="AN134" s="181"/>
      <c r="AO134" s="190" t="s">
        <v>2667</v>
      </c>
      <c r="AP134" s="176">
        <v>10.525</v>
      </c>
      <c r="AQ134" s="176">
        <v>10.535</v>
      </c>
      <c r="AR134" s="176">
        <v>10.559999999999999</v>
      </c>
      <c r="AS134" s="176">
        <v>10.565</v>
      </c>
      <c r="AT134" s="173">
        <f t="shared" ca="1" si="17"/>
        <v>13</v>
      </c>
      <c r="AU134" s="173">
        <v>462</v>
      </c>
      <c r="AW134" s="142" t="s">
        <v>123</v>
      </c>
      <c r="AX134" s="142" t="str">
        <f>LEFT(RIGHT(C134,LEN(C134)-MIN(SEARCH({0,1,2,3,4,5,6,7,8,9},C134&amp;"0123456789"))+1),2)</f>
        <v>19</v>
      </c>
      <c r="AY134" s="142">
        <v>1</v>
      </c>
      <c r="AZ134" s="142" t="str">
        <f>LEFT(RIGHT(C134,LEN(C134)-MIN(SEARCH({0,1,2,3,4,5,6,7,8,9},C134&amp;"0123456789"))+1),5)</f>
        <v>19.01</v>
      </c>
      <c r="BA134" s="142" t="str">
        <f t="shared" si="15"/>
        <v>MI</v>
      </c>
    </row>
    <row r="135" spans="2:53" s="142" customFormat="1" ht="21" customHeight="1" x14ac:dyDescent="0.25">
      <c r="B135" s="173" t="str">
        <f t="shared" si="12"/>
        <v>0-304/FH-1.20X775</v>
      </c>
      <c r="C135" s="173" t="s">
        <v>4381</v>
      </c>
      <c r="D135" s="173" t="s">
        <v>16</v>
      </c>
      <c r="E135" s="190" t="s">
        <v>2475</v>
      </c>
      <c r="F135" s="190" t="s">
        <v>2476</v>
      </c>
      <c r="G135" s="173">
        <v>304</v>
      </c>
      <c r="H135" s="173" t="s">
        <v>70</v>
      </c>
      <c r="I135" s="174">
        <v>3.8</v>
      </c>
      <c r="J135" s="174">
        <v>1.2</v>
      </c>
      <c r="K135" s="174"/>
      <c r="L135" s="174"/>
      <c r="M135" s="191">
        <v>775</v>
      </c>
      <c r="N135" s="176">
        <v>10.484999999999999</v>
      </c>
      <c r="O135" s="176">
        <v>10.484999999999999</v>
      </c>
      <c r="P135" s="176" t="s">
        <v>114</v>
      </c>
      <c r="Q135" s="178" t="s">
        <v>1506</v>
      </c>
      <c r="R135" s="179"/>
      <c r="S135" s="179"/>
      <c r="T135" s="177">
        <v>44945</v>
      </c>
      <c r="U135" s="177"/>
      <c r="V135" s="177">
        <v>44945</v>
      </c>
      <c r="W135" s="177"/>
      <c r="X135" s="177"/>
      <c r="Y135" s="177"/>
      <c r="Z135" s="177"/>
      <c r="AA135" s="177"/>
      <c r="AB135" s="177"/>
      <c r="AC135" s="177"/>
      <c r="AD135" s="180" t="s">
        <v>1605</v>
      </c>
      <c r="AE135" s="173" t="s">
        <v>69</v>
      </c>
      <c r="AF135" s="181" t="s">
        <v>142</v>
      </c>
      <c r="AG135" s="192" t="s">
        <v>1584</v>
      </c>
      <c r="AH135" s="198"/>
      <c r="AI135" s="181">
        <v>44914</v>
      </c>
      <c r="AJ135" s="181"/>
      <c r="AK135" s="181">
        <f t="shared" ca="1" si="16"/>
        <v>44958</v>
      </c>
      <c r="AL135" s="173">
        <f t="shared" ca="1" si="13"/>
        <v>44</v>
      </c>
      <c r="AM135" s="173" t="str">
        <f t="shared" si="14"/>
        <v/>
      </c>
      <c r="AN135" s="181"/>
      <c r="AO135" s="190" t="s">
        <v>2474</v>
      </c>
      <c r="AP135" s="176">
        <v>10.484999999999999</v>
      </c>
      <c r="AQ135" s="176">
        <v>10.494999999999999</v>
      </c>
      <c r="AR135" s="176">
        <v>10.519999999999998</v>
      </c>
      <c r="AS135" s="176">
        <v>10.524999999999999</v>
      </c>
      <c r="AT135" s="173">
        <f t="shared" ca="1" si="17"/>
        <v>13</v>
      </c>
      <c r="AU135" s="173">
        <v>462</v>
      </c>
      <c r="AW135" s="142" t="s">
        <v>123</v>
      </c>
      <c r="AX135" s="142" t="str">
        <f>LEFT(RIGHT(C135,LEN(C135)-MIN(SEARCH({0,1,2,3,4,5,6,7,8,9},C135&amp;"0123456789"))+1),2)</f>
        <v>19</v>
      </c>
      <c r="AY135" s="142">
        <v>2</v>
      </c>
      <c r="AZ135" s="142" t="str">
        <f>LEFT(RIGHT(C135,LEN(C135)-MIN(SEARCH({0,1,2,3,4,5,6,7,8,9},C135&amp;"0123456789"))+1),5)</f>
        <v>19.01</v>
      </c>
      <c r="BA135" s="142" t="str">
        <f t="shared" si="15"/>
        <v>MI</v>
      </c>
    </row>
    <row r="136" spans="2:53" s="142" customFormat="1" ht="21" customHeight="1" x14ac:dyDescent="0.25">
      <c r="B136" s="173" t="str">
        <f t="shared" si="12"/>
        <v>0-304/FH-1.20X775</v>
      </c>
      <c r="C136" s="173" t="s">
        <v>4381</v>
      </c>
      <c r="D136" s="173" t="s">
        <v>16</v>
      </c>
      <c r="E136" s="190" t="s">
        <v>2472</v>
      </c>
      <c r="F136" s="190" t="s">
        <v>2473</v>
      </c>
      <c r="G136" s="173">
        <v>304</v>
      </c>
      <c r="H136" s="173" t="s">
        <v>70</v>
      </c>
      <c r="I136" s="174">
        <v>3.8</v>
      </c>
      <c r="J136" s="174">
        <v>1.2</v>
      </c>
      <c r="K136" s="174"/>
      <c r="L136" s="174"/>
      <c r="M136" s="191">
        <v>775</v>
      </c>
      <c r="N136" s="176">
        <v>10.51</v>
      </c>
      <c r="O136" s="176">
        <v>10.51</v>
      </c>
      <c r="P136" s="176" t="s">
        <v>114</v>
      </c>
      <c r="Q136" s="178" t="s">
        <v>1506</v>
      </c>
      <c r="R136" s="179"/>
      <c r="S136" s="179"/>
      <c r="T136" s="177">
        <v>44944</v>
      </c>
      <c r="U136" s="177"/>
      <c r="V136" s="177">
        <v>44945</v>
      </c>
      <c r="W136" s="177"/>
      <c r="X136" s="177"/>
      <c r="Y136" s="177"/>
      <c r="Z136" s="177"/>
      <c r="AA136" s="177"/>
      <c r="AB136" s="177"/>
      <c r="AC136" s="177"/>
      <c r="AD136" s="180" t="s">
        <v>1605</v>
      </c>
      <c r="AE136" s="173" t="s">
        <v>69</v>
      </c>
      <c r="AF136" s="181" t="s">
        <v>142</v>
      </c>
      <c r="AG136" s="192" t="s">
        <v>1584</v>
      </c>
      <c r="AH136" s="198"/>
      <c r="AI136" s="181">
        <v>44914</v>
      </c>
      <c r="AJ136" s="181"/>
      <c r="AK136" s="181">
        <f t="shared" ca="1" si="16"/>
        <v>44958</v>
      </c>
      <c r="AL136" s="173">
        <f t="shared" ca="1" si="13"/>
        <v>44</v>
      </c>
      <c r="AM136" s="173" t="str">
        <f t="shared" si="14"/>
        <v/>
      </c>
      <c r="AN136" s="181"/>
      <c r="AO136" s="190" t="s">
        <v>2474</v>
      </c>
      <c r="AP136" s="176">
        <v>10.51</v>
      </c>
      <c r="AQ136" s="176">
        <v>10.52</v>
      </c>
      <c r="AR136" s="176">
        <v>10.544999999999998</v>
      </c>
      <c r="AS136" s="176">
        <v>10.549999999999999</v>
      </c>
      <c r="AT136" s="173">
        <f t="shared" ca="1" si="17"/>
        <v>13</v>
      </c>
      <c r="AU136" s="173">
        <v>462</v>
      </c>
      <c r="AW136" s="142" t="s">
        <v>123</v>
      </c>
      <c r="AX136" s="142" t="str">
        <f>LEFT(RIGHT(C136,LEN(C136)-MIN(SEARCH({0,1,2,3,4,5,6,7,8,9},C136&amp;"0123456789"))+1),2)</f>
        <v>19</v>
      </c>
      <c r="AY136" s="142">
        <v>2</v>
      </c>
      <c r="AZ136" s="142" t="str">
        <f>LEFT(RIGHT(C136,LEN(C136)-MIN(SEARCH({0,1,2,3,4,5,6,7,8,9},C136&amp;"0123456789"))+1),5)</f>
        <v>19.01</v>
      </c>
      <c r="BA136" s="142" t="str">
        <f t="shared" si="15"/>
        <v>MI</v>
      </c>
    </row>
    <row r="137" spans="2:53" s="142" customFormat="1" ht="21" customHeight="1" x14ac:dyDescent="0.25">
      <c r="B137" s="173" t="str">
        <f t="shared" si="12"/>
        <v>0-304/FH-0.95X770</v>
      </c>
      <c r="C137" s="173" t="s">
        <v>4381</v>
      </c>
      <c r="D137" s="173" t="s">
        <v>16</v>
      </c>
      <c r="E137" s="190" t="s">
        <v>4149</v>
      </c>
      <c r="F137" s="190" t="s">
        <v>4150</v>
      </c>
      <c r="G137" s="173">
        <v>304</v>
      </c>
      <c r="H137" s="173" t="s">
        <v>70</v>
      </c>
      <c r="I137" s="174">
        <v>2.9</v>
      </c>
      <c r="J137" s="174">
        <v>0.95</v>
      </c>
      <c r="K137" s="174"/>
      <c r="L137" s="174"/>
      <c r="M137" s="191">
        <v>770</v>
      </c>
      <c r="N137" s="176">
        <v>10.58</v>
      </c>
      <c r="O137" s="176">
        <v>10.58</v>
      </c>
      <c r="P137" s="176" t="s">
        <v>114</v>
      </c>
      <c r="Q137" s="178" t="s">
        <v>1344</v>
      </c>
      <c r="R137" s="179"/>
      <c r="S137" s="179"/>
      <c r="T137" s="177">
        <v>44944</v>
      </c>
      <c r="U137" s="177"/>
      <c r="V137" s="177">
        <v>44945</v>
      </c>
      <c r="W137" s="177"/>
      <c r="X137" s="177"/>
      <c r="Y137" s="177"/>
      <c r="Z137" s="177"/>
      <c r="AA137" s="177"/>
      <c r="AB137" s="177"/>
      <c r="AC137" s="177"/>
      <c r="AD137" s="180" t="s">
        <v>1605</v>
      </c>
      <c r="AE137" s="173" t="s">
        <v>69</v>
      </c>
      <c r="AF137" s="181" t="s">
        <v>142</v>
      </c>
      <c r="AG137" s="192" t="s">
        <v>1584</v>
      </c>
      <c r="AH137" s="198"/>
      <c r="AI137" s="181">
        <v>44914</v>
      </c>
      <c r="AJ137" s="181"/>
      <c r="AK137" s="181">
        <f t="shared" ca="1" si="16"/>
        <v>44958</v>
      </c>
      <c r="AL137" s="173">
        <f t="shared" ca="1" si="13"/>
        <v>44</v>
      </c>
      <c r="AM137" s="173" t="str">
        <f t="shared" si="14"/>
        <v/>
      </c>
      <c r="AN137" s="181"/>
      <c r="AO137" s="190" t="s">
        <v>4132</v>
      </c>
      <c r="AP137" s="176">
        <v>10.58</v>
      </c>
      <c r="AQ137" s="176">
        <v>10.59</v>
      </c>
      <c r="AR137" s="176">
        <v>10.614999999999998</v>
      </c>
      <c r="AS137" s="176">
        <v>10.62</v>
      </c>
      <c r="AT137" s="173">
        <f t="shared" ca="1" si="17"/>
        <v>13</v>
      </c>
      <c r="AU137" s="173">
        <v>462</v>
      </c>
      <c r="AW137" s="142" t="s">
        <v>123</v>
      </c>
      <c r="AX137" s="142" t="str">
        <f>LEFT(RIGHT(C137,LEN(C137)-MIN(SEARCH({0,1,2,3,4,5,6,7,8,9},C137&amp;"0123456789"))+1),2)</f>
        <v>19</v>
      </c>
      <c r="AY137" s="142">
        <v>3</v>
      </c>
      <c r="AZ137" s="142" t="str">
        <f>LEFT(RIGHT(C137,LEN(C137)-MIN(SEARCH({0,1,2,3,4,5,6,7,8,9},C137&amp;"0123456789"))+1),5)</f>
        <v>19.01</v>
      </c>
      <c r="BA137" s="142" t="str">
        <f t="shared" si="15"/>
        <v>MI</v>
      </c>
    </row>
    <row r="138" spans="2:53" s="142" customFormat="1" ht="21" customHeight="1" x14ac:dyDescent="0.25">
      <c r="B138" s="173" t="str">
        <f t="shared" si="12"/>
        <v>0-304L/FH-1.50X763</v>
      </c>
      <c r="C138" s="173" t="s">
        <v>4381</v>
      </c>
      <c r="D138" s="173" t="s">
        <v>16</v>
      </c>
      <c r="E138" s="190" t="s">
        <v>2449</v>
      </c>
      <c r="F138" s="190" t="s">
        <v>2450</v>
      </c>
      <c r="G138" s="173" t="s">
        <v>182</v>
      </c>
      <c r="H138" s="173" t="s">
        <v>70</v>
      </c>
      <c r="I138" s="174">
        <v>3.88</v>
      </c>
      <c r="J138" s="174">
        <v>1.5</v>
      </c>
      <c r="K138" s="174"/>
      <c r="L138" s="174"/>
      <c r="M138" s="191">
        <v>763</v>
      </c>
      <c r="N138" s="176">
        <v>12.074999999999999</v>
      </c>
      <c r="O138" s="176">
        <v>12.074999999999999</v>
      </c>
      <c r="P138" s="176" t="s">
        <v>114</v>
      </c>
      <c r="Q138" s="178" t="s">
        <v>2451</v>
      </c>
      <c r="R138" s="179"/>
      <c r="S138" s="179"/>
      <c r="T138" s="177">
        <v>44945</v>
      </c>
      <c r="U138" s="177"/>
      <c r="V138" s="177">
        <v>44945</v>
      </c>
      <c r="W138" s="177"/>
      <c r="X138" s="177"/>
      <c r="Y138" s="177"/>
      <c r="Z138" s="177"/>
      <c r="AA138" s="177"/>
      <c r="AB138" s="177"/>
      <c r="AC138" s="177"/>
      <c r="AD138" s="180" t="s">
        <v>2448</v>
      </c>
      <c r="AE138" s="173" t="s">
        <v>69</v>
      </c>
      <c r="AF138" s="181" t="s">
        <v>142</v>
      </c>
      <c r="AG138" s="192" t="s">
        <v>1584</v>
      </c>
      <c r="AH138" s="198"/>
      <c r="AI138" s="181">
        <v>44914</v>
      </c>
      <c r="AJ138" s="181"/>
      <c r="AK138" s="181">
        <f t="shared" ca="1" si="16"/>
        <v>44958</v>
      </c>
      <c r="AL138" s="173">
        <f t="shared" ca="1" si="13"/>
        <v>44</v>
      </c>
      <c r="AM138" s="173" t="str">
        <f t="shared" si="14"/>
        <v/>
      </c>
      <c r="AN138" s="181"/>
      <c r="AO138" s="190" t="s">
        <v>2452</v>
      </c>
      <c r="AP138" s="176">
        <v>12.074999999999999</v>
      </c>
      <c r="AQ138" s="176">
        <v>12.085000000000001</v>
      </c>
      <c r="AR138" s="176">
        <v>12.11</v>
      </c>
      <c r="AS138" s="176">
        <v>12.115</v>
      </c>
      <c r="AT138" s="173">
        <f t="shared" ca="1" si="17"/>
        <v>13</v>
      </c>
      <c r="AU138" s="173">
        <v>462</v>
      </c>
      <c r="AW138" s="142" t="s">
        <v>123</v>
      </c>
      <c r="AX138" s="142" t="str">
        <f>LEFT(RIGHT(C138,LEN(C138)-MIN(SEARCH({0,1,2,3,4,5,6,7,8,9},C138&amp;"0123456789"))+1),2)</f>
        <v>19</v>
      </c>
      <c r="AY138" s="142">
        <v>3</v>
      </c>
      <c r="AZ138" s="142" t="str">
        <f>LEFT(RIGHT(C138,LEN(C138)-MIN(SEARCH({0,1,2,3,4,5,6,7,8,9},C138&amp;"0123456789"))+1),5)</f>
        <v>19.01</v>
      </c>
      <c r="BA138" s="142" t="str">
        <f t="shared" si="15"/>
        <v>MI</v>
      </c>
    </row>
    <row r="139" spans="2:53" s="142" customFormat="1" ht="21" customHeight="1" x14ac:dyDescent="0.25">
      <c r="B139" s="173" t="str">
        <f t="shared" si="12"/>
        <v>0-304/FH-1.00X770</v>
      </c>
      <c r="C139" s="173" t="s">
        <v>4381</v>
      </c>
      <c r="D139" s="173" t="s">
        <v>16</v>
      </c>
      <c r="E139" s="190" t="s">
        <v>4170</v>
      </c>
      <c r="F139" s="190" t="s">
        <v>4171</v>
      </c>
      <c r="G139" s="173">
        <v>304</v>
      </c>
      <c r="H139" s="173" t="s">
        <v>70</v>
      </c>
      <c r="I139" s="174">
        <v>2.9</v>
      </c>
      <c r="J139" s="174">
        <v>1</v>
      </c>
      <c r="K139" s="174"/>
      <c r="L139" s="174"/>
      <c r="M139" s="191">
        <v>770</v>
      </c>
      <c r="N139" s="176">
        <v>10.220000000000001</v>
      </c>
      <c r="O139" s="176">
        <v>10.220000000000001</v>
      </c>
      <c r="P139" s="176" t="s">
        <v>114</v>
      </c>
      <c r="Q139" s="178" t="s">
        <v>1540</v>
      </c>
      <c r="R139" s="179"/>
      <c r="S139" s="179"/>
      <c r="T139" s="177">
        <v>44945</v>
      </c>
      <c r="U139" s="177"/>
      <c r="V139" s="177">
        <v>44945</v>
      </c>
      <c r="W139" s="177"/>
      <c r="X139" s="177"/>
      <c r="Y139" s="177"/>
      <c r="Z139" s="177"/>
      <c r="AA139" s="177"/>
      <c r="AB139" s="177"/>
      <c r="AC139" s="177"/>
      <c r="AD139" s="180" t="s">
        <v>2448</v>
      </c>
      <c r="AE139" s="173" t="s">
        <v>69</v>
      </c>
      <c r="AF139" s="181" t="s">
        <v>142</v>
      </c>
      <c r="AG139" s="192" t="s">
        <v>1584</v>
      </c>
      <c r="AH139" s="198"/>
      <c r="AI139" s="181">
        <v>44914</v>
      </c>
      <c r="AJ139" s="181"/>
      <c r="AK139" s="181">
        <f t="shared" ca="1" si="16"/>
        <v>44958</v>
      </c>
      <c r="AL139" s="173">
        <f t="shared" ca="1" si="13"/>
        <v>44</v>
      </c>
      <c r="AM139" s="173" t="str">
        <f t="shared" si="14"/>
        <v/>
      </c>
      <c r="AN139" s="181"/>
      <c r="AO139" s="190" t="s">
        <v>2637</v>
      </c>
      <c r="AP139" s="176">
        <v>10.220000000000001</v>
      </c>
      <c r="AQ139" s="176">
        <v>10.23</v>
      </c>
      <c r="AR139" s="176">
        <v>10.254999999999999</v>
      </c>
      <c r="AS139" s="176">
        <v>10.26</v>
      </c>
      <c r="AT139" s="173">
        <f t="shared" ca="1" si="17"/>
        <v>13</v>
      </c>
      <c r="AU139" s="173">
        <v>462</v>
      </c>
      <c r="AW139" s="142" t="s">
        <v>123</v>
      </c>
      <c r="AX139" s="142" t="str">
        <f>LEFT(RIGHT(C139,LEN(C139)-MIN(SEARCH({0,1,2,3,4,5,6,7,8,9},C139&amp;"0123456789"))+1),2)</f>
        <v>19</v>
      </c>
      <c r="AY139" s="142">
        <v>3</v>
      </c>
      <c r="AZ139" s="142" t="str">
        <f>LEFT(RIGHT(C139,LEN(C139)-MIN(SEARCH({0,1,2,3,4,5,6,7,8,9},C139&amp;"0123456789"))+1),5)</f>
        <v>19.01</v>
      </c>
      <c r="BA139" s="142" t="str">
        <f t="shared" si="15"/>
        <v>MI</v>
      </c>
    </row>
    <row r="140" spans="2:53" s="142" customFormat="1" ht="21" customHeight="1" x14ac:dyDescent="0.25">
      <c r="B140" s="173" t="str">
        <f t="shared" si="12"/>
        <v>0-304L/FH-0.80X770</v>
      </c>
      <c r="C140" s="173" t="s">
        <v>4382</v>
      </c>
      <c r="D140" s="173" t="s">
        <v>16</v>
      </c>
      <c r="E140" s="190" t="s">
        <v>4168</v>
      </c>
      <c r="F140" s="190" t="s">
        <v>4169</v>
      </c>
      <c r="G140" s="173" t="s">
        <v>182</v>
      </c>
      <c r="H140" s="173" t="s">
        <v>70</v>
      </c>
      <c r="I140" s="174">
        <v>2.8</v>
      </c>
      <c r="J140" s="174">
        <v>0.8</v>
      </c>
      <c r="K140" s="174"/>
      <c r="L140" s="174"/>
      <c r="M140" s="191">
        <v>770</v>
      </c>
      <c r="N140" s="176">
        <v>10.535</v>
      </c>
      <c r="O140" s="176">
        <v>10.535</v>
      </c>
      <c r="P140" s="176" t="s">
        <v>114</v>
      </c>
      <c r="Q140" s="178" t="s">
        <v>511</v>
      </c>
      <c r="R140" s="179"/>
      <c r="S140" s="179"/>
      <c r="T140" s="177">
        <v>44945</v>
      </c>
      <c r="U140" s="177"/>
      <c r="V140" s="177">
        <v>44946</v>
      </c>
      <c r="W140" s="177"/>
      <c r="X140" s="177"/>
      <c r="Y140" s="177"/>
      <c r="Z140" s="177"/>
      <c r="AA140" s="177"/>
      <c r="AB140" s="177"/>
      <c r="AC140" s="177"/>
      <c r="AD140" s="180" t="s">
        <v>1507</v>
      </c>
      <c r="AE140" s="173" t="s">
        <v>69</v>
      </c>
      <c r="AF140" s="181" t="s">
        <v>142</v>
      </c>
      <c r="AG140" s="192" t="s">
        <v>1584</v>
      </c>
      <c r="AH140" s="198"/>
      <c r="AI140" s="181">
        <v>44914</v>
      </c>
      <c r="AJ140" s="181"/>
      <c r="AK140" s="181">
        <f t="shared" ca="1" si="16"/>
        <v>44958</v>
      </c>
      <c r="AL140" s="173">
        <f t="shared" ca="1" si="13"/>
        <v>44</v>
      </c>
      <c r="AM140" s="173" t="str">
        <f t="shared" si="14"/>
        <v/>
      </c>
      <c r="AN140" s="181"/>
      <c r="AO140" s="190" t="s">
        <v>4001</v>
      </c>
      <c r="AP140" s="176">
        <v>10.535</v>
      </c>
      <c r="AQ140" s="176">
        <v>10.545</v>
      </c>
      <c r="AR140" s="176">
        <v>10.569999999999999</v>
      </c>
      <c r="AS140" s="176">
        <v>10.574999999999999</v>
      </c>
      <c r="AT140" s="173">
        <f t="shared" ca="1" si="17"/>
        <v>12</v>
      </c>
      <c r="AU140" s="173">
        <v>462</v>
      </c>
      <c r="AW140" s="142" t="s">
        <v>123</v>
      </c>
      <c r="AX140" s="142" t="str">
        <f>LEFT(RIGHT(C140,LEN(C140)-MIN(SEARCH({0,1,2,3,4,5,6,7,8,9},C140&amp;"0123456789"))+1),2)</f>
        <v>20</v>
      </c>
      <c r="AY140" s="142">
        <v>1</v>
      </c>
      <c r="AZ140" s="142" t="str">
        <f>LEFT(RIGHT(C140,LEN(C140)-MIN(SEARCH({0,1,2,3,4,5,6,7,8,9},C140&amp;"0123456789"))+1),5)</f>
        <v>20.01</v>
      </c>
      <c r="BA140" s="142" t="str">
        <f t="shared" si="15"/>
        <v>MI</v>
      </c>
    </row>
    <row r="141" spans="2:53" s="142" customFormat="1" ht="21" customHeight="1" x14ac:dyDescent="0.25">
      <c r="B141" s="173" t="str">
        <f t="shared" si="12"/>
        <v>0-304/FH-1.00X767</v>
      </c>
      <c r="C141" s="173" t="s">
        <v>4382</v>
      </c>
      <c r="D141" s="173" t="s">
        <v>16</v>
      </c>
      <c r="E141" s="190" t="s">
        <v>2623</v>
      </c>
      <c r="F141" s="190" t="s">
        <v>2624</v>
      </c>
      <c r="G141" s="173">
        <v>304</v>
      </c>
      <c r="H141" s="173" t="s">
        <v>70</v>
      </c>
      <c r="I141" s="174">
        <v>2.9</v>
      </c>
      <c r="J141" s="174">
        <v>1</v>
      </c>
      <c r="K141" s="174"/>
      <c r="L141" s="174"/>
      <c r="M141" s="191">
        <v>767</v>
      </c>
      <c r="N141" s="176">
        <v>10.36</v>
      </c>
      <c r="O141" s="176">
        <v>10.36</v>
      </c>
      <c r="P141" s="176" t="s">
        <v>114</v>
      </c>
      <c r="Q141" s="178" t="s">
        <v>1540</v>
      </c>
      <c r="R141" s="179"/>
      <c r="S141" s="179"/>
      <c r="T141" s="177">
        <v>44946</v>
      </c>
      <c r="U141" s="177"/>
      <c r="V141" s="177">
        <v>44946</v>
      </c>
      <c r="W141" s="177"/>
      <c r="X141" s="177"/>
      <c r="Y141" s="177"/>
      <c r="Z141" s="177"/>
      <c r="AA141" s="177"/>
      <c r="AB141" s="177"/>
      <c r="AC141" s="177"/>
      <c r="AD141" s="180" t="s">
        <v>2448</v>
      </c>
      <c r="AE141" s="173" t="s">
        <v>69</v>
      </c>
      <c r="AF141" s="181" t="s">
        <v>142</v>
      </c>
      <c r="AG141" s="192" t="s">
        <v>1584</v>
      </c>
      <c r="AH141" s="198"/>
      <c r="AI141" s="181">
        <v>44914</v>
      </c>
      <c r="AJ141" s="181"/>
      <c r="AK141" s="181">
        <f t="shared" ca="1" si="16"/>
        <v>44958</v>
      </c>
      <c r="AL141" s="173">
        <f t="shared" ca="1" si="13"/>
        <v>44</v>
      </c>
      <c r="AM141" s="173" t="str">
        <f t="shared" si="14"/>
        <v/>
      </c>
      <c r="AN141" s="181"/>
      <c r="AO141" s="190" t="s">
        <v>2625</v>
      </c>
      <c r="AP141" s="176">
        <v>10.36</v>
      </c>
      <c r="AQ141" s="176">
        <v>10.37</v>
      </c>
      <c r="AR141" s="176">
        <v>10.394999999999998</v>
      </c>
      <c r="AS141" s="176">
        <v>10.399999999999999</v>
      </c>
      <c r="AT141" s="173">
        <f t="shared" ca="1" si="17"/>
        <v>12</v>
      </c>
      <c r="AU141" s="173">
        <v>462</v>
      </c>
      <c r="AW141" s="142" t="s">
        <v>123</v>
      </c>
      <c r="AX141" s="142" t="str">
        <f>LEFT(RIGHT(C141,LEN(C141)-MIN(SEARCH({0,1,2,3,4,5,6,7,8,9},C141&amp;"0123456789"))+1),2)</f>
        <v>20</v>
      </c>
      <c r="AY141" s="142">
        <v>1</v>
      </c>
      <c r="AZ141" s="142" t="str">
        <f>LEFT(RIGHT(C141,LEN(C141)-MIN(SEARCH({0,1,2,3,4,5,6,7,8,9},C141&amp;"0123456789"))+1),5)</f>
        <v>20.01</v>
      </c>
      <c r="BA141" s="142" t="str">
        <f t="shared" si="15"/>
        <v>MI</v>
      </c>
    </row>
    <row r="142" spans="2:53" s="142" customFormat="1" ht="21" customHeight="1" x14ac:dyDescent="0.25">
      <c r="B142" s="173" t="str">
        <f t="shared" si="12"/>
        <v>0-304L/FH-1.20X769</v>
      </c>
      <c r="C142" s="173" t="s">
        <v>4382</v>
      </c>
      <c r="D142" s="173" t="s">
        <v>16</v>
      </c>
      <c r="E142" s="190" t="s">
        <v>1534</v>
      </c>
      <c r="F142" s="190" t="s">
        <v>4165</v>
      </c>
      <c r="G142" s="173" t="s">
        <v>182</v>
      </c>
      <c r="H142" s="173" t="s">
        <v>70</v>
      </c>
      <c r="I142" s="174">
        <v>3.79</v>
      </c>
      <c r="J142" s="174">
        <v>1.2</v>
      </c>
      <c r="K142" s="174"/>
      <c r="L142" s="174"/>
      <c r="M142" s="191">
        <v>769</v>
      </c>
      <c r="N142" s="176">
        <v>12.285</v>
      </c>
      <c r="O142" s="176">
        <v>12.285</v>
      </c>
      <c r="P142" s="176" t="s">
        <v>114</v>
      </c>
      <c r="Q142" s="178" t="s">
        <v>1540</v>
      </c>
      <c r="R142" s="179"/>
      <c r="S142" s="179"/>
      <c r="T142" s="177">
        <v>44945</v>
      </c>
      <c r="U142" s="177"/>
      <c r="V142" s="177">
        <v>44946</v>
      </c>
      <c r="W142" s="177"/>
      <c r="X142" s="177"/>
      <c r="Y142" s="177"/>
      <c r="Z142" s="177"/>
      <c r="AA142" s="177">
        <v>44940</v>
      </c>
      <c r="AB142" s="177"/>
      <c r="AC142" s="177"/>
      <c r="AD142" s="180" t="s">
        <v>1507</v>
      </c>
      <c r="AE142" s="173" t="s">
        <v>69</v>
      </c>
      <c r="AF142" s="181" t="s">
        <v>142</v>
      </c>
      <c r="AG142" s="192" t="s">
        <v>1508</v>
      </c>
      <c r="AH142" s="198"/>
      <c r="AI142" s="181">
        <v>44849</v>
      </c>
      <c r="AJ142" s="181"/>
      <c r="AK142" s="181">
        <f t="shared" ca="1" si="16"/>
        <v>44958</v>
      </c>
      <c r="AL142" s="173">
        <f t="shared" ca="1" si="13"/>
        <v>109</v>
      </c>
      <c r="AM142" s="173" t="str">
        <f t="shared" si="14"/>
        <v/>
      </c>
      <c r="AN142" s="181"/>
      <c r="AO142" s="190" t="s">
        <v>1537</v>
      </c>
      <c r="AP142" s="176">
        <v>24.545000000000002</v>
      </c>
      <c r="AQ142" s="176">
        <v>24.605</v>
      </c>
      <c r="AR142" s="176">
        <v>24.630000000000003</v>
      </c>
      <c r="AS142" s="176">
        <v>24.635000000000002</v>
      </c>
      <c r="AT142" s="173">
        <f t="shared" ca="1" si="17"/>
        <v>12</v>
      </c>
      <c r="AU142" s="173">
        <v>456</v>
      </c>
      <c r="AW142" s="142" t="s">
        <v>123</v>
      </c>
      <c r="AX142" s="142" t="str">
        <f>LEFT(RIGHT(C142,LEN(C142)-MIN(SEARCH({0,1,2,3,4,5,6,7,8,9},C142&amp;"0123456789"))+1),2)</f>
        <v>20</v>
      </c>
      <c r="AY142" s="142">
        <v>1</v>
      </c>
      <c r="AZ142" s="142" t="str">
        <f>LEFT(RIGHT(C142,LEN(C142)-MIN(SEARCH({0,1,2,3,4,5,6,7,8,9},C142&amp;"0123456789"))+1),5)</f>
        <v>20.01</v>
      </c>
      <c r="BA142" s="142" t="str">
        <f t="shared" si="15"/>
        <v>MI</v>
      </c>
    </row>
    <row r="143" spans="2:53" s="142" customFormat="1" ht="21" customHeight="1" x14ac:dyDescent="0.25">
      <c r="B143" s="173" t="str">
        <f t="shared" si="12"/>
        <v>0-304/FH-1.00X770</v>
      </c>
      <c r="C143" s="173" t="s">
        <v>4382</v>
      </c>
      <c r="D143" s="173" t="s">
        <v>16</v>
      </c>
      <c r="E143" s="190" t="s">
        <v>2650</v>
      </c>
      <c r="F143" s="190" t="s">
        <v>2651</v>
      </c>
      <c r="G143" s="173">
        <v>304</v>
      </c>
      <c r="H143" s="173" t="s">
        <v>70</v>
      </c>
      <c r="I143" s="174">
        <v>2.9</v>
      </c>
      <c r="J143" s="174">
        <v>1</v>
      </c>
      <c r="K143" s="174"/>
      <c r="L143" s="174"/>
      <c r="M143" s="191">
        <v>770</v>
      </c>
      <c r="N143" s="176">
        <v>10.31</v>
      </c>
      <c r="O143" s="176">
        <v>10.31</v>
      </c>
      <c r="P143" s="176" t="s">
        <v>114</v>
      </c>
      <c r="Q143" s="178" t="s">
        <v>511</v>
      </c>
      <c r="R143" s="179"/>
      <c r="S143" s="179"/>
      <c r="T143" s="177">
        <v>44945</v>
      </c>
      <c r="U143" s="177"/>
      <c r="V143" s="177">
        <v>44946</v>
      </c>
      <c r="W143" s="177"/>
      <c r="X143" s="177"/>
      <c r="Y143" s="177"/>
      <c r="Z143" s="177"/>
      <c r="AA143" s="177"/>
      <c r="AB143" s="177"/>
      <c r="AC143" s="177"/>
      <c r="AD143" s="180" t="s">
        <v>1605</v>
      </c>
      <c r="AE143" s="173" t="s">
        <v>69</v>
      </c>
      <c r="AF143" s="181" t="s">
        <v>142</v>
      </c>
      <c r="AG143" s="192" t="s">
        <v>1584</v>
      </c>
      <c r="AH143" s="198"/>
      <c r="AI143" s="181">
        <v>44914</v>
      </c>
      <c r="AJ143" s="181"/>
      <c r="AK143" s="181">
        <f t="shared" ca="1" si="16"/>
        <v>44958</v>
      </c>
      <c r="AL143" s="173">
        <f t="shared" ca="1" si="13"/>
        <v>44</v>
      </c>
      <c r="AM143" s="173" t="str">
        <f t="shared" si="14"/>
        <v/>
      </c>
      <c r="AN143" s="181"/>
      <c r="AO143" s="190" t="s">
        <v>2652</v>
      </c>
      <c r="AP143" s="176">
        <v>10.31</v>
      </c>
      <c r="AQ143" s="176">
        <v>10.32</v>
      </c>
      <c r="AR143" s="176">
        <v>10.344999999999999</v>
      </c>
      <c r="AS143" s="176">
        <v>10.35</v>
      </c>
      <c r="AT143" s="173">
        <f t="shared" ca="1" si="17"/>
        <v>12</v>
      </c>
      <c r="AU143" s="173">
        <v>462</v>
      </c>
      <c r="AW143" s="142" t="s">
        <v>123</v>
      </c>
      <c r="AX143" s="142" t="str">
        <f>LEFT(RIGHT(C143,LEN(C143)-MIN(SEARCH({0,1,2,3,4,5,6,7,8,9},C143&amp;"0123456789"))+1),2)</f>
        <v>20</v>
      </c>
      <c r="AY143" s="142">
        <v>2</v>
      </c>
      <c r="AZ143" s="142" t="str">
        <f>LEFT(RIGHT(C143,LEN(C143)-MIN(SEARCH({0,1,2,3,4,5,6,7,8,9},C143&amp;"0123456789"))+1),5)</f>
        <v>20.01</v>
      </c>
      <c r="BA143" s="142" t="str">
        <f t="shared" si="15"/>
        <v>MI</v>
      </c>
    </row>
    <row r="144" spans="2:53" s="142" customFormat="1" ht="21" customHeight="1" x14ac:dyDescent="0.25">
      <c r="B144" s="173" t="str">
        <f t="shared" si="12"/>
        <v>0-304L/FH-1.20X768</v>
      </c>
      <c r="C144" s="173" t="s">
        <v>4382</v>
      </c>
      <c r="D144" s="173" t="s">
        <v>16</v>
      </c>
      <c r="E144" s="190" t="s">
        <v>1541</v>
      </c>
      <c r="F144" s="190" t="s">
        <v>4179</v>
      </c>
      <c r="G144" s="173" t="s">
        <v>182</v>
      </c>
      <c r="H144" s="173" t="s">
        <v>70</v>
      </c>
      <c r="I144" s="174">
        <v>3.79</v>
      </c>
      <c r="J144" s="174">
        <v>1.2</v>
      </c>
      <c r="K144" s="174"/>
      <c r="L144" s="174"/>
      <c r="M144" s="191">
        <v>768</v>
      </c>
      <c r="N144" s="176">
        <v>12.285</v>
      </c>
      <c r="O144" s="176">
        <v>12.285</v>
      </c>
      <c r="P144" s="176" t="s">
        <v>114</v>
      </c>
      <c r="Q144" s="178" t="s">
        <v>1540</v>
      </c>
      <c r="R144" s="179"/>
      <c r="S144" s="179"/>
      <c r="T144" s="177">
        <v>44946</v>
      </c>
      <c r="U144" s="177"/>
      <c r="V144" s="177">
        <v>44946</v>
      </c>
      <c r="W144" s="177"/>
      <c r="X144" s="177"/>
      <c r="Y144" s="177"/>
      <c r="Z144" s="177"/>
      <c r="AA144" s="177">
        <v>44940</v>
      </c>
      <c r="AB144" s="177"/>
      <c r="AC144" s="177"/>
      <c r="AD144" s="180" t="s">
        <v>1507</v>
      </c>
      <c r="AE144" s="173" t="s">
        <v>69</v>
      </c>
      <c r="AF144" s="181" t="s">
        <v>142</v>
      </c>
      <c r="AG144" s="192" t="s">
        <v>1508</v>
      </c>
      <c r="AH144" s="198"/>
      <c r="AI144" s="181">
        <v>44849</v>
      </c>
      <c r="AJ144" s="181"/>
      <c r="AK144" s="181">
        <f t="shared" ca="1" si="16"/>
        <v>44958</v>
      </c>
      <c r="AL144" s="173">
        <f t="shared" ca="1" si="13"/>
        <v>109</v>
      </c>
      <c r="AM144" s="173" t="str">
        <f t="shared" si="14"/>
        <v/>
      </c>
      <c r="AN144" s="181"/>
      <c r="AO144" s="190" t="s">
        <v>1543</v>
      </c>
      <c r="AP144" s="176">
        <v>24.51</v>
      </c>
      <c r="AQ144" s="176">
        <v>24.57</v>
      </c>
      <c r="AR144" s="176">
        <v>24.595000000000002</v>
      </c>
      <c r="AS144" s="176">
        <v>24.6</v>
      </c>
      <c r="AT144" s="173">
        <f t="shared" ca="1" si="17"/>
        <v>12</v>
      </c>
      <c r="AU144" s="173">
        <v>456</v>
      </c>
      <c r="AW144" s="142" t="s">
        <v>123</v>
      </c>
      <c r="AX144" s="142" t="str">
        <f>LEFT(RIGHT(C144,LEN(C144)-MIN(SEARCH({0,1,2,3,4,5,6,7,8,9},C144&amp;"0123456789"))+1),2)</f>
        <v>20</v>
      </c>
      <c r="AY144" s="142">
        <v>2</v>
      </c>
      <c r="AZ144" s="142" t="str">
        <f>LEFT(RIGHT(C144,LEN(C144)-MIN(SEARCH({0,1,2,3,4,5,6,7,8,9},C144&amp;"0123456789"))+1),5)</f>
        <v>20.01</v>
      </c>
      <c r="BA144" s="142" t="str">
        <f t="shared" si="15"/>
        <v>MI</v>
      </c>
    </row>
    <row r="145" spans="2:53" s="142" customFormat="1" ht="21" customHeight="1" x14ac:dyDescent="0.25">
      <c r="B145" s="173" t="str">
        <f t="shared" si="12"/>
        <v>0-304/FH-1.00X768</v>
      </c>
      <c r="C145" s="173" t="s">
        <v>4382</v>
      </c>
      <c r="D145" s="173" t="s">
        <v>16</v>
      </c>
      <c r="E145" s="190" t="s">
        <v>4177</v>
      </c>
      <c r="F145" s="190" t="s">
        <v>4178</v>
      </c>
      <c r="G145" s="173">
        <v>304</v>
      </c>
      <c r="H145" s="173" t="s">
        <v>70</v>
      </c>
      <c r="I145" s="174">
        <v>2.9</v>
      </c>
      <c r="J145" s="174">
        <v>1</v>
      </c>
      <c r="K145" s="174"/>
      <c r="L145" s="174"/>
      <c r="M145" s="191">
        <v>768</v>
      </c>
      <c r="N145" s="176">
        <v>10.56</v>
      </c>
      <c r="O145" s="176">
        <v>10.56</v>
      </c>
      <c r="P145" s="176" t="s">
        <v>114</v>
      </c>
      <c r="Q145" s="178" t="s">
        <v>1540</v>
      </c>
      <c r="R145" s="179"/>
      <c r="S145" s="179"/>
      <c r="T145" s="177">
        <v>44946</v>
      </c>
      <c r="U145" s="177"/>
      <c r="V145" s="177">
        <v>44946</v>
      </c>
      <c r="W145" s="177"/>
      <c r="X145" s="177"/>
      <c r="Y145" s="177"/>
      <c r="Z145" s="177"/>
      <c r="AA145" s="177"/>
      <c r="AB145" s="177"/>
      <c r="AC145" s="177"/>
      <c r="AD145" s="180" t="s">
        <v>2448</v>
      </c>
      <c r="AE145" s="173" t="s">
        <v>69</v>
      </c>
      <c r="AF145" s="181" t="s">
        <v>142</v>
      </c>
      <c r="AG145" s="192" t="s">
        <v>1584</v>
      </c>
      <c r="AH145" s="198"/>
      <c r="AI145" s="181">
        <v>44914</v>
      </c>
      <c r="AJ145" s="181"/>
      <c r="AK145" s="181">
        <f t="shared" ca="1" si="16"/>
        <v>44958</v>
      </c>
      <c r="AL145" s="173">
        <f t="shared" ca="1" si="13"/>
        <v>44</v>
      </c>
      <c r="AM145" s="173" t="str">
        <f t="shared" si="14"/>
        <v/>
      </c>
      <c r="AN145" s="181"/>
      <c r="AO145" s="190" t="s">
        <v>4140</v>
      </c>
      <c r="AP145" s="176">
        <v>10.56</v>
      </c>
      <c r="AQ145" s="176">
        <v>10.57</v>
      </c>
      <c r="AR145" s="176">
        <v>10.594999999999999</v>
      </c>
      <c r="AS145" s="176">
        <v>10.6</v>
      </c>
      <c r="AT145" s="173">
        <f t="shared" ca="1" si="17"/>
        <v>12</v>
      </c>
      <c r="AU145" s="173">
        <v>462</v>
      </c>
      <c r="AW145" s="142" t="s">
        <v>123</v>
      </c>
      <c r="AX145" s="142" t="str">
        <f>LEFT(RIGHT(C145,LEN(C145)-MIN(SEARCH({0,1,2,3,4,5,6,7,8,9},C145&amp;"0123456789"))+1),2)</f>
        <v>20</v>
      </c>
      <c r="AY145" s="142">
        <v>3</v>
      </c>
      <c r="AZ145" s="142" t="str">
        <f>LEFT(RIGHT(C145,LEN(C145)-MIN(SEARCH({0,1,2,3,4,5,6,7,8,9},C145&amp;"0123456789"))+1),5)</f>
        <v>20.01</v>
      </c>
      <c r="BA145" s="142" t="str">
        <f t="shared" si="15"/>
        <v>MI</v>
      </c>
    </row>
    <row r="146" spans="2:53" s="142" customFormat="1" ht="21" customHeight="1" x14ac:dyDescent="0.25">
      <c r="B146" s="173" t="str">
        <f t="shared" si="12"/>
        <v>0-304/FH-1.00X768</v>
      </c>
      <c r="C146" s="173" t="s">
        <v>4383</v>
      </c>
      <c r="D146" s="173" t="s">
        <v>16</v>
      </c>
      <c r="E146" s="190" t="s">
        <v>2653</v>
      </c>
      <c r="F146" s="190" t="s">
        <v>2654</v>
      </c>
      <c r="G146" s="173">
        <v>304</v>
      </c>
      <c r="H146" s="173" t="s">
        <v>70</v>
      </c>
      <c r="I146" s="174">
        <v>2.9</v>
      </c>
      <c r="J146" s="174">
        <v>1</v>
      </c>
      <c r="K146" s="174"/>
      <c r="L146" s="174"/>
      <c r="M146" s="191">
        <v>768</v>
      </c>
      <c r="N146" s="176">
        <v>10.324999999999999</v>
      </c>
      <c r="O146" s="176">
        <v>10.324999999999999</v>
      </c>
      <c r="P146" s="176" t="s">
        <v>114</v>
      </c>
      <c r="Q146" s="178" t="s">
        <v>511</v>
      </c>
      <c r="R146" s="179"/>
      <c r="S146" s="179"/>
      <c r="T146" s="177">
        <v>44946</v>
      </c>
      <c r="U146" s="177"/>
      <c r="V146" s="177">
        <v>44947</v>
      </c>
      <c r="W146" s="177"/>
      <c r="X146" s="177"/>
      <c r="Y146" s="177"/>
      <c r="Z146" s="177"/>
      <c r="AA146" s="177"/>
      <c r="AB146" s="177"/>
      <c r="AC146" s="177"/>
      <c r="AD146" s="180" t="s">
        <v>1605</v>
      </c>
      <c r="AE146" s="173" t="s">
        <v>69</v>
      </c>
      <c r="AF146" s="181" t="s">
        <v>142</v>
      </c>
      <c r="AG146" s="192" t="s">
        <v>1584</v>
      </c>
      <c r="AH146" s="198"/>
      <c r="AI146" s="181">
        <v>44914</v>
      </c>
      <c r="AJ146" s="181"/>
      <c r="AK146" s="181">
        <f t="shared" ca="1" si="16"/>
        <v>44958</v>
      </c>
      <c r="AL146" s="173">
        <f t="shared" ca="1" si="13"/>
        <v>44</v>
      </c>
      <c r="AM146" s="173" t="str">
        <f t="shared" si="14"/>
        <v/>
      </c>
      <c r="AN146" s="181"/>
      <c r="AO146" s="190" t="s">
        <v>2652</v>
      </c>
      <c r="AP146" s="176">
        <v>10.324999999999999</v>
      </c>
      <c r="AQ146" s="176">
        <v>10.335000000000001</v>
      </c>
      <c r="AR146" s="176">
        <v>10.36</v>
      </c>
      <c r="AS146" s="176">
        <v>10.365</v>
      </c>
      <c r="AT146" s="173">
        <f t="shared" ca="1" si="17"/>
        <v>11</v>
      </c>
      <c r="AU146" s="173">
        <v>462</v>
      </c>
      <c r="AW146" s="142" t="s">
        <v>123</v>
      </c>
      <c r="AX146" s="142" t="str">
        <f>LEFT(RIGHT(C146,LEN(C146)-MIN(SEARCH({0,1,2,3,4,5,6,7,8,9},C146&amp;"0123456789"))+1),2)</f>
        <v>21</v>
      </c>
      <c r="AY146" s="142">
        <v>1</v>
      </c>
      <c r="AZ146" s="142" t="str">
        <f>LEFT(RIGHT(C146,LEN(C146)-MIN(SEARCH({0,1,2,3,4,5,6,7,8,9},C146&amp;"0123456789"))+1),5)</f>
        <v>21.01</v>
      </c>
      <c r="BA146" s="142" t="str">
        <f t="shared" si="15"/>
        <v>MI</v>
      </c>
    </row>
    <row r="147" spans="2:53" s="142" customFormat="1" ht="21" customHeight="1" x14ac:dyDescent="0.25">
      <c r="B147" s="173" t="str">
        <f t="shared" si="12"/>
        <v>0-304L/FH-1.00X779</v>
      </c>
      <c r="C147" s="173" t="s">
        <v>4383</v>
      </c>
      <c r="D147" s="173" t="s">
        <v>16</v>
      </c>
      <c r="E147" s="190" t="s">
        <v>4180</v>
      </c>
      <c r="F147" s="190" t="s">
        <v>4181</v>
      </c>
      <c r="G147" s="173" t="s">
        <v>182</v>
      </c>
      <c r="H147" s="173" t="s">
        <v>70</v>
      </c>
      <c r="I147" s="174">
        <v>2.82</v>
      </c>
      <c r="J147" s="174">
        <v>1</v>
      </c>
      <c r="K147" s="174"/>
      <c r="L147" s="174"/>
      <c r="M147" s="191">
        <v>779</v>
      </c>
      <c r="N147" s="176">
        <v>9</v>
      </c>
      <c r="O147" s="176">
        <v>9</v>
      </c>
      <c r="P147" s="176" t="s">
        <v>114</v>
      </c>
      <c r="Q147" s="178" t="s">
        <v>4384</v>
      </c>
      <c r="R147" s="179"/>
      <c r="S147" s="179"/>
      <c r="T147" s="177">
        <v>44946</v>
      </c>
      <c r="U147" s="177"/>
      <c r="V147" s="177">
        <v>44947</v>
      </c>
      <c r="W147" s="177"/>
      <c r="X147" s="177"/>
      <c r="Y147" s="177"/>
      <c r="Z147" s="177"/>
      <c r="AA147" s="177"/>
      <c r="AB147" s="177"/>
      <c r="AC147" s="177"/>
      <c r="AD147" s="180" t="s">
        <v>1605</v>
      </c>
      <c r="AE147" s="173" t="s">
        <v>69</v>
      </c>
      <c r="AF147" s="181" t="s">
        <v>142</v>
      </c>
      <c r="AG147" s="192" t="s">
        <v>1584</v>
      </c>
      <c r="AH147" s="198"/>
      <c r="AI147" s="181">
        <v>44914</v>
      </c>
      <c r="AJ147" s="181"/>
      <c r="AK147" s="181">
        <f t="shared" ca="1" si="16"/>
        <v>44958</v>
      </c>
      <c r="AL147" s="173">
        <f t="shared" ca="1" si="13"/>
        <v>44</v>
      </c>
      <c r="AM147" s="173" t="str">
        <f t="shared" si="14"/>
        <v/>
      </c>
      <c r="AN147" s="181"/>
      <c r="AO147" s="190" t="s">
        <v>4107</v>
      </c>
      <c r="AP147" s="176">
        <v>9</v>
      </c>
      <c r="AQ147" s="176">
        <v>9.01</v>
      </c>
      <c r="AR147" s="176">
        <v>9.0349999999999984</v>
      </c>
      <c r="AS147" s="176">
        <v>9.0399999999999991</v>
      </c>
      <c r="AT147" s="173">
        <f t="shared" ca="1" si="17"/>
        <v>11</v>
      </c>
      <c r="AU147" s="173">
        <v>462</v>
      </c>
      <c r="AW147" s="142" t="s">
        <v>123</v>
      </c>
      <c r="AX147" s="142" t="str">
        <f>LEFT(RIGHT(C147,LEN(C147)-MIN(SEARCH({0,1,2,3,4,5,6,7,8,9},C147&amp;"0123456789"))+1),2)</f>
        <v>21</v>
      </c>
      <c r="AY147" s="142">
        <v>2</v>
      </c>
      <c r="AZ147" s="142" t="str">
        <f>LEFT(RIGHT(C147,LEN(C147)-MIN(SEARCH({0,1,2,3,4,5,6,7,8,9},C147&amp;"0123456789"))+1),5)</f>
        <v>21.01</v>
      </c>
      <c r="BA147" s="142" t="str">
        <f t="shared" si="15"/>
        <v>MI</v>
      </c>
    </row>
    <row r="148" spans="2:53" s="142" customFormat="1" ht="21" customHeight="1" x14ac:dyDescent="0.25">
      <c r="B148" s="173" t="str">
        <f t="shared" si="12"/>
        <v>0-304/FH-2.00X767</v>
      </c>
      <c r="C148" s="173" t="s">
        <v>4383</v>
      </c>
      <c r="D148" s="173" t="s">
        <v>16</v>
      </c>
      <c r="E148" s="190" t="s">
        <v>4191</v>
      </c>
      <c r="F148" s="190" t="s">
        <v>4192</v>
      </c>
      <c r="G148" s="173">
        <v>304</v>
      </c>
      <c r="H148" s="173" t="s">
        <v>70</v>
      </c>
      <c r="I148" s="174">
        <v>3.98</v>
      </c>
      <c r="J148" s="174">
        <v>2</v>
      </c>
      <c r="K148" s="174"/>
      <c r="L148" s="174"/>
      <c r="M148" s="191">
        <v>767</v>
      </c>
      <c r="N148" s="176">
        <v>10.525</v>
      </c>
      <c r="O148" s="176">
        <v>10.525</v>
      </c>
      <c r="P148" s="176" t="s">
        <v>114</v>
      </c>
      <c r="Q148" s="178" t="s">
        <v>1540</v>
      </c>
      <c r="R148" s="179"/>
      <c r="S148" s="179"/>
      <c r="T148" s="177">
        <v>44947</v>
      </c>
      <c r="U148" s="177"/>
      <c r="V148" s="177">
        <v>44947</v>
      </c>
      <c r="W148" s="177"/>
      <c r="X148" s="177"/>
      <c r="Y148" s="177"/>
      <c r="Z148" s="177"/>
      <c r="AA148" s="177"/>
      <c r="AB148" s="177"/>
      <c r="AC148" s="177"/>
      <c r="AD148" s="180" t="s">
        <v>1507</v>
      </c>
      <c r="AE148" s="173" t="s">
        <v>69</v>
      </c>
      <c r="AF148" s="181" t="s">
        <v>142</v>
      </c>
      <c r="AG148" s="192" t="s">
        <v>1584</v>
      </c>
      <c r="AH148" s="198"/>
      <c r="AI148" s="181">
        <v>44914</v>
      </c>
      <c r="AJ148" s="181"/>
      <c r="AK148" s="181">
        <f t="shared" ca="1" si="16"/>
        <v>44958</v>
      </c>
      <c r="AL148" s="173">
        <f t="shared" ca="1" si="13"/>
        <v>44</v>
      </c>
      <c r="AM148" s="173" t="str">
        <f t="shared" si="14"/>
        <v/>
      </c>
      <c r="AN148" s="181"/>
      <c r="AO148" s="190" t="s">
        <v>2631</v>
      </c>
      <c r="AP148" s="176">
        <v>10.525</v>
      </c>
      <c r="AQ148" s="176">
        <v>10.535</v>
      </c>
      <c r="AR148" s="176">
        <v>10.559999999999999</v>
      </c>
      <c r="AS148" s="176">
        <v>10.565</v>
      </c>
      <c r="AT148" s="173">
        <f t="shared" ca="1" si="17"/>
        <v>11</v>
      </c>
      <c r="AU148" s="173">
        <v>462</v>
      </c>
      <c r="AW148" s="142" t="s">
        <v>123</v>
      </c>
      <c r="AX148" s="142" t="str">
        <f>LEFT(RIGHT(C148,LEN(C148)-MIN(SEARCH({0,1,2,3,4,5,6,7,8,9},C148&amp;"0123456789"))+1),2)</f>
        <v>21</v>
      </c>
      <c r="AY148" s="142">
        <v>2</v>
      </c>
      <c r="AZ148" s="142" t="str">
        <f>LEFT(RIGHT(C148,LEN(C148)-MIN(SEARCH({0,1,2,3,4,5,6,7,8,9},C148&amp;"0123456789"))+1),5)</f>
        <v>21.01</v>
      </c>
      <c r="BA148" s="142" t="str">
        <f t="shared" si="15"/>
        <v>MI</v>
      </c>
    </row>
    <row r="149" spans="2:53" s="142" customFormat="1" ht="21" customHeight="1" x14ac:dyDescent="0.25">
      <c r="B149" s="173" t="str">
        <f t="shared" si="12"/>
        <v>0-304L/FH-1.15X773</v>
      </c>
      <c r="C149" s="173" t="s">
        <v>4383</v>
      </c>
      <c r="D149" s="173" t="s">
        <v>16</v>
      </c>
      <c r="E149" s="190" t="s">
        <v>2507</v>
      </c>
      <c r="F149" s="190" t="s">
        <v>2508</v>
      </c>
      <c r="G149" s="173" t="s">
        <v>182</v>
      </c>
      <c r="H149" s="173" t="s">
        <v>70</v>
      </c>
      <c r="I149" s="174">
        <v>3.79</v>
      </c>
      <c r="J149" s="174">
        <v>1.1499999999999999</v>
      </c>
      <c r="K149" s="174"/>
      <c r="L149" s="174"/>
      <c r="M149" s="191">
        <v>773</v>
      </c>
      <c r="N149" s="176">
        <v>10.555</v>
      </c>
      <c r="O149" s="176">
        <v>10.555</v>
      </c>
      <c r="P149" s="176" t="s">
        <v>114</v>
      </c>
      <c r="Q149" s="178" t="s">
        <v>1540</v>
      </c>
      <c r="R149" s="179"/>
      <c r="S149" s="179"/>
      <c r="T149" s="177">
        <v>44946</v>
      </c>
      <c r="U149" s="177"/>
      <c r="V149" s="177">
        <v>44947</v>
      </c>
      <c r="W149" s="177"/>
      <c r="X149" s="177"/>
      <c r="Y149" s="177"/>
      <c r="Z149" s="177"/>
      <c r="AA149" s="177"/>
      <c r="AB149" s="177"/>
      <c r="AC149" s="177"/>
      <c r="AD149" s="180" t="s">
        <v>1605</v>
      </c>
      <c r="AE149" s="173" t="s">
        <v>69</v>
      </c>
      <c r="AF149" s="181" t="s">
        <v>142</v>
      </c>
      <c r="AG149" s="192" t="s">
        <v>1584</v>
      </c>
      <c r="AH149" s="198"/>
      <c r="AI149" s="181">
        <v>44914</v>
      </c>
      <c r="AJ149" s="181"/>
      <c r="AK149" s="181">
        <f t="shared" ca="1" si="16"/>
        <v>44958</v>
      </c>
      <c r="AL149" s="173">
        <f t="shared" ca="1" si="13"/>
        <v>44</v>
      </c>
      <c r="AM149" s="173" t="str">
        <f t="shared" si="14"/>
        <v/>
      </c>
      <c r="AN149" s="181"/>
      <c r="AO149" s="190" t="s">
        <v>2506</v>
      </c>
      <c r="AP149" s="176">
        <v>10.555</v>
      </c>
      <c r="AQ149" s="176">
        <v>10.565</v>
      </c>
      <c r="AR149" s="176">
        <v>10.589999999999998</v>
      </c>
      <c r="AS149" s="176">
        <v>10.594999999999999</v>
      </c>
      <c r="AT149" s="173">
        <f t="shared" ca="1" si="17"/>
        <v>11</v>
      </c>
      <c r="AU149" s="173">
        <v>462</v>
      </c>
      <c r="AW149" s="142" t="s">
        <v>123</v>
      </c>
      <c r="AX149" s="142" t="str">
        <f>LEFT(RIGHT(C149,LEN(C149)-MIN(SEARCH({0,1,2,3,4,5,6,7,8,9},C149&amp;"0123456789"))+1),2)</f>
        <v>21</v>
      </c>
      <c r="AY149" s="142">
        <v>3</v>
      </c>
      <c r="AZ149" s="142" t="str">
        <f>LEFT(RIGHT(C149,LEN(C149)-MIN(SEARCH({0,1,2,3,4,5,6,7,8,9},C149&amp;"0123456789"))+1),5)</f>
        <v>21.01</v>
      </c>
      <c r="BA149" s="142" t="str">
        <f t="shared" si="15"/>
        <v>MI</v>
      </c>
    </row>
    <row r="150" spans="2:53" s="142" customFormat="1" ht="21" customHeight="1" x14ac:dyDescent="0.25">
      <c r="B150" s="173" t="str">
        <f t="shared" si="12"/>
        <v>0-304L/FH-1.20X770</v>
      </c>
      <c r="C150" s="173" t="s">
        <v>4383</v>
      </c>
      <c r="D150" s="173" t="s">
        <v>16</v>
      </c>
      <c r="E150" s="190" t="s">
        <v>2620</v>
      </c>
      <c r="F150" s="190" t="s">
        <v>2621</v>
      </c>
      <c r="G150" s="173" t="s">
        <v>182</v>
      </c>
      <c r="H150" s="173" t="s">
        <v>70</v>
      </c>
      <c r="I150" s="174">
        <v>3.88</v>
      </c>
      <c r="J150" s="174">
        <v>1.2</v>
      </c>
      <c r="K150" s="174"/>
      <c r="L150" s="174"/>
      <c r="M150" s="191">
        <v>770</v>
      </c>
      <c r="N150" s="176">
        <v>12.015000000000001</v>
      </c>
      <c r="O150" s="176">
        <v>12.015000000000001</v>
      </c>
      <c r="P150" s="176" t="s">
        <v>114</v>
      </c>
      <c r="Q150" s="178" t="s">
        <v>1540</v>
      </c>
      <c r="R150" s="179"/>
      <c r="S150" s="179"/>
      <c r="T150" s="177">
        <v>44947</v>
      </c>
      <c r="U150" s="177"/>
      <c r="V150" s="177">
        <v>44947</v>
      </c>
      <c r="W150" s="177"/>
      <c r="X150" s="177"/>
      <c r="Y150" s="177"/>
      <c r="Z150" s="177"/>
      <c r="AA150" s="177"/>
      <c r="AB150" s="177"/>
      <c r="AC150" s="177"/>
      <c r="AD150" s="180" t="s">
        <v>1605</v>
      </c>
      <c r="AE150" s="173" t="s">
        <v>69</v>
      </c>
      <c r="AF150" s="181" t="s">
        <v>142</v>
      </c>
      <c r="AG150" s="192" t="s">
        <v>1584</v>
      </c>
      <c r="AH150" s="198"/>
      <c r="AI150" s="181">
        <v>44914</v>
      </c>
      <c r="AJ150" s="181"/>
      <c r="AK150" s="181">
        <f t="shared" ca="1" si="16"/>
        <v>44958</v>
      </c>
      <c r="AL150" s="173">
        <f t="shared" ca="1" si="13"/>
        <v>44</v>
      </c>
      <c r="AM150" s="173" t="str">
        <f t="shared" si="14"/>
        <v/>
      </c>
      <c r="AN150" s="181"/>
      <c r="AO150" s="190" t="s">
        <v>2622</v>
      </c>
      <c r="AP150" s="176">
        <v>12.015000000000001</v>
      </c>
      <c r="AQ150" s="176">
        <v>12.025</v>
      </c>
      <c r="AR150" s="176">
        <v>12.049999999999999</v>
      </c>
      <c r="AS150" s="176">
        <v>12.055</v>
      </c>
      <c r="AT150" s="173">
        <f t="shared" ca="1" si="17"/>
        <v>11</v>
      </c>
      <c r="AU150" s="173">
        <v>462</v>
      </c>
      <c r="AW150" s="142" t="s">
        <v>123</v>
      </c>
      <c r="AX150" s="142" t="str">
        <f>LEFT(RIGHT(C150,LEN(C150)-MIN(SEARCH({0,1,2,3,4,5,6,7,8,9},C150&amp;"0123456789"))+1),2)</f>
        <v>21</v>
      </c>
      <c r="AY150" s="142">
        <v>3</v>
      </c>
      <c r="AZ150" s="142" t="str">
        <f>LEFT(RIGHT(C150,LEN(C150)-MIN(SEARCH({0,1,2,3,4,5,6,7,8,9},C150&amp;"0123456789"))+1),5)</f>
        <v>21.01</v>
      </c>
      <c r="BA150" s="142" t="str">
        <f t="shared" si="15"/>
        <v>MI</v>
      </c>
    </row>
    <row r="151" spans="2:53" s="142" customFormat="1" ht="21" customHeight="1" x14ac:dyDescent="0.25">
      <c r="B151" s="173" t="str">
        <f t="shared" si="12"/>
        <v>0-304L/FH-0.90X770</v>
      </c>
      <c r="C151" s="173" t="s">
        <v>4385</v>
      </c>
      <c r="D151" s="173" t="s">
        <v>16</v>
      </c>
      <c r="E151" s="190" t="s">
        <v>2769</v>
      </c>
      <c r="F151" s="190" t="s">
        <v>2770</v>
      </c>
      <c r="G151" s="173" t="s">
        <v>182</v>
      </c>
      <c r="H151" s="173" t="s">
        <v>70</v>
      </c>
      <c r="I151" s="174">
        <v>2.81</v>
      </c>
      <c r="J151" s="174">
        <v>0.9</v>
      </c>
      <c r="K151" s="174"/>
      <c r="L151" s="174"/>
      <c r="M151" s="191">
        <v>770</v>
      </c>
      <c r="N151" s="176">
        <v>10.4</v>
      </c>
      <c r="O151" s="176">
        <v>10.4</v>
      </c>
      <c r="P151" s="176" t="s">
        <v>114</v>
      </c>
      <c r="Q151" s="178" t="s">
        <v>1540</v>
      </c>
      <c r="R151" s="179"/>
      <c r="S151" s="179"/>
      <c r="T151" s="177">
        <v>44947</v>
      </c>
      <c r="U151" s="177"/>
      <c r="V151" s="177">
        <v>44948</v>
      </c>
      <c r="W151" s="177"/>
      <c r="X151" s="177"/>
      <c r="Y151" s="177"/>
      <c r="Z151" s="177"/>
      <c r="AA151" s="177"/>
      <c r="AB151" s="177"/>
      <c r="AC151" s="177"/>
      <c r="AD151" s="180" t="s">
        <v>1605</v>
      </c>
      <c r="AE151" s="173" t="s">
        <v>69</v>
      </c>
      <c r="AF151" s="181" t="s">
        <v>142</v>
      </c>
      <c r="AG151" s="192" t="s">
        <v>1584</v>
      </c>
      <c r="AH151" s="198"/>
      <c r="AI151" s="181">
        <v>44914</v>
      </c>
      <c r="AJ151" s="181"/>
      <c r="AK151" s="181">
        <f t="shared" ca="1" si="16"/>
        <v>44958</v>
      </c>
      <c r="AL151" s="173">
        <f t="shared" ca="1" si="13"/>
        <v>44</v>
      </c>
      <c r="AM151" s="173" t="str">
        <f t="shared" si="14"/>
        <v/>
      </c>
      <c r="AN151" s="181"/>
      <c r="AO151" s="190" t="s">
        <v>2771</v>
      </c>
      <c r="AP151" s="176">
        <v>10.4</v>
      </c>
      <c r="AQ151" s="176">
        <v>10.41</v>
      </c>
      <c r="AR151" s="176">
        <v>10.434999999999999</v>
      </c>
      <c r="AS151" s="176">
        <v>10.44</v>
      </c>
      <c r="AT151" s="173">
        <f t="shared" ca="1" si="17"/>
        <v>10</v>
      </c>
      <c r="AU151" s="173">
        <v>462</v>
      </c>
      <c r="AW151" s="142" t="s">
        <v>123</v>
      </c>
      <c r="AX151" s="142" t="str">
        <f>LEFT(RIGHT(C151,LEN(C151)-MIN(SEARCH({0,1,2,3,4,5,6,7,8,9},C151&amp;"0123456789"))+1),2)</f>
        <v>22</v>
      </c>
      <c r="AY151" s="142">
        <v>1</v>
      </c>
      <c r="AZ151" s="142" t="str">
        <f>LEFT(RIGHT(C151,LEN(C151)-MIN(SEARCH({0,1,2,3,4,5,6,7,8,9},C151&amp;"0123456789"))+1),5)</f>
        <v>22.01</v>
      </c>
      <c r="BA151" s="142" t="str">
        <f t="shared" si="15"/>
        <v>MI</v>
      </c>
    </row>
    <row r="152" spans="2:53" s="142" customFormat="1" ht="21" customHeight="1" x14ac:dyDescent="0.25">
      <c r="B152" s="173" t="str">
        <f t="shared" si="12"/>
        <v>0-304L/FH-0.90X770</v>
      </c>
      <c r="C152" s="173" t="s">
        <v>4385</v>
      </c>
      <c r="D152" s="173" t="s">
        <v>16</v>
      </c>
      <c r="E152" s="190" t="s">
        <v>2660</v>
      </c>
      <c r="F152" s="190" t="s">
        <v>2661</v>
      </c>
      <c r="G152" s="173" t="s">
        <v>182</v>
      </c>
      <c r="H152" s="173" t="s">
        <v>70</v>
      </c>
      <c r="I152" s="174">
        <v>2.79</v>
      </c>
      <c r="J152" s="174">
        <v>0.9</v>
      </c>
      <c r="K152" s="174"/>
      <c r="L152" s="174"/>
      <c r="M152" s="191">
        <v>770</v>
      </c>
      <c r="N152" s="176">
        <v>10.37</v>
      </c>
      <c r="O152" s="176">
        <v>10.37</v>
      </c>
      <c r="P152" s="176" t="s">
        <v>114</v>
      </c>
      <c r="Q152" s="178" t="s">
        <v>1540</v>
      </c>
      <c r="R152" s="179"/>
      <c r="S152" s="179"/>
      <c r="T152" s="177">
        <v>44947</v>
      </c>
      <c r="U152" s="177"/>
      <c r="V152" s="177">
        <v>44948</v>
      </c>
      <c r="W152" s="177"/>
      <c r="X152" s="177"/>
      <c r="Y152" s="177"/>
      <c r="Z152" s="177"/>
      <c r="AA152" s="177"/>
      <c r="AB152" s="177"/>
      <c r="AC152" s="177"/>
      <c r="AD152" s="180" t="s">
        <v>1605</v>
      </c>
      <c r="AE152" s="173" t="s">
        <v>69</v>
      </c>
      <c r="AF152" s="181" t="s">
        <v>142</v>
      </c>
      <c r="AG152" s="192" t="s">
        <v>1584</v>
      </c>
      <c r="AH152" s="198"/>
      <c r="AI152" s="181">
        <v>44914</v>
      </c>
      <c r="AJ152" s="181"/>
      <c r="AK152" s="181">
        <f t="shared" ca="1" si="16"/>
        <v>44958</v>
      </c>
      <c r="AL152" s="173">
        <f t="shared" ca="1" si="13"/>
        <v>44</v>
      </c>
      <c r="AM152" s="173" t="str">
        <f t="shared" si="14"/>
        <v/>
      </c>
      <c r="AN152" s="181"/>
      <c r="AO152" s="190" t="s">
        <v>2662</v>
      </c>
      <c r="AP152" s="176">
        <v>10.37</v>
      </c>
      <c r="AQ152" s="176">
        <v>10.38</v>
      </c>
      <c r="AR152" s="176">
        <v>10.404999999999999</v>
      </c>
      <c r="AS152" s="176">
        <v>10.41</v>
      </c>
      <c r="AT152" s="173">
        <f t="shared" ca="1" si="17"/>
        <v>10</v>
      </c>
      <c r="AU152" s="173">
        <v>462</v>
      </c>
      <c r="AW152" s="142" t="s">
        <v>123</v>
      </c>
      <c r="AX152" s="142" t="str">
        <f>LEFT(RIGHT(C152,LEN(C152)-MIN(SEARCH({0,1,2,3,4,5,6,7,8,9},C152&amp;"0123456789"))+1),2)</f>
        <v>22</v>
      </c>
      <c r="AY152" s="142">
        <v>1</v>
      </c>
      <c r="AZ152" s="142" t="str">
        <f>LEFT(RIGHT(C152,LEN(C152)-MIN(SEARCH({0,1,2,3,4,5,6,7,8,9},C152&amp;"0123456789"))+1),5)</f>
        <v>22.01</v>
      </c>
      <c r="BA152" s="142" t="str">
        <f t="shared" si="15"/>
        <v>MI</v>
      </c>
    </row>
    <row r="153" spans="2:53" s="142" customFormat="1" ht="21" customHeight="1" x14ac:dyDescent="0.25">
      <c r="B153" s="173" t="str">
        <f t="shared" ref="B153:B216" si="18">IF(C153="HOLD RM","HOLD RM",IF(C153="BAL","WIP",IF(C153="HOLD SLT","HOLD SLT",IF(C153="MILL","RM",IF(C153="RE SLT","WIP",IF(C153="RM","RM",IF(C153="RM BAL","RM",IF(C153="RM SLT","RM",IF(C153="RR","WIP",IF(C153="SKP","WIP",IF(C153="SLT","WIP",IF(C153="CTL","WIP",IF(C153="RM SLT RUST","RM SLT RUST",0)))))))))))))&amp;"-"&amp;G153&amp;"/"&amp;IF(H153="2B","2B",IF(H153="NO.1","1D",IF(H153="FH","FH",0)))&amp;"-"&amp;IF(J153="",(TEXT(I153,"0.00")),TEXT(J153,"0.00"))&amp;"X"&amp;M153</f>
        <v>0-304L/FH-1.50X764</v>
      </c>
      <c r="C153" s="173" t="s">
        <v>4385</v>
      </c>
      <c r="D153" s="173" t="s">
        <v>16</v>
      </c>
      <c r="E153" s="190" t="s">
        <v>2446</v>
      </c>
      <c r="F153" s="190" t="s">
        <v>2447</v>
      </c>
      <c r="G153" s="173" t="s">
        <v>182</v>
      </c>
      <c r="H153" s="173" t="s">
        <v>70</v>
      </c>
      <c r="I153" s="174">
        <v>3.93</v>
      </c>
      <c r="J153" s="174">
        <v>1.5</v>
      </c>
      <c r="K153" s="174"/>
      <c r="L153" s="174"/>
      <c r="M153" s="191">
        <v>764</v>
      </c>
      <c r="N153" s="176">
        <v>10.154999999999999</v>
      </c>
      <c r="O153" s="176">
        <v>10.154999999999999</v>
      </c>
      <c r="P153" s="176" t="s">
        <v>114</v>
      </c>
      <c r="Q153" s="178" t="s">
        <v>1540</v>
      </c>
      <c r="R153" s="179"/>
      <c r="S153" s="179"/>
      <c r="T153" s="177">
        <v>44948</v>
      </c>
      <c r="U153" s="177"/>
      <c r="V153" s="177">
        <v>44948</v>
      </c>
      <c r="W153" s="177"/>
      <c r="X153" s="177"/>
      <c r="Y153" s="177"/>
      <c r="Z153" s="177"/>
      <c r="AA153" s="177"/>
      <c r="AB153" s="177"/>
      <c r="AC153" s="177"/>
      <c r="AD153" s="180" t="s">
        <v>2448</v>
      </c>
      <c r="AE153" s="173" t="s">
        <v>69</v>
      </c>
      <c r="AF153" s="181" t="s">
        <v>142</v>
      </c>
      <c r="AG153" s="192" t="s">
        <v>1584</v>
      </c>
      <c r="AH153" s="198"/>
      <c r="AI153" s="181">
        <v>44914</v>
      </c>
      <c r="AJ153" s="181"/>
      <c r="AK153" s="181">
        <f t="shared" ca="1" si="16"/>
        <v>44958</v>
      </c>
      <c r="AL153" s="173">
        <f t="shared" ref="AL153:AL216" ca="1" si="19">IF(AI153&lt;&gt;0,AK153-AI153,0)</f>
        <v>44</v>
      </c>
      <c r="AM153" s="173" t="str">
        <f t="shared" ref="AM153:AM216" si="20">IF(ISNUMBER(X153)=TRUE,AK153-X153,IF(X153="","",(AK153)-(MID(RIGHT(X153,10),4,2)&amp;"/"&amp;LEFT((RIGHT(X153,10)),2)&amp;"/"&amp;RIGHT(X153,4))))</f>
        <v/>
      </c>
      <c r="AN153" s="181"/>
      <c r="AO153" s="190" t="s">
        <v>2445</v>
      </c>
      <c r="AP153" s="176">
        <v>10.154999999999999</v>
      </c>
      <c r="AQ153" s="176">
        <v>10.164999999999999</v>
      </c>
      <c r="AR153" s="176">
        <v>10.189999999999998</v>
      </c>
      <c r="AS153" s="176">
        <v>10.194999999999999</v>
      </c>
      <c r="AT153" s="173">
        <f t="shared" ca="1" si="17"/>
        <v>10</v>
      </c>
      <c r="AU153" s="173">
        <v>462</v>
      </c>
      <c r="AW153" s="142" t="s">
        <v>123</v>
      </c>
      <c r="AX153" s="142" t="str">
        <f>LEFT(RIGHT(C153,LEN(C153)-MIN(SEARCH({0,1,2,3,4,5,6,7,8,9},C153&amp;"0123456789"))+1),2)</f>
        <v>22</v>
      </c>
      <c r="AY153" s="142">
        <v>1</v>
      </c>
      <c r="AZ153" s="142" t="str">
        <f>LEFT(RIGHT(C153,LEN(C153)-MIN(SEARCH({0,1,2,3,4,5,6,7,8,9},C153&amp;"0123456789"))+1),5)</f>
        <v>22.01</v>
      </c>
      <c r="BA153" s="142" t="str">
        <f t="shared" si="15"/>
        <v>MI</v>
      </c>
    </row>
    <row r="154" spans="2:53" s="142" customFormat="1" ht="21" customHeight="1" x14ac:dyDescent="0.25">
      <c r="B154" s="173" t="str">
        <f t="shared" si="18"/>
        <v>0-304L/FH-0.90X770</v>
      </c>
      <c r="C154" s="173" t="s">
        <v>4385</v>
      </c>
      <c r="D154" s="173" t="s">
        <v>16</v>
      </c>
      <c r="E154" s="190" t="s">
        <v>4196</v>
      </c>
      <c r="F154" s="190" t="s">
        <v>4197</v>
      </c>
      <c r="G154" s="173" t="s">
        <v>182</v>
      </c>
      <c r="H154" s="173" t="s">
        <v>70</v>
      </c>
      <c r="I154" s="174">
        <v>2.77</v>
      </c>
      <c r="J154" s="174">
        <v>0.9</v>
      </c>
      <c r="K154" s="174"/>
      <c r="L154" s="174"/>
      <c r="M154" s="191">
        <v>770</v>
      </c>
      <c r="N154" s="176">
        <v>10.54</v>
      </c>
      <c r="O154" s="176">
        <v>10.54</v>
      </c>
      <c r="P154" s="176" t="s">
        <v>114</v>
      </c>
      <c r="Q154" s="178" t="s">
        <v>1540</v>
      </c>
      <c r="R154" s="179"/>
      <c r="S154" s="179"/>
      <c r="T154" s="177">
        <v>44947</v>
      </c>
      <c r="U154" s="177"/>
      <c r="V154" s="177">
        <v>44948</v>
      </c>
      <c r="W154" s="177"/>
      <c r="X154" s="177"/>
      <c r="Y154" s="177"/>
      <c r="Z154" s="177"/>
      <c r="AA154" s="177"/>
      <c r="AB154" s="177"/>
      <c r="AC154" s="177"/>
      <c r="AD154" s="180" t="s">
        <v>1643</v>
      </c>
      <c r="AE154" s="173" t="s">
        <v>69</v>
      </c>
      <c r="AF154" s="181" t="s">
        <v>142</v>
      </c>
      <c r="AG154" s="192" t="s">
        <v>1584</v>
      </c>
      <c r="AH154" s="198"/>
      <c r="AI154" s="181">
        <v>44914</v>
      </c>
      <c r="AJ154" s="181"/>
      <c r="AK154" s="181">
        <f t="shared" ca="1" si="16"/>
        <v>44958</v>
      </c>
      <c r="AL154" s="173">
        <f t="shared" ca="1" si="19"/>
        <v>44</v>
      </c>
      <c r="AM154" s="173" t="str">
        <f t="shared" si="20"/>
        <v/>
      </c>
      <c r="AN154" s="181"/>
      <c r="AO154" s="190" t="s">
        <v>2695</v>
      </c>
      <c r="AP154" s="176">
        <v>10.54</v>
      </c>
      <c r="AQ154" s="176">
        <v>10.55</v>
      </c>
      <c r="AR154" s="176">
        <v>10.574999999999999</v>
      </c>
      <c r="AS154" s="176">
        <v>10.58</v>
      </c>
      <c r="AT154" s="173">
        <f t="shared" ca="1" si="17"/>
        <v>10</v>
      </c>
      <c r="AU154" s="173">
        <v>462</v>
      </c>
      <c r="AW154" s="142" t="s">
        <v>123</v>
      </c>
      <c r="AX154" s="142" t="str">
        <f>LEFT(RIGHT(C154,LEN(C154)-MIN(SEARCH({0,1,2,3,4,5,6,7,8,9},C154&amp;"0123456789"))+1),2)</f>
        <v>22</v>
      </c>
      <c r="AY154" s="142">
        <v>2</v>
      </c>
      <c r="AZ154" s="142" t="str">
        <f>LEFT(RIGHT(C154,LEN(C154)-MIN(SEARCH({0,1,2,3,4,5,6,7,8,9},C154&amp;"0123456789"))+1),5)</f>
        <v>22.01</v>
      </c>
      <c r="BA154" s="142" t="str">
        <f t="shared" si="15"/>
        <v>MI</v>
      </c>
    </row>
    <row r="155" spans="2:53" s="142" customFormat="1" ht="21" customHeight="1" x14ac:dyDescent="0.25">
      <c r="B155" s="173" t="str">
        <f t="shared" si="18"/>
        <v>0-304/FH-1.50X767</v>
      </c>
      <c r="C155" s="173" t="s">
        <v>4385</v>
      </c>
      <c r="D155" s="173" t="s">
        <v>16</v>
      </c>
      <c r="E155" s="190" t="s">
        <v>4205</v>
      </c>
      <c r="F155" s="190" t="s">
        <v>4206</v>
      </c>
      <c r="G155" s="173">
        <v>304</v>
      </c>
      <c r="H155" s="173" t="s">
        <v>70</v>
      </c>
      <c r="I155" s="174">
        <v>3.93</v>
      </c>
      <c r="J155" s="174">
        <v>1.5</v>
      </c>
      <c r="K155" s="174"/>
      <c r="L155" s="174"/>
      <c r="M155" s="191">
        <v>767</v>
      </c>
      <c r="N155" s="176">
        <v>10.505000000000001</v>
      </c>
      <c r="O155" s="176">
        <v>10.505000000000001</v>
      </c>
      <c r="P155" s="176" t="s">
        <v>114</v>
      </c>
      <c r="Q155" s="178" t="s">
        <v>1540</v>
      </c>
      <c r="R155" s="179"/>
      <c r="S155" s="179"/>
      <c r="T155" s="177">
        <v>44948</v>
      </c>
      <c r="U155" s="177"/>
      <c r="V155" s="177">
        <v>44948</v>
      </c>
      <c r="W155" s="177"/>
      <c r="X155" s="177"/>
      <c r="Y155" s="177"/>
      <c r="Z155" s="177"/>
      <c r="AA155" s="177"/>
      <c r="AB155" s="177"/>
      <c r="AC155" s="177"/>
      <c r="AD155" s="180" t="s">
        <v>2448</v>
      </c>
      <c r="AE155" s="173" t="s">
        <v>69</v>
      </c>
      <c r="AF155" s="181" t="s">
        <v>142</v>
      </c>
      <c r="AG155" s="192" t="s">
        <v>1584</v>
      </c>
      <c r="AH155" s="198"/>
      <c r="AI155" s="181">
        <v>44914</v>
      </c>
      <c r="AJ155" s="181"/>
      <c r="AK155" s="181">
        <f t="shared" ca="1" si="16"/>
        <v>44958</v>
      </c>
      <c r="AL155" s="173">
        <f t="shared" ca="1" si="19"/>
        <v>44</v>
      </c>
      <c r="AM155" s="173" t="str">
        <f t="shared" si="20"/>
        <v/>
      </c>
      <c r="AN155" s="181"/>
      <c r="AO155" s="190" t="s">
        <v>2462</v>
      </c>
      <c r="AP155" s="176">
        <v>10.505000000000001</v>
      </c>
      <c r="AQ155" s="176">
        <v>10.515000000000001</v>
      </c>
      <c r="AR155" s="176">
        <v>10.54</v>
      </c>
      <c r="AS155" s="176">
        <v>10.545</v>
      </c>
      <c r="AT155" s="173">
        <f t="shared" ca="1" si="17"/>
        <v>10</v>
      </c>
      <c r="AU155" s="173">
        <v>462</v>
      </c>
      <c r="AW155" s="142" t="s">
        <v>123</v>
      </c>
      <c r="AX155" s="142" t="str">
        <f>LEFT(RIGHT(C155,LEN(C155)-MIN(SEARCH({0,1,2,3,4,5,6,7,8,9},C155&amp;"0123456789"))+1),2)</f>
        <v>22</v>
      </c>
      <c r="AY155" s="142">
        <v>2</v>
      </c>
      <c r="AZ155" s="142" t="str">
        <f>LEFT(RIGHT(C155,LEN(C155)-MIN(SEARCH({0,1,2,3,4,5,6,7,8,9},C155&amp;"0123456789"))+1),5)</f>
        <v>22.01</v>
      </c>
      <c r="BA155" s="142" t="str">
        <f t="shared" si="15"/>
        <v>MI</v>
      </c>
    </row>
    <row r="156" spans="2:53" s="142" customFormat="1" ht="21" customHeight="1" x14ac:dyDescent="0.25">
      <c r="B156" s="173" t="str">
        <f t="shared" si="18"/>
        <v>0-304/FH-1.50X770</v>
      </c>
      <c r="C156" s="173" t="s">
        <v>4385</v>
      </c>
      <c r="D156" s="173" t="s">
        <v>16</v>
      </c>
      <c r="E156" s="190" t="s">
        <v>4207</v>
      </c>
      <c r="F156" s="190" t="s">
        <v>4208</v>
      </c>
      <c r="G156" s="173">
        <v>304</v>
      </c>
      <c r="H156" s="173" t="s">
        <v>70</v>
      </c>
      <c r="I156" s="174">
        <v>3.88</v>
      </c>
      <c r="J156" s="174">
        <v>1.5</v>
      </c>
      <c r="K156" s="174"/>
      <c r="L156" s="174"/>
      <c r="M156" s="191">
        <v>770</v>
      </c>
      <c r="N156" s="176">
        <v>9.3650000000000002</v>
      </c>
      <c r="O156" s="176">
        <v>9.3650000000000002</v>
      </c>
      <c r="P156" s="176" t="s">
        <v>114</v>
      </c>
      <c r="Q156" s="178" t="s">
        <v>1540</v>
      </c>
      <c r="R156" s="179"/>
      <c r="S156" s="179"/>
      <c r="T156" s="177">
        <v>44948</v>
      </c>
      <c r="U156" s="177"/>
      <c r="V156" s="177">
        <v>44948</v>
      </c>
      <c r="W156" s="177"/>
      <c r="X156" s="177"/>
      <c r="Y156" s="177"/>
      <c r="Z156" s="177"/>
      <c r="AA156" s="177"/>
      <c r="AB156" s="177"/>
      <c r="AC156" s="177"/>
      <c r="AD156" s="180" t="s">
        <v>1643</v>
      </c>
      <c r="AE156" s="173" t="s">
        <v>69</v>
      </c>
      <c r="AF156" s="181" t="s">
        <v>142</v>
      </c>
      <c r="AG156" s="192" t="s">
        <v>1584</v>
      </c>
      <c r="AH156" s="198"/>
      <c r="AI156" s="181">
        <v>44914</v>
      </c>
      <c r="AJ156" s="181"/>
      <c r="AK156" s="181">
        <f t="shared" ca="1" si="16"/>
        <v>44958</v>
      </c>
      <c r="AL156" s="173">
        <f t="shared" ca="1" si="19"/>
        <v>44</v>
      </c>
      <c r="AM156" s="173" t="str">
        <f t="shared" si="20"/>
        <v/>
      </c>
      <c r="AN156" s="181"/>
      <c r="AO156" s="190" t="s">
        <v>2646</v>
      </c>
      <c r="AP156" s="176">
        <v>9.3650000000000002</v>
      </c>
      <c r="AQ156" s="176">
        <v>9.375</v>
      </c>
      <c r="AR156" s="176">
        <v>9.3999999999999986</v>
      </c>
      <c r="AS156" s="176">
        <v>9.4049999999999994</v>
      </c>
      <c r="AT156" s="173">
        <f t="shared" ca="1" si="17"/>
        <v>10</v>
      </c>
      <c r="AU156" s="173">
        <v>462</v>
      </c>
      <c r="AW156" s="142" t="s">
        <v>123</v>
      </c>
      <c r="AX156" s="142" t="str">
        <f>LEFT(RIGHT(C156,LEN(C156)-MIN(SEARCH({0,1,2,3,4,5,6,7,8,9},C156&amp;"0123456789"))+1),2)</f>
        <v>22</v>
      </c>
      <c r="AY156" s="142">
        <v>2</v>
      </c>
      <c r="AZ156" s="142" t="str">
        <f>LEFT(RIGHT(C156,LEN(C156)-MIN(SEARCH({0,1,2,3,4,5,6,7,8,9},C156&amp;"0123456789"))+1),5)</f>
        <v>22.01</v>
      </c>
      <c r="BA156" s="142" t="str">
        <f t="shared" si="15"/>
        <v>MI</v>
      </c>
    </row>
    <row r="157" spans="2:53" s="142" customFormat="1" ht="21" customHeight="1" x14ac:dyDescent="0.25">
      <c r="B157" s="173" t="str">
        <f t="shared" si="18"/>
        <v>0-304L/FH-1.15X770</v>
      </c>
      <c r="C157" s="173" t="s">
        <v>4385</v>
      </c>
      <c r="D157" s="173" t="s">
        <v>16</v>
      </c>
      <c r="E157" s="190" t="s">
        <v>4209</v>
      </c>
      <c r="F157" s="190" t="s">
        <v>4210</v>
      </c>
      <c r="G157" s="173" t="s">
        <v>182</v>
      </c>
      <c r="H157" s="173" t="s">
        <v>70</v>
      </c>
      <c r="I157" s="174">
        <v>3.8</v>
      </c>
      <c r="J157" s="174">
        <v>1.1499999999999999</v>
      </c>
      <c r="K157" s="174"/>
      <c r="L157" s="174"/>
      <c r="M157" s="191">
        <v>770</v>
      </c>
      <c r="N157" s="176">
        <v>10.44</v>
      </c>
      <c r="O157" s="176">
        <v>10.44</v>
      </c>
      <c r="P157" s="176" t="s">
        <v>114</v>
      </c>
      <c r="Q157" s="178" t="s">
        <v>2444</v>
      </c>
      <c r="R157" s="179"/>
      <c r="S157" s="179"/>
      <c r="T157" s="177">
        <v>44948</v>
      </c>
      <c r="U157" s="177"/>
      <c r="V157" s="177">
        <v>44948</v>
      </c>
      <c r="W157" s="177"/>
      <c r="X157" s="177"/>
      <c r="Y157" s="177"/>
      <c r="Z157" s="177"/>
      <c r="AA157" s="177"/>
      <c r="AB157" s="177"/>
      <c r="AC157" s="177"/>
      <c r="AD157" s="180" t="s">
        <v>1643</v>
      </c>
      <c r="AE157" s="173" t="s">
        <v>69</v>
      </c>
      <c r="AF157" s="181" t="s">
        <v>142</v>
      </c>
      <c r="AG157" s="192" t="s">
        <v>1584</v>
      </c>
      <c r="AH157" s="198"/>
      <c r="AI157" s="181">
        <v>44914</v>
      </c>
      <c r="AJ157" s="181"/>
      <c r="AK157" s="181">
        <f t="shared" ca="1" si="16"/>
        <v>44958</v>
      </c>
      <c r="AL157" s="173">
        <f t="shared" ca="1" si="19"/>
        <v>44</v>
      </c>
      <c r="AM157" s="173" t="str">
        <f t="shared" si="20"/>
        <v/>
      </c>
      <c r="AN157" s="181"/>
      <c r="AO157" s="190" t="s">
        <v>2619</v>
      </c>
      <c r="AP157" s="176">
        <v>10.44</v>
      </c>
      <c r="AQ157" s="176">
        <v>10.45</v>
      </c>
      <c r="AR157" s="176">
        <v>10.474999999999998</v>
      </c>
      <c r="AS157" s="176">
        <v>10.479999999999999</v>
      </c>
      <c r="AT157" s="173">
        <f t="shared" ca="1" si="17"/>
        <v>10</v>
      </c>
      <c r="AU157" s="173">
        <v>462</v>
      </c>
      <c r="AW157" s="142" t="s">
        <v>123</v>
      </c>
      <c r="AX157" s="142" t="str">
        <f>LEFT(RIGHT(C157,LEN(C157)-MIN(SEARCH({0,1,2,3,4,5,6,7,8,9},C157&amp;"0123456789"))+1),2)</f>
        <v>22</v>
      </c>
      <c r="AY157" s="142">
        <v>3</v>
      </c>
      <c r="AZ157" s="142" t="str">
        <f>LEFT(RIGHT(C157,LEN(C157)-MIN(SEARCH({0,1,2,3,4,5,6,7,8,9},C157&amp;"0123456789"))+1),5)</f>
        <v>22.01</v>
      </c>
      <c r="BA157" s="142" t="str">
        <f t="shared" ref="BA157:BA220" si="21">LEFT(C157,2)</f>
        <v>MI</v>
      </c>
    </row>
    <row r="158" spans="2:53" s="142" customFormat="1" ht="21" customHeight="1" x14ac:dyDescent="0.25">
      <c r="B158" s="173" t="str">
        <f t="shared" si="18"/>
        <v>0-304L/FH-0.90X772</v>
      </c>
      <c r="C158" s="173" t="s">
        <v>4385</v>
      </c>
      <c r="D158" s="173" t="s">
        <v>16</v>
      </c>
      <c r="E158" s="190" t="s">
        <v>2721</v>
      </c>
      <c r="F158" s="190" t="s">
        <v>2722</v>
      </c>
      <c r="G158" s="173" t="s">
        <v>182</v>
      </c>
      <c r="H158" s="173" t="s">
        <v>70</v>
      </c>
      <c r="I158" s="174">
        <v>2.79</v>
      </c>
      <c r="J158" s="174">
        <v>0.9</v>
      </c>
      <c r="K158" s="174"/>
      <c r="L158" s="174"/>
      <c r="M158" s="191">
        <v>772</v>
      </c>
      <c r="N158" s="176">
        <v>10.57</v>
      </c>
      <c r="O158" s="176">
        <v>10.57</v>
      </c>
      <c r="P158" s="176" t="s">
        <v>114</v>
      </c>
      <c r="Q158" s="178" t="s">
        <v>1540</v>
      </c>
      <c r="R158" s="179"/>
      <c r="S158" s="179"/>
      <c r="T158" s="177">
        <v>44947</v>
      </c>
      <c r="U158" s="177"/>
      <c r="V158" s="177">
        <v>44948</v>
      </c>
      <c r="W158" s="177"/>
      <c r="X158" s="177"/>
      <c r="Y158" s="177"/>
      <c r="Z158" s="177"/>
      <c r="AA158" s="177"/>
      <c r="AB158" s="177"/>
      <c r="AC158" s="177"/>
      <c r="AD158" s="180" t="s">
        <v>1605</v>
      </c>
      <c r="AE158" s="173" t="s">
        <v>69</v>
      </c>
      <c r="AF158" s="181" t="s">
        <v>142</v>
      </c>
      <c r="AG158" s="192" t="s">
        <v>1584</v>
      </c>
      <c r="AH158" s="198"/>
      <c r="AI158" s="181">
        <v>44914</v>
      </c>
      <c r="AJ158" s="181"/>
      <c r="AK158" s="181">
        <f t="shared" ca="1" si="16"/>
        <v>44958</v>
      </c>
      <c r="AL158" s="173">
        <f t="shared" ca="1" si="19"/>
        <v>44</v>
      </c>
      <c r="AM158" s="173" t="str">
        <f t="shared" si="20"/>
        <v/>
      </c>
      <c r="AN158" s="181"/>
      <c r="AO158" s="190" t="s">
        <v>2723</v>
      </c>
      <c r="AP158" s="176">
        <v>10.57</v>
      </c>
      <c r="AQ158" s="176">
        <v>10.58</v>
      </c>
      <c r="AR158" s="176">
        <v>10.604999999999999</v>
      </c>
      <c r="AS158" s="176">
        <v>10.61</v>
      </c>
      <c r="AT158" s="173">
        <f t="shared" ca="1" si="17"/>
        <v>10</v>
      </c>
      <c r="AU158" s="173">
        <v>462</v>
      </c>
      <c r="AW158" s="142" t="s">
        <v>123</v>
      </c>
      <c r="AX158" s="142" t="str">
        <f>LEFT(RIGHT(C158,LEN(C158)-MIN(SEARCH({0,1,2,3,4,5,6,7,8,9},C158&amp;"0123456789"))+1),2)</f>
        <v>22</v>
      </c>
      <c r="AY158" s="142">
        <v>3</v>
      </c>
      <c r="AZ158" s="142" t="str">
        <f>LEFT(RIGHT(C158,LEN(C158)-MIN(SEARCH({0,1,2,3,4,5,6,7,8,9},C158&amp;"0123456789"))+1),5)</f>
        <v>22.01</v>
      </c>
      <c r="BA158" s="142" t="str">
        <f t="shared" si="21"/>
        <v>MI</v>
      </c>
    </row>
    <row r="159" spans="2:53" s="142" customFormat="1" ht="21" customHeight="1" x14ac:dyDescent="0.25">
      <c r="B159" s="173" t="str">
        <f t="shared" si="18"/>
        <v>0-304L/FH-0.88X771</v>
      </c>
      <c r="C159" s="173" t="s">
        <v>4385</v>
      </c>
      <c r="D159" s="173" t="s">
        <v>16</v>
      </c>
      <c r="E159" s="190" t="s">
        <v>2711</v>
      </c>
      <c r="F159" s="190" t="s">
        <v>2712</v>
      </c>
      <c r="G159" s="173" t="s">
        <v>182</v>
      </c>
      <c r="H159" s="173" t="s">
        <v>70</v>
      </c>
      <c r="I159" s="174">
        <v>2.77</v>
      </c>
      <c r="J159" s="174">
        <v>0.88</v>
      </c>
      <c r="K159" s="174"/>
      <c r="L159" s="174"/>
      <c r="M159" s="191">
        <v>771</v>
      </c>
      <c r="N159" s="176">
        <v>10.095000000000001</v>
      </c>
      <c r="O159" s="176">
        <v>10.095000000000001</v>
      </c>
      <c r="P159" s="176" t="s">
        <v>114</v>
      </c>
      <c r="Q159" s="178" t="s">
        <v>2444</v>
      </c>
      <c r="R159" s="179"/>
      <c r="S159" s="179"/>
      <c r="T159" s="177">
        <v>44948</v>
      </c>
      <c r="U159" s="177"/>
      <c r="V159" s="177">
        <v>44948</v>
      </c>
      <c r="W159" s="177"/>
      <c r="X159" s="177"/>
      <c r="Y159" s="177"/>
      <c r="Z159" s="177"/>
      <c r="AA159" s="177"/>
      <c r="AB159" s="177"/>
      <c r="AC159" s="177"/>
      <c r="AD159" s="180" t="s">
        <v>1643</v>
      </c>
      <c r="AE159" s="173" t="s">
        <v>69</v>
      </c>
      <c r="AF159" s="181" t="s">
        <v>142</v>
      </c>
      <c r="AG159" s="192" t="s">
        <v>1584</v>
      </c>
      <c r="AH159" s="198"/>
      <c r="AI159" s="181">
        <v>44914</v>
      </c>
      <c r="AJ159" s="181"/>
      <c r="AK159" s="181">
        <f t="shared" ca="1" si="16"/>
        <v>44958</v>
      </c>
      <c r="AL159" s="173">
        <f t="shared" ca="1" si="19"/>
        <v>44</v>
      </c>
      <c r="AM159" s="173" t="str">
        <f t="shared" si="20"/>
        <v/>
      </c>
      <c r="AN159" s="181"/>
      <c r="AO159" s="190" t="s">
        <v>2713</v>
      </c>
      <c r="AP159" s="176">
        <v>10.095000000000001</v>
      </c>
      <c r="AQ159" s="176">
        <v>10.105</v>
      </c>
      <c r="AR159" s="176">
        <v>10.129999999999999</v>
      </c>
      <c r="AS159" s="176">
        <v>10.135</v>
      </c>
      <c r="AT159" s="173">
        <f t="shared" ca="1" si="17"/>
        <v>10</v>
      </c>
      <c r="AU159" s="173">
        <v>462</v>
      </c>
      <c r="AW159" s="142" t="s">
        <v>123</v>
      </c>
      <c r="AX159" s="142" t="str">
        <f>LEFT(RIGHT(C159,LEN(C159)-MIN(SEARCH({0,1,2,3,4,5,6,7,8,9},C159&amp;"0123456789"))+1),2)</f>
        <v>22</v>
      </c>
      <c r="AY159" s="142">
        <v>3</v>
      </c>
      <c r="AZ159" s="142" t="str">
        <f>LEFT(RIGHT(C159,LEN(C159)-MIN(SEARCH({0,1,2,3,4,5,6,7,8,9},C159&amp;"0123456789"))+1),5)</f>
        <v>22.01</v>
      </c>
      <c r="BA159" s="142" t="str">
        <f t="shared" si="21"/>
        <v>MI</v>
      </c>
    </row>
    <row r="160" spans="2:53" s="142" customFormat="1" ht="21" customHeight="1" x14ac:dyDescent="0.25">
      <c r="B160" s="173" t="str">
        <f t="shared" si="18"/>
        <v>0-304L/FH-0.88X771</v>
      </c>
      <c r="C160" s="173" t="s">
        <v>4385</v>
      </c>
      <c r="D160" s="173" t="s">
        <v>16</v>
      </c>
      <c r="E160" s="190" t="s">
        <v>4211</v>
      </c>
      <c r="F160" s="190" t="s">
        <v>4212</v>
      </c>
      <c r="G160" s="173" t="s">
        <v>182</v>
      </c>
      <c r="H160" s="173" t="s">
        <v>70</v>
      </c>
      <c r="I160" s="174">
        <v>2.78</v>
      </c>
      <c r="J160" s="174">
        <v>0.88</v>
      </c>
      <c r="K160" s="174"/>
      <c r="L160" s="174"/>
      <c r="M160" s="191">
        <v>771</v>
      </c>
      <c r="N160" s="176">
        <v>10.57</v>
      </c>
      <c r="O160" s="176">
        <v>10.57</v>
      </c>
      <c r="P160" s="176" t="s">
        <v>114</v>
      </c>
      <c r="Q160" s="178" t="s">
        <v>2444</v>
      </c>
      <c r="R160" s="179"/>
      <c r="S160" s="179"/>
      <c r="T160" s="177">
        <v>44948</v>
      </c>
      <c r="U160" s="177"/>
      <c r="V160" s="177">
        <v>44948</v>
      </c>
      <c r="W160" s="177"/>
      <c r="X160" s="177"/>
      <c r="Y160" s="177"/>
      <c r="Z160" s="177"/>
      <c r="AA160" s="177"/>
      <c r="AB160" s="177"/>
      <c r="AC160" s="177"/>
      <c r="AD160" s="180" t="s">
        <v>1605</v>
      </c>
      <c r="AE160" s="173" t="s">
        <v>69</v>
      </c>
      <c r="AF160" s="181" t="s">
        <v>142</v>
      </c>
      <c r="AG160" s="192" t="s">
        <v>1584</v>
      </c>
      <c r="AH160" s="198"/>
      <c r="AI160" s="181">
        <v>44914</v>
      </c>
      <c r="AJ160" s="181"/>
      <c r="AK160" s="181">
        <f t="shared" ca="1" si="16"/>
        <v>44958</v>
      </c>
      <c r="AL160" s="173">
        <f t="shared" ca="1" si="19"/>
        <v>44</v>
      </c>
      <c r="AM160" s="173" t="str">
        <f t="shared" si="20"/>
        <v/>
      </c>
      <c r="AN160" s="181"/>
      <c r="AO160" s="190" t="s">
        <v>4213</v>
      </c>
      <c r="AP160" s="176">
        <v>10.57</v>
      </c>
      <c r="AQ160" s="176">
        <v>10.58</v>
      </c>
      <c r="AR160" s="176">
        <v>10.604999999999999</v>
      </c>
      <c r="AS160" s="176">
        <v>10.61</v>
      </c>
      <c r="AT160" s="173">
        <f t="shared" ca="1" si="17"/>
        <v>10</v>
      </c>
      <c r="AU160" s="173">
        <v>462</v>
      </c>
      <c r="AW160" s="142" t="s">
        <v>123</v>
      </c>
      <c r="AX160" s="142" t="str">
        <f>LEFT(RIGHT(C160,LEN(C160)-MIN(SEARCH({0,1,2,3,4,5,6,7,8,9},C160&amp;"0123456789"))+1),2)</f>
        <v>22</v>
      </c>
      <c r="AY160" s="142">
        <v>3</v>
      </c>
      <c r="AZ160" s="142" t="str">
        <f>LEFT(RIGHT(C160,LEN(C160)-MIN(SEARCH({0,1,2,3,4,5,6,7,8,9},C160&amp;"0123456789"))+1),5)</f>
        <v>22.01</v>
      </c>
      <c r="BA160" s="142" t="str">
        <f t="shared" si="21"/>
        <v>MI</v>
      </c>
    </row>
    <row r="161" spans="2:53" s="142" customFormat="1" ht="21" customHeight="1" x14ac:dyDescent="0.25">
      <c r="B161" s="173" t="str">
        <f t="shared" si="18"/>
        <v>0-304L/FH-1.50X766</v>
      </c>
      <c r="C161" s="173" t="s">
        <v>4386</v>
      </c>
      <c r="D161" s="173" t="s">
        <v>16</v>
      </c>
      <c r="E161" s="190" t="s">
        <v>4215</v>
      </c>
      <c r="F161" s="190" t="s">
        <v>4216</v>
      </c>
      <c r="G161" s="173" t="s">
        <v>182</v>
      </c>
      <c r="H161" s="173" t="s">
        <v>70</v>
      </c>
      <c r="I161" s="174">
        <v>3.88</v>
      </c>
      <c r="J161" s="174">
        <v>1.5</v>
      </c>
      <c r="K161" s="174"/>
      <c r="L161" s="174"/>
      <c r="M161" s="191">
        <v>766</v>
      </c>
      <c r="N161" s="176">
        <v>11.965</v>
      </c>
      <c r="O161" s="176">
        <v>11.965</v>
      </c>
      <c r="P161" s="176" t="s">
        <v>114</v>
      </c>
      <c r="Q161" s="178" t="s">
        <v>1540</v>
      </c>
      <c r="R161" s="179"/>
      <c r="S161" s="179"/>
      <c r="T161" s="177">
        <v>44949</v>
      </c>
      <c r="U161" s="177"/>
      <c r="V161" s="177">
        <v>44949</v>
      </c>
      <c r="W161" s="177"/>
      <c r="X161" s="177"/>
      <c r="Y161" s="177"/>
      <c r="Z161" s="177"/>
      <c r="AA161" s="177"/>
      <c r="AB161" s="177"/>
      <c r="AC161" s="177"/>
      <c r="AD161" s="180" t="s">
        <v>1605</v>
      </c>
      <c r="AE161" s="173" t="s">
        <v>69</v>
      </c>
      <c r="AF161" s="181" t="s">
        <v>142</v>
      </c>
      <c r="AG161" s="192" t="s">
        <v>1584</v>
      </c>
      <c r="AH161" s="198"/>
      <c r="AI161" s="181">
        <v>44914</v>
      </c>
      <c r="AJ161" s="181"/>
      <c r="AK161" s="181">
        <f t="shared" ca="1" si="16"/>
        <v>44958</v>
      </c>
      <c r="AL161" s="173">
        <f t="shared" ca="1" si="19"/>
        <v>44</v>
      </c>
      <c r="AM161" s="173" t="str">
        <f t="shared" si="20"/>
        <v/>
      </c>
      <c r="AN161" s="181"/>
      <c r="AO161" s="190" t="s">
        <v>2622</v>
      </c>
      <c r="AP161" s="176">
        <v>11.965</v>
      </c>
      <c r="AQ161" s="176">
        <v>11.975</v>
      </c>
      <c r="AR161" s="176">
        <v>11.999999999999998</v>
      </c>
      <c r="AS161" s="176">
        <v>12.004999999999999</v>
      </c>
      <c r="AT161" s="173">
        <f t="shared" ca="1" si="17"/>
        <v>9</v>
      </c>
      <c r="AU161" s="173">
        <v>462</v>
      </c>
      <c r="AW161" s="142" t="s">
        <v>123</v>
      </c>
      <c r="AX161" s="142" t="str">
        <f>LEFT(RIGHT(C161,LEN(C161)-MIN(SEARCH({0,1,2,3,4,5,6,7,8,9},C161&amp;"0123456789"))+1),2)</f>
        <v>23</v>
      </c>
      <c r="AY161" s="142">
        <v>1</v>
      </c>
      <c r="AZ161" s="142" t="str">
        <f>LEFT(RIGHT(C161,LEN(C161)-MIN(SEARCH({0,1,2,3,4,5,6,7,8,9},C161&amp;"0123456789"))+1),5)</f>
        <v>23.01</v>
      </c>
      <c r="BA161" s="142" t="str">
        <f t="shared" si="21"/>
        <v>MI</v>
      </c>
    </row>
    <row r="162" spans="2:53" s="142" customFormat="1" ht="21" customHeight="1" x14ac:dyDescent="0.25">
      <c r="B162" s="173" t="str">
        <f t="shared" si="18"/>
        <v>0-304/FH-1.15X769</v>
      </c>
      <c r="C162" s="173" t="s">
        <v>4386</v>
      </c>
      <c r="D162" s="173" t="s">
        <v>16</v>
      </c>
      <c r="E162" s="190" t="s">
        <v>4194</v>
      </c>
      <c r="F162" s="190" t="s">
        <v>4195</v>
      </c>
      <c r="G162" s="173">
        <v>304</v>
      </c>
      <c r="H162" s="173" t="s">
        <v>70</v>
      </c>
      <c r="I162" s="174">
        <v>3.77</v>
      </c>
      <c r="J162" s="174">
        <v>1.1499999999999999</v>
      </c>
      <c r="K162" s="174"/>
      <c r="L162" s="174"/>
      <c r="M162" s="191">
        <v>769</v>
      </c>
      <c r="N162" s="176">
        <v>10.4</v>
      </c>
      <c r="O162" s="176">
        <v>10.4</v>
      </c>
      <c r="P162" s="176" t="s">
        <v>114</v>
      </c>
      <c r="Q162" s="178" t="s">
        <v>1540</v>
      </c>
      <c r="R162" s="179"/>
      <c r="S162" s="179"/>
      <c r="T162" s="177">
        <v>44947</v>
      </c>
      <c r="U162" s="177"/>
      <c r="V162" s="177">
        <v>44949</v>
      </c>
      <c r="W162" s="177"/>
      <c r="X162" s="177"/>
      <c r="Y162" s="177"/>
      <c r="Z162" s="177"/>
      <c r="AA162" s="177"/>
      <c r="AB162" s="177"/>
      <c r="AC162" s="177"/>
      <c r="AD162" s="180" t="s">
        <v>2448</v>
      </c>
      <c r="AE162" s="173" t="s">
        <v>69</v>
      </c>
      <c r="AF162" s="181" t="s">
        <v>142</v>
      </c>
      <c r="AG162" s="192" t="s">
        <v>1584</v>
      </c>
      <c r="AH162" s="198"/>
      <c r="AI162" s="181">
        <v>44914</v>
      </c>
      <c r="AJ162" s="181"/>
      <c r="AK162" s="181">
        <f t="shared" ca="1" si="16"/>
        <v>44958</v>
      </c>
      <c r="AL162" s="173">
        <f t="shared" ca="1" si="19"/>
        <v>44</v>
      </c>
      <c r="AM162" s="173" t="str">
        <f t="shared" si="20"/>
        <v/>
      </c>
      <c r="AN162" s="181"/>
      <c r="AO162" s="190" t="s">
        <v>4041</v>
      </c>
      <c r="AP162" s="176">
        <v>10.4</v>
      </c>
      <c r="AQ162" s="176">
        <v>10.41</v>
      </c>
      <c r="AR162" s="176">
        <v>10.434999999999999</v>
      </c>
      <c r="AS162" s="176">
        <v>10.44</v>
      </c>
      <c r="AT162" s="173">
        <f t="shared" ca="1" si="17"/>
        <v>9</v>
      </c>
      <c r="AU162" s="173">
        <v>462</v>
      </c>
      <c r="AW162" s="142" t="s">
        <v>123</v>
      </c>
      <c r="AX162" s="142" t="str">
        <f>LEFT(RIGHT(C162,LEN(C162)-MIN(SEARCH({0,1,2,3,4,5,6,7,8,9},C162&amp;"0123456789"))+1),2)</f>
        <v>23</v>
      </c>
      <c r="AY162" s="142">
        <v>1</v>
      </c>
      <c r="AZ162" s="142" t="str">
        <f>LEFT(RIGHT(C162,LEN(C162)-MIN(SEARCH({0,1,2,3,4,5,6,7,8,9},C162&amp;"0123456789"))+1),5)</f>
        <v>23.01</v>
      </c>
      <c r="BA162" s="142" t="str">
        <f t="shared" si="21"/>
        <v>MI</v>
      </c>
    </row>
    <row r="163" spans="2:53" s="142" customFormat="1" ht="21" customHeight="1" x14ac:dyDescent="0.25">
      <c r="B163" s="173" t="str">
        <f t="shared" si="18"/>
        <v>0-304/FH-1.00X773</v>
      </c>
      <c r="C163" s="173" t="s">
        <v>4386</v>
      </c>
      <c r="D163" s="173" t="s">
        <v>16</v>
      </c>
      <c r="E163" s="190" t="s">
        <v>2668</v>
      </c>
      <c r="F163" s="190" t="s">
        <v>2669</v>
      </c>
      <c r="G163" s="173">
        <v>304</v>
      </c>
      <c r="H163" s="173" t="s">
        <v>70</v>
      </c>
      <c r="I163" s="174">
        <v>2.89</v>
      </c>
      <c r="J163" s="174">
        <v>1</v>
      </c>
      <c r="K163" s="174"/>
      <c r="L163" s="174"/>
      <c r="M163" s="191">
        <v>773</v>
      </c>
      <c r="N163" s="176">
        <v>10.574999999999999</v>
      </c>
      <c r="O163" s="176">
        <v>10.574999999999999</v>
      </c>
      <c r="P163" s="176" t="s">
        <v>114</v>
      </c>
      <c r="Q163" s="178" t="s">
        <v>1540</v>
      </c>
      <c r="R163" s="179"/>
      <c r="S163" s="179"/>
      <c r="T163" s="177">
        <v>44949</v>
      </c>
      <c r="U163" s="177"/>
      <c r="V163" s="177">
        <v>44949</v>
      </c>
      <c r="W163" s="177"/>
      <c r="X163" s="177"/>
      <c r="Y163" s="177"/>
      <c r="Z163" s="177"/>
      <c r="AA163" s="177"/>
      <c r="AB163" s="177"/>
      <c r="AC163" s="177"/>
      <c r="AD163" s="180" t="s">
        <v>1605</v>
      </c>
      <c r="AE163" s="173" t="s">
        <v>69</v>
      </c>
      <c r="AF163" s="181" t="s">
        <v>142</v>
      </c>
      <c r="AG163" s="192" t="s">
        <v>1584</v>
      </c>
      <c r="AH163" s="198"/>
      <c r="AI163" s="181">
        <v>44914</v>
      </c>
      <c r="AJ163" s="181"/>
      <c r="AK163" s="181">
        <f t="shared" ca="1" si="16"/>
        <v>44958</v>
      </c>
      <c r="AL163" s="173">
        <f t="shared" ca="1" si="19"/>
        <v>44</v>
      </c>
      <c r="AM163" s="173" t="str">
        <f t="shared" si="20"/>
        <v/>
      </c>
      <c r="AN163" s="181"/>
      <c r="AO163" s="190" t="s">
        <v>2667</v>
      </c>
      <c r="AP163" s="176">
        <v>10.574999999999999</v>
      </c>
      <c r="AQ163" s="176">
        <v>10.585000000000001</v>
      </c>
      <c r="AR163" s="176">
        <v>10.61</v>
      </c>
      <c r="AS163" s="176">
        <v>10.615</v>
      </c>
      <c r="AT163" s="173">
        <f t="shared" ca="1" si="17"/>
        <v>9</v>
      </c>
      <c r="AU163" s="173">
        <v>462</v>
      </c>
      <c r="AW163" s="142" t="s">
        <v>123</v>
      </c>
      <c r="AX163" s="142" t="str">
        <f>LEFT(RIGHT(C163,LEN(C163)-MIN(SEARCH({0,1,2,3,4,5,6,7,8,9},C163&amp;"0123456789"))+1),2)</f>
        <v>23</v>
      </c>
      <c r="AY163" s="142">
        <v>1</v>
      </c>
      <c r="AZ163" s="142" t="str">
        <f>LEFT(RIGHT(C163,LEN(C163)-MIN(SEARCH({0,1,2,3,4,5,6,7,8,9},C163&amp;"0123456789"))+1),5)</f>
        <v>23.01</v>
      </c>
      <c r="BA163" s="142" t="str">
        <f t="shared" si="21"/>
        <v>MI</v>
      </c>
    </row>
    <row r="164" spans="2:53" s="142" customFormat="1" ht="21" customHeight="1" x14ac:dyDescent="0.25">
      <c r="B164" s="173" t="str">
        <f t="shared" si="18"/>
        <v>0-304L/FH-1.45X771</v>
      </c>
      <c r="C164" s="173" t="s">
        <v>4386</v>
      </c>
      <c r="D164" s="173" t="s">
        <v>16</v>
      </c>
      <c r="E164" s="190" t="s">
        <v>2442</v>
      </c>
      <c r="F164" s="190" t="s">
        <v>2443</v>
      </c>
      <c r="G164" s="173" t="s">
        <v>182</v>
      </c>
      <c r="H164" s="173" t="s">
        <v>70</v>
      </c>
      <c r="I164" s="174">
        <v>3.93</v>
      </c>
      <c r="J164" s="174">
        <v>1.45</v>
      </c>
      <c r="K164" s="174"/>
      <c r="L164" s="174"/>
      <c r="M164" s="191">
        <v>771</v>
      </c>
      <c r="N164" s="176">
        <v>10.26</v>
      </c>
      <c r="O164" s="176">
        <v>10.26</v>
      </c>
      <c r="P164" s="176" t="s">
        <v>114</v>
      </c>
      <c r="Q164" s="178" t="s">
        <v>2444</v>
      </c>
      <c r="R164" s="179"/>
      <c r="S164" s="179"/>
      <c r="T164" s="177">
        <v>44949</v>
      </c>
      <c r="U164" s="177"/>
      <c r="V164" s="177">
        <v>44949</v>
      </c>
      <c r="W164" s="177"/>
      <c r="X164" s="177"/>
      <c r="Y164" s="177"/>
      <c r="Z164" s="177"/>
      <c r="AA164" s="177"/>
      <c r="AB164" s="177"/>
      <c r="AC164" s="177"/>
      <c r="AD164" s="180" t="s">
        <v>1605</v>
      </c>
      <c r="AE164" s="173" t="s">
        <v>69</v>
      </c>
      <c r="AF164" s="181" t="s">
        <v>142</v>
      </c>
      <c r="AG164" s="192" t="s">
        <v>1584</v>
      </c>
      <c r="AH164" s="198"/>
      <c r="AI164" s="181">
        <v>44914</v>
      </c>
      <c r="AJ164" s="181"/>
      <c r="AK164" s="181">
        <f t="shared" ca="1" si="16"/>
        <v>44958</v>
      </c>
      <c r="AL164" s="173">
        <f t="shared" ca="1" si="19"/>
        <v>44</v>
      </c>
      <c r="AM164" s="173" t="str">
        <f t="shared" si="20"/>
        <v/>
      </c>
      <c r="AN164" s="181"/>
      <c r="AO164" s="190" t="s">
        <v>2445</v>
      </c>
      <c r="AP164" s="176">
        <v>10.26</v>
      </c>
      <c r="AQ164" s="176">
        <v>10.27</v>
      </c>
      <c r="AR164" s="176">
        <v>10.294999999999998</v>
      </c>
      <c r="AS164" s="176">
        <v>10.299999999999999</v>
      </c>
      <c r="AT164" s="173">
        <f t="shared" ca="1" si="17"/>
        <v>9</v>
      </c>
      <c r="AU164" s="173">
        <v>462</v>
      </c>
      <c r="AW164" s="142" t="s">
        <v>123</v>
      </c>
      <c r="AX164" s="142" t="str">
        <f>LEFT(RIGHT(C164,LEN(C164)-MIN(SEARCH({0,1,2,3,4,5,6,7,8,9},C164&amp;"0123456789"))+1),2)</f>
        <v>23</v>
      </c>
      <c r="AY164" s="142">
        <v>2</v>
      </c>
      <c r="AZ164" s="142" t="str">
        <f>LEFT(RIGHT(C164,LEN(C164)-MIN(SEARCH({0,1,2,3,4,5,6,7,8,9},C164&amp;"0123456789"))+1),5)</f>
        <v>23.01</v>
      </c>
      <c r="BA164" s="142" t="str">
        <f t="shared" si="21"/>
        <v>MI</v>
      </c>
    </row>
    <row r="165" spans="2:53" s="142" customFormat="1" ht="21" customHeight="1" x14ac:dyDescent="0.25">
      <c r="B165" s="173" t="str">
        <f t="shared" si="18"/>
        <v>0-304L/FH-1.50X770</v>
      </c>
      <c r="C165" s="173" t="s">
        <v>4386</v>
      </c>
      <c r="D165" s="173" t="s">
        <v>16</v>
      </c>
      <c r="E165" s="190" t="s">
        <v>2638</v>
      </c>
      <c r="F165" s="190" t="s">
        <v>2639</v>
      </c>
      <c r="G165" s="173" t="s">
        <v>182</v>
      </c>
      <c r="H165" s="173" t="s">
        <v>70</v>
      </c>
      <c r="I165" s="174">
        <v>3.88</v>
      </c>
      <c r="J165" s="174">
        <v>1.5</v>
      </c>
      <c r="K165" s="174"/>
      <c r="L165" s="174"/>
      <c r="M165" s="191">
        <v>770</v>
      </c>
      <c r="N165" s="176">
        <v>11.28</v>
      </c>
      <c r="O165" s="176">
        <v>11.28</v>
      </c>
      <c r="P165" s="176" t="s">
        <v>114</v>
      </c>
      <c r="Q165" s="178" t="s">
        <v>2640</v>
      </c>
      <c r="R165" s="179"/>
      <c r="S165" s="179"/>
      <c r="T165" s="177">
        <v>44949</v>
      </c>
      <c r="U165" s="177"/>
      <c r="V165" s="177">
        <v>44949</v>
      </c>
      <c r="W165" s="177"/>
      <c r="X165" s="177"/>
      <c r="Y165" s="177"/>
      <c r="Z165" s="177"/>
      <c r="AA165" s="177"/>
      <c r="AB165" s="177"/>
      <c r="AC165" s="177"/>
      <c r="AD165" s="180" t="s">
        <v>1643</v>
      </c>
      <c r="AE165" s="173" t="s">
        <v>69</v>
      </c>
      <c r="AF165" s="181" t="s">
        <v>142</v>
      </c>
      <c r="AG165" s="192" t="s">
        <v>1584</v>
      </c>
      <c r="AH165" s="198"/>
      <c r="AI165" s="181">
        <v>44914</v>
      </c>
      <c r="AJ165" s="181"/>
      <c r="AK165" s="181">
        <f t="shared" ca="1" si="16"/>
        <v>44958</v>
      </c>
      <c r="AL165" s="173">
        <f t="shared" ca="1" si="19"/>
        <v>44</v>
      </c>
      <c r="AM165" s="173" t="str">
        <f t="shared" si="20"/>
        <v/>
      </c>
      <c r="AN165" s="181"/>
      <c r="AO165" s="190" t="s">
        <v>2641</v>
      </c>
      <c r="AP165" s="176">
        <v>11.28</v>
      </c>
      <c r="AQ165" s="176">
        <v>11.29</v>
      </c>
      <c r="AR165" s="176">
        <v>11.314999999999998</v>
      </c>
      <c r="AS165" s="176">
        <v>11.319999999999999</v>
      </c>
      <c r="AT165" s="173">
        <f t="shared" ca="1" si="17"/>
        <v>9</v>
      </c>
      <c r="AU165" s="173">
        <v>462</v>
      </c>
      <c r="AW165" s="142" t="s">
        <v>123</v>
      </c>
      <c r="AX165" s="142" t="str">
        <f>LEFT(RIGHT(C165,LEN(C165)-MIN(SEARCH({0,1,2,3,4,5,6,7,8,9},C165&amp;"0123456789"))+1),2)</f>
        <v>23</v>
      </c>
      <c r="AY165" s="142">
        <v>2</v>
      </c>
      <c r="AZ165" s="142" t="str">
        <f>LEFT(RIGHT(C165,LEN(C165)-MIN(SEARCH({0,1,2,3,4,5,6,7,8,9},C165&amp;"0123456789"))+1),5)</f>
        <v>23.01</v>
      </c>
      <c r="BA165" s="142" t="str">
        <f t="shared" si="21"/>
        <v>MI</v>
      </c>
    </row>
    <row r="166" spans="2:53" s="142" customFormat="1" ht="21" customHeight="1" x14ac:dyDescent="0.25">
      <c r="B166" s="173" t="str">
        <f t="shared" si="18"/>
        <v>0-304/FH-1.15X764</v>
      </c>
      <c r="C166" s="173" t="s">
        <v>4386</v>
      </c>
      <c r="D166" s="173" t="s">
        <v>16</v>
      </c>
      <c r="E166" s="190" t="s">
        <v>2492</v>
      </c>
      <c r="F166" s="190" t="s">
        <v>2493</v>
      </c>
      <c r="G166" s="173">
        <v>304</v>
      </c>
      <c r="H166" s="173" t="s">
        <v>70</v>
      </c>
      <c r="I166" s="174">
        <v>3.79</v>
      </c>
      <c r="J166" s="174">
        <v>1.1499999999999999</v>
      </c>
      <c r="K166" s="174"/>
      <c r="L166" s="174"/>
      <c r="M166" s="191">
        <v>764</v>
      </c>
      <c r="N166" s="176">
        <v>10.220000000000001</v>
      </c>
      <c r="O166" s="176">
        <v>10.220000000000001</v>
      </c>
      <c r="P166" s="176" t="s">
        <v>114</v>
      </c>
      <c r="Q166" s="178" t="s">
        <v>2444</v>
      </c>
      <c r="R166" s="179"/>
      <c r="S166" s="179"/>
      <c r="T166" s="177">
        <v>44949</v>
      </c>
      <c r="U166" s="177"/>
      <c r="V166" s="177">
        <v>44949</v>
      </c>
      <c r="W166" s="177"/>
      <c r="X166" s="177"/>
      <c r="Y166" s="177"/>
      <c r="Z166" s="177"/>
      <c r="AA166" s="177"/>
      <c r="AB166" s="177"/>
      <c r="AC166" s="177"/>
      <c r="AD166" s="180" t="s">
        <v>2448</v>
      </c>
      <c r="AE166" s="173" t="s">
        <v>69</v>
      </c>
      <c r="AF166" s="181" t="s">
        <v>142</v>
      </c>
      <c r="AG166" s="192" t="s">
        <v>1584</v>
      </c>
      <c r="AH166" s="198"/>
      <c r="AI166" s="181">
        <v>44914</v>
      </c>
      <c r="AJ166" s="181"/>
      <c r="AK166" s="181">
        <f t="shared" ca="1" si="16"/>
        <v>44958</v>
      </c>
      <c r="AL166" s="173">
        <f t="shared" ca="1" si="19"/>
        <v>44</v>
      </c>
      <c r="AM166" s="173" t="str">
        <f t="shared" si="20"/>
        <v/>
      </c>
      <c r="AN166" s="181"/>
      <c r="AO166" s="190" t="s">
        <v>2491</v>
      </c>
      <c r="AP166" s="176">
        <v>10.220000000000001</v>
      </c>
      <c r="AQ166" s="176">
        <v>10.23</v>
      </c>
      <c r="AR166" s="176">
        <v>10.254999999999999</v>
      </c>
      <c r="AS166" s="176">
        <v>10.26</v>
      </c>
      <c r="AT166" s="173">
        <f t="shared" ca="1" si="17"/>
        <v>9</v>
      </c>
      <c r="AU166" s="173">
        <v>462</v>
      </c>
      <c r="AW166" s="142" t="s">
        <v>123</v>
      </c>
      <c r="AX166" s="142" t="str">
        <f>LEFT(RIGHT(C166,LEN(C166)-MIN(SEARCH({0,1,2,3,4,5,6,7,8,9},C166&amp;"0123456789"))+1),2)</f>
        <v>23</v>
      </c>
      <c r="AY166" s="142">
        <v>2</v>
      </c>
      <c r="AZ166" s="142" t="str">
        <f>LEFT(RIGHT(C166,LEN(C166)-MIN(SEARCH({0,1,2,3,4,5,6,7,8,9},C166&amp;"0123456789"))+1),5)</f>
        <v>23.01</v>
      </c>
      <c r="BA166" s="142" t="str">
        <f t="shared" si="21"/>
        <v>MI</v>
      </c>
    </row>
    <row r="167" spans="2:53" s="142" customFormat="1" ht="21" customHeight="1" x14ac:dyDescent="0.25">
      <c r="B167" s="173" t="str">
        <f t="shared" si="18"/>
        <v>0-304L/FH-2.00X772</v>
      </c>
      <c r="C167" s="173" t="s">
        <v>4386</v>
      </c>
      <c r="D167" s="173" t="s">
        <v>16</v>
      </c>
      <c r="E167" s="190" t="s">
        <v>4224</v>
      </c>
      <c r="F167" s="190" t="s">
        <v>4225</v>
      </c>
      <c r="G167" s="173" t="s">
        <v>182</v>
      </c>
      <c r="H167" s="173" t="s">
        <v>70</v>
      </c>
      <c r="I167" s="174">
        <v>3.97</v>
      </c>
      <c r="J167" s="174">
        <v>2</v>
      </c>
      <c r="K167" s="174"/>
      <c r="L167" s="174"/>
      <c r="M167" s="191">
        <v>772</v>
      </c>
      <c r="N167" s="176">
        <v>10.525</v>
      </c>
      <c r="O167" s="176">
        <v>10.525</v>
      </c>
      <c r="P167" s="176" t="s">
        <v>114</v>
      </c>
      <c r="Q167" s="178" t="s">
        <v>1540</v>
      </c>
      <c r="R167" s="179"/>
      <c r="S167" s="179"/>
      <c r="T167" s="177">
        <v>44949</v>
      </c>
      <c r="U167" s="177"/>
      <c r="V167" s="177">
        <v>44949</v>
      </c>
      <c r="W167" s="177"/>
      <c r="X167" s="177"/>
      <c r="Y167" s="177"/>
      <c r="Z167" s="177"/>
      <c r="AA167" s="177"/>
      <c r="AB167" s="177"/>
      <c r="AC167" s="177"/>
      <c r="AD167" s="180" t="s">
        <v>2448</v>
      </c>
      <c r="AE167" s="173" t="s">
        <v>69</v>
      </c>
      <c r="AF167" s="181" t="s">
        <v>142</v>
      </c>
      <c r="AG167" s="192" t="s">
        <v>1584</v>
      </c>
      <c r="AH167" s="198"/>
      <c r="AI167" s="181">
        <v>44914</v>
      </c>
      <c r="AJ167" s="181"/>
      <c r="AK167" s="181">
        <f t="shared" ca="1" si="16"/>
        <v>44958</v>
      </c>
      <c r="AL167" s="173">
        <f t="shared" ca="1" si="19"/>
        <v>44</v>
      </c>
      <c r="AM167" s="173" t="str">
        <f t="shared" si="20"/>
        <v/>
      </c>
      <c r="AN167" s="181"/>
      <c r="AO167" s="190" t="s">
        <v>2628</v>
      </c>
      <c r="AP167" s="176">
        <v>10.525</v>
      </c>
      <c r="AQ167" s="176">
        <v>10.535</v>
      </c>
      <c r="AR167" s="176">
        <v>10.559999999999999</v>
      </c>
      <c r="AS167" s="176">
        <v>10.565</v>
      </c>
      <c r="AT167" s="173">
        <f t="shared" ca="1" si="17"/>
        <v>9</v>
      </c>
      <c r="AU167" s="173">
        <v>462</v>
      </c>
      <c r="AW167" s="142" t="s">
        <v>123</v>
      </c>
      <c r="AX167" s="142" t="str">
        <f>LEFT(RIGHT(C167,LEN(C167)-MIN(SEARCH({0,1,2,3,4,5,6,7,8,9},C167&amp;"0123456789"))+1),2)</f>
        <v>23</v>
      </c>
      <c r="AY167" s="142">
        <v>3</v>
      </c>
      <c r="AZ167" s="142" t="str">
        <f>LEFT(RIGHT(C167,LEN(C167)-MIN(SEARCH({0,1,2,3,4,5,6,7,8,9},C167&amp;"0123456789"))+1),5)</f>
        <v>23.01</v>
      </c>
      <c r="BA167" s="142" t="str">
        <f t="shared" si="21"/>
        <v>MI</v>
      </c>
    </row>
    <row r="168" spans="2:53" s="142" customFormat="1" ht="21" customHeight="1" x14ac:dyDescent="0.25">
      <c r="B168" s="173" t="str">
        <f t="shared" si="18"/>
        <v>0-304/FH-1.15X764</v>
      </c>
      <c r="C168" s="173" t="s">
        <v>4386</v>
      </c>
      <c r="D168" s="173" t="s">
        <v>16</v>
      </c>
      <c r="E168" s="190" t="s">
        <v>2489</v>
      </c>
      <c r="F168" s="190" t="s">
        <v>2490</v>
      </c>
      <c r="G168" s="173">
        <v>304</v>
      </c>
      <c r="H168" s="173" t="s">
        <v>70</v>
      </c>
      <c r="I168" s="174">
        <v>3.78</v>
      </c>
      <c r="J168" s="174">
        <v>1.1499999999999999</v>
      </c>
      <c r="K168" s="174"/>
      <c r="L168" s="174"/>
      <c r="M168" s="191">
        <v>764</v>
      </c>
      <c r="N168" s="176">
        <v>10.26</v>
      </c>
      <c r="O168" s="176">
        <v>10.26</v>
      </c>
      <c r="P168" s="176" t="s">
        <v>114</v>
      </c>
      <c r="Q168" s="178" t="s">
        <v>2444</v>
      </c>
      <c r="R168" s="179"/>
      <c r="S168" s="179"/>
      <c r="T168" s="177">
        <v>44949</v>
      </c>
      <c r="U168" s="177"/>
      <c r="V168" s="177">
        <v>44949</v>
      </c>
      <c r="W168" s="177"/>
      <c r="X168" s="177"/>
      <c r="Y168" s="177"/>
      <c r="Z168" s="177"/>
      <c r="AA168" s="177"/>
      <c r="AB168" s="177"/>
      <c r="AC168" s="177"/>
      <c r="AD168" s="180" t="s">
        <v>2448</v>
      </c>
      <c r="AE168" s="173" t="s">
        <v>69</v>
      </c>
      <c r="AF168" s="181" t="s">
        <v>142</v>
      </c>
      <c r="AG168" s="192" t="s">
        <v>1584</v>
      </c>
      <c r="AH168" s="198"/>
      <c r="AI168" s="181">
        <v>44914</v>
      </c>
      <c r="AJ168" s="181"/>
      <c r="AK168" s="181">
        <f t="shared" ca="1" si="16"/>
        <v>44958</v>
      </c>
      <c r="AL168" s="173">
        <f t="shared" ca="1" si="19"/>
        <v>44</v>
      </c>
      <c r="AM168" s="173" t="str">
        <f t="shared" si="20"/>
        <v/>
      </c>
      <c r="AN168" s="181"/>
      <c r="AO168" s="190" t="s">
        <v>2491</v>
      </c>
      <c r="AP168" s="176">
        <v>10.26</v>
      </c>
      <c r="AQ168" s="176">
        <v>10.27</v>
      </c>
      <c r="AR168" s="176">
        <v>10.294999999999998</v>
      </c>
      <c r="AS168" s="176">
        <v>10.299999999999999</v>
      </c>
      <c r="AT168" s="173">
        <f t="shared" ca="1" si="17"/>
        <v>9</v>
      </c>
      <c r="AU168" s="173">
        <v>462</v>
      </c>
      <c r="AW168" s="142" t="s">
        <v>123</v>
      </c>
      <c r="AX168" s="142" t="str">
        <f>LEFT(RIGHT(C168,LEN(C168)-MIN(SEARCH({0,1,2,3,4,5,6,7,8,9},C168&amp;"0123456789"))+1),2)</f>
        <v>23</v>
      </c>
      <c r="AY168" s="142">
        <v>3</v>
      </c>
      <c r="AZ168" s="142" t="str">
        <f>LEFT(RIGHT(C168,LEN(C168)-MIN(SEARCH({0,1,2,3,4,5,6,7,8,9},C168&amp;"0123456789"))+1),5)</f>
        <v>23.01</v>
      </c>
      <c r="BA168" s="142" t="str">
        <f t="shared" si="21"/>
        <v>MI</v>
      </c>
    </row>
    <row r="169" spans="2:53" s="142" customFormat="1" ht="21" customHeight="1" x14ac:dyDescent="0.25">
      <c r="B169" s="173" t="str">
        <f t="shared" si="18"/>
        <v>0-304L/FH-0.88X772</v>
      </c>
      <c r="C169" s="173" t="s">
        <v>4387</v>
      </c>
      <c r="D169" s="173" t="s">
        <v>16</v>
      </c>
      <c r="E169" s="190" t="s">
        <v>2693</v>
      </c>
      <c r="F169" s="190" t="s">
        <v>2694</v>
      </c>
      <c r="G169" s="173" t="s">
        <v>182</v>
      </c>
      <c r="H169" s="173" t="s">
        <v>70</v>
      </c>
      <c r="I169" s="174">
        <v>2.77</v>
      </c>
      <c r="J169" s="174">
        <v>0.88</v>
      </c>
      <c r="K169" s="174"/>
      <c r="L169" s="174"/>
      <c r="M169" s="191">
        <v>772</v>
      </c>
      <c r="N169" s="176">
        <v>10.535</v>
      </c>
      <c r="O169" s="176">
        <v>10.535</v>
      </c>
      <c r="P169" s="176" t="s">
        <v>114</v>
      </c>
      <c r="Q169" s="178" t="s">
        <v>2444</v>
      </c>
      <c r="R169" s="179"/>
      <c r="S169" s="179"/>
      <c r="T169" s="177">
        <v>44949</v>
      </c>
      <c r="U169" s="177"/>
      <c r="V169" s="177">
        <v>44950</v>
      </c>
      <c r="W169" s="177"/>
      <c r="X169" s="177"/>
      <c r="Y169" s="177"/>
      <c r="Z169" s="177"/>
      <c r="AA169" s="177"/>
      <c r="AB169" s="177"/>
      <c r="AC169" s="177"/>
      <c r="AD169" s="180" t="s">
        <v>1643</v>
      </c>
      <c r="AE169" s="173" t="s">
        <v>69</v>
      </c>
      <c r="AF169" s="181" t="s">
        <v>142</v>
      </c>
      <c r="AG169" s="192" t="s">
        <v>1584</v>
      </c>
      <c r="AH169" s="198"/>
      <c r="AI169" s="181">
        <v>44914</v>
      </c>
      <c r="AJ169" s="181"/>
      <c r="AK169" s="181">
        <f t="shared" ca="1" si="16"/>
        <v>44958</v>
      </c>
      <c r="AL169" s="173">
        <f t="shared" ca="1" si="19"/>
        <v>44</v>
      </c>
      <c r="AM169" s="173" t="str">
        <f t="shared" si="20"/>
        <v/>
      </c>
      <c r="AN169" s="181"/>
      <c r="AO169" s="190" t="s">
        <v>2695</v>
      </c>
      <c r="AP169" s="176">
        <v>10.535</v>
      </c>
      <c r="AQ169" s="176">
        <v>10.545</v>
      </c>
      <c r="AR169" s="176">
        <v>10.569999999999999</v>
      </c>
      <c r="AS169" s="176">
        <v>10.574999999999999</v>
      </c>
      <c r="AT169" s="173">
        <f t="shared" ca="1" si="17"/>
        <v>8</v>
      </c>
      <c r="AU169" s="173">
        <v>462</v>
      </c>
      <c r="AW169" s="142" t="s">
        <v>123</v>
      </c>
      <c r="AX169" s="142" t="str">
        <f>LEFT(RIGHT(C169,LEN(C169)-MIN(SEARCH({0,1,2,3,4,5,6,7,8,9},C169&amp;"0123456789"))+1),2)</f>
        <v>24</v>
      </c>
      <c r="AY169" s="142">
        <v>1</v>
      </c>
      <c r="AZ169" s="142" t="str">
        <f>LEFT(RIGHT(C169,LEN(C169)-MIN(SEARCH({0,1,2,3,4,5,6,7,8,9},C169&amp;"0123456789"))+1),5)</f>
        <v>24.01</v>
      </c>
      <c r="BA169" s="142" t="str">
        <f t="shared" si="21"/>
        <v>MI</v>
      </c>
    </row>
    <row r="170" spans="2:53" s="142" customFormat="1" ht="21" customHeight="1" x14ac:dyDescent="0.25">
      <c r="B170" s="173" t="str">
        <f t="shared" si="18"/>
        <v>0-304/FH-1.15X770</v>
      </c>
      <c r="C170" s="173" t="s">
        <v>4387</v>
      </c>
      <c r="D170" s="173" t="s">
        <v>16</v>
      </c>
      <c r="E170" s="190" t="s">
        <v>2499</v>
      </c>
      <c r="F170" s="190" t="s">
        <v>2500</v>
      </c>
      <c r="G170" s="173">
        <v>304</v>
      </c>
      <c r="H170" s="173" t="s">
        <v>70</v>
      </c>
      <c r="I170" s="174">
        <v>3.79</v>
      </c>
      <c r="J170" s="174">
        <v>1.1499999999999999</v>
      </c>
      <c r="K170" s="174"/>
      <c r="L170" s="174"/>
      <c r="M170" s="191">
        <v>770</v>
      </c>
      <c r="N170" s="176">
        <v>11.86</v>
      </c>
      <c r="O170" s="176">
        <v>11.86</v>
      </c>
      <c r="P170" s="176" t="s">
        <v>114</v>
      </c>
      <c r="Q170" s="178" t="s">
        <v>2444</v>
      </c>
      <c r="R170" s="179"/>
      <c r="S170" s="179"/>
      <c r="T170" s="177">
        <v>44949</v>
      </c>
      <c r="U170" s="177"/>
      <c r="V170" s="177">
        <v>44950</v>
      </c>
      <c r="W170" s="177"/>
      <c r="X170" s="177"/>
      <c r="Y170" s="177"/>
      <c r="Z170" s="177"/>
      <c r="AA170" s="177"/>
      <c r="AB170" s="177"/>
      <c r="AC170" s="177"/>
      <c r="AD170" s="180" t="s">
        <v>2448</v>
      </c>
      <c r="AE170" s="173" t="s">
        <v>69</v>
      </c>
      <c r="AF170" s="181" t="s">
        <v>142</v>
      </c>
      <c r="AG170" s="192" t="s">
        <v>1584</v>
      </c>
      <c r="AH170" s="198"/>
      <c r="AI170" s="181">
        <v>44914</v>
      </c>
      <c r="AJ170" s="181"/>
      <c r="AK170" s="181">
        <f t="shared" ca="1" si="16"/>
        <v>44958</v>
      </c>
      <c r="AL170" s="173">
        <f t="shared" ca="1" si="19"/>
        <v>44</v>
      </c>
      <c r="AM170" s="173" t="str">
        <f t="shared" si="20"/>
        <v/>
      </c>
      <c r="AN170" s="181"/>
      <c r="AO170" s="190" t="s">
        <v>2501</v>
      </c>
      <c r="AP170" s="176">
        <v>11.86</v>
      </c>
      <c r="AQ170" s="176">
        <v>11.87</v>
      </c>
      <c r="AR170" s="176">
        <v>11.894999999999998</v>
      </c>
      <c r="AS170" s="176">
        <v>11.899999999999999</v>
      </c>
      <c r="AT170" s="173">
        <f t="shared" ca="1" si="17"/>
        <v>8</v>
      </c>
      <c r="AU170" s="173">
        <v>462</v>
      </c>
      <c r="AW170" s="142" t="s">
        <v>123</v>
      </c>
      <c r="AX170" s="142" t="str">
        <f>LEFT(RIGHT(C170,LEN(C170)-MIN(SEARCH({0,1,2,3,4,5,6,7,8,9},C170&amp;"0123456789"))+1),2)</f>
        <v>24</v>
      </c>
      <c r="AY170" s="142">
        <v>1</v>
      </c>
      <c r="AZ170" s="142" t="str">
        <f>LEFT(RIGHT(C170,LEN(C170)-MIN(SEARCH({0,1,2,3,4,5,6,7,8,9},C170&amp;"0123456789"))+1),5)</f>
        <v>24.01</v>
      </c>
      <c r="BA170" s="142" t="str">
        <f t="shared" si="21"/>
        <v>MI</v>
      </c>
    </row>
    <row r="171" spans="2:53" s="142" customFormat="1" ht="21" customHeight="1" x14ac:dyDescent="0.25">
      <c r="B171" s="173" t="str">
        <f t="shared" si="18"/>
        <v>0-304L/FH-1.90X770</v>
      </c>
      <c r="C171" s="173" t="s">
        <v>4387</v>
      </c>
      <c r="D171" s="173" t="s">
        <v>16</v>
      </c>
      <c r="E171" s="190" t="s">
        <v>2626</v>
      </c>
      <c r="F171" s="190" t="s">
        <v>2627</v>
      </c>
      <c r="G171" s="173" t="s">
        <v>182</v>
      </c>
      <c r="H171" s="173" t="s">
        <v>70</v>
      </c>
      <c r="I171" s="174">
        <v>3.96</v>
      </c>
      <c r="J171" s="174">
        <v>1.9</v>
      </c>
      <c r="K171" s="174"/>
      <c r="L171" s="174"/>
      <c r="M171" s="191">
        <v>770</v>
      </c>
      <c r="N171" s="176">
        <v>10.505000000000001</v>
      </c>
      <c r="O171" s="176">
        <v>10.505000000000001</v>
      </c>
      <c r="P171" s="176" t="s">
        <v>114</v>
      </c>
      <c r="Q171" s="178" t="s">
        <v>2444</v>
      </c>
      <c r="R171" s="179"/>
      <c r="S171" s="179"/>
      <c r="T171" s="177">
        <v>44950</v>
      </c>
      <c r="U171" s="177"/>
      <c r="V171" s="177">
        <v>44950</v>
      </c>
      <c r="W171" s="177"/>
      <c r="X171" s="177"/>
      <c r="Y171" s="177"/>
      <c r="Z171" s="177"/>
      <c r="AA171" s="177"/>
      <c r="AB171" s="177"/>
      <c r="AC171" s="177"/>
      <c r="AD171" s="180" t="s">
        <v>2448</v>
      </c>
      <c r="AE171" s="173" t="s">
        <v>69</v>
      </c>
      <c r="AF171" s="181" t="s">
        <v>142</v>
      </c>
      <c r="AG171" s="192" t="s">
        <v>1584</v>
      </c>
      <c r="AH171" s="198"/>
      <c r="AI171" s="181">
        <v>44914</v>
      </c>
      <c r="AJ171" s="181"/>
      <c r="AK171" s="181">
        <f t="shared" ca="1" si="16"/>
        <v>44958</v>
      </c>
      <c r="AL171" s="173">
        <f t="shared" ca="1" si="19"/>
        <v>44</v>
      </c>
      <c r="AM171" s="173" t="str">
        <f t="shared" si="20"/>
        <v/>
      </c>
      <c r="AN171" s="181"/>
      <c r="AO171" s="190" t="s">
        <v>2628</v>
      </c>
      <c r="AP171" s="176">
        <v>10.505000000000001</v>
      </c>
      <c r="AQ171" s="176">
        <v>10.515000000000001</v>
      </c>
      <c r="AR171" s="176">
        <v>10.54</v>
      </c>
      <c r="AS171" s="176">
        <v>10.545</v>
      </c>
      <c r="AT171" s="173">
        <f t="shared" ca="1" si="17"/>
        <v>8</v>
      </c>
      <c r="AU171" s="173">
        <v>462</v>
      </c>
      <c r="AW171" s="142" t="s">
        <v>123</v>
      </c>
      <c r="AX171" s="142" t="str">
        <f>LEFT(RIGHT(C171,LEN(C171)-MIN(SEARCH({0,1,2,3,4,5,6,7,8,9},C171&amp;"0123456789"))+1),2)</f>
        <v>24</v>
      </c>
      <c r="AY171" s="142">
        <v>1</v>
      </c>
      <c r="AZ171" s="142" t="str">
        <f>LEFT(RIGHT(C171,LEN(C171)-MIN(SEARCH({0,1,2,3,4,5,6,7,8,9},C171&amp;"0123456789"))+1),5)</f>
        <v>24.01</v>
      </c>
      <c r="BA171" s="142" t="str">
        <f t="shared" si="21"/>
        <v>MI</v>
      </c>
    </row>
    <row r="172" spans="2:53" s="142" customFormat="1" ht="21" customHeight="1" x14ac:dyDescent="0.25">
      <c r="B172" s="173" t="str">
        <f t="shared" si="18"/>
        <v>0-304L/FH-1.15X772</v>
      </c>
      <c r="C172" s="173" t="s">
        <v>4387</v>
      </c>
      <c r="D172" s="173" t="s">
        <v>16</v>
      </c>
      <c r="E172" s="190" t="s">
        <v>2610</v>
      </c>
      <c r="F172" s="190" t="s">
        <v>2611</v>
      </c>
      <c r="G172" s="173" t="s">
        <v>182</v>
      </c>
      <c r="H172" s="173" t="s">
        <v>70</v>
      </c>
      <c r="I172" s="174">
        <v>3.79</v>
      </c>
      <c r="J172" s="174">
        <v>1.1499999999999999</v>
      </c>
      <c r="K172" s="174"/>
      <c r="L172" s="174"/>
      <c r="M172" s="191">
        <v>772</v>
      </c>
      <c r="N172" s="176">
        <v>10.56</v>
      </c>
      <c r="O172" s="176">
        <v>10.56</v>
      </c>
      <c r="P172" s="176" t="s">
        <v>114</v>
      </c>
      <c r="Q172" s="178" t="s">
        <v>2444</v>
      </c>
      <c r="R172" s="179"/>
      <c r="S172" s="179"/>
      <c r="T172" s="177">
        <v>44950</v>
      </c>
      <c r="U172" s="177"/>
      <c r="V172" s="177">
        <v>44950</v>
      </c>
      <c r="W172" s="177"/>
      <c r="X172" s="177"/>
      <c r="Y172" s="177"/>
      <c r="Z172" s="177"/>
      <c r="AA172" s="177"/>
      <c r="AB172" s="177"/>
      <c r="AC172" s="177"/>
      <c r="AD172" s="180" t="s">
        <v>1643</v>
      </c>
      <c r="AE172" s="173" t="s">
        <v>69</v>
      </c>
      <c r="AF172" s="181" t="s">
        <v>142</v>
      </c>
      <c r="AG172" s="192" t="s">
        <v>1584</v>
      </c>
      <c r="AH172" s="198"/>
      <c r="AI172" s="181">
        <v>44914</v>
      </c>
      <c r="AJ172" s="181"/>
      <c r="AK172" s="181">
        <f t="shared" ca="1" si="16"/>
        <v>44958</v>
      </c>
      <c r="AL172" s="173">
        <f t="shared" ca="1" si="19"/>
        <v>44</v>
      </c>
      <c r="AM172" s="173" t="str">
        <f t="shared" si="20"/>
        <v/>
      </c>
      <c r="AN172" s="181"/>
      <c r="AO172" s="190" t="s">
        <v>2609</v>
      </c>
      <c r="AP172" s="176">
        <v>10.56</v>
      </c>
      <c r="AQ172" s="176">
        <v>10.57</v>
      </c>
      <c r="AR172" s="176">
        <v>10.594999999999999</v>
      </c>
      <c r="AS172" s="176">
        <v>10.6</v>
      </c>
      <c r="AT172" s="173">
        <f t="shared" ca="1" si="17"/>
        <v>8</v>
      </c>
      <c r="AU172" s="173">
        <v>462</v>
      </c>
      <c r="AW172" s="142" t="s">
        <v>123</v>
      </c>
      <c r="AX172" s="142" t="str">
        <f>LEFT(RIGHT(C172,LEN(C172)-MIN(SEARCH({0,1,2,3,4,5,6,7,8,9},C172&amp;"0123456789"))+1),2)</f>
        <v>24</v>
      </c>
      <c r="AY172" s="142">
        <v>1</v>
      </c>
      <c r="AZ172" s="142" t="str">
        <f>LEFT(RIGHT(C172,LEN(C172)-MIN(SEARCH({0,1,2,3,4,5,6,7,8,9},C172&amp;"0123456789"))+1),5)</f>
        <v>24.01</v>
      </c>
      <c r="BA172" s="142" t="str">
        <f t="shared" si="21"/>
        <v>MI</v>
      </c>
    </row>
    <row r="173" spans="2:53" s="142" customFormat="1" ht="21" customHeight="1" x14ac:dyDescent="0.25">
      <c r="B173" s="173" t="str">
        <f t="shared" si="18"/>
        <v>0-304L/FH-0.90X771</v>
      </c>
      <c r="C173" s="173" t="s">
        <v>4387</v>
      </c>
      <c r="D173" s="173" t="s">
        <v>16</v>
      </c>
      <c r="E173" s="190" t="s">
        <v>4228</v>
      </c>
      <c r="F173" s="190" t="s">
        <v>4229</v>
      </c>
      <c r="G173" s="173" t="s">
        <v>182</v>
      </c>
      <c r="H173" s="173" t="s">
        <v>70</v>
      </c>
      <c r="I173" s="174">
        <v>2.77</v>
      </c>
      <c r="J173" s="174">
        <v>0.9</v>
      </c>
      <c r="K173" s="174"/>
      <c r="L173" s="174"/>
      <c r="M173" s="191">
        <v>771</v>
      </c>
      <c r="N173" s="176">
        <v>10.55</v>
      </c>
      <c r="O173" s="176">
        <v>10.55</v>
      </c>
      <c r="P173" s="176" t="s">
        <v>114</v>
      </c>
      <c r="Q173" s="178" t="s">
        <v>1540</v>
      </c>
      <c r="R173" s="179"/>
      <c r="S173" s="179"/>
      <c r="T173" s="177">
        <v>44950</v>
      </c>
      <c r="U173" s="177"/>
      <c r="V173" s="177">
        <v>44950</v>
      </c>
      <c r="W173" s="177"/>
      <c r="X173" s="177"/>
      <c r="Y173" s="177"/>
      <c r="Z173" s="177"/>
      <c r="AA173" s="177"/>
      <c r="AB173" s="177"/>
      <c r="AC173" s="177"/>
      <c r="AD173" s="180" t="s">
        <v>1643</v>
      </c>
      <c r="AE173" s="173" t="s">
        <v>69</v>
      </c>
      <c r="AF173" s="181" t="s">
        <v>142</v>
      </c>
      <c r="AG173" s="192" t="s">
        <v>1584</v>
      </c>
      <c r="AH173" s="198"/>
      <c r="AI173" s="181">
        <v>44914</v>
      </c>
      <c r="AJ173" s="181"/>
      <c r="AK173" s="181">
        <f t="shared" ca="1" si="16"/>
        <v>44958</v>
      </c>
      <c r="AL173" s="173">
        <f t="shared" ca="1" si="19"/>
        <v>44</v>
      </c>
      <c r="AM173" s="173" t="str">
        <f t="shared" si="20"/>
        <v/>
      </c>
      <c r="AN173" s="181"/>
      <c r="AO173" s="190" t="s">
        <v>4213</v>
      </c>
      <c r="AP173" s="176">
        <v>10.55</v>
      </c>
      <c r="AQ173" s="176">
        <v>10.56</v>
      </c>
      <c r="AR173" s="176">
        <v>10.584999999999999</v>
      </c>
      <c r="AS173" s="176">
        <v>10.59</v>
      </c>
      <c r="AT173" s="173">
        <f t="shared" ca="1" si="17"/>
        <v>8</v>
      </c>
      <c r="AU173" s="173">
        <v>462</v>
      </c>
      <c r="AW173" s="142" t="s">
        <v>123</v>
      </c>
      <c r="AX173" s="142" t="str">
        <f>LEFT(RIGHT(C173,LEN(C173)-MIN(SEARCH({0,1,2,3,4,5,6,7,8,9},C173&amp;"0123456789"))+1),2)</f>
        <v>24</v>
      </c>
      <c r="AY173" s="142">
        <v>2</v>
      </c>
      <c r="AZ173" s="142" t="str">
        <f>LEFT(RIGHT(C173,LEN(C173)-MIN(SEARCH({0,1,2,3,4,5,6,7,8,9},C173&amp;"0123456789"))+1),5)</f>
        <v>24.01</v>
      </c>
      <c r="BA173" s="142" t="str">
        <f t="shared" si="21"/>
        <v>MI</v>
      </c>
    </row>
    <row r="174" spans="2:53" s="142" customFormat="1" ht="21" customHeight="1" x14ac:dyDescent="0.25">
      <c r="B174" s="173" t="str">
        <f t="shared" si="18"/>
        <v>0-304/FH-1.90X770</v>
      </c>
      <c r="C174" s="173" t="s">
        <v>4387</v>
      </c>
      <c r="D174" s="173" t="s">
        <v>16</v>
      </c>
      <c r="E174" s="190" t="s">
        <v>2562</v>
      </c>
      <c r="F174" s="190" t="s">
        <v>2563</v>
      </c>
      <c r="G174" s="173">
        <v>304</v>
      </c>
      <c r="H174" s="173" t="s">
        <v>70</v>
      </c>
      <c r="I174" s="174">
        <v>3.94</v>
      </c>
      <c r="J174" s="174">
        <v>1.9</v>
      </c>
      <c r="K174" s="174"/>
      <c r="L174" s="174"/>
      <c r="M174" s="191">
        <v>770</v>
      </c>
      <c r="N174" s="176">
        <v>9.6199999999999992</v>
      </c>
      <c r="O174" s="176">
        <v>9.6199999999999992</v>
      </c>
      <c r="P174" s="176" t="s">
        <v>114</v>
      </c>
      <c r="Q174" s="178" t="s">
        <v>2444</v>
      </c>
      <c r="R174" s="179"/>
      <c r="S174" s="179"/>
      <c r="T174" s="177">
        <v>44950</v>
      </c>
      <c r="U174" s="177"/>
      <c r="V174" s="177">
        <v>44950</v>
      </c>
      <c r="W174" s="177"/>
      <c r="X174" s="177"/>
      <c r="Y174" s="177"/>
      <c r="Z174" s="177"/>
      <c r="AA174" s="177"/>
      <c r="AB174" s="177"/>
      <c r="AC174" s="177"/>
      <c r="AD174" s="180" t="s">
        <v>1605</v>
      </c>
      <c r="AE174" s="173" t="s">
        <v>69</v>
      </c>
      <c r="AF174" s="181" t="s">
        <v>142</v>
      </c>
      <c r="AG174" s="192" t="s">
        <v>1584</v>
      </c>
      <c r="AH174" s="198"/>
      <c r="AI174" s="181">
        <v>44914</v>
      </c>
      <c r="AJ174" s="181"/>
      <c r="AK174" s="181">
        <f t="shared" ca="1" si="16"/>
        <v>44958</v>
      </c>
      <c r="AL174" s="173">
        <f t="shared" ca="1" si="19"/>
        <v>44</v>
      </c>
      <c r="AM174" s="173" t="str">
        <f t="shared" si="20"/>
        <v/>
      </c>
      <c r="AN174" s="181"/>
      <c r="AO174" s="190" t="s">
        <v>2564</v>
      </c>
      <c r="AP174" s="176">
        <v>9.6199999999999992</v>
      </c>
      <c r="AQ174" s="176">
        <v>9.6300000000000008</v>
      </c>
      <c r="AR174" s="176">
        <v>9.6549999999999994</v>
      </c>
      <c r="AS174" s="176">
        <v>9.66</v>
      </c>
      <c r="AT174" s="173">
        <f t="shared" ca="1" si="17"/>
        <v>8</v>
      </c>
      <c r="AU174" s="173">
        <v>462</v>
      </c>
      <c r="AW174" s="142" t="s">
        <v>123</v>
      </c>
      <c r="AX174" s="142" t="str">
        <f>LEFT(RIGHT(C174,LEN(C174)-MIN(SEARCH({0,1,2,3,4,5,6,7,8,9},C174&amp;"0123456789"))+1),2)</f>
        <v>24</v>
      </c>
      <c r="AY174" s="142">
        <v>2</v>
      </c>
      <c r="AZ174" s="142" t="str">
        <f>LEFT(RIGHT(C174,LEN(C174)-MIN(SEARCH({0,1,2,3,4,5,6,7,8,9},C174&amp;"0123456789"))+1),5)</f>
        <v>24.01</v>
      </c>
      <c r="BA174" s="142" t="str">
        <f t="shared" si="21"/>
        <v>MI</v>
      </c>
    </row>
    <row r="175" spans="2:53" s="142" customFormat="1" ht="21" customHeight="1" x14ac:dyDescent="0.25">
      <c r="B175" s="173" t="str">
        <f t="shared" si="18"/>
        <v>0-304L/FH-1.20X770</v>
      </c>
      <c r="C175" s="173" t="s">
        <v>4387</v>
      </c>
      <c r="D175" s="173" t="s">
        <v>16</v>
      </c>
      <c r="E175" s="190" t="s">
        <v>2607</v>
      </c>
      <c r="F175" s="190" t="s">
        <v>2608</v>
      </c>
      <c r="G175" s="173" t="s">
        <v>182</v>
      </c>
      <c r="H175" s="173" t="s">
        <v>70</v>
      </c>
      <c r="I175" s="174">
        <v>3.79</v>
      </c>
      <c r="J175" s="174">
        <v>1.2</v>
      </c>
      <c r="K175" s="174"/>
      <c r="L175" s="174"/>
      <c r="M175" s="191">
        <v>770</v>
      </c>
      <c r="N175" s="176">
        <v>10.525</v>
      </c>
      <c r="O175" s="176">
        <v>10.525</v>
      </c>
      <c r="P175" s="176" t="s">
        <v>114</v>
      </c>
      <c r="Q175" s="178" t="s">
        <v>1506</v>
      </c>
      <c r="R175" s="179"/>
      <c r="S175" s="179"/>
      <c r="T175" s="177">
        <v>44950</v>
      </c>
      <c r="U175" s="177"/>
      <c r="V175" s="177">
        <v>44950</v>
      </c>
      <c r="W175" s="177"/>
      <c r="X175" s="177"/>
      <c r="Y175" s="177"/>
      <c r="Z175" s="177"/>
      <c r="AA175" s="177"/>
      <c r="AB175" s="177"/>
      <c r="AC175" s="177"/>
      <c r="AD175" s="180" t="s">
        <v>2448</v>
      </c>
      <c r="AE175" s="173" t="s">
        <v>69</v>
      </c>
      <c r="AF175" s="181" t="s">
        <v>142</v>
      </c>
      <c r="AG175" s="192" t="s">
        <v>1584</v>
      </c>
      <c r="AH175" s="198"/>
      <c r="AI175" s="181">
        <v>44914</v>
      </c>
      <c r="AJ175" s="181"/>
      <c r="AK175" s="181">
        <f t="shared" ca="1" si="16"/>
        <v>44958</v>
      </c>
      <c r="AL175" s="173">
        <f t="shared" ca="1" si="19"/>
        <v>44</v>
      </c>
      <c r="AM175" s="173" t="str">
        <f t="shared" si="20"/>
        <v/>
      </c>
      <c r="AN175" s="181"/>
      <c r="AO175" s="190" t="s">
        <v>2609</v>
      </c>
      <c r="AP175" s="176">
        <v>10.525</v>
      </c>
      <c r="AQ175" s="176">
        <v>10.535</v>
      </c>
      <c r="AR175" s="176">
        <v>10.559999999999999</v>
      </c>
      <c r="AS175" s="176">
        <v>10.565</v>
      </c>
      <c r="AT175" s="173">
        <f t="shared" ca="1" si="17"/>
        <v>8</v>
      </c>
      <c r="AU175" s="173">
        <v>462</v>
      </c>
      <c r="AW175" s="142" t="s">
        <v>123</v>
      </c>
      <c r="AX175" s="142" t="str">
        <f>LEFT(RIGHT(C175,LEN(C175)-MIN(SEARCH({0,1,2,3,4,5,6,7,8,9},C175&amp;"0123456789"))+1),2)</f>
        <v>24</v>
      </c>
      <c r="AY175" s="142">
        <v>2</v>
      </c>
      <c r="AZ175" s="142" t="str">
        <f>LEFT(RIGHT(C175,LEN(C175)-MIN(SEARCH({0,1,2,3,4,5,6,7,8,9},C175&amp;"0123456789"))+1),5)</f>
        <v>24.01</v>
      </c>
      <c r="BA175" s="142" t="str">
        <f t="shared" si="21"/>
        <v>MI</v>
      </c>
    </row>
    <row r="176" spans="2:53" s="142" customFormat="1" ht="21" customHeight="1" x14ac:dyDescent="0.25">
      <c r="B176" s="173" t="str">
        <f t="shared" si="18"/>
        <v>0-304L/FH-1.20X770</v>
      </c>
      <c r="C176" s="173" t="s">
        <v>4387</v>
      </c>
      <c r="D176" s="173" t="s">
        <v>16</v>
      </c>
      <c r="E176" s="190" t="s">
        <v>2504</v>
      </c>
      <c r="F176" s="190" t="s">
        <v>2505</v>
      </c>
      <c r="G176" s="173" t="s">
        <v>182</v>
      </c>
      <c r="H176" s="173" t="s">
        <v>70</v>
      </c>
      <c r="I176" s="174">
        <v>3.79</v>
      </c>
      <c r="J176" s="174">
        <v>1.2</v>
      </c>
      <c r="K176" s="174"/>
      <c r="L176" s="174"/>
      <c r="M176" s="191">
        <v>770</v>
      </c>
      <c r="N176" s="176">
        <v>10.505000000000001</v>
      </c>
      <c r="O176" s="176">
        <v>10.505000000000001</v>
      </c>
      <c r="P176" s="176" t="s">
        <v>114</v>
      </c>
      <c r="Q176" s="178" t="s">
        <v>1506</v>
      </c>
      <c r="R176" s="179"/>
      <c r="S176" s="179"/>
      <c r="T176" s="177">
        <v>44950</v>
      </c>
      <c r="U176" s="177"/>
      <c r="V176" s="177">
        <v>44950</v>
      </c>
      <c r="W176" s="177"/>
      <c r="X176" s="177"/>
      <c r="Y176" s="177"/>
      <c r="Z176" s="177"/>
      <c r="AA176" s="177"/>
      <c r="AB176" s="177"/>
      <c r="AC176" s="177"/>
      <c r="AD176" s="180" t="s">
        <v>2448</v>
      </c>
      <c r="AE176" s="173" t="s">
        <v>69</v>
      </c>
      <c r="AF176" s="181" t="s">
        <v>142</v>
      </c>
      <c r="AG176" s="192" t="s">
        <v>1584</v>
      </c>
      <c r="AH176" s="198"/>
      <c r="AI176" s="181">
        <v>44914</v>
      </c>
      <c r="AJ176" s="181"/>
      <c r="AK176" s="181">
        <f t="shared" ca="1" si="16"/>
        <v>44958</v>
      </c>
      <c r="AL176" s="173">
        <f t="shared" ca="1" si="19"/>
        <v>44</v>
      </c>
      <c r="AM176" s="173" t="str">
        <f t="shared" si="20"/>
        <v/>
      </c>
      <c r="AN176" s="181"/>
      <c r="AO176" s="190" t="s">
        <v>2506</v>
      </c>
      <c r="AP176" s="176">
        <v>10.505000000000001</v>
      </c>
      <c r="AQ176" s="176">
        <v>10.515000000000001</v>
      </c>
      <c r="AR176" s="176">
        <v>10.54</v>
      </c>
      <c r="AS176" s="176">
        <v>10.545</v>
      </c>
      <c r="AT176" s="173">
        <f t="shared" ca="1" si="17"/>
        <v>8</v>
      </c>
      <c r="AU176" s="173">
        <v>462</v>
      </c>
      <c r="AW176" s="142" t="s">
        <v>123</v>
      </c>
      <c r="AX176" s="142" t="str">
        <f>LEFT(RIGHT(C176,LEN(C176)-MIN(SEARCH({0,1,2,3,4,5,6,7,8,9},C176&amp;"0123456789"))+1),2)</f>
        <v>24</v>
      </c>
      <c r="AY176" s="142">
        <v>3</v>
      </c>
      <c r="AZ176" s="142" t="str">
        <f>LEFT(RIGHT(C176,LEN(C176)-MIN(SEARCH({0,1,2,3,4,5,6,7,8,9},C176&amp;"0123456789"))+1),5)</f>
        <v>24.01</v>
      </c>
      <c r="BA176" s="142" t="str">
        <f t="shared" si="21"/>
        <v>MI</v>
      </c>
    </row>
    <row r="177" spans="2:53" s="142" customFormat="1" ht="21" customHeight="1" x14ac:dyDescent="0.25">
      <c r="B177" s="173" t="str">
        <f t="shared" si="18"/>
        <v>0-304/FH-1.50X775</v>
      </c>
      <c r="C177" s="173" t="s">
        <v>4387</v>
      </c>
      <c r="D177" s="173" t="s">
        <v>16</v>
      </c>
      <c r="E177" s="190" t="s">
        <v>2486</v>
      </c>
      <c r="F177" s="190" t="s">
        <v>2487</v>
      </c>
      <c r="G177" s="173">
        <v>304</v>
      </c>
      <c r="H177" s="173" t="s">
        <v>70</v>
      </c>
      <c r="I177" s="174">
        <v>3.94</v>
      </c>
      <c r="J177" s="174">
        <v>1.5</v>
      </c>
      <c r="K177" s="174"/>
      <c r="L177" s="174"/>
      <c r="M177" s="191">
        <v>775</v>
      </c>
      <c r="N177" s="176">
        <v>10.545</v>
      </c>
      <c r="O177" s="176">
        <v>10.545</v>
      </c>
      <c r="P177" s="176" t="s">
        <v>114</v>
      </c>
      <c r="Q177" s="178" t="s">
        <v>2488</v>
      </c>
      <c r="R177" s="179"/>
      <c r="S177" s="179"/>
      <c r="T177" s="177">
        <v>44950</v>
      </c>
      <c r="U177" s="177"/>
      <c r="V177" s="177">
        <v>44950</v>
      </c>
      <c r="W177" s="177"/>
      <c r="X177" s="177"/>
      <c r="Y177" s="177"/>
      <c r="Z177" s="177"/>
      <c r="AA177" s="177"/>
      <c r="AB177" s="177"/>
      <c r="AC177" s="177"/>
      <c r="AD177" s="180" t="s">
        <v>1605</v>
      </c>
      <c r="AE177" s="173" t="s">
        <v>69</v>
      </c>
      <c r="AF177" s="181" t="s">
        <v>142</v>
      </c>
      <c r="AG177" s="192" t="s">
        <v>1584</v>
      </c>
      <c r="AH177" s="198"/>
      <c r="AI177" s="181">
        <v>44914</v>
      </c>
      <c r="AJ177" s="181"/>
      <c r="AK177" s="181">
        <f t="shared" ca="1" si="16"/>
        <v>44958</v>
      </c>
      <c r="AL177" s="173">
        <f t="shared" ca="1" si="19"/>
        <v>44</v>
      </c>
      <c r="AM177" s="173" t="str">
        <f t="shared" si="20"/>
        <v/>
      </c>
      <c r="AN177" s="181"/>
      <c r="AO177" s="190" t="s">
        <v>2485</v>
      </c>
      <c r="AP177" s="176">
        <v>10.545</v>
      </c>
      <c r="AQ177" s="176">
        <v>10.555</v>
      </c>
      <c r="AR177" s="176">
        <v>10.579999999999998</v>
      </c>
      <c r="AS177" s="176">
        <v>10.584999999999999</v>
      </c>
      <c r="AT177" s="173">
        <f t="shared" ca="1" si="17"/>
        <v>8</v>
      </c>
      <c r="AU177" s="173">
        <v>462</v>
      </c>
      <c r="AW177" s="142" t="s">
        <v>123</v>
      </c>
      <c r="AX177" s="142" t="str">
        <f>LEFT(RIGHT(C177,LEN(C177)-MIN(SEARCH({0,1,2,3,4,5,6,7,8,9},C177&amp;"0123456789"))+1),2)</f>
        <v>24</v>
      </c>
      <c r="AY177" s="142">
        <v>3</v>
      </c>
      <c r="AZ177" s="142" t="str">
        <f>LEFT(RIGHT(C177,LEN(C177)-MIN(SEARCH({0,1,2,3,4,5,6,7,8,9},C177&amp;"0123456789"))+1),5)</f>
        <v>24.01</v>
      </c>
      <c r="BA177" s="142" t="str">
        <f t="shared" si="21"/>
        <v>MI</v>
      </c>
    </row>
    <row r="178" spans="2:53" s="142" customFormat="1" ht="21" customHeight="1" x14ac:dyDescent="0.25">
      <c r="B178" s="173" t="str">
        <f t="shared" si="18"/>
        <v>0-304/FH-1.45X769</v>
      </c>
      <c r="C178" s="173" t="s">
        <v>4387</v>
      </c>
      <c r="D178" s="173" t="s">
        <v>16</v>
      </c>
      <c r="E178" s="190" t="s">
        <v>2767</v>
      </c>
      <c r="F178" s="190" t="s">
        <v>2768</v>
      </c>
      <c r="G178" s="173">
        <v>304</v>
      </c>
      <c r="H178" s="173" t="s">
        <v>70</v>
      </c>
      <c r="I178" s="174">
        <v>3.94</v>
      </c>
      <c r="J178" s="174">
        <v>1.45</v>
      </c>
      <c r="K178" s="174"/>
      <c r="L178" s="174"/>
      <c r="M178" s="191">
        <v>769</v>
      </c>
      <c r="N178" s="176">
        <v>10.305</v>
      </c>
      <c r="O178" s="176">
        <v>10.305</v>
      </c>
      <c r="P178" s="176" t="s">
        <v>114</v>
      </c>
      <c r="Q178" s="178" t="s">
        <v>2444</v>
      </c>
      <c r="R178" s="179"/>
      <c r="S178" s="179"/>
      <c r="T178" s="177">
        <v>44950</v>
      </c>
      <c r="U178" s="177"/>
      <c r="V178" s="177">
        <v>44950</v>
      </c>
      <c r="W178" s="177"/>
      <c r="X178" s="177"/>
      <c r="Y178" s="177"/>
      <c r="Z178" s="177"/>
      <c r="AA178" s="177"/>
      <c r="AB178" s="177"/>
      <c r="AC178" s="177"/>
      <c r="AD178" s="180" t="s">
        <v>2448</v>
      </c>
      <c r="AE178" s="173" t="s">
        <v>69</v>
      </c>
      <c r="AF178" s="181" t="s">
        <v>142</v>
      </c>
      <c r="AG178" s="192" t="s">
        <v>1584</v>
      </c>
      <c r="AH178" s="198"/>
      <c r="AI178" s="181">
        <v>44914</v>
      </c>
      <c r="AJ178" s="181"/>
      <c r="AK178" s="181">
        <f t="shared" ca="1" si="16"/>
        <v>44958</v>
      </c>
      <c r="AL178" s="173">
        <f t="shared" ca="1" si="19"/>
        <v>44</v>
      </c>
      <c r="AM178" s="173" t="str">
        <f t="shared" si="20"/>
        <v/>
      </c>
      <c r="AN178" s="181"/>
      <c r="AO178" s="190" t="s">
        <v>2766</v>
      </c>
      <c r="AP178" s="176">
        <v>10.305</v>
      </c>
      <c r="AQ178" s="176">
        <v>10.315</v>
      </c>
      <c r="AR178" s="176">
        <v>10.339999999999998</v>
      </c>
      <c r="AS178" s="176">
        <v>10.344999999999999</v>
      </c>
      <c r="AT178" s="173">
        <f t="shared" ca="1" si="17"/>
        <v>8</v>
      </c>
      <c r="AU178" s="173">
        <v>462</v>
      </c>
      <c r="AW178" s="142" t="s">
        <v>123</v>
      </c>
      <c r="AX178" s="142" t="str">
        <f>LEFT(RIGHT(C178,LEN(C178)-MIN(SEARCH({0,1,2,3,4,5,6,7,8,9},C178&amp;"0123456789"))+1),2)</f>
        <v>24</v>
      </c>
      <c r="AY178" s="142">
        <v>3</v>
      </c>
      <c r="AZ178" s="142" t="str">
        <f>LEFT(RIGHT(C178,LEN(C178)-MIN(SEARCH({0,1,2,3,4,5,6,7,8,9},C178&amp;"0123456789"))+1),5)</f>
        <v>24.01</v>
      </c>
      <c r="BA178" s="142" t="str">
        <f t="shared" si="21"/>
        <v>MI</v>
      </c>
    </row>
    <row r="179" spans="2:53" s="142" customFormat="1" ht="21" customHeight="1" x14ac:dyDescent="0.25">
      <c r="B179" s="173" t="str">
        <f t="shared" si="18"/>
        <v>0-304/FH-2.00X767</v>
      </c>
      <c r="C179" s="173" t="s">
        <v>4388</v>
      </c>
      <c r="D179" s="173" t="s">
        <v>16</v>
      </c>
      <c r="E179" s="190" t="s">
        <v>2497</v>
      </c>
      <c r="F179" s="190" t="s">
        <v>2498</v>
      </c>
      <c r="G179" s="173">
        <v>304</v>
      </c>
      <c r="H179" s="173" t="s">
        <v>70</v>
      </c>
      <c r="I179" s="174">
        <v>3.89</v>
      </c>
      <c r="J179" s="174">
        <v>2</v>
      </c>
      <c r="K179" s="174"/>
      <c r="L179" s="174"/>
      <c r="M179" s="191">
        <v>767</v>
      </c>
      <c r="N179" s="176">
        <v>10.36</v>
      </c>
      <c r="O179" s="176">
        <v>10.36</v>
      </c>
      <c r="P179" s="176" t="s">
        <v>114</v>
      </c>
      <c r="Q179" s="178" t="s">
        <v>1506</v>
      </c>
      <c r="R179" s="179"/>
      <c r="S179" s="179"/>
      <c r="T179" s="177">
        <v>44950</v>
      </c>
      <c r="U179" s="177"/>
      <c r="V179" s="177">
        <v>44951</v>
      </c>
      <c r="W179" s="177"/>
      <c r="X179" s="177"/>
      <c r="Y179" s="177"/>
      <c r="Z179" s="177"/>
      <c r="AA179" s="177"/>
      <c r="AB179" s="177"/>
      <c r="AC179" s="177"/>
      <c r="AD179" s="180" t="s">
        <v>2448</v>
      </c>
      <c r="AE179" s="173" t="s">
        <v>69</v>
      </c>
      <c r="AF179" s="181" t="s">
        <v>142</v>
      </c>
      <c r="AG179" s="192" t="s">
        <v>1584</v>
      </c>
      <c r="AH179" s="198"/>
      <c r="AI179" s="181">
        <v>44914</v>
      </c>
      <c r="AJ179" s="181"/>
      <c r="AK179" s="181">
        <f t="shared" ca="1" si="16"/>
        <v>44958</v>
      </c>
      <c r="AL179" s="173">
        <f t="shared" ca="1" si="19"/>
        <v>44</v>
      </c>
      <c r="AM179" s="173" t="str">
        <f t="shared" si="20"/>
        <v/>
      </c>
      <c r="AN179" s="181"/>
      <c r="AO179" s="190" t="s">
        <v>2496</v>
      </c>
      <c r="AP179" s="176">
        <v>10.36</v>
      </c>
      <c r="AQ179" s="176">
        <v>10.37</v>
      </c>
      <c r="AR179" s="176">
        <v>10.394999999999998</v>
      </c>
      <c r="AS179" s="176">
        <v>10.399999999999999</v>
      </c>
      <c r="AT179" s="173">
        <f t="shared" ca="1" si="17"/>
        <v>7</v>
      </c>
      <c r="AU179" s="173">
        <v>462</v>
      </c>
      <c r="AW179" s="142" t="s">
        <v>123</v>
      </c>
      <c r="AX179" s="142" t="str">
        <f>LEFT(RIGHT(C179,LEN(C179)-MIN(SEARCH({0,1,2,3,4,5,6,7,8,9},C179&amp;"0123456789"))+1),2)</f>
        <v>25</v>
      </c>
      <c r="AY179" s="142">
        <v>1</v>
      </c>
      <c r="AZ179" s="142" t="str">
        <f>LEFT(RIGHT(C179,LEN(C179)-MIN(SEARCH({0,1,2,3,4,5,6,7,8,9},C179&amp;"0123456789"))+1),5)</f>
        <v>25.01</v>
      </c>
      <c r="BA179" s="142" t="str">
        <f t="shared" si="21"/>
        <v>MI</v>
      </c>
    </row>
    <row r="180" spans="2:53" s="142" customFormat="1" ht="21" customHeight="1" x14ac:dyDescent="0.25">
      <c r="B180" s="173" t="str">
        <f t="shared" si="18"/>
        <v>0-304L/FH-1.45X767</v>
      </c>
      <c r="C180" s="173" t="s">
        <v>4388</v>
      </c>
      <c r="D180" s="173" t="s">
        <v>16</v>
      </c>
      <c r="E180" s="190" t="s">
        <v>2455</v>
      </c>
      <c r="F180" s="190" t="s">
        <v>2456</v>
      </c>
      <c r="G180" s="173" t="s">
        <v>182</v>
      </c>
      <c r="H180" s="173" t="s">
        <v>70</v>
      </c>
      <c r="I180" s="174">
        <v>3.96</v>
      </c>
      <c r="J180" s="174">
        <v>1.45</v>
      </c>
      <c r="K180" s="174"/>
      <c r="L180" s="174"/>
      <c r="M180" s="191">
        <v>767</v>
      </c>
      <c r="N180" s="176">
        <v>10.33</v>
      </c>
      <c r="O180" s="176">
        <v>10.33</v>
      </c>
      <c r="P180" s="176" t="s">
        <v>114</v>
      </c>
      <c r="Q180" s="178" t="s">
        <v>2444</v>
      </c>
      <c r="R180" s="179"/>
      <c r="S180" s="179"/>
      <c r="T180" s="177">
        <v>44951</v>
      </c>
      <c r="U180" s="177"/>
      <c r="V180" s="177">
        <v>44951</v>
      </c>
      <c r="W180" s="177"/>
      <c r="X180" s="177"/>
      <c r="Y180" s="177"/>
      <c r="Z180" s="177"/>
      <c r="AA180" s="177"/>
      <c r="AB180" s="177"/>
      <c r="AC180" s="177"/>
      <c r="AD180" s="180" t="s">
        <v>2448</v>
      </c>
      <c r="AE180" s="173" t="s">
        <v>69</v>
      </c>
      <c r="AF180" s="181" t="s">
        <v>142</v>
      </c>
      <c r="AG180" s="192" t="s">
        <v>1584</v>
      </c>
      <c r="AH180" s="198"/>
      <c r="AI180" s="181">
        <v>44914</v>
      </c>
      <c r="AJ180" s="181"/>
      <c r="AK180" s="181">
        <f t="shared" ca="1" si="16"/>
        <v>44958</v>
      </c>
      <c r="AL180" s="173">
        <f t="shared" ca="1" si="19"/>
        <v>44</v>
      </c>
      <c r="AM180" s="173" t="str">
        <f t="shared" si="20"/>
        <v/>
      </c>
      <c r="AN180" s="181"/>
      <c r="AO180" s="190" t="s">
        <v>2457</v>
      </c>
      <c r="AP180" s="176">
        <v>10.33</v>
      </c>
      <c r="AQ180" s="176">
        <v>10.34</v>
      </c>
      <c r="AR180" s="176">
        <v>10.364999999999998</v>
      </c>
      <c r="AS180" s="176">
        <v>10.37</v>
      </c>
      <c r="AT180" s="173">
        <f t="shared" ca="1" si="17"/>
        <v>7</v>
      </c>
      <c r="AU180" s="173">
        <v>462</v>
      </c>
      <c r="AW180" s="142" t="s">
        <v>123</v>
      </c>
      <c r="AX180" s="142" t="str">
        <f>LEFT(RIGHT(C180,LEN(C180)-MIN(SEARCH({0,1,2,3,4,5,6,7,8,9},C180&amp;"0123456789"))+1),2)</f>
        <v>25</v>
      </c>
      <c r="AY180" s="142">
        <v>1</v>
      </c>
      <c r="AZ180" s="142" t="str">
        <f>LEFT(RIGHT(C180,LEN(C180)-MIN(SEARCH({0,1,2,3,4,5,6,7,8,9},C180&amp;"0123456789"))+1),5)</f>
        <v>25.01</v>
      </c>
      <c r="BA180" s="142" t="str">
        <f t="shared" si="21"/>
        <v>MI</v>
      </c>
    </row>
    <row r="181" spans="2:53" s="142" customFormat="1" ht="21" customHeight="1" x14ac:dyDescent="0.25">
      <c r="B181" s="173" t="str">
        <f t="shared" si="18"/>
        <v>0-304L/FH-1.50X772</v>
      </c>
      <c r="C181" s="173" t="s">
        <v>4388</v>
      </c>
      <c r="D181" s="173" t="s">
        <v>16</v>
      </c>
      <c r="E181" s="190" t="s">
        <v>2642</v>
      </c>
      <c r="F181" s="190" t="s">
        <v>2643</v>
      </c>
      <c r="G181" s="173" t="s">
        <v>182</v>
      </c>
      <c r="H181" s="173" t="s">
        <v>70</v>
      </c>
      <c r="I181" s="174">
        <v>3.87</v>
      </c>
      <c r="J181" s="174">
        <v>1.5</v>
      </c>
      <c r="K181" s="174"/>
      <c r="L181" s="174"/>
      <c r="M181" s="191">
        <v>772</v>
      </c>
      <c r="N181" s="176">
        <v>11.315</v>
      </c>
      <c r="O181" s="176">
        <v>11.315</v>
      </c>
      <c r="P181" s="176" t="s">
        <v>114</v>
      </c>
      <c r="Q181" s="178" t="s">
        <v>1506</v>
      </c>
      <c r="R181" s="179"/>
      <c r="S181" s="179"/>
      <c r="T181" s="177">
        <v>44950</v>
      </c>
      <c r="U181" s="177"/>
      <c r="V181" s="177">
        <v>44951</v>
      </c>
      <c r="W181" s="177"/>
      <c r="X181" s="177"/>
      <c r="Y181" s="177"/>
      <c r="Z181" s="177"/>
      <c r="AA181" s="177"/>
      <c r="AB181" s="177"/>
      <c r="AC181" s="177"/>
      <c r="AD181" s="180" t="s">
        <v>2448</v>
      </c>
      <c r="AE181" s="173" t="s">
        <v>69</v>
      </c>
      <c r="AF181" s="181" t="s">
        <v>142</v>
      </c>
      <c r="AG181" s="192" t="s">
        <v>1584</v>
      </c>
      <c r="AH181" s="198"/>
      <c r="AI181" s="181">
        <v>44914</v>
      </c>
      <c r="AJ181" s="181"/>
      <c r="AK181" s="181">
        <f t="shared" ca="1" si="16"/>
        <v>44958</v>
      </c>
      <c r="AL181" s="173">
        <f t="shared" ca="1" si="19"/>
        <v>44</v>
      </c>
      <c r="AM181" s="173" t="str">
        <f t="shared" si="20"/>
        <v/>
      </c>
      <c r="AN181" s="181"/>
      <c r="AO181" s="190" t="s">
        <v>2641</v>
      </c>
      <c r="AP181" s="176">
        <v>11.315</v>
      </c>
      <c r="AQ181" s="176">
        <v>11.324999999999999</v>
      </c>
      <c r="AR181" s="176">
        <v>11.349999999999998</v>
      </c>
      <c r="AS181" s="176">
        <v>11.354999999999999</v>
      </c>
      <c r="AT181" s="173">
        <f t="shared" ca="1" si="17"/>
        <v>7</v>
      </c>
      <c r="AU181" s="173">
        <v>462</v>
      </c>
      <c r="AW181" s="142" t="s">
        <v>123</v>
      </c>
      <c r="AX181" s="142" t="str">
        <f>LEFT(RIGHT(C181,LEN(C181)-MIN(SEARCH({0,1,2,3,4,5,6,7,8,9},C181&amp;"0123456789"))+1),2)</f>
        <v>25</v>
      </c>
      <c r="AY181" s="142">
        <v>1</v>
      </c>
      <c r="AZ181" s="142" t="str">
        <f>LEFT(RIGHT(C181,LEN(C181)-MIN(SEARCH({0,1,2,3,4,5,6,7,8,9},C181&amp;"0123456789"))+1),5)</f>
        <v>25.01</v>
      </c>
      <c r="BA181" s="142" t="str">
        <f t="shared" si="21"/>
        <v>MI</v>
      </c>
    </row>
    <row r="182" spans="2:53" s="142" customFormat="1" ht="21" customHeight="1" x14ac:dyDescent="0.25">
      <c r="B182" s="173" t="str">
        <f t="shared" si="18"/>
        <v>0-304/FH-1.45X776</v>
      </c>
      <c r="C182" s="173" t="s">
        <v>4388</v>
      </c>
      <c r="D182" s="173" t="s">
        <v>16</v>
      </c>
      <c r="E182" s="190" t="s">
        <v>2483</v>
      </c>
      <c r="F182" s="190" t="s">
        <v>2484</v>
      </c>
      <c r="G182" s="173">
        <v>304</v>
      </c>
      <c r="H182" s="173" t="s">
        <v>70</v>
      </c>
      <c r="I182" s="174">
        <v>3.94</v>
      </c>
      <c r="J182" s="174">
        <v>1.45</v>
      </c>
      <c r="K182" s="174"/>
      <c r="L182" s="174"/>
      <c r="M182" s="191">
        <v>776</v>
      </c>
      <c r="N182" s="176">
        <v>10.5</v>
      </c>
      <c r="O182" s="176">
        <v>10.5</v>
      </c>
      <c r="P182" s="176" t="s">
        <v>114</v>
      </c>
      <c r="Q182" s="178" t="s">
        <v>2444</v>
      </c>
      <c r="R182" s="179"/>
      <c r="S182" s="179"/>
      <c r="T182" s="177">
        <v>44951</v>
      </c>
      <c r="U182" s="177"/>
      <c r="V182" s="177">
        <v>44951</v>
      </c>
      <c r="W182" s="177"/>
      <c r="X182" s="177"/>
      <c r="Y182" s="177"/>
      <c r="Z182" s="177"/>
      <c r="AA182" s="177"/>
      <c r="AB182" s="177"/>
      <c r="AC182" s="177"/>
      <c r="AD182" s="180" t="s">
        <v>1605</v>
      </c>
      <c r="AE182" s="173" t="s">
        <v>69</v>
      </c>
      <c r="AF182" s="181" t="s">
        <v>142</v>
      </c>
      <c r="AG182" s="192" t="s">
        <v>1584</v>
      </c>
      <c r="AH182" s="198"/>
      <c r="AI182" s="181">
        <v>44914</v>
      </c>
      <c r="AJ182" s="181"/>
      <c r="AK182" s="181">
        <f t="shared" ca="1" si="16"/>
        <v>44958</v>
      </c>
      <c r="AL182" s="173">
        <f t="shared" ca="1" si="19"/>
        <v>44</v>
      </c>
      <c r="AM182" s="173" t="str">
        <f t="shared" si="20"/>
        <v/>
      </c>
      <c r="AN182" s="181"/>
      <c r="AO182" s="190" t="s">
        <v>2485</v>
      </c>
      <c r="AP182" s="176">
        <v>10.5</v>
      </c>
      <c r="AQ182" s="176">
        <v>10.51</v>
      </c>
      <c r="AR182" s="176">
        <v>10.534999999999998</v>
      </c>
      <c r="AS182" s="176">
        <v>10.54</v>
      </c>
      <c r="AT182" s="173">
        <f t="shared" ca="1" si="17"/>
        <v>7</v>
      </c>
      <c r="AU182" s="173">
        <v>462</v>
      </c>
      <c r="AW182" s="142" t="s">
        <v>123</v>
      </c>
      <c r="AX182" s="142" t="str">
        <f>LEFT(RIGHT(C182,LEN(C182)-MIN(SEARCH({0,1,2,3,4,5,6,7,8,9},C182&amp;"0123456789"))+1),2)</f>
        <v>25</v>
      </c>
      <c r="AY182" s="142">
        <v>2</v>
      </c>
      <c r="AZ182" s="142" t="str">
        <f>LEFT(RIGHT(C182,LEN(C182)-MIN(SEARCH({0,1,2,3,4,5,6,7,8,9},C182&amp;"0123456789"))+1),5)</f>
        <v>25.01</v>
      </c>
      <c r="BA182" s="142" t="str">
        <f t="shared" si="21"/>
        <v>MI</v>
      </c>
    </row>
    <row r="183" spans="2:53" s="142" customFormat="1" ht="21" customHeight="1" x14ac:dyDescent="0.25">
      <c r="B183" s="173" t="str">
        <f t="shared" si="18"/>
        <v>0-304L/FH-1.00X771</v>
      </c>
      <c r="C183" s="173" t="s">
        <v>4388</v>
      </c>
      <c r="D183" s="173" t="s">
        <v>16</v>
      </c>
      <c r="E183" s="190" t="s">
        <v>2714</v>
      </c>
      <c r="F183" s="190" t="s">
        <v>2715</v>
      </c>
      <c r="G183" s="173" t="s">
        <v>182</v>
      </c>
      <c r="H183" s="173" t="s">
        <v>70</v>
      </c>
      <c r="I183" s="174">
        <v>2.78</v>
      </c>
      <c r="J183" s="174">
        <v>1</v>
      </c>
      <c r="K183" s="174"/>
      <c r="L183" s="174"/>
      <c r="M183" s="191">
        <v>771</v>
      </c>
      <c r="N183" s="176">
        <v>10.09</v>
      </c>
      <c r="O183" s="176">
        <v>10.09</v>
      </c>
      <c r="P183" s="176" t="s">
        <v>114</v>
      </c>
      <c r="Q183" s="178" t="s">
        <v>2444</v>
      </c>
      <c r="R183" s="179"/>
      <c r="S183" s="179"/>
      <c r="T183" s="177">
        <v>44951</v>
      </c>
      <c r="U183" s="177"/>
      <c r="V183" s="177">
        <v>44951</v>
      </c>
      <c r="W183" s="177"/>
      <c r="X183" s="177"/>
      <c r="Y183" s="177"/>
      <c r="Z183" s="177"/>
      <c r="AA183" s="177"/>
      <c r="AB183" s="177"/>
      <c r="AC183" s="177"/>
      <c r="AD183" s="180" t="s">
        <v>1643</v>
      </c>
      <c r="AE183" s="173" t="s">
        <v>69</v>
      </c>
      <c r="AF183" s="181" t="s">
        <v>142</v>
      </c>
      <c r="AG183" s="192" t="s">
        <v>1584</v>
      </c>
      <c r="AH183" s="198"/>
      <c r="AI183" s="181">
        <v>44914</v>
      </c>
      <c r="AJ183" s="181"/>
      <c r="AK183" s="181">
        <f t="shared" ca="1" si="16"/>
        <v>44958</v>
      </c>
      <c r="AL183" s="173">
        <f t="shared" ca="1" si="19"/>
        <v>44</v>
      </c>
      <c r="AM183" s="173" t="str">
        <f t="shared" si="20"/>
        <v/>
      </c>
      <c r="AN183" s="181"/>
      <c r="AO183" s="190" t="s">
        <v>2713</v>
      </c>
      <c r="AP183" s="176">
        <v>10.09</v>
      </c>
      <c r="AQ183" s="176">
        <v>10.1</v>
      </c>
      <c r="AR183" s="176">
        <v>10.124999999999998</v>
      </c>
      <c r="AS183" s="176">
        <v>10.129999999999999</v>
      </c>
      <c r="AT183" s="173">
        <f t="shared" ca="1" si="17"/>
        <v>7</v>
      </c>
      <c r="AU183" s="173">
        <v>462</v>
      </c>
      <c r="AW183" s="142" t="s">
        <v>123</v>
      </c>
      <c r="AX183" s="142" t="str">
        <f>LEFT(RIGHT(C183,LEN(C183)-MIN(SEARCH({0,1,2,3,4,5,6,7,8,9},C183&amp;"0123456789"))+1),2)</f>
        <v>25</v>
      </c>
      <c r="AY183" s="142">
        <v>2</v>
      </c>
      <c r="AZ183" s="142" t="str">
        <f>LEFT(RIGHT(C183,LEN(C183)-MIN(SEARCH({0,1,2,3,4,5,6,7,8,9},C183&amp;"0123456789"))+1),5)</f>
        <v>25.01</v>
      </c>
      <c r="BA183" s="142" t="str">
        <f t="shared" si="21"/>
        <v>MI</v>
      </c>
    </row>
    <row r="184" spans="2:53" s="142" customFormat="1" ht="21" customHeight="1" x14ac:dyDescent="0.25">
      <c r="B184" s="173" t="str">
        <f t="shared" si="18"/>
        <v>0-304/FH-1.15X772</v>
      </c>
      <c r="C184" s="173" t="s">
        <v>4388</v>
      </c>
      <c r="D184" s="173" t="s">
        <v>16</v>
      </c>
      <c r="E184" s="190" t="s">
        <v>3166</v>
      </c>
      <c r="F184" s="190" t="s">
        <v>3167</v>
      </c>
      <c r="G184" s="173">
        <v>304</v>
      </c>
      <c r="H184" s="173" t="s">
        <v>70</v>
      </c>
      <c r="I184" s="174">
        <v>3.05</v>
      </c>
      <c r="J184" s="174">
        <v>1.1499999999999999</v>
      </c>
      <c r="K184" s="174"/>
      <c r="L184" s="174"/>
      <c r="M184" s="191">
        <v>772</v>
      </c>
      <c r="N184" s="176">
        <v>10.57</v>
      </c>
      <c r="O184" s="176">
        <v>10.57</v>
      </c>
      <c r="P184" s="176" t="s">
        <v>114</v>
      </c>
      <c r="Q184" s="178" t="s">
        <v>2444</v>
      </c>
      <c r="R184" s="179"/>
      <c r="S184" s="179"/>
      <c r="T184" s="177">
        <v>44951</v>
      </c>
      <c r="U184" s="177"/>
      <c r="V184" s="177">
        <v>44951</v>
      </c>
      <c r="W184" s="177"/>
      <c r="X184" s="177"/>
      <c r="Y184" s="177"/>
      <c r="Z184" s="177"/>
      <c r="AA184" s="177"/>
      <c r="AB184" s="177"/>
      <c r="AC184" s="177"/>
      <c r="AD184" s="180" t="s">
        <v>3164</v>
      </c>
      <c r="AE184" s="173" t="s">
        <v>69</v>
      </c>
      <c r="AF184" s="181" t="s">
        <v>142</v>
      </c>
      <c r="AG184" s="192" t="s">
        <v>2878</v>
      </c>
      <c r="AH184" s="198"/>
      <c r="AI184" s="181">
        <v>44950</v>
      </c>
      <c r="AJ184" s="181"/>
      <c r="AK184" s="181">
        <f t="shared" ca="1" si="16"/>
        <v>44958</v>
      </c>
      <c r="AL184" s="173">
        <f t="shared" ca="1" si="19"/>
        <v>8</v>
      </c>
      <c r="AM184" s="173" t="str">
        <f t="shared" si="20"/>
        <v/>
      </c>
      <c r="AN184" s="181"/>
      <c r="AO184" s="190" t="s">
        <v>3165</v>
      </c>
      <c r="AP184" s="176">
        <v>10.57</v>
      </c>
      <c r="AQ184" s="176">
        <v>10.58</v>
      </c>
      <c r="AR184" s="176">
        <v>10.604999999999999</v>
      </c>
      <c r="AS184" s="176">
        <v>10.61</v>
      </c>
      <c r="AT184" s="173"/>
      <c r="AU184" s="173">
        <v>465</v>
      </c>
      <c r="AV184" s="149"/>
      <c r="AW184" s="142" t="s">
        <v>123</v>
      </c>
      <c r="AX184" s="142" t="str">
        <f>LEFT(RIGHT(C184,LEN(C184)-MIN(SEARCH({0,1,2,3,4,5,6,7,8,9},C184&amp;"0123456789"))+1),2)</f>
        <v>25</v>
      </c>
      <c r="AY184" s="142">
        <v>2</v>
      </c>
      <c r="AZ184" s="142" t="str">
        <f>LEFT(RIGHT(C184,LEN(C184)-MIN(SEARCH({0,1,2,3,4,5,6,7,8,9},C184&amp;"0123456789"))+1),5)</f>
        <v>25.01</v>
      </c>
      <c r="BA184" s="142" t="str">
        <f t="shared" si="21"/>
        <v>MI</v>
      </c>
    </row>
    <row r="185" spans="2:53" s="142" customFormat="1" ht="21" customHeight="1" x14ac:dyDescent="0.25">
      <c r="B185" s="173" t="str">
        <f t="shared" si="18"/>
        <v>0-304/FH-1.95X635</v>
      </c>
      <c r="C185" s="173" t="s">
        <v>4388</v>
      </c>
      <c r="D185" s="173" t="s">
        <v>16</v>
      </c>
      <c r="E185" s="190" t="s">
        <v>1641</v>
      </c>
      <c r="F185" s="190" t="s">
        <v>4233</v>
      </c>
      <c r="G185" s="173">
        <v>304</v>
      </c>
      <c r="H185" s="173" t="s">
        <v>70</v>
      </c>
      <c r="I185" s="174">
        <v>3.9</v>
      </c>
      <c r="J185" s="174">
        <v>1.95</v>
      </c>
      <c r="K185" s="174"/>
      <c r="L185" s="174"/>
      <c r="M185" s="191">
        <v>635</v>
      </c>
      <c r="N185" s="176">
        <v>10.52</v>
      </c>
      <c r="O185" s="176">
        <v>10.52</v>
      </c>
      <c r="P185" s="176" t="s">
        <v>114</v>
      </c>
      <c r="Q185" s="178" t="s">
        <v>361</v>
      </c>
      <c r="R185" s="179"/>
      <c r="S185" s="179"/>
      <c r="T185" s="177">
        <v>44951</v>
      </c>
      <c r="U185" s="177"/>
      <c r="V185" s="177">
        <v>44951</v>
      </c>
      <c r="W185" s="177"/>
      <c r="X185" s="177"/>
      <c r="Y185" s="177"/>
      <c r="Z185" s="177"/>
      <c r="AA185" s="177"/>
      <c r="AB185" s="177"/>
      <c r="AC185" s="177"/>
      <c r="AD185" s="180" t="s">
        <v>1643</v>
      </c>
      <c r="AE185" s="173" t="s">
        <v>69</v>
      </c>
      <c r="AF185" s="181" t="s">
        <v>142</v>
      </c>
      <c r="AG185" s="192" t="s">
        <v>1594</v>
      </c>
      <c r="AH185" s="198"/>
      <c r="AI185" s="181">
        <v>44849</v>
      </c>
      <c r="AJ185" s="181"/>
      <c r="AK185" s="181">
        <f t="shared" ca="1" si="16"/>
        <v>44958</v>
      </c>
      <c r="AL185" s="173">
        <f t="shared" ca="1" si="19"/>
        <v>109</v>
      </c>
      <c r="AM185" s="173" t="str">
        <f t="shared" si="20"/>
        <v/>
      </c>
      <c r="AN185" s="181"/>
      <c r="AO185" s="190" t="s">
        <v>1644</v>
      </c>
      <c r="AP185" s="176">
        <v>10.52</v>
      </c>
      <c r="AQ185" s="176">
        <v>10.53</v>
      </c>
      <c r="AR185" s="176">
        <v>10.554999999999998</v>
      </c>
      <c r="AS185" s="176">
        <v>10.559999999999999</v>
      </c>
      <c r="AT185" s="173">
        <f t="shared" ref="AT185:AT228" ca="1" si="22">IF(ISNUMBER(V185)=TRUE,AK185-V185,IF(V185="","",(AK185)-(MID(RIGHT(V185,10),4,2)&amp;"/"&amp;LEFT((RIGHT(V185,10)),2)&amp;"/"&amp;RIGHT(V185,4))))</f>
        <v>7</v>
      </c>
      <c r="AU185" s="173">
        <v>456</v>
      </c>
      <c r="AW185" s="142" t="s">
        <v>123</v>
      </c>
      <c r="AX185" s="142" t="str">
        <f>LEFT(RIGHT(C185,LEN(C185)-MIN(SEARCH({0,1,2,3,4,5,6,7,8,9},C185&amp;"0123456789"))+1),2)</f>
        <v>25</v>
      </c>
      <c r="AY185" s="142">
        <v>3</v>
      </c>
      <c r="AZ185" s="142" t="str">
        <f>LEFT(RIGHT(C185,LEN(C185)-MIN(SEARCH({0,1,2,3,4,5,6,7,8,9},C185&amp;"0123456789"))+1),5)</f>
        <v>25.01</v>
      </c>
      <c r="BA185" s="142" t="str">
        <f t="shared" si="21"/>
        <v>MI</v>
      </c>
    </row>
    <row r="186" spans="2:53" s="142" customFormat="1" ht="21" customHeight="1" x14ac:dyDescent="0.25">
      <c r="B186" s="173" t="str">
        <f t="shared" si="18"/>
        <v>0-304L/FH-1.15X642</v>
      </c>
      <c r="C186" s="173" t="s">
        <v>4388</v>
      </c>
      <c r="D186" s="173" t="s">
        <v>16</v>
      </c>
      <c r="E186" s="190" t="s">
        <v>4239</v>
      </c>
      <c r="F186" s="190" t="s">
        <v>4240</v>
      </c>
      <c r="G186" s="173" t="s">
        <v>182</v>
      </c>
      <c r="H186" s="173" t="s">
        <v>70</v>
      </c>
      <c r="I186" s="174">
        <v>2.96</v>
      </c>
      <c r="J186" s="174">
        <v>1.1499999999999999</v>
      </c>
      <c r="K186" s="174"/>
      <c r="L186" s="174"/>
      <c r="M186" s="191">
        <v>642</v>
      </c>
      <c r="N186" s="176">
        <v>10.09</v>
      </c>
      <c r="O186" s="176">
        <v>10.09</v>
      </c>
      <c r="P186" s="176" t="s">
        <v>114</v>
      </c>
      <c r="Q186" s="178" t="s">
        <v>1592</v>
      </c>
      <c r="R186" s="179"/>
      <c r="S186" s="179"/>
      <c r="T186" s="177">
        <v>44951</v>
      </c>
      <c r="U186" s="177"/>
      <c r="V186" s="177">
        <v>44951</v>
      </c>
      <c r="W186" s="177"/>
      <c r="X186" s="177"/>
      <c r="Y186" s="177"/>
      <c r="Z186" s="177"/>
      <c r="AA186" s="177"/>
      <c r="AB186" s="177"/>
      <c r="AC186" s="177"/>
      <c r="AD186" s="180" t="s">
        <v>1643</v>
      </c>
      <c r="AE186" s="173" t="s">
        <v>69</v>
      </c>
      <c r="AF186" s="181" t="s">
        <v>142</v>
      </c>
      <c r="AG186" s="192" t="s">
        <v>1657</v>
      </c>
      <c r="AH186" s="198"/>
      <c r="AI186" s="181">
        <v>44849</v>
      </c>
      <c r="AJ186" s="181"/>
      <c r="AK186" s="181">
        <f t="shared" ca="1" si="16"/>
        <v>44958</v>
      </c>
      <c r="AL186" s="173">
        <f t="shared" ca="1" si="19"/>
        <v>109</v>
      </c>
      <c r="AM186" s="173" t="str">
        <f t="shared" si="20"/>
        <v/>
      </c>
      <c r="AN186" s="181"/>
      <c r="AO186" s="190" t="s">
        <v>4241</v>
      </c>
      <c r="AP186" s="176">
        <v>10.09</v>
      </c>
      <c r="AQ186" s="176">
        <v>10.1</v>
      </c>
      <c r="AR186" s="176">
        <v>10.124999999999998</v>
      </c>
      <c r="AS186" s="176">
        <v>10.129999999999999</v>
      </c>
      <c r="AT186" s="173">
        <f t="shared" ca="1" si="22"/>
        <v>7</v>
      </c>
      <c r="AU186" s="173">
        <v>456</v>
      </c>
      <c r="AW186" s="142" t="s">
        <v>123</v>
      </c>
      <c r="AX186" s="142" t="str">
        <f>LEFT(RIGHT(C186,LEN(C186)-MIN(SEARCH({0,1,2,3,4,5,6,7,8,9},C186&amp;"0123456789"))+1),2)</f>
        <v>25</v>
      </c>
      <c r="AY186" s="142">
        <v>3</v>
      </c>
      <c r="AZ186" s="142" t="str">
        <f>LEFT(RIGHT(C186,LEN(C186)-MIN(SEARCH({0,1,2,3,4,5,6,7,8,9},C186&amp;"0123456789"))+1),5)</f>
        <v>25.01</v>
      </c>
      <c r="BA186" s="142" t="str">
        <f t="shared" si="21"/>
        <v>MI</v>
      </c>
    </row>
    <row r="187" spans="2:53" s="142" customFormat="1" ht="21" customHeight="1" x14ac:dyDescent="0.25">
      <c r="B187" s="173" t="str">
        <f t="shared" si="18"/>
        <v>0-304L/FH-0.90X643</v>
      </c>
      <c r="C187" s="173" t="s">
        <v>4388</v>
      </c>
      <c r="D187" s="173" t="s">
        <v>16</v>
      </c>
      <c r="E187" s="190" t="s">
        <v>4237</v>
      </c>
      <c r="F187" s="190" t="s">
        <v>4238</v>
      </c>
      <c r="G187" s="173" t="s">
        <v>182</v>
      </c>
      <c r="H187" s="173" t="s">
        <v>70</v>
      </c>
      <c r="I187" s="174">
        <v>2.88</v>
      </c>
      <c r="J187" s="174">
        <v>0.9</v>
      </c>
      <c r="K187" s="174"/>
      <c r="L187" s="174"/>
      <c r="M187" s="191">
        <v>643</v>
      </c>
      <c r="N187" s="176">
        <v>8.8849999999999998</v>
      </c>
      <c r="O187" s="176">
        <v>8.8849999999999998</v>
      </c>
      <c r="P187" s="176" t="s">
        <v>114</v>
      </c>
      <c r="Q187" s="178" t="s">
        <v>1210</v>
      </c>
      <c r="R187" s="179"/>
      <c r="S187" s="179"/>
      <c r="T187" s="177">
        <v>44951</v>
      </c>
      <c r="U187" s="177"/>
      <c r="V187" s="177">
        <v>44951</v>
      </c>
      <c r="W187" s="177"/>
      <c r="X187" s="177"/>
      <c r="Y187" s="177"/>
      <c r="Z187" s="177"/>
      <c r="AA187" s="177"/>
      <c r="AB187" s="177"/>
      <c r="AC187" s="177"/>
      <c r="AD187" s="180" t="s">
        <v>1643</v>
      </c>
      <c r="AE187" s="173" t="s">
        <v>69</v>
      </c>
      <c r="AF187" s="181" t="s">
        <v>142</v>
      </c>
      <c r="AG187" s="192" t="s">
        <v>1657</v>
      </c>
      <c r="AH187" s="198"/>
      <c r="AI187" s="181">
        <v>44849</v>
      </c>
      <c r="AJ187" s="181"/>
      <c r="AK187" s="181">
        <f t="shared" ca="1" si="16"/>
        <v>44958</v>
      </c>
      <c r="AL187" s="173">
        <f t="shared" ca="1" si="19"/>
        <v>109</v>
      </c>
      <c r="AM187" s="173" t="str">
        <f t="shared" si="20"/>
        <v/>
      </c>
      <c r="AN187" s="181"/>
      <c r="AO187" s="190" t="s">
        <v>4037</v>
      </c>
      <c r="AP187" s="176">
        <v>8.8849999999999998</v>
      </c>
      <c r="AQ187" s="176">
        <v>8.8949999999999996</v>
      </c>
      <c r="AR187" s="176">
        <v>8.9199999999999982</v>
      </c>
      <c r="AS187" s="176">
        <v>8.9249999999999989</v>
      </c>
      <c r="AT187" s="173">
        <f t="shared" ca="1" si="22"/>
        <v>7</v>
      </c>
      <c r="AU187" s="173">
        <v>456</v>
      </c>
      <c r="AW187" s="142" t="s">
        <v>123</v>
      </c>
      <c r="AX187" s="142" t="str">
        <f>LEFT(RIGHT(C187,LEN(C187)-MIN(SEARCH({0,1,2,3,4,5,6,7,8,9},C187&amp;"0123456789"))+1),2)</f>
        <v>25</v>
      </c>
      <c r="AY187" s="142">
        <v>3</v>
      </c>
      <c r="AZ187" s="142" t="str">
        <f>LEFT(RIGHT(C187,LEN(C187)-MIN(SEARCH({0,1,2,3,4,5,6,7,8,9},C187&amp;"0123456789"))+1),5)</f>
        <v>25.01</v>
      </c>
      <c r="BA187" s="142" t="str">
        <f t="shared" si="21"/>
        <v>MI</v>
      </c>
    </row>
    <row r="188" spans="2:53" s="142" customFormat="1" ht="21" customHeight="1" x14ac:dyDescent="0.25">
      <c r="B188" s="173" t="str">
        <f t="shared" si="18"/>
        <v>0-304/FH-1.00X637</v>
      </c>
      <c r="C188" s="173" t="s">
        <v>4389</v>
      </c>
      <c r="D188" s="173" t="s">
        <v>16</v>
      </c>
      <c r="E188" s="190" t="s">
        <v>4245</v>
      </c>
      <c r="F188" s="190" t="s">
        <v>4246</v>
      </c>
      <c r="G188" s="173">
        <v>304</v>
      </c>
      <c r="H188" s="173" t="s">
        <v>70</v>
      </c>
      <c r="I188" s="174">
        <v>3.47</v>
      </c>
      <c r="J188" s="174">
        <v>1</v>
      </c>
      <c r="K188" s="174"/>
      <c r="L188" s="174"/>
      <c r="M188" s="191">
        <v>637</v>
      </c>
      <c r="N188" s="176">
        <v>8.2149999999999999</v>
      </c>
      <c r="O188" s="176">
        <v>8.2149999999999999</v>
      </c>
      <c r="P188" s="176" t="s">
        <v>114</v>
      </c>
      <c r="Q188" s="178" t="s">
        <v>1210</v>
      </c>
      <c r="R188" s="179"/>
      <c r="S188" s="179"/>
      <c r="T188" s="177">
        <v>44951</v>
      </c>
      <c r="U188" s="177"/>
      <c r="V188" s="177">
        <v>44952</v>
      </c>
      <c r="W188" s="177"/>
      <c r="X188" s="177"/>
      <c r="Y188" s="177"/>
      <c r="Z188" s="177"/>
      <c r="AA188" s="177"/>
      <c r="AB188" s="177"/>
      <c r="AC188" s="177"/>
      <c r="AD188" s="180" t="s">
        <v>1643</v>
      </c>
      <c r="AE188" s="173" t="s">
        <v>69</v>
      </c>
      <c r="AF188" s="181" t="s">
        <v>142</v>
      </c>
      <c r="AG188" s="192" t="s">
        <v>1657</v>
      </c>
      <c r="AH188" s="198"/>
      <c r="AI188" s="181">
        <v>44849</v>
      </c>
      <c r="AJ188" s="181"/>
      <c r="AK188" s="181">
        <f t="shared" ca="1" si="16"/>
        <v>44958</v>
      </c>
      <c r="AL188" s="173">
        <f t="shared" ca="1" si="19"/>
        <v>109</v>
      </c>
      <c r="AM188" s="173" t="str">
        <f t="shared" si="20"/>
        <v/>
      </c>
      <c r="AN188" s="181"/>
      <c r="AO188" s="190" t="s">
        <v>1763</v>
      </c>
      <c r="AP188" s="176">
        <v>8.2149999999999999</v>
      </c>
      <c r="AQ188" s="176">
        <v>8.2249999999999996</v>
      </c>
      <c r="AR188" s="176">
        <v>8.2499999999999982</v>
      </c>
      <c r="AS188" s="176">
        <v>8.254999999999999</v>
      </c>
      <c r="AT188" s="173">
        <f t="shared" ca="1" si="22"/>
        <v>6</v>
      </c>
      <c r="AU188" s="173">
        <v>456</v>
      </c>
      <c r="AW188" s="142" t="s">
        <v>123</v>
      </c>
      <c r="AX188" s="142" t="str">
        <f>LEFT(RIGHT(C188,LEN(C188)-MIN(SEARCH({0,1,2,3,4,5,6,7,8,9},C188&amp;"0123456789"))+1),2)</f>
        <v>26</v>
      </c>
      <c r="AY188" s="142">
        <v>1</v>
      </c>
      <c r="AZ188" s="142" t="str">
        <f>LEFT(RIGHT(C188,LEN(C188)-MIN(SEARCH({0,1,2,3,4,5,6,7,8,9},C188&amp;"0123456789"))+1),5)</f>
        <v>26.01</v>
      </c>
      <c r="BA188" s="142" t="str">
        <f t="shared" si="21"/>
        <v>MI</v>
      </c>
    </row>
    <row r="189" spans="2:53" s="142" customFormat="1" ht="21" customHeight="1" x14ac:dyDescent="0.25">
      <c r="B189" s="173" t="str">
        <f t="shared" si="18"/>
        <v>0-304/FH-1.15X642</v>
      </c>
      <c r="C189" s="173" t="s">
        <v>4389</v>
      </c>
      <c r="D189" s="173" t="s">
        <v>16</v>
      </c>
      <c r="E189" s="190" t="s">
        <v>4242</v>
      </c>
      <c r="F189" s="190" t="s">
        <v>4243</v>
      </c>
      <c r="G189" s="173">
        <v>304</v>
      </c>
      <c r="H189" s="173" t="s">
        <v>70</v>
      </c>
      <c r="I189" s="174">
        <v>3.01</v>
      </c>
      <c r="J189" s="174">
        <v>1.1499999999999999</v>
      </c>
      <c r="K189" s="174"/>
      <c r="L189" s="174"/>
      <c r="M189" s="191">
        <v>642</v>
      </c>
      <c r="N189" s="176">
        <v>10.66</v>
      </c>
      <c r="O189" s="176">
        <v>10.66</v>
      </c>
      <c r="P189" s="176" t="s">
        <v>114</v>
      </c>
      <c r="Q189" s="178" t="s">
        <v>1210</v>
      </c>
      <c r="R189" s="179"/>
      <c r="S189" s="179"/>
      <c r="T189" s="177">
        <v>44951</v>
      </c>
      <c r="U189" s="177"/>
      <c r="V189" s="177">
        <v>44952</v>
      </c>
      <c r="W189" s="177"/>
      <c r="X189" s="177"/>
      <c r="Y189" s="177"/>
      <c r="Z189" s="177"/>
      <c r="AA189" s="177"/>
      <c r="AB189" s="177"/>
      <c r="AC189" s="177"/>
      <c r="AD189" s="180" t="s">
        <v>1643</v>
      </c>
      <c r="AE189" s="173" t="s">
        <v>69</v>
      </c>
      <c r="AF189" s="181" t="s">
        <v>142</v>
      </c>
      <c r="AG189" s="192" t="s">
        <v>1657</v>
      </c>
      <c r="AH189" s="198"/>
      <c r="AI189" s="181">
        <v>44849</v>
      </c>
      <c r="AJ189" s="181"/>
      <c r="AK189" s="181">
        <f t="shared" ca="1" si="16"/>
        <v>44958</v>
      </c>
      <c r="AL189" s="173">
        <f t="shared" ca="1" si="19"/>
        <v>109</v>
      </c>
      <c r="AM189" s="173" t="str">
        <f t="shared" si="20"/>
        <v/>
      </c>
      <c r="AN189" s="181"/>
      <c r="AO189" s="190" t="s">
        <v>4244</v>
      </c>
      <c r="AP189" s="176">
        <v>10.66</v>
      </c>
      <c r="AQ189" s="176">
        <v>10.67</v>
      </c>
      <c r="AR189" s="176">
        <v>10.694999999999999</v>
      </c>
      <c r="AS189" s="176">
        <v>10.7</v>
      </c>
      <c r="AT189" s="173">
        <f t="shared" ca="1" si="22"/>
        <v>6</v>
      </c>
      <c r="AU189" s="173">
        <v>456</v>
      </c>
      <c r="AW189" s="142" t="s">
        <v>123</v>
      </c>
      <c r="AX189" s="142" t="str">
        <f>LEFT(RIGHT(C189,LEN(C189)-MIN(SEARCH({0,1,2,3,4,5,6,7,8,9},C189&amp;"0123456789"))+1),2)</f>
        <v>26</v>
      </c>
      <c r="AY189" s="142">
        <v>1</v>
      </c>
      <c r="AZ189" s="142" t="str">
        <f>LEFT(RIGHT(C189,LEN(C189)-MIN(SEARCH({0,1,2,3,4,5,6,7,8,9},C189&amp;"0123456789"))+1),5)</f>
        <v>26.01</v>
      </c>
      <c r="BA189" s="142" t="str">
        <f t="shared" si="21"/>
        <v>MI</v>
      </c>
    </row>
    <row r="190" spans="2:53" s="142" customFormat="1" ht="21" customHeight="1" x14ac:dyDescent="0.25">
      <c r="B190" s="173" t="str">
        <f t="shared" si="18"/>
        <v>0-304/FH-1.15X643</v>
      </c>
      <c r="C190" s="173" t="s">
        <v>4389</v>
      </c>
      <c r="D190" s="173" t="s">
        <v>16</v>
      </c>
      <c r="E190" s="190" t="s">
        <v>4248</v>
      </c>
      <c r="F190" s="190" t="s">
        <v>4249</v>
      </c>
      <c r="G190" s="173">
        <v>304</v>
      </c>
      <c r="H190" s="173" t="s">
        <v>70</v>
      </c>
      <c r="I190" s="174">
        <v>3.39</v>
      </c>
      <c r="J190" s="174">
        <v>1.1499999999999999</v>
      </c>
      <c r="K190" s="174"/>
      <c r="L190" s="174"/>
      <c r="M190" s="191">
        <v>643</v>
      </c>
      <c r="N190" s="176">
        <v>10.055</v>
      </c>
      <c r="O190" s="176">
        <v>10.055</v>
      </c>
      <c r="P190" s="176" t="s">
        <v>114</v>
      </c>
      <c r="Q190" s="178" t="s">
        <v>1210</v>
      </c>
      <c r="R190" s="179"/>
      <c r="S190" s="179"/>
      <c r="T190" s="177">
        <v>44952</v>
      </c>
      <c r="U190" s="177"/>
      <c r="V190" s="177">
        <v>44952</v>
      </c>
      <c r="W190" s="177"/>
      <c r="X190" s="177"/>
      <c r="Y190" s="177"/>
      <c r="Z190" s="177"/>
      <c r="AA190" s="177"/>
      <c r="AB190" s="177"/>
      <c r="AC190" s="177"/>
      <c r="AD190" s="180" t="s">
        <v>1605</v>
      </c>
      <c r="AE190" s="173" t="s">
        <v>69</v>
      </c>
      <c r="AF190" s="181" t="s">
        <v>142</v>
      </c>
      <c r="AG190" s="192" t="s">
        <v>1657</v>
      </c>
      <c r="AH190" s="198"/>
      <c r="AI190" s="181">
        <v>44849</v>
      </c>
      <c r="AJ190" s="181"/>
      <c r="AK190" s="181">
        <f t="shared" ca="1" si="16"/>
        <v>44958</v>
      </c>
      <c r="AL190" s="173">
        <f t="shared" ca="1" si="19"/>
        <v>109</v>
      </c>
      <c r="AM190" s="173" t="str">
        <f t="shared" si="20"/>
        <v/>
      </c>
      <c r="AN190" s="181"/>
      <c r="AO190" s="190" t="s">
        <v>4184</v>
      </c>
      <c r="AP190" s="176">
        <v>10.055</v>
      </c>
      <c r="AQ190" s="176">
        <v>10.065</v>
      </c>
      <c r="AR190" s="176">
        <v>10.089999999999998</v>
      </c>
      <c r="AS190" s="176">
        <v>10.094999999999999</v>
      </c>
      <c r="AT190" s="173">
        <f t="shared" ca="1" si="22"/>
        <v>6</v>
      </c>
      <c r="AU190" s="173">
        <v>456</v>
      </c>
      <c r="AW190" s="142" t="s">
        <v>123</v>
      </c>
      <c r="AX190" s="142" t="str">
        <f>LEFT(RIGHT(C190,LEN(C190)-MIN(SEARCH({0,1,2,3,4,5,6,7,8,9},C190&amp;"0123456789"))+1),2)</f>
        <v>26</v>
      </c>
      <c r="AY190" s="142">
        <v>1</v>
      </c>
      <c r="AZ190" s="142" t="str">
        <f>LEFT(RIGHT(C190,LEN(C190)-MIN(SEARCH({0,1,2,3,4,5,6,7,8,9},C190&amp;"0123456789"))+1),5)</f>
        <v>26.01</v>
      </c>
      <c r="BA190" s="142" t="str">
        <f t="shared" si="21"/>
        <v>MI</v>
      </c>
    </row>
    <row r="191" spans="2:53" s="142" customFormat="1" ht="21" customHeight="1" x14ac:dyDescent="0.25">
      <c r="B191" s="173" t="str">
        <f t="shared" si="18"/>
        <v>0-304L/FH-1.15X643</v>
      </c>
      <c r="C191" s="173" t="s">
        <v>4389</v>
      </c>
      <c r="D191" s="173" t="s">
        <v>16</v>
      </c>
      <c r="E191" s="190" t="s">
        <v>4251</v>
      </c>
      <c r="F191" s="190" t="s">
        <v>4252</v>
      </c>
      <c r="G191" s="173" t="s">
        <v>182</v>
      </c>
      <c r="H191" s="173" t="s">
        <v>70</v>
      </c>
      <c r="I191" s="174">
        <v>3.5</v>
      </c>
      <c r="J191" s="174">
        <v>1.1499999999999999</v>
      </c>
      <c r="K191" s="174"/>
      <c r="L191" s="174"/>
      <c r="M191" s="191">
        <v>643</v>
      </c>
      <c r="N191" s="176">
        <v>10.615</v>
      </c>
      <c r="O191" s="176">
        <v>10.615</v>
      </c>
      <c r="P191" s="176" t="s">
        <v>114</v>
      </c>
      <c r="Q191" s="178" t="s">
        <v>1210</v>
      </c>
      <c r="R191" s="179"/>
      <c r="S191" s="179"/>
      <c r="T191" s="177">
        <v>44952</v>
      </c>
      <c r="U191" s="177"/>
      <c r="V191" s="177">
        <v>44952</v>
      </c>
      <c r="W191" s="177"/>
      <c r="X191" s="177"/>
      <c r="Y191" s="177"/>
      <c r="Z191" s="177"/>
      <c r="AA191" s="177"/>
      <c r="AB191" s="177"/>
      <c r="AC191" s="177"/>
      <c r="AD191" s="180" t="s">
        <v>1605</v>
      </c>
      <c r="AE191" s="173" t="s">
        <v>69</v>
      </c>
      <c r="AF191" s="181" t="s">
        <v>142</v>
      </c>
      <c r="AG191" s="192" t="s">
        <v>1657</v>
      </c>
      <c r="AH191" s="198"/>
      <c r="AI191" s="181">
        <v>44849</v>
      </c>
      <c r="AJ191" s="181"/>
      <c r="AK191" s="181">
        <f t="shared" ca="1" si="16"/>
        <v>44958</v>
      </c>
      <c r="AL191" s="173">
        <f t="shared" ca="1" si="19"/>
        <v>109</v>
      </c>
      <c r="AM191" s="173" t="str">
        <f t="shared" si="20"/>
        <v/>
      </c>
      <c r="AN191" s="181"/>
      <c r="AO191" s="190" t="s">
        <v>1760</v>
      </c>
      <c r="AP191" s="176">
        <v>10.615</v>
      </c>
      <c r="AQ191" s="176">
        <v>10.625</v>
      </c>
      <c r="AR191" s="176">
        <v>10.649999999999999</v>
      </c>
      <c r="AS191" s="176">
        <v>10.654999999999999</v>
      </c>
      <c r="AT191" s="173">
        <f t="shared" ca="1" si="22"/>
        <v>6</v>
      </c>
      <c r="AU191" s="173">
        <v>456</v>
      </c>
      <c r="AW191" s="142" t="s">
        <v>123</v>
      </c>
      <c r="AX191" s="142" t="str">
        <f>LEFT(RIGHT(C191,LEN(C191)-MIN(SEARCH({0,1,2,3,4,5,6,7,8,9},C191&amp;"0123456789"))+1),2)</f>
        <v>26</v>
      </c>
      <c r="AY191" s="142">
        <v>2</v>
      </c>
      <c r="AZ191" s="142" t="str">
        <f>LEFT(RIGHT(C191,LEN(C191)-MIN(SEARCH({0,1,2,3,4,5,6,7,8,9},C191&amp;"0123456789"))+1),5)</f>
        <v>26.01</v>
      </c>
      <c r="BA191" s="142" t="str">
        <f t="shared" si="21"/>
        <v>MI</v>
      </c>
    </row>
    <row r="192" spans="2:53" s="142" customFormat="1" ht="21" customHeight="1" x14ac:dyDescent="0.25">
      <c r="B192" s="173" t="str">
        <f t="shared" si="18"/>
        <v>0-304L/FH-1.00X644</v>
      </c>
      <c r="C192" s="173" t="s">
        <v>4389</v>
      </c>
      <c r="D192" s="173" t="s">
        <v>16</v>
      </c>
      <c r="E192" s="190" t="s">
        <v>4254</v>
      </c>
      <c r="F192" s="190" t="s">
        <v>4255</v>
      </c>
      <c r="G192" s="173" t="s">
        <v>182</v>
      </c>
      <c r="H192" s="173" t="s">
        <v>70</v>
      </c>
      <c r="I192" s="174">
        <v>2.96</v>
      </c>
      <c r="J192" s="174">
        <v>1</v>
      </c>
      <c r="K192" s="174"/>
      <c r="L192" s="174"/>
      <c r="M192" s="191">
        <v>644</v>
      </c>
      <c r="N192" s="176">
        <v>10.135</v>
      </c>
      <c r="O192" s="176">
        <v>10.135</v>
      </c>
      <c r="P192" s="176" t="s">
        <v>114</v>
      </c>
      <c r="Q192" s="178" t="s">
        <v>1210</v>
      </c>
      <c r="R192" s="179"/>
      <c r="S192" s="179"/>
      <c r="T192" s="177">
        <v>44952</v>
      </c>
      <c r="U192" s="177"/>
      <c r="V192" s="177">
        <v>44952</v>
      </c>
      <c r="W192" s="177"/>
      <c r="X192" s="177"/>
      <c r="Y192" s="177"/>
      <c r="Z192" s="177"/>
      <c r="AA192" s="177"/>
      <c r="AB192" s="177"/>
      <c r="AC192" s="177"/>
      <c r="AD192" s="180" t="s">
        <v>1643</v>
      </c>
      <c r="AE192" s="173" t="s">
        <v>69</v>
      </c>
      <c r="AF192" s="181" t="s">
        <v>142</v>
      </c>
      <c r="AG192" s="192" t="s">
        <v>1657</v>
      </c>
      <c r="AH192" s="198"/>
      <c r="AI192" s="181">
        <v>44849</v>
      </c>
      <c r="AJ192" s="181"/>
      <c r="AK192" s="181">
        <f t="shared" ca="1" si="16"/>
        <v>44958</v>
      </c>
      <c r="AL192" s="173">
        <f t="shared" ca="1" si="19"/>
        <v>109</v>
      </c>
      <c r="AM192" s="173" t="str">
        <f t="shared" si="20"/>
        <v/>
      </c>
      <c r="AN192" s="181"/>
      <c r="AO192" s="190" t="s">
        <v>4241</v>
      </c>
      <c r="AP192" s="176">
        <v>10.135</v>
      </c>
      <c r="AQ192" s="176">
        <v>10.145</v>
      </c>
      <c r="AR192" s="176">
        <v>10.169999999999998</v>
      </c>
      <c r="AS192" s="176">
        <v>10.174999999999999</v>
      </c>
      <c r="AT192" s="173">
        <f t="shared" ca="1" si="22"/>
        <v>6</v>
      </c>
      <c r="AU192" s="173">
        <v>456</v>
      </c>
      <c r="AW192" s="142" t="s">
        <v>123</v>
      </c>
      <c r="AX192" s="142" t="str">
        <f>LEFT(RIGHT(C192,LEN(C192)-MIN(SEARCH({0,1,2,3,4,5,6,7,8,9},C192&amp;"0123456789"))+1),2)</f>
        <v>26</v>
      </c>
      <c r="AY192" s="142">
        <v>2</v>
      </c>
      <c r="AZ192" s="142" t="str">
        <f>LEFT(RIGHT(C192,LEN(C192)-MIN(SEARCH({0,1,2,3,4,5,6,7,8,9},C192&amp;"0123456789"))+1),5)</f>
        <v>26.01</v>
      </c>
      <c r="BA192" s="142" t="str">
        <f t="shared" si="21"/>
        <v>MI</v>
      </c>
    </row>
    <row r="193" spans="2:53" s="142" customFormat="1" ht="21" customHeight="1" x14ac:dyDescent="0.25">
      <c r="B193" s="173" t="str">
        <f t="shared" si="18"/>
        <v>0-304/FH-1.45X641</v>
      </c>
      <c r="C193" s="173" t="s">
        <v>4389</v>
      </c>
      <c r="D193" s="173" t="s">
        <v>16</v>
      </c>
      <c r="E193" s="190" t="s">
        <v>4258</v>
      </c>
      <c r="F193" s="190" t="s">
        <v>4259</v>
      </c>
      <c r="G193" s="173">
        <v>304</v>
      </c>
      <c r="H193" s="173" t="s">
        <v>70</v>
      </c>
      <c r="I193" s="174">
        <v>3.89</v>
      </c>
      <c r="J193" s="174">
        <v>1.45</v>
      </c>
      <c r="K193" s="174"/>
      <c r="L193" s="174"/>
      <c r="M193" s="191">
        <v>641</v>
      </c>
      <c r="N193" s="176">
        <v>10.305</v>
      </c>
      <c r="O193" s="176">
        <v>10.305</v>
      </c>
      <c r="P193" s="176" t="s">
        <v>114</v>
      </c>
      <c r="Q193" s="178" t="s">
        <v>1210</v>
      </c>
      <c r="R193" s="179"/>
      <c r="S193" s="179"/>
      <c r="T193" s="177">
        <v>44952</v>
      </c>
      <c r="U193" s="177"/>
      <c r="V193" s="177">
        <v>44952</v>
      </c>
      <c r="W193" s="177"/>
      <c r="X193" s="177"/>
      <c r="Y193" s="177"/>
      <c r="Z193" s="177"/>
      <c r="AA193" s="177"/>
      <c r="AB193" s="177"/>
      <c r="AC193" s="177"/>
      <c r="AD193" s="180" t="s">
        <v>1605</v>
      </c>
      <c r="AE193" s="173" t="s">
        <v>69</v>
      </c>
      <c r="AF193" s="181" t="s">
        <v>142</v>
      </c>
      <c r="AG193" s="192" t="s">
        <v>1594</v>
      </c>
      <c r="AH193" s="198"/>
      <c r="AI193" s="181">
        <v>44849</v>
      </c>
      <c r="AJ193" s="181"/>
      <c r="AK193" s="181">
        <f t="shared" ca="1" si="16"/>
        <v>44958</v>
      </c>
      <c r="AL193" s="173">
        <f t="shared" ca="1" si="19"/>
        <v>109</v>
      </c>
      <c r="AM193" s="173" t="str">
        <f t="shared" si="20"/>
        <v/>
      </c>
      <c r="AN193" s="181"/>
      <c r="AO193" s="190" t="s">
        <v>4075</v>
      </c>
      <c r="AP193" s="176">
        <v>10.305</v>
      </c>
      <c r="AQ193" s="176">
        <v>10.315</v>
      </c>
      <c r="AR193" s="176">
        <v>10.339999999999998</v>
      </c>
      <c r="AS193" s="176">
        <v>10.344999999999999</v>
      </c>
      <c r="AT193" s="173">
        <f t="shared" ca="1" si="22"/>
        <v>6</v>
      </c>
      <c r="AU193" s="173">
        <v>456</v>
      </c>
      <c r="AW193" s="142" t="s">
        <v>123</v>
      </c>
      <c r="AX193" s="142" t="str">
        <f>LEFT(RIGHT(C193,LEN(C193)-MIN(SEARCH({0,1,2,3,4,5,6,7,8,9},C193&amp;"0123456789"))+1),2)</f>
        <v>26</v>
      </c>
      <c r="AY193" s="142">
        <v>2</v>
      </c>
      <c r="AZ193" s="142" t="str">
        <f>LEFT(RIGHT(C193,LEN(C193)-MIN(SEARCH({0,1,2,3,4,5,6,7,8,9},C193&amp;"0123456789"))+1),5)</f>
        <v>26.01</v>
      </c>
      <c r="BA193" s="142" t="str">
        <f t="shared" si="21"/>
        <v>MI</v>
      </c>
    </row>
    <row r="194" spans="2:53" s="142" customFormat="1" ht="21" customHeight="1" x14ac:dyDescent="0.25">
      <c r="B194" s="173" t="str">
        <f t="shared" si="18"/>
        <v>0-304L/FH-1.15X643</v>
      </c>
      <c r="C194" s="173" t="s">
        <v>4389</v>
      </c>
      <c r="D194" s="173" t="s">
        <v>16</v>
      </c>
      <c r="E194" s="190" t="s">
        <v>4256</v>
      </c>
      <c r="F194" s="190" t="s">
        <v>4257</v>
      </c>
      <c r="G194" s="173" t="s">
        <v>182</v>
      </c>
      <c r="H194" s="173" t="s">
        <v>70</v>
      </c>
      <c r="I194" s="174">
        <v>3.51</v>
      </c>
      <c r="J194" s="174">
        <v>1.1499999999999999</v>
      </c>
      <c r="K194" s="174"/>
      <c r="L194" s="174"/>
      <c r="M194" s="191">
        <v>643</v>
      </c>
      <c r="N194" s="176">
        <v>10.74</v>
      </c>
      <c r="O194" s="176">
        <v>10.74</v>
      </c>
      <c r="P194" s="176" t="s">
        <v>114</v>
      </c>
      <c r="Q194" s="178" t="s">
        <v>1210</v>
      </c>
      <c r="R194" s="179"/>
      <c r="S194" s="179"/>
      <c r="T194" s="177">
        <v>44952</v>
      </c>
      <c r="U194" s="177"/>
      <c r="V194" s="177">
        <v>44952</v>
      </c>
      <c r="W194" s="177"/>
      <c r="X194" s="177"/>
      <c r="Y194" s="177"/>
      <c r="Z194" s="177"/>
      <c r="AA194" s="177"/>
      <c r="AB194" s="177"/>
      <c r="AC194" s="177"/>
      <c r="AD194" s="180" t="s">
        <v>1643</v>
      </c>
      <c r="AE194" s="173" t="s">
        <v>69</v>
      </c>
      <c r="AF194" s="181" t="s">
        <v>142</v>
      </c>
      <c r="AG194" s="192" t="s">
        <v>1657</v>
      </c>
      <c r="AH194" s="198"/>
      <c r="AI194" s="181">
        <v>44849</v>
      </c>
      <c r="AJ194" s="181"/>
      <c r="AK194" s="181">
        <f t="shared" ca="1" si="16"/>
        <v>44958</v>
      </c>
      <c r="AL194" s="173">
        <f t="shared" ca="1" si="19"/>
        <v>109</v>
      </c>
      <c r="AM194" s="173" t="str">
        <f t="shared" si="20"/>
        <v/>
      </c>
      <c r="AN194" s="181"/>
      <c r="AO194" s="190" t="s">
        <v>1679</v>
      </c>
      <c r="AP194" s="176">
        <v>10.74</v>
      </c>
      <c r="AQ194" s="176">
        <v>10.75</v>
      </c>
      <c r="AR194" s="176">
        <v>10.774999999999999</v>
      </c>
      <c r="AS194" s="176">
        <v>10.78</v>
      </c>
      <c r="AT194" s="173">
        <f t="shared" ca="1" si="22"/>
        <v>6</v>
      </c>
      <c r="AU194" s="173">
        <v>456</v>
      </c>
      <c r="AW194" s="142" t="s">
        <v>123</v>
      </c>
      <c r="AX194" s="142" t="str">
        <f>LEFT(RIGHT(C194,LEN(C194)-MIN(SEARCH({0,1,2,3,4,5,6,7,8,9},C194&amp;"0123456789"))+1),2)</f>
        <v>26</v>
      </c>
      <c r="AY194" s="142">
        <v>3</v>
      </c>
      <c r="AZ194" s="142" t="str">
        <f>LEFT(RIGHT(C194,LEN(C194)-MIN(SEARCH({0,1,2,3,4,5,6,7,8,9},C194&amp;"0123456789"))+1),5)</f>
        <v>26.01</v>
      </c>
      <c r="BA194" s="142" t="str">
        <f t="shared" si="21"/>
        <v>MI</v>
      </c>
    </row>
    <row r="195" spans="2:53" s="142" customFormat="1" ht="21" customHeight="1" x14ac:dyDescent="0.25">
      <c r="B195" s="173" t="str">
        <f t="shared" si="18"/>
        <v>0-304/FH-1.45X642</v>
      </c>
      <c r="C195" s="173" t="s">
        <v>4389</v>
      </c>
      <c r="D195" s="173" t="s">
        <v>16</v>
      </c>
      <c r="E195" s="190" t="s">
        <v>4261</v>
      </c>
      <c r="F195" s="190" t="s">
        <v>4262</v>
      </c>
      <c r="G195" s="173">
        <v>304</v>
      </c>
      <c r="H195" s="173" t="s">
        <v>70</v>
      </c>
      <c r="I195" s="174">
        <v>3.9</v>
      </c>
      <c r="J195" s="174">
        <v>1.45</v>
      </c>
      <c r="K195" s="174"/>
      <c r="L195" s="174"/>
      <c r="M195" s="191">
        <v>642</v>
      </c>
      <c r="N195" s="176">
        <v>10.63</v>
      </c>
      <c r="O195" s="176">
        <v>10.63</v>
      </c>
      <c r="P195" s="176" t="s">
        <v>114</v>
      </c>
      <c r="Q195" s="178" t="s">
        <v>1210</v>
      </c>
      <c r="R195" s="179"/>
      <c r="S195" s="179"/>
      <c r="T195" s="177">
        <v>44952</v>
      </c>
      <c r="U195" s="177"/>
      <c r="V195" s="177">
        <v>44952</v>
      </c>
      <c r="W195" s="177"/>
      <c r="X195" s="177"/>
      <c r="Y195" s="177"/>
      <c r="Z195" s="177"/>
      <c r="AA195" s="177"/>
      <c r="AB195" s="177"/>
      <c r="AC195" s="177"/>
      <c r="AD195" s="180" t="s">
        <v>1643</v>
      </c>
      <c r="AE195" s="173" t="s">
        <v>69</v>
      </c>
      <c r="AF195" s="181" t="s">
        <v>142</v>
      </c>
      <c r="AG195" s="192" t="s">
        <v>1594</v>
      </c>
      <c r="AH195" s="198"/>
      <c r="AI195" s="181">
        <v>44849</v>
      </c>
      <c r="AJ195" s="181"/>
      <c r="AK195" s="181">
        <f t="shared" ca="1" si="16"/>
        <v>44958</v>
      </c>
      <c r="AL195" s="173">
        <f t="shared" ca="1" si="19"/>
        <v>109</v>
      </c>
      <c r="AM195" s="173" t="str">
        <f t="shared" si="20"/>
        <v/>
      </c>
      <c r="AN195" s="181"/>
      <c r="AO195" s="190" t="s">
        <v>1644</v>
      </c>
      <c r="AP195" s="176">
        <v>10.63</v>
      </c>
      <c r="AQ195" s="176">
        <v>10.64</v>
      </c>
      <c r="AR195" s="176">
        <v>10.664999999999999</v>
      </c>
      <c r="AS195" s="176">
        <v>10.67</v>
      </c>
      <c r="AT195" s="173">
        <f t="shared" ca="1" si="22"/>
        <v>6</v>
      </c>
      <c r="AU195" s="173">
        <v>456</v>
      </c>
      <c r="AW195" s="142" t="s">
        <v>123</v>
      </c>
      <c r="AX195" s="142" t="str">
        <f>LEFT(RIGHT(C195,LEN(C195)-MIN(SEARCH({0,1,2,3,4,5,6,7,8,9},C195&amp;"0123456789"))+1),2)</f>
        <v>26</v>
      </c>
      <c r="AY195" s="142">
        <v>3</v>
      </c>
      <c r="AZ195" s="142" t="str">
        <f>LEFT(RIGHT(C195,LEN(C195)-MIN(SEARCH({0,1,2,3,4,5,6,7,8,9},C195&amp;"0123456789"))+1),5)</f>
        <v>26.01</v>
      </c>
      <c r="BA195" s="142" t="str">
        <f t="shared" si="21"/>
        <v>MI</v>
      </c>
    </row>
    <row r="196" spans="2:53" s="142" customFormat="1" ht="21" customHeight="1" x14ac:dyDescent="0.25">
      <c r="B196" s="173" t="str">
        <f t="shared" si="18"/>
        <v>0-304/FH-0.90X643</v>
      </c>
      <c r="C196" s="173" t="s">
        <v>4390</v>
      </c>
      <c r="D196" s="173" t="s">
        <v>16</v>
      </c>
      <c r="E196" s="190" t="s">
        <v>4263</v>
      </c>
      <c r="F196" s="190" t="s">
        <v>4264</v>
      </c>
      <c r="G196" s="173">
        <v>304</v>
      </c>
      <c r="H196" s="173" t="s">
        <v>70</v>
      </c>
      <c r="I196" s="174">
        <v>2.91</v>
      </c>
      <c r="J196" s="174">
        <v>0.9</v>
      </c>
      <c r="K196" s="174"/>
      <c r="L196" s="174"/>
      <c r="M196" s="191">
        <v>643</v>
      </c>
      <c r="N196" s="176">
        <v>8.6199999999999992</v>
      </c>
      <c r="O196" s="176">
        <v>8.6199999999999992</v>
      </c>
      <c r="P196" s="176" t="s">
        <v>114</v>
      </c>
      <c r="Q196" s="178" t="s">
        <v>1210</v>
      </c>
      <c r="R196" s="179"/>
      <c r="S196" s="179"/>
      <c r="T196" s="177">
        <v>44952</v>
      </c>
      <c r="U196" s="177"/>
      <c r="V196" s="177">
        <v>44953</v>
      </c>
      <c r="W196" s="177"/>
      <c r="X196" s="177"/>
      <c r="Y196" s="177"/>
      <c r="Z196" s="177"/>
      <c r="AA196" s="177"/>
      <c r="AB196" s="177"/>
      <c r="AC196" s="177"/>
      <c r="AD196" s="180" t="s">
        <v>1643</v>
      </c>
      <c r="AE196" s="173" t="s">
        <v>69</v>
      </c>
      <c r="AF196" s="181" t="s">
        <v>142</v>
      </c>
      <c r="AG196" s="192" t="s">
        <v>1657</v>
      </c>
      <c r="AH196" s="198"/>
      <c r="AI196" s="181">
        <v>44849</v>
      </c>
      <c r="AJ196" s="181"/>
      <c r="AK196" s="181">
        <f t="shared" ref="AK196:AK237" ca="1" si="23">TODAY()</f>
        <v>44958</v>
      </c>
      <c r="AL196" s="173">
        <f t="shared" ca="1" si="19"/>
        <v>109</v>
      </c>
      <c r="AM196" s="173" t="str">
        <f t="shared" si="20"/>
        <v/>
      </c>
      <c r="AN196" s="181"/>
      <c r="AO196" s="190" t="s">
        <v>4066</v>
      </c>
      <c r="AP196" s="176">
        <v>8.6199999999999992</v>
      </c>
      <c r="AQ196" s="176">
        <v>8.6300000000000008</v>
      </c>
      <c r="AR196" s="176">
        <v>8.6549999999999994</v>
      </c>
      <c r="AS196" s="176">
        <v>8.66</v>
      </c>
      <c r="AT196" s="173">
        <f t="shared" ca="1" si="22"/>
        <v>5</v>
      </c>
      <c r="AU196" s="173">
        <v>456</v>
      </c>
      <c r="AW196" s="142" t="s">
        <v>123</v>
      </c>
      <c r="AX196" s="142" t="str">
        <f>LEFT(RIGHT(C196,LEN(C196)-MIN(SEARCH({0,1,2,3,4,5,6,7,8,9},C196&amp;"0123456789"))+1),2)</f>
        <v>27</v>
      </c>
      <c r="AY196" s="142">
        <v>1</v>
      </c>
      <c r="AZ196" s="142" t="str">
        <f>LEFT(RIGHT(C196,LEN(C196)-MIN(SEARCH({0,1,2,3,4,5,6,7,8,9},C196&amp;"0123456789"))+1),5)</f>
        <v>27.01</v>
      </c>
      <c r="BA196" s="142" t="str">
        <f t="shared" si="21"/>
        <v>MI</v>
      </c>
    </row>
    <row r="197" spans="2:53" s="142" customFormat="1" ht="21" customHeight="1" x14ac:dyDescent="0.25">
      <c r="B197" s="173" t="str">
        <f t="shared" si="18"/>
        <v>0-304L/FH-2.00X638</v>
      </c>
      <c r="C197" s="173" t="s">
        <v>4390</v>
      </c>
      <c r="D197" s="173" t="s">
        <v>16</v>
      </c>
      <c r="E197" s="190" t="s">
        <v>4265</v>
      </c>
      <c r="F197" s="190" t="s">
        <v>4266</v>
      </c>
      <c r="G197" s="173" t="s">
        <v>182</v>
      </c>
      <c r="H197" s="173" t="s">
        <v>70</v>
      </c>
      <c r="I197" s="174">
        <v>3.9</v>
      </c>
      <c r="J197" s="174">
        <v>2</v>
      </c>
      <c r="K197" s="174"/>
      <c r="L197" s="174"/>
      <c r="M197" s="191">
        <v>638</v>
      </c>
      <c r="N197" s="176">
        <v>10.535</v>
      </c>
      <c r="O197" s="176">
        <v>10.535</v>
      </c>
      <c r="P197" s="176" t="s">
        <v>114</v>
      </c>
      <c r="Q197" s="178" t="s">
        <v>1210</v>
      </c>
      <c r="R197" s="179"/>
      <c r="S197" s="179"/>
      <c r="T197" s="177">
        <v>44952</v>
      </c>
      <c r="U197" s="177"/>
      <c r="V197" s="177">
        <v>44953</v>
      </c>
      <c r="W197" s="177"/>
      <c r="X197" s="177"/>
      <c r="Y197" s="177"/>
      <c r="Z197" s="177"/>
      <c r="AA197" s="177"/>
      <c r="AB197" s="177"/>
      <c r="AC197" s="177"/>
      <c r="AD197" s="180" t="s">
        <v>1643</v>
      </c>
      <c r="AE197" s="173" t="s">
        <v>69</v>
      </c>
      <c r="AF197" s="181" t="s">
        <v>142</v>
      </c>
      <c r="AG197" s="192" t="s">
        <v>1657</v>
      </c>
      <c r="AH197" s="198"/>
      <c r="AI197" s="181">
        <v>44849</v>
      </c>
      <c r="AJ197" s="181"/>
      <c r="AK197" s="181">
        <f t="shared" ca="1" si="23"/>
        <v>44958</v>
      </c>
      <c r="AL197" s="173">
        <f t="shared" ca="1" si="19"/>
        <v>109</v>
      </c>
      <c r="AM197" s="173" t="str">
        <f t="shared" si="20"/>
        <v/>
      </c>
      <c r="AN197" s="181"/>
      <c r="AO197" s="190" t="s">
        <v>1685</v>
      </c>
      <c r="AP197" s="176">
        <v>10.535</v>
      </c>
      <c r="AQ197" s="176">
        <v>10.545</v>
      </c>
      <c r="AR197" s="176">
        <v>10.569999999999999</v>
      </c>
      <c r="AS197" s="176">
        <v>10.574999999999999</v>
      </c>
      <c r="AT197" s="173">
        <f t="shared" ca="1" si="22"/>
        <v>5</v>
      </c>
      <c r="AU197" s="173">
        <v>456</v>
      </c>
      <c r="AW197" s="142" t="s">
        <v>123</v>
      </c>
      <c r="AX197" s="142" t="str">
        <f>LEFT(RIGHT(C197,LEN(C197)-MIN(SEARCH({0,1,2,3,4,5,6,7,8,9},C197&amp;"0123456789"))+1),2)</f>
        <v>27</v>
      </c>
      <c r="AY197" s="142">
        <v>1</v>
      </c>
      <c r="AZ197" s="142" t="str">
        <f>LEFT(RIGHT(C197,LEN(C197)-MIN(SEARCH({0,1,2,3,4,5,6,7,8,9},C197&amp;"0123456789"))+1),5)</f>
        <v>27.01</v>
      </c>
      <c r="BA197" s="142" t="str">
        <f t="shared" si="21"/>
        <v>MI</v>
      </c>
    </row>
    <row r="198" spans="2:53" s="142" customFormat="1" ht="21" customHeight="1" x14ac:dyDescent="0.25">
      <c r="B198" s="173" t="str">
        <f t="shared" si="18"/>
        <v>0-304L/FH-2.00X638</v>
      </c>
      <c r="C198" s="173" t="s">
        <v>4390</v>
      </c>
      <c r="D198" s="173" t="s">
        <v>16</v>
      </c>
      <c r="E198" s="190" t="s">
        <v>4267</v>
      </c>
      <c r="F198" s="190" t="s">
        <v>4268</v>
      </c>
      <c r="G198" s="173" t="s">
        <v>182</v>
      </c>
      <c r="H198" s="173" t="s">
        <v>70</v>
      </c>
      <c r="I198" s="174">
        <v>3.89</v>
      </c>
      <c r="J198" s="174">
        <v>2</v>
      </c>
      <c r="K198" s="174"/>
      <c r="L198" s="174"/>
      <c r="M198" s="191">
        <v>638</v>
      </c>
      <c r="N198" s="176">
        <v>10.3</v>
      </c>
      <c r="O198" s="176">
        <v>10.3</v>
      </c>
      <c r="P198" s="176" t="s">
        <v>114</v>
      </c>
      <c r="Q198" s="178" t="s">
        <v>1210</v>
      </c>
      <c r="R198" s="179"/>
      <c r="S198" s="179"/>
      <c r="T198" s="177">
        <v>44952</v>
      </c>
      <c r="U198" s="177"/>
      <c r="V198" s="177">
        <v>44953</v>
      </c>
      <c r="W198" s="177"/>
      <c r="X198" s="177"/>
      <c r="Y198" s="177"/>
      <c r="Z198" s="177"/>
      <c r="AA198" s="177"/>
      <c r="AB198" s="177"/>
      <c r="AC198" s="177"/>
      <c r="AD198" s="180" t="s">
        <v>1605</v>
      </c>
      <c r="AE198" s="173" t="s">
        <v>69</v>
      </c>
      <c r="AF198" s="181" t="s">
        <v>142</v>
      </c>
      <c r="AG198" s="192" t="s">
        <v>1657</v>
      </c>
      <c r="AH198" s="198"/>
      <c r="AI198" s="181">
        <v>44849</v>
      </c>
      <c r="AJ198" s="181"/>
      <c r="AK198" s="181">
        <f t="shared" ca="1" si="23"/>
        <v>44958</v>
      </c>
      <c r="AL198" s="173">
        <f t="shared" ca="1" si="19"/>
        <v>109</v>
      </c>
      <c r="AM198" s="173" t="str">
        <f t="shared" si="20"/>
        <v/>
      </c>
      <c r="AN198" s="181"/>
      <c r="AO198" s="190" t="s">
        <v>4204</v>
      </c>
      <c r="AP198" s="176">
        <v>10.3</v>
      </c>
      <c r="AQ198" s="176">
        <v>10.31</v>
      </c>
      <c r="AR198" s="176">
        <v>10.334999999999999</v>
      </c>
      <c r="AS198" s="176">
        <v>10.34</v>
      </c>
      <c r="AT198" s="173">
        <f t="shared" ca="1" si="22"/>
        <v>5</v>
      </c>
      <c r="AU198" s="173">
        <v>456</v>
      </c>
      <c r="AW198" s="142" t="s">
        <v>123</v>
      </c>
      <c r="AX198" s="142" t="str">
        <f>LEFT(RIGHT(C198,LEN(C198)-MIN(SEARCH({0,1,2,3,4,5,6,7,8,9},C198&amp;"0123456789"))+1),2)</f>
        <v>27</v>
      </c>
      <c r="AY198" s="142">
        <v>1</v>
      </c>
      <c r="AZ198" s="142" t="str">
        <f>LEFT(RIGHT(C198,LEN(C198)-MIN(SEARCH({0,1,2,3,4,5,6,7,8,9},C198&amp;"0123456789"))+1),5)</f>
        <v>27.01</v>
      </c>
      <c r="BA198" s="142" t="str">
        <f t="shared" si="21"/>
        <v>MI</v>
      </c>
    </row>
    <row r="199" spans="2:53" s="142" customFormat="1" ht="21" customHeight="1" x14ac:dyDescent="0.25">
      <c r="B199" s="173" t="str">
        <f t="shared" si="18"/>
        <v>0-304/FH-1.15X642</v>
      </c>
      <c r="C199" s="173" t="s">
        <v>4390</v>
      </c>
      <c r="D199" s="173" t="s">
        <v>16</v>
      </c>
      <c r="E199" s="190" t="s">
        <v>4271</v>
      </c>
      <c r="F199" s="190" t="s">
        <v>4272</v>
      </c>
      <c r="G199" s="173">
        <v>304</v>
      </c>
      <c r="H199" s="173" t="s">
        <v>70</v>
      </c>
      <c r="I199" s="174">
        <v>3.51</v>
      </c>
      <c r="J199" s="174">
        <v>1.1499999999999999</v>
      </c>
      <c r="K199" s="174"/>
      <c r="L199" s="174"/>
      <c r="M199" s="191">
        <v>642</v>
      </c>
      <c r="N199" s="176">
        <v>10.58</v>
      </c>
      <c r="O199" s="176">
        <v>10.58</v>
      </c>
      <c r="P199" s="176" t="s">
        <v>114</v>
      </c>
      <c r="Q199" s="178" t="s">
        <v>1210</v>
      </c>
      <c r="R199" s="179"/>
      <c r="S199" s="179"/>
      <c r="T199" s="177">
        <v>44953</v>
      </c>
      <c r="U199" s="177"/>
      <c r="V199" s="177">
        <v>44953</v>
      </c>
      <c r="W199" s="177"/>
      <c r="X199" s="177"/>
      <c r="Y199" s="177"/>
      <c r="Z199" s="177"/>
      <c r="AA199" s="177"/>
      <c r="AB199" s="177"/>
      <c r="AC199" s="177"/>
      <c r="AD199" s="180" t="s">
        <v>1643</v>
      </c>
      <c r="AE199" s="173" t="s">
        <v>69</v>
      </c>
      <c r="AF199" s="181" t="s">
        <v>142</v>
      </c>
      <c r="AG199" s="192" t="s">
        <v>1657</v>
      </c>
      <c r="AH199" s="198"/>
      <c r="AI199" s="181">
        <v>44849</v>
      </c>
      <c r="AJ199" s="181"/>
      <c r="AK199" s="181">
        <f t="shared" ca="1" si="23"/>
        <v>44958</v>
      </c>
      <c r="AL199" s="173">
        <f t="shared" ca="1" si="19"/>
        <v>109</v>
      </c>
      <c r="AM199" s="173" t="str">
        <f t="shared" si="20"/>
        <v/>
      </c>
      <c r="AN199" s="181"/>
      <c r="AO199" s="190" t="s">
        <v>1667</v>
      </c>
      <c r="AP199" s="176">
        <v>10.58</v>
      </c>
      <c r="AQ199" s="176">
        <v>10.59</v>
      </c>
      <c r="AR199" s="176">
        <v>10.614999999999998</v>
      </c>
      <c r="AS199" s="176">
        <v>10.62</v>
      </c>
      <c r="AT199" s="173">
        <f t="shared" ca="1" si="22"/>
        <v>5</v>
      </c>
      <c r="AU199" s="173">
        <v>456</v>
      </c>
      <c r="AW199" s="142" t="s">
        <v>123</v>
      </c>
      <c r="AX199" s="142" t="str">
        <f>LEFT(RIGHT(C199,LEN(C199)-MIN(SEARCH({0,1,2,3,4,5,6,7,8,9},C199&amp;"0123456789"))+1),2)</f>
        <v>27</v>
      </c>
      <c r="AY199" s="142">
        <v>2</v>
      </c>
      <c r="AZ199" s="142" t="str">
        <f>LEFT(RIGHT(C199,LEN(C199)-MIN(SEARCH({0,1,2,3,4,5,6,7,8,9},C199&amp;"0123456789"))+1),5)</f>
        <v>27.01</v>
      </c>
      <c r="BA199" s="142" t="str">
        <f t="shared" si="21"/>
        <v>MI</v>
      </c>
    </row>
    <row r="200" spans="2:53" s="142" customFormat="1" ht="21" customHeight="1" x14ac:dyDescent="0.25">
      <c r="B200" s="173" t="str">
        <f t="shared" si="18"/>
        <v>0-304L/FH-0.90X643</v>
      </c>
      <c r="C200" s="173" t="s">
        <v>4390</v>
      </c>
      <c r="D200" s="173" t="s">
        <v>16</v>
      </c>
      <c r="E200" s="190" t="s">
        <v>4273</v>
      </c>
      <c r="F200" s="190" t="s">
        <v>4274</v>
      </c>
      <c r="G200" s="173" t="s">
        <v>182</v>
      </c>
      <c r="H200" s="173" t="s">
        <v>70</v>
      </c>
      <c r="I200" s="174">
        <v>2.88</v>
      </c>
      <c r="J200" s="174">
        <v>0.9</v>
      </c>
      <c r="K200" s="174"/>
      <c r="L200" s="174"/>
      <c r="M200" s="191">
        <v>643</v>
      </c>
      <c r="N200" s="176">
        <v>10.755000000000001</v>
      </c>
      <c r="O200" s="176">
        <v>10.755000000000001</v>
      </c>
      <c r="P200" s="176" t="s">
        <v>114</v>
      </c>
      <c r="Q200" s="178" t="s">
        <v>1210</v>
      </c>
      <c r="R200" s="179"/>
      <c r="S200" s="179"/>
      <c r="T200" s="177">
        <v>44953</v>
      </c>
      <c r="U200" s="177"/>
      <c r="V200" s="177">
        <v>44953</v>
      </c>
      <c r="W200" s="177"/>
      <c r="X200" s="177"/>
      <c r="Y200" s="177"/>
      <c r="Z200" s="177"/>
      <c r="AA200" s="177"/>
      <c r="AB200" s="177"/>
      <c r="AC200" s="177"/>
      <c r="AD200" s="180" t="s">
        <v>1643</v>
      </c>
      <c r="AE200" s="173" t="s">
        <v>69</v>
      </c>
      <c r="AF200" s="181" t="s">
        <v>142</v>
      </c>
      <c r="AG200" s="192" t="s">
        <v>1657</v>
      </c>
      <c r="AH200" s="198"/>
      <c r="AI200" s="181">
        <v>44849</v>
      </c>
      <c r="AJ200" s="181"/>
      <c r="AK200" s="181">
        <f t="shared" ca="1" si="23"/>
        <v>44958</v>
      </c>
      <c r="AL200" s="173">
        <f t="shared" ca="1" si="19"/>
        <v>109</v>
      </c>
      <c r="AM200" s="173" t="str">
        <f t="shared" si="20"/>
        <v/>
      </c>
      <c r="AN200" s="181"/>
      <c r="AO200" s="190" t="s">
        <v>1784</v>
      </c>
      <c r="AP200" s="176">
        <v>10.755000000000001</v>
      </c>
      <c r="AQ200" s="176">
        <v>10.765000000000001</v>
      </c>
      <c r="AR200" s="176">
        <v>10.79</v>
      </c>
      <c r="AS200" s="176">
        <v>10.795</v>
      </c>
      <c r="AT200" s="173">
        <f t="shared" ca="1" si="22"/>
        <v>5</v>
      </c>
      <c r="AU200" s="173">
        <v>456</v>
      </c>
      <c r="AW200" s="142" t="s">
        <v>123</v>
      </c>
      <c r="AX200" s="142" t="str">
        <f>LEFT(RIGHT(C200,LEN(C200)-MIN(SEARCH({0,1,2,3,4,5,6,7,8,9},C200&amp;"0123456789"))+1),2)</f>
        <v>27</v>
      </c>
      <c r="AY200" s="142">
        <v>2</v>
      </c>
      <c r="AZ200" s="142" t="str">
        <f>LEFT(RIGHT(C200,LEN(C200)-MIN(SEARCH({0,1,2,3,4,5,6,7,8,9},C200&amp;"0123456789"))+1),5)</f>
        <v>27.01</v>
      </c>
      <c r="BA200" s="142" t="str">
        <f t="shared" si="21"/>
        <v>MI</v>
      </c>
    </row>
    <row r="201" spans="2:53" s="142" customFormat="1" ht="21" customHeight="1" x14ac:dyDescent="0.25">
      <c r="B201" s="173" t="str">
        <f t="shared" si="18"/>
        <v>0-304L/FH-1.15X643</v>
      </c>
      <c r="C201" s="173" t="s">
        <v>4390</v>
      </c>
      <c r="D201" s="173" t="s">
        <v>16</v>
      </c>
      <c r="E201" s="190" t="s">
        <v>4277</v>
      </c>
      <c r="F201" s="190" t="s">
        <v>4278</v>
      </c>
      <c r="G201" s="173" t="s">
        <v>182</v>
      </c>
      <c r="H201" s="173" t="s">
        <v>70</v>
      </c>
      <c r="I201" s="174">
        <v>2.99</v>
      </c>
      <c r="J201" s="174">
        <v>1.1499999999999999</v>
      </c>
      <c r="K201" s="174"/>
      <c r="L201" s="174"/>
      <c r="M201" s="191">
        <v>643</v>
      </c>
      <c r="N201" s="176">
        <v>10.695</v>
      </c>
      <c r="O201" s="176">
        <v>10.695</v>
      </c>
      <c r="P201" s="176" t="s">
        <v>114</v>
      </c>
      <c r="Q201" s="178" t="s">
        <v>1210</v>
      </c>
      <c r="R201" s="179"/>
      <c r="S201" s="179"/>
      <c r="T201" s="177">
        <v>44953</v>
      </c>
      <c r="U201" s="177"/>
      <c r="V201" s="177">
        <v>44953</v>
      </c>
      <c r="W201" s="177"/>
      <c r="X201" s="177"/>
      <c r="Y201" s="177"/>
      <c r="Z201" s="177"/>
      <c r="AA201" s="177"/>
      <c r="AB201" s="177"/>
      <c r="AC201" s="177"/>
      <c r="AD201" s="180" t="s">
        <v>1593</v>
      </c>
      <c r="AE201" s="173" t="s">
        <v>69</v>
      </c>
      <c r="AF201" s="181" t="s">
        <v>142</v>
      </c>
      <c r="AG201" s="192" t="s">
        <v>1657</v>
      </c>
      <c r="AH201" s="198"/>
      <c r="AI201" s="181">
        <v>44849</v>
      </c>
      <c r="AJ201" s="181"/>
      <c r="AK201" s="181">
        <f t="shared" ca="1" si="23"/>
        <v>44958</v>
      </c>
      <c r="AL201" s="173">
        <f t="shared" ca="1" si="19"/>
        <v>109</v>
      </c>
      <c r="AM201" s="173" t="str">
        <f t="shared" si="20"/>
        <v/>
      </c>
      <c r="AN201" s="181"/>
      <c r="AO201" s="190" t="s">
        <v>1716</v>
      </c>
      <c r="AP201" s="176">
        <v>10.695</v>
      </c>
      <c r="AQ201" s="176">
        <v>10.705</v>
      </c>
      <c r="AR201" s="176">
        <v>10.729999999999999</v>
      </c>
      <c r="AS201" s="176">
        <v>10.734999999999999</v>
      </c>
      <c r="AT201" s="173">
        <f t="shared" ca="1" si="22"/>
        <v>5</v>
      </c>
      <c r="AU201" s="173">
        <v>456</v>
      </c>
      <c r="AW201" s="142" t="s">
        <v>123</v>
      </c>
      <c r="AX201" s="142" t="str">
        <f>LEFT(RIGHT(C201,LEN(C201)-MIN(SEARCH({0,1,2,3,4,5,6,7,8,9},C201&amp;"0123456789"))+1),2)</f>
        <v>27</v>
      </c>
      <c r="AY201" s="142">
        <v>2</v>
      </c>
      <c r="AZ201" s="142" t="str">
        <f>LEFT(RIGHT(C201,LEN(C201)-MIN(SEARCH({0,1,2,3,4,5,6,7,8,9},C201&amp;"0123456789"))+1),5)</f>
        <v>27.01</v>
      </c>
      <c r="BA201" s="142" t="str">
        <f t="shared" si="21"/>
        <v>MI</v>
      </c>
    </row>
    <row r="202" spans="2:53" s="142" customFormat="1" ht="21" customHeight="1" x14ac:dyDescent="0.25">
      <c r="B202" s="173" t="str">
        <f t="shared" si="18"/>
        <v>0-304L/FH-1.45X644</v>
      </c>
      <c r="C202" s="173" t="s">
        <v>4391</v>
      </c>
      <c r="D202" s="173" t="s">
        <v>16</v>
      </c>
      <c r="E202" s="190" t="s">
        <v>4279</v>
      </c>
      <c r="F202" s="190" t="s">
        <v>4280</v>
      </c>
      <c r="G202" s="173" t="s">
        <v>182</v>
      </c>
      <c r="H202" s="173" t="s">
        <v>70</v>
      </c>
      <c r="I202" s="174">
        <v>3.8</v>
      </c>
      <c r="J202" s="174">
        <v>1.45</v>
      </c>
      <c r="K202" s="174"/>
      <c r="L202" s="174"/>
      <c r="M202" s="191">
        <v>644</v>
      </c>
      <c r="N202" s="176">
        <v>10.695</v>
      </c>
      <c r="O202" s="176">
        <v>10.695</v>
      </c>
      <c r="P202" s="176" t="s">
        <v>114</v>
      </c>
      <c r="Q202" s="178" t="s">
        <v>1210</v>
      </c>
      <c r="R202" s="179"/>
      <c r="S202" s="179"/>
      <c r="T202" s="177">
        <v>44953</v>
      </c>
      <c r="U202" s="177"/>
      <c r="V202" s="177">
        <v>44954</v>
      </c>
      <c r="W202" s="177"/>
      <c r="X202" s="177"/>
      <c r="Y202" s="177"/>
      <c r="Z202" s="177"/>
      <c r="AA202" s="177"/>
      <c r="AB202" s="177"/>
      <c r="AC202" s="177"/>
      <c r="AD202" s="180" t="s">
        <v>1605</v>
      </c>
      <c r="AE202" s="173" t="s">
        <v>69</v>
      </c>
      <c r="AF202" s="181" t="s">
        <v>142</v>
      </c>
      <c r="AG202" s="192" t="s">
        <v>1657</v>
      </c>
      <c r="AH202" s="198"/>
      <c r="AI202" s="181">
        <v>44849</v>
      </c>
      <c r="AJ202" s="181"/>
      <c r="AK202" s="181">
        <f t="shared" ca="1" si="23"/>
        <v>44958</v>
      </c>
      <c r="AL202" s="173">
        <f t="shared" ca="1" si="19"/>
        <v>109</v>
      </c>
      <c r="AM202" s="173" t="str">
        <f t="shared" si="20"/>
        <v/>
      </c>
      <c r="AN202" s="181"/>
      <c r="AO202" s="190" t="s">
        <v>1676</v>
      </c>
      <c r="AP202" s="176">
        <v>10.695</v>
      </c>
      <c r="AQ202" s="176">
        <v>10.705</v>
      </c>
      <c r="AR202" s="176">
        <v>10.729999999999999</v>
      </c>
      <c r="AS202" s="176">
        <v>10.734999999999999</v>
      </c>
      <c r="AT202" s="173">
        <f t="shared" ca="1" si="22"/>
        <v>4</v>
      </c>
      <c r="AU202" s="173">
        <v>456</v>
      </c>
      <c r="AW202" s="142" t="s">
        <v>123</v>
      </c>
      <c r="AX202" s="142" t="str">
        <f>LEFT(RIGHT(C202,LEN(C202)-MIN(SEARCH({0,1,2,3,4,5,6,7,8,9},C202&amp;"0123456789"))+1),2)</f>
        <v>28</v>
      </c>
      <c r="AY202" s="142">
        <v>1</v>
      </c>
      <c r="AZ202" s="142" t="str">
        <f>LEFT(RIGHT(C202,LEN(C202)-MIN(SEARCH({0,1,2,3,4,5,6,7,8,9},C202&amp;"0123456789"))+1),5)</f>
        <v>28.01</v>
      </c>
      <c r="BA202" s="142" t="str">
        <f t="shared" si="21"/>
        <v>MI</v>
      </c>
    </row>
    <row r="203" spans="2:53" s="142" customFormat="1" ht="21" customHeight="1" x14ac:dyDescent="0.25">
      <c r="B203" s="173" t="str">
        <f t="shared" si="18"/>
        <v>0-304L/FH-1.45X643</v>
      </c>
      <c r="C203" s="173" t="s">
        <v>4391</v>
      </c>
      <c r="D203" s="173" t="s">
        <v>16</v>
      </c>
      <c r="E203" s="190" t="s">
        <v>4281</v>
      </c>
      <c r="F203" s="190" t="s">
        <v>4282</v>
      </c>
      <c r="G203" s="173" t="s">
        <v>182</v>
      </c>
      <c r="H203" s="173" t="s">
        <v>70</v>
      </c>
      <c r="I203" s="174">
        <v>3.79</v>
      </c>
      <c r="J203" s="174">
        <v>1.45</v>
      </c>
      <c r="K203" s="174"/>
      <c r="L203" s="174"/>
      <c r="M203" s="191">
        <v>643</v>
      </c>
      <c r="N203" s="176">
        <v>10.53</v>
      </c>
      <c r="O203" s="176">
        <v>10.53</v>
      </c>
      <c r="P203" s="176" t="s">
        <v>114</v>
      </c>
      <c r="Q203" s="178" t="s">
        <v>1210</v>
      </c>
      <c r="R203" s="179"/>
      <c r="S203" s="179"/>
      <c r="T203" s="177">
        <v>44953</v>
      </c>
      <c r="U203" s="177"/>
      <c r="V203" s="177">
        <v>44954</v>
      </c>
      <c r="W203" s="177"/>
      <c r="X203" s="177"/>
      <c r="Y203" s="177"/>
      <c r="Z203" s="177"/>
      <c r="AA203" s="177"/>
      <c r="AB203" s="177"/>
      <c r="AC203" s="177"/>
      <c r="AD203" s="180" t="s">
        <v>1609</v>
      </c>
      <c r="AE203" s="173" t="s">
        <v>69</v>
      </c>
      <c r="AF203" s="181" t="s">
        <v>142</v>
      </c>
      <c r="AG203" s="192" t="s">
        <v>1657</v>
      </c>
      <c r="AH203" s="198"/>
      <c r="AI203" s="181">
        <v>44849</v>
      </c>
      <c r="AJ203" s="181"/>
      <c r="AK203" s="181">
        <f t="shared" ca="1" si="23"/>
        <v>44958</v>
      </c>
      <c r="AL203" s="173">
        <f t="shared" ca="1" si="19"/>
        <v>109</v>
      </c>
      <c r="AM203" s="173" t="str">
        <f t="shared" si="20"/>
        <v/>
      </c>
      <c r="AN203" s="181"/>
      <c r="AO203" s="190" t="s">
        <v>4283</v>
      </c>
      <c r="AP203" s="176">
        <v>10.53</v>
      </c>
      <c r="AQ203" s="176">
        <v>10.54</v>
      </c>
      <c r="AR203" s="176">
        <v>10.564999999999998</v>
      </c>
      <c r="AS203" s="176">
        <v>10.569999999999999</v>
      </c>
      <c r="AT203" s="173">
        <f t="shared" ca="1" si="22"/>
        <v>4</v>
      </c>
      <c r="AU203" s="173">
        <v>456</v>
      </c>
      <c r="AW203" s="142" t="s">
        <v>123</v>
      </c>
      <c r="AX203" s="142" t="str">
        <f>LEFT(RIGHT(C203,LEN(C203)-MIN(SEARCH({0,1,2,3,4,5,6,7,8,9},C203&amp;"0123456789"))+1),2)</f>
        <v>28</v>
      </c>
      <c r="AY203" s="142">
        <v>1</v>
      </c>
      <c r="AZ203" s="142" t="str">
        <f>LEFT(RIGHT(C203,LEN(C203)-MIN(SEARCH({0,1,2,3,4,5,6,7,8,9},C203&amp;"0123456789"))+1),5)</f>
        <v>28.01</v>
      </c>
      <c r="BA203" s="142" t="str">
        <f t="shared" si="21"/>
        <v>MI</v>
      </c>
    </row>
    <row r="204" spans="2:53" s="142" customFormat="1" ht="21" customHeight="1" x14ac:dyDescent="0.25">
      <c r="B204" s="173" t="str">
        <f t="shared" si="18"/>
        <v>0-304L/FH-2.00X643</v>
      </c>
      <c r="C204" s="173" t="s">
        <v>4391</v>
      </c>
      <c r="D204" s="173" t="s">
        <v>16</v>
      </c>
      <c r="E204" s="190" t="s">
        <v>4287</v>
      </c>
      <c r="F204" s="190" t="s">
        <v>4288</v>
      </c>
      <c r="G204" s="173" t="s">
        <v>182</v>
      </c>
      <c r="H204" s="173" t="s">
        <v>70</v>
      </c>
      <c r="I204" s="174">
        <v>3.89</v>
      </c>
      <c r="J204" s="174">
        <v>2</v>
      </c>
      <c r="K204" s="174"/>
      <c r="L204" s="174"/>
      <c r="M204" s="191">
        <v>643</v>
      </c>
      <c r="N204" s="176">
        <v>10.505000000000001</v>
      </c>
      <c r="O204" s="176">
        <v>10.505000000000001</v>
      </c>
      <c r="P204" s="176" t="s">
        <v>114</v>
      </c>
      <c r="Q204" s="178" t="s">
        <v>1210</v>
      </c>
      <c r="R204" s="179"/>
      <c r="S204" s="179"/>
      <c r="T204" s="177">
        <v>44954</v>
      </c>
      <c r="U204" s="177"/>
      <c r="V204" s="177">
        <v>44954</v>
      </c>
      <c r="W204" s="177"/>
      <c r="X204" s="177"/>
      <c r="Y204" s="177"/>
      <c r="Z204" s="177"/>
      <c r="AA204" s="177"/>
      <c r="AB204" s="177"/>
      <c r="AC204" s="177"/>
      <c r="AD204" s="180" t="s">
        <v>1605</v>
      </c>
      <c r="AE204" s="173" t="s">
        <v>69</v>
      </c>
      <c r="AF204" s="181" t="s">
        <v>142</v>
      </c>
      <c r="AG204" s="192" t="s">
        <v>1657</v>
      </c>
      <c r="AH204" s="198"/>
      <c r="AI204" s="181">
        <v>44849</v>
      </c>
      <c r="AJ204" s="181"/>
      <c r="AK204" s="181">
        <f t="shared" ca="1" si="23"/>
        <v>44958</v>
      </c>
      <c r="AL204" s="173">
        <f t="shared" ca="1" si="19"/>
        <v>109</v>
      </c>
      <c r="AM204" s="173" t="str">
        <f t="shared" si="20"/>
        <v/>
      </c>
      <c r="AN204" s="181"/>
      <c r="AO204" s="190" t="s">
        <v>1661</v>
      </c>
      <c r="AP204" s="176">
        <v>10.505000000000001</v>
      </c>
      <c r="AQ204" s="176">
        <v>10.515000000000001</v>
      </c>
      <c r="AR204" s="176">
        <v>10.54</v>
      </c>
      <c r="AS204" s="176">
        <v>10.545</v>
      </c>
      <c r="AT204" s="173">
        <f t="shared" ca="1" si="22"/>
        <v>4</v>
      </c>
      <c r="AU204" s="173">
        <v>456</v>
      </c>
      <c r="AW204" s="142" t="s">
        <v>123</v>
      </c>
      <c r="AX204" s="142" t="str">
        <f>LEFT(RIGHT(C204,LEN(C204)-MIN(SEARCH({0,1,2,3,4,5,6,7,8,9},C204&amp;"0123456789"))+1),2)</f>
        <v>28</v>
      </c>
      <c r="AY204" s="142">
        <v>1</v>
      </c>
      <c r="AZ204" s="142" t="str">
        <f>LEFT(RIGHT(C204,LEN(C204)-MIN(SEARCH({0,1,2,3,4,5,6,7,8,9},C204&amp;"0123456789"))+1),5)</f>
        <v>28.01</v>
      </c>
      <c r="BA204" s="142" t="str">
        <f t="shared" si="21"/>
        <v>MI</v>
      </c>
    </row>
    <row r="205" spans="2:53" s="142" customFormat="1" ht="21" customHeight="1" x14ac:dyDescent="0.25">
      <c r="B205" s="173" t="str">
        <f t="shared" si="18"/>
        <v>0-304/FH-1.15X643</v>
      </c>
      <c r="C205" s="173" t="s">
        <v>4391</v>
      </c>
      <c r="D205" s="173" t="s">
        <v>16</v>
      </c>
      <c r="E205" s="190" t="s">
        <v>1761</v>
      </c>
      <c r="F205" s="190" t="s">
        <v>1762</v>
      </c>
      <c r="G205" s="173">
        <v>304</v>
      </c>
      <c r="H205" s="173" t="s">
        <v>70</v>
      </c>
      <c r="I205" s="174">
        <v>3.47</v>
      </c>
      <c r="J205" s="174">
        <v>1.1499999999999999</v>
      </c>
      <c r="K205" s="174"/>
      <c r="L205" s="174"/>
      <c r="M205" s="191">
        <v>643</v>
      </c>
      <c r="N205" s="176">
        <v>8.3249999999999993</v>
      </c>
      <c r="O205" s="176">
        <v>8.3249999999999993</v>
      </c>
      <c r="P205" s="176" t="s">
        <v>114</v>
      </c>
      <c r="Q205" s="178" t="s">
        <v>1210</v>
      </c>
      <c r="R205" s="179"/>
      <c r="S205" s="179"/>
      <c r="T205" s="177">
        <v>44953</v>
      </c>
      <c r="U205" s="177"/>
      <c r="V205" s="177">
        <v>44954</v>
      </c>
      <c r="W205" s="177"/>
      <c r="X205" s="177"/>
      <c r="Y205" s="177"/>
      <c r="Z205" s="177"/>
      <c r="AA205" s="177"/>
      <c r="AB205" s="177"/>
      <c r="AC205" s="177"/>
      <c r="AD205" s="180" t="s">
        <v>1643</v>
      </c>
      <c r="AE205" s="173" t="s">
        <v>69</v>
      </c>
      <c r="AF205" s="181" t="s">
        <v>142</v>
      </c>
      <c r="AG205" s="192" t="s">
        <v>1657</v>
      </c>
      <c r="AH205" s="198"/>
      <c r="AI205" s="181">
        <v>44849</v>
      </c>
      <c r="AJ205" s="181"/>
      <c r="AK205" s="181">
        <f t="shared" ca="1" si="23"/>
        <v>44958</v>
      </c>
      <c r="AL205" s="173">
        <f t="shared" ca="1" si="19"/>
        <v>109</v>
      </c>
      <c r="AM205" s="173" t="str">
        <f t="shared" si="20"/>
        <v/>
      </c>
      <c r="AN205" s="181"/>
      <c r="AO205" s="190" t="s">
        <v>1763</v>
      </c>
      <c r="AP205" s="176">
        <v>8.3249999999999993</v>
      </c>
      <c r="AQ205" s="176">
        <v>8.3350000000000009</v>
      </c>
      <c r="AR205" s="176">
        <v>8.36</v>
      </c>
      <c r="AS205" s="176">
        <v>8.3650000000000002</v>
      </c>
      <c r="AT205" s="173">
        <f t="shared" ca="1" si="22"/>
        <v>4</v>
      </c>
      <c r="AU205" s="173">
        <v>456</v>
      </c>
      <c r="AW205" s="142" t="s">
        <v>123</v>
      </c>
      <c r="AX205" s="142" t="str">
        <f>LEFT(RIGHT(C205,LEN(C205)-MIN(SEARCH({0,1,2,3,4,5,6,7,8,9},C205&amp;"0123456789"))+1),2)</f>
        <v>28</v>
      </c>
      <c r="AY205" s="142">
        <v>2</v>
      </c>
      <c r="AZ205" s="142" t="str">
        <f>LEFT(RIGHT(C205,LEN(C205)-MIN(SEARCH({0,1,2,3,4,5,6,7,8,9},C205&amp;"0123456789"))+1),5)</f>
        <v>28.01</v>
      </c>
      <c r="BA205" s="142" t="str">
        <f t="shared" si="21"/>
        <v>MI</v>
      </c>
    </row>
    <row r="206" spans="2:53" s="142" customFormat="1" ht="21" customHeight="1" x14ac:dyDescent="0.25">
      <c r="B206" s="173" t="str">
        <f t="shared" si="18"/>
        <v>0-304L/FH-2.00X645</v>
      </c>
      <c r="C206" s="173" t="s">
        <v>4391</v>
      </c>
      <c r="D206" s="173" t="s">
        <v>16</v>
      </c>
      <c r="E206" s="190" t="s">
        <v>4289</v>
      </c>
      <c r="F206" s="190" t="s">
        <v>4290</v>
      </c>
      <c r="G206" s="173" t="s">
        <v>182</v>
      </c>
      <c r="H206" s="173" t="s">
        <v>70</v>
      </c>
      <c r="I206" s="174">
        <v>3.9</v>
      </c>
      <c r="J206" s="174">
        <v>2</v>
      </c>
      <c r="K206" s="174"/>
      <c r="L206" s="174"/>
      <c r="M206" s="191">
        <v>645</v>
      </c>
      <c r="N206" s="176">
        <v>10.65</v>
      </c>
      <c r="O206" s="176">
        <v>10.65</v>
      </c>
      <c r="P206" s="176" t="s">
        <v>114</v>
      </c>
      <c r="Q206" s="178" t="s">
        <v>1210</v>
      </c>
      <c r="R206" s="179"/>
      <c r="S206" s="179"/>
      <c r="T206" s="177">
        <v>44954</v>
      </c>
      <c r="U206" s="177"/>
      <c r="V206" s="177">
        <v>44954</v>
      </c>
      <c r="W206" s="177"/>
      <c r="X206" s="177"/>
      <c r="Y206" s="177"/>
      <c r="Z206" s="177"/>
      <c r="AA206" s="177"/>
      <c r="AB206" s="177"/>
      <c r="AC206" s="177"/>
      <c r="AD206" s="180" t="s">
        <v>1643</v>
      </c>
      <c r="AE206" s="173" t="s">
        <v>69</v>
      </c>
      <c r="AF206" s="181" t="s">
        <v>142</v>
      </c>
      <c r="AG206" s="192" t="s">
        <v>1657</v>
      </c>
      <c r="AH206" s="198"/>
      <c r="AI206" s="181">
        <v>44849</v>
      </c>
      <c r="AJ206" s="181"/>
      <c r="AK206" s="181">
        <f t="shared" ca="1" si="23"/>
        <v>44958</v>
      </c>
      <c r="AL206" s="173">
        <f t="shared" ca="1" si="19"/>
        <v>109</v>
      </c>
      <c r="AM206" s="173" t="str">
        <f t="shared" si="20"/>
        <v/>
      </c>
      <c r="AN206" s="181"/>
      <c r="AO206" s="190" t="s">
        <v>1792</v>
      </c>
      <c r="AP206" s="176">
        <v>10.65</v>
      </c>
      <c r="AQ206" s="176">
        <v>10.66</v>
      </c>
      <c r="AR206" s="176">
        <v>10.684999999999999</v>
      </c>
      <c r="AS206" s="176">
        <v>10.69</v>
      </c>
      <c r="AT206" s="173">
        <f t="shared" ca="1" si="22"/>
        <v>4</v>
      </c>
      <c r="AU206" s="173">
        <v>456</v>
      </c>
      <c r="AW206" s="142" t="s">
        <v>123</v>
      </c>
      <c r="AX206" s="142" t="str">
        <f>LEFT(RIGHT(C206,LEN(C206)-MIN(SEARCH({0,1,2,3,4,5,6,7,8,9},C206&amp;"0123456789"))+1),2)</f>
        <v>28</v>
      </c>
      <c r="AY206" s="142">
        <v>2</v>
      </c>
      <c r="AZ206" s="142" t="str">
        <f>LEFT(RIGHT(C206,LEN(C206)-MIN(SEARCH({0,1,2,3,4,5,6,7,8,9},C206&amp;"0123456789"))+1),5)</f>
        <v>28.01</v>
      </c>
      <c r="BA206" s="142" t="str">
        <f t="shared" si="21"/>
        <v>MI</v>
      </c>
    </row>
    <row r="207" spans="2:53" s="142" customFormat="1" ht="21" customHeight="1" x14ac:dyDescent="0.25">
      <c r="B207" s="173" t="str">
        <f t="shared" si="18"/>
        <v>0-304L/FH-1.15X643</v>
      </c>
      <c r="C207" s="173" t="s">
        <v>4391</v>
      </c>
      <c r="D207" s="173" t="s">
        <v>16</v>
      </c>
      <c r="E207" s="190" t="s">
        <v>1741</v>
      </c>
      <c r="F207" s="190" t="s">
        <v>1742</v>
      </c>
      <c r="G207" s="173" t="s">
        <v>182</v>
      </c>
      <c r="H207" s="173" t="s">
        <v>70</v>
      </c>
      <c r="I207" s="174">
        <v>3.09</v>
      </c>
      <c r="J207" s="174">
        <v>1.1499999999999999</v>
      </c>
      <c r="K207" s="174"/>
      <c r="L207" s="174"/>
      <c r="M207" s="191">
        <v>643</v>
      </c>
      <c r="N207" s="176">
        <v>10.64</v>
      </c>
      <c r="O207" s="176">
        <v>10.64</v>
      </c>
      <c r="P207" s="176" t="s">
        <v>114</v>
      </c>
      <c r="Q207" s="178" t="s">
        <v>361</v>
      </c>
      <c r="R207" s="179"/>
      <c r="S207" s="179"/>
      <c r="T207" s="177">
        <v>44954</v>
      </c>
      <c r="U207" s="177"/>
      <c r="V207" s="177">
        <v>44954</v>
      </c>
      <c r="W207" s="177"/>
      <c r="X207" s="177"/>
      <c r="Y207" s="177"/>
      <c r="Z207" s="177"/>
      <c r="AA207" s="177"/>
      <c r="AB207" s="177"/>
      <c r="AC207" s="177"/>
      <c r="AD207" s="180" t="s">
        <v>1643</v>
      </c>
      <c r="AE207" s="173" t="s">
        <v>69</v>
      </c>
      <c r="AF207" s="181" t="s">
        <v>142</v>
      </c>
      <c r="AG207" s="192" t="s">
        <v>1657</v>
      </c>
      <c r="AH207" s="198"/>
      <c r="AI207" s="181">
        <v>44849</v>
      </c>
      <c r="AJ207" s="181"/>
      <c r="AK207" s="181">
        <f t="shared" ca="1" si="23"/>
        <v>44958</v>
      </c>
      <c r="AL207" s="173">
        <f t="shared" ca="1" si="19"/>
        <v>109</v>
      </c>
      <c r="AM207" s="173" t="str">
        <f t="shared" si="20"/>
        <v/>
      </c>
      <c r="AN207" s="181"/>
      <c r="AO207" s="190" t="s">
        <v>1740</v>
      </c>
      <c r="AP207" s="176">
        <v>10.64</v>
      </c>
      <c r="AQ207" s="176">
        <v>10.65</v>
      </c>
      <c r="AR207" s="176">
        <v>10.674999999999999</v>
      </c>
      <c r="AS207" s="176">
        <v>10.68</v>
      </c>
      <c r="AT207" s="173">
        <f t="shared" ca="1" si="22"/>
        <v>4</v>
      </c>
      <c r="AU207" s="173">
        <v>456</v>
      </c>
      <c r="AW207" s="142" t="s">
        <v>123</v>
      </c>
      <c r="AX207" s="142" t="str">
        <f>LEFT(RIGHT(C207,LEN(C207)-MIN(SEARCH({0,1,2,3,4,5,6,7,8,9},C207&amp;"0123456789"))+1),2)</f>
        <v>28</v>
      </c>
      <c r="AY207" s="142">
        <v>2</v>
      </c>
      <c r="AZ207" s="142" t="str">
        <f>LEFT(RIGHT(C207,LEN(C207)-MIN(SEARCH({0,1,2,3,4,5,6,7,8,9},C207&amp;"0123456789"))+1),5)</f>
        <v>28.01</v>
      </c>
      <c r="BA207" s="142" t="str">
        <f t="shared" si="21"/>
        <v>MI</v>
      </c>
    </row>
    <row r="208" spans="2:53" s="142" customFormat="1" ht="21" customHeight="1" x14ac:dyDescent="0.25">
      <c r="B208" s="173" t="str">
        <f t="shared" si="18"/>
        <v>0-304L/FH-0.90X643</v>
      </c>
      <c r="C208" s="173" t="s">
        <v>4391</v>
      </c>
      <c r="D208" s="173" t="s">
        <v>16</v>
      </c>
      <c r="E208" s="190" t="s">
        <v>4291</v>
      </c>
      <c r="F208" s="190" t="s">
        <v>4292</v>
      </c>
      <c r="G208" s="173" t="s">
        <v>182</v>
      </c>
      <c r="H208" s="173" t="s">
        <v>70</v>
      </c>
      <c r="I208" s="174">
        <v>2.87</v>
      </c>
      <c r="J208" s="174">
        <v>0.9</v>
      </c>
      <c r="K208" s="174"/>
      <c r="L208" s="174"/>
      <c r="M208" s="191">
        <v>643</v>
      </c>
      <c r="N208" s="176">
        <v>10.74</v>
      </c>
      <c r="O208" s="176">
        <v>10.74</v>
      </c>
      <c r="P208" s="176" t="s">
        <v>114</v>
      </c>
      <c r="Q208" s="178" t="s">
        <v>1210</v>
      </c>
      <c r="R208" s="179"/>
      <c r="S208" s="179"/>
      <c r="T208" s="177">
        <v>44954</v>
      </c>
      <c r="U208" s="177"/>
      <c r="V208" s="177">
        <v>44954</v>
      </c>
      <c r="W208" s="177"/>
      <c r="X208" s="177"/>
      <c r="Y208" s="177"/>
      <c r="Z208" s="177"/>
      <c r="AA208" s="177"/>
      <c r="AB208" s="177"/>
      <c r="AC208" s="177"/>
      <c r="AD208" s="180" t="s">
        <v>1593</v>
      </c>
      <c r="AE208" s="173" t="s">
        <v>69</v>
      </c>
      <c r="AF208" s="181" t="s">
        <v>142</v>
      </c>
      <c r="AG208" s="192" t="s">
        <v>1594</v>
      </c>
      <c r="AH208" s="198"/>
      <c r="AI208" s="181">
        <v>44849</v>
      </c>
      <c r="AJ208" s="181"/>
      <c r="AK208" s="181">
        <f t="shared" ca="1" si="23"/>
        <v>44958</v>
      </c>
      <c r="AL208" s="173">
        <f t="shared" ca="1" si="19"/>
        <v>109</v>
      </c>
      <c r="AM208" s="173" t="str">
        <f t="shared" si="20"/>
        <v/>
      </c>
      <c r="AN208" s="181"/>
      <c r="AO208" s="190" t="s">
        <v>1628</v>
      </c>
      <c r="AP208" s="176">
        <v>10.74</v>
      </c>
      <c r="AQ208" s="176">
        <v>10.75</v>
      </c>
      <c r="AR208" s="176">
        <v>10.774999999999999</v>
      </c>
      <c r="AS208" s="176">
        <v>10.78</v>
      </c>
      <c r="AT208" s="173">
        <f t="shared" ca="1" si="22"/>
        <v>4</v>
      </c>
      <c r="AU208" s="173">
        <v>456</v>
      </c>
      <c r="AW208" s="142" t="s">
        <v>123</v>
      </c>
      <c r="AX208" s="142" t="str">
        <f>LEFT(RIGHT(C208,LEN(C208)-MIN(SEARCH({0,1,2,3,4,5,6,7,8,9},C208&amp;"0123456789"))+1),2)</f>
        <v>28</v>
      </c>
      <c r="AY208" s="142">
        <v>3</v>
      </c>
      <c r="AZ208" s="142" t="str">
        <f>LEFT(RIGHT(C208,LEN(C208)-MIN(SEARCH({0,1,2,3,4,5,6,7,8,9},C208&amp;"0123456789"))+1),5)</f>
        <v>28.01</v>
      </c>
      <c r="BA208" s="142" t="str">
        <f t="shared" si="21"/>
        <v>MI</v>
      </c>
    </row>
    <row r="209" spans="2:53" s="142" customFormat="1" ht="21" customHeight="1" x14ac:dyDescent="0.25">
      <c r="B209" s="173" t="str">
        <f t="shared" si="18"/>
        <v>0-304L/FH-1.15X642</v>
      </c>
      <c r="C209" s="173" t="s">
        <v>4391</v>
      </c>
      <c r="D209" s="173" t="s">
        <v>16</v>
      </c>
      <c r="E209" s="190" t="s">
        <v>1613</v>
      </c>
      <c r="F209" s="190" t="s">
        <v>1616</v>
      </c>
      <c r="G209" s="173" t="s">
        <v>182</v>
      </c>
      <c r="H209" s="173" t="s">
        <v>70</v>
      </c>
      <c r="I209" s="174">
        <v>3.64</v>
      </c>
      <c r="J209" s="174">
        <v>1.1499999999999999</v>
      </c>
      <c r="K209" s="174"/>
      <c r="L209" s="174"/>
      <c r="M209" s="191">
        <v>642</v>
      </c>
      <c r="N209" s="176">
        <v>6.76</v>
      </c>
      <c r="O209" s="360">
        <v>6.76</v>
      </c>
      <c r="P209" s="176" t="s">
        <v>114</v>
      </c>
      <c r="Q209" s="178" t="s">
        <v>1210</v>
      </c>
      <c r="R209" s="179"/>
      <c r="S209" s="179"/>
      <c r="T209" s="177">
        <v>44953</v>
      </c>
      <c r="U209" s="177"/>
      <c r="V209" s="177">
        <v>44954</v>
      </c>
      <c r="W209" s="177"/>
      <c r="X209" s="177"/>
      <c r="Y209" s="177"/>
      <c r="Z209" s="177"/>
      <c r="AA209" s="177"/>
      <c r="AB209" s="177"/>
      <c r="AC209" s="177"/>
      <c r="AD209" s="180" t="s">
        <v>1593</v>
      </c>
      <c r="AE209" s="173" t="s">
        <v>69</v>
      </c>
      <c r="AF209" s="181" t="s">
        <v>142</v>
      </c>
      <c r="AG209" s="192" t="s">
        <v>1594</v>
      </c>
      <c r="AH209" s="198"/>
      <c r="AI209" s="181">
        <v>44849</v>
      </c>
      <c r="AJ209" s="181"/>
      <c r="AK209" s="181">
        <f t="shared" ca="1" si="23"/>
        <v>44958</v>
      </c>
      <c r="AL209" s="173">
        <f t="shared" ca="1" si="19"/>
        <v>109</v>
      </c>
      <c r="AM209" s="173" t="str">
        <f t="shared" si="20"/>
        <v/>
      </c>
      <c r="AN209" s="181"/>
      <c r="AO209" s="190" t="s">
        <v>1615</v>
      </c>
      <c r="AP209" s="176">
        <v>10.545</v>
      </c>
      <c r="AQ209" s="176">
        <v>10.555</v>
      </c>
      <c r="AR209" s="176">
        <v>10.579999999999998</v>
      </c>
      <c r="AS209" s="176">
        <v>10.584999999999999</v>
      </c>
      <c r="AT209" s="173">
        <f t="shared" ca="1" si="22"/>
        <v>4</v>
      </c>
      <c r="AU209" s="173">
        <v>456</v>
      </c>
      <c r="AW209" s="142" t="s">
        <v>123</v>
      </c>
      <c r="AX209" s="142" t="str">
        <f>LEFT(RIGHT(C209,LEN(C209)-MIN(SEARCH({0,1,2,3,4,5,6,7,8,9},C209&amp;"0123456789"))+1),2)</f>
        <v>28</v>
      </c>
      <c r="AY209" s="142">
        <v>3</v>
      </c>
      <c r="AZ209" s="142" t="str">
        <f>LEFT(RIGHT(C209,LEN(C209)-MIN(SEARCH({0,1,2,3,4,5,6,7,8,9},C209&amp;"0123456789"))+1),5)</f>
        <v>28.01</v>
      </c>
      <c r="BA209" s="142" t="str">
        <f t="shared" si="21"/>
        <v>MI</v>
      </c>
    </row>
    <row r="210" spans="2:53" s="142" customFormat="1" ht="21" customHeight="1" x14ac:dyDescent="0.25">
      <c r="B210" s="173" t="str">
        <f t="shared" si="18"/>
        <v>0-304L/FH-1.45X642</v>
      </c>
      <c r="C210" s="173" t="s">
        <v>4391</v>
      </c>
      <c r="D210" s="173" t="s">
        <v>16</v>
      </c>
      <c r="E210" s="190" t="s">
        <v>1603</v>
      </c>
      <c r="F210" s="190" t="s">
        <v>1604</v>
      </c>
      <c r="G210" s="173" t="s">
        <v>182</v>
      </c>
      <c r="H210" s="173" t="s">
        <v>70</v>
      </c>
      <c r="I210" s="174">
        <v>3.89</v>
      </c>
      <c r="J210" s="174">
        <v>1.45</v>
      </c>
      <c r="K210" s="174"/>
      <c r="L210" s="174"/>
      <c r="M210" s="191">
        <v>642</v>
      </c>
      <c r="N210" s="176">
        <v>10.505000000000001</v>
      </c>
      <c r="O210" s="176">
        <v>10.505000000000001</v>
      </c>
      <c r="P210" s="176" t="s">
        <v>114</v>
      </c>
      <c r="Q210" s="178" t="s">
        <v>1210</v>
      </c>
      <c r="R210" s="179"/>
      <c r="S210" s="179"/>
      <c r="T210" s="177">
        <v>44954</v>
      </c>
      <c r="U210" s="177"/>
      <c r="V210" s="177">
        <v>44954</v>
      </c>
      <c r="W210" s="177"/>
      <c r="X210" s="177"/>
      <c r="Y210" s="177"/>
      <c r="Z210" s="177"/>
      <c r="AA210" s="177"/>
      <c r="AB210" s="177"/>
      <c r="AC210" s="177"/>
      <c r="AD210" s="180" t="s">
        <v>1605</v>
      </c>
      <c r="AE210" s="173" t="s">
        <v>69</v>
      </c>
      <c r="AF210" s="181" t="s">
        <v>142</v>
      </c>
      <c r="AG210" s="192" t="s">
        <v>1594</v>
      </c>
      <c r="AH210" s="198"/>
      <c r="AI210" s="181">
        <v>44849</v>
      </c>
      <c r="AJ210" s="181"/>
      <c r="AK210" s="181">
        <f t="shared" ca="1" si="23"/>
        <v>44958</v>
      </c>
      <c r="AL210" s="173">
        <f t="shared" ca="1" si="19"/>
        <v>109</v>
      </c>
      <c r="AM210" s="173" t="str">
        <f t="shared" si="20"/>
        <v/>
      </c>
      <c r="AN210" s="181"/>
      <c r="AO210" s="190" t="s">
        <v>1606</v>
      </c>
      <c r="AP210" s="176">
        <v>10.505000000000001</v>
      </c>
      <c r="AQ210" s="176">
        <v>10.515000000000001</v>
      </c>
      <c r="AR210" s="176">
        <v>10.54</v>
      </c>
      <c r="AS210" s="176">
        <v>10.545</v>
      </c>
      <c r="AT210" s="173">
        <f t="shared" ca="1" si="22"/>
        <v>4</v>
      </c>
      <c r="AU210" s="173">
        <v>456</v>
      </c>
      <c r="AW210" s="142" t="s">
        <v>123</v>
      </c>
      <c r="AX210" s="142" t="str">
        <f>LEFT(RIGHT(C210,LEN(C210)-MIN(SEARCH({0,1,2,3,4,5,6,7,8,9},C210&amp;"0123456789"))+1),2)</f>
        <v>28</v>
      </c>
      <c r="AY210" s="142">
        <v>3</v>
      </c>
      <c r="AZ210" s="142" t="str">
        <f>LEFT(RIGHT(C210,LEN(C210)-MIN(SEARCH({0,1,2,3,4,5,6,7,8,9},C210&amp;"0123456789"))+1),5)</f>
        <v>28.01</v>
      </c>
      <c r="BA210" s="142" t="str">
        <f t="shared" si="21"/>
        <v>MI</v>
      </c>
    </row>
    <row r="211" spans="2:53" s="142" customFormat="1" ht="21" customHeight="1" x14ac:dyDescent="0.25">
      <c r="B211" s="173" t="str">
        <f t="shared" si="18"/>
        <v>0-304L/FH-2.00X643</v>
      </c>
      <c r="C211" s="173" t="s">
        <v>4392</v>
      </c>
      <c r="D211" s="173" t="s">
        <v>16</v>
      </c>
      <c r="E211" s="190" t="s">
        <v>1662</v>
      </c>
      <c r="F211" s="190" t="s">
        <v>1663</v>
      </c>
      <c r="G211" s="173" t="s">
        <v>182</v>
      </c>
      <c r="H211" s="173" t="s">
        <v>70</v>
      </c>
      <c r="I211" s="174">
        <v>3.95</v>
      </c>
      <c r="J211" s="174">
        <v>2</v>
      </c>
      <c r="K211" s="174"/>
      <c r="L211" s="174"/>
      <c r="M211" s="191">
        <v>643</v>
      </c>
      <c r="N211" s="176">
        <v>10.574999999999999</v>
      </c>
      <c r="O211" s="176">
        <v>10.574999999999999</v>
      </c>
      <c r="P211" s="176" t="s">
        <v>114</v>
      </c>
      <c r="Q211" s="178" t="s">
        <v>1210</v>
      </c>
      <c r="R211" s="179"/>
      <c r="S211" s="179"/>
      <c r="T211" s="177">
        <v>44954</v>
      </c>
      <c r="U211" s="177"/>
      <c r="V211" s="177">
        <v>44955</v>
      </c>
      <c r="W211" s="177"/>
      <c r="X211" s="177"/>
      <c r="Y211" s="177"/>
      <c r="Z211" s="177"/>
      <c r="AA211" s="177"/>
      <c r="AB211" s="177"/>
      <c r="AC211" s="177"/>
      <c r="AD211" s="180" t="s">
        <v>1593</v>
      </c>
      <c r="AE211" s="173" t="s">
        <v>69</v>
      </c>
      <c r="AF211" s="181" t="s">
        <v>142</v>
      </c>
      <c r="AG211" s="192" t="s">
        <v>1657</v>
      </c>
      <c r="AH211" s="198"/>
      <c r="AI211" s="181">
        <v>44849</v>
      </c>
      <c r="AJ211" s="181"/>
      <c r="AK211" s="181">
        <f t="shared" ca="1" si="23"/>
        <v>44958</v>
      </c>
      <c r="AL211" s="173">
        <f t="shared" ca="1" si="19"/>
        <v>109</v>
      </c>
      <c r="AM211" s="173" t="str">
        <f t="shared" si="20"/>
        <v/>
      </c>
      <c r="AN211" s="181"/>
      <c r="AO211" s="190" t="s">
        <v>1664</v>
      </c>
      <c r="AP211" s="176">
        <v>10.574999999999999</v>
      </c>
      <c r="AQ211" s="176">
        <v>10.585000000000001</v>
      </c>
      <c r="AR211" s="176">
        <v>10.61</v>
      </c>
      <c r="AS211" s="176">
        <v>10.615</v>
      </c>
      <c r="AT211" s="173">
        <f t="shared" ca="1" si="22"/>
        <v>3</v>
      </c>
      <c r="AU211" s="173">
        <v>456</v>
      </c>
      <c r="AW211" s="142" t="s">
        <v>123</v>
      </c>
      <c r="AX211" s="142" t="str">
        <f>LEFT(RIGHT(C211,LEN(C211)-MIN(SEARCH({0,1,2,3,4,5,6,7,8,9},C211&amp;"0123456789"))+1),2)</f>
        <v>29</v>
      </c>
      <c r="AY211" s="142">
        <v>1</v>
      </c>
      <c r="AZ211" s="142" t="str">
        <f>LEFT(RIGHT(C211,LEN(C211)-MIN(SEARCH({0,1,2,3,4,5,6,7,8,9},C211&amp;"0123456789"))+1),5)</f>
        <v>29.01</v>
      </c>
      <c r="BA211" s="142" t="str">
        <f t="shared" si="21"/>
        <v>MI</v>
      </c>
    </row>
    <row r="212" spans="2:53" s="142" customFormat="1" ht="21" customHeight="1" x14ac:dyDescent="0.25">
      <c r="B212" s="173" t="str">
        <f t="shared" si="18"/>
        <v>0-304L/FH-0.90X641</v>
      </c>
      <c r="C212" s="173" t="s">
        <v>4392</v>
      </c>
      <c r="D212" s="173" t="s">
        <v>16</v>
      </c>
      <c r="E212" s="190" t="s">
        <v>1782</v>
      </c>
      <c r="F212" s="190" t="s">
        <v>1783</v>
      </c>
      <c r="G212" s="173" t="s">
        <v>182</v>
      </c>
      <c r="H212" s="173" t="s">
        <v>70</v>
      </c>
      <c r="I212" s="174">
        <v>2.88</v>
      </c>
      <c r="J212" s="174">
        <v>0.9</v>
      </c>
      <c r="K212" s="174"/>
      <c r="L212" s="174"/>
      <c r="M212" s="191">
        <v>641</v>
      </c>
      <c r="N212" s="176">
        <v>10.725</v>
      </c>
      <c r="O212" s="176">
        <v>10.725</v>
      </c>
      <c r="P212" s="176" t="s">
        <v>114</v>
      </c>
      <c r="Q212" s="178" t="s">
        <v>1210</v>
      </c>
      <c r="R212" s="179"/>
      <c r="S212" s="179"/>
      <c r="T212" s="177">
        <v>44955</v>
      </c>
      <c r="U212" s="177"/>
      <c r="V212" s="177">
        <v>44955</v>
      </c>
      <c r="W212" s="177"/>
      <c r="X212" s="177"/>
      <c r="Y212" s="177"/>
      <c r="Z212" s="177"/>
      <c r="AA212" s="177"/>
      <c r="AB212" s="177"/>
      <c r="AC212" s="177"/>
      <c r="AD212" s="180" t="s">
        <v>1593</v>
      </c>
      <c r="AE212" s="173" t="s">
        <v>69</v>
      </c>
      <c r="AF212" s="181" t="s">
        <v>142</v>
      </c>
      <c r="AG212" s="192" t="s">
        <v>1657</v>
      </c>
      <c r="AH212" s="198"/>
      <c r="AI212" s="181">
        <v>44849</v>
      </c>
      <c r="AJ212" s="181"/>
      <c r="AK212" s="181">
        <f t="shared" ca="1" si="23"/>
        <v>44958</v>
      </c>
      <c r="AL212" s="173">
        <f t="shared" ca="1" si="19"/>
        <v>109</v>
      </c>
      <c r="AM212" s="173" t="str">
        <f t="shared" si="20"/>
        <v/>
      </c>
      <c r="AN212" s="181"/>
      <c r="AO212" s="190" t="s">
        <v>1784</v>
      </c>
      <c r="AP212" s="176">
        <v>10.725</v>
      </c>
      <c r="AQ212" s="176">
        <v>10.734999999999999</v>
      </c>
      <c r="AR212" s="176">
        <v>10.759999999999998</v>
      </c>
      <c r="AS212" s="176">
        <v>10.764999999999999</v>
      </c>
      <c r="AT212" s="173">
        <f t="shared" ca="1" si="22"/>
        <v>3</v>
      </c>
      <c r="AU212" s="173">
        <v>456</v>
      </c>
      <c r="AW212" s="142" t="s">
        <v>123</v>
      </c>
      <c r="AX212" s="142" t="str">
        <f>LEFT(RIGHT(C212,LEN(C212)-MIN(SEARCH({0,1,2,3,4,5,6,7,8,9},C212&amp;"0123456789"))+1),2)</f>
        <v>29</v>
      </c>
      <c r="AY212" s="142">
        <v>1</v>
      </c>
      <c r="AZ212" s="142" t="str">
        <f>LEFT(RIGHT(C212,LEN(C212)-MIN(SEARCH({0,1,2,3,4,5,6,7,8,9},C212&amp;"0123456789"))+1),5)</f>
        <v>29.01</v>
      </c>
      <c r="BA212" s="142" t="str">
        <f t="shared" si="21"/>
        <v>MI</v>
      </c>
    </row>
    <row r="213" spans="2:53" s="142" customFormat="1" ht="21" customHeight="1" x14ac:dyDescent="0.25">
      <c r="B213" s="173" t="str">
        <f t="shared" si="18"/>
        <v>0-304L/FH-1.45X643</v>
      </c>
      <c r="C213" s="173" t="s">
        <v>4392</v>
      </c>
      <c r="D213" s="173" t="s">
        <v>16</v>
      </c>
      <c r="E213" s="190" t="s">
        <v>4298</v>
      </c>
      <c r="F213" s="190" t="s">
        <v>4299</v>
      </c>
      <c r="G213" s="173" t="s">
        <v>182</v>
      </c>
      <c r="H213" s="173" t="s">
        <v>70</v>
      </c>
      <c r="I213" s="174">
        <v>3.63</v>
      </c>
      <c r="J213" s="174">
        <v>1.45</v>
      </c>
      <c r="K213" s="174"/>
      <c r="L213" s="174"/>
      <c r="M213" s="191">
        <v>643</v>
      </c>
      <c r="N213" s="176">
        <v>10.595000000000001</v>
      </c>
      <c r="O213" s="176">
        <v>10.595000000000001</v>
      </c>
      <c r="P213" s="176" t="s">
        <v>114</v>
      </c>
      <c r="Q213" s="178" t="s">
        <v>1210</v>
      </c>
      <c r="R213" s="179"/>
      <c r="S213" s="179"/>
      <c r="T213" s="177">
        <v>44955</v>
      </c>
      <c r="U213" s="177"/>
      <c r="V213" s="177">
        <v>44955</v>
      </c>
      <c r="W213" s="177"/>
      <c r="X213" s="177"/>
      <c r="Y213" s="177"/>
      <c r="Z213" s="177"/>
      <c r="AA213" s="177"/>
      <c r="AB213" s="177"/>
      <c r="AC213" s="177"/>
      <c r="AD213" s="180" t="s">
        <v>1593</v>
      </c>
      <c r="AE213" s="173" t="s">
        <v>69</v>
      </c>
      <c r="AF213" s="181" t="s">
        <v>142</v>
      </c>
      <c r="AG213" s="192" t="s">
        <v>1594</v>
      </c>
      <c r="AH213" s="198"/>
      <c r="AI213" s="181">
        <v>44849</v>
      </c>
      <c r="AJ213" s="181"/>
      <c r="AK213" s="181">
        <f t="shared" ca="1" si="23"/>
        <v>44958</v>
      </c>
      <c r="AL213" s="173">
        <f t="shared" ca="1" si="19"/>
        <v>109</v>
      </c>
      <c r="AM213" s="173" t="str">
        <f t="shared" si="20"/>
        <v/>
      </c>
      <c r="AN213" s="181"/>
      <c r="AO213" s="190" t="s">
        <v>1615</v>
      </c>
      <c r="AP213" s="176">
        <v>10.595000000000001</v>
      </c>
      <c r="AQ213" s="176">
        <v>10.605</v>
      </c>
      <c r="AR213" s="176">
        <v>10.629999999999999</v>
      </c>
      <c r="AS213" s="176">
        <v>10.635</v>
      </c>
      <c r="AT213" s="173">
        <f t="shared" ca="1" si="22"/>
        <v>3</v>
      </c>
      <c r="AU213" s="173">
        <v>456</v>
      </c>
      <c r="AW213" s="142" t="s">
        <v>123</v>
      </c>
      <c r="AX213" s="142" t="str">
        <f>LEFT(RIGHT(C213,LEN(C213)-MIN(SEARCH({0,1,2,3,4,5,6,7,8,9},C213&amp;"0123456789"))+1),2)</f>
        <v>29</v>
      </c>
      <c r="AY213" s="142">
        <v>1</v>
      </c>
      <c r="AZ213" s="142" t="str">
        <f>LEFT(RIGHT(C213,LEN(C213)-MIN(SEARCH({0,1,2,3,4,5,6,7,8,9},C213&amp;"0123456789"))+1),5)</f>
        <v>29.01</v>
      </c>
      <c r="BA213" s="142" t="str">
        <f t="shared" si="21"/>
        <v>MI</v>
      </c>
    </row>
    <row r="214" spans="2:53" s="142" customFormat="1" ht="21" customHeight="1" x14ac:dyDescent="0.25">
      <c r="B214" s="173" t="str">
        <f t="shared" si="18"/>
        <v>0-304/FH-1.00X643</v>
      </c>
      <c r="C214" s="173" t="s">
        <v>4392</v>
      </c>
      <c r="D214" s="173" t="s">
        <v>16</v>
      </c>
      <c r="E214" s="190" t="s">
        <v>4293</v>
      </c>
      <c r="F214" s="190" t="s">
        <v>4294</v>
      </c>
      <c r="G214" s="173">
        <v>304</v>
      </c>
      <c r="H214" s="173" t="s">
        <v>70</v>
      </c>
      <c r="I214" s="174">
        <v>3.01</v>
      </c>
      <c r="J214" s="174">
        <v>1</v>
      </c>
      <c r="K214" s="174"/>
      <c r="L214" s="174"/>
      <c r="M214" s="191">
        <v>643</v>
      </c>
      <c r="N214" s="176">
        <v>10.664999999999999</v>
      </c>
      <c r="O214" s="176">
        <v>10.664999999999999</v>
      </c>
      <c r="P214" s="176" t="s">
        <v>114</v>
      </c>
      <c r="Q214" s="178" t="s">
        <v>1210</v>
      </c>
      <c r="R214" s="179"/>
      <c r="S214" s="179"/>
      <c r="T214" s="177">
        <v>44954</v>
      </c>
      <c r="U214" s="177"/>
      <c r="V214" s="177">
        <v>44955</v>
      </c>
      <c r="W214" s="177"/>
      <c r="X214" s="177"/>
      <c r="Y214" s="177"/>
      <c r="Z214" s="177"/>
      <c r="AA214" s="177"/>
      <c r="AB214" s="177"/>
      <c r="AC214" s="177"/>
      <c r="AD214" s="180" t="s">
        <v>1643</v>
      </c>
      <c r="AE214" s="173" t="s">
        <v>69</v>
      </c>
      <c r="AF214" s="181" t="s">
        <v>142</v>
      </c>
      <c r="AG214" s="192" t="s">
        <v>1657</v>
      </c>
      <c r="AH214" s="198"/>
      <c r="AI214" s="181">
        <v>44849</v>
      </c>
      <c r="AJ214" s="181"/>
      <c r="AK214" s="181">
        <f t="shared" ca="1" si="23"/>
        <v>44958</v>
      </c>
      <c r="AL214" s="173">
        <f t="shared" ca="1" si="19"/>
        <v>109</v>
      </c>
      <c r="AM214" s="173" t="str">
        <f t="shared" si="20"/>
        <v/>
      </c>
      <c r="AN214" s="181"/>
      <c r="AO214" s="190" t="s">
        <v>4244</v>
      </c>
      <c r="AP214" s="176">
        <v>10.664999999999999</v>
      </c>
      <c r="AQ214" s="176">
        <v>10.675000000000001</v>
      </c>
      <c r="AR214" s="176">
        <v>10.7</v>
      </c>
      <c r="AS214" s="176">
        <v>10.705</v>
      </c>
      <c r="AT214" s="173">
        <f t="shared" ca="1" si="22"/>
        <v>3</v>
      </c>
      <c r="AU214" s="173">
        <v>456</v>
      </c>
      <c r="AW214" s="142" t="s">
        <v>123</v>
      </c>
      <c r="AX214" s="142" t="str">
        <f>LEFT(RIGHT(C214,LEN(C214)-MIN(SEARCH({0,1,2,3,4,5,6,7,8,9},C214&amp;"0123456789"))+1),2)</f>
        <v>29</v>
      </c>
      <c r="AY214" s="142">
        <v>2</v>
      </c>
      <c r="AZ214" s="142" t="str">
        <f>LEFT(RIGHT(C214,LEN(C214)-MIN(SEARCH({0,1,2,3,4,5,6,7,8,9},C214&amp;"0123456789"))+1),5)</f>
        <v>29.01</v>
      </c>
      <c r="BA214" s="142" t="str">
        <f t="shared" si="21"/>
        <v>MI</v>
      </c>
    </row>
    <row r="215" spans="2:53" s="142" customFormat="1" ht="21" customHeight="1" x14ac:dyDescent="0.25">
      <c r="B215" s="173" t="str">
        <f t="shared" si="18"/>
        <v>0-304/FH-1.15X641</v>
      </c>
      <c r="C215" s="173" t="s">
        <v>4392</v>
      </c>
      <c r="D215" s="173" t="s">
        <v>16</v>
      </c>
      <c r="E215" s="190" t="s">
        <v>4300</v>
      </c>
      <c r="F215" s="190" t="s">
        <v>4301</v>
      </c>
      <c r="G215" s="173">
        <v>304</v>
      </c>
      <c r="H215" s="173" t="s">
        <v>70</v>
      </c>
      <c r="I215" s="174">
        <v>2.93</v>
      </c>
      <c r="J215" s="174">
        <v>1.1499999999999999</v>
      </c>
      <c r="K215" s="174"/>
      <c r="L215" s="174"/>
      <c r="M215" s="191">
        <v>641</v>
      </c>
      <c r="N215" s="176">
        <v>10.58</v>
      </c>
      <c r="O215" s="176">
        <v>10.58</v>
      </c>
      <c r="P215" s="176" t="s">
        <v>114</v>
      </c>
      <c r="Q215" s="178" t="s">
        <v>1210</v>
      </c>
      <c r="R215" s="179"/>
      <c r="S215" s="179"/>
      <c r="T215" s="177">
        <v>44955</v>
      </c>
      <c r="U215" s="177"/>
      <c r="V215" s="177">
        <v>44955</v>
      </c>
      <c r="W215" s="177"/>
      <c r="X215" s="177"/>
      <c r="Y215" s="177"/>
      <c r="Z215" s="177"/>
      <c r="AA215" s="177"/>
      <c r="AB215" s="177"/>
      <c r="AC215" s="177"/>
      <c r="AD215" s="180" t="s">
        <v>1593</v>
      </c>
      <c r="AE215" s="173" t="s">
        <v>69</v>
      </c>
      <c r="AF215" s="181" t="s">
        <v>142</v>
      </c>
      <c r="AG215" s="192" t="s">
        <v>1594</v>
      </c>
      <c r="AH215" s="198"/>
      <c r="AI215" s="181">
        <v>44849</v>
      </c>
      <c r="AJ215" s="181"/>
      <c r="AK215" s="181">
        <f t="shared" ca="1" si="23"/>
        <v>44958</v>
      </c>
      <c r="AL215" s="173">
        <f t="shared" ca="1" si="19"/>
        <v>109</v>
      </c>
      <c r="AM215" s="173" t="str">
        <f t="shared" si="20"/>
        <v/>
      </c>
      <c r="AN215" s="181"/>
      <c r="AO215" s="190" t="s">
        <v>4032</v>
      </c>
      <c r="AP215" s="176">
        <v>10.58</v>
      </c>
      <c r="AQ215" s="176">
        <v>10.59</v>
      </c>
      <c r="AR215" s="176">
        <v>10.614999999999998</v>
      </c>
      <c r="AS215" s="176">
        <v>10.62</v>
      </c>
      <c r="AT215" s="173">
        <f t="shared" ca="1" si="22"/>
        <v>3</v>
      </c>
      <c r="AU215" s="173">
        <v>456</v>
      </c>
      <c r="AW215" s="142" t="s">
        <v>123</v>
      </c>
      <c r="AX215" s="142" t="str">
        <f>LEFT(RIGHT(C215,LEN(C215)-MIN(SEARCH({0,1,2,3,4,5,6,7,8,9},C215&amp;"0123456789"))+1),2)</f>
        <v>29</v>
      </c>
      <c r="AY215" s="142">
        <v>2</v>
      </c>
      <c r="AZ215" s="142" t="str">
        <f>LEFT(RIGHT(C215,LEN(C215)-MIN(SEARCH({0,1,2,3,4,5,6,7,8,9},C215&amp;"0123456789"))+1),5)</f>
        <v>29.01</v>
      </c>
      <c r="BA215" s="142" t="str">
        <f t="shared" si="21"/>
        <v>MI</v>
      </c>
    </row>
    <row r="216" spans="2:53" s="142" customFormat="1" ht="21" customHeight="1" x14ac:dyDescent="0.25">
      <c r="B216" s="173" t="str">
        <f t="shared" si="18"/>
        <v>0-304L/FH-1.15X642</v>
      </c>
      <c r="C216" s="173" t="s">
        <v>4392</v>
      </c>
      <c r="D216" s="173" t="s">
        <v>16</v>
      </c>
      <c r="E216" s="190" t="s">
        <v>1610</v>
      </c>
      <c r="F216" s="190" t="s">
        <v>1611</v>
      </c>
      <c r="G216" s="173" t="s">
        <v>182</v>
      </c>
      <c r="H216" s="173" t="s">
        <v>70</v>
      </c>
      <c r="I216" s="174">
        <v>3.89</v>
      </c>
      <c r="J216" s="174">
        <v>1.1499999999999999</v>
      </c>
      <c r="K216" s="174"/>
      <c r="L216" s="174"/>
      <c r="M216" s="191">
        <v>642</v>
      </c>
      <c r="N216" s="176">
        <v>10.404999999999999</v>
      </c>
      <c r="O216" s="176">
        <v>10.404999999999999</v>
      </c>
      <c r="P216" s="176" t="s">
        <v>114</v>
      </c>
      <c r="Q216" s="178" t="s">
        <v>361</v>
      </c>
      <c r="R216" s="178" t="s">
        <v>1210</v>
      </c>
      <c r="S216" s="179"/>
      <c r="T216" s="177">
        <v>44954</v>
      </c>
      <c r="U216" s="177"/>
      <c r="V216" s="177">
        <v>44955</v>
      </c>
      <c r="W216" s="177"/>
      <c r="X216" s="177"/>
      <c r="Y216" s="177"/>
      <c r="Z216" s="177"/>
      <c r="AA216" s="177"/>
      <c r="AB216" s="177"/>
      <c r="AC216" s="177"/>
      <c r="AD216" s="180" t="s">
        <v>1605</v>
      </c>
      <c r="AE216" s="173" t="s">
        <v>69</v>
      </c>
      <c r="AF216" s="181" t="s">
        <v>142</v>
      </c>
      <c r="AG216" s="192" t="s">
        <v>1594</v>
      </c>
      <c r="AH216" s="198"/>
      <c r="AI216" s="181">
        <v>44849</v>
      </c>
      <c r="AJ216" s="181"/>
      <c r="AK216" s="181">
        <f t="shared" ca="1" si="23"/>
        <v>44958</v>
      </c>
      <c r="AL216" s="173">
        <f t="shared" ca="1" si="19"/>
        <v>109</v>
      </c>
      <c r="AM216" s="173" t="str">
        <f t="shared" si="20"/>
        <v/>
      </c>
      <c r="AN216" s="181"/>
      <c r="AO216" s="190" t="s">
        <v>1612</v>
      </c>
      <c r="AP216" s="176">
        <v>10.404999999999999</v>
      </c>
      <c r="AQ216" s="176">
        <v>10.414999999999999</v>
      </c>
      <c r="AR216" s="176">
        <v>10.439999999999998</v>
      </c>
      <c r="AS216" s="176">
        <v>10.444999999999999</v>
      </c>
      <c r="AT216" s="173">
        <f t="shared" ca="1" si="22"/>
        <v>3</v>
      </c>
      <c r="AU216" s="173">
        <v>456</v>
      </c>
      <c r="AW216" s="142" t="s">
        <v>123</v>
      </c>
      <c r="AX216" s="142" t="str">
        <f>LEFT(RIGHT(C216,LEN(C216)-MIN(SEARCH({0,1,2,3,4,5,6,7,8,9},C216&amp;"0123456789"))+1),2)</f>
        <v>29</v>
      </c>
      <c r="AY216" s="142">
        <v>2</v>
      </c>
      <c r="AZ216" s="142" t="str">
        <f>LEFT(RIGHT(C216,LEN(C216)-MIN(SEARCH({0,1,2,3,4,5,6,7,8,9},C216&amp;"0123456789"))+1),5)</f>
        <v>29.01</v>
      </c>
      <c r="BA216" s="142" t="str">
        <f t="shared" si="21"/>
        <v>MI</v>
      </c>
    </row>
    <row r="217" spans="2:53" s="142" customFormat="1" ht="21" customHeight="1" x14ac:dyDescent="0.25">
      <c r="B217" s="173" t="str">
        <f t="shared" ref="B217:B238" si="24">IF(C217="HOLD RM","HOLD RM",IF(C217="BAL","WIP",IF(C217="HOLD SLT","HOLD SLT",IF(C217="MILL","RM",IF(C217="RE SLT","WIP",IF(C217="RM","RM",IF(C217="RM BAL","RM",IF(C217="RM SLT","RM",IF(C217="RR","WIP",IF(C217="SKP","WIP",IF(C217="SLT","WIP",IF(C217="CTL","WIP",IF(C217="RM SLT RUST","RM SLT RUST",0)))))))))))))&amp;"-"&amp;G217&amp;"/"&amp;IF(H217="2B","2B",IF(H217="NO.1","1D",IF(H217="FH","FH",0)))&amp;"-"&amp;IF(J217="",(TEXT(I217,"0.00")),TEXT(J217,"0.00"))&amp;"X"&amp;M217</f>
        <v>0-304/FH-1.15X642</v>
      </c>
      <c r="C217" s="173" t="s">
        <v>4392</v>
      </c>
      <c r="D217" s="173" t="s">
        <v>16</v>
      </c>
      <c r="E217" s="190" t="s">
        <v>4302</v>
      </c>
      <c r="F217" s="190" t="s">
        <v>4303</v>
      </c>
      <c r="G217" s="173">
        <v>304</v>
      </c>
      <c r="H217" s="173" t="s">
        <v>70</v>
      </c>
      <c r="I217" s="174">
        <v>2.99</v>
      </c>
      <c r="J217" s="174">
        <v>1.1499999999999999</v>
      </c>
      <c r="K217" s="174"/>
      <c r="L217" s="174"/>
      <c r="M217" s="191">
        <v>642</v>
      </c>
      <c r="N217" s="176">
        <v>10.67</v>
      </c>
      <c r="O217" s="176">
        <v>10.67</v>
      </c>
      <c r="P217" s="176" t="s">
        <v>114</v>
      </c>
      <c r="Q217" s="178" t="s">
        <v>1210</v>
      </c>
      <c r="R217" s="179"/>
      <c r="S217" s="179"/>
      <c r="T217" s="177">
        <v>44955</v>
      </c>
      <c r="U217" s="177"/>
      <c r="V217" s="177">
        <v>44955</v>
      </c>
      <c r="W217" s="177"/>
      <c r="X217" s="177"/>
      <c r="Y217" s="177"/>
      <c r="Z217" s="177"/>
      <c r="AA217" s="177"/>
      <c r="AB217" s="177"/>
      <c r="AC217" s="177"/>
      <c r="AD217" s="180" t="s">
        <v>1593</v>
      </c>
      <c r="AE217" s="173" t="s">
        <v>69</v>
      </c>
      <c r="AF217" s="181" t="s">
        <v>142</v>
      </c>
      <c r="AG217" s="192" t="s">
        <v>1657</v>
      </c>
      <c r="AH217" s="198"/>
      <c r="AI217" s="181">
        <v>44849</v>
      </c>
      <c r="AJ217" s="181"/>
      <c r="AK217" s="181">
        <f t="shared" ca="1" si="23"/>
        <v>44958</v>
      </c>
      <c r="AL217" s="173">
        <f t="shared" ref="AL217:AL238" ca="1" si="25">IF(AI217&lt;&gt;0,AK217-AI217,0)</f>
        <v>109</v>
      </c>
      <c r="AM217" s="173" t="str">
        <f t="shared" ref="AM217:AM238" si="26">IF(ISNUMBER(X217)=TRUE,AK217-X217,IF(X217="","",(AK217)-(MID(RIGHT(X217,10),4,2)&amp;"/"&amp;LEFT((RIGHT(X217,10)),2)&amp;"/"&amp;RIGHT(X217,4))))</f>
        <v/>
      </c>
      <c r="AN217" s="181"/>
      <c r="AO217" s="190" t="s">
        <v>4061</v>
      </c>
      <c r="AP217" s="176">
        <v>10.67</v>
      </c>
      <c r="AQ217" s="176">
        <v>10.68</v>
      </c>
      <c r="AR217" s="176">
        <v>10.704999999999998</v>
      </c>
      <c r="AS217" s="176">
        <v>10.709999999999999</v>
      </c>
      <c r="AT217" s="173">
        <f t="shared" ca="1" si="22"/>
        <v>3</v>
      </c>
      <c r="AU217" s="173">
        <v>456</v>
      </c>
      <c r="AW217" s="142" t="s">
        <v>123</v>
      </c>
      <c r="AX217" s="142" t="str">
        <f>LEFT(RIGHT(C217,LEN(C217)-MIN(SEARCH({0,1,2,3,4,5,6,7,8,9},C217&amp;"0123456789"))+1),2)</f>
        <v>29</v>
      </c>
      <c r="AY217" s="142">
        <v>3</v>
      </c>
      <c r="AZ217" s="142" t="str">
        <f>LEFT(RIGHT(C217,LEN(C217)-MIN(SEARCH({0,1,2,3,4,5,6,7,8,9},C217&amp;"0123456789"))+1),5)</f>
        <v>29.01</v>
      </c>
      <c r="BA217" s="142" t="str">
        <f t="shared" si="21"/>
        <v>MI</v>
      </c>
    </row>
    <row r="218" spans="2:53" s="142" customFormat="1" ht="21" customHeight="1" x14ac:dyDescent="0.25">
      <c r="B218" s="173" t="str">
        <f t="shared" si="24"/>
        <v>0-304L/FH-0.90X643</v>
      </c>
      <c r="C218" s="173" t="s">
        <v>4392</v>
      </c>
      <c r="D218" s="173" t="s">
        <v>16</v>
      </c>
      <c r="E218" s="190" t="s">
        <v>1735</v>
      </c>
      <c r="F218" s="190" t="s">
        <v>1736</v>
      </c>
      <c r="G218" s="173" t="s">
        <v>182</v>
      </c>
      <c r="H218" s="173" t="s">
        <v>70</v>
      </c>
      <c r="I218" s="174">
        <v>2.95</v>
      </c>
      <c r="J218" s="174">
        <v>0.9</v>
      </c>
      <c r="K218" s="174"/>
      <c r="L218" s="174"/>
      <c r="M218" s="191">
        <v>643</v>
      </c>
      <c r="N218" s="176">
        <v>10.015000000000001</v>
      </c>
      <c r="O218" s="176">
        <v>10.015000000000001</v>
      </c>
      <c r="P218" s="176" t="s">
        <v>114</v>
      </c>
      <c r="Q218" s="178" t="s">
        <v>1210</v>
      </c>
      <c r="R218" s="179"/>
      <c r="S218" s="179"/>
      <c r="T218" s="177">
        <v>44955</v>
      </c>
      <c r="U218" s="177"/>
      <c r="V218" s="177">
        <v>44955</v>
      </c>
      <c r="W218" s="177"/>
      <c r="X218" s="177"/>
      <c r="Y218" s="177"/>
      <c r="Z218" s="177"/>
      <c r="AA218" s="177"/>
      <c r="AB218" s="177"/>
      <c r="AC218" s="177"/>
      <c r="AD218" s="180" t="s">
        <v>1643</v>
      </c>
      <c r="AE218" s="173" t="s">
        <v>69</v>
      </c>
      <c r="AF218" s="181" t="s">
        <v>142</v>
      </c>
      <c r="AG218" s="192" t="s">
        <v>1657</v>
      </c>
      <c r="AH218" s="198"/>
      <c r="AI218" s="181">
        <v>44849</v>
      </c>
      <c r="AJ218" s="181"/>
      <c r="AK218" s="181">
        <f t="shared" ca="1" si="23"/>
        <v>44958</v>
      </c>
      <c r="AL218" s="173">
        <f t="shared" ca="1" si="25"/>
        <v>109</v>
      </c>
      <c r="AM218" s="173" t="str">
        <f t="shared" si="26"/>
        <v/>
      </c>
      <c r="AN218" s="181"/>
      <c r="AO218" s="190" t="s">
        <v>1737</v>
      </c>
      <c r="AP218" s="176">
        <v>10.015000000000001</v>
      </c>
      <c r="AQ218" s="176">
        <v>10.025</v>
      </c>
      <c r="AR218" s="176">
        <v>10.049999999999999</v>
      </c>
      <c r="AS218" s="176">
        <v>10.055</v>
      </c>
      <c r="AT218" s="173">
        <f t="shared" ca="1" si="22"/>
        <v>3</v>
      </c>
      <c r="AU218" s="173">
        <v>456</v>
      </c>
      <c r="AW218" s="142" t="s">
        <v>123</v>
      </c>
      <c r="AX218" s="142" t="str">
        <f>LEFT(RIGHT(C218,LEN(C218)-MIN(SEARCH({0,1,2,3,4,5,6,7,8,9},C218&amp;"0123456789"))+1),2)</f>
        <v>29</v>
      </c>
      <c r="AY218" s="142">
        <v>3</v>
      </c>
      <c r="AZ218" s="142" t="str">
        <f>LEFT(RIGHT(C218,LEN(C218)-MIN(SEARCH({0,1,2,3,4,5,6,7,8,9},C218&amp;"0123456789"))+1),5)</f>
        <v>29.01</v>
      </c>
      <c r="BA218" s="142" t="str">
        <f t="shared" si="21"/>
        <v>MI</v>
      </c>
    </row>
    <row r="219" spans="2:53" s="142" customFormat="1" ht="21" customHeight="1" x14ac:dyDescent="0.25">
      <c r="B219" s="173" t="str">
        <f t="shared" si="24"/>
        <v>0-304L/FH-1.15X642</v>
      </c>
      <c r="C219" s="173" t="s">
        <v>4392</v>
      </c>
      <c r="D219" s="173" t="s">
        <v>16</v>
      </c>
      <c r="E219" s="190" t="s">
        <v>1613</v>
      </c>
      <c r="F219" s="190" t="s">
        <v>1614</v>
      </c>
      <c r="G219" s="173" t="s">
        <v>182</v>
      </c>
      <c r="H219" s="173" t="s">
        <v>70</v>
      </c>
      <c r="I219" s="174">
        <v>3.64</v>
      </c>
      <c r="J219" s="174">
        <v>1.1499999999999999</v>
      </c>
      <c r="K219" s="174"/>
      <c r="L219" s="174"/>
      <c r="M219" s="191">
        <v>642</v>
      </c>
      <c r="N219" s="176">
        <f>10.545-6.76</f>
        <v>3.7850000000000001</v>
      </c>
      <c r="O219" s="176">
        <f>10.545-6.76</f>
        <v>3.7850000000000001</v>
      </c>
      <c r="P219" s="176" t="s">
        <v>114</v>
      </c>
      <c r="Q219" s="178" t="s">
        <v>1210</v>
      </c>
      <c r="R219" s="179"/>
      <c r="S219" s="179"/>
      <c r="T219" s="177">
        <v>44953</v>
      </c>
      <c r="U219" s="177"/>
      <c r="V219" s="177">
        <v>44955</v>
      </c>
      <c r="W219" s="177"/>
      <c r="X219" s="177"/>
      <c r="Y219" s="177"/>
      <c r="Z219" s="177"/>
      <c r="AA219" s="177"/>
      <c r="AB219" s="177"/>
      <c r="AC219" s="177"/>
      <c r="AD219" s="180" t="s">
        <v>1593</v>
      </c>
      <c r="AE219" s="173" t="s">
        <v>69</v>
      </c>
      <c r="AF219" s="181" t="s">
        <v>142</v>
      </c>
      <c r="AG219" s="192" t="s">
        <v>1594</v>
      </c>
      <c r="AH219" s="198"/>
      <c r="AI219" s="181">
        <v>44849</v>
      </c>
      <c r="AJ219" s="181"/>
      <c r="AK219" s="181">
        <f t="shared" ca="1" si="23"/>
        <v>44958</v>
      </c>
      <c r="AL219" s="173">
        <f t="shared" ca="1" si="25"/>
        <v>109</v>
      </c>
      <c r="AM219" s="173" t="str">
        <f t="shared" si="26"/>
        <v/>
      </c>
      <c r="AN219" s="181"/>
      <c r="AO219" s="190" t="s">
        <v>1615</v>
      </c>
      <c r="AP219" s="176">
        <v>10.545</v>
      </c>
      <c r="AQ219" s="176">
        <v>10.555</v>
      </c>
      <c r="AR219" s="176">
        <v>10.579999999999998</v>
      </c>
      <c r="AS219" s="176">
        <v>10.584999999999999</v>
      </c>
      <c r="AT219" s="173">
        <f t="shared" ca="1" si="22"/>
        <v>3</v>
      </c>
      <c r="AU219" s="173">
        <v>456</v>
      </c>
      <c r="AW219" s="142" t="s">
        <v>123</v>
      </c>
      <c r="AX219" s="142" t="str">
        <f>LEFT(RIGHT(C219,LEN(C219)-MIN(SEARCH({0,1,2,3,4,5,6,7,8,9},C219&amp;"0123456789"))+1),2)</f>
        <v>29</v>
      </c>
      <c r="AY219" s="142">
        <v>3</v>
      </c>
      <c r="AZ219" s="142" t="str">
        <f>LEFT(RIGHT(C219,LEN(C219)-MIN(SEARCH({0,1,2,3,4,5,6,7,8,9},C219&amp;"0123456789"))+1),5)</f>
        <v>29.01</v>
      </c>
      <c r="BA219" s="142" t="str">
        <f t="shared" si="21"/>
        <v>MI</v>
      </c>
    </row>
    <row r="220" spans="2:53" s="142" customFormat="1" ht="21" customHeight="1" x14ac:dyDescent="0.25">
      <c r="B220" s="173" t="str">
        <f t="shared" si="24"/>
        <v>0-304L/FH-1.45X646</v>
      </c>
      <c r="C220" s="173" t="s">
        <v>4393</v>
      </c>
      <c r="D220" s="173" t="s">
        <v>16</v>
      </c>
      <c r="E220" s="190" t="s">
        <v>1790</v>
      </c>
      <c r="F220" s="190" t="s">
        <v>1791</v>
      </c>
      <c r="G220" s="173" t="s">
        <v>182</v>
      </c>
      <c r="H220" s="173" t="s">
        <v>70</v>
      </c>
      <c r="I220" s="174">
        <v>3.89</v>
      </c>
      <c r="J220" s="174">
        <v>1.45</v>
      </c>
      <c r="K220" s="174"/>
      <c r="L220" s="174"/>
      <c r="M220" s="191">
        <v>646</v>
      </c>
      <c r="N220" s="176">
        <v>10.69</v>
      </c>
      <c r="O220" s="176">
        <v>10.69</v>
      </c>
      <c r="P220" s="176" t="s">
        <v>114</v>
      </c>
      <c r="Q220" s="178" t="s">
        <v>1210</v>
      </c>
      <c r="R220" s="179"/>
      <c r="S220" s="179"/>
      <c r="T220" s="177">
        <v>44955</v>
      </c>
      <c r="U220" s="177"/>
      <c r="V220" s="177">
        <v>44956</v>
      </c>
      <c r="W220" s="177"/>
      <c r="X220" s="177"/>
      <c r="Y220" s="177"/>
      <c r="Z220" s="177"/>
      <c r="AA220" s="177"/>
      <c r="AB220" s="177"/>
      <c r="AC220" s="177"/>
      <c r="AD220" s="180" t="s">
        <v>1643</v>
      </c>
      <c r="AE220" s="173" t="s">
        <v>69</v>
      </c>
      <c r="AF220" s="181" t="s">
        <v>142</v>
      </c>
      <c r="AG220" s="192" t="s">
        <v>1657</v>
      </c>
      <c r="AH220" s="198"/>
      <c r="AI220" s="181">
        <v>44849</v>
      </c>
      <c r="AJ220" s="181"/>
      <c r="AK220" s="181">
        <f t="shared" ca="1" si="23"/>
        <v>44958</v>
      </c>
      <c r="AL220" s="173">
        <f t="shared" ca="1" si="25"/>
        <v>109</v>
      </c>
      <c r="AM220" s="173" t="str">
        <f t="shared" si="26"/>
        <v/>
      </c>
      <c r="AN220" s="181"/>
      <c r="AO220" s="190" t="s">
        <v>1792</v>
      </c>
      <c r="AP220" s="176">
        <v>10.69</v>
      </c>
      <c r="AQ220" s="176">
        <v>10.7</v>
      </c>
      <c r="AR220" s="176">
        <v>10.724999999999998</v>
      </c>
      <c r="AS220" s="176">
        <v>10.729999999999999</v>
      </c>
      <c r="AT220" s="173">
        <f t="shared" ca="1" si="22"/>
        <v>2</v>
      </c>
      <c r="AU220" s="173">
        <v>456</v>
      </c>
      <c r="AW220" s="142" t="s">
        <v>123</v>
      </c>
      <c r="AX220" s="142" t="str">
        <f>LEFT(RIGHT(C220,LEN(C220)-MIN(SEARCH({0,1,2,3,4,5,6,7,8,9},C220&amp;"0123456789"))+1),2)</f>
        <v>30</v>
      </c>
      <c r="AY220" s="142">
        <v>1</v>
      </c>
      <c r="AZ220" s="142" t="str">
        <f>LEFT(RIGHT(C220,LEN(C220)-MIN(SEARCH({0,1,2,3,4,5,6,7,8,9},C220&amp;"0123456789"))+1),5)</f>
        <v>30.01</v>
      </c>
      <c r="BA220" s="142" t="str">
        <f t="shared" si="21"/>
        <v>MI</v>
      </c>
    </row>
    <row r="221" spans="2:53" s="142" customFormat="1" ht="21" customHeight="1" x14ac:dyDescent="0.25">
      <c r="B221" s="173" t="str">
        <f t="shared" si="24"/>
        <v>0-304L/FH-1.45X637</v>
      </c>
      <c r="C221" s="173" t="s">
        <v>4393</v>
      </c>
      <c r="D221" s="173" t="s">
        <v>16</v>
      </c>
      <c r="E221" s="190" t="s">
        <v>1727</v>
      </c>
      <c r="F221" s="190" t="s">
        <v>1728</v>
      </c>
      <c r="G221" s="173" t="s">
        <v>182</v>
      </c>
      <c r="H221" s="173" t="s">
        <v>70</v>
      </c>
      <c r="I221" s="174">
        <v>3.89</v>
      </c>
      <c r="J221" s="174">
        <v>1.45</v>
      </c>
      <c r="K221" s="174"/>
      <c r="L221" s="174"/>
      <c r="M221" s="191">
        <v>637</v>
      </c>
      <c r="N221" s="176">
        <v>10.51</v>
      </c>
      <c r="O221" s="176">
        <v>10.51</v>
      </c>
      <c r="P221" s="176" t="s">
        <v>114</v>
      </c>
      <c r="Q221" s="178" t="s">
        <v>361</v>
      </c>
      <c r="R221" s="179"/>
      <c r="S221" s="179"/>
      <c r="T221" s="177">
        <v>44955</v>
      </c>
      <c r="U221" s="177"/>
      <c r="V221" s="177">
        <v>44956</v>
      </c>
      <c r="W221" s="177"/>
      <c r="X221" s="177"/>
      <c r="Y221" s="177"/>
      <c r="Z221" s="177"/>
      <c r="AA221" s="177"/>
      <c r="AB221" s="177"/>
      <c r="AC221" s="177"/>
      <c r="AD221" s="180" t="s">
        <v>1643</v>
      </c>
      <c r="AE221" s="173" t="s">
        <v>69</v>
      </c>
      <c r="AF221" s="181" t="s">
        <v>142</v>
      </c>
      <c r="AG221" s="192" t="s">
        <v>1657</v>
      </c>
      <c r="AH221" s="198"/>
      <c r="AI221" s="181">
        <v>44849</v>
      </c>
      <c r="AJ221" s="181"/>
      <c r="AK221" s="181">
        <f t="shared" ca="1" si="23"/>
        <v>44958</v>
      </c>
      <c r="AL221" s="173">
        <f t="shared" ca="1" si="25"/>
        <v>109</v>
      </c>
      <c r="AM221" s="173" t="str">
        <f t="shared" si="26"/>
        <v/>
      </c>
      <c r="AN221" s="181"/>
      <c r="AO221" s="190" t="s">
        <v>1729</v>
      </c>
      <c r="AP221" s="176">
        <v>10.51</v>
      </c>
      <c r="AQ221" s="176">
        <v>10.52</v>
      </c>
      <c r="AR221" s="176">
        <v>10.544999999999998</v>
      </c>
      <c r="AS221" s="176">
        <v>10.549999999999999</v>
      </c>
      <c r="AT221" s="173">
        <f t="shared" ca="1" si="22"/>
        <v>2</v>
      </c>
      <c r="AU221" s="173">
        <v>456</v>
      </c>
      <c r="AW221" s="142" t="s">
        <v>123</v>
      </c>
      <c r="AX221" s="142" t="str">
        <f>LEFT(RIGHT(C221,LEN(C221)-MIN(SEARCH({0,1,2,3,4,5,6,7,8,9},C221&amp;"0123456789"))+1),2)</f>
        <v>30</v>
      </c>
      <c r="AY221" s="142">
        <v>1</v>
      </c>
      <c r="AZ221" s="142" t="str">
        <f>LEFT(RIGHT(C221,LEN(C221)-MIN(SEARCH({0,1,2,3,4,5,6,7,8,9},C221&amp;"0123456789"))+1),5)</f>
        <v>30.01</v>
      </c>
      <c r="BA221" s="142" t="str">
        <f t="shared" ref="BA221:BA237" si="27">LEFT(C221,2)</f>
        <v>MI</v>
      </c>
    </row>
    <row r="222" spans="2:53" s="142" customFormat="1" ht="21" customHeight="1" x14ac:dyDescent="0.25">
      <c r="B222" s="173" t="str">
        <f t="shared" si="24"/>
        <v>0-304L/FH-2.00X642</v>
      </c>
      <c r="C222" s="173" t="s">
        <v>4393</v>
      </c>
      <c r="D222" s="173" t="s">
        <v>16</v>
      </c>
      <c r="E222" s="190" t="s">
        <v>4305</v>
      </c>
      <c r="F222" s="190" t="s">
        <v>4306</v>
      </c>
      <c r="G222" s="173" t="s">
        <v>182</v>
      </c>
      <c r="H222" s="173" t="s">
        <v>70</v>
      </c>
      <c r="I222" s="174">
        <v>3.94</v>
      </c>
      <c r="J222" s="174">
        <v>2</v>
      </c>
      <c r="K222" s="174"/>
      <c r="L222" s="174"/>
      <c r="M222" s="191">
        <v>642</v>
      </c>
      <c r="N222" s="176">
        <v>10.58</v>
      </c>
      <c r="O222" s="176">
        <v>10.58</v>
      </c>
      <c r="P222" s="176" t="s">
        <v>114</v>
      </c>
      <c r="Q222" s="178" t="s">
        <v>361</v>
      </c>
      <c r="R222" s="179"/>
      <c r="S222" s="179"/>
      <c r="T222" s="177">
        <v>44956</v>
      </c>
      <c r="U222" s="177"/>
      <c r="V222" s="177">
        <v>44956</v>
      </c>
      <c r="W222" s="177"/>
      <c r="X222" s="177"/>
      <c r="Y222" s="177"/>
      <c r="Z222" s="177"/>
      <c r="AA222" s="177"/>
      <c r="AB222" s="177"/>
      <c r="AC222" s="177"/>
      <c r="AD222" s="180" t="s">
        <v>1593</v>
      </c>
      <c r="AE222" s="173" t="s">
        <v>69</v>
      </c>
      <c r="AF222" s="181" t="s">
        <v>142</v>
      </c>
      <c r="AG222" s="192" t="s">
        <v>1657</v>
      </c>
      <c r="AH222" s="198"/>
      <c r="AI222" s="181">
        <v>44849</v>
      </c>
      <c r="AJ222" s="181"/>
      <c r="AK222" s="181">
        <f t="shared" ca="1" si="23"/>
        <v>44958</v>
      </c>
      <c r="AL222" s="173">
        <f t="shared" ca="1" si="25"/>
        <v>109</v>
      </c>
      <c r="AM222" s="173" t="str">
        <f t="shared" si="26"/>
        <v/>
      </c>
      <c r="AN222" s="181"/>
      <c r="AO222" s="190" t="s">
        <v>4307</v>
      </c>
      <c r="AP222" s="176">
        <v>10.58</v>
      </c>
      <c r="AQ222" s="176">
        <v>10.59</v>
      </c>
      <c r="AR222" s="176">
        <v>10.614999999999998</v>
      </c>
      <c r="AS222" s="176">
        <v>10.62</v>
      </c>
      <c r="AT222" s="173">
        <f t="shared" ca="1" si="22"/>
        <v>2</v>
      </c>
      <c r="AU222" s="173">
        <v>456</v>
      </c>
      <c r="AW222" s="142" t="s">
        <v>123</v>
      </c>
      <c r="AX222" s="142" t="str">
        <f>LEFT(RIGHT(C222,LEN(C222)-MIN(SEARCH({0,1,2,3,4,5,6,7,8,9},C222&amp;"0123456789"))+1),2)</f>
        <v>30</v>
      </c>
      <c r="AY222" s="142">
        <v>1</v>
      </c>
      <c r="AZ222" s="142" t="str">
        <f>LEFT(RIGHT(C222,LEN(C222)-MIN(SEARCH({0,1,2,3,4,5,6,7,8,9},C222&amp;"0123456789"))+1),5)</f>
        <v>30.01</v>
      </c>
      <c r="BA222" s="142" t="str">
        <f t="shared" si="27"/>
        <v>MI</v>
      </c>
    </row>
    <row r="223" spans="2:53" s="142" customFormat="1" ht="21" customHeight="1" x14ac:dyDescent="0.25">
      <c r="B223" s="173" t="str">
        <f t="shared" si="24"/>
        <v>0-304L/FH-0.90X644</v>
      </c>
      <c r="C223" s="173" t="s">
        <v>4393</v>
      </c>
      <c r="D223" s="173" t="s">
        <v>16</v>
      </c>
      <c r="E223" s="190" t="s">
        <v>1758</v>
      </c>
      <c r="F223" s="190" t="s">
        <v>1759</v>
      </c>
      <c r="G223" s="173" t="s">
        <v>182</v>
      </c>
      <c r="H223" s="173" t="s">
        <v>70</v>
      </c>
      <c r="I223" s="174">
        <v>3.5</v>
      </c>
      <c r="J223" s="174">
        <v>0.9</v>
      </c>
      <c r="K223" s="174"/>
      <c r="L223" s="174"/>
      <c r="M223" s="191">
        <v>644</v>
      </c>
      <c r="N223" s="176">
        <v>10.615</v>
      </c>
      <c r="O223" s="176">
        <v>10.615</v>
      </c>
      <c r="P223" s="176" t="s">
        <v>114</v>
      </c>
      <c r="Q223" s="178" t="s">
        <v>1592</v>
      </c>
      <c r="R223" s="179"/>
      <c r="S223" s="179"/>
      <c r="T223" s="177">
        <v>44956</v>
      </c>
      <c r="U223" s="177"/>
      <c r="V223" s="177">
        <v>44956</v>
      </c>
      <c r="W223" s="177">
        <v>44953</v>
      </c>
      <c r="X223" s="177"/>
      <c r="Y223" s="177"/>
      <c r="Z223" s="177"/>
      <c r="AA223" s="177"/>
      <c r="AB223" s="177"/>
      <c r="AC223" s="177"/>
      <c r="AD223" s="180" t="s">
        <v>1605</v>
      </c>
      <c r="AE223" s="173" t="s">
        <v>69</v>
      </c>
      <c r="AF223" s="181" t="s">
        <v>142</v>
      </c>
      <c r="AG223" s="192" t="s">
        <v>1657</v>
      </c>
      <c r="AH223" s="198"/>
      <c r="AI223" s="181">
        <v>44849</v>
      </c>
      <c r="AJ223" s="181"/>
      <c r="AK223" s="181">
        <f t="shared" ca="1" si="23"/>
        <v>44958</v>
      </c>
      <c r="AL223" s="173">
        <f t="shared" ca="1" si="25"/>
        <v>109</v>
      </c>
      <c r="AM223" s="173" t="str">
        <f t="shared" si="26"/>
        <v/>
      </c>
      <c r="AN223" s="181"/>
      <c r="AO223" s="190" t="s">
        <v>1760</v>
      </c>
      <c r="AP223" s="176">
        <v>10.615</v>
      </c>
      <c r="AQ223" s="176">
        <v>10.625</v>
      </c>
      <c r="AR223" s="176">
        <v>10.649999999999999</v>
      </c>
      <c r="AS223" s="176">
        <v>10.654999999999999</v>
      </c>
      <c r="AT223" s="173">
        <f t="shared" ca="1" si="22"/>
        <v>2</v>
      </c>
      <c r="AU223" s="173">
        <v>456</v>
      </c>
      <c r="AW223" s="142" t="s">
        <v>123</v>
      </c>
      <c r="AX223" s="142" t="str">
        <f>LEFT(RIGHT(C223,LEN(C223)-MIN(SEARCH({0,1,2,3,4,5,6,7,8,9},C223&amp;"0123456789"))+1),2)</f>
        <v>30</v>
      </c>
      <c r="AY223" s="142">
        <v>2</v>
      </c>
      <c r="AZ223" s="142" t="str">
        <f>LEFT(RIGHT(C223,LEN(C223)-MIN(SEARCH({0,1,2,3,4,5,6,7,8,9},C223&amp;"0123456789"))+1),5)</f>
        <v>30.01</v>
      </c>
      <c r="BA223" s="142" t="str">
        <f t="shared" si="27"/>
        <v>MI</v>
      </c>
    </row>
    <row r="224" spans="2:53" s="142" customFormat="1" ht="21" customHeight="1" x14ac:dyDescent="0.25">
      <c r="B224" s="173" t="str">
        <f t="shared" si="24"/>
        <v>0-304L/FH-2.00X643</v>
      </c>
      <c r="C224" s="173" t="s">
        <v>4393</v>
      </c>
      <c r="D224" s="173" t="s">
        <v>16</v>
      </c>
      <c r="E224" s="190" t="s">
        <v>1655</v>
      </c>
      <c r="F224" s="190" t="s">
        <v>1656</v>
      </c>
      <c r="G224" s="173" t="s">
        <v>182</v>
      </c>
      <c r="H224" s="173" t="s">
        <v>70</v>
      </c>
      <c r="I224" s="174">
        <v>3.94</v>
      </c>
      <c r="J224" s="174">
        <v>2</v>
      </c>
      <c r="K224" s="174"/>
      <c r="L224" s="174"/>
      <c r="M224" s="191">
        <v>643</v>
      </c>
      <c r="N224" s="176">
        <v>10.395</v>
      </c>
      <c r="O224" s="176">
        <v>10.395</v>
      </c>
      <c r="P224" s="176" t="s">
        <v>114</v>
      </c>
      <c r="Q224" s="178" t="s">
        <v>1210</v>
      </c>
      <c r="R224" s="179"/>
      <c r="S224" s="179"/>
      <c r="T224" s="177">
        <v>44956</v>
      </c>
      <c r="U224" s="177"/>
      <c r="V224" s="177">
        <v>44956</v>
      </c>
      <c r="W224" s="177"/>
      <c r="X224" s="177"/>
      <c r="Y224" s="177"/>
      <c r="Z224" s="177"/>
      <c r="AA224" s="177"/>
      <c r="AB224" s="177"/>
      <c r="AC224" s="177"/>
      <c r="AD224" s="180" t="s">
        <v>1593</v>
      </c>
      <c r="AE224" s="173" t="s">
        <v>69</v>
      </c>
      <c r="AF224" s="181" t="s">
        <v>142</v>
      </c>
      <c r="AG224" s="192" t="s">
        <v>1657</v>
      </c>
      <c r="AH224" s="198"/>
      <c r="AI224" s="181">
        <v>44849</v>
      </c>
      <c r="AJ224" s="181"/>
      <c r="AK224" s="181">
        <f t="shared" ca="1" si="23"/>
        <v>44958</v>
      </c>
      <c r="AL224" s="173">
        <f t="shared" ca="1" si="25"/>
        <v>109</v>
      </c>
      <c r="AM224" s="173" t="str">
        <f t="shared" si="26"/>
        <v/>
      </c>
      <c r="AN224" s="181"/>
      <c r="AO224" s="190" t="s">
        <v>1658</v>
      </c>
      <c r="AP224" s="176">
        <v>10.395</v>
      </c>
      <c r="AQ224" s="176">
        <v>10.404999999999999</v>
      </c>
      <c r="AR224" s="176">
        <v>10.429999999999998</v>
      </c>
      <c r="AS224" s="176">
        <v>10.434999999999999</v>
      </c>
      <c r="AT224" s="173">
        <f t="shared" ca="1" si="22"/>
        <v>2</v>
      </c>
      <c r="AU224" s="173">
        <v>456</v>
      </c>
      <c r="AW224" s="142" t="s">
        <v>123</v>
      </c>
      <c r="AX224" s="142" t="str">
        <f>LEFT(RIGHT(C224,LEN(C224)-MIN(SEARCH({0,1,2,3,4,5,6,7,8,9},C224&amp;"0123456789"))+1),2)</f>
        <v>30</v>
      </c>
      <c r="AY224" s="142">
        <v>2</v>
      </c>
      <c r="AZ224" s="142" t="str">
        <f>LEFT(RIGHT(C224,LEN(C224)-MIN(SEARCH({0,1,2,3,4,5,6,7,8,9},C224&amp;"0123456789"))+1),5)</f>
        <v>30.01</v>
      </c>
      <c r="BA224" s="142" t="str">
        <f t="shared" si="27"/>
        <v>MI</v>
      </c>
    </row>
    <row r="225" spans="2:54" s="142" customFormat="1" ht="21" customHeight="1" x14ac:dyDescent="0.25">
      <c r="B225" s="173" t="str">
        <f t="shared" si="24"/>
        <v>0-304L/FH-1.15X643</v>
      </c>
      <c r="C225" s="173" t="s">
        <v>4393</v>
      </c>
      <c r="D225" s="173" t="s">
        <v>16</v>
      </c>
      <c r="E225" s="190" t="s">
        <v>4310</v>
      </c>
      <c r="F225" s="190" t="s">
        <v>4311</v>
      </c>
      <c r="G225" s="173" t="s">
        <v>182</v>
      </c>
      <c r="H225" s="173" t="s">
        <v>70</v>
      </c>
      <c r="I225" s="174">
        <v>2.9</v>
      </c>
      <c r="J225" s="174">
        <v>1.1499999999999999</v>
      </c>
      <c r="K225" s="174"/>
      <c r="L225" s="174"/>
      <c r="M225" s="191">
        <v>643</v>
      </c>
      <c r="N225" s="176">
        <v>10.315</v>
      </c>
      <c r="O225" s="176">
        <v>10.315</v>
      </c>
      <c r="P225" s="176" t="s">
        <v>114</v>
      </c>
      <c r="Q225" s="178" t="s">
        <v>1210</v>
      </c>
      <c r="R225" s="179"/>
      <c r="S225" s="179"/>
      <c r="T225" s="177">
        <v>44956</v>
      </c>
      <c r="U225" s="177"/>
      <c r="V225" s="177">
        <v>44956</v>
      </c>
      <c r="W225" s="177"/>
      <c r="X225" s="177"/>
      <c r="Y225" s="177"/>
      <c r="Z225" s="177"/>
      <c r="AA225" s="177"/>
      <c r="AB225" s="177"/>
      <c r="AC225" s="177"/>
      <c r="AD225" s="180" t="s">
        <v>1593</v>
      </c>
      <c r="AE225" s="173" t="s">
        <v>69</v>
      </c>
      <c r="AF225" s="181" t="s">
        <v>142</v>
      </c>
      <c r="AG225" s="192" t="s">
        <v>1594</v>
      </c>
      <c r="AH225" s="198"/>
      <c r="AI225" s="181">
        <v>44849</v>
      </c>
      <c r="AJ225" s="181"/>
      <c r="AK225" s="181">
        <f t="shared" ca="1" si="23"/>
        <v>44958</v>
      </c>
      <c r="AL225" s="173">
        <f t="shared" ca="1" si="25"/>
        <v>109</v>
      </c>
      <c r="AM225" s="173" t="str">
        <f t="shared" si="26"/>
        <v/>
      </c>
      <c r="AN225" s="181"/>
      <c r="AO225" s="190" t="s">
        <v>1632</v>
      </c>
      <c r="AP225" s="176">
        <v>10.315</v>
      </c>
      <c r="AQ225" s="176">
        <v>10.324999999999999</v>
      </c>
      <c r="AR225" s="176">
        <v>10.349999999999998</v>
      </c>
      <c r="AS225" s="176">
        <v>10.354999999999999</v>
      </c>
      <c r="AT225" s="173">
        <f t="shared" ca="1" si="22"/>
        <v>2</v>
      </c>
      <c r="AU225" s="173">
        <v>456</v>
      </c>
      <c r="AW225" s="142" t="s">
        <v>123</v>
      </c>
      <c r="AX225" s="142" t="str">
        <f>LEFT(RIGHT(C225,LEN(C225)-MIN(SEARCH({0,1,2,3,4,5,6,7,8,9},C225&amp;"0123456789"))+1),2)</f>
        <v>30</v>
      </c>
      <c r="AY225" s="142">
        <v>2</v>
      </c>
      <c r="AZ225" s="142" t="str">
        <f>LEFT(RIGHT(C225,LEN(C225)-MIN(SEARCH({0,1,2,3,4,5,6,7,8,9},C225&amp;"0123456789"))+1),5)</f>
        <v>30.01</v>
      </c>
      <c r="BA225" s="142" t="str">
        <f t="shared" si="27"/>
        <v>MI</v>
      </c>
    </row>
    <row r="226" spans="2:54" s="142" customFormat="1" ht="21" customHeight="1" x14ac:dyDescent="0.25">
      <c r="B226" s="173" t="str">
        <f t="shared" si="24"/>
        <v>0-304L/FH-1.15X642</v>
      </c>
      <c r="C226" s="173" t="s">
        <v>4393</v>
      </c>
      <c r="D226" s="173" t="s">
        <v>16</v>
      </c>
      <c r="E226" s="190" t="s">
        <v>1738</v>
      </c>
      <c r="F226" s="190" t="s">
        <v>1739</v>
      </c>
      <c r="G226" s="173" t="s">
        <v>182</v>
      </c>
      <c r="H226" s="173" t="s">
        <v>70</v>
      </c>
      <c r="I226" s="174">
        <v>3.09</v>
      </c>
      <c r="J226" s="174">
        <v>1.1499999999999999</v>
      </c>
      <c r="K226" s="174"/>
      <c r="L226" s="174"/>
      <c r="M226" s="191">
        <v>642</v>
      </c>
      <c r="N226" s="176">
        <v>10.69</v>
      </c>
      <c r="O226" s="176">
        <v>10.69</v>
      </c>
      <c r="P226" s="176" t="s">
        <v>114</v>
      </c>
      <c r="Q226" s="178" t="s">
        <v>1210</v>
      </c>
      <c r="R226" s="179"/>
      <c r="S226" s="179"/>
      <c r="T226" s="177">
        <v>44955</v>
      </c>
      <c r="U226" s="177"/>
      <c r="V226" s="177">
        <v>44956</v>
      </c>
      <c r="W226" s="177"/>
      <c r="X226" s="177"/>
      <c r="Y226" s="177"/>
      <c r="Z226" s="177"/>
      <c r="AA226" s="177"/>
      <c r="AB226" s="177"/>
      <c r="AC226" s="177"/>
      <c r="AD226" s="180" t="s">
        <v>1643</v>
      </c>
      <c r="AE226" s="173" t="s">
        <v>69</v>
      </c>
      <c r="AF226" s="181" t="s">
        <v>142</v>
      </c>
      <c r="AG226" s="192" t="s">
        <v>1657</v>
      </c>
      <c r="AH226" s="198"/>
      <c r="AI226" s="181">
        <v>44849</v>
      </c>
      <c r="AJ226" s="181"/>
      <c r="AK226" s="181">
        <f t="shared" ca="1" si="23"/>
        <v>44958</v>
      </c>
      <c r="AL226" s="173">
        <f t="shared" ca="1" si="25"/>
        <v>109</v>
      </c>
      <c r="AM226" s="173" t="str">
        <f t="shared" si="26"/>
        <v/>
      </c>
      <c r="AN226" s="181"/>
      <c r="AO226" s="190" t="s">
        <v>1740</v>
      </c>
      <c r="AP226" s="176">
        <v>10.69</v>
      </c>
      <c r="AQ226" s="176">
        <v>10.7</v>
      </c>
      <c r="AR226" s="176">
        <v>10.724999999999998</v>
      </c>
      <c r="AS226" s="176">
        <v>10.729999999999999</v>
      </c>
      <c r="AT226" s="173">
        <f t="shared" ca="1" si="22"/>
        <v>2</v>
      </c>
      <c r="AU226" s="173">
        <v>456</v>
      </c>
      <c r="AW226" s="142" t="s">
        <v>123</v>
      </c>
      <c r="AX226" s="142" t="str">
        <f>LEFT(RIGHT(C226,LEN(C226)-MIN(SEARCH({0,1,2,3,4,5,6,7,8,9},C226&amp;"0123456789"))+1),2)</f>
        <v>30</v>
      </c>
      <c r="AY226" s="142">
        <v>3</v>
      </c>
      <c r="AZ226" s="142" t="str">
        <f>LEFT(RIGHT(C226,LEN(C226)-MIN(SEARCH({0,1,2,3,4,5,6,7,8,9},C226&amp;"0123456789"))+1),5)</f>
        <v>30.01</v>
      </c>
      <c r="BA226" s="142" t="str">
        <f t="shared" si="27"/>
        <v>MI</v>
      </c>
    </row>
    <row r="227" spans="2:54" s="142" customFormat="1" ht="21" customHeight="1" x14ac:dyDescent="0.25">
      <c r="B227" s="173" t="str">
        <f t="shared" si="24"/>
        <v>0-304L/FH-0.90X642</v>
      </c>
      <c r="C227" s="173" t="s">
        <v>4393</v>
      </c>
      <c r="D227" s="173" t="s">
        <v>16</v>
      </c>
      <c r="E227" s="190" t="s">
        <v>1626</v>
      </c>
      <c r="F227" s="190" t="s">
        <v>1627</v>
      </c>
      <c r="G227" s="173" t="s">
        <v>182</v>
      </c>
      <c r="H227" s="173" t="s">
        <v>70</v>
      </c>
      <c r="I227" s="174">
        <v>2.87</v>
      </c>
      <c r="J227" s="174">
        <v>0.9</v>
      </c>
      <c r="K227" s="174"/>
      <c r="L227" s="174"/>
      <c r="M227" s="191">
        <v>642</v>
      </c>
      <c r="N227" s="176">
        <v>10.75</v>
      </c>
      <c r="O227" s="176">
        <v>10.75</v>
      </c>
      <c r="P227" s="176" t="s">
        <v>114</v>
      </c>
      <c r="Q227" s="178" t="s">
        <v>1592</v>
      </c>
      <c r="R227" s="179"/>
      <c r="S227" s="179"/>
      <c r="T227" s="177">
        <v>44956</v>
      </c>
      <c r="U227" s="177"/>
      <c r="V227" s="177">
        <v>44956</v>
      </c>
      <c r="W227" s="177"/>
      <c r="X227" s="177"/>
      <c r="Y227" s="177"/>
      <c r="Z227" s="177"/>
      <c r="AA227" s="177"/>
      <c r="AB227" s="177"/>
      <c r="AC227" s="177"/>
      <c r="AD227" s="180" t="s">
        <v>1593</v>
      </c>
      <c r="AE227" s="173" t="s">
        <v>69</v>
      </c>
      <c r="AF227" s="181" t="s">
        <v>142</v>
      </c>
      <c r="AG227" s="192" t="s">
        <v>1594</v>
      </c>
      <c r="AH227" s="198"/>
      <c r="AI227" s="181">
        <v>44849</v>
      </c>
      <c r="AJ227" s="181"/>
      <c r="AK227" s="181">
        <f t="shared" ca="1" si="23"/>
        <v>44958</v>
      </c>
      <c r="AL227" s="173">
        <f t="shared" ca="1" si="25"/>
        <v>109</v>
      </c>
      <c r="AM227" s="173" t="str">
        <f t="shared" si="26"/>
        <v/>
      </c>
      <c r="AN227" s="181"/>
      <c r="AO227" s="190" t="s">
        <v>1628</v>
      </c>
      <c r="AP227" s="176">
        <v>10.75</v>
      </c>
      <c r="AQ227" s="176">
        <v>10.76</v>
      </c>
      <c r="AR227" s="176">
        <v>10.784999999999998</v>
      </c>
      <c r="AS227" s="176">
        <v>10.79</v>
      </c>
      <c r="AT227" s="173">
        <f t="shared" ca="1" si="22"/>
        <v>2</v>
      </c>
      <c r="AU227" s="173">
        <v>456</v>
      </c>
      <c r="AW227" s="142" t="s">
        <v>123</v>
      </c>
      <c r="AX227" s="142" t="str">
        <f>LEFT(RIGHT(C227,LEN(C227)-MIN(SEARCH({0,1,2,3,4,5,6,7,8,9},C227&amp;"0123456789"))+1),2)</f>
        <v>30</v>
      </c>
      <c r="AY227" s="142">
        <v>3</v>
      </c>
      <c r="AZ227" s="142" t="str">
        <f>LEFT(RIGHT(C227,LEN(C227)-MIN(SEARCH({0,1,2,3,4,5,6,7,8,9},C227&amp;"0123456789"))+1),5)</f>
        <v>30.01</v>
      </c>
      <c r="BA227" s="142" t="str">
        <f t="shared" si="27"/>
        <v>MI</v>
      </c>
    </row>
    <row r="228" spans="2:54" s="142" customFormat="1" ht="21" customHeight="1" x14ac:dyDescent="0.25">
      <c r="B228" s="173" t="str">
        <f t="shared" si="24"/>
        <v>0-304/FH-2.00X643</v>
      </c>
      <c r="C228" s="173" t="s">
        <v>4393</v>
      </c>
      <c r="D228" s="173" t="s">
        <v>16</v>
      </c>
      <c r="E228" s="190" t="s">
        <v>4312</v>
      </c>
      <c r="F228" s="190" t="s">
        <v>4313</v>
      </c>
      <c r="G228" s="173">
        <v>304</v>
      </c>
      <c r="H228" s="173" t="s">
        <v>70</v>
      </c>
      <c r="I228" s="174">
        <v>3.94</v>
      </c>
      <c r="J228" s="174">
        <v>2</v>
      </c>
      <c r="K228" s="174"/>
      <c r="L228" s="174"/>
      <c r="M228" s="191">
        <v>643</v>
      </c>
      <c r="N228" s="176">
        <v>10.765000000000001</v>
      </c>
      <c r="O228" s="176">
        <v>10.765000000000001</v>
      </c>
      <c r="P228" s="176" t="s">
        <v>114</v>
      </c>
      <c r="Q228" s="178" t="s">
        <v>1210</v>
      </c>
      <c r="R228" s="179"/>
      <c r="S228" s="179"/>
      <c r="T228" s="177">
        <v>44956</v>
      </c>
      <c r="U228" s="177"/>
      <c r="V228" s="177">
        <v>44956</v>
      </c>
      <c r="W228" s="177"/>
      <c r="X228" s="177"/>
      <c r="Y228" s="177"/>
      <c r="Z228" s="177"/>
      <c r="AA228" s="177"/>
      <c r="AB228" s="177"/>
      <c r="AC228" s="177"/>
      <c r="AD228" s="180" t="s">
        <v>1593</v>
      </c>
      <c r="AE228" s="173" t="s">
        <v>69</v>
      </c>
      <c r="AF228" s="181" t="s">
        <v>142</v>
      </c>
      <c r="AG228" s="192" t="s">
        <v>1657</v>
      </c>
      <c r="AH228" s="198"/>
      <c r="AI228" s="181">
        <v>44849</v>
      </c>
      <c r="AJ228" s="181"/>
      <c r="AK228" s="181">
        <f t="shared" ca="1" si="23"/>
        <v>44958</v>
      </c>
      <c r="AL228" s="173">
        <f t="shared" ca="1" si="25"/>
        <v>109</v>
      </c>
      <c r="AM228" s="173" t="str">
        <f t="shared" si="26"/>
        <v/>
      </c>
      <c r="AN228" s="181"/>
      <c r="AO228" s="190" t="s">
        <v>1781</v>
      </c>
      <c r="AP228" s="176">
        <v>10.765000000000001</v>
      </c>
      <c r="AQ228" s="176">
        <v>10.775</v>
      </c>
      <c r="AR228" s="176">
        <v>10.799999999999999</v>
      </c>
      <c r="AS228" s="176">
        <v>10.805</v>
      </c>
      <c r="AT228" s="173">
        <f t="shared" ca="1" si="22"/>
        <v>2</v>
      </c>
      <c r="AU228" s="173">
        <v>456</v>
      </c>
      <c r="AW228" s="142" t="s">
        <v>123</v>
      </c>
      <c r="AX228" s="142" t="str">
        <f>LEFT(RIGHT(C228,LEN(C228)-MIN(SEARCH({0,1,2,3,4,5,6,7,8,9},C228&amp;"0123456789"))+1),2)</f>
        <v>30</v>
      </c>
      <c r="AY228" s="142">
        <v>3</v>
      </c>
      <c r="AZ228" s="142" t="str">
        <f>LEFT(RIGHT(C228,LEN(C228)-MIN(SEARCH({0,1,2,3,4,5,6,7,8,9},C228&amp;"0123456789"))+1),5)</f>
        <v>30.01</v>
      </c>
      <c r="BA228" s="142" t="str">
        <f t="shared" si="27"/>
        <v>MI</v>
      </c>
    </row>
    <row r="229" spans="2:54" s="142" customFormat="1" ht="21" customHeight="1" x14ac:dyDescent="0.25">
      <c r="B229" s="173" t="str">
        <f t="shared" si="24"/>
        <v>0-304L/FH-1.45X637</v>
      </c>
      <c r="C229" s="173" t="s">
        <v>4394</v>
      </c>
      <c r="D229" s="173" t="s">
        <v>16</v>
      </c>
      <c r="E229" s="190" t="s">
        <v>1683</v>
      </c>
      <c r="F229" s="190" t="s">
        <v>1684</v>
      </c>
      <c r="G229" s="173" t="s">
        <v>182</v>
      </c>
      <c r="H229" s="173" t="s">
        <v>70</v>
      </c>
      <c r="I229" s="174">
        <v>3.9</v>
      </c>
      <c r="J229" s="174">
        <v>1.45</v>
      </c>
      <c r="K229" s="174"/>
      <c r="L229" s="174"/>
      <c r="M229" s="191">
        <v>637</v>
      </c>
      <c r="N229" s="176">
        <v>10.58</v>
      </c>
      <c r="O229" s="176">
        <v>10.58</v>
      </c>
      <c r="P229" s="176" t="s">
        <v>114</v>
      </c>
      <c r="Q229" s="178" t="s">
        <v>1592</v>
      </c>
      <c r="R229" s="179"/>
      <c r="S229" s="179"/>
      <c r="T229" s="177">
        <v>44956</v>
      </c>
      <c r="U229" s="177"/>
      <c r="V229" s="177">
        <v>44957</v>
      </c>
      <c r="W229" s="177"/>
      <c r="X229" s="177"/>
      <c r="Y229" s="177"/>
      <c r="Z229" s="177"/>
      <c r="AA229" s="177"/>
      <c r="AB229" s="177"/>
      <c r="AC229" s="177"/>
      <c r="AD229" s="180" t="s">
        <v>1593</v>
      </c>
      <c r="AE229" s="173" t="s">
        <v>69</v>
      </c>
      <c r="AF229" s="181" t="s">
        <v>142</v>
      </c>
      <c r="AG229" s="192" t="s">
        <v>1657</v>
      </c>
      <c r="AH229" s="198"/>
      <c r="AI229" s="181">
        <v>44849</v>
      </c>
      <c r="AJ229" s="181"/>
      <c r="AK229" s="181">
        <f t="shared" ca="1" si="23"/>
        <v>44958</v>
      </c>
      <c r="AL229" s="173">
        <f t="shared" ca="1" si="25"/>
        <v>109</v>
      </c>
      <c r="AM229" s="173" t="str">
        <f t="shared" si="26"/>
        <v/>
      </c>
      <c r="AN229" s="181"/>
      <c r="AO229" s="190" t="s">
        <v>1685</v>
      </c>
      <c r="AP229" s="176">
        <v>10.58</v>
      </c>
      <c r="AQ229" s="176">
        <v>10.59</v>
      </c>
      <c r="AR229" s="176">
        <v>10.614999999999998</v>
      </c>
      <c r="AS229" s="176">
        <v>10.62</v>
      </c>
      <c r="AT229" s="173" t="str">
        <f t="shared" ref="AT229:AT237" si="28">IF(ISNUMBER(U229)=TRUE,AK229-U229,IF(U229="","",(AK229)-(MID(RIGHT(U229,10),4,2)&amp;"/"&amp;LEFT((RIGHT(U229,10)),2)&amp;"/"&amp;RIGHT(U229,4))))</f>
        <v/>
      </c>
      <c r="AU229" s="173">
        <v>456</v>
      </c>
      <c r="AW229" s="142" t="s">
        <v>123</v>
      </c>
      <c r="AX229" s="142" t="str">
        <f>LEFT(RIGHT(C229,LEN(C229)-MIN(SEARCH({0,1,2,3,4,5,6,7,8,9},C229&amp;"0123456789"))+1),2)</f>
        <v>31</v>
      </c>
      <c r="AY229" s="142">
        <v>1</v>
      </c>
      <c r="AZ229" s="142" t="str">
        <f>LEFT(RIGHT(C229,LEN(C229)-MIN(SEARCH({0,1,2,3,4,5,6,7,8,9},C229&amp;"0123456789"))+1),5)</f>
        <v>31.01</v>
      </c>
      <c r="BA229" s="142" t="str">
        <f t="shared" si="27"/>
        <v>MI</v>
      </c>
    </row>
    <row r="230" spans="2:54" s="142" customFormat="1" ht="21" customHeight="1" x14ac:dyDescent="0.25">
      <c r="B230" s="173" t="str">
        <f t="shared" si="24"/>
        <v>0-304L/FH-1.45X642</v>
      </c>
      <c r="C230" s="173" t="s">
        <v>4394</v>
      </c>
      <c r="D230" s="173" t="s">
        <v>16</v>
      </c>
      <c r="E230" s="190" t="s">
        <v>1674</v>
      </c>
      <c r="F230" s="190" t="s">
        <v>1675</v>
      </c>
      <c r="G230" s="173" t="s">
        <v>182</v>
      </c>
      <c r="H230" s="173" t="s">
        <v>70</v>
      </c>
      <c r="I230" s="174">
        <v>3.79</v>
      </c>
      <c r="J230" s="174">
        <v>1.45</v>
      </c>
      <c r="K230" s="174"/>
      <c r="L230" s="174"/>
      <c r="M230" s="191">
        <v>642</v>
      </c>
      <c r="N230" s="176">
        <v>10.645</v>
      </c>
      <c r="O230" s="176">
        <v>10.645</v>
      </c>
      <c r="P230" s="176" t="s">
        <v>114</v>
      </c>
      <c r="Q230" s="178" t="s">
        <v>1592</v>
      </c>
      <c r="R230" s="179"/>
      <c r="S230" s="179"/>
      <c r="T230" s="177">
        <v>44956</v>
      </c>
      <c r="U230" s="177"/>
      <c r="V230" s="177">
        <v>44957</v>
      </c>
      <c r="W230" s="177"/>
      <c r="X230" s="177"/>
      <c r="Y230" s="177"/>
      <c r="Z230" s="177"/>
      <c r="AA230" s="177"/>
      <c r="AB230" s="177"/>
      <c r="AC230" s="177"/>
      <c r="AD230" s="180" t="s">
        <v>1593</v>
      </c>
      <c r="AE230" s="173" t="s">
        <v>69</v>
      </c>
      <c r="AF230" s="181" t="s">
        <v>142</v>
      </c>
      <c r="AG230" s="192" t="s">
        <v>1657</v>
      </c>
      <c r="AH230" s="198"/>
      <c r="AI230" s="181">
        <v>44849</v>
      </c>
      <c r="AJ230" s="181"/>
      <c r="AK230" s="181">
        <f t="shared" ca="1" si="23"/>
        <v>44958</v>
      </c>
      <c r="AL230" s="173">
        <f t="shared" ca="1" si="25"/>
        <v>109</v>
      </c>
      <c r="AM230" s="173" t="str">
        <f t="shared" si="26"/>
        <v/>
      </c>
      <c r="AN230" s="181"/>
      <c r="AO230" s="190" t="s">
        <v>1676</v>
      </c>
      <c r="AP230" s="176">
        <v>10.645</v>
      </c>
      <c r="AQ230" s="176">
        <v>10.654999999999999</v>
      </c>
      <c r="AR230" s="176">
        <v>10.679999999999998</v>
      </c>
      <c r="AS230" s="176">
        <v>10.684999999999999</v>
      </c>
      <c r="AT230" s="173" t="str">
        <f t="shared" si="28"/>
        <v/>
      </c>
      <c r="AU230" s="173">
        <v>456</v>
      </c>
      <c r="AW230" s="142" t="s">
        <v>123</v>
      </c>
      <c r="AX230" s="142" t="str">
        <f>LEFT(RIGHT(C230,LEN(C230)-MIN(SEARCH({0,1,2,3,4,5,6,7,8,9},C230&amp;"0123456789"))+1),2)</f>
        <v>31</v>
      </c>
      <c r="AY230" s="142">
        <v>1</v>
      </c>
      <c r="AZ230" s="142" t="str">
        <f>LEFT(RIGHT(C230,LEN(C230)-MIN(SEARCH({0,1,2,3,4,5,6,7,8,9},C230&amp;"0123456789"))+1),5)</f>
        <v>31.01</v>
      </c>
      <c r="BA230" s="142" t="str">
        <f t="shared" si="27"/>
        <v>MI</v>
      </c>
    </row>
    <row r="231" spans="2:54" s="142" customFormat="1" ht="21" customHeight="1" x14ac:dyDescent="0.25">
      <c r="B231" s="173" t="str">
        <f t="shared" si="24"/>
        <v>0-304L/FH-1.15X646</v>
      </c>
      <c r="C231" s="173" t="s">
        <v>4394</v>
      </c>
      <c r="D231" s="173" t="s">
        <v>16</v>
      </c>
      <c r="E231" s="190" t="s">
        <v>1748</v>
      </c>
      <c r="F231" s="190" t="s">
        <v>1749</v>
      </c>
      <c r="G231" s="173" t="s">
        <v>182</v>
      </c>
      <c r="H231" s="173" t="s">
        <v>70</v>
      </c>
      <c r="I231" s="174">
        <v>2.88</v>
      </c>
      <c r="J231" s="174">
        <v>1.1499999999999999</v>
      </c>
      <c r="K231" s="174"/>
      <c r="L231" s="174"/>
      <c r="M231" s="191">
        <v>646</v>
      </c>
      <c r="N231" s="176">
        <v>10.664999999999999</v>
      </c>
      <c r="O231" s="176">
        <v>10.664999999999999</v>
      </c>
      <c r="P231" s="176" t="s">
        <v>114</v>
      </c>
      <c r="Q231" s="178" t="s">
        <v>1592</v>
      </c>
      <c r="R231" s="179"/>
      <c r="S231" s="179"/>
      <c r="T231" s="177">
        <v>44957</v>
      </c>
      <c r="U231" s="177"/>
      <c r="V231" s="177">
        <v>44957</v>
      </c>
      <c r="W231" s="177"/>
      <c r="X231" s="177"/>
      <c r="Y231" s="177"/>
      <c r="Z231" s="177"/>
      <c r="AA231" s="177"/>
      <c r="AB231" s="177"/>
      <c r="AC231" s="177"/>
      <c r="AD231" s="180" t="s">
        <v>1593</v>
      </c>
      <c r="AE231" s="173" t="s">
        <v>69</v>
      </c>
      <c r="AF231" s="181" t="s">
        <v>142</v>
      </c>
      <c r="AG231" s="192" t="s">
        <v>1657</v>
      </c>
      <c r="AH231" s="198"/>
      <c r="AI231" s="181">
        <v>44849</v>
      </c>
      <c r="AJ231" s="181"/>
      <c r="AK231" s="181">
        <f t="shared" ca="1" si="23"/>
        <v>44958</v>
      </c>
      <c r="AL231" s="173">
        <f t="shared" ca="1" si="25"/>
        <v>109</v>
      </c>
      <c r="AM231" s="173" t="str">
        <f t="shared" si="26"/>
        <v/>
      </c>
      <c r="AN231" s="181"/>
      <c r="AO231" s="190" t="s">
        <v>1750</v>
      </c>
      <c r="AP231" s="176">
        <v>10.664999999999999</v>
      </c>
      <c r="AQ231" s="176">
        <v>10.675000000000001</v>
      </c>
      <c r="AR231" s="176">
        <v>10.7</v>
      </c>
      <c r="AS231" s="176">
        <v>10.705</v>
      </c>
      <c r="AT231" s="173" t="str">
        <f t="shared" si="28"/>
        <v/>
      </c>
      <c r="AU231" s="173">
        <v>456</v>
      </c>
      <c r="AW231" s="142" t="s">
        <v>123</v>
      </c>
      <c r="AX231" s="142" t="str">
        <f>LEFT(RIGHT(C231,LEN(C231)-MIN(SEARCH({0,1,2,3,4,5,6,7,8,9},C231&amp;"0123456789"))+1),2)</f>
        <v>31</v>
      </c>
      <c r="AY231" s="142">
        <v>1</v>
      </c>
      <c r="AZ231" s="142" t="str">
        <f>LEFT(RIGHT(C231,LEN(C231)-MIN(SEARCH({0,1,2,3,4,5,6,7,8,9},C231&amp;"0123456789"))+1),5)</f>
        <v>31.01</v>
      </c>
      <c r="BA231" s="142" t="str">
        <f t="shared" si="27"/>
        <v>MI</v>
      </c>
    </row>
    <row r="232" spans="2:54" s="142" customFormat="1" ht="21" customHeight="1" x14ac:dyDescent="0.25">
      <c r="B232" s="173" t="str">
        <f t="shared" si="24"/>
        <v>0-304L/FH-0.90X647</v>
      </c>
      <c r="C232" s="173" t="s">
        <v>4394</v>
      </c>
      <c r="D232" s="173" t="s">
        <v>16</v>
      </c>
      <c r="E232" s="190" t="s">
        <v>1629</v>
      </c>
      <c r="F232" s="190" t="s">
        <v>1630</v>
      </c>
      <c r="G232" s="173" t="s">
        <v>182</v>
      </c>
      <c r="H232" s="173" t="s">
        <v>70</v>
      </c>
      <c r="I232" s="174">
        <v>2.89</v>
      </c>
      <c r="J232" s="174">
        <v>0.9</v>
      </c>
      <c r="K232" s="174"/>
      <c r="L232" s="174"/>
      <c r="M232" s="191">
        <v>647</v>
      </c>
      <c r="N232" s="176">
        <v>10.33</v>
      </c>
      <c r="O232" s="176">
        <v>10.33</v>
      </c>
      <c r="P232" s="176" t="s">
        <v>114</v>
      </c>
      <c r="Q232" s="178" t="s">
        <v>1631</v>
      </c>
      <c r="R232" s="179"/>
      <c r="S232" s="179"/>
      <c r="T232" s="177">
        <v>44957</v>
      </c>
      <c r="U232" s="177"/>
      <c r="V232" s="177">
        <v>44957</v>
      </c>
      <c r="W232" s="177"/>
      <c r="X232" s="177"/>
      <c r="Y232" s="177"/>
      <c r="Z232" s="177"/>
      <c r="AA232" s="177"/>
      <c r="AB232" s="177"/>
      <c r="AC232" s="177"/>
      <c r="AD232" s="180" t="s">
        <v>1593</v>
      </c>
      <c r="AE232" s="173" t="s">
        <v>69</v>
      </c>
      <c r="AF232" s="181" t="s">
        <v>142</v>
      </c>
      <c r="AG232" s="192" t="s">
        <v>1594</v>
      </c>
      <c r="AH232" s="198"/>
      <c r="AI232" s="181">
        <v>44849</v>
      </c>
      <c r="AJ232" s="181"/>
      <c r="AK232" s="181">
        <f t="shared" ca="1" si="23"/>
        <v>44958</v>
      </c>
      <c r="AL232" s="173">
        <f t="shared" ca="1" si="25"/>
        <v>109</v>
      </c>
      <c r="AM232" s="173" t="str">
        <f t="shared" si="26"/>
        <v/>
      </c>
      <c r="AN232" s="181"/>
      <c r="AO232" s="190" t="s">
        <v>1632</v>
      </c>
      <c r="AP232" s="176">
        <v>10.33</v>
      </c>
      <c r="AQ232" s="176">
        <v>10.34</v>
      </c>
      <c r="AR232" s="176">
        <v>10.364999999999998</v>
      </c>
      <c r="AS232" s="176">
        <v>10.37</v>
      </c>
      <c r="AT232" s="173" t="str">
        <f t="shared" si="28"/>
        <v/>
      </c>
      <c r="AU232" s="173">
        <v>456</v>
      </c>
      <c r="AW232" s="142" t="s">
        <v>123</v>
      </c>
      <c r="AX232" s="142" t="str">
        <f>LEFT(RIGHT(C232,LEN(C232)-MIN(SEARCH({0,1,2,3,4,5,6,7,8,9},C232&amp;"0123456789"))+1),2)</f>
        <v>31</v>
      </c>
      <c r="AY232" s="142">
        <v>2</v>
      </c>
      <c r="AZ232" s="142" t="str">
        <f>LEFT(RIGHT(C232,LEN(C232)-MIN(SEARCH({0,1,2,3,4,5,6,7,8,9},C232&amp;"0123456789"))+1),5)</f>
        <v>31.01</v>
      </c>
      <c r="BA232" s="142" t="str">
        <f t="shared" si="27"/>
        <v>MI</v>
      </c>
    </row>
    <row r="233" spans="2:54" s="142" customFormat="1" ht="21" customHeight="1" x14ac:dyDescent="0.25">
      <c r="B233" s="173" t="str">
        <f t="shared" si="24"/>
        <v>0-304L/FH-1.15X643</v>
      </c>
      <c r="C233" s="173" t="s">
        <v>4394</v>
      </c>
      <c r="D233" s="173" t="s">
        <v>16</v>
      </c>
      <c r="E233" s="190" t="s">
        <v>1746</v>
      </c>
      <c r="F233" s="190" t="s">
        <v>1747</v>
      </c>
      <c r="G233" s="173" t="s">
        <v>182</v>
      </c>
      <c r="H233" s="173" t="s">
        <v>70</v>
      </c>
      <c r="I233" s="174">
        <v>2.95</v>
      </c>
      <c r="J233" s="174">
        <v>1.1499999999999999</v>
      </c>
      <c r="K233" s="174"/>
      <c r="L233" s="174"/>
      <c r="M233" s="191">
        <v>643</v>
      </c>
      <c r="N233" s="176">
        <v>10.025</v>
      </c>
      <c r="O233" s="176">
        <v>10.025</v>
      </c>
      <c r="P233" s="176" t="s">
        <v>114</v>
      </c>
      <c r="Q233" s="178" t="s">
        <v>1592</v>
      </c>
      <c r="R233" s="179"/>
      <c r="S233" s="179"/>
      <c r="T233" s="177">
        <v>44957</v>
      </c>
      <c r="U233" s="177"/>
      <c r="V233" s="177">
        <v>44957</v>
      </c>
      <c r="W233" s="177"/>
      <c r="X233" s="177"/>
      <c r="Y233" s="177"/>
      <c r="Z233" s="177"/>
      <c r="AA233" s="177"/>
      <c r="AB233" s="177"/>
      <c r="AC233" s="177"/>
      <c r="AD233" s="180" t="s">
        <v>1593</v>
      </c>
      <c r="AE233" s="173" t="s">
        <v>69</v>
      </c>
      <c r="AF233" s="181" t="s">
        <v>142</v>
      </c>
      <c r="AG233" s="192" t="s">
        <v>1657</v>
      </c>
      <c r="AH233" s="198"/>
      <c r="AI233" s="181">
        <v>44849</v>
      </c>
      <c r="AJ233" s="181"/>
      <c r="AK233" s="181">
        <f t="shared" ca="1" si="23"/>
        <v>44958</v>
      </c>
      <c r="AL233" s="173">
        <f t="shared" ca="1" si="25"/>
        <v>109</v>
      </c>
      <c r="AM233" s="173" t="str">
        <f t="shared" si="26"/>
        <v/>
      </c>
      <c r="AN233" s="181"/>
      <c r="AO233" s="190" t="s">
        <v>1745</v>
      </c>
      <c r="AP233" s="176">
        <v>10.025</v>
      </c>
      <c r="AQ233" s="176">
        <v>10.035</v>
      </c>
      <c r="AR233" s="176">
        <v>10.059999999999999</v>
      </c>
      <c r="AS233" s="176">
        <v>10.065</v>
      </c>
      <c r="AT233" s="173" t="str">
        <f t="shared" si="28"/>
        <v/>
      </c>
      <c r="AU233" s="173">
        <v>456</v>
      </c>
      <c r="AW233" s="142" t="s">
        <v>123</v>
      </c>
      <c r="AX233" s="142" t="str">
        <f>LEFT(RIGHT(C233,LEN(C233)-MIN(SEARCH({0,1,2,3,4,5,6,7,8,9},C233&amp;"0123456789"))+1),2)</f>
        <v>31</v>
      </c>
      <c r="AY233" s="142">
        <v>2</v>
      </c>
      <c r="AZ233" s="142" t="str">
        <f>LEFT(RIGHT(C233,LEN(C233)-MIN(SEARCH({0,1,2,3,4,5,6,7,8,9},C233&amp;"0123456789"))+1),5)</f>
        <v>31.01</v>
      </c>
      <c r="BA233" s="142" t="str">
        <f t="shared" si="27"/>
        <v>MI</v>
      </c>
    </row>
    <row r="234" spans="2:54" s="142" customFormat="1" ht="21" customHeight="1" x14ac:dyDescent="0.25">
      <c r="B234" s="173" t="str">
        <f t="shared" si="24"/>
        <v>0-304L/FH-1.15X643</v>
      </c>
      <c r="C234" s="173" t="s">
        <v>4394</v>
      </c>
      <c r="D234" s="173" t="s">
        <v>16</v>
      </c>
      <c r="E234" s="190" t="s">
        <v>1743</v>
      </c>
      <c r="F234" s="190" t="s">
        <v>1744</v>
      </c>
      <c r="G234" s="173" t="s">
        <v>182</v>
      </c>
      <c r="H234" s="173" t="s">
        <v>70</v>
      </c>
      <c r="I234" s="174">
        <v>2.95</v>
      </c>
      <c r="J234" s="174">
        <v>1.1499999999999999</v>
      </c>
      <c r="K234" s="174"/>
      <c r="L234" s="174"/>
      <c r="M234" s="191">
        <v>643</v>
      </c>
      <c r="N234" s="176">
        <v>10.025</v>
      </c>
      <c r="O234" s="176">
        <v>10.025</v>
      </c>
      <c r="P234" s="176" t="s">
        <v>114</v>
      </c>
      <c r="Q234" s="178" t="s">
        <v>1592</v>
      </c>
      <c r="R234" s="179"/>
      <c r="S234" s="179"/>
      <c r="T234" s="177">
        <v>44957</v>
      </c>
      <c r="U234" s="177"/>
      <c r="V234" s="177">
        <v>44957</v>
      </c>
      <c r="W234" s="177"/>
      <c r="X234" s="177"/>
      <c r="Y234" s="177"/>
      <c r="Z234" s="177"/>
      <c r="AA234" s="177"/>
      <c r="AB234" s="177"/>
      <c r="AC234" s="177"/>
      <c r="AD234" s="180" t="s">
        <v>1593</v>
      </c>
      <c r="AE234" s="173" t="s">
        <v>69</v>
      </c>
      <c r="AF234" s="181" t="s">
        <v>142</v>
      </c>
      <c r="AG234" s="192" t="s">
        <v>1657</v>
      </c>
      <c r="AH234" s="198"/>
      <c r="AI234" s="181">
        <v>44849</v>
      </c>
      <c r="AJ234" s="181"/>
      <c r="AK234" s="181">
        <f t="shared" ca="1" si="23"/>
        <v>44958</v>
      </c>
      <c r="AL234" s="173">
        <f t="shared" ca="1" si="25"/>
        <v>109</v>
      </c>
      <c r="AM234" s="173" t="str">
        <f t="shared" si="26"/>
        <v/>
      </c>
      <c r="AN234" s="181"/>
      <c r="AO234" s="190" t="s">
        <v>1745</v>
      </c>
      <c r="AP234" s="176">
        <v>10.025</v>
      </c>
      <c r="AQ234" s="176">
        <v>10.035</v>
      </c>
      <c r="AR234" s="176">
        <v>10.059999999999999</v>
      </c>
      <c r="AS234" s="176">
        <v>10.065</v>
      </c>
      <c r="AT234" s="173" t="str">
        <f t="shared" si="28"/>
        <v/>
      </c>
      <c r="AU234" s="173">
        <v>456</v>
      </c>
      <c r="AW234" s="142" t="s">
        <v>123</v>
      </c>
      <c r="AX234" s="142" t="str">
        <f>LEFT(RIGHT(C234,LEN(C234)-MIN(SEARCH({0,1,2,3,4,5,6,7,8,9},C234&amp;"0123456789"))+1),2)</f>
        <v>31</v>
      </c>
      <c r="AY234" s="142">
        <v>2</v>
      </c>
      <c r="AZ234" s="142" t="str">
        <f>LEFT(RIGHT(C234,LEN(C234)-MIN(SEARCH({0,1,2,3,4,5,6,7,8,9},C234&amp;"0123456789"))+1),5)</f>
        <v>31.01</v>
      </c>
      <c r="BA234" s="142" t="str">
        <f t="shared" si="27"/>
        <v>MI</v>
      </c>
    </row>
    <row r="235" spans="2:54" s="142" customFormat="1" ht="21" customHeight="1" x14ac:dyDescent="0.25">
      <c r="B235" s="173" t="str">
        <f t="shared" si="24"/>
        <v>0-304L/FH-1.15X646</v>
      </c>
      <c r="C235" s="173" t="s">
        <v>4394</v>
      </c>
      <c r="D235" s="173" t="s">
        <v>16</v>
      </c>
      <c r="E235" s="190" t="s">
        <v>1648</v>
      </c>
      <c r="F235" s="190" t="s">
        <v>1649</v>
      </c>
      <c r="G235" s="173" t="s">
        <v>182</v>
      </c>
      <c r="H235" s="173" t="s">
        <v>70</v>
      </c>
      <c r="I235" s="174">
        <v>2.89</v>
      </c>
      <c r="J235" s="174">
        <v>1.1499999999999999</v>
      </c>
      <c r="K235" s="174"/>
      <c r="L235" s="174"/>
      <c r="M235" s="191">
        <v>646</v>
      </c>
      <c r="N235" s="176">
        <v>10.275</v>
      </c>
      <c r="O235" s="176">
        <v>10.275</v>
      </c>
      <c r="P235" s="176" t="s">
        <v>114</v>
      </c>
      <c r="Q235" s="178" t="s">
        <v>1592</v>
      </c>
      <c r="R235" s="179"/>
      <c r="S235" s="179"/>
      <c r="T235" s="177">
        <v>44957</v>
      </c>
      <c r="U235" s="177"/>
      <c r="V235" s="177">
        <v>44957</v>
      </c>
      <c r="W235" s="177"/>
      <c r="X235" s="177"/>
      <c r="Y235" s="177"/>
      <c r="Z235" s="177"/>
      <c r="AA235" s="177"/>
      <c r="AB235" s="177"/>
      <c r="AC235" s="177"/>
      <c r="AD235" s="180" t="s">
        <v>1593</v>
      </c>
      <c r="AE235" s="173" t="s">
        <v>69</v>
      </c>
      <c r="AF235" s="181" t="s">
        <v>142</v>
      </c>
      <c r="AG235" s="192" t="s">
        <v>1594</v>
      </c>
      <c r="AH235" s="198"/>
      <c r="AI235" s="181">
        <v>44849</v>
      </c>
      <c r="AJ235" s="181"/>
      <c r="AK235" s="181">
        <f t="shared" ca="1" si="23"/>
        <v>44958</v>
      </c>
      <c r="AL235" s="173">
        <f t="shared" ca="1" si="25"/>
        <v>109</v>
      </c>
      <c r="AM235" s="173" t="str">
        <f t="shared" si="26"/>
        <v/>
      </c>
      <c r="AN235" s="181"/>
      <c r="AO235" s="190" t="s">
        <v>1647</v>
      </c>
      <c r="AP235" s="176">
        <v>10.275</v>
      </c>
      <c r="AQ235" s="176">
        <v>10.285</v>
      </c>
      <c r="AR235" s="176">
        <v>10.309999999999999</v>
      </c>
      <c r="AS235" s="176">
        <v>10.315</v>
      </c>
      <c r="AT235" s="173" t="str">
        <f t="shared" si="28"/>
        <v/>
      </c>
      <c r="AU235" s="173">
        <v>456</v>
      </c>
      <c r="AW235" s="142" t="s">
        <v>123</v>
      </c>
      <c r="AX235" s="142" t="str">
        <f>LEFT(RIGHT(C235,LEN(C235)-MIN(SEARCH({0,1,2,3,4,5,6,7,8,9},C235&amp;"0123456789"))+1),2)</f>
        <v>31</v>
      </c>
      <c r="AY235" s="142">
        <v>3</v>
      </c>
      <c r="AZ235" s="142" t="str">
        <f>LEFT(RIGHT(C235,LEN(C235)-MIN(SEARCH({0,1,2,3,4,5,6,7,8,9},C235&amp;"0123456789"))+1),5)</f>
        <v>31.01</v>
      </c>
      <c r="BA235" s="142" t="str">
        <f t="shared" si="27"/>
        <v>MI</v>
      </c>
    </row>
    <row r="236" spans="2:54" s="142" customFormat="1" ht="21" customHeight="1" x14ac:dyDescent="0.25">
      <c r="B236" s="173" t="str">
        <f t="shared" si="24"/>
        <v>0-304L/FH-1.15X643</v>
      </c>
      <c r="C236" s="173" t="s">
        <v>4394</v>
      </c>
      <c r="D236" s="173" t="s">
        <v>16</v>
      </c>
      <c r="E236" s="190" t="s">
        <v>1751</v>
      </c>
      <c r="F236" s="190" t="s">
        <v>1752</v>
      </c>
      <c r="G236" s="173" t="s">
        <v>182</v>
      </c>
      <c r="H236" s="173" t="s">
        <v>70</v>
      </c>
      <c r="I236" s="174">
        <v>2.88</v>
      </c>
      <c r="J236" s="174">
        <v>1.1499999999999999</v>
      </c>
      <c r="K236" s="174"/>
      <c r="L236" s="174"/>
      <c r="M236" s="191">
        <v>643</v>
      </c>
      <c r="N236" s="176">
        <v>10.595000000000001</v>
      </c>
      <c r="O236" s="176">
        <v>10.595000000000001</v>
      </c>
      <c r="P236" s="176" t="s">
        <v>114</v>
      </c>
      <c r="Q236" s="178" t="s">
        <v>1592</v>
      </c>
      <c r="R236" s="179"/>
      <c r="S236" s="179"/>
      <c r="T236" s="177">
        <v>44957</v>
      </c>
      <c r="U236" s="177"/>
      <c r="V236" s="177">
        <v>44957</v>
      </c>
      <c r="W236" s="177"/>
      <c r="X236" s="177"/>
      <c r="Y236" s="177"/>
      <c r="Z236" s="177"/>
      <c r="AA236" s="177"/>
      <c r="AB236" s="177"/>
      <c r="AC236" s="177"/>
      <c r="AD236" s="180" t="s">
        <v>1593</v>
      </c>
      <c r="AE236" s="173" t="s">
        <v>69</v>
      </c>
      <c r="AF236" s="181" t="s">
        <v>142</v>
      </c>
      <c r="AG236" s="192" t="s">
        <v>1657</v>
      </c>
      <c r="AH236" s="198"/>
      <c r="AI236" s="181">
        <v>44849</v>
      </c>
      <c r="AJ236" s="181"/>
      <c r="AK236" s="181">
        <f t="shared" ca="1" si="23"/>
        <v>44958</v>
      </c>
      <c r="AL236" s="173">
        <f t="shared" ca="1" si="25"/>
        <v>109</v>
      </c>
      <c r="AM236" s="173" t="str">
        <f t="shared" si="26"/>
        <v/>
      </c>
      <c r="AN236" s="181"/>
      <c r="AO236" s="190" t="s">
        <v>1750</v>
      </c>
      <c r="AP236" s="176">
        <v>10.595000000000001</v>
      </c>
      <c r="AQ236" s="176">
        <v>10.605</v>
      </c>
      <c r="AR236" s="176">
        <v>10.629999999999999</v>
      </c>
      <c r="AS236" s="176">
        <v>10.635</v>
      </c>
      <c r="AT236" s="173" t="str">
        <f t="shared" si="28"/>
        <v/>
      </c>
      <c r="AU236" s="173">
        <v>456</v>
      </c>
      <c r="AW236" s="142" t="s">
        <v>123</v>
      </c>
      <c r="AX236" s="142" t="str">
        <f>LEFT(RIGHT(C236,LEN(C236)-MIN(SEARCH({0,1,2,3,4,5,6,7,8,9},C236&amp;"0123456789"))+1),2)</f>
        <v>31</v>
      </c>
      <c r="AY236" s="142">
        <v>3</v>
      </c>
      <c r="AZ236" s="142" t="str">
        <f>LEFT(RIGHT(C236,LEN(C236)-MIN(SEARCH({0,1,2,3,4,5,6,7,8,9},C236&amp;"0123456789"))+1),5)</f>
        <v>31.01</v>
      </c>
      <c r="BA236" s="142" t="str">
        <f t="shared" si="27"/>
        <v>MI</v>
      </c>
    </row>
    <row r="237" spans="2:54" s="142" customFormat="1" ht="21" customHeight="1" x14ac:dyDescent="0.25">
      <c r="B237" s="173" t="str">
        <f t="shared" si="24"/>
        <v>0-304L/FH-1.15X647</v>
      </c>
      <c r="C237" s="173" t="s">
        <v>4394</v>
      </c>
      <c r="D237" s="173" t="s">
        <v>16</v>
      </c>
      <c r="E237" s="190" t="s">
        <v>1764</v>
      </c>
      <c r="F237" s="190" t="s">
        <v>1765</v>
      </c>
      <c r="G237" s="173" t="s">
        <v>182</v>
      </c>
      <c r="H237" s="173" t="s">
        <v>70</v>
      </c>
      <c r="I237" s="174">
        <v>2.9</v>
      </c>
      <c r="J237" s="174">
        <v>1.1499999999999999</v>
      </c>
      <c r="K237" s="174"/>
      <c r="L237" s="174"/>
      <c r="M237" s="191">
        <v>647</v>
      </c>
      <c r="N237" s="176">
        <v>10.25</v>
      </c>
      <c r="O237" s="176">
        <v>10.25</v>
      </c>
      <c r="P237" s="176" t="s">
        <v>114</v>
      </c>
      <c r="Q237" s="178" t="s">
        <v>1592</v>
      </c>
      <c r="R237" s="179"/>
      <c r="S237" s="179"/>
      <c r="T237" s="177">
        <v>44957</v>
      </c>
      <c r="U237" s="177"/>
      <c r="V237" s="177">
        <v>44957</v>
      </c>
      <c r="W237" s="177"/>
      <c r="X237" s="177"/>
      <c r="Y237" s="177"/>
      <c r="Z237" s="177"/>
      <c r="AA237" s="177"/>
      <c r="AB237" s="177"/>
      <c r="AC237" s="177"/>
      <c r="AD237" s="180" t="s">
        <v>1593</v>
      </c>
      <c r="AE237" s="173" t="s">
        <v>69</v>
      </c>
      <c r="AF237" s="181" t="s">
        <v>142</v>
      </c>
      <c r="AG237" s="192" t="s">
        <v>1657</v>
      </c>
      <c r="AH237" s="198"/>
      <c r="AI237" s="181">
        <v>44849</v>
      </c>
      <c r="AJ237" s="181"/>
      <c r="AK237" s="181">
        <f t="shared" ca="1" si="23"/>
        <v>44958</v>
      </c>
      <c r="AL237" s="173">
        <f t="shared" ca="1" si="25"/>
        <v>109</v>
      </c>
      <c r="AM237" s="173" t="str">
        <f t="shared" si="26"/>
        <v/>
      </c>
      <c r="AN237" s="181"/>
      <c r="AO237" s="190" t="s">
        <v>1766</v>
      </c>
      <c r="AP237" s="176">
        <v>10.25</v>
      </c>
      <c r="AQ237" s="176">
        <v>10.26</v>
      </c>
      <c r="AR237" s="176">
        <v>10.284999999999998</v>
      </c>
      <c r="AS237" s="176">
        <v>10.29</v>
      </c>
      <c r="AT237" s="173" t="str">
        <f t="shared" si="28"/>
        <v/>
      </c>
      <c r="AU237" s="173">
        <v>456</v>
      </c>
      <c r="AW237" s="142" t="s">
        <v>123</v>
      </c>
      <c r="AX237" s="142" t="str">
        <f>LEFT(RIGHT(C237,LEN(C237)-MIN(SEARCH({0,1,2,3,4,5,6,7,8,9},C237&amp;"0123456789"))+1),2)</f>
        <v>31</v>
      </c>
      <c r="AY237" s="142">
        <v>3</v>
      </c>
      <c r="AZ237" s="142" t="str">
        <f>LEFT(RIGHT(C237,LEN(C237)-MIN(SEARCH({0,1,2,3,4,5,6,7,8,9},C237&amp;"0123456789"))+1),5)</f>
        <v>31.01</v>
      </c>
      <c r="BA237" s="142" t="str">
        <f t="shared" si="27"/>
        <v>MI</v>
      </c>
    </row>
    <row r="238" spans="2:54" s="142" customFormat="1" ht="21" customHeight="1" x14ac:dyDescent="0.25">
      <c r="E238" s="196"/>
      <c r="F238" s="196"/>
      <c r="I238" s="187"/>
      <c r="J238" s="187"/>
      <c r="K238" s="187"/>
      <c r="L238" s="187"/>
      <c r="M238" s="213"/>
      <c r="N238" s="149"/>
      <c r="O238" s="149"/>
      <c r="P238" s="149"/>
      <c r="Q238" s="214"/>
      <c r="R238" s="215"/>
      <c r="S238" s="215"/>
      <c r="T238" s="216"/>
      <c r="U238" s="216"/>
      <c r="V238" s="216"/>
      <c r="W238" s="216"/>
      <c r="X238" s="216"/>
      <c r="Y238" s="216"/>
      <c r="Z238" s="216"/>
      <c r="AA238" s="216"/>
      <c r="AB238" s="216"/>
      <c r="AC238" s="216"/>
      <c r="AD238" s="217"/>
      <c r="AF238" s="218"/>
      <c r="AG238" s="218"/>
      <c r="AH238" s="218"/>
      <c r="AI238" s="218"/>
      <c r="AJ238" s="218"/>
      <c r="AK238" s="218"/>
      <c r="AN238" s="218"/>
      <c r="AO238" s="196"/>
      <c r="AP238" s="149"/>
      <c r="AQ238" s="149"/>
      <c r="AR238" s="149"/>
      <c r="AS238" s="149"/>
      <c r="BB238" s="187"/>
    </row>
    <row r="239" spans="2:54" s="361" customFormat="1" x14ac:dyDescent="0.25">
      <c r="I239" s="362"/>
      <c r="J239" s="362"/>
      <c r="K239" s="363"/>
      <c r="L239" s="363"/>
      <c r="M239" s="364"/>
      <c r="N239" s="362"/>
      <c r="O239" s="362"/>
      <c r="P239" s="362"/>
      <c r="Q239" s="362"/>
      <c r="AZ239" s="142" t="str">
        <f>LEFT(RIGHT(C239,LEN(C239)-MIN(SEARCH({0,1,2,3,4,5,6,7,8,9},C239&amp;"0123456789"))+1),5)</f>
        <v/>
      </c>
    </row>
    <row r="240" spans="2:54" s="361" customFormat="1" x14ac:dyDescent="0.25">
      <c r="E240" s="365" t="s">
        <v>3774</v>
      </c>
      <c r="I240" s="362"/>
      <c r="J240" s="362"/>
      <c r="K240" s="363"/>
      <c r="L240" s="363"/>
      <c r="M240" s="364"/>
      <c r="N240" s="354">
        <f>SUBTOTAL(9,N4:N239)</f>
        <v>2493.61</v>
      </c>
      <c r="O240" s="354">
        <f>SUBTOTAL(9,O4:O239)</f>
        <v>2493.61</v>
      </c>
      <c r="P240" s="362"/>
      <c r="Q240" s="362"/>
      <c r="AZ240" s="142" t="str">
        <f>LEFT(RIGHT(C240,LEN(C240)-MIN(SEARCH({0,1,2,3,4,5,6,7,8,9},C240&amp;"0123456789"))+1),5)</f>
        <v/>
      </c>
    </row>
    <row r="241" spans="9:52" s="361" customFormat="1" x14ac:dyDescent="0.25">
      <c r="I241" s="362"/>
      <c r="J241" s="362"/>
      <c r="K241" s="363"/>
      <c r="L241" s="363"/>
      <c r="M241" s="364"/>
      <c r="N241" s="362"/>
      <c r="O241" s="362"/>
      <c r="P241" s="362"/>
      <c r="Q241" s="362"/>
      <c r="AZ241" s="142" t="str">
        <f>LEFT(RIGHT(C241,LEN(C241)-MIN(SEARCH({0,1,2,3,4,5,6,7,8,9},C241&amp;"0123456789"))+1),5)</f>
        <v/>
      </c>
    </row>
    <row r="242" spans="9:52" x14ac:dyDescent="0.25">
      <c r="AZ242" s="142" t="str">
        <f>LEFT(RIGHT(C242,LEN(C242)-MIN(SEARCH({0,1,2,3,4,5,6,7,8,9},C242&amp;"0123456789"))+1),5)</f>
        <v/>
      </c>
    </row>
    <row r="243" spans="9:52" x14ac:dyDescent="0.25">
      <c r="AZ243" s="142" t="str">
        <f>LEFT(RIGHT(C243,LEN(C243)-MIN(SEARCH({0,1,2,3,4,5,6,7,8,9},C243&amp;"0123456789"))+1),5)</f>
        <v/>
      </c>
    </row>
    <row r="244" spans="9:52" x14ac:dyDescent="0.25">
      <c r="N244" s="353"/>
      <c r="O244" s="353"/>
      <c r="P244" s="353"/>
      <c r="AZ244" s="142" t="str">
        <f>LEFT(RIGHT(C244,LEN(C244)-MIN(SEARCH({0,1,2,3,4,5,6,7,8,9},C244&amp;"0123456789"))+1),5)</f>
        <v/>
      </c>
    </row>
    <row r="245" spans="9:52" x14ac:dyDescent="0.25">
      <c r="N245" s="353"/>
      <c r="O245" s="353"/>
      <c r="P245" s="353"/>
      <c r="AZ245" s="142" t="str">
        <f>LEFT(RIGHT(C245,LEN(C245)-MIN(SEARCH({0,1,2,3,4,5,6,7,8,9},C245&amp;"0123456789"))+1),5)</f>
        <v/>
      </c>
    </row>
    <row r="246" spans="9:52" x14ac:dyDescent="0.25">
      <c r="N246" s="353"/>
      <c r="O246" s="353"/>
      <c r="AZ246" s="142" t="str">
        <f>LEFT(RIGHT(C246,LEN(C246)-MIN(SEARCH({0,1,2,3,4,5,6,7,8,9},C246&amp;"0123456789"))+1),5)</f>
        <v/>
      </c>
    </row>
    <row r="247" spans="9:52" x14ac:dyDescent="0.25">
      <c r="N247" s="353"/>
      <c r="P247" s="353"/>
    </row>
    <row r="248" spans="9:52" x14ac:dyDescent="0.25">
      <c r="O248" s="353"/>
    </row>
    <row r="253" spans="9:52" x14ac:dyDescent="0.25">
      <c r="M253" s="352"/>
    </row>
    <row r="254" spans="9:52" x14ac:dyDescent="0.25">
      <c r="M254" s="352"/>
    </row>
    <row r="255" spans="9:52" x14ac:dyDescent="0.25">
      <c r="M255" s="352"/>
    </row>
    <row r="256" spans="9:52" x14ac:dyDescent="0.25">
      <c r="M256" s="352"/>
    </row>
    <row r="258" spans="17:17" x14ac:dyDescent="0.25">
      <c r="Q258" s="352"/>
    </row>
    <row r="320" spans="15:15" s="336" customFormat="1" x14ac:dyDescent="0.25">
      <c r="O320" s="351"/>
    </row>
    <row r="329" s="336" customFormat="1" x14ac:dyDescent="0.25"/>
  </sheetData>
  <autoFilter ref="A3:AL100" xr:uid="{00000000-0009-0000-0000-000001000000}"/>
  <pageMargins left="0.7" right="0.7" top="0.75" bottom="0.75" header="0.3" footer="0.3"/>
  <pageSetup scale="7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C7E49-F460-49D2-91C3-CA2CEA4D3B4D}">
  <dimension ref="A1:BB157"/>
  <sheetViews>
    <sheetView zoomScale="70" zoomScaleNormal="70" workbookViewId="0">
      <pane ySplit="3" topLeftCell="A52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2" width="5.28515625" style="336" customWidth="1"/>
    <col min="3" max="3" width="22.85546875" style="336" customWidth="1"/>
    <col min="4" max="4" width="16.28515625" style="336" customWidth="1"/>
    <col min="5" max="5" width="22" style="336" customWidth="1"/>
    <col min="6" max="6" width="17.28515625" style="336" customWidth="1"/>
    <col min="7" max="7" width="9.7109375" style="336" customWidth="1"/>
    <col min="8" max="8" width="9.140625" style="336" customWidth="1"/>
    <col min="9" max="10" width="12.42578125" style="351" customWidth="1"/>
    <col min="11" max="12" width="9.7109375" style="352" customWidth="1"/>
    <col min="13" max="13" width="11.140625" style="353" customWidth="1"/>
    <col min="14" max="14" width="14.42578125" style="351" customWidth="1"/>
    <col min="15" max="15" width="14.85546875" style="351" customWidth="1"/>
    <col min="16" max="16" width="12.42578125" style="351" customWidth="1"/>
    <col min="17" max="17" width="42.7109375" style="351" customWidth="1"/>
    <col min="18" max="18" width="9.140625" style="336" customWidth="1"/>
    <col min="19" max="23" width="11.5703125" style="336" customWidth="1"/>
    <col min="24" max="25" width="14" style="336" customWidth="1"/>
    <col min="26" max="28" width="13.42578125" style="336" customWidth="1"/>
    <col min="29" max="29" width="14.140625" style="336" customWidth="1"/>
    <col min="30" max="31" width="9.140625" style="336" customWidth="1"/>
    <col min="32" max="32" width="26.85546875" style="336" customWidth="1"/>
    <col min="33" max="33" width="17.42578125" style="336" customWidth="1"/>
    <col min="34" max="35" width="14.140625" style="336" customWidth="1"/>
    <col min="36" max="36" width="15" style="336" customWidth="1"/>
    <col min="37" max="37" width="12.5703125" style="336" customWidth="1"/>
    <col min="38" max="41" width="9.140625" style="336" customWidth="1"/>
    <col min="42" max="42" width="13.42578125" style="336" customWidth="1"/>
    <col min="43" max="44" width="11.28515625" style="336" customWidth="1"/>
    <col min="45" max="45" width="11.140625" style="336" customWidth="1"/>
    <col min="46" max="65" width="9.140625" style="336" customWidth="1"/>
    <col min="66" max="16384" width="9.140625" style="336"/>
  </cols>
  <sheetData>
    <row r="1" spans="1:53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S1" s="334"/>
      <c r="T1" s="334"/>
    </row>
    <row r="3" spans="1:53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3796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38"/>
      <c r="P3" s="338"/>
      <c r="Q3" s="338" t="s">
        <v>88</v>
      </c>
      <c r="R3" s="338"/>
      <c r="S3" s="338" t="s">
        <v>90</v>
      </c>
      <c r="T3" s="342" t="s">
        <v>3801</v>
      </c>
      <c r="U3" s="343" t="s">
        <v>3802</v>
      </c>
      <c r="V3" s="161" t="s">
        <v>3803</v>
      </c>
      <c r="W3" s="162" t="s">
        <v>3804</v>
      </c>
      <c r="X3" s="344" t="s">
        <v>3805</v>
      </c>
      <c r="Y3" s="164" t="s">
        <v>3806</v>
      </c>
      <c r="Z3" s="345" t="s">
        <v>3807</v>
      </c>
      <c r="AA3" s="346" t="s">
        <v>3808</v>
      </c>
      <c r="AB3" s="167" t="s">
        <v>3809</v>
      </c>
      <c r="AC3" s="343" t="s">
        <v>3810</v>
      </c>
      <c r="AD3" s="338" t="s">
        <v>91</v>
      </c>
      <c r="AE3" s="338" t="s">
        <v>4350</v>
      </c>
      <c r="AF3" s="337" t="s">
        <v>93</v>
      </c>
      <c r="AG3" s="337" t="s">
        <v>94</v>
      </c>
      <c r="AH3" s="347" t="s">
        <v>95</v>
      </c>
      <c r="AI3" s="347" t="s">
        <v>96</v>
      </c>
      <c r="AJ3" s="347" t="s">
        <v>3811</v>
      </c>
      <c r="AK3" s="347" t="s">
        <v>3812</v>
      </c>
      <c r="AL3" s="347" t="s">
        <v>3813</v>
      </c>
      <c r="AM3" s="347" t="s">
        <v>98</v>
      </c>
      <c r="AN3" s="337" t="s">
        <v>100</v>
      </c>
      <c r="AO3" s="337" t="s">
        <v>101</v>
      </c>
      <c r="AP3" s="348" t="s">
        <v>3814</v>
      </c>
      <c r="AQ3" s="348" t="s">
        <v>3815</v>
      </c>
      <c r="AR3" s="348" t="s">
        <v>4351</v>
      </c>
      <c r="AS3" s="348" t="s">
        <v>3817</v>
      </c>
      <c r="AY3" s="359" t="s">
        <v>4352</v>
      </c>
      <c r="AZ3" s="359" t="s">
        <v>4353</v>
      </c>
      <c r="BA3" s="153" t="s">
        <v>5</v>
      </c>
    </row>
    <row r="4" spans="1:53" s="142" customFormat="1" ht="21" customHeight="1" x14ac:dyDescent="0.25">
      <c r="B4" s="173" t="str">
        <f t="shared" ref="B4:B62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0-304L/FH-1.00X644</v>
      </c>
      <c r="C4" s="173" t="s">
        <v>4395</v>
      </c>
      <c r="D4" s="173" t="s">
        <v>16</v>
      </c>
      <c r="E4" s="190" t="s">
        <v>3918</v>
      </c>
      <c r="F4" s="190" t="s">
        <v>3919</v>
      </c>
      <c r="G4" s="173" t="s">
        <v>182</v>
      </c>
      <c r="H4" s="173" t="s">
        <v>70</v>
      </c>
      <c r="I4" s="174">
        <v>2.81</v>
      </c>
      <c r="J4" s="174">
        <v>1</v>
      </c>
      <c r="K4" s="174"/>
      <c r="L4" s="174"/>
      <c r="M4" s="191">
        <v>644</v>
      </c>
      <c r="N4" s="176">
        <v>10.654999999999999</v>
      </c>
      <c r="O4" s="176">
        <v>10.654999999999999</v>
      </c>
      <c r="P4" s="176" t="s">
        <v>114</v>
      </c>
      <c r="Q4" s="178" t="s">
        <v>4326</v>
      </c>
      <c r="R4" s="179"/>
      <c r="S4" s="179"/>
      <c r="T4" s="177">
        <v>44931</v>
      </c>
      <c r="U4" s="177"/>
      <c r="V4" s="177"/>
      <c r="W4" s="177">
        <v>44932</v>
      </c>
      <c r="X4" s="177"/>
      <c r="Y4" s="177"/>
      <c r="Z4" s="177"/>
      <c r="AA4" s="177"/>
      <c r="AB4" s="177"/>
      <c r="AC4" s="177"/>
      <c r="AD4" s="180" t="s">
        <v>2479</v>
      </c>
      <c r="AE4" s="173" t="s">
        <v>69</v>
      </c>
      <c r="AF4" s="181" t="s">
        <v>142</v>
      </c>
      <c r="AG4" s="192" t="s">
        <v>1653</v>
      </c>
      <c r="AH4" s="198"/>
      <c r="AI4" s="181">
        <v>44880</v>
      </c>
      <c r="AJ4" s="181"/>
      <c r="AK4" s="181">
        <f t="shared" ref="AK4:AK62" ca="1" si="1">TODAY()</f>
        <v>44958</v>
      </c>
      <c r="AL4" s="173">
        <f t="shared" ref="AL4:AL62" ca="1" si="2">IF(AI4&lt;&gt;0,AK4-AI4,0)</f>
        <v>78</v>
      </c>
      <c r="AM4" s="173" t="str">
        <f t="shared" ref="AM4:AM62" si="3">IF(ISNUMBER(X4)=TRUE,AK4-X4,IF(X4="","",(AK4)-(MID(RIGHT(X4,10),4,2)&amp;"/"&amp;LEFT((RIGHT(X4,10)),2)&amp;"/"&amp;RIGHT(X4,4))))</f>
        <v/>
      </c>
      <c r="AN4" s="181"/>
      <c r="AO4" s="190" t="s">
        <v>1939</v>
      </c>
      <c r="AP4" s="176">
        <v>10.654999999999999</v>
      </c>
      <c r="AQ4" s="176">
        <v>10.664999999999999</v>
      </c>
      <c r="AR4" s="176">
        <v>10.689999999999998</v>
      </c>
      <c r="AS4" s="176">
        <v>10.694999999999999</v>
      </c>
      <c r="AT4" s="173" t="str">
        <f t="shared" ref="AT4:AT58" si="4">IF(ISNUMBER(V4)=TRUE,AK4-V4,IF(V4="","",(AK4)-(MID(RIGHT(V4,10),4,2)&amp;"/"&amp;LEFT((RIGHT(V4,10)),2)&amp;"/"&amp;RIGHT(V4,4))))</f>
        <v/>
      </c>
      <c r="AU4" s="173">
        <v>459</v>
      </c>
      <c r="AW4" s="142" t="s">
        <v>123</v>
      </c>
    </row>
    <row r="5" spans="1:53" s="142" customFormat="1" ht="21" customHeight="1" x14ac:dyDescent="0.25">
      <c r="B5" s="173" t="str">
        <f t="shared" si="0"/>
        <v>0-304L/FH-1.10X644</v>
      </c>
      <c r="C5" s="173" t="s">
        <v>4396</v>
      </c>
      <c r="D5" s="173" t="s">
        <v>16</v>
      </c>
      <c r="E5" s="190" t="s">
        <v>1686</v>
      </c>
      <c r="F5" s="190" t="s">
        <v>1687</v>
      </c>
      <c r="G5" s="173" t="s">
        <v>182</v>
      </c>
      <c r="H5" s="173" t="s">
        <v>70</v>
      </c>
      <c r="I5" s="174">
        <v>2.79</v>
      </c>
      <c r="J5" s="174">
        <v>1.1000000000000001</v>
      </c>
      <c r="K5" s="174"/>
      <c r="L5" s="174"/>
      <c r="M5" s="191">
        <v>644</v>
      </c>
      <c r="N5" s="349">
        <v>10.725</v>
      </c>
      <c r="O5" s="176">
        <v>1.44</v>
      </c>
      <c r="P5" s="176" t="s">
        <v>114</v>
      </c>
      <c r="Q5" s="178" t="s">
        <v>115</v>
      </c>
      <c r="R5" s="179"/>
      <c r="S5" s="179"/>
      <c r="T5" s="177">
        <v>44933</v>
      </c>
      <c r="U5" s="177"/>
      <c r="V5" s="177"/>
      <c r="W5" s="177">
        <v>44935</v>
      </c>
      <c r="X5" s="177"/>
      <c r="Y5" s="177"/>
      <c r="Z5" s="177"/>
      <c r="AA5" s="177"/>
      <c r="AB5" s="177"/>
      <c r="AC5" s="177"/>
      <c r="AD5" s="180" t="s">
        <v>1619</v>
      </c>
      <c r="AE5" s="173" t="s">
        <v>69</v>
      </c>
      <c r="AF5" s="181" t="s">
        <v>142</v>
      </c>
      <c r="AG5" s="192" t="s">
        <v>1657</v>
      </c>
      <c r="AH5" s="198"/>
      <c r="AI5" s="181">
        <v>44849</v>
      </c>
      <c r="AJ5" s="181"/>
      <c r="AK5" s="181">
        <f t="shared" ca="1" si="1"/>
        <v>44958</v>
      </c>
      <c r="AL5" s="173">
        <f t="shared" ca="1" si="2"/>
        <v>109</v>
      </c>
      <c r="AM5" s="173" t="str">
        <f t="shared" si="3"/>
        <v/>
      </c>
      <c r="AN5" s="181"/>
      <c r="AO5" s="190" t="s">
        <v>1689</v>
      </c>
      <c r="AP5" s="176">
        <v>10.725</v>
      </c>
      <c r="AQ5" s="176">
        <v>10.734999999999999</v>
      </c>
      <c r="AR5" s="176">
        <v>10.759999999999998</v>
      </c>
      <c r="AS5" s="176">
        <v>10.764999999999999</v>
      </c>
      <c r="AT5" s="173" t="str">
        <f t="shared" si="4"/>
        <v/>
      </c>
      <c r="AU5" s="173">
        <v>456</v>
      </c>
      <c r="AW5" s="142" t="s">
        <v>123</v>
      </c>
    </row>
    <row r="6" spans="1:53" s="142" customFormat="1" ht="21" customHeight="1" x14ac:dyDescent="0.25">
      <c r="B6" s="173" t="str">
        <f t="shared" si="0"/>
        <v>0-304L/FH-1.00X644</v>
      </c>
      <c r="C6" s="173" t="s">
        <v>4396</v>
      </c>
      <c r="D6" s="173" t="s">
        <v>16</v>
      </c>
      <c r="E6" s="190" t="s">
        <v>1686</v>
      </c>
      <c r="F6" s="190" t="s">
        <v>4397</v>
      </c>
      <c r="G6" s="173" t="s">
        <v>182</v>
      </c>
      <c r="H6" s="173" t="s">
        <v>70</v>
      </c>
      <c r="I6" s="174">
        <v>2.79</v>
      </c>
      <c r="J6" s="174">
        <v>1</v>
      </c>
      <c r="K6" s="174"/>
      <c r="L6" s="174"/>
      <c r="M6" s="191">
        <v>644</v>
      </c>
      <c r="N6" s="350"/>
      <c r="O6" s="176">
        <v>9.2850000000000001</v>
      </c>
      <c r="P6" s="176" t="s">
        <v>114</v>
      </c>
      <c r="Q6" s="178" t="s">
        <v>4326</v>
      </c>
      <c r="R6" s="179"/>
      <c r="S6" s="179"/>
      <c r="T6" s="177">
        <v>44933</v>
      </c>
      <c r="U6" s="177"/>
      <c r="V6" s="177"/>
      <c r="W6" s="177">
        <v>44935</v>
      </c>
      <c r="X6" s="177"/>
      <c r="Y6" s="177"/>
      <c r="Z6" s="177"/>
      <c r="AA6" s="177"/>
      <c r="AB6" s="177"/>
      <c r="AC6" s="177"/>
      <c r="AD6" s="180" t="s">
        <v>1619</v>
      </c>
      <c r="AE6" s="173" t="s">
        <v>69</v>
      </c>
      <c r="AF6" s="181" t="s">
        <v>142</v>
      </c>
      <c r="AG6" s="192" t="s">
        <v>1657</v>
      </c>
      <c r="AH6" s="198"/>
      <c r="AI6" s="181">
        <v>44849</v>
      </c>
      <c r="AJ6" s="181"/>
      <c r="AK6" s="181">
        <f t="shared" ca="1" si="1"/>
        <v>44958</v>
      </c>
      <c r="AL6" s="173">
        <f t="shared" ca="1" si="2"/>
        <v>109</v>
      </c>
      <c r="AM6" s="173" t="str">
        <f t="shared" si="3"/>
        <v/>
      </c>
      <c r="AN6" s="181"/>
      <c r="AO6" s="190" t="s">
        <v>1689</v>
      </c>
      <c r="AP6" s="176">
        <v>10.725</v>
      </c>
      <c r="AQ6" s="176">
        <v>10.734999999999999</v>
      </c>
      <c r="AR6" s="176">
        <v>10.759999999999998</v>
      </c>
      <c r="AS6" s="176">
        <v>10.764999999999999</v>
      </c>
      <c r="AT6" s="173" t="str">
        <f t="shared" si="4"/>
        <v/>
      </c>
      <c r="AU6" s="173">
        <v>456</v>
      </c>
      <c r="AW6" s="142" t="s">
        <v>123</v>
      </c>
    </row>
    <row r="7" spans="1:53" s="142" customFormat="1" ht="21" customHeight="1" x14ac:dyDescent="0.25">
      <c r="B7" s="173" t="str">
        <f t="shared" si="0"/>
        <v>0-304L/FH-1.20X639</v>
      </c>
      <c r="C7" s="173" t="s">
        <v>4398</v>
      </c>
      <c r="D7" s="173" t="s">
        <v>16</v>
      </c>
      <c r="E7" s="190" t="s">
        <v>3961</v>
      </c>
      <c r="F7" s="190" t="s">
        <v>3962</v>
      </c>
      <c r="G7" s="173" t="s">
        <v>182</v>
      </c>
      <c r="H7" s="173" t="s">
        <v>70</v>
      </c>
      <c r="I7" s="174">
        <v>2.91</v>
      </c>
      <c r="J7" s="174">
        <v>1.2</v>
      </c>
      <c r="K7" s="174"/>
      <c r="L7" s="174"/>
      <c r="M7" s="191">
        <v>639</v>
      </c>
      <c r="N7" s="176">
        <v>8.86</v>
      </c>
      <c r="O7" s="176">
        <v>8.86</v>
      </c>
      <c r="P7" s="176" t="s">
        <v>114</v>
      </c>
      <c r="Q7" s="178" t="s">
        <v>4326</v>
      </c>
      <c r="R7" s="179"/>
      <c r="S7" s="179"/>
      <c r="T7" s="177">
        <v>44933</v>
      </c>
      <c r="U7" s="177"/>
      <c r="V7" s="177"/>
      <c r="W7" s="177">
        <v>44936</v>
      </c>
      <c r="X7" s="177"/>
      <c r="Y7" s="177"/>
      <c r="Z7" s="177"/>
      <c r="AA7" s="177"/>
      <c r="AB7" s="177"/>
      <c r="AC7" s="177"/>
      <c r="AD7" s="180" t="s">
        <v>2479</v>
      </c>
      <c r="AE7" s="173" t="s">
        <v>69</v>
      </c>
      <c r="AF7" s="181" t="s">
        <v>142</v>
      </c>
      <c r="AG7" s="192" t="s">
        <v>1887</v>
      </c>
      <c r="AH7" s="198"/>
      <c r="AI7" s="181">
        <v>44880</v>
      </c>
      <c r="AJ7" s="181"/>
      <c r="AK7" s="181">
        <f t="shared" ca="1" si="1"/>
        <v>44958</v>
      </c>
      <c r="AL7" s="173">
        <f t="shared" ca="1" si="2"/>
        <v>78</v>
      </c>
      <c r="AM7" s="173" t="str">
        <f t="shared" si="3"/>
        <v/>
      </c>
      <c r="AN7" s="181"/>
      <c r="AO7" s="190" t="s">
        <v>2273</v>
      </c>
      <c r="AP7" s="176">
        <v>8.86</v>
      </c>
      <c r="AQ7" s="176">
        <v>8.8699999999999992</v>
      </c>
      <c r="AR7" s="176">
        <v>8.8949999999999978</v>
      </c>
      <c r="AS7" s="176">
        <v>8.8999999999999986</v>
      </c>
      <c r="AT7" s="173" t="str">
        <f t="shared" si="4"/>
        <v/>
      </c>
      <c r="AU7" s="173">
        <v>459</v>
      </c>
      <c r="AW7" s="142" t="s">
        <v>123</v>
      </c>
    </row>
    <row r="8" spans="1:53" s="142" customFormat="1" ht="21" customHeight="1" x14ac:dyDescent="0.25">
      <c r="B8" s="173" t="str">
        <f t="shared" si="0"/>
        <v>0-304L/FH-1.20X639</v>
      </c>
      <c r="C8" s="173" t="s">
        <v>4398</v>
      </c>
      <c r="D8" s="173" t="s">
        <v>16</v>
      </c>
      <c r="E8" s="190" t="s">
        <v>3937</v>
      </c>
      <c r="F8" s="190" t="s">
        <v>3938</v>
      </c>
      <c r="G8" s="173" t="s">
        <v>182</v>
      </c>
      <c r="H8" s="173" t="s">
        <v>70</v>
      </c>
      <c r="I8" s="174">
        <v>2.87</v>
      </c>
      <c r="J8" s="174">
        <v>1.2</v>
      </c>
      <c r="K8" s="174"/>
      <c r="L8" s="174"/>
      <c r="M8" s="191">
        <v>639</v>
      </c>
      <c r="N8" s="176">
        <v>10.58</v>
      </c>
      <c r="O8" s="176">
        <v>10.58</v>
      </c>
      <c r="P8" s="176" t="s">
        <v>114</v>
      </c>
      <c r="Q8" s="178" t="s">
        <v>4326</v>
      </c>
      <c r="R8" s="179"/>
      <c r="S8" s="179"/>
      <c r="T8" s="177">
        <v>44932</v>
      </c>
      <c r="U8" s="177"/>
      <c r="V8" s="177"/>
      <c r="W8" s="177">
        <v>44936</v>
      </c>
      <c r="X8" s="177"/>
      <c r="Y8" s="177"/>
      <c r="Z8" s="177"/>
      <c r="AA8" s="177"/>
      <c r="AB8" s="177"/>
      <c r="AC8" s="177"/>
      <c r="AD8" s="180" t="s">
        <v>2479</v>
      </c>
      <c r="AE8" s="173" t="s">
        <v>69</v>
      </c>
      <c r="AF8" s="181" t="s">
        <v>142</v>
      </c>
      <c r="AG8" s="192" t="s">
        <v>1657</v>
      </c>
      <c r="AH8" s="198"/>
      <c r="AI8" s="181">
        <v>44849</v>
      </c>
      <c r="AJ8" s="181"/>
      <c r="AK8" s="181">
        <f t="shared" ca="1" si="1"/>
        <v>44958</v>
      </c>
      <c r="AL8" s="173">
        <f t="shared" ca="1" si="2"/>
        <v>109</v>
      </c>
      <c r="AM8" s="173" t="str">
        <f t="shared" si="3"/>
        <v/>
      </c>
      <c r="AN8" s="181"/>
      <c r="AO8" s="190" t="s">
        <v>3939</v>
      </c>
      <c r="AP8" s="176">
        <v>10.58</v>
      </c>
      <c r="AQ8" s="176">
        <v>10.59</v>
      </c>
      <c r="AR8" s="176">
        <v>10.614999999999998</v>
      </c>
      <c r="AS8" s="176">
        <v>10.62</v>
      </c>
      <c r="AT8" s="173" t="str">
        <f t="shared" si="4"/>
        <v/>
      </c>
      <c r="AU8" s="173">
        <v>456</v>
      </c>
      <c r="AW8" s="142" t="s">
        <v>123</v>
      </c>
    </row>
    <row r="9" spans="1:53" s="142" customFormat="1" ht="21" customHeight="1" x14ac:dyDescent="0.25">
      <c r="B9" s="173" t="str">
        <f t="shared" si="0"/>
        <v>0-304L/FH-1.20X637</v>
      </c>
      <c r="C9" s="173" t="s">
        <v>4398</v>
      </c>
      <c r="D9" s="173" t="s">
        <v>16</v>
      </c>
      <c r="E9" s="190" t="s">
        <v>4011</v>
      </c>
      <c r="F9" s="190" t="s">
        <v>4012</v>
      </c>
      <c r="G9" s="173" t="s">
        <v>182</v>
      </c>
      <c r="H9" s="173" t="s">
        <v>70</v>
      </c>
      <c r="I9" s="174">
        <v>2.9</v>
      </c>
      <c r="J9" s="174">
        <v>1.2</v>
      </c>
      <c r="K9" s="174"/>
      <c r="L9" s="174"/>
      <c r="M9" s="191">
        <v>637</v>
      </c>
      <c r="N9" s="176">
        <v>10.455</v>
      </c>
      <c r="O9" s="176">
        <v>10.455</v>
      </c>
      <c r="P9" s="176" t="s">
        <v>114</v>
      </c>
      <c r="Q9" s="178" t="s">
        <v>4326</v>
      </c>
      <c r="R9" s="179"/>
      <c r="S9" s="179"/>
      <c r="T9" s="177">
        <v>44936</v>
      </c>
      <c r="U9" s="177"/>
      <c r="V9" s="177"/>
      <c r="W9" s="177">
        <v>44936</v>
      </c>
      <c r="X9" s="177"/>
      <c r="Y9" s="177"/>
      <c r="Z9" s="177"/>
      <c r="AA9" s="177"/>
      <c r="AB9" s="177"/>
      <c r="AC9" s="177"/>
      <c r="AD9" s="180" t="s">
        <v>2479</v>
      </c>
      <c r="AE9" s="173" t="s">
        <v>69</v>
      </c>
      <c r="AF9" s="181" t="s">
        <v>142</v>
      </c>
      <c r="AG9" s="192" t="s">
        <v>1594</v>
      </c>
      <c r="AH9" s="198"/>
      <c r="AI9" s="181">
        <v>44849</v>
      </c>
      <c r="AJ9" s="181"/>
      <c r="AK9" s="181">
        <f t="shared" ca="1" si="1"/>
        <v>44958</v>
      </c>
      <c r="AL9" s="173">
        <f t="shared" ca="1" si="2"/>
        <v>109</v>
      </c>
      <c r="AM9" s="173" t="str">
        <f t="shared" si="3"/>
        <v/>
      </c>
      <c r="AN9" s="181"/>
      <c r="AO9" s="190" t="s">
        <v>4013</v>
      </c>
      <c r="AP9" s="176">
        <v>10.455</v>
      </c>
      <c r="AQ9" s="176">
        <v>10.465</v>
      </c>
      <c r="AR9" s="176">
        <v>10.489999999999998</v>
      </c>
      <c r="AS9" s="176">
        <v>10.494999999999999</v>
      </c>
      <c r="AT9" s="173" t="str">
        <f t="shared" si="4"/>
        <v/>
      </c>
      <c r="AU9" s="173">
        <v>456</v>
      </c>
      <c r="AW9" s="142" t="s">
        <v>123</v>
      </c>
    </row>
    <row r="10" spans="1:53" s="142" customFormat="1" ht="21" customHeight="1" x14ac:dyDescent="0.25">
      <c r="B10" s="173" t="str">
        <f t="shared" si="0"/>
        <v>0-304L/FH-1.20X639</v>
      </c>
      <c r="C10" s="173" t="s">
        <v>4398</v>
      </c>
      <c r="D10" s="173" t="s">
        <v>16</v>
      </c>
      <c r="E10" s="190" t="s">
        <v>4014</v>
      </c>
      <c r="F10" s="190" t="s">
        <v>4015</v>
      </c>
      <c r="G10" s="173" t="s">
        <v>182</v>
      </c>
      <c r="H10" s="173" t="s">
        <v>70</v>
      </c>
      <c r="I10" s="174">
        <v>2.89</v>
      </c>
      <c r="J10" s="174">
        <v>1.2</v>
      </c>
      <c r="K10" s="174"/>
      <c r="L10" s="174"/>
      <c r="M10" s="191">
        <v>639</v>
      </c>
      <c r="N10" s="176">
        <v>10.215</v>
      </c>
      <c r="O10" s="176">
        <v>10.215</v>
      </c>
      <c r="P10" s="176" t="s">
        <v>114</v>
      </c>
      <c r="Q10" s="178" t="s">
        <v>4326</v>
      </c>
      <c r="R10" s="179"/>
      <c r="S10" s="179"/>
      <c r="T10" s="177">
        <v>44936</v>
      </c>
      <c r="U10" s="177"/>
      <c r="V10" s="177"/>
      <c r="W10" s="177">
        <v>44936</v>
      </c>
      <c r="X10" s="177"/>
      <c r="Y10" s="177"/>
      <c r="Z10" s="177"/>
      <c r="AA10" s="177"/>
      <c r="AB10" s="177"/>
      <c r="AC10" s="177"/>
      <c r="AD10" s="180" t="s">
        <v>2479</v>
      </c>
      <c r="AE10" s="173" t="s">
        <v>69</v>
      </c>
      <c r="AF10" s="181" t="s">
        <v>142</v>
      </c>
      <c r="AG10" s="192" t="s">
        <v>1657</v>
      </c>
      <c r="AH10" s="198"/>
      <c r="AI10" s="181">
        <v>44849</v>
      </c>
      <c r="AJ10" s="181"/>
      <c r="AK10" s="181">
        <f t="shared" ca="1" si="1"/>
        <v>44958</v>
      </c>
      <c r="AL10" s="173">
        <f t="shared" ca="1" si="2"/>
        <v>109</v>
      </c>
      <c r="AM10" s="173" t="str">
        <f t="shared" si="3"/>
        <v/>
      </c>
      <c r="AN10" s="181"/>
      <c r="AO10" s="190" t="s">
        <v>4016</v>
      </c>
      <c r="AP10" s="176">
        <v>10.215</v>
      </c>
      <c r="AQ10" s="176">
        <v>10.225</v>
      </c>
      <c r="AR10" s="176">
        <v>10.249999999999998</v>
      </c>
      <c r="AS10" s="176">
        <v>10.254999999999999</v>
      </c>
      <c r="AT10" s="173" t="str">
        <f t="shared" si="4"/>
        <v/>
      </c>
      <c r="AU10" s="173">
        <v>456</v>
      </c>
      <c r="AW10" s="142" t="s">
        <v>123</v>
      </c>
    </row>
    <row r="11" spans="1:53" s="142" customFormat="1" ht="21" customHeight="1" x14ac:dyDescent="0.25">
      <c r="B11" s="173" t="str">
        <f t="shared" si="0"/>
        <v>0-304L/FH-1.20X638</v>
      </c>
      <c r="C11" s="173" t="s">
        <v>4398</v>
      </c>
      <c r="D11" s="173" t="s">
        <v>16</v>
      </c>
      <c r="E11" s="190" t="s">
        <v>4019</v>
      </c>
      <c r="F11" s="190" t="s">
        <v>4020</v>
      </c>
      <c r="G11" s="173" t="s">
        <v>182</v>
      </c>
      <c r="H11" s="173" t="s">
        <v>70</v>
      </c>
      <c r="I11" s="174">
        <v>2.89</v>
      </c>
      <c r="J11" s="174">
        <v>1.2</v>
      </c>
      <c r="K11" s="174"/>
      <c r="L11" s="174"/>
      <c r="M11" s="191">
        <v>638</v>
      </c>
      <c r="N11" s="176">
        <v>9.9949999999999992</v>
      </c>
      <c r="O11" s="176">
        <v>9.9949999999999992</v>
      </c>
      <c r="P11" s="176" t="s">
        <v>114</v>
      </c>
      <c r="Q11" s="178" t="s">
        <v>4326</v>
      </c>
      <c r="R11" s="179"/>
      <c r="S11" s="179"/>
      <c r="T11" s="177">
        <v>44936</v>
      </c>
      <c r="U11" s="177"/>
      <c r="V11" s="177"/>
      <c r="W11" s="177">
        <v>44936</v>
      </c>
      <c r="X11" s="177"/>
      <c r="Y11" s="177"/>
      <c r="Z11" s="177"/>
      <c r="AA11" s="177"/>
      <c r="AB11" s="177"/>
      <c r="AC11" s="177"/>
      <c r="AD11" s="180" t="s">
        <v>2479</v>
      </c>
      <c r="AE11" s="173" t="s">
        <v>69</v>
      </c>
      <c r="AF11" s="181" t="s">
        <v>142</v>
      </c>
      <c r="AG11" s="192" t="s">
        <v>1594</v>
      </c>
      <c r="AH11" s="198"/>
      <c r="AI11" s="181">
        <v>44849</v>
      </c>
      <c r="AJ11" s="181"/>
      <c r="AK11" s="181">
        <f t="shared" ca="1" si="1"/>
        <v>44958</v>
      </c>
      <c r="AL11" s="173">
        <f t="shared" ca="1" si="2"/>
        <v>109</v>
      </c>
      <c r="AM11" s="173" t="str">
        <f t="shared" si="3"/>
        <v/>
      </c>
      <c r="AN11" s="181"/>
      <c r="AO11" s="190" t="s">
        <v>4013</v>
      </c>
      <c r="AP11" s="176">
        <v>9.9949999999999992</v>
      </c>
      <c r="AQ11" s="176">
        <v>10.005000000000001</v>
      </c>
      <c r="AR11" s="176">
        <v>10.029999999999999</v>
      </c>
      <c r="AS11" s="176">
        <v>10.035</v>
      </c>
      <c r="AT11" s="173" t="str">
        <f t="shared" si="4"/>
        <v/>
      </c>
      <c r="AU11" s="173">
        <v>456</v>
      </c>
      <c r="AW11" s="142" t="s">
        <v>123</v>
      </c>
    </row>
    <row r="12" spans="1:53" s="142" customFormat="1" ht="21" customHeight="1" x14ac:dyDescent="0.25">
      <c r="B12" s="173" t="str">
        <f t="shared" si="0"/>
        <v>0-304L/FH-1.00X644</v>
      </c>
      <c r="C12" s="173" t="s">
        <v>4399</v>
      </c>
      <c r="D12" s="173" t="s">
        <v>16</v>
      </c>
      <c r="E12" s="190" t="s">
        <v>4023</v>
      </c>
      <c r="F12" s="190" t="s">
        <v>4024</v>
      </c>
      <c r="G12" s="173" t="s">
        <v>182</v>
      </c>
      <c r="H12" s="173" t="s">
        <v>70</v>
      </c>
      <c r="I12" s="174">
        <v>2.81</v>
      </c>
      <c r="J12" s="174">
        <v>1</v>
      </c>
      <c r="K12" s="174"/>
      <c r="L12" s="174"/>
      <c r="M12" s="191">
        <v>644</v>
      </c>
      <c r="N12" s="176">
        <v>10.67</v>
      </c>
      <c r="O12" s="176">
        <v>10.67</v>
      </c>
      <c r="P12" s="176" t="s">
        <v>114</v>
      </c>
      <c r="Q12" s="178" t="s">
        <v>4400</v>
      </c>
      <c r="R12" s="179"/>
      <c r="S12" s="179"/>
      <c r="T12" s="177">
        <v>44936</v>
      </c>
      <c r="U12" s="177"/>
      <c r="V12" s="177"/>
      <c r="W12" s="177">
        <v>44937</v>
      </c>
      <c r="X12" s="177"/>
      <c r="Y12" s="177"/>
      <c r="Z12" s="177"/>
      <c r="AA12" s="177"/>
      <c r="AB12" s="177"/>
      <c r="AC12" s="177"/>
      <c r="AD12" s="180" t="s">
        <v>2479</v>
      </c>
      <c r="AE12" s="173" t="s">
        <v>69</v>
      </c>
      <c r="AF12" s="181" t="s">
        <v>142</v>
      </c>
      <c r="AG12" s="192" t="s">
        <v>1653</v>
      </c>
      <c r="AH12" s="198"/>
      <c r="AI12" s="181">
        <v>44880</v>
      </c>
      <c r="AJ12" s="181"/>
      <c r="AK12" s="181">
        <f t="shared" ca="1" si="1"/>
        <v>44958</v>
      </c>
      <c r="AL12" s="173">
        <f t="shared" ca="1" si="2"/>
        <v>78</v>
      </c>
      <c r="AM12" s="173" t="str">
        <f t="shared" si="3"/>
        <v/>
      </c>
      <c r="AN12" s="181"/>
      <c r="AO12" s="190" t="s">
        <v>2085</v>
      </c>
      <c r="AP12" s="176">
        <v>10.67</v>
      </c>
      <c r="AQ12" s="176">
        <v>10.68</v>
      </c>
      <c r="AR12" s="176">
        <v>10.704999999999998</v>
      </c>
      <c r="AS12" s="176">
        <v>10.709999999999999</v>
      </c>
      <c r="AT12" s="173" t="str">
        <f t="shared" si="4"/>
        <v/>
      </c>
      <c r="AU12" s="173">
        <v>459</v>
      </c>
      <c r="AW12" s="142" t="s">
        <v>123</v>
      </c>
    </row>
    <row r="13" spans="1:53" s="142" customFormat="1" ht="21" customHeight="1" x14ac:dyDescent="0.25">
      <c r="B13" s="173" t="str">
        <f t="shared" si="0"/>
        <v>0-304/FH-1.20X642</v>
      </c>
      <c r="C13" s="173" t="s">
        <v>4399</v>
      </c>
      <c r="D13" s="173" t="s">
        <v>16</v>
      </c>
      <c r="E13" s="190" t="s">
        <v>4030</v>
      </c>
      <c r="F13" s="190" t="s">
        <v>4031</v>
      </c>
      <c r="G13" s="173">
        <v>304</v>
      </c>
      <c r="H13" s="173" t="s">
        <v>70</v>
      </c>
      <c r="I13" s="174">
        <v>2.93</v>
      </c>
      <c r="J13" s="174">
        <v>1.2</v>
      </c>
      <c r="K13" s="174"/>
      <c r="L13" s="174"/>
      <c r="M13" s="191">
        <v>642</v>
      </c>
      <c r="N13" s="176">
        <v>10.58</v>
      </c>
      <c r="O13" s="176">
        <v>10.58</v>
      </c>
      <c r="P13" s="176" t="s">
        <v>114</v>
      </c>
      <c r="Q13" s="178" t="s">
        <v>4326</v>
      </c>
      <c r="R13" s="179"/>
      <c r="S13" s="179"/>
      <c r="T13" s="177">
        <v>44937</v>
      </c>
      <c r="U13" s="177"/>
      <c r="V13" s="177"/>
      <c r="W13" s="177">
        <v>44937</v>
      </c>
      <c r="X13" s="177"/>
      <c r="Y13" s="177"/>
      <c r="Z13" s="177"/>
      <c r="AA13" s="177"/>
      <c r="AB13" s="177"/>
      <c r="AC13" s="177"/>
      <c r="AD13" s="180" t="s">
        <v>1619</v>
      </c>
      <c r="AE13" s="173" t="s">
        <v>69</v>
      </c>
      <c r="AF13" s="181" t="s">
        <v>142</v>
      </c>
      <c r="AG13" s="192" t="s">
        <v>1594</v>
      </c>
      <c r="AH13" s="198"/>
      <c r="AI13" s="181">
        <v>44849</v>
      </c>
      <c r="AJ13" s="181"/>
      <c r="AK13" s="181">
        <f t="shared" ca="1" si="1"/>
        <v>44958</v>
      </c>
      <c r="AL13" s="173">
        <f t="shared" ca="1" si="2"/>
        <v>109</v>
      </c>
      <c r="AM13" s="173" t="str">
        <f t="shared" si="3"/>
        <v/>
      </c>
      <c r="AN13" s="181"/>
      <c r="AO13" s="190" t="s">
        <v>4032</v>
      </c>
      <c r="AP13" s="176">
        <v>10.58</v>
      </c>
      <c r="AQ13" s="176">
        <v>10.59</v>
      </c>
      <c r="AR13" s="176">
        <v>10.614999999999998</v>
      </c>
      <c r="AS13" s="176">
        <v>10.62</v>
      </c>
      <c r="AT13" s="173" t="str">
        <f t="shared" si="4"/>
        <v/>
      </c>
      <c r="AU13" s="173">
        <v>456</v>
      </c>
      <c r="AW13" s="142" t="s">
        <v>123</v>
      </c>
    </row>
    <row r="14" spans="1:53" s="142" customFormat="1" ht="21" customHeight="1" x14ac:dyDescent="0.25">
      <c r="B14" s="173" t="str">
        <f t="shared" si="0"/>
        <v>0-304L/FH-1.20X642</v>
      </c>
      <c r="C14" s="173" t="s">
        <v>4399</v>
      </c>
      <c r="D14" s="173" t="s">
        <v>16</v>
      </c>
      <c r="E14" s="190" t="s">
        <v>4035</v>
      </c>
      <c r="F14" s="190" t="s">
        <v>4036</v>
      </c>
      <c r="G14" s="173" t="s">
        <v>182</v>
      </c>
      <c r="H14" s="173" t="s">
        <v>70</v>
      </c>
      <c r="I14" s="174">
        <v>2.88</v>
      </c>
      <c r="J14" s="174">
        <v>1.2</v>
      </c>
      <c r="K14" s="174"/>
      <c r="L14" s="174"/>
      <c r="M14" s="191">
        <v>642</v>
      </c>
      <c r="N14" s="176">
        <v>8.81</v>
      </c>
      <c r="O14" s="176">
        <v>8.81</v>
      </c>
      <c r="P14" s="176" t="s">
        <v>114</v>
      </c>
      <c r="Q14" s="178" t="s">
        <v>4326</v>
      </c>
      <c r="R14" s="179"/>
      <c r="S14" s="179"/>
      <c r="T14" s="177">
        <v>44937</v>
      </c>
      <c r="U14" s="177"/>
      <c r="V14" s="177"/>
      <c r="W14" s="177">
        <v>44937</v>
      </c>
      <c r="X14" s="177"/>
      <c r="Y14" s="177"/>
      <c r="Z14" s="177"/>
      <c r="AA14" s="177"/>
      <c r="AB14" s="177"/>
      <c r="AC14" s="177"/>
      <c r="AD14" s="180" t="s">
        <v>2479</v>
      </c>
      <c r="AE14" s="173" t="s">
        <v>69</v>
      </c>
      <c r="AF14" s="181" t="s">
        <v>142</v>
      </c>
      <c r="AG14" s="192" t="s">
        <v>1657</v>
      </c>
      <c r="AH14" s="198"/>
      <c r="AI14" s="181">
        <v>44849</v>
      </c>
      <c r="AJ14" s="181"/>
      <c r="AK14" s="181">
        <f t="shared" ca="1" si="1"/>
        <v>44958</v>
      </c>
      <c r="AL14" s="173">
        <f t="shared" ca="1" si="2"/>
        <v>109</v>
      </c>
      <c r="AM14" s="173" t="str">
        <f t="shared" si="3"/>
        <v/>
      </c>
      <c r="AN14" s="181"/>
      <c r="AO14" s="190" t="s">
        <v>4037</v>
      </c>
      <c r="AP14" s="176">
        <v>8.81</v>
      </c>
      <c r="AQ14" s="176">
        <v>8.82</v>
      </c>
      <c r="AR14" s="176">
        <v>8.8449999999999989</v>
      </c>
      <c r="AS14" s="176">
        <v>8.85</v>
      </c>
      <c r="AT14" s="173" t="str">
        <f t="shared" si="4"/>
        <v/>
      </c>
      <c r="AU14" s="173">
        <v>456</v>
      </c>
      <c r="AW14" s="142" t="s">
        <v>123</v>
      </c>
    </row>
    <row r="15" spans="1:53" s="142" customFormat="1" ht="21" customHeight="1" x14ac:dyDescent="0.25">
      <c r="B15" s="173" t="str">
        <f t="shared" si="0"/>
        <v>0-304L/FH-1.20X642</v>
      </c>
      <c r="C15" s="173" t="s">
        <v>4401</v>
      </c>
      <c r="D15" s="173" t="s">
        <v>16</v>
      </c>
      <c r="E15" s="190" t="s">
        <v>4045</v>
      </c>
      <c r="F15" s="190" t="s">
        <v>4046</v>
      </c>
      <c r="G15" s="173" t="s">
        <v>182</v>
      </c>
      <c r="H15" s="173" t="s">
        <v>70</v>
      </c>
      <c r="I15" s="174">
        <v>2.95</v>
      </c>
      <c r="J15" s="174">
        <v>1.2</v>
      </c>
      <c r="K15" s="174"/>
      <c r="L15" s="174"/>
      <c r="M15" s="191">
        <v>642</v>
      </c>
      <c r="N15" s="176">
        <v>10.035</v>
      </c>
      <c r="O15" s="176">
        <v>10.035</v>
      </c>
      <c r="P15" s="176" t="s">
        <v>114</v>
      </c>
      <c r="Q15" s="178" t="s">
        <v>4326</v>
      </c>
      <c r="R15" s="179"/>
      <c r="S15" s="179"/>
      <c r="T15" s="177">
        <v>44937</v>
      </c>
      <c r="U15" s="177"/>
      <c r="V15" s="177"/>
      <c r="W15" s="177">
        <v>44938</v>
      </c>
      <c r="X15" s="177"/>
      <c r="Y15" s="177"/>
      <c r="Z15" s="177"/>
      <c r="AA15" s="177"/>
      <c r="AB15" s="177"/>
      <c r="AC15" s="177"/>
      <c r="AD15" s="180" t="s">
        <v>1619</v>
      </c>
      <c r="AE15" s="173" t="s">
        <v>69</v>
      </c>
      <c r="AF15" s="181" t="s">
        <v>142</v>
      </c>
      <c r="AG15" s="192" t="s">
        <v>1657</v>
      </c>
      <c r="AH15" s="198"/>
      <c r="AI15" s="181">
        <v>44849</v>
      </c>
      <c r="AJ15" s="181"/>
      <c r="AK15" s="181">
        <f t="shared" ca="1" si="1"/>
        <v>44958</v>
      </c>
      <c r="AL15" s="173">
        <f t="shared" ca="1" si="2"/>
        <v>109</v>
      </c>
      <c r="AM15" s="173" t="str">
        <f t="shared" si="3"/>
        <v/>
      </c>
      <c r="AN15" s="181"/>
      <c r="AO15" s="190" t="s">
        <v>1737</v>
      </c>
      <c r="AP15" s="176">
        <v>10.035</v>
      </c>
      <c r="AQ15" s="176">
        <v>10.045</v>
      </c>
      <c r="AR15" s="176">
        <v>10.069999999999999</v>
      </c>
      <c r="AS15" s="176">
        <v>10.074999999999999</v>
      </c>
      <c r="AT15" s="173" t="str">
        <f t="shared" si="4"/>
        <v/>
      </c>
      <c r="AU15" s="173">
        <v>456</v>
      </c>
      <c r="AW15" s="142" t="s">
        <v>123</v>
      </c>
    </row>
    <row r="16" spans="1:53" s="142" customFormat="1" ht="21" customHeight="1" x14ac:dyDescent="0.25">
      <c r="B16" s="173" t="str">
        <f t="shared" si="0"/>
        <v>0-304/FH-0.95X770</v>
      </c>
      <c r="C16" s="173" t="s">
        <v>4401</v>
      </c>
      <c r="D16" s="173" t="s">
        <v>16</v>
      </c>
      <c r="E16" s="190" t="s">
        <v>4048</v>
      </c>
      <c r="F16" s="190" t="s">
        <v>4049</v>
      </c>
      <c r="G16" s="173">
        <v>304</v>
      </c>
      <c r="H16" s="173" t="s">
        <v>70</v>
      </c>
      <c r="I16" s="174">
        <v>3.46</v>
      </c>
      <c r="J16" s="174">
        <v>0.95</v>
      </c>
      <c r="K16" s="174"/>
      <c r="L16" s="174"/>
      <c r="M16" s="191">
        <v>770</v>
      </c>
      <c r="N16" s="176">
        <v>7.53</v>
      </c>
      <c r="O16" s="176">
        <v>7.53</v>
      </c>
      <c r="P16" s="176" t="s">
        <v>114</v>
      </c>
      <c r="Q16" s="178" t="s">
        <v>361</v>
      </c>
      <c r="R16" s="179"/>
      <c r="S16" s="179"/>
      <c r="T16" s="177">
        <v>44937</v>
      </c>
      <c r="U16" s="177"/>
      <c r="V16" s="177"/>
      <c r="W16" s="177">
        <v>44938</v>
      </c>
      <c r="X16" s="177"/>
      <c r="Y16" s="177"/>
      <c r="Z16" s="177"/>
      <c r="AA16" s="177"/>
      <c r="AB16" s="177"/>
      <c r="AC16" s="177"/>
      <c r="AD16" s="180" t="s">
        <v>1507</v>
      </c>
      <c r="AE16" s="173" t="s">
        <v>69</v>
      </c>
      <c r="AF16" s="181" t="s">
        <v>142</v>
      </c>
      <c r="AG16" s="192" t="s">
        <v>1584</v>
      </c>
      <c r="AH16" s="198"/>
      <c r="AI16" s="181">
        <v>44914</v>
      </c>
      <c r="AJ16" s="181"/>
      <c r="AK16" s="181">
        <f t="shared" ca="1" si="1"/>
        <v>44958</v>
      </c>
      <c r="AL16" s="173">
        <f t="shared" ca="1" si="2"/>
        <v>44</v>
      </c>
      <c r="AM16" s="173" t="str">
        <f t="shared" si="3"/>
        <v/>
      </c>
      <c r="AN16" s="181"/>
      <c r="AO16" s="190" t="s">
        <v>4050</v>
      </c>
      <c r="AP16" s="176">
        <v>7.53</v>
      </c>
      <c r="AQ16" s="176">
        <v>7.54</v>
      </c>
      <c r="AR16" s="176">
        <v>7.5650000000000004</v>
      </c>
      <c r="AS16" s="176">
        <v>7.57</v>
      </c>
      <c r="AT16" s="173" t="str">
        <f t="shared" si="4"/>
        <v/>
      </c>
      <c r="AU16" s="173">
        <v>462</v>
      </c>
      <c r="AW16" s="142" t="s">
        <v>123</v>
      </c>
    </row>
    <row r="17" spans="2:49" s="142" customFormat="1" ht="21" customHeight="1" x14ac:dyDescent="0.25">
      <c r="B17" s="173" t="str">
        <f t="shared" si="0"/>
        <v>0-304L/FH-1.20X768</v>
      </c>
      <c r="C17" s="173" t="s">
        <v>4401</v>
      </c>
      <c r="D17" s="173" t="s">
        <v>16</v>
      </c>
      <c r="E17" s="190" t="s">
        <v>1561</v>
      </c>
      <c r="F17" s="190" t="s">
        <v>1564</v>
      </c>
      <c r="G17" s="173" t="s">
        <v>182</v>
      </c>
      <c r="H17" s="173" t="s">
        <v>70</v>
      </c>
      <c r="I17" s="174">
        <v>3.78</v>
      </c>
      <c r="J17" s="174">
        <v>1.2</v>
      </c>
      <c r="K17" s="174"/>
      <c r="L17" s="174"/>
      <c r="M17" s="191">
        <v>768</v>
      </c>
      <c r="N17" s="176">
        <v>12.28</v>
      </c>
      <c r="O17" s="176">
        <v>12.28</v>
      </c>
      <c r="P17" s="176" t="s">
        <v>114</v>
      </c>
      <c r="Q17" s="178" t="s">
        <v>986</v>
      </c>
      <c r="R17" s="179"/>
      <c r="S17" s="179"/>
      <c r="T17" s="177">
        <v>44938</v>
      </c>
      <c r="U17" s="177"/>
      <c r="V17" s="177"/>
      <c r="W17" s="177">
        <v>44938</v>
      </c>
      <c r="X17" s="177"/>
      <c r="Y17" s="177"/>
      <c r="Z17" s="177"/>
      <c r="AA17" s="177">
        <v>44932</v>
      </c>
      <c r="AB17" s="177"/>
      <c r="AC17" s="177"/>
      <c r="AD17" s="180" t="s">
        <v>1507</v>
      </c>
      <c r="AE17" s="173" t="s">
        <v>69</v>
      </c>
      <c r="AF17" s="181" t="s">
        <v>142</v>
      </c>
      <c r="AG17" s="192" t="s">
        <v>1508</v>
      </c>
      <c r="AH17" s="198"/>
      <c r="AI17" s="181">
        <v>44849</v>
      </c>
      <c r="AJ17" s="181"/>
      <c r="AK17" s="181">
        <f t="shared" ca="1" si="1"/>
        <v>44958</v>
      </c>
      <c r="AL17" s="173">
        <f t="shared" ca="1" si="2"/>
        <v>109</v>
      </c>
      <c r="AM17" s="173" t="str">
        <f t="shared" si="3"/>
        <v/>
      </c>
      <c r="AN17" s="181"/>
      <c r="AO17" s="190" t="s">
        <v>1563</v>
      </c>
      <c r="AP17" s="176">
        <v>24.54</v>
      </c>
      <c r="AQ17" s="176">
        <v>24.6</v>
      </c>
      <c r="AR17" s="176">
        <v>24.625000000000004</v>
      </c>
      <c r="AS17" s="176">
        <v>24.630000000000003</v>
      </c>
      <c r="AT17" s="173" t="str">
        <f t="shared" si="4"/>
        <v/>
      </c>
      <c r="AU17" s="173">
        <v>456</v>
      </c>
      <c r="AW17" s="142" t="s">
        <v>123</v>
      </c>
    </row>
    <row r="18" spans="2:49" s="142" customFormat="1" ht="21" customHeight="1" x14ac:dyDescent="0.25">
      <c r="B18" s="173" t="str">
        <f t="shared" si="0"/>
        <v>0-304/FH-1.20X642</v>
      </c>
      <c r="C18" s="173" t="s">
        <v>4402</v>
      </c>
      <c r="D18" s="173" t="s">
        <v>16</v>
      </c>
      <c r="E18" s="190" t="s">
        <v>4059</v>
      </c>
      <c r="F18" s="190" t="s">
        <v>4060</v>
      </c>
      <c r="G18" s="173">
        <v>304</v>
      </c>
      <c r="H18" s="173" t="s">
        <v>70</v>
      </c>
      <c r="I18" s="174">
        <v>2.99</v>
      </c>
      <c r="J18" s="174">
        <v>1.2</v>
      </c>
      <c r="K18" s="174"/>
      <c r="L18" s="174"/>
      <c r="M18" s="191">
        <v>642</v>
      </c>
      <c r="N18" s="176">
        <v>10.635</v>
      </c>
      <c r="O18" s="176">
        <v>10.635</v>
      </c>
      <c r="P18" s="176" t="s">
        <v>114</v>
      </c>
      <c r="Q18" s="178" t="s">
        <v>4326</v>
      </c>
      <c r="R18" s="179"/>
      <c r="S18" s="179"/>
      <c r="T18" s="177">
        <v>44938</v>
      </c>
      <c r="U18" s="177"/>
      <c r="V18" s="177"/>
      <c r="W18" s="177">
        <v>44939</v>
      </c>
      <c r="X18" s="177"/>
      <c r="Y18" s="177"/>
      <c r="Z18" s="177"/>
      <c r="AA18" s="177"/>
      <c r="AB18" s="177"/>
      <c r="AC18" s="177"/>
      <c r="AD18" s="180" t="s">
        <v>2479</v>
      </c>
      <c r="AE18" s="173" t="s">
        <v>69</v>
      </c>
      <c r="AF18" s="181" t="s">
        <v>142</v>
      </c>
      <c r="AG18" s="192" t="s">
        <v>1657</v>
      </c>
      <c r="AH18" s="198"/>
      <c r="AI18" s="181">
        <v>44849</v>
      </c>
      <c r="AJ18" s="181"/>
      <c r="AK18" s="181">
        <f t="shared" ca="1" si="1"/>
        <v>44958</v>
      </c>
      <c r="AL18" s="173">
        <f t="shared" ca="1" si="2"/>
        <v>109</v>
      </c>
      <c r="AM18" s="173" t="str">
        <f t="shared" si="3"/>
        <v/>
      </c>
      <c r="AN18" s="181"/>
      <c r="AO18" s="190" t="s">
        <v>4061</v>
      </c>
      <c r="AP18" s="176">
        <v>10.635</v>
      </c>
      <c r="AQ18" s="176">
        <v>10.645</v>
      </c>
      <c r="AR18" s="176">
        <v>10.669999999999998</v>
      </c>
      <c r="AS18" s="176">
        <v>10.674999999999999</v>
      </c>
      <c r="AT18" s="173" t="str">
        <f t="shared" si="4"/>
        <v/>
      </c>
      <c r="AU18" s="173">
        <v>456</v>
      </c>
      <c r="AW18" s="142" t="s">
        <v>123</v>
      </c>
    </row>
    <row r="19" spans="2:49" s="142" customFormat="1" ht="21" customHeight="1" x14ac:dyDescent="0.25">
      <c r="B19" s="173" t="str">
        <f t="shared" si="0"/>
        <v>0-304/FH-1.20X642</v>
      </c>
      <c r="C19" s="173" t="s">
        <v>4402</v>
      </c>
      <c r="D19" s="173" t="s">
        <v>16</v>
      </c>
      <c r="E19" s="190" t="s">
        <v>4064</v>
      </c>
      <c r="F19" s="190" t="s">
        <v>4403</v>
      </c>
      <c r="G19" s="173">
        <v>304</v>
      </c>
      <c r="H19" s="173" t="s">
        <v>70</v>
      </c>
      <c r="I19" s="174">
        <v>2.91</v>
      </c>
      <c r="J19" s="174">
        <v>1.2</v>
      </c>
      <c r="K19" s="174"/>
      <c r="L19" s="174"/>
      <c r="M19" s="191">
        <v>642</v>
      </c>
      <c r="N19" s="349">
        <v>8.5950000000000006</v>
      </c>
      <c r="O19" s="176">
        <v>4.6399999999999997</v>
      </c>
      <c r="P19" s="176" t="s">
        <v>114</v>
      </c>
      <c r="Q19" s="178" t="s">
        <v>4326</v>
      </c>
      <c r="R19" s="179"/>
      <c r="S19" s="179"/>
      <c r="T19" s="177">
        <v>44938</v>
      </c>
      <c r="U19" s="177"/>
      <c r="V19" s="177"/>
      <c r="W19" s="177">
        <v>44939</v>
      </c>
      <c r="X19" s="177"/>
      <c r="Y19" s="177"/>
      <c r="Z19" s="177"/>
      <c r="AA19" s="177"/>
      <c r="AB19" s="177"/>
      <c r="AC19" s="177"/>
      <c r="AD19" s="180" t="s">
        <v>2479</v>
      </c>
      <c r="AE19" s="173" t="s">
        <v>69</v>
      </c>
      <c r="AF19" s="181" t="s">
        <v>142</v>
      </c>
      <c r="AG19" s="192" t="s">
        <v>1657</v>
      </c>
      <c r="AH19" s="198"/>
      <c r="AI19" s="181">
        <v>44849</v>
      </c>
      <c r="AJ19" s="181"/>
      <c r="AK19" s="181">
        <f t="shared" ca="1" si="1"/>
        <v>44958</v>
      </c>
      <c r="AL19" s="173">
        <f t="shared" ca="1" si="2"/>
        <v>109</v>
      </c>
      <c r="AM19" s="173" t="str">
        <f t="shared" si="3"/>
        <v/>
      </c>
      <c r="AN19" s="181"/>
      <c r="AO19" s="190" t="s">
        <v>4066</v>
      </c>
      <c r="AP19" s="176">
        <v>8.5950000000000006</v>
      </c>
      <c r="AQ19" s="176">
        <v>8.6050000000000004</v>
      </c>
      <c r="AR19" s="176">
        <v>8.629999999999999</v>
      </c>
      <c r="AS19" s="176">
        <v>8.6349999999999998</v>
      </c>
      <c r="AT19" s="173" t="str">
        <f t="shared" si="4"/>
        <v/>
      </c>
      <c r="AU19" s="173">
        <v>456</v>
      </c>
      <c r="AW19" s="142" t="s">
        <v>123</v>
      </c>
    </row>
    <row r="20" spans="2:49" s="142" customFormat="1" ht="21" customHeight="1" x14ac:dyDescent="0.25">
      <c r="B20" s="173" t="str">
        <f t="shared" si="0"/>
        <v>0-304/FH-1.20X642</v>
      </c>
      <c r="C20" s="173" t="s">
        <v>4402</v>
      </c>
      <c r="D20" s="173" t="s">
        <v>16</v>
      </c>
      <c r="E20" s="190" t="s">
        <v>4064</v>
      </c>
      <c r="F20" s="190" t="s">
        <v>4404</v>
      </c>
      <c r="G20" s="173">
        <v>304</v>
      </c>
      <c r="H20" s="173" t="s">
        <v>70</v>
      </c>
      <c r="I20" s="174">
        <v>2.91</v>
      </c>
      <c r="J20" s="174">
        <v>1.2</v>
      </c>
      <c r="K20" s="174"/>
      <c r="L20" s="174"/>
      <c r="M20" s="191">
        <v>642</v>
      </c>
      <c r="N20" s="350"/>
      <c r="O20" s="176">
        <v>3.9550000000000001</v>
      </c>
      <c r="P20" s="176" t="s">
        <v>114</v>
      </c>
      <c r="Q20" s="178" t="s">
        <v>4326</v>
      </c>
      <c r="R20" s="179"/>
      <c r="S20" s="179"/>
      <c r="T20" s="177">
        <v>44938</v>
      </c>
      <c r="U20" s="177"/>
      <c r="V20" s="177"/>
      <c r="W20" s="177">
        <v>44939</v>
      </c>
      <c r="X20" s="177"/>
      <c r="Y20" s="177"/>
      <c r="Z20" s="177"/>
      <c r="AA20" s="177"/>
      <c r="AB20" s="177"/>
      <c r="AC20" s="177"/>
      <c r="AD20" s="180" t="s">
        <v>2479</v>
      </c>
      <c r="AE20" s="173" t="s">
        <v>69</v>
      </c>
      <c r="AF20" s="181" t="s">
        <v>142</v>
      </c>
      <c r="AG20" s="192" t="s">
        <v>1657</v>
      </c>
      <c r="AH20" s="198"/>
      <c r="AI20" s="181">
        <v>44849</v>
      </c>
      <c r="AJ20" s="181"/>
      <c r="AK20" s="181">
        <f t="shared" ca="1" si="1"/>
        <v>44958</v>
      </c>
      <c r="AL20" s="173">
        <f t="shared" ca="1" si="2"/>
        <v>109</v>
      </c>
      <c r="AM20" s="173" t="str">
        <f t="shared" si="3"/>
        <v/>
      </c>
      <c r="AN20" s="181"/>
      <c r="AO20" s="190" t="s">
        <v>4066</v>
      </c>
      <c r="AP20" s="176">
        <v>8.5950000000000006</v>
      </c>
      <c r="AQ20" s="176">
        <v>8.6050000000000004</v>
      </c>
      <c r="AR20" s="176">
        <v>8.629999999999999</v>
      </c>
      <c r="AS20" s="176">
        <v>8.6349999999999998</v>
      </c>
      <c r="AT20" s="173" t="str">
        <f t="shared" si="4"/>
        <v/>
      </c>
      <c r="AU20" s="173">
        <v>456</v>
      </c>
      <c r="AW20" s="142" t="s">
        <v>123</v>
      </c>
    </row>
    <row r="21" spans="2:49" s="142" customFormat="1" ht="21" customHeight="1" x14ac:dyDescent="0.25">
      <c r="B21" s="173" t="str">
        <f t="shared" si="0"/>
        <v>0-304L/FH-1.20X640</v>
      </c>
      <c r="C21" s="173" t="s">
        <v>4402</v>
      </c>
      <c r="D21" s="173" t="s">
        <v>16</v>
      </c>
      <c r="E21" s="190" t="s">
        <v>4070</v>
      </c>
      <c r="F21" s="190" t="s">
        <v>4071</v>
      </c>
      <c r="G21" s="173" t="s">
        <v>182</v>
      </c>
      <c r="H21" s="173" t="s">
        <v>70</v>
      </c>
      <c r="I21" s="174">
        <v>2.98</v>
      </c>
      <c r="J21" s="174">
        <v>1.2</v>
      </c>
      <c r="K21" s="174"/>
      <c r="L21" s="174"/>
      <c r="M21" s="191">
        <v>640</v>
      </c>
      <c r="N21" s="176">
        <v>10.385</v>
      </c>
      <c r="O21" s="176">
        <v>10.385</v>
      </c>
      <c r="P21" s="176" t="s">
        <v>114</v>
      </c>
      <c r="Q21" s="178" t="s">
        <v>4326</v>
      </c>
      <c r="R21" s="179"/>
      <c r="S21" s="179"/>
      <c r="T21" s="177">
        <v>44939</v>
      </c>
      <c r="U21" s="177"/>
      <c r="V21" s="177"/>
      <c r="W21" s="177">
        <v>44939</v>
      </c>
      <c r="X21" s="177"/>
      <c r="Y21" s="177"/>
      <c r="Z21" s="177"/>
      <c r="AA21" s="177"/>
      <c r="AB21" s="177"/>
      <c r="AC21" s="177"/>
      <c r="AD21" s="180" t="s">
        <v>2479</v>
      </c>
      <c r="AE21" s="173" t="s">
        <v>69</v>
      </c>
      <c r="AF21" s="181" t="s">
        <v>142</v>
      </c>
      <c r="AG21" s="192" t="s">
        <v>1887</v>
      </c>
      <c r="AH21" s="198"/>
      <c r="AI21" s="181">
        <v>44880</v>
      </c>
      <c r="AJ21" s="181"/>
      <c r="AK21" s="181">
        <f t="shared" ca="1" si="1"/>
        <v>44958</v>
      </c>
      <c r="AL21" s="173">
        <f t="shared" ca="1" si="2"/>
        <v>78</v>
      </c>
      <c r="AM21" s="173" t="str">
        <f t="shared" si="3"/>
        <v/>
      </c>
      <c r="AN21" s="181"/>
      <c r="AO21" s="190" t="s">
        <v>2302</v>
      </c>
      <c r="AP21" s="176">
        <v>10.385</v>
      </c>
      <c r="AQ21" s="176">
        <v>10.395</v>
      </c>
      <c r="AR21" s="176">
        <v>10.419999999999998</v>
      </c>
      <c r="AS21" s="176">
        <v>10.424999999999999</v>
      </c>
      <c r="AT21" s="173" t="str">
        <f t="shared" si="4"/>
        <v/>
      </c>
      <c r="AU21" s="173">
        <v>459</v>
      </c>
      <c r="AW21" s="142" t="s">
        <v>123</v>
      </c>
    </row>
    <row r="22" spans="2:49" s="142" customFormat="1" ht="21" customHeight="1" x14ac:dyDescent="0.25">
      <c r="B22" s="173" t="str">
        <f t="shared" si="0"/>
        <v>0-304/FH-1.50X635</v>
      </c>
      <c r="C22" s="173" t="s">
        <v>4402</v>
      </c>
      <c r="D22" s="173" t="s">
        <v>16</v>
      </c>
      <c r="E22" s="190" t="s">
        <v>4073</v>
      </c>
      <c r="F22" s="190" t="s">
        <v>4074</v>
      </c>
      <c r="G22" s="173">
        <v>304</v>
      </c>
      <c r="H22" s="173" t="s">
        <v>70</v>
      </c>
      <c r="I22" s="174">
        <v>3.9</v>
      </c>
      <c r="J22" s="174">
        <v>1.5</v>
      </c>
      <c r="K22" s="174"/>
      <c r="L22" s="174"/>
      <c r="M22" s="191">
        <v>635</v>
      </c>
      <c r="N22" s="176">
        <v>10.25</v>
      </c>
      <c r="O22" s="176">
        <v>10.25</v>
      </c>
      <c r="P22" s="176" t="s">
        <v>114</v>
      </c>
      <c r="Q22" s="178" t="s">
        <v>4326</v>
      </c>
      <c r="R22" s="179"/>
      <c r="S22" s="179"/>
      <c r="T22" s="177">
        <v>44939</v>
      </c>
      <c r="U22" s="177"/>
      <c r="V22" s="177"/>
      <c r="W22" s="177">
        <v>44939</v>
      </c>
      <c r="X22" s="177"/>
      <c r="Y22" s="177"/>
      <c r="Z22" s="177"/>
      <c r="AA22" s="177"/>
      <c r="AB22" s="177"/>
      <c r="AC22" s="177"/>
      <c r="AD22" s="180" t="s">
        <v>2479</v>
      </c>
      <c r="AE22" s="173" t="s">
        <v>69</v>
      </c>
      <c r="AF22" s="181" t="s">
        <v>142</v>
      </c>
      <c r="AG22" s="192" t="s">
        <v>1594</v>
      </c>
      <c r="AH22" s="198"/>
      <c r="AI22" s="181">
        <v>44849</v>
      </c>
      <c r="AJ22" s="181"/>
      <c r="AK22" s="181">
        <f t="shared" ca="1" si="1"/>
        <v>44958</v>
      </c>
      <c r="AL22" s="173">
        <f t="shared" ca="1" si="2"/>
        <v>109</v>
      </c>
      <c r="AM22" s="173" t="str">
        <f t="shared" si="3"/>
        <v/>
      </c>
      <c r="AN22" s="181"/>
      <c r="AO22" s="190" t="s">
        <v>4075</v>
      </c>
      <c r="AP22" s="176">
        <v>10.25</v>
      </c>
      <c r="AQ22" s="176">
        <v>10.26</v>
      </c>
      <c r="AR22" s="176">
        <v>10.284999999999998</v>
      </c>
      <c r="AS22" s="176">
        <v>10.29</v>
      </c>
      <c r="AT22" s="173" t="str">
        <f t="shared" si="4"/>
        <v/>
      </c>
      <c r="AU22" s="173">
        <v>456</v>
      </c>
      <c r="AW22" s="142" t="s">
        <v>123</v>
      </c>
    </row>
    <row r="23" spans="2:49" s="142" customFormat="1" ht="21" customHeight="1" x14ac:dyDescent="0.25">
      <c r="B23" s="173" t="str">
        <f t="shared" si="0"/>
        <v>0-304L/FH-1.20X639</v>
      </c>
      <c r="C23" s="173" t="s">
        <v>4405</v>
      </c>
      <c r="D23" s="173" t="s">
        <v>16</v>
      </c>
      <c r="E23" s="190" t="s">
        <v>4081</v>
      </c>
      <c r="F23" s="190" t="s">
        <v>4082</v>
      </c>
      <c r="G23" s="173" t="s">
        <v>182</v>
      </c>
      <c r="H23" s="173" t="s">
        <v>70</v>
      </c>
      <c r="I23" s="174">
        <v>2.87</v>
      </c>
      <c r="J23" s="174">
        <v>1.2</v>
      </c>
      <c r="K23" s="174"/>
      <c r="L23" s="174"/>
      <c r="M23" s="191">
        <v>639</v>
      </c>
      <c r="N23" s="176">
        <v>10.585000000000001</v>
      </c>
      <c r="O23" s="176">
        <v>10.585000000000001</v>
      </c>
      <c r="P23" s="176" t="s">
        <v>114</v>
      </c>
      <c r="Q23" s="178" t="s">
        <v>4326</v>
      </c>
      <c r="R23" s="179"/>
      <c r="S23" s="179"/>
      <c r="T23" s="177">
        <v>44940</v>
      </c>
      <c r="U23" s="177"/>
      <c r="V23" s="177"/>
      <c r="W23" s="177">
        <v>44940</v>
      </c>
      <c r="X23" s="177"/>
      <c r="Y23" s="177"/>
      <c r="Z23" s="177"/>
      <c r="AA23" s="177"/>
      <c r="AB23" s="177"/>
      <c r="AC23" s="177"/>
      <c r="AD23" s="180" t="s">
        <v>2479</v>
      </c>
      <c r="AE23" s="173" t="s">
        <v>69</v>
      </c>
      <c r="AF23" s="181" t="s">
        <v>142</v>
      </c>
      <c r="AG23" s="192" t="s">
        <v>1657</v>
      </c>
      <c r="AH23" s="198"/>
      <c r="AI23" s="181">
        <v>44849</v>
      </c>
      <c r="AJ23" s="181"/>
      <c r="AK23" s="181">
        <f t="shared" ca="1" si="1"/>
        <v>44958</v>
      </c>
      <c r="AL23" s="173">
        <f t="shared" ca="1" si="2"/>
        <v>109</v>
      </c>
      <c r="AM23" s="173" t="str">
        <f t="shared" si="3"/>
        <v/>
      </c>
      <c r="AN23" s="181"/>
      <c r="AO23" s="190" t="s">
        <v>3939</v>
      </c>
      <c r="AP23" s="176">
        <v>10.585000000000001</v>
      </c>
      <c r="AQ23" s="176">
        <v>10.595000000000001</v>
      </c>
      <c r="AR23" s="176">
        <v>10.62</v>
      </c>
      <c r="AS23" s="176">
        <v>10.625</v>
      </c>
      <c r="AT23" s="173" t="str">
        <f t="shared" si="4"/>
        <v/>
      </c>
      <c r="AU23" s="173">
        <v>456</v>
      </c>
      <c r="AW23" s="142" t="s">
        <v>123</v>
      </c>
    </row>
    <row r="24" spans="2:49" s="142" customFormat="1" ht="21" customHeight="1" x14ac:dyDescent="0.25">
      <c r="B24" s="173" t="str">
        <f t="shared" si="0"/>
        <v>0-304L/FH-1.50X642</v>
      </c>
      <c r="C24" s="173" t="s">
        <v>4405</v>
      </c>
      <c r="D24" s="173" t="s">
        <v>16</v>
      </c>
      <c r="E24" s="190" t="s">
        <v>4088</v>
      </c>
      <c r="F24" s="190" t="s">
        <v>4089</v>
      </c>
      <c r="G24" s="173" t="s">
        <v>182</v>
      </c>
      <c r="H24" s="173" t="s">
        <v>70</v>
      </c>
      <c r="I24" s="174">
        <v>3.79</v>
      </c>
      <c r="J24" s="174">
        <v>1.5</v>
      </c>
      <c r="K24" s="174"/>
      <c r="L24" s="174"/>
      <c r="M24" s="191">
        <v>642</v>
      </c>
      <c r="N24" s="176">
        <v>9.875</v>
      </c>
      <c r="O24" s="176">
        <v>9.875</v>
      </c>
      <c r="P24" s="176" t="s">
        <v>114</v>
      </c>
      <c r="Q24" s="178" t="s">
        <v>4326</v>
      </c>
      <c r="R24" s="179"/>
      <c r="S24" s="179"/>
      <c r="T24" s="177">
        <v>44940</v>
      </c>
      <c r="U24" s="177"/>
      <c r="V24" s="177"/>
      <c r="W24" s="177">
        <v>44940</v>
      </c>
      <c r="X24" s="177"/>
      <c r="Y24" s="177"/>
      <c r="Z24" s="177"/>
      <c r="AA24" s="177"/>
      <c r="AB24" s="177"/>
      <c r="AC24" s="177"/>
      <c r="AD24" s="180" t="s">
        <v>1609</v>
      </c>
      <c r="AE24" s="173" t="s">
        <v>69</v>
      </c>
      <c r="AF24" s="181" t="s">
        <v>142</v>
      </c>
      <c r="AG24" s="192" t="s">
        <v>1594</v>
      </c>
      <c r="AH24" s="198"/>
      <c r="AI24" s="181">
        <v>44849</v>
      </c>
      <c r="AJ24" s="181"/>
      <c r="AK24" s="181">
        <f t="shared" ca="1" si="1"/>
        <v>44958</v>
      </c>
      <c r="AL24" s="173">
        <f t="shared" ca="1" si="2"/>
        <v>109</v>
      </c>
      <c r="AM24" s="173" t="str">
        <f t="shared" si="3"/>
        <v/>
      </c>
      <c r="AN24" s="181"/>
      <c r="AO24" s="190" t="s">
        <v>4090</v>
      </c>
      <c r="AP24" s="176">
        <v>9.875</v>
      </c>
      <c r="AQ24" s="176">
        <v>9.8849999999999998</v>
      </c>
      <c r="AR24" s="176">
        <v>9.9099999999999984</v>
      </c>
      <c r="AS24" s="176">
        <v>9.9149999999999991</v>
      </c>
      <c r="AT24" s="173" t="str">
        <f t="shared" si="4"/>
        <v/>
      </c>
      <c r="AU24" s="173">
        <v>456</v>
      </c>
      <c r="AW24" s="142" t="s">
        <v>123</v>
      </c>
    </row>
    <row r="25" spans="2:49" s="142" customFormat="1" ht="21" customHeight="1" x14ac:dyDescent="0.25">
      <c r="B25" s="173" t="str">
        <f t="shared" si="0"/>
        <v>0-304L/FH-1.20X641</v>
      </c>
      <c r="C25" s="173" t="s">
        <v>4405</v>
      </c>
      <c r="D25" s="173" t="s">
        <v>16</v>
      </c>
      <c r="E25" s="190" t="s">
        <v>4091</v>
      </c>
      <c r="F25" s="190" t="s">
        <v>4092</v>
      </c>
      <c r="G25" s="173" t="s">
        <v>182</v>
      </c>
      <c r="H25" s="173" t="s">
        <v>70</v>
      </c>
      <c r="I25" s="174">
        <v>2.89</v>
      </c>
      <c r="J25" s="174">
        <v>1.2</v>
      </c>
      <c r="K25" s="174"/>
      <c r="L25" s="174"/>
      <c r="M25" s="191">
        <v>641</v>
      </c>
      <c r="N25" s="176">
        <v>10.734999999999999</v>
      </c>
      <c r="O25" s="176">
        <v>10.734999999999999</v>
      </c>
      <c r="P25" s="176" t="s">
        <v>114</v>
      </c>
      <c r="Q25" s="178" t="s">
        <v>4326</v>
      </c>
      <c r="R25" s="179"/>
      <c r="S25" s="179"/>
      <c r="T25" s="177">
        <v>44940</v>
      </c>
      <c r="U25" s="177"/>
      <c r="V25" s="177"/>
      <c r="W25" s="177">
        <v>44940</v>
      </c>
      <c r="X25" s="177"/>
      <c r="Y25" s="177"/>
      <c r="Z25" s="177"/>
      <c r="AA25" s="177"/>
      <c r="AB25" s="177"/>
      <c r="AC25" s="177"/>
      <c r="AD25" s="180" t="s">
        <v>2479</v>
      </c>
      <c r="AE25" s="173" t="s">
        <v>69</v>
      </c>
      <c r="AF25" s="181" t="s">
        <v>142</v>
      </c>
      <c r="AG25" s="192" t="s">
        <v>1594</v>
      </c>
      <c r="AH25" s="198"/>
      <c r="AI25" s="181">
        <v>44849</v>
      </c>
      <c r="AJ25" s="181"/>
      <c r="AK25" s="181">
        <f t="shared" ca="1" si="1"/>
        <v>44958</v>
      </c>
      <c r="AL25" s="173">
        <f t="shared" ca="1" si="2"/>
        <v>109</v>
      </c>
      <c r="AM25" s="173" t="str">
        <f t="shared" si="3"/>
        <v/>
      </c>
      <c r="AN25" s="181"/>
      <c r="AO25" s="190" t="s">
        <v>3970</v>
      </c>
      <c r="AP25" s="176">
        <v>10.734999999999999</v>
      </c>
      <c r="AQ25" s="176">
        <v>10.744999999999999</v>
      </c>
      <c r="AR25" s="176">
        <v>10.769999999999998</v>
      </c>
      <c r="AS25" s="176">
        <v>10.774999999999999</v>
      </c>
      <c r="AT25" s="173" t="str">
        <f t="shared" si="4"/>
        <v/>
      </c>
      <c r="AU25" s="173">
        <v>456</v>
      </c>
      <c r="AW25" s="142" t="s">
        <v>123</v>
      </c>
    </row>
    <row r="26" spans="2:49" s="142" customFormat="1" ht="21" customHeight="1" x14ac:dyDescent="0.25">
      <c r="B26" s="173" t="str">
        <f t="shared" si="0"/>
        <v>0-304L/FH-1.20X637</v>
      </c>
      <c r="C26" s="173" t="s">
        <v>4406</v>
      </c>
      <c r="D26" s="173" t="s">
        <v>16</v>
      </c>
      <c r="E26" s="190" t="s">
        <v>4097</v>
      </c>
      <c r="F26" s="190" t="s">
        <v>4098</v>
      </c>
      <c r="G26" s="173" t="s">
        <v>182</v>
      </c>
      <c r="H26" s="173" t="s">
        <v>70</v>
      </c>
      <c r="I26" s="174">
        <v>2.89</v>
      </c>
      <c r="J26" s="174">
        <v>1.2</v>
      </c>
      <c r="K26" s="174"/>
      <c r="L26" s="174"/>
      <c r="M26" s="191">
        <v>637</v>
      </c>
      <c r="N26" s="176">
        <v>10.185</v>
      </c>
      <c r="O26" s="176">
        <v>10.185</v>
      </c>
      <c r="P26" s="176" t="s">
        <v>114</v>
      </c>
      <c r="Q26" s="178" t="s">
        <v>4326</v>
      </c>
      <c r="R26" s="179"/>
      <c r="S26" s="179"/>
      <c r="T26" s="177">
        <v>44940</v>
      </c>
      <c r="U26" s="177"/>
      <c r="V26" s="177"/>
      <c r="W26" s="177">
        <v>44941</v>
      </c>
      <c r="X26" s="177"/>
      <c r="Y26" s="177"/>
      <c r="Z26" s="177"/>
      <c r="AA26" s="177"/>
      <c r="AB26" s="177"/>
      <c r="AC26" s="177"/>
      <c r="AD26" s="180" t="s">
        <v>2479</v>
      </c>
      <c r="AE26" s="173" t="s">
        <v>69</v>
      </c>
      <c r="AF26" s="181" t="s">
        <v>142</v>
      </c>
      <c r="AG26" s="192" t="s">
        <v>1657</v>
      </c>
      <c r="AH26" s="198"/>
      <c r="AI26" s="181">
        <v>44849</v>
      </c>
      <c r="AJ26" s="181"/>
      <c r="AK26" s="181">
        <f t="shared" ca="1" si="1"/>
        <v>44958</v>
      </c>
      <c r="AL26" s="173">
        <f t="shared" ca="1" si="2"/>
        <v>109</v>
      </c>
      <c r="AM26" s="173" t="str">
        <f t="shared" si="3"/>
        <v/>
      </c>
      <c r="AN26" s="181"/>
      <c r="AO26" s="190" t="s">
        <v>4016</v>
      </c>
      <c r="AP26" s="176">
        <v>10.185</v>
      </c>
      <c r="AQ26" s="176">
        <v>10.195</v>
      </c>
      <c r="AR26" s="176">
        <v>10.219999999999999</v>
      </c>
      <c r="AS26" s="176">
        <v>10.225</v>
      </c>
      <c r="AT26" s="173" t="str">
        <f t="shared" si="4"/>
        <v/>
      </c>
      <c r="AU26" s="173">
        <v>456</v>
      </c>
      <c r="AW26" s="142" t="s">
        <v>123</v>
      </c>
    </row>
    <row r="27" spans="2:49" s="142" customFormat="1" ht="21" customHeight="1" x14ac:dyDescent="0.25">
      <c r="B27" s="173" t="str">
        <f t="shared" si="0"/>
        <v>0-304L/FH-1.00X644</v>
      </c>
      <c r="C27" s="173" t="s">
        <v>4406</v>
      </c>
      <c r="D27" s="173" t="s">
        <v>16</v>
      </c>
      <c r="E27" s="190" t="s">
        <v>4103</v>
      </c>
      <c r="F27" s="190" t="s">
        <v>4104</v>
      </c>
      <c r="G27" s="173" t="s">
        <v>182</v>
      </c>
      <c r="H27" s="173" t="s">
        <v>70</v>
      </c>
      <c r="I27" s="174">
        <v>2.82</v>
      </c>
      <c r="J27" s="174">
        <v>1</v>
      </c>
      <c r="K27" s="174"/>
      <c r="L27" s="174"/>
      <c r="M27" s="191">
        <v>644</v>
      </c>
      <c r="N27" s="176">
        <v>10.71</v>
      </c>
      <c r="O27" s="176">
        <v>10.71</v>
      </c>
      <c r="P27" s="176" t="s">
        <v>114</v>
      </c>
      <c r="Q27" s="178" t="s">
        <v>511</v>
      </c>
      <c r="R27" s="179"/>
      <c r="S27" s="179"/>
      <c r="T27" s="177">
        <v>44941</v>
      </c>
      <c r="U27" s="177"/>
      <c r="V27" s="177"/>
      <c r="W27" s="177">
        <v>44941</v>
      </c>
      <c r="X27" s="177"/>
      <c r="Y27" s="177"/>
      <c r="Z27" s="177"/>
      <c r="AA27" s="177"/>
      <c r="AB27" s="177"/>
      <c r="AC27" s="177"/>
      <c r="AD27" s="180" t="s">
        <v>2479</v>
      </c>
      <c r="AE27" s="173" t="s">
        <v>69</v>
      </c>
      <c r="AF27" s="181" t="s">
        <v>142</v>
      </c>
      <c r="AG27" s="192" t="s">
        <v>1653</v>
      </c>
      <c r="AH27" s="198"/>
      <c r="AI27" s="181">
        <v>44880</v>
      </c>
      <c r="AJ27" s="181"/>
      <c r="AK27" s="181">
        <f t="shared" ca="1" si="1"/>
        <v>44958</v>
      </c>
      <c r="AL27" s="173">
        <f t="shared" ca="1" si="2"/>
        <v>78</v>
      </c>
      <c r="AM27" s="173" t="str">
        <f t="shared" si="3"/>
        <v/>
      </c>
      <c r="AN27" s="181"/>
      <c r="AO27" s="190" t="s">
        <v>1967</v>
      </c>
      <c r="AP27" s="176">
        <v>10.71</v>
      </c>
      <c r="AQ27" s="176">
        <v>10.72</v>
      </c>
      <c r="AR27" s="176">
        <v>10.744999999999999</v>
      </c>
      <c r="AS27" s="176">
        <v>10.75</v>
      </c>
      <c r="AT27" s="173" t="str">
        <f t="shared" si="4"/>
        <v/>
      </c>
      <c r="AU27" s="173">
        <v>459</v>
      </c>
      <c r="AW27" s="142" t="s">
        <v>123</v>
      </c>
    </row>
    <row r="28" spans="2:49" s="142" customFormat="1" ht="21" customHeight="1" x14ac:dyDescent="0.25">
      <c r="B28" s="173" t="str">
        <f t="shared" si="0"/>
        <v>0-304L/FH-1.20X641</v>
      </c>
      <c r="C28" s="173" t="s">
        <v>4407</v>
      </c>
      <c r="D28" s="173" t="s">
        <v>16</v>
      </c>
      <c r="E28" s="190" t="s">
        <v>4108</v>
      </c>
      <c r="F28" s="190" t="s">
        <v>4109</v>
      </c>
      <c r="G28" s="173" t="s">
        <v>182</v>
      </c>
      <c r="H28" s="173" t="s">
        <v>70</v>
      </c>
      <c r="I28" s="174">
        <v>2.89</v>
      </c>
      <c r="J28" s="174">
        <v>1.2</v>
      </c>
      <c r="K28" s="174"/>
      <c r="L28" s="174"/>
      <c r="M28" s="191">
        <v>641</v>
      </c>
      <c r="N28" s="176">
        <v>10.695</v>
      </c>
      <c r="O28" s="176">
        <v>10.695</v>
      </c>
      <c r="P28" s="176" t="s">
        <v>114</v>
      </c>
      <c r="Q28" s="178" t="s">
        <v>4326</v>
      </c>
      <c r="R28" s="179"/>
      <c r="S28" s="179"/>
      <c r="T28" s="177">
        <v>44941</v>
      </c>
      <c r="U28" s="177"/>
      <c r="V28" s="177">
        <v>44942</v>
      </c>
      <c r="W28" s="177"/>
      <c r="X28" s="177"/>
      <c r="Y28" s="177"/>
      <c r="Z28" s="177"/>
      <c r="AA28" s="177"/>
      <c r="AB28" s="177"/>
      <c r="AC28" s="177"/>
      <c r="AD28" s="180" t="s">
        <v>2479</v>
      </c>
      <c r="AE28" s="173" t="s">
        <v>69</v>
      </c>
      <c r="AF28" s="181" t="s">
        <v>142</v>
      </c>
      <c r="AG28" s="192" t="s">
        <v>1594</v>
      </c>
      <c r="AH28" s="198"/>
      <c r="AI28" s="181">
        <v>44849</v>
      </c>
      <c r="AJ28" s="181"/>
      <c r="AK28" s="181">
        <f t="shared" ca="1" si="1"/>
        <v>44958</v>
      </c>
      <c r="AL28" s="173">
        <f t="shared" ca="1" si="2"/>
        <v>109</v>
      </c>
      <c r="AM28" s="173" t="str">
        <f t="shared" si="3"/>
        <v/>
      </c>
      <c r="AN28" s="181"/>
      <c r="AO28" s="190" t="s">
        <v>3995</v>
      </c>
      <c r="AP28" s="176">
        <v>10.695</v>
      </c>
      <c r="AQ28" s="176">
        <v>10.705</v>
      </c>
      <c r="AR28" s="176">
        <v>10.729999999999999</v>
      </c>
      <c r="AS28" s="176">
        <v>10.734999999999999</v>
      </c>
      <c r="AT28" s="173">
        <f t="shared" ca="1" si="4"/>
        <v>16</v>
      </c>
      <c r="AU28" s="173">
        <v>456</v>
      </c>
      <c r="AW28" s="142" t="s">
        <v>123</v>
      </c>
    </row>
    <row r="29" spans="2:49" s="142" customFormat="1" ht="21" customHeight="1" x14ac:dyDescent="0.25">
      <c r="B29" s="173" t="str">
        <f t="shared" si="0"/>
        <v>0-304L/FH-0.50X642</v>
      </c>
      <c r="C29" s="173" t="s">
        <v>4407</v>
      </c>
      <c r="D29" s="173" t="s">
        <v>16</v>
      </c>
      <c r="E29" s="190" t="s">
        <v>4408</v>
      </c>
      <c r="F29" s="190" t="s">
        <v>4409</v>
      </c>
      <c r="G29" s="173" t="s">
        <v>182</v>
      </c>
      <c r="H29" s="173" t="s">
        <v>70</v>
      </c>
      <c r="I29" s="174">
        <v>2.5</v>
      </c>
      <c r="J29" s="174">
        <v>0.5</v>
      </c>
      <c r="K29" s="174"/>
      <c r="L29" s="174"/>
      <c r="M29" s="191">
        <v>642</v>
      </c>
      <c r="N29" s="176">
        <v>10.545</v>
      </c>
      <c r="O29" s="176">
        <v>10.545</v>
      </c>
      <c r="P29" s="176" t="s">
        <v>114</v>
      </c>
      <c r="Q29" s="178" t="s">
        <v>1344</v>
      </c>
      <c r="R29" s="179"/>
      <c r="S29" s="179"/>
      <c r="T29" s="177">
        <v>44913</v>
      </c>
      <c r="U29" s="177"/>
      <c r="V29" s="177"/>
      <c r="W29" s="177">
        <v>44942</v>
      </c>
      <c r="X29" s="177"/>
      <c r="Y29" s="177"/>
      <c r="Z29" s="177"/>
      <c r="AA29" s="177"/>
      <c r="AB29" s="177"/>
      <c r="AC29" s="177"/>
      <c r="AD29" s="180" t="s">
        <v>1619</v>
      </c>
      <c r="AE29" s="173" t="s">
        <v>69</v>
      </c>
      <c r="AF29" s="181" t="s">
        <v>142</v>
      </c>
      <c r="AG29" s="192" t="s">
        <v>1594</v>
      </c>
      <c r="AH29" s="198"/>
      <c r="AI29" s="181">
        <v>44849</v>
      </c>
      <c r="AJ29" s="181"/>
      <c r="AK29" s="181">
        <f t="shared" ca="1" si="1"/>
        <v>44958</v>
      </c>
      <c r="AL29" s="173">
        <f t="shared" ca="1" si="2"/>
        <v>109</v>
      </c>
      <c r="AM29" s="173" t="str">
        <f t="shared" si="3"/>
        <v/>
      </c>
      <c r="AN29" s="181"/>
      <c r="AO29" s="190" t="s">
        <v>4410</v>
      </c>
      <c r="AP29" s="176">
        <v>10.545</v>
      </c>
      <c r="AQ29" s="176">
        <v>10.555</v>
      </c>
      <c r="AR29" s="176">
        <v>10.579999999999998</v>
      </c>
      <c r="AS29" s="176">
        <v>10.584999999999999</v>
      </c>
      <c r="AT29" s="173" t="str">
        <f t="shared" si="4"/>
        <v/>
      </c>
      <c r="AU29" s="173">
        <v>456</v>
      </c>
      <c r="AW29" s="142" t="s">
        <v>123</v>
      </c>
    </row>
    <row r="30" spans="2:49" s="142" customFormat="1" ht="21" customHeight="1" x14ac:dyDescent="0.25">
      <c r="B30" s="173" t="str">
        <f t="shared" si="0"/>
        <v>0-304L/FH-0.50X642</v>
      </c>
      <c r="C30" s="173" t="s">
        <v>4407</v>
      </c>
      <c r="D30" s="173" t="s">
        <v>16</v>
      </c>
      <c r="E30" s="190" t="s">
        <v>4411</v>
      </c>
      <c r="F30" s="190" t="s">
        <v>4412</v>
      </c>
      <c r="G30" s="173" t="s">
        <v>182</v>
      </c>
      <c r="H30" s="173" t="s">
        <v>70</v>
      </c>
      <c r="I30" s="174">
        <v>2.5</v>
      </c>
      <c r="J30" s="174">
        <v>0.5</v>
      </c>
      <c r="K30" s="174"/>
      <c r="L30" s="174"/>
      <c r="M30" s="191">
        <v>642</v>
      </c>
      <c r="N30" s="176">
        <v>10.545</v>
      </c>
      <c r="O30" s="176">
        <v>10.545</v>
      </c>
      <c r="P30" s="176" t="s">
        <v>114</v>
      </c>
      <c r="Q30" s="178" t="s">
        <v>1344</v>
      </c>
      <c r="R30" s="179"/>
      <c r="S30" s="179"/>
      <c r="T30" s="177">
        <v>44914</v>
      </c>
      <c r="U30" s="177"/>
      <c r="V30" s="177"/>
      <c r="W30" s="177">
        <v>44942</v>
      </c>
      <c r="X30" s="177"/>
      <c r="Y30" s="177"/>
      <c r="Z30" s="177"/>
      <c r="AA30" s="177"/>
      <c r="AB30" s="177"/>
      <c r="AC30" s="177"/>
      <c r="AD30" s="180" t="s">
        <v>1619</v>
      </c>
      <c r="AE30" s="173" t="s">
        <v>69</v>
      </c>
      <c r="AF30" s="181" t="s">
        <v>142</v>
      </c>
      <c r="AG30" s="192" t="s">
        <v>1594</v>
      </c>
      <c r="AH30" s="198"/>
      <c r="AI30" s="181">
        <v>44849</v>
      </c>
      <c r="AJ30" s="181"/>
      <c r="AK30" s="181">
        <f t="shared" ca="1" si="1"/>
        <v>44958</v>
      </c>
      <c r="AL30" s="173">
        <f t="shared" ca="1" si="2"/>
        <v>109</v>
      </c>
      <c r="AM30" s="173" t="str">
        <f t="shared" si="3"/>
        <v/>
      </c>
      <c r="AN30" s="181"/>
      <c r="AO30" s="190" t="s">
        <v>4410</v>
      </c>
      <c r="AP30" s="176">
        <v>10.545</v>
      </c>
      <c r="AQ30" s="176">
        <v>10.555</v>
      </c>
      <c r="AR30" s="176">
        <v>10.579999999999998</v>
      </c>
      <c r="AS30" s="176">
        <v>10.584999999999999</v>
      </c>
      <c r="AT30" s="173" t="str">
        <f t="shared" si="4"/>
        <v/>
      </c>
      <c r="AU30" s="173">
        <v>456</v>
      </c>
      <c r="AW30" s="142" t="s">
        <v>123</v>
      </c>
    </row>
    <row r="31" spans="2:49" s="142" customFormat="1" ht="21" customHeight="1" x14ac:dyDescent="0.25">
      <c r="B31" s="173" t="str">
        <f t="shared" si="0"/>
        <v>0-304L/FH-0.40X644</v>
      </c>
      <c r="C31" s="173" t="s">
        <v>4407</v>
      </c>
      <c r="D31" s="173" t="s">
        <v>16</v>
      </c>
      <c r="E31" s="190" t="s">
        <v>1772</v>
      </c>
      <c r="F31" s="190" t="s">
        <v>4413</v>
      </c>
      <c r="G31" s="173" t="s">
        <v>182</v>
      </c>
      <c r="H31" s="173" t="s">
        <v>70</v>
      </c>
      <c r="I31" s="174">
        <v>2.4900000000000002</v>
      </c>
      <c r="J31" s="174">
        <v>0.4</v>
      </c>
      <c r="K31" s="174"/>
      <c r="L31" s="174"/>
      <c r="M31" s="191">
        <v>644</v>
      </c>
      <c r="N31" s="176">
        <v>10.64</v>
      </c>
      <c r="O31" s="176">
        <v>10.64</v>
      </c>
      <c r="P31" s="176" t="s">
        <v>114</v>
      </c>
      <c r="Q31" s="178" t="s">
        <v>1344</v>
      </c>
      <c r="R31" s="179"/>
      <c r="S31" s="179"/>
      <c r="T31" s="177">
        <v>44915</v>
      </c>
      <c r="U31" s="177"/>
      <c r="V31" s="177"/>
      <c r="W31" s="177">
        <v>44942</v>
      </c>
      <c r="X31" s="177"/>
      <c r="Y31" s="177"/>
      <c r="Z31" s="177"/>
      <c r="AA31" s="177"/>
      <c r="AB31" s="177"/>
      <c r="AC31" s="177"/>
      <c r="AD31" s="180" t="s">
        <v>1619</v>
      </c>
      <c r="AE31" s="173" t="s">
        <v>69</v>
      </c>
      <c r="AF31" s="181" t="s">
        <v>142</v>
      </c>
      <c r="AG31" s="192" t="s">
        <v>1657</v>
      </c>
      <c r="AH31" s="198"/>
      <c r="AI31" s="181">
        <v>44849</v>
      </c>
      <c r="AJ31" s="181"/>
      <c r="AK31" s="181">
        <f t="shared" ca="1" si="1"/>
        <v>44958</v>
      </c>
      <c r="AL31" s="173">
        <f t="shared" ca="1" si="2"/>
        <v>109</v>
      </c>
      <c r="AM31" s="173" t="str">
        <f t="shared" si="3"/>
        <v/>
      </c>
      <c r="AN31" s="181"/>
      <c r="AO31" s="190" t="s">
        <v>1775</v>
      </c>
      <c r="AP31" s="176">
        <v>10.64</v>
      </c>
      <c r="AQ31" s="176">
        <v>10.65</v>
      </c>
      <c r="AR31" s="176">
        <v>10.674999999999999</v>
      </c>
      <c r="AS31" s="176">
        <v>10.68</v>
      </c>
      <c r="AT31" s="173" t="str">
        <f t="shared" si="4"/>
        <v/>
      </c>
      <c r="AU31" s="173">
        <v>456</v>
      </c>
      <c r="AW31" s="142" t="s">
        <v>123</v>
      </c>
    </row>
    <row r="32" spans="2:49" s="142" customFormat="1" ht="21" customHeight="1" x14ac:dyDescent="0.25">
      <c r="B32" s="173" t="str">
        <f t="shared" si="0"/>
        <v>0-304L/FH-0.90X643</v>
      </c>
      <c r="C32" s="173" t="s">
        <v>4414</v>
      </c>
      <c r="D32" s="173" t="s">
        <v>16</v>
      </c>
      <c r="E32" s="190" t="s">
        <v>4319</v>
      </c>
      <c r="F32" s="190" t="s">
        <v>4320</v>
      </c>
      <c r="G32" s="173" t="s">
        <v>182</v>
      </c>
      <c r="H32" s="173" t="s">
        <v>70</v>
      </c>
      <c r="I32" s="174">
        <v>2.89</v>
      </c>
      <c r="J32" s="174">
        <v>0.9</v>
      </c>
      <c r="K32" s="174"/>
      <c r="L32" s="174"/>
      <c r="M32" s="191">
        <v>643</v>
      </c>
      <c r="N32" s="176">
        <v>10.775</v>
      </c>
      <c r="O32" s="176">
        <v>10.775</v>
      </c>
      <c r="P32" s="176" t="s">
        <v>114</v>
      </c>
      <c r="Q32" s="178" t="s">
        <v>1592</v>
      </c>
      <c r="R32" s="179"/>
      <c r="S32" s="179"/>
      <c r="T32" s="177"/>
      <c r="U32" s="177">
        <v>44942</v>
      </c>
      <c r="V32" s="177"/>
      <c r="W32" s="177">
        <v>44943</v>
      </c>
      <c r="X32" s="177"/>
      <c r="Y32" s="177"/>
      <c r="Z32" s="177"/>
      <c r="AA32" s="177"/>
      <c r="AB32" s="177"/>
      <c r="AC32" s="177"/>
      <c r="AD32" s="180" t="s">
        <v>2479</v>
      </c>
      <c r="AE32" s="173" t="s">
        <v>69</v>
      </c>
      <c r="AF32" s="181" t="s">
        <v>142</v>
      </c>
      <c r="AG32" s="192" t="s">
        <v>1594</v>
      </c>
      <c r="AH32" s="198"/>
      <c r="AI32" s="181">
        <v>44849</v>
      </c>
      <c r="AJ32" s="181"/>
      <c r="AK32" s="181">
        <f t="shared" ca="1" si="1"/>
        <v>44958</v>
      </c>
      <c r="AL32" s="173">
        <f t="shared" ca="1" si="2"/>
        <v>109</v>
      </c>
      <c r="AM32" s="173" t="str">
        <f t="shared" si="3"/>
        <v/>
      </c>
      <c r="AN32" s="181"/>
      <c r="AO32" s="190" t="s">
        <v>4321</v>
      </c>
      <c r="AP32" s="176">
        <v>10.775</v>
      </c>
      <c r="AQ32" s="176">
        <v>10.785</v>
      </c>
      <c r="AR32" s="176">
        <v>10.809999999999999</v>
      </c>
      <c r="AS32" s="176">
        <v>10.815</v>
      </c>
      <c r="AT32" s="173" t="str">
        <f t="shared" si="4"/>
        <v/>
      </c>
      <c r="AU32" s="173">
        <v>456</v>
      </c>
      <c r="AW32" s="142" t="s">
        <v>123</v>
      </c>
    </row>
    <row r="33" spans="2:49" s="142" customFormat="1" ht="21" customHeight="1" x14ac:dyDescent="0.25">
      <c r="B33" s="173" t="str">
        <f t="shared" si="0"/>
        <v>0-304/FH-0.90X641</v>
      </c>
      <c r="C33" s="173" t="s">
        <v>4414</v>
      </c>
      <c r="D33" s="173" t="s">
        <v>16</v>
      </c>
      <c r="E33" s="190" t="s">
        <v>4118</v>
      </c>
      <c r="F33" s="190" t="s">
        <v>4119</v>
      </c>
      <c r="G33" s="173">
        <v>304</v>
      </c>
      <c r="H33" s="173" t="s">
        <v>70</v>
      </c>
      <c r="I33" s="174">
        <v>2.75</v>
      </c>
      <c r="J33" s="174">
        <v>0.9</v>
      </c>
      <c r="K33" s="174"/>
      <c r="L33" s="174"/>
      <c r="M33" s="191">
        <v>641</v>
      </c>
      <c r="N33" s="176">
        <v>10.565</v>
      </c>
      <c r="O33" s="176">
        <v>10.565</v>
      </c>
      <c r="P33" s="176" t="s">
        <v>114</v>
      </c>
      <c r="Q33" s="178" t="s">
        <v>1592</v>
      </c>
      <c r="R33" s="179"/>
      <c r="S33" s="179"/>
      <c r="T33" s="177">
        <v>44942</v>
      </c>
      <c r="U33" s="177">
        <v>44942</v>
      </c>
      <c r="V33" s="177"/>
      <c r="W33" s="177">
        <v>44943</v>
      </c>
      <c r="X33" s="177"/>
      <c r="Y33" s="177"/>
      <c r="Z33" s="177"/>
      <c r="AA33" s="177"/>
      <c r="AB33" s="177"/>
      <c r="AC33" s="177"/>
      <c r="AD33" s="180" t="s">
        <v>1619</v>
      </c>
      <c r="AE33" s="173" t="s">
        <v>69</v>
      </c>
      <c r="AF33" s="181" t="s">
        <v>142</v>
      </c>
      <c r="AG33" s="192" t="s">
        <v>1657</v>
      </c>
      <c r="AH33" s="198"/>
      <c r="AI33" s="181">
        <v>44849</v>
      </c>
      <c r="AJ33" s="181"/>
      <c r="AK33" s="181">
        <f t="shared" ca="1" si="1"/>
        <v>44958</v>
      </c>
      <c r="AL33" s="173">
        <f t="shared" ca="1" si="2"/>
        <v>109</v>
      </c>
      <c r="AM33" s="173" t="str">
        <f t="shared" si="3"/>
        <v/>
      </c>
      <c r="AN33" s="181"/>
      <c r="AO33" s="190" t="s">
        <v>4121</v>
      </c>
      <c r="AP33" s="176">
        <v>10.565</v>
      </c>
      <c r="AQ33" s="176">
        <v>10.574999999999999</v>
      </c>
      <c r="AR33" s="176">
        <v>10.599999999999998</v>
      </c>
      <c r="AS33" s="176">
        <v>10.604999999999999</v>
      </c>
      <c r="AT33" s="173" t="str">
        <f t="shared" si="4"/>
        <v/>
      </c>
      <c r="AU33" s="173">
        <v>456</v>
      </c>
      <c r="AW33" s="142" t="s">
        <v>123</v>
      </c>
    </row>
    <row r="34" spans="2:49" s="142" customFormat="1" ht="21" customHeight="1" x14ac:dyDescent="0.25">
      <c r="B34" s="173" t="str">
        <f t="shared" si="0"/>
        <v>0-304L/FH-1.15X643</v>
      </c>
      <c r="C34" s="173" t="s">
        <v>4415</v>
      </c>
      <c r="D34" s="173" t="s">
        <v>16</v>
      </c>
      <c r="E34" s="190" t="s">
        <v>4127</v>
      </c>
      <c r="F34" s="190" t="s">
        <v>4128</v>
      </c>
      <c r="G34" s="173" t="s">
        <v>182</v>
      </c>
      <c r="H34" s="173" t="s">
        <v>70</v>
      </c>
      <c r="I34" s="174">
        <v>3.11</v>
      </c>
      <c r="J34" s="174">
        <v>1.1499999999999999</v>
      </c>
      <c r="K34" s="174"/>
      <c r="L34" s="174"/>
      <c r="M34" s="191">
        <v>643</v>
      </c>
      <c r="N34" s="176">
        <v>10.605</v>
      </c>
      <c r="O34" s="176">
        <v>10.605</v>
      </c>
      <c r="P34" s="176" t="s">
        <v>114</v>
      </c>
      <c r="Q34" s="178" t="s">
        <v>1592</v>
      </c>
      <c r="R34" s="179"/>
      <c r="S34" s="179"/>
      <c r="T34" s="177">
        <v>44943</v>
      </c>
      <c r="U34" s="177"/>
      <c r="V34" s="177"/>
      <c r="W34" s="177">
        <v>44944</v>
      </c>
      <c r="X34" s="177"/>
      <c r="Y34" s="177"/>
      <c r="Z34" s="177"/>
      <c r="AA34" s="177"/>
      <c r="AB34" s="177"/>
      <c r="AC34" s="177"/>
      <c r="AD34" s="180" t="s">
        <v>2448</v>
      </c>
      <c r="AE34" s="173" t="s">
        <v>69</v>
      </c>
      <c r="AF34" s="181" t="s">
        <v>142</v>
      </c>
      <c r="AG34" s="192" t="s">
        <v>1657</v>
      </c>
      <c r="AH34" s="198"/>
      <c r="AI34" s="181">
        <v>44849</v>
      </c>
      <c r="AJ34" s="181"/>
      <c r="AK34" s="181">
        <f t="shared" ca="1" si="1"/>
        <v>44958</v>
      </c>
      <c r="AL34" s="173">
        <f t="shared" ca="1" si="2"/>
        <v>109</v>
      </c>
      <c r="AM34" s="173" t="str">
        <f t="shared" si="3"/>
        <v/>
      </c>
      <c r="AN34" s="181"/>
      <c r="AO34" s="190" t="s">
        <v>4129</v>
      </c>
      <c r="AP34" s="176">
        <v>10.605</v>
      </c>
      <c r="AQ34" s="176">
        <v>10.615</v>
      </c>
      <c r="AR34" s="176">
        <v>10.639999999999999</v>
      </c>
      <c r="AS34" s="176">
        <v>10.645</v>
      </c>
      <c r="AT34" s="173" t="str">
        <f t="shared" si="4"/>
        <v/>
      </c>
      <c r="AU34" s="173">
        <v>456</v>
      </c>
      <c r="AW34" s="142" t="s">
        <v>123</v>
      </c>
    </row>
    <row r="35" spans="2:49" s="142" customFormat="1" ht="21" customHeight="1" x14ac:dyDescent="0.25">
      <c r="B35" s="173" t="str">
        <f t="shared" si="0"/>
        <v>0-304L/FH-0.30X631</v>
      </c>
      <c r="C35" s="173" t="s">
        <v>4416</v>
      </c>
      <c r="D35" s="173" t="s">
        <v>16</v>
      </c>
      <c r="E35" s="190" t="s">
        <v>4142</v>
      </c>
      <c r="F35" s="190" t="s">
        <v>4143</v>
      </c>
      <c r="G35" s="173" t="s">
        <v>182</v>
      </c>
      <c r="H35" s="173" t="s">
        <v>70</v>
      </c>
      <c r="I35" s="174">
        <v>0.6</v>
      </c>
      <c r="J35" s="174">
        <v>0.3</v>
      </c>
      <c r="K35" s="174"/>
      <c r="L35" s="174"/>
      <c r="M35" s="191">
        <v>631</v>
      </c>
      <c r="N35" s="176">
        <v>10.595000000000001</v>
      </c>
      <c r="O35" s="176">
        <v>10.595000000000001</v>
      </c>
      <c r="P35" s="176" t="s">
        <v>114</v>
      </c>
      <c r="Q35" s="178" t="s">
        <v>1344</v>
      </c>
      <c r="R35" s="179"/>
      <c r="S35" s="179" t="s">
        <v>230</v>
      </c>
      <c r="T35" s="177" t="s">
        <v>4144</v>
      </c>
      <c r="U35" s="177"/>
      <c r="V35" s="177">
        <v>44918</v>
      </c>
      <c r="W35" s="177">
        <v>44944</v>
      </c>
      <c r="X35" s="177">
        <v>44939</v>
      </c>
      <c r="Y35" s="177"/>
      <c r="Z35" s="177">
        <v>44939</v>
      </c>
      <c r="AA35" s="177"/>
      <c r="AB35" s="177"/>
      <c r="AC35" s="177"/>
      <c r="AD35" s="180" t="s">
        <v>1619</v>
      </c>
      <c r="AE35" s="173" t="s">
        <v>69</v>
      </c>
      <c r="AF35" s="181" t="s">
        <v>142</v>
      </c>
      <c r="AG35" s="192" t="s">
        <v>1657</v>
      </c>
      <c r="AH35" s="198"/>
      <c r="AI35" s="181">
        <v>44849</v>
      </c>
      <c r="AJ35" s="181"/>
      <c r="AK35" s="181">
        <f t="shared" ca="1" si="1"/>
        <v>44958</v>
      </c>
      <c r="AL35" s="173">
        <f t="shared" ca="1" si="2"/>
        <v>109</v>
      </c>
      <c r="AM35" s="173">
        <f t="shared" ca="1" si="3"/>
        <v>19</v>
      </c>
      <c r="AN35" s="181"/>
      <c r="AO35" s="190" t="s">
        <v>1689</v>
      </c>
      <c r="AP35" s="176">
        <v>10.695</v>
      </c>
      <c r="AQ35" s="176">
        <v>10.705</v>
      </c>
      <c r="AR35" s="176">
        <v>10.729999999999999</v>
      </c>
      <c r="AS35" s="176">
        <v>10.734999999999999</v>
      </c>
      <c r="AT35" s="173">
        <f t="shared" ca="1" si="4"/>
        <v>40</v>
      </c>
      <c r="AU35" s="173">
        <v>456</v>
      </c>
      <c r="AW35" s="142" t="s">
        <v>123</v>
      </c>
    </row>
    <row r="36" spans="2:49" s="142" customFormat="1" ht="21" customHeight="1" x14ac:dyDescent="0.25">
      <c r="B36" s="173" t="str">
        <f t="shared" si="0"/>
        <v>0-304/FH-0.30X631</v>
      </c>
      <c r="C36" s="173" t="s">
        <v>4417</v>
      </c>
      <c r="D36" s="173" t="s">
        <v>16</v>
      </c>
      <c r="E36" s="190" t="s">
        <v>4155</v>
      </c>
      <c r="F36" s="190" t="s">
        <v>4418</v>
      </c>
      <c r="G36" s="173">
        <v>304</v>
      </c>
      <c r="H36" s="173" t="s">
        <v>70</v>
      </c>
      <c r="I36" s="174">
        <v>0.6</v>
      </c>
      <c r="J36" s="174">
        <v>0.3</v>
      </c>
      <c r="K36" s="174"/>
      <c r="L36" s="174"/>
      <c r="M36" s="191">
        <v>631</v>
      </c>
      <c r="N36" s="176">
        <v>10.34</v>
      </c>
      <c r="O36" s="176">
        <v>10.34</v>
      </c>
      <c r="P36" s="176" t="s">
        <v>114</v>
      </c>
      <c r="Q36" s="178" t="s">
        <v>1344</v>
      </c>
      <c r="R36" s="179"/>
      <c r="S36" s="179" t="s">
        <v>230</v>
      </c>
      <c r="T36" s="177" t="s">
        <v>4157</v>
      </c>
      <c r="U36" s="177"/>
      <c r="V36" s="177"/>
      <c r="W36" s="177" t="s">
        <v>4419</v>
      </c>
      <c r="X36" s="177">
        <v>44940</v>
      </c>
      <c r="Y36" s="177"/>
      <c r="Z36" s="177" t="s">
        <v>4158</v>
      </c>
      <c r="AA36" s="177"/>
      <c r="AB36" s="177"/>
      <c r="AC36" s="177"/>
      <c r="AD36" s="180" t="s">
        <v>1619</v>
      </c>
      <c r="AE36" s="173" t="s">
        <v>69</v>
      </c>
      <c r="AF36" s="181" t="s">
        <v>142</v>
      </c>
      <c r="AG36" s="192" t="s">
        <v>1657</v>
      </c>
      <c r="AH36" s="198"/>
      <c r="AI36" s="181">
        <v>44849</v>
      </c>
      <c r="AJ36" s="181"/>
      <c r="AK36" s="181">
        <f t="shared" ca="1" si="1"/>
        <v>44958</v>
      </c>
      <c r="AL36" s="173">
        <f t="shared" ca="1" si="2"/>
        <v>109</v>
      </c>
      <c r="AM36" s="173">
        <f t="shared" ca="1" si="3"/>
        <v>18</v>
      </c>
      <c r="AN36" s="181"/>
      <c r="AO36" s="190" t="s">
        <v>4121</v>
      </c>
      <c r="AP36" s="176">
        <v>10.525</v>
      </c>
      <c r="AQ36" s="176">
        <v>10.535</v>
      </c>
      <c r="AR36" s="176">
        <v>10.559999999999999</v>
      </c>
      <c r="AS36" s="176">
        <v>10.565</v>
      </c>
      <c r="AT36" s="173" t="str">
        <f t="shared" si="4"/>
        <v/>
      </c>
      <c r="AU36" s="173">
        <v>456</v>
      </c>
      <c r="AW36" s="142" t="s">
        <v>123</v>
      </c>
    </row>
    <row r="37" spans="2:49" s="142" customFormat="1" ht="21" customHeight="1" x14ac:dyDescent="0.25">
      <c r="B37" s="173" t="str">
        <f t="shared" si="0"/>
        <v>0-304L/FH-1.15X642</v>
      </c>
      <c r="C37" s="173" t="s">
        <v>4420</v>
      </c>
      <c r="D37" s="173" t="s">
        <v>16</v>
      </c>
      <c r="E37" s="190" t="s">
        <v>4163</v>
      </c>
      <c r="F37" s="190" t="s">
        <v>4164</v>
      </c>
      <c r="G37" s="173" t="s">
        <v>182</v>
      </c>
      <c r="H37" s="173" t="s">
        <v>70</v>
      </c>
      <c r="I37" s="174">
        <v>3.1</v>
      </c>
      <c r="J37" s="174">
        <v>1.1499999999999999</v>
      </c>
      <c r="K37" s="174"/>
      <c r="L37" s="174"/>
      <c r="M37" s="191">
        <v>642</v>
      </c>
      <c r="N37" s="176">
        <v>10.64</v>
      </c>
      <c r="O37" s="176">
        <v>10.64</v>
      </c>
      <c r="P37" s="176" t="s">
        <v>114</v>
      </c>
      <c r="Q37" s="178" t="s">
        <v>1592</v>
      </c>
      <c r="R37" s="179"/>
      <c r="S37" s="179"/>
      <c r="T37" s="177">
        <v>44945</v>
      </c>
      <c r="U37" s="177"/>
      <c r="V37" s="177"/>
      <c r="W37" s="177">
        <v>44945</v>
      </c>
      <c r="X37" s="177"/>
      <c r="Y37" s="177"/>
      <c r="Z37" s="177"/>
      <c r="AA37" s="177"/>
      <c r="AB37" s="177"/>
      <c r="AC37" s="177"/>
      <c r="AD37" s="180" t="s">
        <v>1605</v>
      </c>
      <c r="AE37" s="173" t="s">
        <v>69</v>
      </c>
      <c r="AF37" s="181" t="s">
        <v>142</v>
      </c>
      <c r="AG37" s="192" t="s">
        <v>1657</v>
      </c>
      <c r="AH37" s="198"/>
      <c r="AI37" s="181">
        <v>44849</v>
      </c>
      <c r="AJ37" s="181"/>
      <c r="AK37" s="181">
        <f t="shared" ca="1" si="1"/>
        <v>44958</v>
      </c>
      <c r="AL37" s="173">
        <f t="shared" ca="1" si="2"/>
        <v>109</v>
      </c>
      <c r="AM37" s="173" t="str">
        <f t="shared" si="3"/>
        <v/>
      </c>
      <c r="AN37" s="181"/>
      <c r="AO37" s="190" t="s">
        <v>1670</v>
      </c>
      <c r="AP37" s="176">
        <v>10.64</v>
      </c>
      <c r="AQ37" s="176">
        <v>10.65</v>
      </c>
      <c r="AR37" s="176">
        <v>10.674999999999999</v>
      </c>
      <c r="AS37" s="176">
        <v>10.68</v>
      </c>
      <c r="AT37" s="173" t="str">
        <f t="shared" si="4"/>
        <v/>
      </c>
      <c r="AU37" s="173">
        <v>456</v>
      </c>
      <c r="AW37" s="142" t="s">
        <v>123</v>
      </c>
    </row>
    <row r="38" spans="2:49" s="142" customFormat="1" ht="20.25" customHeight="1" x14ac:dyDescent="0.25">
      <c r="B38" s="173" t="str">
        <f t="shared" si="0"/>
        <v>0-304L/FH-1.15X643</v>
      </c>
      <c r="C38" s="173" t="s">
        <v>4421</v>
      </c>
      <c r="D38" s="173" t="s">
        <v>16</v>
      </c>
      <c r="E38" s="190" t="s">
        <v>1677</v>
      </c>
      <c r="F38" s="190" t="s">
        <v>1678</v>
      </c>
      <c r="G38" s="173" t="s">
        <v>182</v>
      </c>
      <c r="H38" s="173" t="s">
        <v>70</v>
      </c>
      <c r="I38" s="174">
        <v>3.5</v>
      </c>
      <c r="J38" s="174">
        <v>1.1499999999999999</v>
      </c>
      <c r="K38" s="174"/>
      <c r="L38" s="174"/>
      <c r="M38" s="191">
        <v>643</v>
      </c>
      <c r="N38" s="176">
        <v>10.664999999999999</v>
      </c>
      <c r="O38" s="176">
        <v>10.664999999999999</v>
      </c>
      <c r="P38" s="176" t="s">
        <v>114</v>
      </c>
      <c r="Q38" s="178" t="s">
        <v>1592</v>
      </c>
      <c r="R38" s="179"/>
      <c r="S38" s="179"/>
      <c r="T38" s="177">
        <v>44943</v>
      </c>
      <c r="U38" s="177"/>
      <c r="V38" s="177"/>
      <c r="W38" s="177">
        <v>44946</v>
      </c>
      <c r="X38" s="177"/>
      <c r="Y38" s="177"/>
      <c r="Z38" s="177"/>
      <c r="AA38" s="177"/>
      <c r="AB38" s="177"/>
      <c r="AC38" s="177"/>
      <c r="AD38" s="180" t="s">
        <v>1605</v>
      </c>
      <c r="AE38" s="173" t="s">
        <v>69</v>
      </c>
      <c r="AF38" s="181" t="s">
        <v>142</v>
      </c>
      <c r="AG38" s="192" t="s">
        <v>1657</v>
      </c>
      <c r="AH38" s="198"/>
      <c r="AI38" s="181">
        <v>44849</v>
      </c>
      <c r="AJ38" s="181"/>
      <c r="AK38" s="181">
        <f t="shared" ca="1" si="1"/>
        <v>44958</v>
      </c>
      <c r="AL38" s="173">
        <f t="shared" ca="1" si="2"/>
        <v>109</v>
      </c>
      <c r="AM38" s="173" t="str">
        <f t="shared" si="3"/>
        <v/>
      </c>
      <c r="AN38" s="181"/>
      <c r="AO38" s="190" t="s">
        <v>1679</v>
      </c>
      <c r="AP38" s="176">
        <v>10.664999999999999</v>
      </c>
      <c r="AQ38" s="176">
        <v>10.675000000000001</v>
      </c>
      <c r="AR38" s="176">
        <v>10.7</v>
      </c>
      <c r="AS38" s="176">
        <v>10.705</v>
      </c>
      <c r="AT38" s="173" t="str">
        <f t="shared" si="4"/>
        <v/>
      </c>
      <c r="AU38" s="173">
        <v>456</v>
      </c>
      <c r="AW38" s="142" t="s">
        <v>123</v>
      </c>
    </row>
    <row r="39" spans="2:49" s="142" customFormat="1" ht="21" customHeight="1" x14ac:dyDescent="0.25">
      <c r="B39" s="173" t="str">
        <f t="shared" si="0"/>
        <v>0-304L/FH-1.15X643</v>
      </c>
      <c r="C39" s="173" t="s">
        <v>4421</v>
      </c>
      <c r="D39" s="173" t="s">
        <v>16</v>
      </c>
      <c r="E39" s="190" t="s">
        <v>1668</v>
      </c>
      <c r="F39" s="190" t="s">
        <v>1669</v>
      </c>
      <c r="G39" s="173" t="s">
        <v>182</v>
      </c>
      <c r="H39" s="173" t="s">
        <v>70</v>
      </c>
      <c r="I39" s="174">
        <v>3.1</v>
      </c>
      <c r="J39" s="174">
        <v>1.1499999999999999</v>
      </c>
      <c r="K39" s="174"/>
      <c r="L39" s="174"/>
      <c r="M39" s="191">
        <v>643</v>
      </c>
      <c r="N39" s="176">
        <v>10.67</v>
      </c>
      <c r="O39" s="176">
        <v>10.67</v>
      </c>
      <c r="P39" s="176" t="s">
        <v>114</v>
      </c>
      <c r="Q39" s="178" t="s">
        <v>1592</v>
      </c>
      <c r="R39" s="179"/>
      <c r="S39" s="179"/>
      <c r="T39" s="177">
        <v>44945</v>
      </c>
      <c r="U39" s="177"/>
      <c r="V39" s="177"/>
      <c r="W39" s="177">
        <v>44946</v>
      </c>
      <c r="X39" s="177"/>
      <c r="Y39" s="177"/>
      <c r="Z39" s="177"/>
      <c r="AA39" s="177"/>
      <c r="AB39" s="177"/>
      <c r="AC39" s="177"/>
      <c r="AD39" s="180" t="s">
        <v>1605</v>
      </c>
      <c r="AE39" s="173" t="s">
        <v>69</v>
      </c>
      <c r="AF39" s="181" t="s">
        <v>142</v>
      </c>
      <c r="AG39" s="192" t="s">
        <v>1657</v>
      </c>
      <c r="AH39" s="198"/>
      <c r="AI39" s="181">
        <v>44849</v>
      </c>
      <c r="AJ39" s="181"/>
      <c r="AK39" s="181">
        <f t="shared" ca="1" si="1"/>
        <v>44958</v>
      </c>
      <c r="AL39" s="173">
        <f t="shared" ca="1" si="2"/>
        <v>109</v>
      </c>
      <c r="AM39" s="173" t="str">
        <f t="shared" si="3"/>
        <v/>
      </c>
      <c r="AN39" s="181"/>
      <c r="AO39" s="190" t="s">
        <v>1670</v>
      </c>
      <c r="AP39" s="176">
        <v>10.67</v>
      </c>
      <c r="AQ39" s="176">
        <v>10.68</v>
      </c>
      <c r="AR39" s="176">
        <v>10.704999999999998</v>
      </c>
      <c r="AS39" s="176">
        <v>10.709999999999999</v>
      </c>
      <c r="AT39" s="173" t="str">
        <f t="shared" si="4"/>
        <v/>
      </c>
      <c r="AU39" s="173">
        <v>456</v>
      </c>
      <c r="AW39" s="142" t="s">
        <v>123</v>
      </c>
    </row>
    <row r="40" spans="2:49" s="142" customFormat="1" ht="21" customHeight="1" x14ac:dyDescent="0.25">
      <c r="B40" s="173" t="str">
        <f t="shared" si="0"/>
        <v>0-304L/FH-0.90X642</v>
      </c>
      <c r="C40" s="173" t="s">
        <v>4421</v>
      </c>
      <c r="D40" s="173" t="s">
        <v>16</v>
      </c>
      <c r="E40" s="190" t="s">
        <v>4147</v>
      </c>
      <c r="F40" s="190" t="s">
        <v>4148</v>
      </c>
      <c r="G40" s="173" t="s">
        <v>182</v>
      </c>
      <c r="H40" s="173" t="s">
        <v>70</v>
      </c>
      <c r="I40" s="174">
        <v>3.38</v>
      </c>
      <c r="J40" s="174">
        <v>0.9</v>
      </c>
      <c r="K40" s="174"/>
      <c r="L40" s="174"/>
      <c r="M40" s="191">
        <v>642</v>
      </c>
      <c r="N40" s="176">
        <v>10.61</v>
      </c>
      <c r="O40" s="176">
        <v>10.61</v>
      </c>
      <c r="P40" s="176" t="s">
        <v>114</v>
      </c>
      <c r="Q40" s="178" t="s">
        <v>1592</v>
      </c>
      <c r="R40" s="179"/>
      <c r="S40" s="179"/>
      <c r="T40" s="177">
        <v>44944</v>
      </c>
      <c r="U40" s="177"/>
      <c r="V40" s="177"/>
      <c r="W40" s="177">
        <v>44946</v>
      </c>
      <c r="X40" s="177"/>
      <c r="Y40" s="177"/>
      <c r="Z40" s="177"/>
      <c r="AA40" s="177"/>
      <c r="AB40" s="177"/>
      <c r="AC40" s="177"/>
      <c r="AD40" s="180" t="s">
        <v>1605</v>
      </c>
      <c r="AE40" s="173" t="s">
        <v>69</v>
      </c>
      <c r="AF40" s="181" t="s">
        <v>142</v>
      </c>
      <c r="AG40" s="192" t="s">
        <v>1657</v>
      </c>
      <c r="AH40" s="198"/>
      <c r="AI40" s="181">
        <v>44849</v>
      </c>
      <c r="AJ40" s="181"/>
      <c r="AK40" s="181">
        <f t="shared" ca="1" si="1"/>
        <v>44958</v>
      </c>
      <c r="AL40" s="173">
        <f t="shared" ca="1" si="2"/>
        <v>109</v>
      </c>
      <c r="AM40" s="173" t="str">
        <f t="shared" si="3"/>
        <v/>
      </c>
      <c r="AN40" s="181"/>
      <c r="AO40" s="190" t="s">
        <v>1706</v>
      </c>
      <c r="AP40" s="176">
        <v>10.61</v>
      </c>
      <c r="AQ40" s="176">
        <v>10.62</v>
      </c>
      <c r="AR40" s="176">
        <v>10.644999999999998</v>
      </c>
      <c r="AS40" s="176">
        <v>10.649999999999999</v>
      </c>
      <c r="AT40" s="173" t="str">
        <f t="shared" si="4"/>
        <v/>
      </c>
      <c r="AU40" s="173">
        <v>456</v>
      </c>
      <c r="AW40" s="142" t="s">
        <v>123</v>
      </c>
    </row>
    <row r="41" spans="2:49" s="142" customFormat="1" ht="21" customHeight="1" x14ac:dyDescent="0.25">
      <c r="B41" s="173" t="str">
        <f t="shared" si="0"/>
        <v>0-304L/FH-1.15X646</v>
      </c>
      <c r="C41" s="173" t="s">
        <v>4421</v>
      </c>
      <c r="D41" s="173" t="s">
        <v>16</v>
      </c>
      <c r="E41" s="190" t="s">
        <v>4151</v>
      </c>
      <c r="F41" s="190" t="s">
        <v>4152</v>
      </c>
      <c r="G41" s="173" t="s">
        <v>182</v>
      </c>
      <c r="H41" s="173" t="s">
        <v>70</v>
      </c>
      <c r="I41" s="174">
        <v>2.9</v>
      </c>
      <c r="J41" s="174">
        <v>1.1499999999999999</v>
      </c>
      <c r="K41" s="174"/>
      <c r="L41" s="174"/>
      <c r="M41" s="191">
        <v>646</v>
      </c>
      <c r="N41" s="176">
        <v>10.195</v>
      </c>
      <c r="O41" s="176">
        <v>10.195</v>
      </c>
      <c r="P41" s="176" t="s">
        <v>114</v>
      </c>
      <c r="Q41" s="178" t="s">
        <v>1592</v>
      </c>
      <c r="R41" s="179"/>
      <c r="S41" s="179"/>
      <c r="T41" s="177">
        <v>44944</v>
      </c>
      <c r="U41" s="177"/>
      <c r="V41" s="177"/>
      <c r="W41" s="177">
        <v>44946</v>
      </c>
      <c r="X41" s="177"/>
      <c r="Y41" s="177"/>
      <c r="Z41" s="177"/>
      <c r="AA41" s="177"/>
      <c r="AB41" s="177"/>
      <c r="AC41" s="177"/>
      <c r="AD41" s="180" t="s">
        <v>2448</v>
      </c>
      <c r="AE41" s="173" t="s">
        <v>69</v>
      </c>
      <c r="AF41" s="181" t="s">
        <v>142</v>
      </c>
      <c r="AG41" s="192" t="s">
        <v>1657</v>
      </c>
      <c r="AH41" s="198"/>
      <c r="AI41" s="181">
        <v>44849</v>
      </c>
      <c r="AJ41" s="181"/>
      <c r="AK41" s="181">
        <f t="shared" ca="1" si="1"/>
        <v>44958</v>
      </c>
      <c r="AL41" s="173">
        <f t="shared" ca="1" si="2"/>
        <v>109</v>
      </c>
      <c r="AM41" s="173" t="str">
        <f t="shared" si="3"/>
        <v/>
      </c>
      <c r="AN41" s="181"/>
      <c r="AO41" s="190" t="s">
        <v>1766</v>
      </c>
      <c r="AP41" s="176">
        <v>10.195</v>
      </c>
      <c r="AQ41" s="176">
        <v>10.205</v>
      </c>
      <c r="AR41" s="176">
        <v>10.229999999999999</v>
      </c>
      <c r="AS41" s="176">
        <v>10.234999999999999</v>
      </c>
      <c r="AT41" s="173" t="str">
        <f t="shared" si="4"/>
        <v/>
      </c>
      <c r="AU41" s="173">
        <v>456</v>
      </c>
      <c r="AW41" s="142" t="s">
        <v>123</v>
      </c>
    </row>
    <row r="42" spans="2:49" s="142" customFormat="1" ht="21" customHeight="1" x14ac:dyDescent="0.25">
      <c r="B42" s="173" t="str">
        <f t="shared" si="0"/>
        <v>0-304L/FH-1.15X641</v>
      </c>
      <c r="C42" s="173" t="s">
        <v>4422</v>
      </c>
      <c r="D42" s="173" t="s">
        <v>16</v>
      </c>
      <c r="E42" s="190" t="s">
        <v>4175</v>
      </c>
      <c r="F42" s="190" t="s">
        <v>4176</v>
      </c>
      <c r="G42" s="173" t="s">
        <v>182</v>
      </c>
      <c r="H42" s="173" t="s">
        <v>70</v>
      </c>
      <c r="I42" s="174">
        <v>3.1</v>
      </c>
      <c r="J42" s="174">
        <v>1.1499999999999999</v>
      </c>
      <c r="K42" s="174"/>
      <c r="L42" s="174"/>
      <c r="M42" s="191">
        <v>641</v>
      </c>
      <c r="N42" s="176">
        <v>10.545</v>
      </c>
      <c r="O42" s="176">
        <v>10.545</v>
      </c>
      <c r="P42" s="176" t="s">
        <v>114</v>
      </c>
      <c r="Q42" s="178" t="s">
        <v>1592</v>
      </c>
      <c r="R42" s="179"/>
      <c r="S42" s="179"/>
      <c r="T42" s="177">
        <v>44946</v>
      </c>
      <c r="U42" s="177"/>
      <c r="V42" s="177"/>
      <c r="W42" s="177">
        <v>44949</v>
      </c>
      <c r="X42" s="177"/>
      <c r="Y42" s="177"/>
      <c r="Z42" s="177"/>
      <c r="AA42" s="177"/>
      <c r="AB42" s="177"/>
      <c r="AC42" s="177"/>
      <c r="AD42" s="180" t="s">
        <v>1605</v>
      </c>
      <c r="AE42" s="173" t="s">
        <v>69</v>
      </c>
      <c r="AF42" s="181" t="s">
        <v>142</v>
      </c>
      <c r="AG42" s="192" t="s">
        <v>1657</v>
      </c>
      <c r="AH42" s="198"/>
      <c r="AI42" s="181">
        <v>44849</v>
      </c>
      <c r="AJ42" s="181"/>
      <c r="AK42" s="181">
        <f t="shared" ca="1" si="1"/>
        <v>44958</v>
      </c>
      <c r="AL42" s="173">
        <f t="shared" ca="1" si="2"/>
        <v>109</v>
      </c>
      <c r="AM42" s="173" t="str">
        <f t="shared" si="3"/>
        <v/>
      </c>
      <c r="AN42" s="181"/>
      <c r="AO42" s="190" t="s">
        <v>4129</v>
      </c>
      <c r="AP42" s="176">
        <v>10.545</v>
      </c>
      <c r="AQ42" s="176">
        <v>10.555</v>
      </c>
      <c r="AR42" s="176">
        <v>10.579999999999998</v>
      </c>
      <c r="AS42" s="176">
        <v>10.584999999999999</v>
      </c>
      <c r="AT42" s="173" t="str">
        <f t="shared" si="4"/>
        <v/>
      </c>
      <c r="AU42" s="173">
        <v>456</v>
      </c>
      <c r="AW42" s="142" t="s">
        <v>123</v>
      </c>
    </row>
    <row r="43" spans="2:49" s="142" customFormat="1" ht="21" customHeight="1" x14ac:dyDescent="0.25">
      <c r="B43" s="173" t="str">
        <f t="shared" si="0"/>
        <v>0-304L/FH-1.45X637</v>
      </c>
      <c r="C43" s="173" t="s">
        <v>4423</v>
      </c>
      <c r="D43" s="173" t="s">
        <v>16</v>
      </c>
      <c r="E43" s="190" t="s">
        <v>4221</v>
      </c>
      <c r="F43" s="190" t="s">
        <v>4222</v>
      </c>
      <c r="G43" s="173" t="s">
        <v>182</v>
      </c>
      <c r="H43" s="173" t="s">
        <v>70</v>
      </c>
      <c r="I43" s="174">
        <v>3.89</v>
      </c>
      <c r="J43" s="174">
        <v>1.45</v>
      </c>
      <c r="K43" s="174"/>
      <c r="L43" s="174"/>
      <c r="M43" s="191">
        <v>637</v>
      </c>
      <c r="N43" s="176">
        <v>10.53</v>
      </c>
      <c r="O43" s="176">
        <v>10.53</v>
      </c>
      <c r="P43" s="176" t="s">
        <v>114</v>
      </c>
      <c r="Q43" s="178" t="s">
        <v>1592</v>
      </c>
      <c r="R43" s="179"/>
      <c r="S43" s="179"/>
      <c r="T43" s="177">
        <v>44949</v>
      </c>
      <c r="U43" s="177"/>
      <c r="V43" s="177"/>
      <c r="W43" s="177">
        <v>44950</v>
      </c>
      <c r="X43" s="177"/>
      <c r="Y43" s="177"/>
      <c r="Z43" s="177"/>
      <c r="AA43" s="177"/>
      <c r="AB43" s="177"/>
      <c r="AC43" s="177"/>
      <c r="AD43" s="180" t="s">
        <v>1605</v>
      </c>
      <c r="AE43" s="173" t="s">
        <v>69</v>
      </c>
      <c r="AF43" s="181" t="s">
        <v>142</v>
      </c>
      <c r="AG43" s="192" t="s">
        <v>1657</v>
      </c>
      <c r="AH43" s="198"/>
      <c r="AI43" s="181">
        <v>44849</v>
      </c>
      <c r="AJ43" s="181"/>
      <c r="AK43" s="181">
        <f t="shared" ca="1" si="1"/>
        <v>44958</v>
      </c>
      <c r="AL43" s="173">
        <f t="shared" ca="1" si="2"/>
        <v>109</v>
      </c>
      <c r="AM43" s="173" t="str">
        <f t="shared" si="3"/>
        <v/>
      </c>
      <c r="AN43" s="181"/>
      <c r="AO43" s="190" t="s">
        <v>1729</v>
      </c>
      <c r="AP43" s="176">
        <v>10.53</v>
      </c>
      <c r="AQ43" s="176">
        <v>10.54</v>
      </c>
      <c r="AR43" s="176">
        <v>10.564999999999998</v>
      </c>
      <c r="AS43" s="176">
        <v>10.569999999999999</v>
      </c>
      <c r="AT43" s="173" t="str">
        <f t="shared" si="4"/>
        <v/>
      </c>
      <c r="AU43" s="173">
        <v>456</v>
      </c>
      <c r="AW43" s="142" t="s">
        <v>123</v>
      </c>
    </row>
    <row r="44" spans="2:49" s="142" customFormat="1" ht="21" customHeight="1" x14ac:dyDescent="0.25">
      <c r="B44" s="173" t="str">
        <f t="shared" si="0"/>
        <v>0-304L/FH-1.45X637</v>
      </c>
      <c r="C44" s="173" t="s">
        <v>4423</v>
      </c>
      <c r="D44" s="173" t="s">
        <v>16</v>
      </c>
      <c r="E44" s="190" t="s">
        <v>4202</v>
      </c>
      <c r="F44" s="190" t="s">
        <v>4203</v>
      </c>
      <c r="G44" s="173" t="s">
        <v>182</v>
      </c>
      <c r="H44" s="173" t="s">
        <v>70</v>
      </c>
      <c r="I44" s="174">
        <v>3.89</v>
      </c>
      <c r="J44" s="174">
        <v>1.45</v>
      </c>
      <c r="K44" s="174"/>
      <c r="L44" s="174"/>
      <c r="M44" s="191">
        <v>637</v>
      </c>
      <c r="N44" s="176">
        <v>10.33</v>
      </c>
      <c r="O44" s="176">
        <v>10.33</v>
      </c>
      <c r="P44" s="176" t="s">
        <v>114</v>
      </c>
      <c r="Q44" s="178" t="s">
        <v>1592</v>
      </c>
      <c r="R44" s="179"/>
      <c r="S44" s="179"/>
      <c r="T44" s="177">
        <v>44948</v>
      </c>
      <c r="U44" s="177"/>
      <c r="V44" s="177"/>
      <c r="W44" s="177">
        <v>44950</v>
      </c>
      <c r="X44" s="177"/>
      <c r="Y44" s="177"/>
      <c r="Z44" s="177"/>
      <c r="AA44" s="177"/>
      <c r="AB44" s="177"/>
      <c r="AC44" s="177"/>
      <c r="AD44" s="180" t="s">
        <v>1605</v>
      </c>
      <c r="AE44" s="173" t="s">
        <v>69</v>
      </c>
      <c r="AF44" s="181" t="s">
        <v>142</v>
      </c>
      <c r="AG44" s="192" t="s">
        <v>1657</v>
      </c>
      <c r="AH44" s="198"/>
      <c r="AI44" s="181">
        <v>44849</v>
      </c>
      <c r="AJ44" s="181"/>
      <c r="AK44" s="181">
        <f t="shared" ca="1" si="1"/>
        <v>44958</v>
      </c>
      <c r="AL44" s="173">
        <f t="shared" ca="1" si="2"/>
        <v>109</v>
      </c>
      <c r="AM44" s="173" t="str">
        <f t="shared" si="3"/>
        <v/>
      </c>
      <c r="AN44" s="181"/>
      <c r="AO44" s="190" t="s">
        <v>4204</v>
      </c>
      <c r="AP44" s="176">
        <v>10.33</v>
      </c>
      <c r="AQ44" s="176">
        <v>10.34</v>
      </c>
      <c r="AR44" s="176">
        <v>10.364999999999998</v>
      </c>
      <c r="AS44" s="176">
        <v>10.37</v>
      </c>
      <c r="AT44" s="173" t="str">
        <f t="shared" si="4"/>
        <v/>
      </c>
      <c r="AU44" s="173">
        <v>456</v>
      </c>
      <c r="AW44" s="142" t="s">
        <v>123</v>
      </c>
    </row>
    <row r="45" spans="2:49" s="142" customFormat="1" ht="21" customHeight="1" x14ac:dyDescent="0.25">
      <c r="B45" s="173" t="str">
        <f t="shared" si="0"/>
        <v>0-304L/FH-1.15X643</v>
      </c>
      <c r="C45" s="173" t="s">
        <v>4423</v>
      </c>
      <c r="D45" s="173" t="s">
        <v>16</v>
      </c>
      <c r="E45" s="190" t="s">
        <v>1704</v>
      </c>
      <c r="F45" s="190" t="s">
        <v>1705</v>
      </c>
      <c r="G45" s="173" t="s">
        <v>182</v>
      </c>
      <c r="H45" s="173" t="s">
        <v>70</v>
      </c>
      <c r="I45" s="174">
        <v>3.38</v>
      </c>
      <c r="J45" s="174">
        <v>1.1499999999999999</v>
      </c>
      <c r="K45" s="174"/>
      <c r="L45" s="174"/>
      <c r="M45" s="191">
        <v>643</v>
      </c>
      <c r="N45" s="176">
        <v>2.085</v>
      </c>
      <c r="O45" s="176">
        <v>2.085</v>
      </c>
      <c r="P45" s="176" t="s">
        <v>114</v>
      </c>
      <c r="Q45" s="178" t="s">
        <v>1592</v>
      </c>
      <c r="R45" s="179"/>
      <c r="S45" s="179"/>
      <c r="T45" s="177">
        <v>44949</v>
      </c>
      <c r="U45" s="177"/>
      <c r="V45" s="177"/>
      <c r="W45" s="177">
        <v>44950</v>
      </c>
      <c r="X45" s="177"/>
      <c r="Y45" s="177"/>
      <c r="Z45" s="177"/>
      <c r="AA45" s="177"/>
      <c r="AB45" s="177"/>
      <c r="AC45" s="177"/>
      <c r="AD45" s="180" t="s">
        <v>1605</v>
      </c>
      <c r="AE45" s="173" t="s">
        <v>69</v>
      </c>
      <c r="AF45" s="181" t="s">
        <v>142</v>
      </c>
      <c r="AG45" s="192" t="s">
        <v>1657</v>
      </c>
      <c r="AH45" s="198"/>
      <c r="AI45" s="181">
        <v>44849</v>
      </c>
      <c r="AJ45" s="181"/>
      <c r="AK45" s="181">
        <f t="shared" ca="1" si="1"/>
        <v>44958</v>
      </c>
      <c r="AL45" s="173">
        <f t="shared" ca="1" si="2"/>
        <v>109</v>
      </c>
      <c r="AM45" s="173" t="str">
        <f t="shared" si="3"/>
        <v/>
      </c>
      <c r="AN45" s="181"/>
      <c r="AO45" s="190" t="s">
        <v>1706</v>
      </c>
      <c r="AP45" s="176">
        <v>10.574999999999999</v>
      </c>
      <c r="AQ45" s="176">
        <v>10.585000000000001</v>
      </c>
      <c r="AR45" s="176">
        <v>10.61</v>
      </c>
      <c r="AS45" s="176">
        <v>10.615</v>
      </c>
      <c r="AT45" s="173" t="str">
        <f t="shared" si="4"/>
        <v/>
      </c>
      <c r="AU45" s="173">
        <v>456</v>
      </c>
      <c r="AW45" s="142" t="s">
        <v>123</v>
      </c>
    </row>
    <row r="46" spans="2:49" s="142" customFormat="1" ht="21" customHeight="1" x14ac:dyDescent="0.25">
      <c r="B46" s="173" t="str">
        <f t="shared" si="0"/>
        <v>0-304/FH-1.15X643</v>
      </c>
      <c r="C46" s="173" t="s">
        <v>4424</v>
      </c>
      <c r="D46" s="173" t="s">
        <v>16</v>
      </c>
      <c r="E46" s="190" t="s">
        <v>4182</v>
      </c>
      <c r="F46" s="190" t="s">
        <v>4183</v>
      </c>
      <c r="G46" s="173">
        <v>304</v>
      </c>
      <c r="H46" s="173" t="s">
        <v>70</v>
      </c>
      <c r="I46" s="174">
        <v>3.39</v>
      </c>
      <c r="J46" s="174">
        <v>1.1499999999999999</v>
      </c>
      <c r="K46" s="174"/>
      <c r="L46" s="174"/>
      <c r="M46" s="191">
        <v>643</v>
      </c>
      <c r="N46" s="176">
        <v>10.055</v>
      </c>
      <c r="O46" s="176">
        <v>10.055</v>
      </c>
      <c r="P46" s="176" t="s">
        <v>114</v>
      </c>
      <c r="Q46" s="178" t="s">
        <v>1592</v>
      </c>
      <c r="R46" s="179"/>
      <c r="S46" s="179"/>
      <c r="T46" s="177">
        <v>44946</v>
      </c>
      <c r="U46" s="177"/>
      <c r="V46" s="177"/>
      <c r="W46" s="177">
        <v>44951</v>
      </c>
      <c r="X46" s="177"/>
      <c r="Y46" s="177"/>
      <c r="Z46" s="177"/>
      <c r="AA46" s="177"/>
      <c r="AB46" s="177"/>
      <c r="AC46" s="177"/>
      <c r="AD46" s="180" t="s">
        <v>1605</v>
      </c>
      <c r="AE46" s="173" t="s">
        <v>69</v>
      </c>
      <c r="AF46" s="181" t="s">
        <v>142</v>
      </c>
      <c r="AG46" s="192" t="s">
        <v>1657</v>
      </c>
      <c r="AH46" s="198"/>
      <c r="AI46" s="181">
        <v>44849</v>
      </c>
      <c r="AJ46" s="181"/>
      <c r="AK46" s="181">
        <f t="shared" ca="1" si="1"/>
        <v>44958</v>
      </c>
      <c r="AL46" s="173">
        <f t="shared" ca="1" si="2"/>
        <v>109</v>
      </c>
      <c r="AM46" s="173" t="str">
        <f t="shared" si="3"/>
        <v/>
      </c>
      <c r="AN46" s="181"/>
      <c r="AO46" s="190" t="s">
        <v>4184</v>
      </c>
      <c r="AP46" s="176">
        <v>10.055</v>
      </c>
      <c r="AQ46" s="176">
        <v>10.065</v>
      </c>
      <c r="AR46" s="176">
        <v>10.089999999999998</v>
      </c>
      <c r="AS46" s="176">
        <v>10.094999999999999</v>
      </c>
      <c r="AT46" s="173" t="str">
        <f t="shared" si="4"/>
        <v/>
      </c>
      <c r="AU46" s="173">
        <v>456</v>
      </c>
      <c r="AW46" s="142" t="s">
        <v>123</v>
      </c>
    </row>
    <row r="47" spans="2:49" s="142" customFormat="1" ht="21" customHeight="1" x14ac:dyDescent="0.25">
      <c r="B47" s="173" t="str">
        <f t="shared" si="0"/>
        <v>0-304L/FH-1.15X642</v>
      </c>
      <c r="C47" s="173" t="s">
        <v>4425</v>
      </c>
      <c r="D47" s="173" t="s">
        <v>16</v>
      </c>
      <c r="E47" s="190" t="s">
        <v>4338</v>
      </c>
      <c r="F47" s="190" t="s">
        <v>4339</v>
      </c>
      <c r="G47" s="173" t="s">
        <v>182</v>
      </c>
      <c r="H47" s="173" t="s">
        <v>70</v>
      </c>
      <c r="I47" s="174">
        <v>2.89</v>
      </c>
      <c r="J47" s="174">
        <v>1.1499999999999999</v>
      </c>
      <c r="K47" s="174"/>
      <c r="L47" s="174"/>
      <c r="M47" s="191">
        <v>642</v>
      </c>
      <c r="N47" s="176">
        <v>10.755000000000001</v>
      </c>
      <c r="O47" s="176">
        <v>10.755000000000001</v>
      </c>
      <c r="P47" s="176" t="s">
        <v>114</v>
      </c>
      <c r="Q47" s="178" t="s">
        <v>1592</v>
      </c>
      <c r="R47" s="179"/>
      <c r="S47" s="179"/>
      <c r="T47" s="177"/>
      <c r="U47" s="177">
        <v>44951</v>
      </c>
      <c r="V47" s="177"/>
      <c r="W47" s="177">
        <v>44952</v>
      </c>
      <c r="X47" s="177"/>
      <c r="Y47" s="177"/>
      <c r="Z47" s="177"/>
      <c r="AA47" s="177"/>
      <c r="AB47" s="177"/>
      <c r="AC47" s="177"/>
      <c r="AD47" s="180" t="s">
        <v>1643</v>
      </c>
      <c r="AE47" s="173" t="s">
        <v>69</v>
      </c>
      <c r="AF47" s="181" t="s">
        <v>142</v>
      </c>
      <c r="AG47" s="192" t="s">
        <v>1594</v>
      </c>
      <c r="AH47" s="198"/>
      <c r="AI47" s="181">
        <v>44849</v>
      </c>
      <c r="AJ47" s="181"/>
      <c r="AK47" s="181">
        <f t="shared" ca="1" si="1"/>
        <v>44958</v>
      </c>
      <c r="AL47" s="173">
        <f t="shared" ca="1" si="2"/>
        <v>109</v>
      </c>
      <c r="AM47" s="173" t="str">
        <f t="shared" si="3"/>
        <v/>
      </c>
      <c r="AN47" s="181"/>
      <c r="AO47" s="190" t="s">
        <v>1640</v>
      </c>
      <c r="AP47" s="176">
        <v>10.755000000000001</v>
      </c>
      <c r="AQ47" s="176">
        <v>10.765000000000001</v>
      </c>
      <c r="AR47" s="176">
        <v>10.79</v>
      </c>
      <c r="AS47" s="176">
        <v>10.795</v>
      </c>
      <c r="AT47" s="173" t="str">
        <f t="shared" si="4"/>
        <v/>
      </c>
      <c r="AU47" s="173">
        <v>456</v>
      </c>
      <c r="AW47" s="142" t="s">
        <v>123</v>
      </c>
    </row>
    <row r="48" spans="2:49" s="142" customFormat="1" ht="21" customHeight="1" x14ac:dyDescent="0.25">
      <c r="B48" s="173" t="str">
        <f t="shared" si="0"/>
        <v>0-304L/FH-0.90X643</v>
      </c>
      <c r="C48" s="173" t="s">
        <v>4425</v>
      </c>
      <c r="D48" s="173" t="s">
        <v>16</v>
      </c>
      <c r="E48" s="190" t="s">
        <v>4336</v>
      </c>
      <c r="F48" s="190" t="s">
        <v>4337</v>
      </c>
      <c r="G48" s="173" t="s">
        <v>182</v>
      </c>
      <c r="H48" s="173" t="s">
        <v>70</v>
      </c>
      <c r="I48" s="174">
        <v>2.89</v>
      </c>
      <c r="J48" s="174">
        <v>0.9</v>
      </c>
      <c r="K48" s="174"/>
      <c r="L48" s="174"/>
      <c r="M48" s="191">
        <v>643</v>
      </c>
      <c r="N48" s="176">
        <v>10.77</v>
      </c>
      <c r="O48" s="176">
        <v>10.77</v>
      </c>
      <c r="P48" s="176" t="s">
        <v>114</v>
      </c>
      <c r="Q48" s="178" t="s">
        <v>1210</v>
      </c>
      <c r="R48" s="179"/>
      <c r="S48" s="179"/>
      <c r="T48" s="177"/>
      <c r="U48" s="177">
        <v>44951</v>
      </c>
      <c r="V48" s="177"/>
      <c r="W48" s="177">
        <v>44952</v>
      </c>
      <c r="X48" s="177"/>
      <c r="Y48" s="177"/>
      <c r="Z48" s="177"/>
      <c r="AA48" s="177"/>
      <c r="AB48" s="177"/>
      <c r="AC48" s="177"/>
      <c r="AD48" s="180" t="s">
        <v>1643</v>
      </c>
      <c r="AE48" s="173" t="s">
        <v>69</v>
      </c>
      <c r="AF48" s="181" t="s">
        <v>142</v>
      </c>
      <c r="AG48" s="192" t="s">
        <v>1594</v>
      </c>
      <c r="AH48" s="198"/>
      <c r="AI48" s="181">
        <v>44849</v>
      </c>
      <c r="AJ48" s="181"/>
      <c r="AK48" s="181">
        <f t="shared" ca="1" si="1"/>
        <v>44958</v>
      </c>
      <c r="AL48" s="173">
        <f t="shared" ca="1" si="2"/>
        <v>109</v>
      </c>
      <c r="AM48" s="173" t="str">
        <f t="shared" si="3"/>
        <v/>
      </c>
      <c r="AN48" s="181"/>
      <c r="AO48" s="190" t="s">
        <v>4321</v>
      </c>
      <c r="AP48" s="176">
        <v>10.77</v>
      </c>
      <c r="AQ48" s="176">
        <v>10.78</v>
      </c>
      <c r="AR48" s="176">
        <v>10.804999999999998</v>
      </c>
      <c r="AS48" s="176">
        <v>10.809999999999999</v>
      </c>
      <c r="AT48" s="173" t="str">
        <f t="shared" si="4"/>
        <v/>
      </c>
      <c r="AU48" s="173">
        <v>456</v>
      </c>
      <c r="AW48" s="142" t="s">
        <v>123</v>
      </c>
    </row>
    <row r="49" spans="2:49" s="142" customFormat="1" ht="21" customHeight="1" x14ac:dyDescent="0.25">
      <c r="B49" s="173" t="str">
        <f t="shared" si="0"/>
        <v>0-304L/FH-1.15X643</v>
      </c>
      <c r="C49" s="173" t="s">
        <v>4425</v>
      </c>
      <c r="D49" s="173" t="s">
        <v>16</v>
      </c>
      <c r="E49" s="190" t="s">
        <v>4333</v>
      </c>
      <c r="F49" s="190" t="s">
        <v>4334</v>
      </c>
      <c r="G49" s="173" t="s">
        <v>182</v>
      </c>
      <c r="H49" s="173" t="s">
        <v>70</v>
      </c>
      <c r="I49" s="174">
        <v>2.99</v>
      </c>
      <c r="J49" s="174">
        <v>1.1499999999999999</v>
      </c>
      <c r="K49" s="174"/>
      <c r="L49" s="174"/>
      <c r="M49" s="191">
        <v>643</v>
      </c>
      <c r="N49" s="176">
        <v>10.76</v>
      </c>
      <c r="O49" s="176">
        <v>10.76</v>
      </c>
      <c r="P49" s="176" t="s">
        <v>114</v>
      </c>
      <c r="Q49" s="178" t="s">
        <v>1592</v>
      </c>
      <c r="R49" s="179"/>
      <c r="S49" s="179"/>
      <c r="T49" s="177">
        <v>44950</v>
      </c>
      <c r="U49" s="177"/>
      <c r="V49" s="177"/>
      <c r="W49" s="177">
        <v>44952</v>
      </c>
      <c r="X49" s="177"/>
      <c r="Y49" s="177"/>
      <c r="Z49" s="177"/>
      <c r="AA49" s="177"/>
      <c r="AB49" s="177"/>
      <c r="AC49" s="177"/>
      <c r="AD49" s="180" t="s">
        <v>1643</v>
      </c>
      <c r="AE49" s="173" t="s">
        <v>69</v>
      </c>
      <c r="AF49" s="181" t="s">
        <v>142</v>
      </c>
      <c r="AG49" s="192" t="s">
        <v>1657</v>
      </c>
      <c r="AH49" s="198"/>
      <c r="AI49" s="181">
        <v>44849</v>
      </c>
      <c r="AJ49" s="181"/>
      <c r="AK49" s="181">
        <f t="shared" ca="1" si="1"/>
        <v>44958</v>
      </c>
      <c r="AL49" s="173">
        <f t="shared" ca="1" si="2"/>
        <v>109</v>
      </c>
      <c r="AM49" s="173" t="str">
        <f t="shared" si="3"/>
        <v/>
      </c>
      <c r="AN49" s="181"/>
      <c r="AO49" s="190" t="s">
        <v>1673</v>
      </c>
      <c r="AP49" s="176">
        <v>10.76</v>
      </c>
      <c r="AQ49" s="176">
        <v>10.77</v>
      </c>
      <c r="AR49" s="176">
        <v>10.794999999999998</v>
      </c>
      <c r="AS49" s="176">
        <v>10.799999999999999</v>
      </c>
      <c r="AT49" s="173" t="str">
        <f t="shared" si="4"/>
        <v/>
      </c>
      <c r="AU49" s="173">
        <v>456</v>
      </c>
      <c r="AW49" s="142" t="s">
        <v>123</v>
      </c>
    </row>
    <row r="50" spans="2:49" s="142" customFormat="1" ht="21" customHeight="1" x14ac:dyDescent="0.25">
      <c r="B50" s="173" t="str">
        <f t="shared" si="0"/>
        <v>0-304L/FH-1.45X638</v>
      </c>
      <c r="C50" s="173" t="s">
        <v>4425</v>
      </c>
      <c r="D50" s="173" t="s">
        <v>16</v>
      </c>
      <c r="E50" s="190" t="s">
        <v>4234</v>
      </c>
      <c r="F50" s="190" t="s">
        <v>4235</v>
      </c>
      <c r="G50" s="173" t="s">
        <v>182</v>
      </c>
      <c r="H50" s="173" t="s">
        <v>70</v>
      </c>
      <c r="I50" s="174">
        <v>3.88</v>
      </c>
      <c r="J50" s="174">
        <v>1.45</v>
      </c>
      <c r="K50" s="174"/>
      <c r="L50" s="174"/>
      <c r="M50" s="191">
        <v>638</v>
      </c>
      <c r="N50" s="176">
        <v>10.395</v>
      </c>
      <c r="O50" s="176">
        <v>10.395</v>
      </c>
      <c r="P50" s="176" t="s">
        <v>114</v>
      </c>
      <c r="Q50" s="178" t="s">
        <v>1210</v>
      </c>
      <c r="R50" s="179"/>
      <c r="S50" s="179"/>
      <c r="T50" s="177"/>
      <c r="U50" s="177">
        <v>44951</v>
      </c>
      <c r="V50" s="177"/>
      <c r="W50" s="177">
        <v>44952</v>
      </c>
      <c r="X50" s="177"/>
      <c r="Y50" s="177"/>
      <c r="Z50" s="177"/>
      <c r="AA50" s="177"/>
      <c r="AB50" s="177"/>
      <c r="AC50" s="177"/>
      <c r="AD50" s="180" t="s">
        <v>1609</v>
      </c>
      <c r="AE50" s="173" t="s">
        <v>69</v>
      </c>
      <c r="AF50" s="181" t="s">
        <v>142</v>
      </c>
      <c r="AG50" s="192" t="s">
        <v>1594</v>
      </c>
      <c r="AH50" s="198"/>
      <c r="AI50" s="181">
        <v>44849</v>
      </c>
      <c r="AJ50" s="181"/>
      <c r="AK50" s="181">
        <f t="shared" ca="1" si="1"/>
        <v>44958</v>
      </c>
      <c r="AL50" s="173">
        <f t="shared" ca="1" si="2"/>
        <v>109</v>
      </c>
      <c r="AM50" s="173" t="str">
        <f t="shared" si="3"/>
        <v/>
      </c>
      <c r="AN50" s="181"/>
      <c r="AO50" s="190" t="s">
        <v>1612</v>
      </c>
      <c r="AP50" s="176">
        <v>10.395</v>
      </c>
      <c r="AQ50" s="176">
        <v>10.404999999999999</v>
      </c>
      <c r="AR50" s="176">
        <v>10.429999999999998</v>
      </c>
      <c r="AS50" s="176">
        <v>10.434999999999999</v>
      </c>
      <c r="AT50" s="173" t="str">
        <f t="shared" si="4"/>
        <v/>
      </c>
      <c r="AU50" s="173">
        <v>456</v>
      </c>
      <c r="AW50" s="142" t="s">
        <v>123</v>
      </c>
    </row>
    <row r="51" spans="2:49" s="142" customFormat="1" ht="21" customHeight="1" x14ac:dyDescent="0.25">
      <c r="B51" s="173" t="str">
        <f t="shared" si="0"/>
        <v>0-304L/FH-1.45X642</v>
      </c>
      <c r="C51" s="173" t="s">
        <v>4426</v>
      </c>
      <c r="D51" s="173" t="s">
        <v>16</v>
      </c>
      <c r="E51" s="190" t="s">
        <v>1623</v>
      </c>
      <c r="F51" s="190" t="s">
        <v>1624</v>
      </c>
      <c r="G51" s="173" t="s">
        <v>182</v>
      </c>
      <c r="H51" s="173" t="s">
        <v>70</v>
      </c>
      <c r="I51" s="174">
        <v>3.88</v>
      </c>
      <c r="J51" s="174">
        <v>1.45</v>
      </c>
      <c r="K51" s="174"/>
      <c r="L51" s="174"/>
      <c r="M51" s="191">
        <v>642</v>
      </c>
      <c r="N51" s="176">
        <v>10.494999999999999</v>
      </c>
      <c r="O51" s="176">
        <v>10.494999999999999</v>
      </c>
      <c r="P51" s="176" t="s">
        <v>114</v>
      </c>
      <c r="Q51" s="178" t="s">
        <v>1592</v>
      </c>
      <c r="R51" s="179"/>
      <c r="S51" s="179"/>
      <c r="T51" s="177">
        <v>44950</v>
      </c>
      <c r="U51" s="177"/>
      <c r="V51" s="177"/>
      <c r="W51" s="177">
        <v>44953</v>
      </c>
      <c r="X51" s="177"/>
      <c r="Y51" s="177"/>
      <c r="Z51" s="177"/>
      <c r="AA51" s="177"/>
      <c r="AB51" s="177"/>
      <c r="AC51" s="177"/>
      <c r="AD51" s="180" t="s">
        <v>1605</v>
      </c>
      <c r="AE51" s="173" t="s">
        <v>69</v>
      </c>
      <c r="AF51" s="181" t="s">
        <v>142</v>
      </c>
      <c r="AG51" s="192" t="s">
        <v>1594</v>
      </c>
      <c r="AH51" s="198"/>
      <c r="AI51" s="181">
        <v>44849</v>
      </c>
      <c r="AJ51" s="181"/>
      <c r="AK51" s="181">
        <f t="shared" ca="1" si="1"/>
        <v>44958</v>
      </c>
      <c r="AL51" s="173">
        <f t="shared" ca="1" si="2"/>
        <v>109</v>
      </c>
      <c r="AM51" s="173" t="str">
        <f t="shared" si="3"/>
        <v/>
      </c>
      <c r="AN51" s="181"/>
      <c r="AO51" s="190" t="s">
        <v>1625</v>
      </c>
      <c r="AP51" s="176">
        <v>10.494999999999999</v>
      </c>
      <c r="AQ51" s="176">
        <v>10.505000000000001</v>
      </c>
      <c r="AR51" s="176">
        <v>10.53</v>
      </c>
      <c r="AS51" s="176">
        <v>10.535</v>
      </c>
      <c r="AT51" s="173" t="str">
        <f t="shared" si="4"/>
        <v/>
      </c>
      <c r="AU51" s="173">
        <v>456</v>
      </c>
      <c r="AW51" s="142" t="s">
        <v>123</v>
      </c>
    </row>
    <row r="52" spans="2:49" s="142" customFormat="1" ht="21" customHeight="1" x14ac:dyDescent="0.25">
      <c r="B52" s="173" t="str">
        <f>IF(C52="HOLD RM","HOLD RM",IF(C52="BAL","WIP",IF(C52="HOLD SLT","HOLD SLT",IF(C52="MILL","RM",IF(C52="RE SLT","WIP",IF(C52="RM","RM",IF(C52="RM BAL","RM",IF(C52="RM SLT","RM",IF(C52="RR","WIP",IF(C52="SKP","WIP",IF(C52="SLT","WIP",IF(C52="CTL","WIP",IF(C52="RM SLT RUST","RM SLT RUST",0)))))))))))))&amp;"-"&amp;G52&amp;"/"&amp;IF(H52="2B","2B",IF(H52="NO.1","1D",IF(H52="FH","FH",0)))&amp;"-"&amp;IF(J52="",(TEXT(I52,"0.00")),TEXT(J52,"0.00"))&amp;"X"&amp;M52</f>
        <v>0-304L/FH-0.98X765</v>
      </c>
      <c r="C52" s="173" t="s">
        <v>4427</v>
      </c>
      <c r="D52" s="173" t="s">
        <v>16</v>
      </c>
      <c r="E52" s="190" t="s">
        <v>2352</v>
      </c>
      <c r="F52" s="190" t="s">
        <v>2353</v>
      </c>
      <c r="G52" s="173" t="s">
        <v>182</v>
      </c>
      <c r="H52" s="173" t="s">
        <v>70</v>
      </c>
      <c r="I52" s="174">
        <v>2</v>
      </c>
      <c r="J52" s="174">
        <v>0.98</v>
      </c>
      <c r="K52" s="174"/>
      <c r="L52" s="174"/>
      <c r="M52" s="191">
        <v>765</v>
      </c>
      <c r="N52" s="176">
        <v>10.57</v>
      </c>
      <c r="O52" s="176">
        <v>10.57</v>
      </c>
      <c r="P52" s="176" t="s">
        <v>114</v>
      </c>
      <c r="Q52" s="178" t="s">
        <v>1386</v>
      </c>
      <c r="R52" s="179"/>
      <c r="S52" s="179"/>
      <c r="T52" s="177" t="s">
        <v>2354</v>
      </c>
      <c r="U52" s="177"/>
      <c r="V52" s="177">
        <v>44940</v>
      </c>
      <c r="W52" s="177">
        <v>44955</v>
      </c>
      <c r="X52" s="177">
        <v>44950</v>
      </c>
      <c r="Y52" s="177"/>
      <c r="Z52" s="177"/>
      <c r="AA52" s="177"/>
      <c r="AB52" s="177"/>
      <c r="AC52" s="177"/>
      <c r="AD52" s="180" t="s">
        <v>1345</v>
      </c>
      <c r="AE52" s="173" t="s">
        <v>69</v>
      </c>
      <c r="AF52" s="181" t="s">
        <v>142</v>
      </c>
      <c r="AG52" s="192" t="s">
        <v>1653</v>
      </c>
      <c r="AH52" s="198"/>
      <c r="AI52" s="181">
        <v>44880</v>
      </c>
      <c r="AJ52" s="181"/>
      <c r="AK52" s="181">
        <f ca="1">TODAY()</f>
        <v>44958</v>
      </c>
      <c r="AL52" s="173">
        <f ca="1">IF(AI52&lt;&gt;0,AK52-AI52,0)</f>
        <v>78</v>
      </c>
      <c r="AM52" s="173">
        <f ca="1">IF(ISNUMBER(X52)=TRUE,AK52-X52,IF(X52="","",(AK52)-(MID(RIGHT(X52,10),4,2)&amp;"/"&amp;LEFT((RIGHT(X52,10)),2)&amp;"/"&amp;RIGHT(X52,4))))</f>
        <v>8</v>
      </c>
      <c r="AN52" s="181"/>
      <c r="AO52" s="190" t="s">
        <v>2355</v>
      </c>
      <c r="AP52" s="176">
        <v>10.61</v>
      </c>
      <c r="AQ52" s="176">
        <v>10.62</v>
      </c>
      <c r="AR52" s="176">
        <v>10.644999999999998</v>
      </c>
      <c r="AS52" s="176">
        <v>10.649999999999999</v>
      </c>
      <c r="AT52" s="173">
        <f t="shared" ca="1" si="4"/>
        <v>18</v>
      </c>
      <c r="AU52" s="173">
        <v>459</v>
      </c>
      <c r="AW52" s="142" t="s">
        <v>123</v>
      </c>
    </row>
    <row r="53" spans="2:49" s="142" customFormat="1" ht="21" customHeight="1" x14ac:dyDescent="0.25">
      <c r="B53" s="173" t="str">
        <f t="shared" si="0"/>
        <v>0-304L/FH-1.45X638</v>
      </c>
      <c r="C53" s="173" t="s">
        <v>4428</v>
      </c>
      <c r="D53" s="173" t="s">
        <v>16</v>
      </c>
      <c r="E53" s="190" t="s">
        <v>1701</v>
      </c>
      <c r="F53" s="190" t="s">
        <v>1702</v>
      </c>
      <c r="G53" s="173" t="s">
        <v>182</v>
      </c>
      <c r="H53" s="173" t="s">
        <v>70</v>
      </c>
      <c r="I53" s="174">
        <v>3.87</v>
      </c>
      <c r="J53" s="174">
        <v>1.45</v>
      </c>
      <c r="K53" s="174"/>
      <c r="L53" s="174"/>
      <c r="M53" s="191">
        <v>638</v>
      </c>
      <c r="N53" s="176">
        <v>10.515000000000001</v>
      </c>
      <c r="O53" s="176">
        <v>10.515000000000001</v>
      </c>
      <c r="P53" s="176" t="s">
        <v>114</v>
      </c>
      <c r="Q53" s="178" t="s">
        <v>1592</v>
      </c>
      <c r="R53" s="179"/>
      <c r="S53" s="179"/>
      <c r="T53" s="177" t="s">
        <v>1703</v>
      </c>
      <c r="U53" s="177"/>
      <c r="V53" s="177"/>
      <c r="W53" s="177">
        <v>44956</v>
      </c>
      <c r="X53" s="177"/>
      <c r="Y53" s="177"/>
      <c r="Z53" s="177"/>
      <c r="AA53" s="177"/>
      <c r="AB53" s="177"/>
      <c r="AC53" s="177"/>
      <c r="AD53" s="180" t="s">
        <v>1609</v>
      </c>
      <c r="AE53" s="173" t="s">
        <v>69</v>
      </c>
      <c r="AF53" s="181" t="s">
        <v>142</v>
      </c>
      <c r="AG53" s="192" t="s">
        <v>1657</v>
      </c>
      <c r="AH53" s="198"/>
      <c r="AI53" s="181">
        <v>44849</v>
      </c>
      <c r="AJ53" s="181"/>
      <c r="AK53" s="181">
        <f t="shared" ca="1" si="1"/>
        <v>44958</v>
      </c>
      <c r="AL53" s="173">
        <f t="shared" ca="1" si="2"/>
        <v>109</v>
      </c>
      <c r="AM53" s="173" t="str">
        <f t="shared" si="3"/>
        <v/>
      </c>
      <c r="AN53" s="181"/>
      <c r="AO53" s="190" t="s">
        <v>1700</v>
      </c>
      <c r="AP53" s="176">
        <v>10.515000000000001</v>
      </c>
      <c r="AQ53" s="176">
        <v>10.525</v>
      </c>
      <c r="AR53" s="176">
        <v>10.549999999999999</v>
      </c>
      <c r="AS53" s="176">
        <v>10.555</v>
      </c>
      <c r="AT53" s="173" t="str">
        <f t="shared" si="4"/>
        <v/>
      </c>
      <c r="AU53" s="173">
        <v>456</v>
      </c>
      <c r="AW53" s="142" t="s">
        <v>123</v>
      </c>
    </row>
    <row r="54" spans="2:49" s="142" customFormat="1" ht="21" customHeight="1" x14ac:dyDescent="0.25">
      <c r="B54" s="173" t="str">
        <f t="shared" si="0"/>
        <v>0-304/FH-1.15X643</v>
      </c>
      <c r="C54" s="173" t="s">
        <v>4428</v>
      </c>
      <c r="D54" s="173" t="s">
        <v>16</v>
      </c>
      <c r="E54" s="190" t="s">
        <v>1665</v>
      </c>
      <c r="F54" s="190" t="s">
        <v>1666</v>
      </c>
      <c r="G54" s="173">
        <v>304</v>
      </c>
      <c r="H54" s="173" t="s">
        <v>70</v>
      </c>
      <c r="I54" s="174">
        <v>3.51</v>
      </c>
      <c r="J54" s="174">
        <v>1.1499999999999999</v>
      </c>
      <c r="K54" s="174"/>
      <c r="L54" s="174"/>
      <c r="M54" s="191">
        <v>643</v>
      </c>
      <c r="N54" s="176">
        <v>10.63</v>
      </c>
      <c r="O54" s="176">
        <v>10.63</v>
      </c>
      <c r="P54" s="176" t="s">
        <v>114</v>
      </c>
      <c r="Q54" s="178" t="s">
        <v>1592</v>
      </c>
      <c r="R54" s="179"/>
      <c r="S54" s="179"/>
      <c r="T54" s="177"/>
      <c r="U54" s="177">
        <v>44953</v>
      </c>
      <c r="V54" s="177"/>
      <c r="W54" s="177">
        <v>44956</v>
      </c>
      <c r="X54" s="177"/>
      <c r="Y54" s="177"/>
      <c r="Z54" s="177"/>
      <c r="AA54" s="177"/>
      <c r="AB54" s="177"/>
      <c r="AC54" s="177"/>
      <c r="AD54" s="180" t="s">
        <v>1643</v>
      </c>
      <c r="AE54" s="173" t="s">
        <v>69</v>
      </c>
      <c r="AF54" s="181" t="s">
        <v>142</v>
      </c>
      <c r="AG54" s="192" t="s">
        <v>1657</v>
      </c>
      <c r="AH54" s="198"/>
      <c r="AI54" s="181">
        <v>44849</v>
      </c>
      <c r="AJ54" s="181"/>
      <c r="AK54" s="181">
        <f t="shared" ca="1" si="1"/>
        <v>44958</v>
      </c>
      <c r="AL54" s="173">
        <f t="shared" ca="1" si="2"/>
        <v>109</v>
      </c>
      <c r="AM54" s="173" t="str">
        <f t="shared" si="3"/>
        <v/>
      </c>
      <c r="AN54" s="181"/>
      <c r="AO54" s="190" t="s">
        <v>1667</v>
      </c>
      <c r="AP54" s="176">
        <v>10.63</v>
      </c>
      <c r="AQ54" s="176">
        <v>10.64</v>
      </c>
      <c r="AR54" s="176">
        <v>10.664999999999999</v>
      </c>
      <c r="AS54" s="176">
        <v>10.67</v>
      </c>
      <c r="AT54" s="173" t="str">
        <f t="shared" si="4"/>
        <v/>
      </c>
      <c r="AU54" s="173">
        <v>456</v>
      </c>
      <c r="AW54" s="142" t="s">
        <v>123</v>
      </c>
    </row>
    <row r="55" spans="2:49" s="142" customFormat="1" ht="21" customHeight="1" x14ac:dyDescent="0.25">
      <c r="B55" s="173" t="str">
        <f t="shared" si="0"/>
        <v>0-304L/FH-1.15X642</v>
      </c>
      <c r="C55" s="173" t="s">
        <v>4428</v>
      </c>
      <c r="D55" s="173" t="s">
        <v>16</v>
      </c>
      <c r="E55" s="190" t="s">
        <v>1714</v>
      </c>
      <c r="F55" s="190" t="s">
        <v>1715</v>
      </c>
      <c r="G55" s="173" t="s">
        <v>182</v>
      </c>
      <c r="H55" s="173" t="s">
        <v>70</v>
      </c>
      <c r="I55" s="174">
        <v>2.99</v>
      </c>
      <c r="J55" s="174">
        <v>1.1499999999999999</v>
      </c>
      <c r="K55" s="174"/>
      <c r="L55" s="174"/>
      <c r="M55" s="191">
        <v>642</v>
      </c>
      <c r="N55" s="176">
        <v>10.71</v>
      </c>
      <c r="O55" s="176">
        <v>10.71</v>
      </c>
      <c r="P55" s="176" t="s">
        <v>114</v>
      </c>
      <c r="Q55" s="178" t="s">
        <v>1592</v>
      </c>
      <c r="R55" s="179"/>
      <c r="S55" s="179"/>
      <c r="T55" s="177"/>
      <c r="U55" s="177">
        <v>44955</v>
      </c>
      <c r="V55" s="177"/>
      <c r="W55" s="177">
        <v>44956</v>
      </c>
      <c r="X55" s="177"/>
      <c r="Y55" s="177"/>
      <c r="Z55" s="177"/>
      <c r="AA55" s="177"/>
      <c r="AB55" s="177"/>
      <c r="AC55" s="177"/>
      <c r="AD55" s="180" t="s">
        <v>1593</v>
      </c>
      <c r="AE55" s="173" t="s">
        <v>69</v>
      </c>
      <c r="AF55" s="181" t="s">
        <v>142</v>
      </c>
      <c r="AG55" s="192" t="s">
        <v>1657</v>
      </c>
      <c r="AH55" s="198"/>
      <c r="AI55" s="181">
        <v>44849</v>
      </c>
      <c r="AJ55" s="181"/>
      <c r="AK55" s="181">
        <f t="shared" ca="1" si="1"/>
        <v>44958</v>
      </c>
      <c r="AL55" s="173">
        <f t="shared" ca="1" si="2"/>
        <v>109</v>
      </c>
      <c r="AM55" s="173" t="str">
        <f t="shared" si="3"/>
        <v/>
      </c>
      <c r="AN55" s="181"/>
      <c r="AO55" s="190" t="s">
        <v>1716</v>
      </c>
      <c r="AP55" s="176">
        <v>10.71</v>
      </c>
      <c r="AQ55" s="176">
        <v>10.72</v>
      </c>
      <c r="AR55" s="176">
        <v>10.744999999999999</v>
      </c>
      <c r="AS55" s="176">
        <v>10.75</v>
      </c>
      <c r="AT55" s="173" t="str">
        <f t="shared" si="4"/>
        <v/>
      </c>
      <c r="AU55" s="173">
        <v>456</v>
      </c>
      <c r="AW55" s="142" t="s">
        <v>123</v>
      </c>
    </row>
    <row r="56" spans="2:49" s="142" customFormat="1" ht="21" customHeight="1" x14ac:dyDescent="0.25">
      <c r="B56" s="173" t="str">
        <f t="shared" si="0"/>
        <v>0-304L/FH-1.15X643</v>
      </c>
      <c r="C56" s="173" t="s">
        <v>4428</v>
      </c>
      <c r="D56" s="173" t="s">
        <v>16</v>
      </c>
      <c r="E56" s="190" t="s">
        <v>1671</v>
      </c>
      <c r="F56" s="190" t="s">
        <v>1672</v>
      </c>
      <c r="G56" s="173" t="s">
        <v>182</v>
      </c>
      <c r="H56" s="173" t="s">
        <v>70</v>
      </c>
      <c r="I56" s="174">
        <v>2.99</v>
      </c>
      <c r="J56" s="174">
        <v>1.1499999999999999</v>
      </c>
      <c r="K56" s="174"/>
      <c r="L56" s="174"/>
      <c r="M56" s="191">
        <v>643</v>
      </c>
      <c r="N56" s="176">
        <v>10.71</v>
      </c>
      <c r="O56" s="176">
        <v>10.71</v>
      </c>
      <c r="P56" s="176" t="s">
        <v>114</v>
      </c>
      <c r="Q56" s="178" t="s">
        <v>1592</v>
      </c>
      <c r="R56" s="179"/>
      <c r="S56" s="179"/>
      <c r="T56" s="177"/>
      <c r="U56" s="177">
        <v>44955</v>
      </c>
      <c r="V56" s="177"/>
      <c r="W56" s="177">
        <v>44956</v>
      </c>
      <c r="X56" s="177"/>
      <c r="Y56" s="177"/>
      <c r="Z56" s="177"/>
      <c r="AA56" s="177"/>
      <c r="AB56" s="177"/>
      <c r="AC56" s="177"/>
      <c r="AD56" s="180" t="s">
        <v>1593</v>
      </c>
      <c r="AE56" s="173" t="s">
        <v>69</v>
      </c>
      <c r="AF56" s="181" t="s">
        <v>142</v>
      </c>
      <c r="AG56" s="192" t="s">
        <v>1657</v>
      </c>
      <c r="AH56" s="198"/>
      <c r="AI56" s="181">
        <v>44849</v>
      </c>
      <c r="AJ56" s="181"/>
      <c r="AK56" s="181">
        <f t="shared" ca="1" si="1"/>
        <v>44958</v>
      </c>
      <c r="AL56" s="173">
        <f t="shared" ca="1" si="2"/>
        <v>109</v>
      </c>
      <c r="AM56" s="173" t="str">
        <f t="shared" si="3"/>
        <v/>
      </c>
      <c r="AN56" s="181"/>
      <c r="AO56" s="190" t="s">
        <v>1673</v>
      </c>
      <c r="AP56" s="176">
        <v>10.71</v>
      </c>
      <c r="AQ56" s="176">
        <v>10.72</v>
      </c>
      <c r="AR56" s="176">
        <v>10.744999999999999</v>
      </c>
      <c r="AS56" s="176">
        <v>10.75</v>
      </c>
      <c r="AT56" s="173" t="str">
        <f t="shared" si="4"/>
        <v/>
      </c>
      <c r="AU56" s="173">
        <v>456</v>
      </c>
      <c r="AW56" s="142" t="s">
        <v>123</v>
      </c>
    </row>
    <row r="57" spans="2:49" s="142" customFormat="1" ht="21" customHeight="1" x14ac:dyDescent="0.25">
      <c r="B57" s="173" t="str">
        <f t="shared" si="0"/>
        <v>0-304L/FH-1.45X641</v>
      </c>
      <c r="C57" s="173" t="s">
        <v>4428</v>
      </c>
      <c r="D57" s="173" t="s">
        <v>16</v>
      </c>
      <c r="E57" s="190" t="s">
        <v>1698</v>
      </c>
      <c r="F57" s="190" t="s">
        <v>1699</v>
      </c>
      <c r="G57" s="173" t="s">
        <v>182</v>
      </c>
      <c r="H57" s="173" t="s">
        <v>70</v>
      </c>
      <c r="I57" s="174">
        <v>3.88</v>
      </c>
      <c r="J57" s="174">
        <v>1.45</v>
      </c>
      <c r="K57" s="174"/>
      <c r="L57" s="174"/>
      <c r="M57" s="191">
        <v>641</v>
      </c>
      <c r="N57" s="176">
        <v>10.6</v>
      </c>
      <c r="O57" s="176">
        <v>10.6</v>
      </c>
      <c r="P57" s="176" t="s">
        <v>114</v>
      </c>
      <c r="Q57" s="178" t="s">
        <v>1592</v>
      </c>
      <c r="R57" s="179"/>
      <c r="S57" s="179"/>
      <c r="T57" s="177">
        <v>44949</v>
      </c>
      <c r="U57" s="177"/>
      <c r="V57" s="177"/>
      <c r="W57" s="177">
        <v>44956</v>
      </c>
      <c r="X57" s="177"/>
      <c r="Y57" s="177"/>
      <c r="Z57" s="177"/>
      <c r="AA57" s="177"/>
      <c r="AB57" s="177"/>
      <c r="AC57" s="177"/>
      <c r="AD57" s="180" t="s">
        <v>1605</v>
      </c>
      <c r="AE57" s="173" t="s">
        <v>69</v>
      </c>
      <c r="AF57" s="181" t="s">
        <v>142</v>
      </c>
      <c r="AG57" s="192" t="s">
        <v>1657</v>
      </c>
      <c r="AH57" s="198"/>
      <c r="AI57" s="181">
        <v>44849</v>
      </c>
      <c r="AJ57" s="181"/>
      <c r="AK57" s="181">
        <f t="shared" ca="1" si="1"/>
        <v>44958</v>
      </c>
      <c r="AL57" s="173">
        <f t="shared" ca="1" si="2"/>
        <v>109</v>
      </c>
      <c r="AM57" s="173" t="str">
        <f t="shared" si="3"/>
        <v/>
      </c>
      <c r="AN57" s="181"/>
      <c r="AO57" s="190" t="s">
        <v>1700</v>
      </c>
      <c r="AP57" s="176">
        <v>10.6</v>
      </c>
      <c r="AQ57" s="176">
        <v>10.61</v>
      </c>
      <c r="AR57" s="176">
        <v>10.634999999999998</v>
      </c>
      <c r="AS57" s="176">
        <v>10.639999999999999</v>
      </c>
      <c r="AT57" s="173" t="str">
        <f t="shared" si="4"/>
        <v/>
      </c>
      <c r="AU57" s="173">
        <v>456</v>
      </c>
      <c r="AW57" s="142" t="s">
        <v>123</v>
      </c>
    </row>
    <row r="58" spans="2:49" s="142" customFormat="1" ht="21" customHeight="1" x14ac:dyDescent="0.25">
      <c r="B58" s="173" t="str">
        <f t="shared" si="0"/>
        <v>0-304L/FH-1.45X638</v>
      </c>
      <c r="C58" s="173" t="s">
        <v>4428</v>
      </c>
      <c r="D58" s="173" t="s">
        <v>16</v>
      </c>
      <c r="E58" s="190" t="s">
        <v>1659</v>
      </c>
      <c r="F58" s="190" t="s">
        <v>1660</v>
      </c>
      <c r="G58" s="173" t="s">
        <v>182</v>
      </c>
      <c r="H58" s="173" t="s">
        <v>70</v>
      </c>
      <c r="I58" s="174">
        <v>3.88</v>
      </c>
      <c r="J58" s="174">
        <v>1.45</v>
      </c>
      <c r="K58" s="174"/>
      <c r="L58" s="174"/>
      <c r="M58" s="191">
        <v>638</v>
      </c>
      <c r="N58" s="176">
        <v>10.414999999999999</v>
      </c>
      <c r="O58" s="176">
        <v>10.414999999999999</v>
      </c>
      <c r="P58" s="176" t="s">
        <v>114</v>
      </c>
      <c r="Q58" s="178" t="s">
        <v>1592</v>
      </c>
      <c r="R58" s="179"/>
      <c r="S58" s="179"/>
      <c r="T58" s="177">
        <v>44947</v>
      </c>
      <c r="U58" s="177"/>
      <c r="V58" s="177"/>
      <c r="W58" s="177">
        <v>44956</v>
      </c>
      <c r="X58" s="177"/>
      <c r="Y58" s="177"/>
      <c r="Z58" s="177"/>
      <c r="AA58" s="177"/>
      <c r="AB58" s="177"/>
      <c r="AC58" s="177"/>
      <c r="AD58" s="180" t="s">
        <v>1609</v>
      </c>
      <c r="AE58" s="173" t="s">
        <v>69</v>
      </c>
      <c r="AF58" s="181" t="s">
        <v>142</v>
      </c>
      <c r="AG58" s="192" t="s">
        <v>1657</v>
      </c>
      <c r="AH58" s="198"/>
      <c r="AI58" s="181">
        <v>44849</v>
      </c>
      <c r="AJ58" s="181"/>
      <c r="AK58" s="181">
        <f t="shared" ca="1" si="1"/>
        <v>44958</v>
      </c>
      <c r="AL58" s="173">
        <f t="shared" ca="1" si="2"/>
        <v>109</v>
      </c>
      <c r="AM58" s="173" t="str">
        <f t="shared" si="3"/>
        <v/>
      </c>
      <c r="AN58" s="181"/>
      <c r="AO58" s="190" t="s">
        <v>1661</v>
      </c>
      <c r="AP58" s="176">
        <v>10.414999999999999</v>
      </c>
      <c r="AQ58" s="176">
        <v>10.425000000000001</v>
      </c>
      <c r="AR58" s="176">
        <v>10.45</v>
      </c>
      <c r="AS58" s="176">
        <v>10.455</v>
      </c>
      <c r="AT58" s="173" t="str">
        <f t="shared" si="4"/>
        <v/>
      </c>
      <c r="AU58" s="173">
        <v>456</v>
      </c>
      <c r="AW58" s="142" t="s">
        <v>123</v>
      </c>
    </row>
    <row r="59" spans="2:49" s="142" customFormat="1" ht="21" customHeight="1" x14ac:dyDescent="0.25">
      <c r="B59" s="173" t="str">
        <f t="shared" si="0"/>
        <v>0-304L/FH-1.15X642</v>
      </c>
      <c r="C59" s="173" t="s">
        <v>4429</v>
      </c>
      <c r="D59" s="173" t="s">
        <v>16</v>
      </c>
      <c r="E59" s="190" t="s">
        <v>1708</v>
      </c>
      <c r="F59" s="190" t="s">
        <v>1709</v>
      </c>
      <c r="G59" s="173" t="s">
        <v>182</v>
      </c>
      <c r="H59" s="173" t="s">
        <v>70</v>
      </c>
      <c r="I59" s="174">
        <v>2.9</v>
      </c>
      <c r="J59" s="174">
        <v>1.1499999999999999</v>
      </c>
      <c r="K59" s="174"/>
      <c r="L59" s="174"/>
      <c r="M59" s="191">
        <v>642</v>
      </c>
      <c r="N59" s="349">
        <v>10.71</v>
      </c>
      <c r="O59" s="176">
        <v>4.3099999999999996</v>
      </c>
      <c r="P59" s="176" t="s">
        <v>114</v>
      </c>
      <c r="Q59" s="178" t="s">
        <v>361</v>
      </c>
      <c r="R59" s="179"/>
      <c r="S59" s="179"/>
      <c r="T59" s="177">
        <v>44957</v>
      </c>
      <c r="U59" s="177"/>
      <c r="V59" s="177"/>
      <c r="W59" s="177">
        <v>44957</v>
      </c>
      <c r="X59" s="177"/>
      <c r="Y59" s="177"/>
      <c r="Z59" s="177"/>
      <c r="AA59" s="177"/>
      <c r="AB59" s="177"/>
      <c r="AC59" s="177"/>
      <c r="AD59" s="180" t="s">
        <v>1593</v>
      </c>
      <c r="AE59" s="173" t="s">
        <v>69</v>
      </c>
      <c r="AF59" s="181" t="s">
        <v>142</v>
      </c>
      <c r="AG59" s="192" t="s">
        <v>1657</v>
      </c>
      <c r="AH59" s="198"/>
      <c r="AI59" s="181">
        <v>44849</v>
      </c>
      <c r="AJ59" s="181"/>
      <c r="AK59" s="181">
        <f t="shared" ca="1" si="1"/>
        <v>44958</v>
      </c>
      <c r="AL59" s="173">
        <f t="shared" ca="1" si="2"/>
        <v>109</v>
      </c>
      <c r="AM59" s="173" t="str">
        <f t="shared" si="3"/>
        <v/>
      </c>
      <c r="AN59" s="181"/>
      <c r="AO59" s="190" t="s">
        <v>1710</v>
      </c>
      <c r="AP59" s="176">
        <v>10.71</v>
      </c>
      <c r="AQ59" s="176">
        <v>10.72</v>
      </c>
      <c r="AR59" s="176">
        <v>10.744999999999999</v>
      </c>
      <c r="AS59" s="176">
        <v>10.75</v>
      </c>
      <c r="AT59" s="173" t="str">
        <f t="shared" ref="AT59:AT62" si="5">IF(ISNUMBER(U59)=TRUE,AK59-U59,IF(U59="","",(AK59)-(MID(RIGHT(U59,10),4,2)&amp;"/"&amp;LEFT((RIGHT(U59,10)),2)&amp;"/"&amp;RIGHT(U59,4))))</f>
        <v/>
      </c>
      <c r="AU59" s="173">
        <v>456</v>
      </c>
      <c r="AW59" s="142" t="s">
        <v>123</v>
      </c>
    </row>
    <row r="60" spans="2:49" s="142" customFormat="1" ht="21" customHeight="1" x14ac:dyDescent="0.25">
      <c r="B60" s="173" t="str">
        <f t="shared" si="0"/>
        <v>0-304L/FH-1.15X642</v>
      </c>
      <c r="C60" s="173" t="s">
        <v>4429</v>
      </c>
      <c r="D60" s="173" t="s">
        <v>16</v>
      </c>
      <c r="E60" s="190" t="s">
        <v>1708</v>
      </c>
      <c r="F60" s="190" t="s">
        <v>1711</v>
      </c>
      <c r="G60" s="173" t="s">
        <v>182</v>
      </c>
      <c r="H60" s="173" t="s">
        <v>70</v>
      </c>
      <c r="I60" s="174">
        <v>2.9</v>
      </c>
      <c r="J60" s="174">
        <v>1.1499999999999999</v>
      </c>
      <c r="K60" s="174"/>
      <c r="L60" s="174"/>
      <c r="M60" s="191">
        <v>642</v>
      </c>
      <c r="N60" s="350"/>
      <c r="O60" s="176">
        <v>6.4</v>
      </c>
      <c r="P60" s="176" t="s">
        <v>114</v>
      </c>
      <c r="Q60" s="178" t="s">
        <v>361</v>
      </c>
      <c r="R60" s="179"/>
      <c r="S60" s="179"/>
      <c r="T60" s="177">
        <v>44957</v>
      </c>
      <c r="U60" s="177"/>
      <c r="V60" s="177"/>
      <c r="W60" s="177">
        <v>44957</v>
      </c>
      <c r="X60" s="177"/>
      <c r="Y60" s="177"/>
      <c r="Z60" s="177"/>
      <c r="AA60" s="177"/>
      <c r="AB60" s="177"/>
      <c r="AC60" s="177"/>
      <c r="AD60" s="180" t="s">
        <v>1593</v>
      </c>
      <c r="AE60" s="173" t="s">
        <v>69</v>
      </c>
      <c r="AF60" s="181" t="s">
        <v>142</v>
      </c>
      <c r="AG60" s="192" t="s">
        <v>1657</v>
      </c>
      <c r="AH60" s="198"/>
      <c r="AI60" s="181">
        <v>44849</v>
      </c>
      <c r="AJ60" s="181"/>
      <c r="AK60" s="181">
        <f t="shared" ca="1" si="1"/>
        <v>44958</v>
      </c>
      <c r="AL60" s="173">
        <f t="shared" ca="1" si="2"/>
        <v>109</v>
      </c>
      <c r="AM60" s="173" t="str">
        <f t="shared" si="3"/>
        <v/>
      </c>
      <c r="AN60" s="181"/>
      <c r="AO60" s="190" t="s">
        <v>1710</v>
      </c>
      <c r="AP60" s="176">
        <v>10.71</v>
      </c>
      <c r="AQ60" s="176">
        <v>10.72</v>
      </c>
      <c r="AR60" s="176">
        <v>10.744999999999999</v>
      </c>
      <c r="AS60" s="176">
        <v>10.75</v>
      </c>
      <c r="AT60" s="173" t="str">
        <f t="shared" si="5"/>
        <v/>
      </c>
      <c r="AU60" s="173">
        <v>456</v>
      </c>
      <c r="AW60" s="142" t="s">
        <v>123</v>
      </c>
    </row>
    <row r="61" spans="2:49" s="142" customFormat="1" ht="21" customHeight="1" x14ac:dyDescent="0.25">
      <c r="B61" s="173" t="str">
        <f t="shared" si="0"/>
        <v>0-304L/FH-0.90X647</v>
      </c>
      <c r="C61" s="173" t="s">
        <v>4429</v>
      </c>
      <c r="D61" s="173" t="s">
        <v>16</v>
      </c>
      <c r="E61" s="190" t="s">
        <v>1633</v>
      </c>
      <c r="F61" s="190" t="s">
        <v>1634</v>
      </c>
      <c r="G61" s="173" t="s">
        <v>182</v>
      </c>
      <c r="H61" s="173" t="s">
        <v>70</v>
      </c>
      <c r="I61" s="174">
        <v>2.88</v>
      </c>
      <c r="J61" s="174">
        <v>0.9</v>
      </c>
      <c r="K61" s="174"/>
      <c r="L61" s="174"/>
      <c r="M61" s="191">
        <v>647</v>
      </c>
      <c r="N61" s="176">
        <v>10.33</v>
      </c>
      <c r="O61" s="176">
        <v>10.33</v>
      </c>
      <c r="P61" s="176" t="s">
        <v>114</v>
      </c>
      <c r="Q61" s="178" t="s">
        <v>1631</v>
      </c>
      <c r="R61" s="179"/>
      <c r="S61" s="179"/>
      <c r="T61" s="177"/>
      <c r="U61" s="177">
        <v>44957</v>
      </c>
      <c r="V61" s="177"/>
      <c r="W61" s="177">
        <v>44957</v>
      </c>
      <c r="X61" s="177"/>
      <c r="Y61" s="177"/>
      <c r="Z61" s="177"/>
      <c r="AA61" s="177"/>
      <c r="AB61" s="177"/>
      <c r="AC61" s="177"/>
      <c r="AD61" s="180" t="s">
        <v>1593</v>
      </c>
      <c r="AE61" s="173" t="s">
        <v>69</v>
      </c>
      <c r="AF61" s="181" t="s">
        <v>142</v>
      </c>
      <c r="AG61" s="192" t="s">
        <v>1594</v>
      </c>
      <c r="AH61" s="198"/>
      <c r="AI61" s="181">
        <v>44849</v>
      </c>
      <c r="AJ61" s="181"/>
      <c r="AK61" s="181">
        <f t="shared" ca="1" si="1"/>
        <v>44958</v>
      </c>
      <c r="AL61" s="173">
        <f t="shared" ca="1" si="2"/>
        <v>109</v>
      </c>
      <c r="AM61" s="173" t="str">
        <f t="shared" si="3"/>
        <v/>
      </c>
      <c r="AN61" s="181"/>
      <c r="AO61" s="190" t="s">
        <v>1635</v>
      </c>
      <c r="AP61" s="176">
        <v>10.33</v>
      </c>
      <c r="AQ61" s="176">
        <v>10.34</v>
      </c>
      <c r="AR61" s="176">
        <v>10.364999999999998</v>
      </c>
      <c r="AS61" s="176">
        <v>10.37</v>
      </c>
      <c r="AT61" s="173">
        <f t="shared" ca="1" si="5"/>
        <v>1</v>
      </c>
      <c r="AU61" s="173">
        <v>456</v>
      </c>
      <c r="AW61" s="142" t="s">
        <v>123</v>
      </c>
    </row>
    <row r="62" spans="2:49" s="142" customFormat="1" ht="21" customHeight="1" x14ac:dyDescent="0.25">
      <c r="B62" s="173" t="str">
        <f t="shared" si="0"/>
        <v>0-304/FH-1.45X642</v>
      </c>
      <c r="C62" s="173" t="s">
        <v>4429</v>
      </c>
      <c r="D62" s="173" t="s">
        <v>16</v>
      </c>
      <c r="E62" s="190" t="s">
        <v>1590</v>
      </c>
      <c r="F62" s="190" t="s">
        <v>1591</v>
      </c>
      <c r="G62" s="173">
        <v>304</v>
      </c>
      <c r="H62" s="173" t="s">
        <v>70</v>
      </c>
      <c r="I62" s="174">
        <v>3.79</v>
      </c>
      <c r="J62" s="174">
        <v>1.45</v>
      </c>
      <c r="K62" s="174"/>
      <c r="L62" s="174"/>
      <c r="M62" s="191">
        <v>642</v>
      </c>
      <c r="N62" s="176">
        <v>10.545</v>
      </c>
      <c r="O62" s="176">
        <v>10.545</v>
      </c>
      <c r="P62" s="176" t="s">
        <v>114</v>
      </c>
      <c r="Q62" s="178" t="s">
        <v>1592</v>
      </c>
      <c r="R62" s="179"/>
      <c r="S62" s="179"/>
      <c r="T62" s="177"/>
      <c r="U62" s="177">
        <v>44957</v>
      </c>
      <c r="V62" s="177"/>
      <c r="W62" s="177">
        <v>44957</v>
      </c>
      <c r="X62" s="177"/>
      <c r="Y62" s="177"/>
      <c r="Z62" s="177"/>
      <c r="AA62" s="177"/>
      <c r="AB62" s="177"/>
      <c r="AC62" s="177"/>
      <c r="AD62" s="180" t="s">
        <v>1593</v>
      </c>
      <c r="AE62" s="173" t="s">
        <v>69</v>
      </c>
      <c r="AF62" s="181" t="s">
        <v>142</v>
      </c>
      <c r="AG62" s="192" t="s">
        <v>1594</v>
      </c>
      <c r="AH62" s="198"/>
      <c r="AI62" s="181">
        <v>44849</v>
      </c>
      <c r="AJ62" s="181"/>
      <c r="AK62" s="181">
        <f t="shared" ca="1" si="1"/>
        <v>44958</v>
      </c>
      <c r="AL62" s="173">
        <f t="shared" ca="1" si="2"/>
        <v>109</v>
      </c>
      <c r="AM62" s="173" t="str">
        <f t="shared" si="3"/>
        <v/>
      </c>
      <c r="AN62" s="181"/>
      <c r="AO62" s="190" t="s">
        <v>1595</v>
      </c>
      <c r="AP62" s="176">
        <v>10.545</v>
      </c>
      <c r="AQ62" s="176">
        <v>10.555</v>
      </c>
      <c r="AR62" s="176">
        <v>10.579999999999998</v>
      </c>
      <c r="AS62" s="176">
        <v>10.584999999999999</v>
      </c>
      <c r="AT62" s="173">
        <f t="shared" ca="1" si="5"/>
        <v>1</v>
      </c>
      <c r="AU62" s="173">
        <v>456</v>
      </c>
      <c r="AW62" s="142" t="s">
        <v>123</v>
      </c>
    </row>
    <row r="66" spans="5:54" s="142" customFormat="1" ht="21" customHeight="1" x14ac:dyDescent="0.25">
      <c r="E66" s="196"/>
      <c r="F66" s="196"/>
      <c r="I66" s="187"/>
      <c r="J66" s="187"/>
      <c r="K66" s="187"/>
      <c r="L66" s="187"/>
      <c r="M66" s="213"/>
      <c r="N66" s="149"/>
      <c r="O66" s="149"/>
      <c r="P66" s="149"/>
      <c r="Q66" s="214"/>
      <c r="R66" s="215"/>
      <c r="S66" s="215"/>
      <c r="T66" s="216"/>
      <c r="U66" s="216"/>
      <c r="V66" s="216"/>
      <c r="W66" s="216"/>
      <c r="X66" s="216"/>
      <c r="Y66" s="216"/>
      <c r="Z66" s="216"/>
      <c r="AA66" s="216"/>
      <c r="AB66" s="216"/>
      <c r="AC66" s="216"/>
      <c r="AD66" s="217"/>
      <c r="AF66" s="218"/>
      <c r="AG66" s="218"/>
      <c r="AH66" s="218"/>
      <c r="AI66" s="218"/>
      <c r="AJ66" s="218"/>
      <c r="AK66" s="218"/>
      <c r="AN66" s="218"/>
      <c r="AO66" s="196"/>
      <c r="AP66" s="149"/>
      <c r="AQ66" s="149"/>
      <c r="AR66" s="149"/>
      <c r="AS66" s="149"/>
      <c r="BB66" s="187"/>
    </row>
    <row r="67" spans="5:54" s="361" customFormat="1" x14ac:dyDescent="0.25">
      <c r="I67" s="362"/>
      <c r="J67" s="362"/>
      <c r="K67" s="363"/>
      <c r="L67" s="363"/>
      <c r="M67" s="364"/>
      <c r="N67" s="362"/>
      <c r="O67" s="362"/>
      <c r="P67" s="362"/>
      <c r="Q67" s="362"/>
      <c r="AZ67" s="142" t="str">
        <f>LEFT(RIGHT(C67,LEN(C67)-MIN(SEARCH({0,1,2,3,4,5,6,7,8,9},C67&amp;"0123456789"))+1),5)</f>
        <v/>
      </c>
    </row>
    <row r="68" spans="5:54" s="361" customFormat="1" x14ac:dyDescent="0.25">
      <c r="E68" s="365" t="s">
        <v>3774</v>
      </c>
      <c r="I68" s="362"/>
      <c r="J68" s="362"/>
      <c r="K68" s="363"/>
      <c r="L68" s="363"/>
      <c r="M68" s="364"/>
      <c r="N68" s="354">
        <f>SUBTOTAL(9,N4:N67)</f>
        <v>573.88499999999988</v>
      </c>
      <c r="O68" s="354">
        <f>SUBTOTAL(9,O4:O67)</f>
        <v>573.88499999999976</v>
      </c>
      <c r="P68" s="362"/>
      <c r="Q68" s="362"/>
      <c r="AZ68" s="142" t="str">
        <f>LEFT(RIGHT(C68,LEN(C68)-MIN(SEARCH({0,1,2,3,4,5,6,7,8,9},C68&amp;"0123456789"))+1),5)</f>
        <v/>
      </c>
    </row>
    <row r="69" spans="5:54" s="361" customFormat="1" x14ac:dyDescent="0.25">
      <c r="I69" s="362"/>
      <c r="J69" s="362"/>
      <c r="K69" s="363"/>
      <c r="L69" s="363"/>
      <c r="M69" s="364"/>
      <c r="N69" s="362"/>
      <c r="O69" s="362"/>
      <c r="P69" s="362"/>
      <c r="Q69" s="362"/>
      <c r="AZ69" s="142" t="str">
        <f>LEFT(RIGHT(C69,LEN(C69)-MIN(SEARCH({0,1,2,3,4,5,6,7,8,9},C69&amp;"0123456789"))+1),5)</f>
        <v/>
      </c>
    </row>
    <row r="70" spans="5:54" x14ac:dyDescent="0.25">
      <c r="AZ70" s="142" t="str">
        <f>LEFT(RIGHT(C70,LEN(C70)-MIN(SEARCH({0,1,2,3,4,5,6,7,8,9},C70&amp;"0123456789"))+1),5)</f>
        <v/>
      </c>
    </row>
    <row r="71" spans="5:54" x14ac:dyDescent="0.25">
      <c r="AZ71" s="142" t="str">
        <f>LEFT(RIGHT(C71,LEN(C71)-MIN(SEARCH({0,1,2,3,4,5,6,7,8,9},C71&amp;"0123456789"))+1),5)</f>
        <v/>
      </c>
    </row>
    <row r="72" spans="5:54" x14ac:dyDescent="0.25">
      <c r="N72" s="353"/>
      <c r="O72" s="353"/>
      <c r="P72" s="353"/>
      <c r="AZ72" s="142" t="str">
        <f>LEFT(RIGHT(C72,LEN(C72)-MIN(SEARCH({0,1,2,3,4,5,6,7,8,9},C72&amp;"0123456789"))+1),5)</f>
        <v/>
      </c>
    </row>
    <row r="73" spans="5:54" x14ac:dyDescent="0.25">
      <c r="N73" s="353"/>
      <c r="O73" s="353"/>
      <c r="P73" s="353"/>
      <c r="AZ73" s="142" t="str">
        <f>LEFT(RIGHT(C73,LEN(C73)-MIN(SEARCH({0,1,2,3,4,5,6,7,8,9},C73&amp;"0123456789"))+1),5)</f>
        <v/>
      </c>
    </row>
    <row r="74" spans="5:54" x14ac:dyDescent="0.25">
      <c r="O74" s="353"/>
      <c r="AZ74" s="142" t="str">
        <f>LEFT(RIGHT(C74,LEN(C74)-MIN(SEARCH({0,1,2,3,4,5,6,7,8,9},C74&amp;"0123456789"))+1),5)</f>
        <v/>
      </c>
    </row>
    <row r="75" spans="5:54" x14ac:dyDescent="0.25">
      <c r="N75" s="353"/>
      <c r="P75" s="353"/>
    </row>
    <row r="81" spans="13:17" x14ac:dyDescent="0.25">
      <c r="M81" s="352"/>
    </row>
    <row r="82" spans="13:17" x14ac:dyDescent="0.25">
      <c r="M82" s="352"/>
    </row>
    <row r="83" spans="13:17" x14ac:dyDescent="0.25">
      <c r="M83" s="352"/>
    </row>
    <row r="84" spans="13:17" x14ac:dyDescent="0.25">
      <c r="M84" s="352"/>
    </row>
    <row r="86" spans="13:17" x14ac:dyDescent="0.25">
      <c r="Q86" s="352"/>
    </row>
    <row r="148" spans="15:15" s="336" customFormat="1" x14ac:dyDescent="0.25">
      <c r="O148" s="351"/>
    </row>
    <row r="157" spans="15:15" s="336" customFormat="1" x14ac:dyDescent="0.25"/>
  </sheetData>
  <autoFilter ref="A3:AL3" xr:uid="{00000000-0009-0000-0000-000001000000}"/>
  <mergeCells count="3">
    <mergeCell ref="N5:N6"/>
    <mergeCell ref="N19:N20"/>
    <mergeCell ref="N59:N60"/>
  </mergeCells>
  <pageMargins left="0.7" right="0.7" top="0.75" bottom="0.75" header="0.3" footer="0.3"/>
  <pageSetup scale="7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1AC0-D3A7-4361-8C72-7E99028A89AF}">
  <dimension ref="A1:BH380"/>
  <sheetViews>
    <sheetView zoomScale="70" zoomScaleNormal="70" zoomScaleSheetLayoutView="70" workbookViewId="0">
      <pane ySplit="3" topLeftCell="A291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2" width="5.28515625" style="336" customWidth="1"/>
    <col min="3" max="4" width="26.42578125" style="336" customWidth="1"/>
    <col min="5" max="5" width="20.42578125" style="336" bestFit="1" customWidth="1"/>
    <col min="6" max="6" width="18.140625" style="336" customWidth="1"/>
    <col min="7" max="7" width="9.7109375" style="336" customWidth="1"/>
    <col min="8" max="8" width="9.140625" style="336"/>
    <col min="9" max="9" width="12.42578125" style="351" customWidth="1"/>
    <col min="10" max="10" width="9.7109375" style="352" customWidth="1"/>
    <col min="11" max="12" width="12.85546875" style="353" customWidth="1"/>
    <col min="13" max="13" width="12.42578125" style="351" customWidth="1"/>
    <col min="14" max="17" width="14.28515625" style="351" customWidth="1"/>
    <col min="18" max="19" width="12.42578125" style="351" customWidth="1"/>
    <col min="20" max="20" width="35" style="355" customWidth="1"/>
    <col min="21" max="21" width="14" style="355" customWidth="1"/>
    <col min="22" max="22" width="23.28515625" style="336" customWidth="1"/>
    <col min="23" max="23" width="12.5703125" style="336" customWidth="1"/>
    <col min="24" max="26" width="15" style="336" customWidth="1"/>
    <col min="27" max="28" width="13" style="336" customWidth="1"/>
    <col min="29" max="31" width="13.85546875" style="336" customWidth="1"/>
    <col min="32" max="32" width="14.140625" style="336" customWidth="1"/>
    <col min="33" max="33" width="14.5703125" style="336" customWidth="1"/>
    <col min="34" max="34" width="9.140625" style="336" customWidth="1"/>
    <col min="35" max="35" width="45.7109375" style="336" customWidth="1"/>
    <col min="36" max="36" width="22.85546875" style="336" customWidth="1"/>
    <col min="37" max="37" width="21.5703125" style="336" customWidth="1"/>
    <col min="38" max="38" width="13" style="336" customWidth="1"/>
    <col min="39" max="39" width="13.42578125" style="336" customWidth="1"/>
    <col min="40" max="40" width="13.85546875" style="336" customWidth="1"/>
    <col min="41" max="42" width="9.140625" style="336" customWidth="1"/>
    <col min="43" max="43" width="18" style="336" customWidth="1"/>
    <col min="44" max="48" width="12.42578125" style="336" customWidth="1"/>
    <col min="49" max="62" width="9.140625" style="336" customWidth="1"/>
    <col min="63" max="16384" width="9.140625" style="336"/>
  </cols>
  <sheetData>
    <row r="1" spans="1:53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5"/>
      <c r="U1" s="335"/>
      <c r="W1" s="334"/>
      <c r="X1" s="334"/>
      <c r="Y1" s="334"/>
      <c r="Z1" s="334"/>
    </row>
    <row r="3" spans="1:53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3796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38" t="s">
        <v>3799</v>
      </c>
      <c r="P3" s="366" t="s">
        <v>4190</v>
      </c>
      <c r="Q3" s="366" t="s">
        <v>9</v>
      </c>
      <c r="R3" s="338"/>
      <c r="S3" s="338" t="s">
        <v>4430</v>
      </c>
      <c r="T3" s="338" t="s">
        <v>88</v>
      </c>
      <c r="U3" s="338"/>
      <c r="V3" s="338"/>
      <c r="W3" s="342" t="s">
        <v>3801</v>
      </c>
      <c r="X3" s="343" t="s">
        <v>3802</v>
      </c>
      <c r="Y3" s="161" t="s">
        <v>3803</v>
      </c>
      <c r="Z3" s="162" t="s">
        <v>3804</v>
      </c>
      <c r="AA3" s="344" t="s">
        <v>3805</v>
      </c>
      <c r="AB3" s="164" t="s">
        <v>3806</v>
      </c>
      <c r="AC3" s="345" t="s">
        <v>3807</v>
      </c>
      <c r="AD3" s="346" t="s">
        <v>3808</v>
      </c>
      <c r="AE3" s="167" t="s">
        <v>3809</v>
      </c>
      <c r="AF3" s="343" t="s">
        <v>3810</v>
      </c>
      <c r="AG3" s="338" t="s">
        <v>91</v>
      </c>
      <c r="AH3" s="338"/>
      <c r="AI3" s="337" t="s">
        <v>93</v>
      </c>
      <c r="AJ3" s="337" t="s">
        <v>94</v>
      </c>
      <c r="AK3" s="347" t="s">
        <v>95</v>
      </c>
      <c r="AL3" s="347" t="s">
        <v>96</v>
      </c>
      <c r="AM3" s="347" t="s">
        <v>3811</v>
      </c>
      <c r="AN3" s="347" t="s">
        <v>3812</v>
      </c>
      <c r="AO3" s="347" t="s">
        <v>3813</v>
      </c>
      <c r="AP3" s="347" t="s">
        <v>98</v>
      </c>
      <c r="AQ3" s="337" t="s">
        <v>100</v>
      </c>
      <c r="AR3" s="337" t="s">
        <v>101</v>
      </c>
      <c r="AS3" s="348" t="s">
        <v>3814</v>
      </c>
      <c r="AT3" s="348" t="s">
        <v>3815</v>
      </c>
      <c r="AU3" s="348" t="s">
        <v>4351</v>
      </c>
      <c r="AV3" s="348" t="s">
        <v>3817</v>
      </c>
    </row>
    <row r="4" spans="1:53" s="142" customFormat="1" ht="21" customHeight="1" x14ac:dyDescent="0.25">
      <c r="B4" s="173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0-304/2B-1.20X765</v>
      </c>
      <c r="C4" s="201" t="s">
        <v>4431</v>
      </c>
      <c r="D4" s="173" t="s">
        <v>4432</v>
      </c>
      <c r="E4" s="190" t="s">
        <v>4433</v>
      </c>
      <c r="F4" s="201" t="s">
        <v>4434</v>
      </c>
      <c r="G4" s="173">
        <v>304</v>
      </c>
      <c r="H4" s="173" t="s">
        <v>114</v>
      </c>
      <c r="I4" s="174">
        <v>3.78</v>
      </c>
      <c r="J4" s="174">
        <v>1.2</v>
      </c>
      <c r="K4" s="203">
        <v>1.19</v>
      </c>
      <c r="L4" s="203">
        <v>1.2</v>
      </c>
      <c r="M4" s="191">
        <v>765</v>
      </c>
      <c r="N4" s="176">
        <f>10.365-5.08</f>
        <v>5.2850000000000001</v>
      </c>
      <c r="O4" s="176">
        <v>5.26</v>
      </c>
      <c r="P4" s="176"/>
      <c r="Q4" s="176">
        <v>2.5000000000000001E-2</v>
      </c>
      <c r="R4" s="176" t="s">
        <v>114</v>
      </c>
      <c r="S4" s="209" t="s">
        <v>4435</v>
      </c>
      <c r="T4" s="178" t="s">
        <v>4436</v>
      </c>
      <c r="U4" s="178"/>
      <c r="V4" s="179"/>
      <c r="W4" s="177">
        <v>44916</v>
      </c>
      <c r="X4" s="177"/>
      <c r="Y4" s="177">
        <v>44917</v>
      </c>
      <c r="Z4" s="177"/>
      <c r="AA4" s="177"/>
      <c r="AB4" s="177"/>
      <c r="AC4" s="177"/>
      <c r="AD4" s="177"/>
      <c r="AE4" s="177"/>
      <c r="AF4" s="177"/>
      <c r="AG4" s="180" t="s">
        <v>4437</v>
      </c>
      <c r="AH4" s="173" t="s">
        <v>69</v>
      </c>
      <c r="AI4" s="181" t="s">
        <v>142</v>
      </c>
      <c r="AJ4" s="181" t="s">
        <v>2283</v>
      </c>
      <c r="AK4" s="181"/>
      <c r="AL4" s="181">
        <v>44880</v>
      </c>
      <c r="AM4" s="181"/>
      <c r="AN4" s="181">
        <f t="shared" ref="AN4:AN67" ca="1" si="1">TODAY()</f>
        <v>44958</v>
      </c>
      <c r="AO4" s="173">
        <f ca="1">IF(AL4&lt;&gt;0,AN4-AL4,0)</f>
        <v>78</v>
      </c>
      <c r="AP4" s="173" t="str">
        <f>IF(ISNUMBER(AA4)=TRUE,AN4-AA4,IF(AA4="","",(AN4)-(MID(RIGHT(AA4,10),4,2)&amp;"/"&amp;LEFT((RIGHT(AA4,10)),2)&amp;"/"&amp;RIGHT(AA4,4))))</f>
        <v/>
      </c>
      <c r="AQ4" s="181"/>
      <c r="AR4" s="190" t="s">
        <v>4438</v>
      </c>
      <c r="AS4" s="176">
        <v>10.455</v>
      </c>
      <c r="AT4" s="176">
        <v>10.465</v>
      </c>
      <c r="AU4" s="176">
        <v>10.489999999999998</v>
      </c>
      <c r="AV4" s="176">
        <v>10.494999999999999</v>
      </c>
      <c r="AW4" s="173">
        <f t="shared" ref="AW4:AW10" ca="1" si="2">IF(ISNUMBER(Y4)=TRUE,AN4-Y4,IF(Y4="","",(AN4)-(MID(RIGHT(Y4,10),4,2)&amp;"/"&amp;LEFT((RIGHT(Y4,10)),2)&amp;"/"&amp;RIGHT(Y4,4))))</f>
        <v>41</v>
      </c>
      <c r="AX4" s="142">
        <v>459</v>
      </c>
      <c r="AZ4" s="142" t="s">
        <v>123</v>
      </c>
    </row>
    <row r="5" spans="1:53" s="142" customFormat="1" ht="21" customHeight="1" x14ac:dyDescent="0.25">
      <c r="B5" s="173" t="str">
        <f t="shared" si="0"/>
        <v>0-304/2B-1.50X773</v>
      </c>
      <c r="C5" s="201" t="s">
        <v>4439</v>
      </c>
      <c r="D5" s="173" t="s">
        <v>836</v>
      </c>
      <c r="E5" s="190" t="s">
        <v>4440</v>
      </c>
      <c r="F5" s="201" t="s">
        <v>4441</v>
      </c>
      <c r="G5" s="173">
        <v>304</v>
      </c>
      <c r="H5" s="173" t="s">
        <v>114</v>
      </c>
      <c r="I5" s="174">
        <v>3.78</v>
      </c>
      <c r="J5" s="174">
        <v>1.5</v>
      </c>
      <c r="K5" s="203">
        <v>1.48</v>
      </c>
      <c r="L5" s="203">
        <v>1.5</v>
      </c>
      <c r="M5" s="191">
        <v>773</v>
      </c>
      <c r="N5" s="176">
        <v>10.6</v>
      </c>
      <c r="O5" s="176">
        <v>10.565</v>
      </c>
      <c r="P5" s="176"/>
      <c r="Q5" s="176">
        <v>3.5000000000000003E-2</v>
      </c>
      <c r="R5" s="176" t="s">
        <v>114</v>
      </c>
      <c r="S5" s="209"/>
      <c r="T5" s="178" t="s">
        <v>1540</v>
      </c>
      <c r="U5" s="178"/>
      <c r="V5" s="179"/>
      <c r="W5" s="177">
        <v>44917</v>
      </c>
      <c r="X5" s="177"/>
      <c r="Y5" s="177">
        <v>44917</v>
      </c>
      <c r="Z5" s="177"/>
      <c r="AA5" s="177">
        <v>44927</v>
      </c>
      <c r="AB5" s="177"/>
      <c r="AC5" s="177"/>
      <c r="AD5" s="177"/>
      <c r="AE5" s="177"/>
      <c r="AF5" s="177"/>
      <c r="AG5" s="180" t="s">
        <v>4437</v>
      </c>
      <c r="AH5" s="173" t="s">
        <v>69</v>
      </c>
      <c r="AI5" s="181" t="s">
        <v>142</v>
      </c>
      <c r="AJ5" s="181" t="s">
        <v>2283</v>
      </c>
      <c r="AK5" s="181"/>
      <c r="AL5" s="181">
        <v>44880</v>
      </c>
      <c r="AM5" s="181"/>
      <c r="AN5" s="181">
        <f t="shared" ca="1" si="1"/>
        <v>44958</v>
      </c>
      <c r="AO5" s="173">
        <f t="shared" ref="AO5" ca="1" si="3">IF(AL5&lt;&gt;0,AN5-AL5,0)</f>
        <v>78</v>
      </c>
      <c r="AP5" s="173">
        <f t="shared" ref="AP5" ca="1" si="4">IF(ISNUMBER(AA5)=TRUE,AN5-AA5,IF(AA5="","",(AN5)-(MID(RIGHT(AA5,10),4,2)&amp;"/"&amp;LEFT((RIGHT(AA5,10)),2)&amp;"/"&amp;RIGHT(AA5,4))))</f>
        <v>31</v>
      </c>
      <c r="AQ5" s="181"/>
      <c r="AR5" s="190" t="s">
        <v>4442</v>
      </c>
      <c r="AS5" s="176">
        <v>10.6</v>
      </c>
      <c r="AT5" s="176">
        <v>10.61</v>
      </c>
      <c r="AU5" s="176">
        <v>10.634999999999998</v>
      </c>
      <c r="AV5" s="176">
        <v>10.639999999999999</v>
      </c>
      <c r="AW5" s="173">
        <f t="shared" ca="1" si="2"/>
        <v>41</v>
      </c>
      <c r="AX5" s="142">
        <v>459</v>
      </c>
      <c r="AZ5" s="142" t="s">
        <v>123</v>
      </c>
    </row>
    <row r="6" spans="1:53" s="142" customFormat="1" ht="21" customHeight="1" x14ac:dyDescent="0.25">
      <c r="B6" s="173" t="str">
        <f t="shared" si="0"/>
        <v>0-304L/2B-1.50X772</v>
      </c>
      <c r="C6" s="201" t="s">
        <v>4431</v>
      </c>
      <c r="D6" s="173" t="s">
        <v>4432</v>
      </c>
      <c r="E6" s="190" t="s">
        <v>4443</v>
      </c>
      <c r="F6" s="201" t="s">
        <v>4444</v>
      </c>
      <c r="G6" s="173" t="s">
        <v>182</v>
      </c>
      <c r="H6" s="173" t="s">
        <v>114</v>
      </c>
      <c r="I6" s="174">
        <v>3.79</v>
      </c>
      <c r="J6" s="174">
        <v>1.5</v>
      </c>
      <c r="K6" s="203">
        <v>1.5</v>
      </c>
      <c r="L6" s="203">
        <v>1.52</v>
      </c>
      <c r="M6" s="191">
        <v>772</v>
      </c>
      <c r="N6" s="349">
        <v>12.04</v>
      </c>
      <c r="O6" s="176">
        <f>4+4.01</f>
        <v>8.01</v>
      </c>
      <c r="P6" s="176"/>
      <c r="Q6" s="176"/>
      <c r="R6" s="176" t="s">
        <v>114</v>
      </c>
      <c r="S6" s="209" t="s">
        <v>4445</v>
      </c>
      <c r="T6" s="178" t="s">
        <v>4446</v>
      </c>
      <c r="U6" s="178"/>
      <c r="V6" s="179"/>
      <c r="W6" s="177">
        <v>44916</v>
      </c>
      <c r="X6" s="177"/>
      <c r="Y6" s="177">
        <v>44917</v>
      </c>
      <c r="Z6" s="177"/>
      <c r="AA6" s="177"/>
      <c r="AB6" s="177"/>
      <c r="AC6" s="177"/>
      <c r="AD6" s="177"/>
      <c r="AE6" s="177"/>
      <c r="AF6" s="177"/>
      <c r="AG6" s="180" t="s">
        <v>4437</v>
      </c>
      <c r="AH6" s="173" t="s">
        <v>69</v>
      </c>
      <c r="AI6" s="181" t="s">
        <v>142</v>
      </c>
      <c r="AJ6" s="181" t="s">
        <v>1653</v>
      </c>
      <c r="AK6" s="181"/>
      <c r="AL6" s="181">
        <v>44880</v>
      </c>
      <c r="AM6" s="181"/>
      <c r="AN6" s="181">
        <f t="shared" ca="1" si="1"/>
        <v>44958</v>
      </c>
      <c r="AO6" s="173">
        <f ca="1">IF(AL6&lt;&gt;0,AN6-AL6,0)</f>
        <v>78</v>
      </c>
      <c r="AP6" s="173" t="str">
        <f>IF(ISNUMBER(AA6)=TRUE,AN6-AA6,IF(AA6="","",(AN6)-(MID(RIGHT(AA6,10),4,2)&amp;"/"&amp;LEFT((RIGHT(AA6,10)),2)&amp;"/"&amp;RIGHT(AA6,4))))</f>
        <v/>
      </c>
      <c r="AQ6" s="181"/>
      <c r="AR6" s="190" t="s">
        <v>4447</v>
      </c>
      <c r="AS6" s="176">
        <v>12.095000000000001</v>
      </c>
      <c r="AT6" s="176">
        <v>12.105</v>
      </c>
      <c r="AU6" s="176">
        <v>12.129999999999999</v>
      </c>
      <c r="AV6" s="176">
        <v>12.135</v>
      </c>
      <c r="AW6" s="173">
        <f t="shared" ca="1" si="2"/>
        <v>41</v>
      </c>
      <c r="AX6" s="142">
        <v>459</v>
      </c>
      <c r="AZ6" s="142" t="s">
        <v>123</v>
      </c>
    </row>
    <row r="7" spans="1:53" s="142" customFormat="1" ht="21" customHeight="1" x14ac:dyDescent="0.25">
      <c r="B7" s="173" t="str">
        <f t="shared" si="0"/>
        <v>0-304L/2B-1.50X772</v>
      </c>
      <c r="C7" s="201" t="s">
        <v>4439</v>
      </c>
      <c r="D7" s="173" t="s">
        <v>836</v>
      </c>
      <c r="E7" s="190" t="s">
        <v>4443</v>
      </c>
      <c r="F7" s="201" t="s">
        <v>4448</v>
      </c>
      <c r="G7" s="173" t="s">
        <v>182</v>
      </c>
      <c r="H7" s="173" t="s">
        <v>114</v>
      </c>
      <c r="I7" s="174">
        <v>3.79</v>
      </c>
      <c r="J7" s="174">
        <v>1.5</v>
      </c>
      <c r="K7" s="203">
        <v>1.5</v>
      </c>
      <c r="L7" s="203">
        <v>1.52</v>
      </c>
      <c r="M7" s="191">
        <v>772</v>
      </c>
      <c r="N7" s="350"/>
      <c r="O7" s="176">
        <v>4.0149999999999997</v>
      </c>
      <c r="P7" s="176"/>
      <c r="Q7" s="176">
        <v>1.4999999999999999E-2</v>
      </c>
      <c r="R7" s="176" t="s">
        <v>114</v>
      </c>
      <c r="S7" s="209"/>
      <c r="T7" s="178" t="s">
        <v>4436</v>
      </c>
      <c r="U7" s="178"/>
      <c r="V7" s="179"/>
      <c r="W7" s="177">
        <v>44916</v>
      </c>
      <c r="X7" s="177"/>
      <c r="Y7" s="177">
        <v>44917</v>
      </c>
      <c r="Z7" s="177"/>
      <c r="AA7" s="177">
        <v>44927</v>
      </c>
      <c r="AB7" s="177"/>
      <c r="AC7" s="177"/>
      <c r="AD7" s="177"/>
      <c r="AE7" s="177"/>
      <c r="AF7" s="177"/>
      <c r="AG7" s="180" t="s">
        <v>4437</v>
      </c>
      <c r="AH7" s="173" t="s">
        <v>69</v>
      </c>
      <c r="AI7" s="181" t="s">
        <v>142</v>
      </c>
      <c r="AJ7" s="181" t="s">
        <v>1653</v>
      </c>
      <c r="AK7" s="181"/>
      <c r="AL7" s="181">
        <v>44880</v>
      </c>
      <c r="AM7" s="181"/>
      <c r="AN7" s="181">
        <f t="shared" ca="1" si="1"/>
        <v>44958</v>
      </c>
      <c r="AO7" s="173">
        <f ca="1">IF(AL7&lt;&gt;0,AN7-AL7,0)</f>
        <v>78</v>
      </c>
      <c r="AP7" s="173">
        <f ca="1">IF(ISNUMBER(AA7)=TRUE,AN7-AA7,IF(AA7="","",(AN7)-(MID(RIGHT(AA7,10),4,2)&amp;"/"&amp;LEFT((RIGHT(AA7,10)),2)&amp;"/"&amp;RIGHT(AA7,4))))</f>
        <v>31</v>
      </c>
      <c r="AQ7" s="181"/>
      <c r="AR7" s="190" t="s">
        <v>4447</v>
      </c>
      <c r="AS7" s="176">
        <v>12.095000000000001</v>
      </c>
      <c r="AT7" s="176">
        <v>12.105</v>
      </c>
      <c r="AU7" s="176">
        <v>12.129999999999999</v>
      </c>
      <c r="AV7" s="176">
        <v>12.135</v>
      </c>
      <c r="AW7" s="173">
        <f t="shared" ca="1" si="2"/>
        <v>41</v>
      </c>
      <c r="AX7" s="142">
        <v>459</v>
      </c>
      <c r="AZ7" s="142" t="s">
        <v>123</v>
      </c>
    </row>
    <row r="8" spans="1:53" s="142" customFormat="1" ht="21" customHeight="1" x14ac:dyDescent="0.25">
      <c r="B8" s="173" t="str">
        <f t="shared" si="0"/>
        <v>0-304/2B-1.50X773</v>
      </c>
      <c r="C8" s="201" t="s">
        <v>4431</v>
      </c>
      <c r="D8" s="173" t="s">
        <v>4432</v>
      </c>
      <c r="E8" s="190" t="s">
        <v>4449</v>
      </c>
      <c r="F8" s="201" t="s">
        <v>4450</v>
      </c>
      <c r="G8" s="173">
        <v>304</v>
      </c>
      <c r="H8" s="173" t="s">
        <v>114</v>
      </c>
      <c r="I8" s="174">
        <v>3.78</v>
      </c>
      <c r="J8" s="174">
        <v>1.5</v>
      </c>
      <c r="K8" s="203">
        <v>1.52</v>
      </c>
      <c r="L8" s="203">
        <v>1.54</v>
      </c>
      <c r="M8" s="191">
        <v>773</v>
      </c>
      <c r="N8" s="176">
        <v>10.62</v>
      </c>
      <c r="O8" s="176">
        <f>4.585+5.985</f>
        <v>10.57</v>
      </c>
      <c r="P8" s="176"/>
      <c r="Q8" s="176">
        <v>0.04</v>
      </c>
      <c r="R8" s="176" t="s">
        <v>114</v>
      </c>
      <c r="S8" s="209" t="s">
        <v>4435</v>
      </c>
      <c r="T8" s="178" t="s">
        <v>4436</v>
      </c>
      <c r="U8" s="178"/>
      <c r="V8" s="179"/>
      <c r="W8" s="177">
        <v>44915</v>
      </c>
      <c r="X8" s="177"/>
      <c r="Y8" s="177">
        <v>44915</v>
      </c>
      <c r="Z8" s="177"/>
      <c r="AA8" s="177"/>
      <c r="AB8" s="177"/>
      <c r="AC8" s="177"/>
      <c r="AD8" s="177"/>
      <c r="AE8" s="177"/>
      <c r="AF8" s="177"/>
      <c r="AG8" s="180" t="s">
        <v>4437</v>
      </c>
      <c r="AH8" s="173" t="s">
        <v>69</v>
      </c>
      <c r="AI8" s="181" t="s">
        <v>142</v>
      </c>
      <c r="AJ8" s="181" t="s">
        <v>2283</v>
      </c>
      <c r="AK8" s="181"/>
      <c r="AL8" s="181">
        <v>44880</v>
      </c>
      <c r="AM8" s="181"/>
      <c r="AN8" s="181">
        <f t="shared" ca="1" si="1"/>
        <v>44958</v>
      </c>
      <c r="AO8" s="173">
        <f ca="1">IF(AL8&lt;&gt;0,AN8-AL8,0)</f>
        <v>78</v>
      </c>
      <c r="AP8" s="173" t="str">
        <f>IF(ISNUMBER(AA8)=TRUE,AN8-AA8,IF(AA8="","",(AN8)-(MID(RIGHT(AA8,10),4,2)&amp;"/"&amp;LEFT((RIGHT(AA8,10)),2)&amp;"/"&amp;RIGHT(AA8,4))))</f>
        <v/>
      </c>
      <c r="AQ8" s="181"/>
      <c r="AR8" s="190" t="s">
        <v>4451</v>
      </c>
      <c r="AS8" s="176">
        <v>10.61</v>
      </c>
      <c r="AT8" s="176">
        <v>10.62</v>
      </c>
      <c r="AU8" s="176">
        <v>10.644999999999998</v>
      </c>
      <c r="AV8" s="176">
        <v>10.649999999999999</v>
      </c>
      <c r="AW8" s="173">
        <f t="shared" ca="1" si="2"/>
        <v>43</v>
      </c>
      <c r="AX8" s="142">
        <v>459</v>
      </c>
      <c r="AZ8" s="142" t="s">
        <v>123</v>
      </c>
    </row>
    <row r="9" spans="1:53" s="142" customFormat="1" ht="21" customHeight="1" x14ac:dyDescent="0.25">
      <c r="B9" s="173" t="str">
        <f t="shared" si="0"/>
        <v>0-304/2B-1.20X768</v>
      </c>
      <c r="C9" s="201" t="s">
        <v>4431</v>
      </c>
      <c r="D9" s="173" t="s">
        <v>4432</v>
      </c>
      <c r="E9" s="190" t="s">
        <v>4452</v>
      </c>
      <c r="F9" s="201" t="s">
        <v>4453</v>
      </c>
      <c r="G9" s="173">
        <v>304</v>
      </c>
      <c r="H9" s="173" t="s">
        <v>114</v>
      </c>
      <c r="I9" s="174">
        <v>3.86</v>
      </c>
      <c r="J9" s="174">
        <v>1.2</v>
      </c>
      <c r="K9" s="203">
        <v>1.2</v>
      </c>
      <c r="L9" s="203">
        <v>1.22</v>
      </c>
      <c r="M9" s="191">
        <v>768</v>
      </c>
      <c r="N9" s="176">
        <v>10.35</v>
      </c>
      <c r="O9" s="176">
        <f>5+5.4</f>
        <v>10.4</v>
      </c>
      <c r="P9" s="176"/>
      <c r="Q9" s="176"/>
      <c r="R9" s="176" t="s">
        <v>114</v>
      </c>
      <c r="S9" s="209" t="s">
        <v>4435</v>
      </c>
      <c r="T9" s="178" t="s">
        <v>4436</v>
      </c>
      <c r="U9" s="178"/>
      <c r="V9" s="179"/>
      <c r="W9" s="177">
        <v>44914</v>
      </c>
      <c r="X9" s="177"/>
      <c r="Y9" s="177">
        <v>44914</v>
      </c>
      <c r="Z9" s="177"/>
      <c r="AA9" s="177"/>
      <c r="AB9" s="177"/>
      <c r="AC9" s="177"/>
      <c r="AD9" s="177"/>
      <c r="AE9" s="177"/>
      <c r="AF9" s="177"/>
      <c r="AG9" s="180" t="s">
        <v>4437</v>
      </c>
      <c r="AH9" s="173" t="s">
        <v>69</v>
      </c>
      <c r="AI9" s="181" t="s">
        <v>142</v>
      </c>
      <c r="AJ9" s="181" t="s">
        <v>2283</v>
      </c>
      <c r="AK9" s="181"/>
      <c r="AL9" s="181">
        <v>44880</v>
      </c>
      <c r="AM9" s="181"/>
      <c r="AN9" s="181">
        <f t="shared" ca="1" si="1"/>
        <v>44958</v>
      </c>
      <c r="AO9" s="173">
        <f ca="1">IF(AL9&lt;&gt;0,AN9-AL9,0)</f>
        <v>78</v>
      </c>
      <c r="AP9" s="173" t="str">
        <f>IF(ISNUMBER(AA9)=TRUE,AN9-AA9,IF(AA9="","",(AN9)-(MID(RIGHT(AA9,10),4,2)&amp;"/"&amp;LEFT((RIGHT(AA9,10)),2)&amp;"/"&amp;RIGHT(AA9,4))))</f>
        <v/>
      </c>
      <c r="AQ9" s="181"/>
      <c r="AR9" s="190" t="s">
        <v>4454</v>
      </c>
      <c r="AS9" s="176">
        <v>10.43</v>
      </c>
      <c r="AT9" s="176">
        <v>10.44</v>
      </c>
      <c r="AU9" s="176">
        <v>10.464999999999998</v>
      </c>
      <c r="AV9" s="176">
        <v>10.469999999999999</v>
      </c>
      <c r="AW9" s="173">
        <f t="shared" ca="1" si="2"/>
        <v>44</v>
      </c>
      <c r="AX9" s="142">
        <v>459</v>
      </c>
      <c r="AZ9" s="142" t="s">
        <v>123</v>
      </c>
    </row>
    <row r="10" spans="1:53" s="142" customFormat="1" ht="21" customHeight="1" x14ac:dyDescent="0.25">
      <c r="B10" s="173" t="str">
        <f t="shared" si="0"/>
        <v>0-J3/2B-1.07X615</v>
      </c>
      <c r="C10" s="201" t="s">
        <v>4439</v>
      </c>
      <c r="D10" s="173" t="s">
        <v>836</v>
      </c>
      <c r="E10" s="190" t="s">
        <v>4455</v>
      </c>
      <c r="F10" s="201" t="s">
        <v>4456</v>
      </c>
      <c r="G10" s="173" t="s">
        <v>34</v>
      </c>
      <c r="H10" s="173" t="s">
        <v>114</v>
      </c>
      <c r="I10" s="174">
        <v>2.2000000000000002</v>
      </c>
      <c r="J10" s="174">
        <v>1.07</v>
      </c>
      <c r="K10" s="203">
        <v>1.07</v>
      </c>
      <c r="L10" s="203">
        <v>1.0900000000000001</v>
      </c>
      <c r="M10" s="191">
        <v>615</v>
      </c>
      <c r="N10" s="176">
        <v>5.0350000000000001</v>
      </c>
      <c r="O10" s="176">
        <v>5.0449999999999999</v>
      </c>
      <c r="P10" s="176"/>
      <c r="Q10" s="176"/>
      <c r="R10" s="176" t="s">
        <v>114</v>
      </c>
      <c r="S10" s="209"/>
      <c r="T10" s="178" t="s">
        <v>4457</v>
      </c>
      <c r="U10" s="178"/>
      <c r="V10" s="179"/>
      <c r="W10" s="177">
        <v>44925</v>
      </c>
      <c r="X10" s="177"/>
      <c r="Y10" s="177">
        <v>44925</v>
      </c>
      <c r="Z10" s="177"/>
      <c r="AA10" s="177">
        <v>44927</v>
      </c>
      <c r="AB10" s="177"/>
      <c r="AC10" s="177"/>
      <c r="AD10" s="177"/>
      <c r="AE10" s="177"/>
      <c r="AF10" s="177"/>
      <c r="AG10" s="180"/>
      <c r="AH10" s="173" t="s">
        <v>69</v>
      </c>
      <c r="AI10" s="181" t="s">
        <v>1065</v>
      </c>
      <c r="AJ10" s="181" t="s">
        <v>1066</v>
      </c>
      <c r="AK10" s="181">
        <v>44729</v>
      </c>
      <c r="AL10" s="181">
        <v>44767</v>
      </c>
      <c r="AM10" s="181"/>
      <c r="AN10" s="181">
        <f t="shared" ca="1" si="1"/>
        <v>44958</v>
      </c>
      <c r="AO10" s="173">
        <f ca="1">IF(AL10&lt;&gt;0,AN10-AL10,0)</f>
        <v>191</v>
      </c>
      <c r="AP10" s="173">
        <f ca="1">IF(ISNUMBER(AA10)=TRUE,AN10-AA10,IF(AA10="","",(AN10)-(MID(RIGHT(AA10,10),4,2)&amp;"/"&amp;LEFT((RIGHT(AA10,10)),2)&amp;"/"&amp;RIGHT(AA10,4))))</f>
        <v>31</v>
      </c>
      <c r="AQ10" s="181"/>
      <c r="AR10" s="190" t="s">
        <v>1125</v>
      </c>
      <c r="AS10" s="176">
        <v>5.0519999999999996</v>
      </c>
      <c r="AT10" s="176">
        <v>5.0919999999999996</v>
      </c>
      <c r="AU10" s="176">
        <v>5.117</v>
      </c>
      <c r="AV10" s="176">
        <v>5.1219999999999999</v>
      </c>
      <c r="AW10" s="173">
        <f t="shared" ca="1" si="2"/>
        <v>33</v>
      </c>
      <c r="AX10" s="142">
        <v>444</v>
      </c>
      <c r="AZ10" s="142" t="s">
        <v>123</v>
      </c>
    </row>
    <row r="11" spans="1:53" s="142" customFormat="1" ht="21" customHeight="1" x14ac:dyDescent="0.25">
      <c r="B11" s="173" t="str">
        <f t="shared" si="0"/>
        <v>0-J3/2B-0.72X620</v>
      </c>
      <c r="C11" s="201" t="s">
        <v>4439</v>
      </c>
      <c r="D11" s="173" t="s">
        <v>836</v>
      </c>
      <c r="E11" s="190" t="s">
        <v>4458</v>
      </c>
      <c r="F11" s="201" t="s">
        <v>4459</v>
      </c>
      <c r="G11" s="173" t="s">
        <v>34</v>
      </c>
      <c r="H11" s="173" t="s">
        <v>114</v>
      </c>
      <c r="I11" s="174">
        <v>2.2000000000000002</v>
      </c>
      <c r="J11" s="174">
        <v>0.72</v>
      </c>
      <c r="K11" s="203">
        <v>0.73</v>
      </c>
      <c r="L11" s="203">
        <v>0.75</v>
      </c>
      <c r="M11" s="191">
        <v>620</v>
      </c>
      <c r="N11" s="176">
        <v>9.98</v>
      </c>
      <c r="O11" s="176">
        <v>9.98</v>
      </c>
      <c r="P11" s="176"/>
      <c r="Q11" s="176"/>
      <c r="R11" s="176" t="s">
        <v>114</v>
      </c>
      <c r="S11" s="209"/>
      <c r="T11" s="178" t="s">
        <v>4457</v>
      </c>
      <c r="U11" s="178"/>
      <c r="V11" s="179"/>
      <c r="W11" s="177">
        <v>44924</v>
      </c>
      <c r="X11" s="177"/>
      <c r="Y11" s="177">
        <v>44925</v>
      </c>
      <c r="Z11" s="177"/>
      <c r="AA11" s="177">
        <v>44927</v>
      </c>
      <c r="AB11" s="177"/>
      <c r="AC11" s="177"/>
      <c r="AD11" s="177"/>
      <c r="AE11" s="177"/>
      <c r="AF11" s="177"/>
      <c r="AG11" s="180"/>
      <c r="AH11" s="173" t="s">
        <v>69</v>
      </c>
      <c r="AI11" s="181" t="s">
        <v>248</v>
      </c>
      <c r="AJ11" s="181" t="s">
        <v>2781</v>
      </c>
      <c r="AK11" s="181">
        <v>44902</v>
      </c>
      <c r="AL11" s="181">
        <v>44922</v>
      </c>
      <c r="AM11" s="181"/>
      <c r="AN11" s="181">
        <f t="shared" ca="1" si="1"/>
        <v>44958</v>
      </c>
      <c r="AO11" s="173">
        <f t="shared" ref="AO11:AO52" ca="1" si="5">IF(AL11&lt;&gt;0,AN11-AL11,0)</f>
        <v>36</v>
      </c>
      <c r="AP11" s="173">
        <f t="shared" ref="AP11:AP74" ca="1" si="6">IF(ISNUMBER(AA11)=TRUE,AN11-AA11,IF(AA11="","",(AN11)-(MID(RIGHT(AA11,10),4,2)&amp;"/"&amp;LEFT((RIGHT(AA11,10)),2)&amp;"/"&amp;RIGHT(AA11,4))))</f>
        <v>31</v>
      </c>
      <c r="AQ11" s="181" t="s">
        <v>2782</v>
      </c>
      <c r="AR11" s="190" t="s">
        <v>2810</v>
      </c>
      <c r="AS11" s="176">
        <v>9.9949999999999992</v>
      </c>
      <c r="AT11" s="176">
        <v>10.034999999999998</v>
      </c>
      <c r="AU11" s="176">
        <v>9.98</v>
      </c>
      <c r="AV11" s="176">
        <v>9.98</v>
      </c>
      <c r="AW11" s="173"/>
      <c r="AX11" s="142">
        <v>463</v>
      </c>
      <c r="AZ11" s="142" t="s">
        <v>123</v>
      </c>
      <c r="BA11" s="142" t="s">
        <v>2785</v>
      </c>
    </row>
    <row r="12" spans="1:53" s="142" customFormat="1" ht="21" customHeight="1" x14ac:dyDescent="0.25">
      <c r="B12" s="173" t="str">
        <f t="shared" si="0"/>
        <v>0-J3/2B-0.90X635</v>
      </c>
      <c r="C12" s="201" t="s">
        <v>4439</v>
      </c>
      <c r="D12" s="173" t="s">
        <v>836</v>
      </c>
      <c r="E12" s="190" t="s">
        <v>4460</v>
      </c>
      <c r="F12" s="201" t="s">
        <v>4461</v>
      </c>
      <c r="G12" s="173" t="s">
        <v>34</v>
      </c>
      <c r="H12" s="173" t="s">
        <v>114</v>
      </c>
      <c r="I12" s="174">
        <v>2.4</v>
      </c>
      <c r="J12" s="174">
        <v>0.9</v>
      </c>
      <c r="K12" s="203">
        <v>0.9</v>
      </c>
      <c r="L12" s="203">
        <v>0.92</v>
      </c>
      <c r="M12" s="191">
        <v>635</v>
      </c>
      <c r="N12" s="176">
        <v>10.385</v>
      </c>
      <c r="O12" s="176">
        <v>10.365</v>
      </c>
      <c r="P12" s="176"/>
      <c r="Q12" s="176">
        <v>0.02</v>
      </c>
      <c r="R12" s="176" t="s">
        <v>114</v>
      </c>
      <c r="S12" s="209"/>
      <c r="T12" s="178" t="s">
        <v>4457</v>
      </c>
      <c r="U12" s="178"/>
      <c r="V12" s="179"/>
      <c r="W12" s="177">
        <v>44925</v>
      </c>
      <c r="X12" s="177"/>
      <c r="Y12" s="177">
        <v>44925</v>
      </c>
      <c r="Z12" s="177"/>
      <c r="AA12" s="177">
        <v>44927</v>
      </c>
      <c r="AB12" s="177"/>
      <c r="AC12" s="177"/>
      <c r="AD12" s="177"/>
      <c r="AE12" s="177"/>
      <c r="AF12" s="177"/>
      <c r="AG12" s="180"/>
      <c r="AH12" s="173" t="s">
        <v>69</v>
      </c>
      <c r="AI12" s="181" t="s">
        <v>1065</v>
      </c>
      <c r="AJ12" s="181" t="s">
        <v>1401</v>
      </c>
      <c r="AK12" s="181">
        <v>44819</v>
      </c>
      <c r="AL12" s="181">
        <v>44835</v>
      </c>
      <c r="AM12" s="181"/>
      <c r="AN12" s="181">
        <f t="shared" ca="1" si="1"/>
        <v>44958</v>
      </c>
      <c r="AO12" s="173">
        <f t="shared" ca="1" si="5"/>
        <v>123</v>
      </c>
      <c r="AP12" s="173">
        <f t="shared" ca="1" si="6"/>
        <v>31</v>
      </c>
      <c r="AQ12" s="181" t="s">
        <v>1442</v>
      </c>
      <c r="AR12" s="190" t="s">
        <v>4462</v>
      </c>
      <c r="AS12" s="176">
        <v>10.346</v>
      </c>
      <c r="AT12" s="176">
        <v>10.385999999999999</v>
      </c>
      <c r="AU12" s="176">
        <v>10.410999999999998</v>
      </c>
      <c r="AV12" s="176">
        <v>10.415999999999999</v>
      </c>
      <c r="AW12" s="173">
        <f t="shared" ref="AW12:AW75" ca="1" si="7">IF(ISNUMBER(Y12)=TRUE,AN12-Y12,IF(Y12="","",(AN12)-(MID(RIGHT(Y12,10),4,2)&amp;"/"&amp;LEFT((RIGHT(Y12,10)),2)&amp;"/"&amp;RIGHT(Y12,4))))</f>
        <v>33</v>
      </c>
      <c r="AX12" s="142">
        <v>454</v>
      </c>
      <c r="AZ12" s="142" t="s">
        <v>123</v>
      </c>
    </row>
    <row r="13" spans="1:53" s="142" customFormat="1" ht="21" customHeight="1" x14ac:dyDescent="0.25">
      <c r="B13" s="173" t="str">
        <f t="shared" si="0"/>
        <v>0-J3/2B-1.07X620</v>
      </c>
      <c r="C13" s="201" t="s">
        <v>4439</v>
      </c>
      <c r="D13" s="173" t="s">
        <v>836</v>
      </c>
      <c r="E13" s="190" t="s">
        <v>4463</v>
      </c>
      <c r="F13" s="201" t="s">
        <v>4464</v>
      </c>
      <c r="G13" s="173" t="s">
        <v>34</v>
      </c>
      <c r="H13" s="173" t="s">
        <v>114</v>
      </c>
      <c r="I13" s="174">
        <v>2.4</v>
      </c>
      <c r="J13" s="174">
        <v>1.07</v>
      </c>
      <c r="K13" s="203">
        <v>1.04</v>
      </c>
      <c r="L13" s="203">
        <v>1.06</v>
      </c>
      <c r="M13" s="191">
        <v>620</v>
      </c>
      <c r="N13" s="176">
        <v>4.9450000000000003</v>
      </c>
      <c r="O13" s="176">
        <v>4.9249999999999998</v>
      </c>
      <c r="P13" s="176"/>
      <c r="Q13" s="176">
        <v>1.4999999999999999E-2</v>
      </c>
      <c r="R13" s="176" t="s">
        <v>114</v>
      </c>
      <c r="S13" s="209"/>
      <c r="T13" s="178" t="s">
        <v>4457</v>
      </c>
      <c r="U13" s="178"/>
      <c r="V13" s="179"/>
      <c r="W13" s="177">
        <v>44925</v>
      </c>
      <c r="X13" s="177"/>
      <c r="Y13" s="177">
        <v>44925</v>
      </c>
      <c r="Z13" s="177"/>
      <c r="AA13" s="177">
        <v>44927</v>
      </c>
      <c r="AB13" s="177"/>
      <c r="AC13" s="177"/>
      <c r="AD13" s="177"/>
      <c r="AE13" s="177"/>
      <c r="AF13" s="177"/>
      <c r="AG13" s="180"/>
      <c r="AH13" s="173" t="s">
        <v>69</v>
      </c>
      <c r="AI13" s="181" t="s">
        <v>248</v>
      </c>
      <c r="AJ13" s="181" t="s">
        <v>1145</v>
      </c>
      <c r="AK13" s="181">
        <v>44752</v>
      </c>
      <c r="AL13" s="181">
        <v>44778</v>
      </c>
      <c r="AM13" s="181"/>
      <c r="AN13" s="181">
        <f t="shared" ca="1" si="1"/>
        <v>44958</v>
      </c>
      <c r="AO13" s="173">
        <f t="shared" ca="1" si="5"/>
        <v>180</v>
      </c>
      <c r="AP13" s="173">
        <f t="shared" ca="1" si="6"/>
        <v>31</v>
      </c>
      <c r="AQ13" s="181"/>
      <c r="AR13" s="190" t="s">
        <v>1132</v>
      </c>
      <c r="AS13" s="176">
        <v>4.96</v>
      </c>
      <c r="AT13" s="176">
        <f>AS13+0.04</f>
        <v>5</v>
      </c>
      <c r="AU13" s="176">
        <v>5.0250000000000004</v>
      </c>
      <c r="AV13" s="176">
        <v>5.03</v>
      </c>
      <c r="AW13" s="173">
        <f t="shared" ca="1" si="7"/>
        <v>33</v>
      </c>
      <c r="AX13" s="142">
        <v>445</v>
      </c>
      <c r="AZ13" s="142" t="s">
        <v>123</v>
      </c>
    </row>
    <row r="14" spans="1:53" s="142" customFormat="1" ht="21" customHeight="1" x14ac:dyDescent="0.25">
      <c r="B14" s="173" t="str">
        <f t="shared" si="0"/>
        <v>0-304L/2B-1.10X777</v>
      </c>
      <c r="C14" s="201" t="s">
        <v>4465</v>
      </c>
      <c r="D14" s="173" t="s">
        <v>4432</v>
      </c>
      <c r="E14" s="190" t="s">
        <v>4466</v>
      </c>
      <c r="F14" s="201" t="s">
        <v>4467</v>
      </c>
      <c r="G14" s="173" t="s">
        <v>182</v>
      </c>
      <c r="H14" s="173" t="s">
        <v>114</v>
      </c>
      <c r="I14" s="174">
        <v>3.61</v>
      </c>
      <c r="J14" s="174">
        <v>1.1000000000000001</v>
      </c>
      <c r="K14" s="203">
        <v>1.08</v>
      </c>
      <c r="L14" s="203">
        <v>1.1000000000000001</v>
      </c>
      <c r="M14" s="191">
        <v>777</v>
      </c>
      <c r="N14" s="176">
        <v>12.225</v>
      </c>
      <c r="O14" s="176">
        <f>6.02+6.105</f>
        <v>12.125</v>
      </c>
      <c r="P14" s="176"/>
      <c r="Q14" s="176">
        <v>0.1</v>
      </c>
      <c r="R14" s="176" t="s">
        <v>114</v>
      </c>
      <c r="S14" s="209" t="s">
        <v>4468</v>
      </c>
      <c r="T14" s="178" t="s">
        <v>4358</v>
      </c>
      <c r="U14" s="178"/>
      <c r="V14" s="179"/>
      <c r="W14" s="177">
        <v>44910</v>
      </c>
      <c r="X14" s="177"/>
      <c r="Y14" s="177">
        <v>44911</v>
      </c>
      <c r="Z14" s="177"/>
      <c r="AA14" s="177"/>
      <c r="AB14" s="177"/>
      <c r="AC14" s="177"/>
      <c r="AD14" s="177"/>
      <c r="AE14" s="177"/>
      <c r="AF14" s="177"/>
      <c r="AG14" s="180" t="s">
        <v>1619</v>
      </c>
      <c r="AH14" s="173" t="s">
        <v>69</v>
      </c>
      <c r="AI14" s="181" t="s">
        <v>142</v>
      </c>
      <c r="AJ14" s="181" t="s">
        <v>2283</v>
      </c>
      <c r="AK14" s="181"/>
      <c r="AL14" s="181">
        <v>44880</v>
      </c>
      <c r="AM14" s="181"/>
      <c r="AN14" s="181">
        <f t="shared" ca="1" si="1"/>
        <v>44958</v>
      </c>
      <c r="AO14" s="173">
        <f t="shared" ca="1" si="5"/>
        <v>78</v>
      </c>
      <c r="AP14" s="173" t="str">
        <f t="shared" si="6"/>
        <v/>
      </c>
      <c r="AQ14" s="181"/>
      <c r="AR14" s="190" t="s">
        <v>4469</v>
      </c>
      <c r="AS14" s="176">
        <v>12.18</v>
      </c>
      <c r="AT14" s="176">
        <v>12.19</v>
      </c>
      <c r="AU14" s="176">
        <v>12.214999999999998</v>
      </c>
      <c r="AV14" s="176">
        <v>12.219999999999999</v>
      </c>
      <c r="AW14" s="173">
        <f t="shared" ca="1" si="7"/>
        <v>47</v>
      </c>
      <c r="AX14" s="142">
        <v>459</v>
      </c>
      <c r="AZ14" s="142" t="s">
        <v>123</v>
      </c>
    </row>
    <row r="15" spans="1:53" s="142" customFormat="1" ht="21" customHeight="1" x14ac:dyDescent="0.25">
      <c r="B15" s="173" t="str">
        <f t="shared" si="0"/>
        <v>0-304L/2B-1.10X774</v>
      </c>
      <c r="C15" s="201" t="s">
        <v>4465</v>
      </c>
      <c r="D15" s="173" t="s">
        <v>4432</v>
      </c>
      <c r="E15" s="190" t="s">
        <v>4470</v>
      </c>
      <c r="F15" s="201" t="s">
        <v>4471</v>
      </c>
      <c r="G15" s="173" t="s">
        <v>182</v>
      </c>
      <c r="H15" s="173" t="s">
        <v>114</v>
      </c>
      <c r="I15" s="174">
        <v>3.58</v>
      </c>
      <c r="J15" s="174">
        <v>1.1000000000000001</v>
      </c>
      <c r="K15" s="203">
        <v>1.1000000000000001</v>
      </c>
      <c r="L15" s="203">
        <v>1.1299999999999999</v>
      </c>
      <c r="M15" s="191">
        <v>774</v>
      </c>
      <c r="N15" s="176">
        <v>12.085000000000001</v>
      </c>
      <c r="O15" s="176">
        <f>6.025+5.935</f>
        <v>11.96</v>
      </c>
      <c r="P15" s="176"/>
      <c r="Q15" s="176">
        <v>0.125</v>
      </c>
      <c r="R15" s="176" t="s">
        <v>114</v>
      </c>
      <c r="S15" s="209" t="s">
        <v>4468</v>
      </c>
      <c r="T15" s="178" t="s">
        <v>4358</v>
      </c>
      <c r="U15" s="178"/>
      <c r="V15" s="179"/>
      <c r="W15" s="177">
        <v>44911</v>
      </c>
      <c r="X15" s="177"/>
      <c r="Y15" s="177">
        <v>44911</v>
      </c>
      <c r="Z15" s="177"/>
      <c r="AA15" s="177"/>
      <c r="AB15" s="177"/>
      <c r="AC15" s="177"/>
      <c r="AD15" s="177"/>
      <c r="AE15" s="177"/>
      <c r="AF15" s="177"/>
      <c r="AG15" s="180" t="s">
        <v>1619</v>
      </c>
      <c r="AH15" s="173" t="s">
        <v>69</v>
      </c>
      <c r="AI15" s="181" t="s">
        <v>142</v>
      </c>
      <c r="AJ15" s="181" t="s">
        <v>1653</v>
      </c>
      <c r="AK15" s="181"/>
      <c r="AL15" s="181">
        <v>44880</v>
      </c>
      <c r="AM15" s="181"/>
      <c r="AN15" s="181">
        <f t="shared" ca="1" si="1"/>
        <v>44958</v>
      </c>
      <c r="AO15" s="173">
        <f t="shared" ca="1" si="5"/>
        <v>78</v>
      </c>
      <c r="AP15" s="173" t="str">
        <f t="shared" si="6"/>
        <v/>
      </c>
      <c r="AQ15" s="181"/>
      <c r="AR15" s="190" t="s">
        <v>4472</v>
      </c>
      <c r="AS15" s="176">
        <v>12.05</v>
      </c>
      <c r="AT15" s="176">
        <v>12.06</v>
      </c>
      <c r="AU15" s="176">
        <v>12.084999999999999</v>
      </c>
      <c r="AV15" s="176">
        <v>12.09</v>
      </c>
      <c r="AW15" s="173">
        <f t="shared" ca="1" si="7"/>
        <v>47</v>
      </c>
      <c r="AX15" s="142">
        <v>459</v>
      </c>
      <c r="AZ15" s="142" t="s">
        <v>123</v>
      </c>
    </row>
    <row r="16" spans="1:53" s="142" customFormat="1" ht="21" customHeight="1" x14ac:dyDescent="0.25">
      <c r="B16" s="173" t="str">
        <f t="shared" si="0"/>
        <v>0-304L/2B-1.10X772</v>
      </c>
      <c r="C16" s="201" t="s">
        <v>4465</v>
      </c>
      <c r="D16" s="173" t="s">
        <v>4432</v>
      </c>
      <c r="E16" s="190" t="s">
        <v>4473</v>
      </c>
      <c r="F16" s="201" t="s">
        <v>4474</v>
      </c>
      <c r="G16" s="173" t="s">
        <v>182</v>
      </c>
      <c r="H16" s="173" t="s">
        <v>114</v>
      </c>
      <c r="I16" s="174">
        <v>3.62</v>
      </c>
      <c r="J16" s="174">
        <v>1.1000000000000001</v>
      </c>
      <c r="K16" s="203">
        <v>1.08</v>
      </c>
      <c r="L16" s="203">
        <v>1.1100000000000001</v>
      </c>
      <c r="M16" s="191">
        <v>772</v>
      </c>
      <c r="N16" s="176">
        <v>12.08</v>
      </c>
      <c r="O16" s="176">
        <f>5.985+6</f>
        <v>11.984999999999999</v>
      </c>
      <c r="P16" s="176"/>
      <c r="Q16" s="176">
        <v>9.5000000000000001E-2</v>
      </c>
      <c r="R16" s="176" t="s">
        <v>114</v>
      </c>
      <c r="S16" s="209" t="s">
        <v>4468</v>
      </c>
      <c r="T16" s="178" t="s">
        <v>4358</v>
      </c>
      <c r="U16" s="178"/>
      <c r="V16" s="179"/>
      <c r="W16" s="177">
        <v>44910</v>
      </c>
      <c r="X16" s="177"/>
      <c r="Y16" s="177">
        <v>44910</v>
      </c>
      <c r="Z16" s="177"/>
      <c r="AA16" s="177"/>
      <c r="AB16" s="177"/>
      <c r="AC16" s="177"/>
      <c r="AD16" s="177"/>
      <c r="AE16" s="177"/>
      <c r="AF16" s="177"/>
      <c r="AG16" s="180" t="s">
        <v>1619</v>
      </c>
      <c r="AH16" s="173" t="s">
        <v>69</v>
      </c>
      <c r="AI16" s="181" t="s">
        <v>142</v>
      </c>
      <c r="AJ16" s="181" t="s">
        <v>2283</v>
      </c>
      <c r="AK16" s="181"/>
      <c r="AL16" s="181">
        <v>44880</v>
      </c>
      <c r="AM16" s="181"/>
      <c r="AN16" s="181">
        <f t="shared" ca="1" si="1"/>
        <v>44958</v>
      </c>
      <c r="AO16" s="173">
        <f t="shared" ca="1" si="5"/>
        <v>78</v>
      </c>
      <c r="AP16" s="173" t="str">
        <f t="shared" si="6"/>
        <v/>
      </c>
      <c r="AQ16" s="181"/>
      <c r="AR16" s="190" t="s">
        <v>4475</v>
      </c>
      <c r="AS16" s="176">
        <v>12.065</v>
      </c>
      <c r="AT16" s="176">
        <v>12.074999999999999</v>
      </c>
      <c r="AU16" s="176">
        <v>12.099999999999998</v>
      </c>
      <c r="AV16" s="176">
        <v>12.104999999999999</v>
      </c>
      <c r="AW16" s="173">
        <f t="shared" ca="1" si="7"/>
        <v>48</v>
      </c>
      <c r="AX16" s="142">
        <v>459</v>
      </c>
      <c r="AZ16" s="142" t="s">
        <v>123</v>
      </c>
    </row>
    <row r="17" spans="2:52" s="142" customFormat="1" ht="21" customHeight="1" x14ac:dyDescent="0.25">
      <c r="B17" s="173" t="str">
        <f t="shared" si="0"/>
        <v>0-304L/2B-1.10X774</v>
      </c>
      <c r="C17" s="201" t="s">
        <v>4465</v>
      </c>
      <c r="D17" s="173" t="s">
        <v>4432</v>
      </c>
      <c r="E17" s="190" t="s">
        <v>4476</v>
      </c>
      <c r="F17" s="201" t="s">
        <v>4477</v>
      </c>
      <c r="G17" s="173" t="s">
        <v>182</v>
      </c>
      <c r="H17" s="173" t="s">
        <v>114</v>
      </c>
      <c r="I17" s="174">
        <v>3.58</v>
      </c>
      <c r="J17" s="174">
        <v>1.1000000000000001</v>
      </c>
      <c r="K17" s="203">
        <v>1.04</v>
      </c>
      <c r="L17" s="203">
        <v>1.07</v>
      </c>
      <c r="M17" s="191">
        <v>774</v>
      </c>
      <c r="N17" s="176">
        <v>11.955</v>
      </c>
      <c r="O17" s="176">
        <f>5.91+5.95</f>
        <v>11.86</v>
      </c>
      <c r="P17" s="176"/>
      <c r="Q17" s="176">
        <v>9.5000000000000001E-2</v>
      </c>
      <c r="R17" s="176" t="s">
        <v>114</v>
      </c>
      <c r="S17" s="209" t="s">
        <v>4468</v>
      </c>
      <c r="T17" s="178" t="s">
        <v>4358</v>
      </c>
      <c r="U17" s="178"/>
      <c r="V17" s="179"/>
      <c r="W17" s="177">
        <v>44910</v>
      </c>
      <c r="X17" s="177"/>
      <c r="Y17" s="177">
        <v>44911</v>
      </c>
      <c r="Z17" s="177"/>
      <c r="AA17" s="177"/>
      <c r="AB17" s="177"/>
      <c r="AC17" s="177"/>
      <c r="AD17" s="177"/>
      <c r="AE17" s="177"/>
      <c r="AF17" s="177"/>
      <c r="AG17" s="180" t="s">
        <v>1619</v>
      </c>
      <c r="AH17" s="173" t="s">
        <v>69</v>
      </c>
      <c r="AI17" s="181" t="s">
        <v>142</v>
      </c>
      <c r="AJ17" s="181" t="s">
        <v>1887</v>
      </c>
      <c r="AK17" s="181"/>
      <c r="AL17" s="181">
        <v>44880</v>
      </c>
      <c r="AM17" s="181"/>
      <c r="AN17" s="181">
        <f t="shared" ca="1" si="1"/>
        <v>44958</v>
      </c>
      <c r="AO17" s="173">
        <f t="shared" ca="1" si="5"/>
        <v>78</v>
      </c>
      <c r="AP17" s="173" t="str">
        <f t="shared" si="6"/>
        <v/>
      </c>
      <c r="AQ17" s="181"/>
      <c r="AR17" s="190" t="s">
        <v>4478</v>
      </c>
      <c r="AS17" s="176">
        <v>12.06</v>
      </c>
      <c r="AT17" s="176">
        <v>12.07</v>
      </c>
      <c r="AU17" s="176">
        <v>12.094999999999999</v>
      </c>
      <c r="AV17" s="176">
        <v>12.1</v>
      </c>
      <c r="AW17" s="173">
        <f t="shared" ca="1" si="7"/>
        <v>47</v>
      </c>
      <c r="AX17" s="142">
        <v>459</v>
      </c>
      <c r="AZ17" s="142" t="s">
        <v>123</v>
      </c>
    </row>
    <row r="18" spans="2:52" s="142" customFormat="1" ht="21" customHeight="1" x14ac:dyDescent="0.25">
      <c r="B18" s="173" t="str">
        <f t="shared" si="0"/>
        <v>0-304/2B-1.50X768</v>
      </c>
      <c r="C18" s="201" t="s">
        <v>4479</v>
      </c>
      <c r="D18" s="173" t="s">
        <v>836</v>
      </c>
      <c r="E18" s="190" t="s">
        <v>4480</v>
      </c>
      <c r="F18" s="201" t="s">
        <v>4481</v>
      </c>
      <c r="G18" s="173">
        <v>304</v>
      </c>
      <c r="H18" s="173" t="s">
        <v>114</v>
      </c>
      <c r="I18" s="174">
        <v>3.85</v>
      </c>
      <c r="J18" s="174">
        <v>1.5</v>
      </c>
      <c r="K18" s="203">
        <v>1.5</v>
      </c>
      <c r="L18" s="203">
        <v>1.51</v>
      </c>
      <c r="M18" s="191">
        <v>768</v>
      </c>
      <c r="N18" s="176">
        <v>10.455</v>
      </c>
      <c r="O18" s="176">
        <v>10.395</v>
      </c>
      <c r="P18" s="176"/>
      <c r="Q18" s="176">
        <v>0.06</v>
      </c>
      <c r="R18" s="176" t="s">
        <v>114</v>
      </c>
      <c r="S18" s="209"/>
      <c r="T18" s="178" t="s">
        <v>4378</v>
      </c>
      <c r="U18" s="178"/>
      <c r="V18" s="179"/>
      <c r="W18" s="177">
        <v>44904</v>
      </c>
      <c r="X18" s="177"/>
      <c r="Y18" s="177">
        <v>44904</v>
      </c>
      <c r="Z18" s="177"/>
      <c r="AA18" s="177">
        <v>44928</v>
      </c>
      <c r="AB18" s="177"/>
      <c r="AC18" s="177"/>
      <c r="AD18" s="177"/>
      <c r="AE18" s="177"/>
      <c r="AF18" s="177"/>
      <c r="AG18" s="180" t="s">
        <v>4482</v>
      </c>
      <c r="AH18" s="173" t="s">
        <v>69</v>
      </c>
      <c r="AI18" s="181" t="s">
        <v>142</v>
      </c>
      <c r="AJ18" s="181" t="s">
        <v>2283</v>
      </c>
      <c r="AK18" s="181"/>
      <c r="AL18" s="181">
        <v>44880</v>
      </c>
      <c r="AM18" s="181"/>
      <c r="AN18" s="181">
        <f t="shared" ca="1" si="1"/>
        <v>44958</v>
      </c>
      <c r="AO18" s="173">
        <f t="shared" ca="1" si="5"/>
        <v>78</v>
      </c>
      <c r="AP18" s="173">
        <f t="shared" ca="1" si="6"/>
        <v>30</v>
      </c>
      <c r="AQ18" s="181"/>
      <c r="AR18" s="190" t="s">
        <v>4483</v>
      </c>
      <c r="AS18" s="176">
        <v>10.48</v>
      </c>
      <c r="AT18" s="176">
        <v>10.49</v>
      </c>
      <c r="AU18" s="176">
        <v>10.514999999999999</v>
      </c>
      <c r="AV18" s="176">
        <v>10.52</v>
      </c>
      <c r="AW18" s="173">
        <f t="shared" ca="1" si="7"/>
        <v>54</v>
      </c>
      <c r="AX18" s="142">
        <v>459</v>
      </c>
      <c r="AZ18" s="142" t="s">
        <v>123</v>
      </c>
    </row>
    <row r="19" spans="2:52" s="142" customFormat="1" ht="21" customHeight="1" x14ac:dyDescent="0.25">
      <c r="B19" s="173" t="str">
        <f t="shared" si="0"/>
        <v>0-304/2B-1.50X768</v>
      </c>
      <c r="C19" s="201" t="s">
        <v>4465</v>
      </c>
      <c r="D19" s="173" t="s">
        <v>4432</v>
      </c>
      <c r="E19" s="190" t="s">
        <v>4484</v>
      </c>
      <c r="F19" s="201" t="s">
        <v>4485</v>
      </c>
      <c r="G19" s="173">
        <v>304</v>
      </c>
      <c r="H19" s="173" t="s">
        <v>114</v>
      </c>
      <c r="I19" s="174">
        <v>3.87</v>
      </c>
      <c r="J19" s="174">
        <v>1.5</v>
      </c>
      <c r="K19" s="203">
        <v>1.48</v>
      </c>
      <c r="L19" s="203">
        <v>1.51</v>
      </c>
      <c r="M19" s="191">
        <v>768</v>
      </c>
      <c r="N19" s="176">
        <v>12.12</v>
      </c>
      <c r="O19" s="176">
        <f>5.94+6.15</f>
        <v>12.09</v>
      </c>
      <c r="P19" s="176"/>
      <c r="Q19" s="176">
        <v>0.03</v>
      </c>
      <c r="R19" s="176" t="s">
        <v>114</v>
      </c>
      <c r="S19" s="209" t="s">
        <v>4486</v>
      </c>
      <c r="T19" s="178" t="s">
        <v>4378</v>
      </c>
      <c r="U19" s="178"/>
      <c r="V19" s="179"/>
      <c r="W19" s="177">
        <v>44906</v>
      </c>
      <c r="X19" s="177"/>
      <c r="Y19" s="177">
        <v>44906</v>
      </c>
      <c r="Z19" s="177"/>
      <c r="AA19" s="177"/>
      <c r="AB19" s="177"/>
      <c r="AC19" s="177"/>
      <c r="AD19" s="177"/>
      <c r="AE19" s="177"/>
      <c r="AF19" s="177"/>
      <c r="AG19" s="180" t="s">
        <v>4482</v>
      </c>
      <c r="AH19" s="173" t="s">
        <v>69</v>
      </c>
      <c r="AI19" s="181" t="s">
        <v>142</v>
      </c>
      <c r="AJ19" s="181" t="s">
        <v>2283</v>
      </c>
      <c r="AK19" s="181"/>
      <c r="AL19" s="181">
        <v>44880</v>
      </c>
      <c r="AM19" s="181"/>
      <c r="AN19" s="181">
        <f t="shared" ca="1" si="1"/>
        <v>44958</v>
      </c>
      <c r="AO19" s="173">
        <f t="shared" ca="1" si="5"/>
        <v>78</v>
      </c>
      <c r="AP19" s="173" t="str">
        <f t="shared" si="6"/>
        <v/>
      </c>
      <c r="AQ19" s="181"/>
      <c r="AR19" s="190" t="s">
        <v>4487</v>
      </c>
      <c r="AS19" s="176">
        <v>12.185</v>
      </c>
      <c r="AT19" s="176">
        <v>12.195</v>
      </c>
      <c r="AU19" s="176">
        <v>12.219999999999999</v>
      </c>
      <c r="AV19" s="176">
        <v>12.225</v>
      </c>
      <c r="AW19" s="173">
        <f t="shared" ca="1" si="7"/>
        <v>52</v>
      </c>
      <c r="AX19" s="142">
        <v>459</v>
      </c>
      <c r="AZ19" s="142" t="s">
        <v>123</v>
      </c>
    </row>
    <row r="20" spans="2:52" s="142" customFormat="1" ht="21" customHeight="1" x14ac:dyDescent="0.25">
      <c r="B20" s="173" t="str">
        <f t="shared" si="0"/>
        <v>0-304L/2B-1.20X765</v>
      </c>
      <c r="C20" s="201" t="s">
        <v>4479</v>
      </c>
      <c r="D20" s="173" t="s">
        <v>836</v>
      </c>
      <c r="E20" s="190" t="s">
        <v>4488</v>
      </c>
      <c r="F20" s="201" t="s">
        <v>4489</v>
      </c>
      <c r="G20" s="173" t="s">
        <v>182</v>
      </c>
      <c r="H20" s="173" t="s">
        <v>114</v>
      </c>
      <c r="I20" s="174">
        <v>3.61</v>
      </c>
      <c r="J20" s="174">
        <v>1.2</v>
      </c>
      <c r="K20" s="203">
        <v>1.18</v>
      </c>
      <c r="L20" s="203">
        <v>1.2</v>
      </c>
      <c r="M20" s="191">
        <v>765</v>
      </c>
      <c r="N20" s="176">
        <v>11.73</v>
      </c>
      <c r="O20" s="176">
        <v>11.72</v>
      </c>
      <c r="P20" s="176"/>
      <c r="Q20" s="176">
        <v>0.01</v>
      </c>
      <c r="R20" s="176" t="s">
        <v>114</v>
      </c>
      <c r="S20" s="209"/>
      <c r="T20" s="178" t="s">
        <v>4490</v>
      </c>
      <c r="U20" s="178"/>
      <c r="V20" s="179"/>
      <c r="W20" s="177">
        <v>44904</v>
      </c>
      <c r="X20" s="177"/>
      <c r="Y20" s="177">
        <v>44904</v>
      </c>
      <c r="Z20" s="177"/>
      <c r="AA20" s="177">
        <v>44928</v>
      </c>
      <c r="AB20" s="177"/>
      <c r="AC20" s="177"/>
      <c r="AD20" s="177"/>
      <c r="AE20" s="177"/>
      <c r="AF20" s="177"/>
      <c r="AG20" s="180" t="s">
        <v>1609</v>
      </c>
      <c r="AH20" s="173" t="s">
        <v>69</v>
      </c>
      <c r="AI20" s="181" t="s">
        <v>142</v>
      </c>
      <c r="AJ20" s="181" t="s">
        <v>1653</v>
      </c>
      <c r="AK20" s="181"/>
      <c r="AL20" s="181">
        <v>44880</v>
      </c>
      <c r="AM20" s="181"/>
      <c r="AN20" s="181">
        <f t="shared" ca="1" si="1"/>
        <v>44958</v>
      </c>
      <c r="AO20" s="173">
        <f t="shared" ca="1" si="5"/>
        <v>78</v>
      </c>
      <c r="AP20" s="173">
        <f t="shared" ca="1" si="6"/>
        <v>30</v>
      </c>
      <c r="AQ20" s="181"/>
      <c r="AR20" s="190" t="s">
        <v>4491</v>
      </c>
      <c r="AS20" s="176">
        <v>11.805</v>
      </c>
      <c r="AT20" s="176">
        <v>11.815</v>
      </c>
      <c r="AU20" s="176">
        <v>11.839999999999998</v>
      </c>
      <c r="AV20" s="176">
        <v>11.844999999999999</v>
      </c>
      <c r="AW20" s="173">
        <f t="shared" ca="1" si="7"/>
        <v>54</v>
      </c>
      <c r="AX20" s="142">
        <v>459</v>
      </c>
      <c r="AZ20" s="142" t="s">
        <v>123</v>
      </c>
    </row>
    <row r="21" spans="2:52" s="142" customFormat="1" ht="21" customHeight="1" x14ac:dyDescent="0.25">
      <c r="B21" s="173" t="str">
        <f t="shared" si="0"/>
        <v>0-304/2B-1.50X767</v>
      </c>
      <c r="C21" s="201" t="s">
        <v>4465</v>
      </c>
      <c r="D21" s="173" t="s">
        <v>4432</v>
      </c>
      <c r="E21" s="190" t="s">
        <v>4492</v>
      </c>
      <c r="F21" s="201" t="s">
        <v>4493</v>
      </c>
      <c r="G21" s="173">
        <v>304</v>
      </c>
      <c r="H21" s="173" t="s">
        <v>114</v>
      </c>
      <c r="I21" s="174">
        <v>3.85</v>
      </c>
      <c r="J21" s="174">
        <v>1.5</v>
      </c>
      <c r="K21" s="203">
        <v>1.49</v>
      </c>
      <c r="L21" s="203">
        <v>1.52</v>
      </c>
      <c r="M21" s="191">
        <v>767</v>
      </c>
      <c r="N21" s="176">
        <v>10.345000000000001</v>
      </c>
      <c r="O21" s="176">
        <f>5.275+5.05</f>
        <v>10.324999999999999</v>
      </c>
      <c r="P21" s="176"/>
      <c r="Q21" s="176">
        <v>0.02</v>
      </c>
      <c r="R21" s="176" t="s">
        <v>114</v>
      </c>
      <c r="S21" s="209" t="s">
        <v>4486</v>
      </c>
      <c r="T21" s="178" t="s">
        <v>4378</v>
      </c>
      <c r="U21" s="178"/>
      <c r="V21" s="179"/>
      <c r="W21" s="177">
        <v>44905</v>
      </c>
      <c r="X21" s="177"/>
      <c r="Y21" s="177">
        <v>44906</v>
      </c>
      <c r="Z21" s="177"/>
      <c r="AA21" s="177"/>
      <c r="AB21" s="177"/>
      <c r="AC21" s="177"/>
      <c r="AD21" s="177"/>
      <c r="AE21" s="177"/>
      <c r="AF21" s="177"/>
      <c r="AG21" s="180" t="s">
        <v>4482</v>
      </c>
      <c r="AH21" s="173" t="s">
        <v>69</v>
      </c>
      <c r="AI21" s="181" t="s">
        <v>142</v>
      </c>
      <c r="AJ21" s="181" t="s">
        <v>2283</v>
      </c>
      <c r="AK21" s="181"/>
      <c r="AL21" s="181">
        <v>44880</v>
      </c>
      <c r="AM21" s="181"/>
      <c r="AN21" s="181">
        <f t="shared" ca="1" si="1"/>
        <v>44958</v>
      </c>
      <c r="AO21" s="173">
        <f t="shared" ca="1" si="5"/>
        <v>78</v>
      </c>
      <c r="AP21" s="173" t="str">
        <f t="shared" si="6"/>
        <v/>
      </c>
      <c r="AQ21" s="181"/>
      <c r="AR21" s="190" t="s">
        <v>4494</v>
      </c>
      <c r="AS21" s="176">
        <v>10.4</v>
      </c>
      <c r="AT21" s="176">
        <v>10.41</v>
      </c>
      <c r="AU21" s="176">
        <v>10.434999999999999</v>
      </c>
      <c r="AV21" s="176">
        <v>10.44</v>
      </c>
      <c r="AW21" s="173">
        <f t="shared" ca="1" si="7"/>
        <v>52</v>
      </c>
      <c r="AX21" s="142">
        <v>459</v>
      </c>
      <c r="AZ21" s="142" t="s">
        <v>123</v>
      </c>
    </row>
    <row r="22" spans="2:52" s="142" customFormat="1" ht="21" customHeight="1" x14ac:dyDescent="0.25">
      <c r="B22" s="173" t="str">
        <f t="shared" si="0"/>
        <v>0-304L/2B-1.20X772</v>
      </c>
      <c r="C22" s="201" t="s">
        <v>4495</v>
      </c>
      <c r="D22" s="173" t="s">
        <v>4432</v>
      </c>
      <c r="E22" s="190" t="s">
        <v>4496</v>
      </c>
      <c r="F22" s="201" t="s">
        <v>4497</v>
      </c>
      <c r="G22" s="173" t="s">
        <v>182</v>
      </c>
      <c r="H22" s="173" t="s">
        <v>114</v>
      </c>
      <c r="I22" s="174">
        <v>3.57</v>
      </c>
      <c r="J22" s="174">
        <v>1.2</v>
      </c>
      <c r="K22" s="203">
        <v>1.17</v>
      </c>
      <c r="L22" s="203">
        <v>1.2</v>
      </c>
      <c r="M22" s="191">
        <v>772</v>
      </c>
      <c r="N22" s="349">
        <v>11.715</v>
      </c>
      <c r="O22" s="176">
        <v>5.7949999999999999</v>
      </c>
      <c r="P22" s="176"/>
      <c r="Q22" s="176"/>
      <c r="R22" s="176" t="s">
        <v>114</v>
      </c>
      <c r="S22" s="209" t="s">
        <v>4486</v>
      </c>
      <c r="T22" s="178" t="s">
        <v>4378</v>
      </c>
      <c r="U22" s="178"/>
      <c r="V22" s="179"/>
      <c r="W22" s="177">
        <v>44906</v>
      </c>
      <c r="X22" s="177"/>
      <c r="Y22" s="177">
        <v>44906</v>
      </c>
      <c r="Z22" s="177"/>
      <c r="AA22" s="177"/>
      <c r="AB22" s="177"/>
      <c r="AC22" s="177"/>
      <c r="AD22" s="177"/>
      <c r="AE22" s="177"/>
      <c r="AF22" s="177"/>
      <c r="AG22" s="180" t="s">
        <v>1609</v>
      </c>
      <c r="AH22" s="173" t="s">
        <v>69</v>
      </c>
      <c r="AI22" s="181" t="s">
        <v>142</v>
      </c>
      <c r="AJ22" s="181" t="s">
        <v>2283</v>
      </c>
      <c r="AK22" s="181"/>
      <c r="AL22" s="181">
        <v>44880</v>
      </c>
      <c r="AM22" s="181"/>
      <c r="AN22" s="181">
        <f t="shared" ca="1" si="1"/>
        <v>44958</v>
      </c>
      <c r="AO22" s="173">
        <f t="shared" ca="1" si="5"/>
        <v>78</v>
      </c>
      <c r="AP22" s="173" t="str">
        <f t="shared" si="6"/>
        <v/>
      </c>
      <c r="AQ22" s="181"/>
      <c r="AR22" s="190" t="s">
        <v>4498</v>
      </c>
      <c r="AS22" s="176">
        <v>11.765000000000001</v>
      </c>
      <c r="AT22" s="176">
        <v>11.775</v>
      </c>
      <c r="AU22" s="176">
        <v>11.799999999999999</v>
      </c>
      <c r="AV22" s="176">
        <v>11.805</v>
      </c>
      <c r="AW22" s="173">
        <f t="shared" ca="1" si="7"/>
        <v>52</v>
      </c>
      <c r="AX22" s="142">
        <v>459</v>
      </c>
      <c r="AZ22" s="142" t="s">
        <v>123</v>
      </c>
    </row>
    <row r="23" spans="2:52" s="142" customFormat="1" ht="21" customHeight="1" x14ac:dyDescent="0.25">
      <c r="B23" s="173" t="str">
        <f t="shared" si="0"/>
        <v>0-304L/2B-1.20X772</v>
      </c>
      <c r="C23" s="201" t="s">
        <v>4499</v>
      </c>
      <c r="D23" s="173" t="s">
        <v>836</v>
      </c>
      <c r="E23" s="190" t="s">
        <v>4496</v>
      </c>
      <c r="F23" s="201" t="s">
        <v>4500</v>
      </c>
      <c r="G23" s="173" t="s">
        <v>182</v>
      </c>
      <c r="H23" s="173" t="s">
        <v>114</v>
      </c>
      <c r="I23" s="174">
        <v>3.57</v>
      </c>
      <c r="J23" s="174">
        <v>1.2</v>
      </c>
      <c r="K23" s="203">
        <v>1.17</v>
      </c>
      <c r="L23" s="203">
        <v>1.2</v>
      </c>
      <c r="M23" s="191">
        <v>772</v>
      </c>
      <c r="N23" s="350"/>
      <c r="O23" s="176">
        <v>5.8650000000000002</v>
      </c>
      <c r="P23" s="176"/>
      <c r="Q23" s="176">
        <v>5.5E-2</v>
      </c>
      <c r="R23" s="176" t="s">
        <v>114</v>
      </c>
      <c r="S23" s="209"/>
      <c r="T23" s="178" t="s">
        <v>4378</v>
      </c>
      <c r="U23" s="178"/>
      <c r="V23" s="179"/>
      <c r="W23" s="177">
        <v>44906</v>
      </c>
      <c r="X23" s="177"/>
      <c r="Y23" s="177">
        <v>44906</v>
      </c>
      <c r="Z23" s="177"/>
      <c r="AA23" s="177">
        <v>44929</v>
      </c>
      <c r="AB23" s="177"/>
      <c r="AC23" s="177"/>
      <c r="AD23" s="177"/>
      <c r="AE23" s="177"/>
      <c r="AF23" s="177"/>
      <c r="AG23" s="180" t="s">
        <v>1609</v>
      </c>
      <c r="AH23" s="173" t="s">
        <v>69</v>
      </c>
      <c r="AI23" s="181" t="s">
        <v>142</v>
      </c>
      <c r="AJ23" s="181" t="s">
        <v>2283</v>
      </c>
      <c r="AK23" s="181"/>
      <c r="AL23" s="181">
        <v>44880</v>
      </c>
      <c r="AM23" s="181"/>
      <c r="AN23" s="181">
        <f t="shared" ca="1" si="1"/>
        <v>44958</v>
      </c>
      <c r="AO23" s="173">
        <f t="shared" ca="1" si="5"/>
        <v>78</v>
      </c>
      <c r="AP23" s="173">
        <f t="shared" ca="1" si="6"/>
        <v>29</v>
      </c>
      <c r="AQ23" s="181"/>
      <c r="AR23" s="190" t="s">
        <v>4498</v>
      </c>
      <c r="AS23" s="176">
        <v>11.765000000000001</v>
      </c>
      <c r="AT23" s="176">
        <v>11.775</v>
      </c>
      <c r="AU23" s="176">
        <v>11.799999999999999</v>
      </c>
      <c r="AV23" s="176">
        <v>11.805</v>
      </c>
      <c r="AW23" s="173">
        <f t="shared" ca="1" si="7"/>
        <v>52</v>
      </c>
      <c r="AX23" s="142">
        <v>459</v>
      </c>
      <c r="AZ23" s="142" t="s">
        <v>123</v>
      </c>
    </row>
    <row r="24" spans="2:52" s="142" customFormat="1" ht="21" customHeight="1" x14ac:dyDescent="0.25">
      <c r="B24" s="173" t="str">
        <f t="shared" si="0"/>
        <v>0-304L/2B-0.58X641</v>
      </c>
      <c r="C24" s="201" t="s">
        <v>4501</v>
      </c>
      <c r="D24" s="173" t="s">
        <v>1237</v>
      </c>
      <c r="E24" s="190" t="s">
        <v>3992</v>
      </c>
      <c r="F24" s="201" t="s">
        <v>3993</v>
      </c>
      <c r="G24" s="173" t="s">
        <v>182</v>
      </c>
      <c r="H24" s="173" t="s">
        <v>114</v>
      </c>
      <c r="I24" s="174">
        <v>2.88</v>
      </c>
      <c r="J24" s="174">
        <v>0.57999999999999996</v>
      </c>
      <c r="K24" s="203">
        <v>0.56999999999999995</v>
      </c>
      <c r="L24" s="203">
        <v>0.59</v>
      </c>
      <c r="M24" s="191">
        <v>641</v>
      </c>
      <c r="N24" s="176">
        <v>10.7</v>
      </c>
      <c r="O24" s="176">
        <v>10.484999999999999</v>
      </c>
      <c r="P24" s="176"/>
      <c r="Q24" s="176">
        <v>0.215</v>
      </c>
      <c r="R24" s="176" t="s">
        <v>114</v>
      </c>
      <c r="S24" s="209"/>
      <c r="T24" s="178" t="s">
        <v>1344</v>
      </c>
      <c r="U24" s="178"/>
      <c r="V24" s="179" t="s">
        <v>230</v>
      </c>
      <c r="W24" s="177">
        <v>44921</v>
      </c>
      <c r="X24" s="177"/>
      <c r="Y24" s="177"/>
      <c r="Z24" s="177">
        <v>44923</v>
      </c>
      <c r="AA24" s="177">
        <v>44929</v>
      </c>
      <c r="AB24" s="177"/>
      <c r="AC24" s="177">
        <v>44928</v>
      </c>
      <c r="AD24" s="177"/>
      <c r="AE24" s="177"/>
      <c r="AF24" s="177"/>
      <c r="AG24" s="180" t="s">
        <v>2479</v>
      </c>
      <c r="AH24" s="173" t="s">
        <v>69</v>
      </c>
      <c r="AI24" s="181" t="s">
        <v>142</v>
      </c>
      <c r="AJ24" s="181" t="s">
        <v>1594</v>
      </c>
      <c r="AK24" s="181"/>
      <c r="AL24" s="181">
        <v>44849</v>
      </c>
      <c r="AM24" s="181"/>
      <c r="AN24" s="181">
        <f t="shared" ca="1" si="1"/>
        <v>44958</v>
      </c>
      <c r="AO24" s="173">
        <f t="shared" ca="1" si="5"/>
        <v>109</v>
      </c>
      <c r="AP24" s="173">
        <f t="shared" ca="1" si="6"/>
        <v>29</v>
      </c>
      <c r="AQ24" s="181"/>
      <c r="AR24" s="190" t="s">
        <v>3995</v>
      </c>
      <c r="AS24" s="176">
        <v>10.705</v>
      </c>
      <c r="AT24" s="176">
        <v>10.715</v>
      </c>
      <c r="AU24" s="176">
        <v>10.739999999999998</v>
      </c>
      <c r="AV24" s="176">
        <v>10.744999999999999</v>
      </c>
      <c r="AW24" s="173" t="str">
        <f t="shared" si="7"/>
        <v/>
      </c>
      <c r="AX24" s="142">
        <v>456</v>
      </c>
      <c r="AZ24" s="142" t="s">
        <v>123</v>
      </c>
    </row>
    <row r="25" spans="2:52" s="142" customFormat="1" ht="21" customHeight="1" x14ac:dyDescent="0.25">
      <c r="B25" s="173" t="str">
        <f t="shared" si="0"/>
        <v>0-304L/2B-0.80X770</v>
      </c>
      <c r="C25" s="201" t="s">
        <v>4495</v>
      </c>
      <c r="D25" s="173" t="s">
        <v>4432</v>
      </c>
      <c r="E25" s="190" t="s">
        <v>4502</v>
      </c>
      <c r="F25" s="201" t="s">
        <v>4503</v>
      </c>
      <c r="G25" s="173" t="s">
        <v>182</v>
      </c>
      <c r="H25" s="173" t="s">
        <v>114</v>
      </c>
      <c r="I25" s="174">
        <v>2.95</v>
      </c>
      <c r="J25" s="174">
        <v>0.8</v>
      </c>
      <c r="K25" s="203">
        <v>0.79</v>
      </c>
      <c r="L25" s="203">
        <v>0.8</v>
      </c>
      <c r="M25" s="191">
        <v>770</v>
      </c>
      <c r="N25" s="176">
        <v>9.125</v>
      </c>
      <c r="O25" s="176">
        <f>4.975+4.105</f>
        <v>9.08</v>
      </c>
      <c r="P25" s="176"/>
      <c r="Q25" s="176">
        <v>4.4999999999999998E-2</v>
      </c>
      <c r="R25" s="176" t="s">
        <v>114</v>
      </c>
      <c r="S25" s="209" t="s">
        <v>4504</v>
      </c>
      <c r="T25" s="178" t="s">
        <v>2281</v>
      </c>
      <c r="U25" s="178"/>
      <c r="V25" s="179"/>
      <c r="W25" s="177">
        <v>44918</v>
      </c>
      <c r="X25" s="177"/>
      <c r="Y25" s="177">
        <v>44921</v>
      </c>
      <c r="Z25" s="177"/>
      <c r="AA25" s="177"/>
      <c r="AB25" s="177"/>
      <c r="AC25" s="177"/>
      <c r="AD25" s="177"/>
      <c r="AE25" s="177"/>
      <c r="AF25" s="177"/>
      <c r="AG25" s="180" t="s">
        <v>2479</v>
      </c>
      <c r="AH25" s="173" t="s">
        <v>69</v>
      </c>
      <c r="AI25" s="181" t="s">
        <v>142</v>
      </c>
      <c r="AJ25" s="181" t="s">
        <v>1584</v>
      </c>
      <c r="AK25" s="181"/>
      <c r="AL25" s="181">
        <v>44914</v>
      </c>
      <c r="AM25" s="181"/>
      <c r="AN25" s="181">
        <f t="shared" ca="1" si="1"/>
        <v>44958</v>
      </c>
      <c r="AO25" s="173">
        <f t="shared" ca="1" si="5"/>
        <v>44</v>
      </c>
      <c r="AP25" s="173" t="str">
        <f t="shared" si="6"/>
        <v/>
      </c>
      <c r="AQ25" s="181"/>
      <c r="AR25" s="190" t="s">
        <v>2677</v>
      </c>
      <c r="AS25" s="176">
        <v>9.125</v>
      </c>
      <c r="AT25" s="176">
        <v>9.1349999999999998</v>
      </c>
      <c r="AU25" s="176">
        <v>9.1599999999999984</v>
      </c>
      <c r="AV25" s="176">
        <v>9.1649999999999991</v>
      </c>
      <c r="AW25" s="173">
        <f t="shared" ca="1" si="7"/>
        <v>37</v>
      </c>
      <c r="AX25" s="142">
        <v>462</v>
      </c>
      <c r="AZ25" s="142" t="s">
        <v>123</v>
      </c>
    </row>
    <row r="26" spans="2:52" s="142" customFormat="1" ht="21" customHeight="1" x14ac:dyDescent="0.25">
      <c r="B26" s="173" t="str">
        <f t="shared" si="0"/>
        <v>0-304L/2B-1.20X772</v>
      </c>
      <c r="C26" s="201" t="s">
        <v>4495</v>
      </c>
      <c r="D26" s="173" t="s">
        <v>4432</v>
      </c>
      <c r="E26" s="190" t="s">
        <v>4505</v>
      </c>
      <c r="F26" s="201" t="s">
        <v>4506</v>
      </c>
      <c r="G26" s="173" t="s">
        <v>182</v>
      </c>
      <c r="H26" s="173" t="s">
        <v>114</v>
      </c>
      <c r="I26" s="174">
        <v>3.61</v>
      </c>
      <c r="J26" s="174">
        <v>1.2</v>
      </c>
      <c r="K26" s="203">
        <v>1.2</v>
      </c>
      <c r="L26" s="203">
        <v>1.21</v>
      </c>
      <c r="M26" s="191">
        <v>772</v>
      </c>
      <c r="N26" s="176">
        <v>12.05</v>
      </c>
      <c r="O26" s="176">
        <f>5.995+6.04</f>
        <v>12.035</v>
      </c>
      <c r="P26" s="176"/>
      <c r="Q26" s="176">
        <v>1.4999999999999999E-2</v>
      </c>
      <c r="R26" s="176" t="s">
        <v>114</v>
      </c>
      <c r="S26" s="209" t="s">
        <v>4486</v>
      </c>
      <c r="T26" s="178" t="s">
        <v>4490</v>
      </c>
      <c r="U26" s="178"/>
      <c r="V26" s="179"/>
      <c r="W26" s="177">
        <v>44905</v>
      </c>
      <c r="X26" s="177"/>
      <c r="Y26" s="177">
        <v>44905</v>
      </c>
      <c r="Z26" s="177"/>
      <c r="AA26" s="177"/>
      <c r="AB26" s="177"/>
      <c r="AC26" s="177"/>
      <c r="AD26" s="177"/>
      <c r="AE26" s="177"/>
      <c r="AF26" s="177"/>
      <c r="AG26" s="180" t="s">
        <v>1609</v>
      </c>
      <c r="AH26" s="173" t="s">
        <v>69</v>
      </c>
      <c r="AI26" s="181" t="s">
        <v>142</v>
      </c>
      <c r="AJ26" s="181" t="s">
        <v>1653</v>
      </c>
      <c r="AK26" s="181"/>
      <c r="AL26" s="181">
        <v>44880</v>
      </c>
      <c r="AM26" s="181"/>
      <c r="AN26" s="181">
        <f t="shared" ca="1" si="1"/>
        <v>44958</v>
      </c>
      <c r="AO26" s="173">
        <f t="shared" ca="1" si="5"/>
        <v>78</v>
      </c>
      <c r="AP26" s="173" t="str">
        <f t="shared" si="6"/>
        <v/>
      </c>
      <c r="AQ26" s="181"/>
      <c r="AR26" s="190" t="s">
        <v>4491</v>
      </c>
      <c r="AS26" s="176">
        <v>11.94</v>
      </c>
      <c r="AT26" s="176">
        <v>11.95</v>
      </c>
      <c r="AU26" s="176">
        <v>11.974999999999998</v>
      </c>
      <c r="AV26" s="176">
        <v>11.979999999999999</v>
      </c>
      <c r="AW26" s="173">
        <f t="shared" ca="1" si="7"/>
        <v>53</v>
      </c>
      <c r="AX26" s="142">
        <v>459</v>
      </c>
      <c r="AZ26" s="142" t="s">
        <v>123</v>
      </c>
    </row>
    <row r="27" spans="2:52" s="142" customFormat="1" ht="21" customHeight="1" x14ac:dyDescent="0.25">
      <c r="B27" s="173" t="str">
        <f t="shared" si="0"/>
        <v>0-304/2B-2.00X770</v>
      </c>
      <c r="C27" s="201" t="s">
        <v>4495</v>
      </c>
      <c r="D27" s="173" t="s">
        <v>4432</v>
      </c>
      <c r="E27" s="190" t="s">
        <v>4507</v>
      </c>
      <c r="F27" s="201" t="s">
        <v>4508</v>
      </c>
      <c r="G27" s="173">
        <v>304</v>
      </c>
      <c r="H27" s="173" t="s">
        <v>114</v>
      </c>
      <c r="I27" s="174">
        <v>3.85</v>
      </c>
      <c r="J27" s="174">
        <v>2</v>
      </c>
      <c r="K27" s="203">
        <v>2.0099999999999998</v>
      </c>
      <c r="L27" s="203">
        <v>2.0699999999999998</v>
      </c>
      <c r="M27" s="191">
        <v>770</v>
      </c>
      <c r="N27" s="176">
        <v>10.53</v>
      </c>
      <c r="O27" s="176">
        <f>4.815+5.68</f>
        <v>10.495000000000001</v>
      </c>
      <c r="P27" s="176"/>
      <c r="Q27" s="176">
        <v>3.5000000000000003E-2</v>
      </c>
      <c r="R27" s="176" t="s">
        <v>114</v>
      </c>
      <c r="S27" s="209" t="s">
        <v>4486</v>
      </c>
      <c r="T27" s="178" t="s">
        <v>4378</v>
      </c>
      <c r="U27" s="178"/>
      <c r="V27" s="179"/>
      <c r="W27" s="177">
        <v>44909</v>
      </c>
      <c r="X27" s="177"/>
      <c r="Y27" s="177">
        <v>44909</v>
      </c>
      <c r="Z27" s="177"/>
      <c r="AA27" s="177"/>
      <c r="AB27" s="177"/>
      <c r="AC27" s="177"/>
      <c r="AD27" s="177"/>
      <c r="AE27" s="177"/>
      <c r="AF27" s="177"/>
      <c r="AG27" s="180" t="s">
        <v>4482</v>
      </c>
      <c r="AH27" s="173" t="s">
        <v>69</v>
      </c>
      <c r="AI27" s="181" t="s">
        <v>142</v>
      </c>
      <c r="AJ27" s="181" t="s">
        <v>2283</v>
      </c>
      <c r="AK27" s="181"/>
      <c r="AL27" s="181">
        <v>44880</v>
      </c>
      <c r="AM27" s="181"/>
      <c r="AN27" s="181">
        <f t="shared" ca="1" si="1"/>
        <v>44958</v>
      </c>
      <c r="AO27" s="173">
        <f t="shared" ca="1" si="5"/>
        <v>78</v>
      </c>
      <c r="AP27" s="173" t="str">
        <f t="shared" si="6"/>
        <v/>
      </c>
      <c r="AQ27" s="181"/>
      <c r="AR27" s="190" t="s">
        <v>4509</v>
      </c>
      <c r="AS27" s="176">
        <v>10.53</v>
      </c>
      <c r="AT27" s="176">
        <v>10.54</v>
      </c>
      <c r="AU27" s="176">
        <v>10.564999999999998</v>
      </c>
      <c r="AV27" s="176">
        <v>10.569999999999999</v>
      </c>
      <c r="AW27" s="173">
        <f t="shared" ca="1" si="7"/>
        <v>49</v>
      </c>
      <c r="AX27" s="142">
        <v>459</v>
      </c>
      <c r="AZ27" s="142" t="s">
        <v>123</v>
      </c>
    </row>
    <row r="28" spans="2:52" s="142" customFormat="1" ht="21" customHeight="1" x14ac:dyDescent="0.25">
      <c r="B28" s="173" t="str">
        <f t="shared" si="0"/>
        <v>0-304L/2B-1.15X770</v>
      </c>
      <c r="C28" s="201" t="s">
        <v>4495</v>
      </c>
      <c r="D28" s="173" t="s">
        <v>4432</v>
      </c>
      <c r="E28" s="190" t="s">
        <v>4510</v>
      </c>
      <c r="F28" s="201" t="s">
        <v>4511</v>
      </c>
      <c r="G28" s="173" t="s">
        <v>182</v>
      </c>
      <c r="H28" s="173" t="s">
        <v>114</v>
      </c>
      <c r="I28" s="174">
        <v>3.44</v>
      </c>
      <c r="J28" s="174">
        <v>1.1499999999999999</v>
      </c>
      <c r="K28" s="203">
        <v>1.1299999999999999</v>
      </c>
      <c r="L28" s="203">
        <v>1.1499999999999999</v>
      </c>
      <c r="M28" s="191">
        <v>770</v>
      </c>
      <c r="N28" s="349">
        <v>10.375</v>
      </c>
      <c r="O28" s="176">
        <v>5.21</v>
      </c>
      <c r="P28" s="176"/>
      <c r="Q28" s="176"/>
      <c r="R28" s="176" t="s">
        <v>114</v>
      </c>
      <c r="S28" s="209" t="s">
        <v>4512</v>
      </c>
      <c r="T28" s="178" t="s">
        <v>4513</v>
      </c>
      <c r="U28" s="178"/>
      <c r="V28" s="179"/>
      <c r="W28" s="177">
        <v>44923</v>
      </c>
      <c r="X28" s="177"/>
      <c r="Y28" s="177">
        <v>44923</v>
      </c>
      <c r="Z28" s="177"/>
      <c r="AA28" s="177"/>
      <c r="AB28" s="177"/>
      <c r="AC28" s="177"/>
      <c r="AD28" s="177"/>
      <c r="AE28" s="177"/>
      <c r="AF28" s="177"/>
      <c r="AG28" s="180" t="s">
        <v>2479</v>
      </c>
      <c r="AH28" s="173" t="s">
        <v>69</v>
      </c>
      <c r="AI28" s="181" t="s">
        <v>142</v>
      </c>
      <c r="AJ28" s="181" t="s">
        <v>1584</v>
      </c>
      <c r="AK28" s="181"/>
      <c r="AL28" s="181">
        <v>44914</v>
      </c>
      <c r="AM28" s="181"/>
      <c r="AN28" s="181">
        <f t="shared" ca="1" si="1"/>
        <v>44958</v>
      </c>
      <c r="AO28" s="173">
        <f t="shared" ca="1" si="5"/>
        <v>44</v>
      </c>
      <c r="AP28" s="173" t="str">
        <f t="shared" si="6"/>
        <v/>
      </c>
      <c r="AQ28" s="181"/>
      <c r="AR28" s="190" t="s">
        <v>4004</v>
      </c>
      <c r="AS28" s="176">
        <v>10.375</v>
      </c>
      <c r="AT28" s="176">
        <v>10.385</v>
      </c>
      <c r="AU28" s="176">
        <v>10.409999999999998</v>
      </c>
      <c r="AV28" s="176">
        <v>10.414999999999999</v>
      </c>
      <c r="AW28" s="173">
        <f t="shared" ca="1" si="7"/>
        <v>35</v>
      </c>
      <c r="AX28" s="142">
        <v>462</v>
      </c>
      <c r="AZ28" s="142" t="s">
        <v>123</v>
      </c>
    </row>
    <row r="29" spans="2:52" s="142" customFormat="1" ht="21" customHeight="1" x14ac:dyDescent="0.25">
      <c r="B29" s="173" t="str">
        <f t="shared" si="0"/>
        <v>0-304L/2B-1.15X770</v>
      </c>
      <c r="C29" s="201" t="s">
        <v>4499</v>
      </c>
      <c r="D29" s="173" t="s">
        <v>836</v>
      </c>
      <c r="E29" s="190" t="s">
        <v>4510</v>
      </c>
      <c r="F29" s="201" t="s">
        <v>4514</v>
      </c>
      <c r="G29" s="173" t="s">
        <v>182</v>
      </c>
      <c r="H29" s="173" t="s">
        <v>114</v>
      </c>
      <c r="I29" s="174">
        <v>3.44</v>
      </c>
      <c r="J29" s="174">
        <v>1.1499999999999999</v>
      </c>
      <c r="K29" s="203">
        <v>1.1299999999999999</v>
      </c>
      <c r="L29" s="203">
        <v>1.1499999999999999</v>
      </c>
      <c r="M29" s="191">
        <v>770</v>
      </c>
      <c r="N29" s="350"/>
      <c r="O29" s="176">
        <v>5.14</v>
      </c>
      <c r="P29" s="176"/>
      <c r="Q29" s="176">
        <v>2.5000000000000001E-2</v>
      </c>
      <c r="R29" s="176" t="s">
        <v>114</v>
      </c>
      <c r="S29" s="209"/>
      <c r="T29" s="178" t="s">
        <v>361</v>
      </c>
      <c r="U29" s="178"/>
      <c r="V29" s="179"/>
      <c r="W29" s="177">
        <v>44923</v>
      </c>
      <c r="X29" s="177"/>
      <c r="Y29" s="177">
        <v>44923</v>
      </c>
      <c r="Z29" s="177"/>
      <c r="AA29" s="177">
        <v>44929</v>
      </c>
      <c r="AB29" s="177"/>
      <c r="AC29" s="177"/>
      <c r="AD29" s="177"/>
      <c r="AE29" s="177"/>
      <c r="AF29" s="177"/>
      <c r="AG29" s="180" t="s">
        <v>2479</v>
      </c>
      <c r="AH29" s="173" t="s">
        <v>69</v>
      </c>
      <c r="AI29" s="181" t="s">
        <v>142</v>
      </c>
      <c r="AJ29" s="181" t="s">
        <v>1584</v>
      </c>
      <c r="AK29" s="181"/>
      <c r="AL29" s="181">
        <v>44914</v>
      </c>
      <c r="AM29" s="181"/>
      <c r="AN29" s="181">
        <f t="shared" ca="1" si="1"/>
        <v>44958</v>
      </c>
      <c r="AO29" s="173">
        <f t="shared" ca="1" si="5"/>
        <v>44</v>
      </c>
      <c r="AP29" s="173">
        <f t="shared" ca="1" si="6"/>
        <v>29</v>
      </c>
      <c r="AQ29" s="181"/>
      <c r="AR29" s="190" t="s">
        <v>4004</v>
      </c>
      <c r="AS29" s="176">
        <v>10.375</v>
      </c>
      <c r="AT29" s="176">
        <v>10.385</v>
      </c>
      <c r="AU29" s="176">
        <v>10.409999999999998</v>
      </c>
      <c r="AV29" s="176">
        <v>10.414999999999999</v>
      </c>
      <c r="AW29" s="173">
        <f t="shared" ca="1" si="7"/>
        <v>35</v>
      </c>
      <c r="AX29" s="142">
        <v>462</v>
      </c>
      <c r="AZ29" s="142" t="s">
        <v>123</v>
      </c>
    </row>
    <row r="30" spans="2:52" s="142" customFormat="1" ht="21" customHeight="1" x14ac:dyDescent="0.25">
      <c r="B30" s="173" t="str">
        <f t="shared" si="0"/>
        <v>0-304/2B-2.00X767</v>
      </c>
      <c r="C30" s="201" t="s">
        <v>4495</v>
      </c>
      <c r="D30" s="173" t="s">
        <v>4432</v>
      </c>
      <c r="E30" s="190" t="s">
        <v>4515</v>
      </c>
      <c r="F30" s="201" t="s">
        <v>4516</v>
      </c>
      <c r="G30" s="173">
        <v>304</v>
      </c>
      <c r="H30" s="173" t="s">
        <v>114</v>
      </c>
      <c r="I30" s="174">
        <v>4.3600000000000003</v>
      </c>
      <c r="J30" s="174">
        <v>2</v>
      </c>
      <c r="K30" s="203">
        <v>2</v>
      </c>
      <c r="L30" s="203">
        <v>2.02</v>
      </c>
      <c r="M30" s="191">
        <v>767</v>
      </c>
      <c r="N30" s="176">
        <v>10.425000000000001</v>
      </c>
      <c r="O30" s="176">
        <f>5.595+4.785</f>
        <v>10.379999999999999</v>
      </c>
      <c r="P30" s="176"/>
      <c r="Q30" s="176">
        <v>4.4999999999999998E-2</v>
      </c>
      <c r="R30" s="176" t="s">
        <v>114</v>
      </c>
      <c r="S30" s="209" t="s">
        <v>4486</v>
      </c>
      <c r="T30" s="178" t="s">
        <v>4378</v>
      </c>
      <c r="U30" s="178"/>
      <c r="V30" s="179"/>
      <c r="W30" s="177">
        <v>44909</v>
      </c>
      <c r="X30" s="177"/>
      <c r="Y30" s="177">
        <v>44909</v>
      </c>
      <c r="Z30" s="177"/>
      <c r="AA30" s="177"/>
      <c r="AB30" s="177"/>
      <c r="AC30" s="177"/>
      <c r="AD30" s="177"/>
      <c r="AE30" s="177"/>
      <c r="AF30" s="177"/>
      <c r="AG30" s="180" t="s">
        <v>4482</v>
      </c>
      <c r="AH30" s="173" t="s">
        <v>69</v>
      </c>
      <c r="AI30" s="181" t="s">
        <v>142</v>
      </c>
      <c r="AJ30" s="181" t="s">
        <v>1887</v>
      </c>
      <c r="AK30" s="181"/>
      <c r="AL30" s="181">
        <v>44880</v>
      </c>
      <c r="AM30" s="181"/>
      <c r="AN30" s="181">
        <f t="shared" ca="1" si="1"/>
        <v>44958</v>
      </c>
      <c r="AO30" s="173">
        <f t="shared" ca="1" si="5"/>
        <v>78</v>
      </c>
      <c r="AP30" s="173" t="str">
        <f t="shared" si="6"/>
        <v/>
      </c>
      <c r="AQ30" s="181"/>
      <c r="AR30" s="190" t="s">
        <v>4517</v>
      </c>
      <c r="AS30" s="176">
        <v>10.445</v>
      </c>
      <c r="AT30" s="176">
        <v>10.455</v>
      </c>
      <c r="AU30" s="176">
        <v>10.479999999999999</v>
      </c>
      <c r="AV30" s="176">
        <v>10.484999999999999</v>
      </c>
      <c r="AW30" s="173">
        <f t="shared" ca="1" si="7"/>
        <v>49</v>
      </c>
      <c r="AX30" s="142">
        <v>459</v>
      </c>
      <c r="AZ30" s="142" t="s">
        <v>123</v>
      </c>
    </row>
    <row r="31" spans="2:52" s="142" customFormat="1" ht="21" customHeight="1" x14ac:dyDescent="0.25">
      <c r="B31" s="173" t="str">
        <f t="shared" si="0"/>
        <v>0-304L/2B-1.20X777</v>
      </c>
      <c r="C31" s="201" t="s">
        <v>4495</v>
      </c>
      <c r="D31" s="173" t="s">
        <v>4432</v>
      </c>
      <c r="E31" s="190" t="s">
        <v>4518</v>
      </c>
      <c r="F31" s="201" t="s">
        <v>4519</v>
      </c>
      <c r="G31" s="173" t="s">
        <v>182</v>
      </c>
      <c r="H31" s="173" t="s">
        <v>114</v>
      </c>
      <c r="I31" s="174">
        <v>3.58</v>
      </c>
      <c r="J31" s="174">
        <v>1.2</v>
      </c>
      <c r="K31" s="203">
        <v>1.18</v>
      </c>
      <c r="L31" s="203">
        <v>1.2</v>
      </c>
      <c r="M31" s="191">
        <v>777</v>
      </c>
      <c r="N31" s="176">
        <v>12.15</v>
      </c>
      <c r="O31" s="176">
        <f>4.025+4.035+4.055</f>
        <v>12.115</v>
      </c>
      <c r="P31" s="176"/>
      <c r="Q31" s="176">
        <v>3.5000000000000003E-2</v>
      </c>
      <c r="R31" s="176" t="s">
        <v>114</v>
      </c>
      <c r="S31" s="209" t="s">
        <v>4486</v>
      </c>
      <c r="T31" s="178" t="s">
        <v>4378</v>
      </c>
      <c r="U31" s="178"/>
      <c r="V31" s="179"/>
      <c r="W31" s="177">
        <v>44905</v>
      </c>
      <c r="X31" s="177"/>
      <c r="Y31" s="177">
        <v>44906</v>
      </c>
      <c r="Z31" s="177"/>
      <c r="AA31" s="177"/>
      <c r="AB31" s="177"/>
      <c r="AC31" s="177"/>
      <c r="AD31" s="177"/>
      <c r="AE31" s="177"/>
      <c r="AF31" s="177"/>
      <c r="AG31" s="180" t="s">
        <v>1609</v>
      </c>
      <c r="AH31" s="173" t="s">
        <v>69</v>
      </c>
      <c r="AI31" s="181" t="s">
        <v>142</v>
      </c>
      <c r="AJ31" s="181" t="s">
        <v>2283</v>
      </c>
      <c r="AK31" s="181"/>
      <c r="AL31" s="181">
        <v>44880</v>
      </c>
      <c r="AM31" s="181"/>
      <c r="AN31" s="181">
        <f t="shared" ca="1" si="1"/>
        <v>44958</v>
      </c>
      <c r="AO31" s="173">
        <f t="shared" ca="1" si="5"/>
        <v>78</v>
      </c>
      <c r="AP31" s="173" t="str">
        <f t="shared" si="6"/>
        <v/>
      </c>
      <c r="AQ31" s="181"/>
      <c r="AR31" s="190" t="s">
        <v>4520</v>
      </c>
      <c r="AS31" s="176">
        <v>12.15</v>
      </c>
      <c r="AT31" s="176">
        <v>12.16</v>
      </c>
      <c r="AU31" s="176">
        <v>12.184999999999999</v>
      </c>
      <c r="AV31" s="176">
        <v>12.19</v>
      </c>
      <c r="AW31" s="173">
        <f t="shared" ca="1" si="7"/>
        <v>52</v>
      </c>
      <c r="AX31" s="142">
        <v>459</v>
      </c>
      <c r="AZ31" s="142" t="s">
        <v>123</v>
      </c>
    </row>
    <row r="32" spans="2:52" s="142" customFormat="1" ht="21" customHeight="1" x14ac:dyDescent="0.25">
      <c r="B32" s="173" t="str">
        <f t="shared" si="0"/>
        <v>0-304/2B-2.00X768</v>
      </c>
      <c r="C32" s="201" t="s">
        <v>4495</v>
      </c>
      <c r="D32" s="173" t="s">
        <v>4432</v>
      </c>
      <c r="E32" s="190" t="s">
        <v>4521</v>
      </c>
      <c r="F32" s="201" t="s">
        <v>4522</v>
      </c>
      <c r="G32" s="173">
        <v>304</v>
      </c>
      <c r="H32" s="173" t="s">
        <v>114</v>
      </c>
      <c r="I32" s="174">
        <v>3.86</v>
      </c>
      <c r="J32" s="174">
        <v>2</v>
      </c>
      <c r="K32" s="203">
        <v>1.97</v>
      </c>
      <c r="L32" s="203">
        <v>2</v>
      </c>
      <c r="M32" s="191">
        <v>768</v>
      </c>
      <c r="N32" s="176">
        <v>4.2350000000000003</v>
      </c>
      <c r="O32" s="176">
        <v>4.2350000000000003</v>
      </c>
      <c r="P32" s="176"/>
      <c r="Q32" s="176"/>
      <c r="R32" s="176" t="s">
        <v>114</v>
      </c>
      <c r="S32" s="209" t="s">
        <v>4486</v>
      </c>
      <c r="T32" s="178" t="s">
        <v>4378</v>
      </c>
      <c r="U32" s="178"/>
      <c r="V32" s="179"/>
      <c r="W32" s="177">
        <v>44909</v>
      </c>
      <c r="X32" s="177"/>
      <c r="Y32" s="177">
        <v>44909</v>
      </c>
      <c r="Z32" s="177"/>
      <c r="AA32" s="177"/>
      <c r="AB32" s="177"/>
      <c r="AC32" s="177"/>
      <c r="AD32" s="177"/>
      <c r="AE32" s="177"/>
      <c r="AF32" s="177"/>
      <c r="AG32" s="180" t="s">
        <v>1619</v>
      </c>
      <c r="AH32" s="173" t="s">
        <v>69</v>
      </c>
      <c r="AI32" s="181" t="s">
        <v>142</v>
      </c>
      <c r="AJ32" s="181" t="s">
        <v>2283</v>
      </c>
      <c r="AK32" s="181"/>
      <c r="AL32" s="181">
        <v>44880</v>
      </c>
      <c r="AM32" s="181"/>
      <c r="AN32" s="181">
        <f t="shared" ca="1" si="1"/>
        <v>44958</v>
      </c>
      <c r="AO32" s="173">
        <f t="shared" ca="1" si="5"/>
        <v>78</v>
      </c>
      <c r="AP32" s="173" t="str">
        <f t="shared" si="6"/>
        <v/>
      </c>
      <c r="AQ32" s="181"/>
      <c r="AR32" s="190" t="s">
        <v>4487</v>
      </c>
      <c r="AS32" s="176">
        <v>12.22</v>
      </c>
      <c r="AT32" s="176">
        <v>12.23</v>
      </c>
      <c r="AU32" s="176">
        <v>12.254999999999999</v>
      </c>
      <c r="AV32" s="176">
        <v>12.26</v>
      </c>
      <c r="AW32" s="173">
        <f t="shared" ca="1" si="7"/>
        <v>49</v>
      </c>
      <c r="AX32" s="142">
        <v>459</v>
      </c>
      <c r="AZ32" s="142" t="s">
        <v>123</v>
      </c>
    </row>
    <row r="33" spans="2:52" s="142" customFormat="1" ht="21" customHeight="1" x14ac:dyDescent="0.25">
      <c r="B33" s="173" t="str">
        <f t="shared" si="0"/>
        <v>0-304/2B-2.00X768</v>
      </c>
      <c r="C33" s="201" t="s">
        <v>4523</v>
      </c>
      <c r="D33" s="173" t="s">
        <v>4432</v>
      </c>
      <c r="E33" s="190" t="s">
        <v>4521</v>
      </c>
      <c r="F33" s="201" t="s">
        <v>4524</v>
      </c>
      <c r="G33" s="173">
        <v>304</v>
      </c>
      <c r="H33" s="173" t="s">
        <v>114</v>
      </c>
      <c r="I33" s="174">
        <v>3.86</v>
      </c>
      <c r="J33" s="174">
        <v>2</v>
      </c>
      <c r="K33" s="203">
        <v>1.97</v>
      </c>
      <c r="L33" s="203">
        <v>2</v>
      </c>
      <c r="M33" s="191">
        <v>768</v>
      </c>
      <c r="N33" s="176">
        <f>12.19-4.235</f>
        <v>7.9549999999999992</v>
      </c>
      <c r="O33" s="176">
        <f>4.05+3.885</f>
        <v>7.9349999999999996</v>
      </c>
      <c r="P33" s="176"/>
      <c r="Q33" s="176">
        <v>0.02</v>
      </c>
      <c r="R33" s="176" t="s">
        <v>114</v>
      </c>
      <c r="S33" s="209" t="s">
        <v>4486</v>
      </c>
      <c r="T33" s="178" t="s">
        <v>4378</v>
      </c>
      <c r="U33" s="178"/>
      <c r="V33" s="179"/>
      <c r="W33" s="177">
        <v>44909</v>
      </c>
      <c r="X33" s="177"/>
      <c r="Y33" s="177">
        <v>44909</v>
      </c>
      <c r="Z33" s="177"/>
      <c r="AA33" s="177"/>
      <c r="AB33" s="177"/>
      <c r="AC33" s="177"/>
      <c r="AD33" s="177"/>
      <c r="AE33" s="177"/>
      <c r="AF33" s="177"/>
      <c r="AG33" s="180" t="s">
        <v>1619</v>
      </c>
      <c r="AH33" s="173" t="s">
        <v>69</v>
      </c>
      <c r="AI33" s="181" t="s">
        <v>142</v>
      </c>
      <c r="AJ33" s="181" t="s">
        <v>2283</v>
      </c>
      <c r="AK33" s="181"/>
      <c r="AL33" s="181">
        <v>44880</v>
      </c>
      <c r="AM33" s="181"/>
      <c r="AN33" s="181">
        <f t="shared" ca="1" si="1"/>
        <v>44958</v>
      </c>
      <c r="AO33" s="173">
        <f t="shared" ca="1" si="5"/>
        <v>78</v>
      </c>
      <c r="AP33" s="173" t="str">
        <f t="shared" si="6"/>
        <v/>
      </c>
      <c r="AQ33" s="181"/>
      <c r="AR33" s="190" t="s">
        <v>4487</v>
      </c>
      <c r="AS33" s="176">
        <v>12.22</v>
      </c>
      <c r="AT33" s="176">
        <v>12.23</v>
      </c>
      <c r="AU33" s="176">
        <v>12.254999999999999</v>
      </c>
      <c r="AV33" s="176">
        <v>12.26</v>
      </c>
      <c r="AW33" s="173">
        <f t="shared" ca="1" si="7"/>
        <v>49</v>
      </c>
      <c r="AX33" s="142">
        <v>459</v>
      </c>
      <c r="AZ33" s="142" t="s">
        <v>123</v>
      </c>
    </row>
    <row r="34" spans="2:52" s="142" customFormat="1" ht="21" customHeight="1" x14ac:dyDescent="0.25">
      <c r="B34" s="173" t="str">
        <f t="shared" si="0"/>
        <v>0-304L/2B-1.20X773</v>
      </c>
      <c r="C34" s="201" t="s">
        <v>4523</v>
      </c>
      <c r="D34" s="173" t="s">
        <v>4432</v>
      </c>
      <c r="E34" s="190" t="s">
        <v>4525</v>
      </c>
      <c r="F34" s="201" t="s">
        <v>4526</v>
      </c>
      <c r="G34" s="173" t="s">
        <v>182</v>
      </c>
      <c r="H34" s="173" t="s">
        <v>114</v>
      </c>
      <c r="I34" s="174">
        <v>3.58</v>
      </c>
      <c r="J34" s="174">
        <v>1.2</v>
      </c>
      <c r="K34" s="203">
        <v>1.18</v>
      </c>
      <c r="L34" s="203">
        <v>1.2</v>
      </c>
      <c r="M34" s="191">
        <v>773</v>
      </c>
      <c r="N34" s="176">
        <v>12.12</v>
      </c>
      <c r="O34" s="176">
        <f>3.99+3.985+4.1</f>
        <v>12.074999999999999</v>
      </c>
      <c r="P34" s="176"/>
      <c r="Q34" s="176">
        <v>4.4999999999999998E-2</v>
      </c>
      <c r="R34" s="176" t="s">
        <v>114</v>
      </c>
      <c r="S34" s="209" t="s">
        <v>4486</v>
      </c>
      <c r="T34" s="178" t="s">
        <v>4378</v>
      </c>
      <c r="U34" s="178"/>
      <c r="V34" s="179"/>
      <c r="W34" s="177">
        <v>44905</v>
      </c>
      <c r="X34" s="177"/>
      <c r="Y34" s="177">
        <v>44905</v>
      </c>
      <c r="Z34" s="177"/>
      <c r="AA34" s="177"/>
      <c r="AB34" s="177"/>
      <c r="AC34" s="177"/>
      <c r="AD34" s="177"/>
      <c r="AE34" s="177"/>
      <c r="AF34" s="177"/>
      <c r="AG34" s="180" t="s">
        <v>1609</v>
      </c>
      <c r="AH34" s="173" t="s">
        <v>69</v>
      </c>
      <c r="AI34" s="181" t="s">
        <v>142</v>
      </c>
      <c r="AJ34" s="181" t="s">
        <v>2283</v>
      </c>
      <c r="AK34" s="181"/>
      <c r="AL34" s="181">
        <v>44880</v>
      </c>
      <c r="AM34" s="181"/>
      <c r="AN34" s="181">
        <f t="shared" ca="1" si="1"/>
        <v>44958</v>
      </c>
      <c r="AO34" s="173">
        <f t="shared" ca="1" si="5"/>
        <v>78</v>
      </c>
      <c r="AP34" s="173" t="str">
        <f t="shared" si="6"/>
        <v/>
      </c>
      <c r="AQ34" s="181"/>
      <c r="AR34" s="190" t="s">
        <v>4527</v>
      </c>
      <c r="AS34" s="176">
        <v>12.145</v>
      </c>
      <c r="AT34" s="176">
        <v>12.154999999999999</v>
      </c>
      <c r="AU34" s="176">
        <v>12.179999999999998</v>
      </c>
      <c r="AV34" s="176">
        <v>12.184999999999999</v>
      </c>
      <c r="AW34" s="173">
        <f t="shared" ca="1" si="7"/>
        <v>53</v>
      </c>
      <c r="AX34" s="142">
        <v>459</v>
      </c>
      <c r="AZ34" s="142" t="s">
        <v>123</v>
      </c>
    </row>
    <row r="35" spans="2:52" s="142" customFormat="1" ht="21" customHeight="1" x14ac:dyDescent="0.25">
      <c r="B35" s="173" t="str">
        <f t="shared" si="0"/>
        <v>0-304/2B-2.00X769</v>
      </c>
      <c r="C35" s="201" t="s">
        <v>4523</v>
      </c>
      <c r="D35" s="173" t="s">
        <v>4432</v>
      </c>
      <c r="E35" s="190" t="s">
        <v>4528</v>
      </c>
      <c r="F35" s="201" t="s">
        <v>4529</v>
      </c>
      <c r="G35" s="173">
        <v>304</v>
      </c>
      <c r="H35" s="173" t="s">
        <v>114</v>
      </c>
      <c r="I35" s="174">
        <v>3.87</v>
      </c>
      <c r="J35" s="174">
        <v>2</v>
      </c>
      <c r="K35" s="203">
        <v>1.97</v>
      </c>
      <c r="L35" s="203">
        <v>1.98</v>
      </c>
      <c r="M35" s="191">
        <v>769</v>
      </c>
      <c r="N35" s="349">
        <v>10.210000000000001</v>
      </c>
      <c r="O35" s="176">
        <v>5.0350000000000001</v>
      </c>
      <c r="P35" s="176"/>
      <c r="Q35" s="176"/>
      <c r="R35" s="176" t="s">
        <v>114</v>
      </c>
      <c r="S35" s="209" t="s">
        <v>4486</v>
      </c>
      <c r="T35" s="178" t="s">
        <v>4378</v>
      </c>
      <c r="U35" s="178"/>
      <c r="V35" s="179"/>
      <c r="W35" s="177">
        <v>44904</v>
      </c>
      <c r="X35" s="177"/>
      <c r="Y35" s="177">
        <v>44905</v>
      </c>
      <c r="Z35" s="177"/>
      <c r="AA35" s="177"/>
      <c r="AB35" s="177"/>
      <c r="AC35" s="177"/>
      <c r="AD35" s="177"/>
      <c r="AE35" s="177"/>
      <c r="AF35" s="177"/>
      <c r="AG35" s="180" t="s">
        <v>4482</v>
      </c>
      <c r="AH35" s="173" t="s">
        <v>69</v>
      </c>
      <c r="AI35" s="181" t="s">
        <v>142</v>
      </c>
      <c r="AJ35" s="181" t="s">
        <v>1653</v>
      </c>
      <c r="AK35" s="181"/>
      <c r="AL35" s="181">
        <v>44880</v>
      </c>
      <c r="AM35" s="181"/>
      <c r="AN35" s="181">
        <f t="shared" ca="1" si="1"/>
        <v>44958</v>
      </c>
      <c r="AO35" s="173">
        <f t="shared" ca="1" si="5"/>
        <v>78</v>
      </c>
      <c r="AP35" s="173" t="str">
        <f t="shared" si="6"/>
        <v/>
      </c>
      <c r="AQ35" s="181"/>
      <c r="AR35" s="190" t="s">
        <v>4530</v>
      </c>
      <c r="AS35" s="176">
        <v>10.210000000000001</v>
      </c>
      <c r="AT35" s="176">
        <v>10.220000000000001</v>
      </c>
      <c r="AU35" s="176">
        <v>10.244999999999999</v>
      </c>
      <c r="AV35" s="176">
        <v>10.25</v>
      </c>
      <c r="AW35" s="173">
        <f t="shared" ca="1" si="7"/>
        <v>53</v>
      </c>
      <c r="AX35" s="142">
        <v>459</v>
      </c>
      <c r="AZ35" s="142" t="s">
        <v>123</v>
      </c>
    </row>
    <row r="36" spans="2:52" s="142" customFormat="1" ht="21" customHeight="1" x14ac:dyDescent="0.25">
      <c r="B36" s="173" t="str">
        <f t="shared" si="0"/>
        <v>0-304/2B-2.00X769</v>
      </c>
      <c r="C36" s="201" t="s">
        <v>4531</v>
      </c>
      <c r="D36" s="173" t="s">
        <v>836</v>
      </c>
      <c r="E36" s="190" t="s">
        <v>4528</v>
      </c>
      <c r="F36" s="201" t="s">
        <v>4532</v>
      </c>
      <c r="G36" s="173">
        <v>304</v>
      </c>
      <c r="H36" s="173" t="s">
        <v>114</v>
      </c>
      <c r="I36" s="174">
        <v>3.87</v>
      </c>
      <c r="J36" s="174">
        <v>2</v>
      </c>
      <c r="K36" s="203">
        <v>1.97</v>
      </c>
      <c r="L36" s="203">
        <v>1.98</v>
      </c>
      <c r="M36" s="191">
        <v>769</v>
      </c>
      <c r="N36" s="350"/>
      <c r="O36" s="176">
        <v>5.12</v>
      </c>
      <c r="P36" s="176"/>
      <c r="Q36" s="176">
        <v>5.5E-2</v>
      </c>
      <c r="R36" s="176" t="s">
        <v>114</v>
      </c>
      <c r="S36" s="209"/>
      <c r="T36" s="178" t="s">
        <v>4378</v>
      </c>
      <c r="U36" s="178"/>
      <c r="V36" s="179"/>
      <c r="W36" s="177">
        <v>44904</v>
      </c>
      <c r="X36" s="177"/>
      <c r="Y36" s="177">
        <v>44905</v>
      </c>
      <c r="Z36" s="177"/>
      <c r="AA36" s="177">
        <v>44930</v>
      </c>
      <c r="AB36" s="177"/>
      <c r="AC36" s="177"/>
      <c r="AD36" s="177"/>
      <c r="AE36" s="177"/>
      <c r="AF36" s="177"/>
      <c r="AG36" s="180" t="s">
        <v>4482</v>
      </c>
      <c r="AH36" s="173" t="s">
        <v>69</v>
      </c>
      <c r="AI36" s="181" t="s">
        <v>142</v>
      </c>
      <c r="AJ36" s="181" t="s">
        <v>1653</v>
      </c>
      <c r="AK36" s="181"/>
      <c r="AL36" s="181">
        <v>44880</v>
      </c>
      <c r="AM36" s="181"/>
      <c r="AN36" s="181">
        <f t="shared" ca="1" si="1"/>
        <v>44958</v>
      </c>
      <c r="AO36" s="173">
        <f t="shared" ca="1" si="5"/>
        <v>78</v>
      </c>
      <c r="AP36" s="173">
        <f t="shared" ca="1" si="6"/>
        <v>28</v>
      </c>
      <c r="AQ36" s="181"/>
      <c r="AR36" s="190" t="s">
        <v>4530</v>
      </c>
      <c r="AS36" s="176">
        <v>10.210000000000001</v>
      </c>
      <c r="AT36" s="176">
        <v>10.220000000000001</v>
      </c>
      <c r="AU36" s="176">
        <v>10.244999999999999</v>
      </c>
      <c r="AV36" s="176">
        <v>10.25</v>
      </c>
      <c r="AW36" s="173">
        <f t="shared" ca="1" si="7"/>
        <v>53</v>
      </c>
      <c r="AX36" s="142">
        <v>459</v>
      </c>
      <c r="AZ36" s="142" t="s">
        <v>123</v>
      </c>
    </row>
    <row r="37" spans="2:52" s="142" customFormat="1" ht="21" customHeight="1" x14ac:dyDescent="0.25">
      <c r="B37" s="173" t="str">
        <f t="shared" si="0"/>
        <v>0-304L/2B-1.20X772</v>
      </c>
      <c r="C37" s="201" t="s">
        <v>4523</v>
      </c>
      <c r="D37" s="173" t="s">
        <v>4432</v>
      </c>
      <c r="E37" s="190" t="s">
        <v>4533</v>
      </c>
      <c r="F37" s="201" t="s">
        <v>4534</v>
      </c>
      <c r="G37" s="173" t="s">
        <v>182</v>
      </c>
      <c r="H37" s="173" t="s">
        <v>114</v>
      </c>
      <c r="I37" s="174">
        <v>3.58</v>
      </c>
      <c r="J37" s="174">
        <v>1.2</v>
      </c>
      <c r="K37" s="203">
        <v>1.18</v>
      </c>
      <c r="L37" s="203">
        <v>1.2</v>
      </c>
      <c r="M37" s="191">
        <v>772</v>
      </c>
      <c r="N37" s="349">
        <v>11.97</v>
      </c>
      <c r="O37" s="176">
        <v>5.9050000000000002</v>
      </c>
      <c r="P37" s="176"/>
      <c r="Q37" s="176"/>
      <c r="R37" s="176" t="s">
        <v>114</v>
      </c>
      <c r="S37" s="209" t="s">
        <v>4486</v>
      </c>
      <c r="T37" s="178" t="s">
        <v>4378</v>
      </c>
      <c r="U37" s="178"/>
      <c r="V37" s="179"/>
      <c r="W37" s="177">
        <v>44906</v>
      </c>
      <c r="X37" s="177"/>
      <c r="Y37" s="177">
        <v>44906</v>
      </c>
      <c r="Z37" s="177"/>
      <c r="AA37" s="177"/>
      <c r="AB37" s="177"/>
      <c r="AC37" s="177"/>
      <c r="AD37" s="177"/>
      <c r="AE37" s="177"/>
      <c r="AF37" s="177"/>
      <c r="AG37" s="180" t="s">
        <v>1609</v>
      </c>
      <c r="AH37" s="173" t="s">
        <v>69</v>
      </c>
      <c r="AI37" s="181" t="s">
        <v>142</v>
      </c>
      <c r="AJ37" s="181" t="s">
        <v>1653</v>
      </c>
      <c r="AK37" s="181"/>
      <c r="AL37" s="181">
        <v>44880</v>
      </c>
      <c r="AM37" s="181"/>
      <c r="AN37" s="181">
        <f t="shared" ca="1" si="1"/>
        <v>44958</v>
      </c>
      <c r="AO37" s="173">
        <f t="shared" ca="1" si="5"/>
        <v>78</v>
      </c>
      <c r="AP37" s="173" t="str">
        <f t="shared" si="6"/>
        <v/>
      </c>
      <c r="AQ37" s="181"/>
      <c r="AR37" s="190" t="s">
        <v>4535</v>
      </c>
      <c r="AS37" s="176">
        <v>11.98</v>
      </c>
      <c r="AT37" s="176">
        <v>11.99</v>
      </c>
      <c r="AU37" s="176">
        <v>12.014999999999999</v>
      </c>
      <c r="AV37" s="176">
        <v>12.02</v>
      </c>
      <c r="AW37" s="173">
        <f t="shared" ca="1" si="7"/>
        <v>52</v>
      </c>
      <c r="AX37" s="142">
        <v>459</v>
      </c>
      <c r="AZ37" s="142" t="s">
        <v>123</v>
      </c>
    </row>
    <row r="38" spans="2:52" s="142" customFormat="1" ht="21" customHeight="1" x14ac:dyDescent="0.25">
      <c r="B38" s="173" t="str">
        <f t="shared" si="0"/>
        <v>0-304L/2B-1.20X772</v>
      </c>
      <c r="C38" s="201" t="s">
        <v>4531</v>
      </c>
      <c r="D38" s="173" t="s">
        <v>836</v>
      </c>
      <c r="E38" s="190" t="s">
        <v>4533</v>
      </c>
      <c r="F38" s="201" t="s">
        <v>4536</v>
      </c>
      <c r="G38" s="173" t="s">
        <v>182</v>
      </c>
      <c r="H38" s="173" t="s">
        <v>114</v>
      </c>
      <c r="I38" s="174">
        <v>3.58</v>
      </c>
      <c r="J38" s="174">
        <v>1.2</v>
      </c>
      <c r="K38" s="203">
        <v>1.18</v>
      </c>
      <c r="L38" s="203">
        <v>1.2</v>
      </c>
      <c r="M38" s="191">
        <v>772</v>
      </c>
      <c r="N38" s="350"/>
      <c r="O38" s="176">
        <v>6.04</v>
      </c>
      <c r="P38" s="176"/>
      <c r="Q38" s="176">
        <v>2.5000000000000001E-2</v>
      </c>
      <c r="R38" s="176" t="s">
        <v>114</v>
      </c>
      <c r="S38" s="209"/>
      <c r="T38" s="178" t="s">
        <v>4378</v>
      </c>
      <c r="U38" s="178"/>
      <c r="V38" s="179"/>
      <c r="W38" s="177">
        <v>44906</v>
      </c>
      <c r="X38" s="177"/>
      <c r="Y38" s="177">
        <v>44906</v>
      </c>
      <c r="Z38" s="177"/>
      <c r="AA38" s="177">
        <v>44930</v>
      </c>
      <c r="AB38" s="177"/>
      <c r="AC38" s="177"/>
      <c r="AD38" s="177"/>
      <c r="AE38" s="177"/>
      <c r="AF38" s="177"/>
      <c r="AG38" s="180" t="s">
        <v>1609</v>
      </c>
      <c r="AH38" s="173" t="s">
        <v>69</v>
      </c>
      <c r="AI38" s="181" t="s">
        <v>142</v>
      </c>
      <c r="AJ38" s="181" t="s">
        <v>1653</v>
      </c>
      <c r="AK38" s="181"/>
      <c r="AL38" s="181">
        <v>44880</v>
      </c>
      <c r="AM38" s="181"/>
      <c r="AN38" s="181">
        <f t="shared" ca="1" si="1"/>
        <v>44958</v>
      </c>
      <c r="AO38" s="173">
        <f t="shared" ca="1" si="5"/>
        <v>78</v>
      </c>
      <c r="AP38" s="173">
        <f t="shared" ca="1" si="6"/>
        <v>28</v>
      </c>
      <c r="AQ38" s="181"/>
      <c r="AR38" s="190" t="s">
        <v>4535</v>
      </c>
      <c r="AS38" s="176">
        <v>11.98</v>
      </c>
      <c r="AT38" s="176">
        <v>11.99</v>
      </c>
      <c r="AU38" s="176">
        <v>12.014999999999999</v>
      </c>
      <c r="AV38" s="176">
        <v>12.02</v>
      </c>
      <c r="AW38" s="173">
        <f t="shared" ca="1" si="7"/>
        <v>52</v>
      </c>
      <c r="AX38" s="142">
        <v>459</v>
      </c>
      <c r="AZ38" s="142" t="s">
        <v>123</v>
      </c>
    </row>
    <row r="39" spans="2:52" s="142" customFormat="1" ht="21" customHeight="1" x14ac:dyDescent="0.25">
      <c r="B39" s="173" t="str">
        <f t="shared" si="0"/>
        <v>0-304L/2B-0.58X641</v>
      </c>
      <c r="C39" s="201" t="s">
        <v>4537</v>
      </c>
      <c r="D39" s="173" t="s">
        <v>1237</v>
      </c>
      <c r="E39" s="190" t="s">
        <v>3966</v>
      </c>
      <c r="F39" s="201" t="s">
        <v>3967</v>
      </c>
      <c r="G39" s="173" t="s">
        <v>182</v>
      </c>
      <c r="H39" s="173" t="s">
        <v>114</v>
      </c>
      <c r="I39" s="174">
        <v>2.88</v>
      </c>
      <c r="J39" s="174">
        <v>0.57999999999999996</v>
      </c>
      <c r="K39" s="203">
        <v>0.56000000000000005</v>
      </c>
      <c r="L39" s="203">
        <v>0.56999999999999995</v>
      </c>
      <c r="M39" s="191">
        <v>641</v>
      </c>
      <c r="N39" s="176">
        <v>10.71</v>
      </c>
      <c r="O39" s="176">
        <v>10.66</v>
      </c>
      <c r="P39" s="176"/>
      <c r="Q39" s="176">
        <v>0.05</v>
      </c>
      <c r="R39" s="176" t="s">
        <v>114</v>
      </c>
      <c r="S39" s="209"/>
      <c r="T39" s="178" t="s">
        <v>1344</v>
      </c>
      <c r="U39" s="178"/>
      <c r="V39" s="179" t="s">
        <v>230</v>
      </c>
      <c r="W39" s="177">
        <v>44918</v>
      </c>
      <c r="X39" s="177"/>
      <c r="Y39" s="177"/>
      <c r="Z39" s="177">
        <v>44922</v>
      </c>
      <c r="AA39" s="177">
        <v>44930</v>
      </c>
      <c r="AB39" s="177"/>
      <c r="AC39" s="177">
        <v>44928</v>
      </c>
      <c r="AD39" s="177"/>
      <c r="AE39" s="177"/>
      <c r="AF39" s="177"/>
      <c r="AG39" s="180" t="s">
        <v>2479</v>
      </c>
      <c r="AH39" s="173" t="s">
        <v>69</v>
      </c>
      <c r="AI39" s="181" t="s">
        <v>142</v>
      </c>
      <c r="AJ39" s="181" t="s">
        <v>1594</v>
      </c>
      <c r="AK39" s="181"/>
      <c r="AL39" s="181">
        <v>44849</v>
      </c>
      <c r="AM39" s="181"/>
      <c r="AN39" s="181">
        <f t="shared" ca="1" si="1"/>
        <v>44958</v>
      </c>
      <c r="AO39" s="173">
        <f t="shared" ca="1" si="5"/>
        <v>109</v>
      </c>
      <c r="AP39" s="173">
        <f t="shared" ca="1" si="6"/>
        <v>28</v>
      </c>
      <c r="AQ39" s="181"/>
      <c r="AR39" s="190" t="s">
        <v>3970</v>
      </c>
      <c r="AS39" s="176">
        <v>10.715</v>
      </c>
      <c r="AT39" s="176">
        <v>10.725</v>
      </c>
      <c r="AU39" s="176">
        <v>10.749999999999998</v>
      </c>
      <c r="AV39" s="176">
        <v>10.754999999999999</v>
      </c>
      <c r="AW39" s="173" t="str">
        <f t="shared" si="7"/>
        <v/>
      </c>
      <c r="AX39" s="142">
        <v>456</v>
      </c>
      <c r="AZ39" s="142" t="s">
        <v>123</v>
      </c>
    </row>
    <row r="40" spans="2:52" s="142" customFormat="1" ht="21" customHeight="1" x14ac:dyDescent="0.25">
      <c r="B40" s="173" t="str">
        <f t="shared" si="0"/>
        <v>0-304/2B-1.20X768</v>
      </c>
      <c r="C40" s="201" t="s">
        <v>4523</v>
      </c>
      <c r="D40" s="173" t="s">
        <v>4432</v>
      </c>
      <c r="E40" s="190" t="s">
        <v>4538</v>
      </c>
      <c r="F40" s="201" t="s">
        <v>4539</v>
      </c>
      <c r="G40" s="173">
        <v>304</v>
      </c>
      <c r="H40" s="173" t="s">
        <v>114</v>
      </c>
      <c r="I40" s="174">
        <v>3.57</v>
      </c>
      <c r="J40" s="174">
        <v>1.2</v>
      </c>
      <c r="K40" s="203">
        <v>1.18</v>
      </c>
      <c r="L40" s="203">
        <v>1.2</v>
      </c>
      <c r="M40" s="191">
        <v>768</v>
      </c>
      <c r="N40" s="176">
        <v>9.0250000000000004</v>
      </c>
      <c r="O40" s="176">
        <f>4.845+4.16</f>
        <v>9.004999999999999</v>
      </c>
      <c r="P40" s="176"/>
      <c r="Q40" s="176"/>
      <c r="R40" s="176" t="s">
        <v>114</v>
      </c>
      <c r="S40" s="209" t="s">
        <v>4486</v>
      </c>
      <c r="T40" s="178" t="s">
        <v>4378</v>
      </c>
      <c r="U40" s="178"/>
      <c r="V40" s="179"/>
      <c r="W40" s="177">
        <v>44904</v>
      </c>
      <c r="X40" s="177"/>
      <c r="Y40" s="177">
        <v>44904</v>
      </c>
      <c r="Z40" s="177"/>
      <c r="AA40" s="177"/>
      <c r="AB40" s="177"/>
      <c r="AC40" s="177"/>
      <c r="AD40" s="177"/>
      <c r="AE40" s="177"/>
      <c r="AF40" s="177"/>
      <c r="AG40" s="180" t="s">
        <v>1609</v>
      </c>
      <c r="AH40" s="173" t="s">
        <v>69</v>
      </c>
      <c r="AI40" s="181" t="s">
        <v>142</v>
      </c>
      <c r="AJ40" s="181" t="s">
        <v>2283</v>
      </c>
      <c r="AK40" s="181"/>
      <c r="AL40" s="181">
        <v>44880</v>
      </c>
      <c r="AM40" s="181"/>
      <c r="AN40" s="181">
        <f t="shared" ca="1" si="1"/>
        <v>44958</v>
      </c>
      <c r="AO40" s="173">
        <f t="shared" ca="1" si="5"/>
        <v>78</v>
      </c>
      <c r="AP40" s="173" t="str">
        <f t="shared" si="6"/>
        <v/>
      </c>
      <c r="AQ40" s="181"/>
      <c r="AR40" s="190" t="s">
        <v>4540</v>
      </c>
      <c r="AS40" s="176">
        <v>9.0350000000000001</v>
      </c>
      <c r="AT40" s="176">
        <v>9.0449999999999999</v>
      </c>
      <c r="AU40" s="176">
        <v>9.0699999999999985</v>
      </c>
      <c r="AV40" s="176">
        <v>9.0749999999999993</v>
      </c>
      <c r="AW40" s="173">
        <f t="shared" ca="1" si="7"/>
        <v>54</v>
      </c>
      <c r="AX40" s="142">
        <v>459</v>
      </c>
      <c r="AZ40" s="142" t="s">
        <v>123</v>
      </c>
    </row>
    <row r="41" spans="2:52" s="142" customFormat="1" ht="21" customHeight="1" x14ac:dyDescent="0.25">
      <c r="B41" s="173" t="str">
        <f t="shared" si="0"/>
        <v>0-304/2B-1.50X767</v>
      </c>
      <c r="C41" s="201" t="s">
        <v>4523</v>
      </c>
      <c r="D41" s="173" t="s">
        <v>4432</v>
      </c>
      <c r="E41" s="190" t="s">
        <v>4541</v>
      </c>
      <c r="F41" s="201" t="s">
        <v>4542</v>
      </c>
      <c r="G41" s="173">
        <v>304</v>
      </c>
      <c r="H41" s="173" t="s">
        <v>114</v>
      </c>
      <c r="I41" s="174">
        <v>3.89</v>
      </c>
      <c r="J41" s="174">
        <v>1.5</v>
      </c>
      <c r="K41" s="203">
        <v>1.48</v>
      </c>
      <c r="L41" s="203">
        <v>1.5</v>
      </c>
      <c r="M41" s="191">
        <v>767</v>
      </c>
      <c r="N41" s="176">
        <v>10.47</v>
      </c>
      <c r="O41" s="176">
        <f>6+4.445</f>
        <v>10.445</v>
      </c>
      <c r="P41" s="176"/>
      <c r="Q41" s="176">
        <v>2.5000000000000001E-2</v>
      </c>
      <c r="R41" s="176" t="s">
        <v>114</v>
      </c>
      <c r="S41" s="209" t="s">
        <v>4543</v>
      </c>
      <c r="T41" s="178" t="s">
        <v>4544</v>
      </c>
      <c r="U41" s="178"/>
      <c r="V41" s="179"/>
      <c r="W41" s="177">
        <v>44924</v>
      </c>
      <c r="X41" s="177"/>
      <c r="Y41" s="177">
        <v>44924</v>
      </c>
      <c r="Z41" s="177"/>
      <c r="AA41" s="177"/>
      <c r="AB41" s="177"/>
      <c r="AC41" s="177"/>
      <c r="AD41" s="177"/>
      <c r="AE41" s="177"/>
      <c r="AF41" s="177"/>
      <c r="AG41" s="180" t="s">
        <v>2479</v>
      </c>
      <c r="AH41" s="173" t="s">
        <v>69</v>
      </c>
      <c r="AI41" s="181" t="s">
        <v>142</v>
      </c>
      <c r="AJ41" s="181" t="s">
        <v>2283</v>
      </c>
      <c r="AK41" s="181"/>
      <c r="AL41" s="181">
        <v>44880</v>
      </c>
      <c r="AM41" s="181"/>
      <c r="AN41" s="181">
        <f t="shared" ca="1" si="1"/>
        <v>44958</v>
      </c>
      <c r="AO41" s="173">
        <f t="shared" ca="1" si="5"/>
        <v>78</v>
      </c>
      <c r="AP41" s="173" t="str">
        <f t="shared" si="6"/>
        <v/>
      </c>
      <c r="AQ41" s="181"/>
      <c r="AR41" s="190" t="s">
        <v>2345</v>
      </c>
      <c r="AS41" s="176">
        <v>10.475</v>
      </c>
      <c r="AT41" s="176">
        <v>10.484999999999999</v>
      </c>
      <c r="AU41" s="176">
        <v>10.509999999999998</v>
      </c>
      <c r="AV41" s="176">
        <v>10.514999999999999</v>
      </c>
      <c r="AW41" s="173">
        <f t="shared" ca="1" si="7"/>
        <v>34</v>
      </c>
      <c r="AX41" s="142">
        <v>459</v>
      </c>
      <c r="AZ41" s="142" t="s">
        <v>123</v>
      </c>
    </row>
    <row r="42" spans="2:52" s="142" customFormat="1" ht="21" customHeight="1" x14ac:dyDescent="0.25">
      <c r="B42" s="173" t="str">
        <f t="shared" si="0"/>
        <v>0-304/2B-1.50X767</v>
      </c>
      <c r="C42" s="201" t="s">
        <v>4523</v>
      </c>
      <c r="D42" s="173" t="s">
        <v>4432</v>
      </c>
      <c r="E42" s="190" t="s">
        <v>4545</v>
      </c>
      <c r="F42" s="201" t="s">
        <v>4546</v>
      </c>
      <c r="G42" s="173">
        <v>304</v>
      </c>
      <c r="H42" s="173" t="s">
        <v>114</v>
      </c>
      <c r="I42" s="174">
        <v>3.87</v>
      </c>
      <c r="J42" s="174">
        <v>1.5</v>
      </c>
      <c r="K42" s="203">
        <v>1.49</v>
      </c>
      <c r="L42" s="203">
        <v>1.5</v>
      </c>
      <c r="M42" s="191">
        <v>767</v>
      </c>
      <c r="N42" s="176">
        <v>9.5150000000000006</v>
      </c>
      <c r="O42" s="176">
        <f>4.07+5.45</f>
        <v>9.52</v>
      </c>
      <c r="P42" s="176"/>
      <c r="Q42" s="176">
        <v>5.0000000000000001E-3</v>
      </c>
      <c r="R42" s="176" t="s">
        <v>114</v>
      </c>
      <c r="S42" s="209" t="s">
        <v>4486</v>
      </c>
      <c r="T42" s="178" t="s">
        <v>4378</v>
      </c>
      <c r="U42" s="178"/>
      <c r="V42" s="179"/>
      <c r="W42" s="177">
        <v>44908</v>
      </c>
      <c r="X42" s="177"/>
      <c r="Y42" s="177">
        <v>44909</v>
      </c>
      <c r="Z42" s="177"/>
      <c r="AA42" s="177"/>
      <c r="AB42" s="177"/>
      <c r="AC42" s="177"/>
      <c r="AD42" s="177"/>
      <c r="AE42" s="177"/>
      <c r="AF42" s="177"/>
      <c r="AG42" s="180" t="s">
        <v>4482</v>
      </c>
      <c r="AH42" s="173" t="s">
        <v>69</v>
      </c>
      <c r="AI42" s="181" t="s">
        <v>142</v>
      </c>
      <c r="AJ42" s="181" t="s">
        <v>2283</v>
      </c>
      <c r="AK42" s="181"/>
      <c r="AL42" s="181">
        <v>44880</v>
      </c>
      <c r="AM42" s="181"/>
      <c r="AN42" s="181">
        <f t="shared" ca="1" si="1"/>
        <v>44958</v>
      </c>
      <c r="AO42" s="173">
        <f t="shared" ca="1" si="5"/>
        <v>78</v>
      </c>
      <c r="AP42" s="173" t="str">
        <f t="shared" si="6"/>
        <v/>
      </c>
      <c r="AQ42" s="181"/>
      <c r="AR42" s="190" t="s">
        <v>4547</v>
      </c>
      <c r="AS42" s="176">
        <v>9.5549999999999997</v>
      </c>
      <c r="AT42" s="176">
        <v>9.5649999999999995</v>
      </c>
      <c r="AU42" s="176">
        <v>9.5899999999999981</v>
      </c>
      <c r="AV42" s="176">
        <v>9.5949999999999989</v>
      </c>
      <c r="AW42" s="173">
        <f t="shared" ca="1" si="7"/>
        <v>49</v>
      </c>
      <c r="AX42" s="142">
        <v>459</v>
      </c>
      <c r="AZ42" s="142" t="s">
        <v>123</v>
      </c>
    </row>
    <row r="43" spans="2:52" s="142" customFormat="1" ht="21" customHeight="1" x14ac:dyDescent="0.25">
      <c r="B43" s="173" t="str">
        <f t="shared" si="0"/>
        <v>0-304/2B-1.50X767</v>
      </c>
      <c r="C43" s="201" t="s">
        <v>4523</v>
      </c>
      <c r="D43" s="173" t="s">
        <v>4432</v>
      </c>
      <c r="E43" s="190" t="s">
        <v>4548</v>
      </c>
      <c r="F43" s="201" t="s">
        <v>4549</v>
      </c>
      <c r="G43" s="173">
        <v>304</v>
      </c>
      <c r="H43" s="173" t="s">
        <v>114</v>
      </c>
      <c r="I43" s="174">
        <v>3.83</v>
      </c>
      <c r="J43" s="174">
        <v>1.5</v>
      </c>
      <c r="K43" s="203">
        <v>1.5</v>
      </c>
      <c r="L43" s="203">
        <v>1.52</v>
      </c>
      <c r="M43" s="191">
        <v>767</v>
      </c>
      <c r="N43" s="176">
        <v>10.47</v>
      </c>
      <c r="O43" s="176">
        <f>5.825+4.6</f>
        <v>10.425000000000001</v>
      </c>
      <c r="P43" s="176"/>
      <c r="Q43" s="176">
        <v>4.4999999999999998E-2</v>
      </c>
      <c r="R43" s="176" t="s">
        <v>114</v>
      </c>
      <c r="S43" s="209" t="s">
        <v>4486</v>
      </c>
      <c r="T43" s="178" t="s">
        <v>4378</v>
      </c>
      <c r="U43" s="178"/>
      <c r="V43" s="179"/>
      <c r="W43" s="177">
        <v>44909</v>
      </c>
      <c r="X43" s="177"/>
      <c r="Y43" s="177">
        <v>44909</v>
      </c>
      <c r="Z43" s="177"/>
      <c r="AA43" s="177"/>
      <c r="AB43" s="177"/>
      <c r="AC43" s="177"/>
      <c r="AD43" s="177"/>
      <c r="AE43" s="177"/>
      <c r="AF43" s="177"/>
      <c r="AG43" s="180" t="s">
        <v>4550</v>
      </c>
      <c r="AH43" s="173" t="s">
        <v>69</v>
      </c>
      <c r="AI43" s="181" t="s">
        <v>142</v>
      </c>
      <c r="AJ43" s="181" t="s">
        <v>2283</v>
      </c>
      <c r="AK43" s="181"/>
      <c r="AL43" s="181">
        <v>44880</v>
      </c>
      <c r="AM43" s="181"/>
      <c r="AN43" s="181">
        <f t="shared" ca="1" si="1"/>
        <v>44958</v>
      </c>
      <c r="AO43" s="173">
        <f t="shared" ca="1" si="5"/>
        <v>78</v>
      </c>
      <c r="AP43" s="173" t="str">
        <f t="shared" si="6"/>
        <v/>
      </c>
      <c r="AQ43" s="181"/>
      <c r="AR43" s="190" t="s">
        <v>4551</v>
      </c>
      <c r="AS43" s="176">
        <v>10.47</v>
      </c>
      <c r="AT43" s="176">
        <v>10.48</v>
      </c>
      <c r="AU43" s="176">
        <v>10.504999999999999</v>
      </c>
      <c r="AV43" s="176">
        <v>10.51</v>
      </c>
      <c r="AW43" s="173">
        <f t="shared" ca="1" si="7"/>
        <v>49</v>
      </c>
      <c r="AX43" s="142">
        <v>459</v>
      </c>
      <c r="AZ43" s="142" t="s">
        <v>123</v>
      </c>
    </row>
    <row r="44" spans="2:52" s="142" customFormat="1" ht="21" customHeight="1" x14ac:dyDescent="0.25">
      <c r="B44" s="173" t="str">
        <f t="shared" si="0"/>
        <v>0-304L/2B-1.20X765</v>
      </c>
      <c r="C44" s="201" t="s">
        <v>4552</v>
      </c>
      <c r="D44" s="173" t="s">
        <v>4432</v>
      </c>
      <c r="E44" s="190" t="s">
        <v>4553</v>
      </c>
      <c r="F44" s="201" t="s">
        <v>4554</v>
      </c>
      <c r="G44" s="173" t="s">
        <v>182</v>
      </c>
      <c r="H44" s="173" t="s">
        <v>114</v>
      </c>
      <c r="I44" s="174">
        <v>3.58</v>
      </c>
      <c r="J44" s="174">
        <v>1.2</v>
      </c>
      <c r="K44" s="203">
        <v>1.19</v>
      </c>
      <c r="L44" s="203">
        <v>1.21</v>
      </c>
      <c r="M44" s="191">
        <v>765</v>
      </c>
      <c r="N44" s="176">
        <v>11.85</v>
      </c>
      <c r="O44" s="176">
        <f>5.935+5.885</f>
        <v>11.82</v>
      </c>
      <c r="P44" s="176"/>
      <c r="Q44" s="176">
        <v>0.03</v>
      </c>
      <c r="R44" s="176" t="s">
        <v>114</v>
      </c>
      <c r="S44" s="209" t="s">
        <v>4486</v>
      </c>
      <c r="T44" s="178" t="s">
        <v>4378</v>
      </c>
      <c r="U44" s="178"/>
      <c r="V44" s="179"/>
      <c r="W44" s="177">
        <v>44905</v>
      </c>
      <c r="X44" s="177"/>
      <c r="Y44" s="177">
        <v>44905</v>
      </c>
      <c r="Z44" s="177"/>
      <c r="AA44" s="177"/>
      <c r="AB44" s="177"/>
      <c r="AC44" s="177"/>
      <c r="AD44" s="177"/>
      <c r="AE44" s="177"/>
      <c r="AF44" s="177"/>
      <c r="AG44" s="180" t="s">
        <v>1609</v>
      </c>
      <c r="AH44" s="173" t="s">
        <v>69</v>
      </c>
      <c r="AI44" s="181" t="s">
        <v>142</v>
      </c>
      <c r="AJ44" s="181" t="s">
        <v>1653</v>
      </c>
      <c r="AK44" s="181"/>
      <c r="AL44" s="181">
        <v>44880</v>
      </c>
      <c r="AM44" s="181"/>
      <c r="AN44" s="181">
        <f t="shared" ca="1" si="1"/>
        <v>44958</v>
      </c>
      <c r="AO44" s="173">
        <f t="shared" ca="1" si="5"/>
        <v>78</v>
      </c>
      <c r="AP44" s="173" t="str">
        <f t="shared" si="6"/>
        <v/>
      </c>
      <c r="AQ44" s="181"/>
      <c r="AR44" s="190" t="s">
        <v>4535</v>
      </c>
      <c r="AS44" s="176">
        <v>11.855</v>
      </c>
      <c r="AT44" s="176">
        <v>11.865</v>
      </c>
      <c r="AU44" s="176">
        <v>11.889999999999999</v>
      </c>
      <c r="AV44" s="176">
        <v>11.895</v>
      </c>
      <c r="AW44" s="173">
        <f t="shared" ca="1" si="7"/>
        <v>53</v>
      </c>
      <c r="AX44" s="142">
        <v>459</v>
      </c>
      <c r="AZ44" s="142" t="s">
        <v>123</v>
      </c>
    </row>
    <row r="45" spans="2:52" s="142" customFormat="1" ht="21" customHeight="1" x14ac:dyDescent="0.25">
      <c r="B45" s="173" t="str">
        <f t="shared" si="0"/>
        <v>0-304/2B-2.00X767</v>
      </c>
      <c r="C45" s="201" t="s">
        <v>4552</v>
      </c>
      <c r="D45" s="173" t="s">
        <v>4432</v>
      </c>
      <c r="E45" s="190" t="s">
        <v>4555</v>
      </c>
      <c r="F45" s="201" t="s">
        <v>4556</v>
      </c>
      <c r="G45" s="173">
        <v>304</v>
      </c>
      <c r="H45" s="173" t="s">
        <v>114</v>
      </c>
      <c r="I45" s="174">
        <v>3.88</v>
      </c>
      <c r="J45" s="174">
        <v>2</v>
      </c>
      <c r="K45" s="203">
        <v>1.97</v>
      </c>
      <c r="L45" s="203">
        <v>1.99</v>
      </c>
      <c r="M45" s="191">
        <v>767</v>
      </c>
      <c r="N45" s="176">
        <v>12.21</v>
      </c>
      <c r="O45" s="176">
        <f>3.955+3.99+4.22</f>
        <v>12.164999999999999</v>
      </c>
      <c r="P45" s="176"/>
      <c r="Q45" s="176">
        <v>4.4999999999999998E-2</v>
      </c>
      <c r="R45" s="176" t="s">
        <v>114</v>
      </c>
      <c r="S45" s="209" t="s">
        <v>4486</v>
      </c>
      <c r="T45" s="178" t="s">
        <v>4378</v>
      </c>
      <c r="U45" s="178"/>
      <c r="V45" s="179"/>
      <c r="W45" s="177">
        <v>44906</v>
      </c>
      <c r="X45" s="177"/>
      <c r="Y45" s="177">
        <v>44908</v>
      </c>
      <c r="Z45" s="177"/>
      <c r="AA45" s="177"/>
      <c r="AB45" s="177"/>
      <c r="AC45" s="177"/>
      <c r="AD45" s="177"/>
      <c r="AE45" s="177"/>
      <c r="AF45" s="177"/>
      <c r="AG45" s="180" t="s">
        <v>4482</v>
      </c>
      <c r="AH45" s="173" t="s">
        <v>69</v>
      </c>
      <c r="AI45" s="181" t="s">
        <v>142</v>
      </c>
      <c r="AJ45" s="181" t="s">
        <v>1887</v>
      </c>
      <c r="AK45" s="181"/>
      <c r="AL45" s="181">
        <v>44880</v>
      </c>
      <c r="AM45" s="181"/>
      <c r="AN45" s="181">
        <f t="shared" ca="1" si="1"/>
        <v>44958</v>
      </c>
      <c r="AO45" s="173">
        <f t="shared" ca="1" si="5"/>
        <v>78</v>
      </c>
      <c r="AP45" s="173" t="str">
        <f t="shared" si="6"/>
        <v/>
      </c>
      <c r="AQ45" s="181"/>
      <c r="AR45" s="190" t="s">
        <v>4557</v>
      </c>
      <c r="AS45" s="176">
        <v>12.215</v>
      </c>
      <c r="AT45" s="176">
        <v>12.225</v>
      </c>
      <c r="AU45" s="176">
        <v>12.249999999999998</v>
      </c>
      <c r="AV45" s="176">
        <v>12.254999999999999</v>
      </c>
      <c r="AW45" s="173">
        <f t="shared" ca="1" si="7"/>
        <v>50</v>
      </c>
      <c r="AX45" s="142">
        <v>459</v>
      </c>
      <c r="AZ45" s="142" t="s">
        <v>123</v>
      </c>
    </row>
    <row r="46" spans="2:52" s="142" customFormat="1" ht="21" customHeight="1" x14ac:dyDescent="0.25">
      <c r="B46" s="173" t="str">
        <f t="shared" si="0"/>
        <v>0-304L/2B-1.20X768</v>
      </c>
      <c r="C46" s="201" t="s">
        <v>4552</v>
      </c>
      <c r="D46" s="173" t="s">
        <v>4432</v>
      </c>
      <c r="E46" s="190" t="s">
        <v>4558</v>
      </c>
      <c r="F46" s="201" t="s">
        <v>4559</v>
      </c>
      <c r="G46" s="173" t="s">
        <v>182</v>
      </c>
      <c r="H46" s="173" t="s">
        <v>114</v>
      </c>
      <c r="I46" s="174">
        <v>3.61</v>
      </c>
      <c r="J46" s="174">
        <v>1.2</v>
      </c>
      <c r="K46" s="203">
        <v>1.18</v>
      </c>
      <c r="L46" s="203">
        <v>1.2</v>
      </c>
      <c r="M46" s="191">
        <v>768</v>
      </c>
      <c r="N46" s="176">
        <v>9.73</v>
      </c>
      <c r="O46" s="176">
        <f>5.155+4.555</f>
        <v>9.7100000000000009</v>
      </c>
      <c r="P46" s="176"/>
      <c r="Q46" s="176">
        <v>0.02</v>
      </c>
      <c r="R46" s="176" t="s">
        <v>114</v>
      </c>
      <c r="S46" s="209" t="s">
        <v>4486</v>
      </c>
      <c r="T46" s="178" t="s">
        <v>4378</v>
      </c>
      <c r="U46" s="178"/>
      <c r="V46" s="179"/>
      <c r="W46" s="177">
        <v>44905</v>
      </c>
      <c r="X46" s="177"/>
      <c r="Y46" s="177">
        <v>44905</v>
      </c>
      <c r="Z46" s="177"/>
      <c r="AA46" s="177"/>
      <c r="AB46" s="177"/>
      <c r="AC46" s="177"/>
      <c r="AD46" s="177"/>
      <c r="AE46" s="177"/>
      <c r="AF46" s="177"/>
      <c r="AG46" s="180" t="s">
        <v>1609</v>
      </c>
      <c r="AH46" s="173" t="s">
        <v>69</v>
      </c>
      <c r="AI46" s="181" t="s">
        <v>142</v>
      </c>
      <c r="AJ46" s="181" t="s">
        <v>1653</v>
      </c>
      <c r="AK46" s="181"/>
      <c r="AL46" s="181">
        <v>44880</v>
      </c>
      <c r="AM46" s="181"/>
      <c r="AN46" s="181">
        <f t="shared" ca="1" si="1"/>
        <v>44958</v>
      </c>
      <c r="AO46" s="173">
        <f t="shared" ca="1" si="5"/>
        <v>78</v>
      </c>
      <c r="AP46" s="173" t="str">
        <f t="shared" si="6"/>
        <v/>
      </c>
      <c r="AQ46" s="181"/>
      <c r="AR46" s="190" t="s">
        <v>4560</v>
      </c>
      <c r="AS46" s="176">
        <v>9.7349999999999994</v>
      </c>
      <c r="AT46" s="176">
        <v>9.7449999999999992</v>
      </c>
      <c r="AU46" s="176">
        <v>9.7699999999999978</v>
      </c>
      <c r="AV46" s="176">
        <v>9.7749999999999986</v>
      </c>
      <c r="AW46" s="173">
        <f t="shared" ca="1" si="7"/>
        <v>53</v>
      </c>
      <c r="AX46" s="142">
        <v>459</v>
      </c>
      <c r="AZ46" s="142" t="s">
        <v>123</v>
      </c>
    </row>
    <row r="47" spans="2:52" s="142" customFormat="1" ht="21" customHeight="1" x14ac:dyDescent="0.25">
      <c r="B47" s="173" t="str">
        <f t="shared" si="0"/>
        <v>0-304/2B-1.50X767</v>
      </c>
      <c r="C47" s="201" t="s">
        <v>4552</v>
      </c>
      <c r="D47" s="173" t="s">
        <v>4432</v>
      </c>
      <c r="E47" s="190" t="s">
        <v>4561</v>
      </c>
      <c r="F47" s="201" t="s">
        <v>4562</v>
      </c>
      <c r="G47" s="173">
        <v>304</v>
      </c>
      <c r="H47" s="173" t="s">
        <v>114</v>
      </c>
      <c r="I47" s="174">
        <v>3.85</v>
      </c>
      <c r="J47" s="174">
        <v>1.5</v>
      </c>
      <c r="K47" s="203">
        <v>1.48</v>
      </c>
      <c r="L47" s="203">
        <v>1.5</v>
      </c>
      <c r="M47" s="191">
        <v>767</v>
      </c>
      <c r="N47" s="176">
        <v>10.48</v>
      </c>
      <c r="O47" s="176">
        <f>5.525+4.9</f>
        <v>10.425000000000001</v>
      </c>
      <c r="P47" s="176"/>
      <c r="Q47" s="176">
        <v>5.5E-2</v>
      </c>
      <c r="R47" s="176" t="s">
        <v>114</v>
      </c>
      <c r="S47" s="209" t="s">
        <v>4486</v>
      </c>
      <c r="T47" s="178" t="s">
        <v>4378</v>
      </c>
      <c r="U47" s="178"/>
      <c r="V47" s="179"/>
      <c r="W47" s="177">
        <v>44907</v>
      </c>
      <c r="X47" s="177"/>
      <c r="Y47" s="177">
        <v>44908</v>
      </c>
      <c r="Z47" s="177"/>
      <c r="AA47" s="177"/>
      <c r="AB47" s="177"/>
      <c r="AC47" s="177"/>
      <c r="AD47" s="177"/>
      <c r="AE47" s="177"/>
      <c r="AF47" s="177"/>
      <c r="AG47" s="180" t="s">
        <v>4482</v>
      </c>
      <c r="AH47" s="173" t="s">
        <v>69</v>
      </c>
      <c r="AI47" s="181" t="s">
        <v>142</v>
      </c>
      <c r="AJ47" s="181" t="s">
        <v>1653</v>
      </c>
      <c r="AK47" s="181"/>
      <c r="AL47" s="181">
        <v>44880</v>
      </c>
      <c r="AM47" s="181"/>
      <c r="AN47" s="181">
        <f t="shared" ca="1" si="1"/>
        <v>44958</v>
      </c>
      <c r="AO47" s="173">
        <f t="shared" ca="1" si="5"/>
        <v>78</v>
      </c>
      <c r="AP47" s="173" t="str">
        <f t="shared" si="6"/>
        <v/>
      </c>
      <c r="AQ47" s="181"/>
      <c r="AR47" s="190" t="s">
        <v>4563</v>
      </c>
      <c r="AS47" s="176">
        <v>10.48</v>
      </c>
      <c r="AT47" s="176">
        <v>10.49</v>
      </c>
      <c r="AU47" s="176">
        <v>10.514999999999999</v>
      </c>
      <c r="AV47" s="176">
        <v>10.52</v>
      </c>
      <c r="AW47" s="173">
        <f t="shared" ca="1" si="7"/>
        <v>50</v>
      </c>
      <c r="AX47" s="142">
        <v>459</v>
      </c>
      <c r="AZ47" s="142" t="s">
        <v>123</v>
      </c>
    </row>
    <row r="48" spans="2:52" s="142" customFormat="1" ht="21" customHeight="1" x14ac:dyDescent="0.25">
      <c r="B48" s="173" t="str">
        <f t="shared" si="0"/>
        <v>0-304/2B-1.50X770</v>
      </c>
      <c r="C48" s="201" t="s">
        <v>4552</v>
      </c>
      <c r="D48" s="173" t="s">
        <v>4432</v>
      </c>
      <c r="E48" s="190" t="s">
        <v>4564</v>
      </c>
      <c r="F48" s="201" t="s">
        <v>4565</v>
      </c>
      <c r="G48" s="173">
        <v>304</v>
      </c>
      <c r="H48" s="173" t="s">
        <v>114</v>
      </c>
      <c r="I48" s="174">
        <v>3.85</v>
      </c>
      <c r="J48" s="174">
        <v>1.5</v>
      </c>
      <c r="K48" s="203">
        <v>1.49</v>
      </c>
      <c r="L48" s="203">
        <v>1.51</v>
      </c>
      <c r="M48" s="191">
        <v>770</v>
      </c>
      <c r="N48" s="176">
        <v>10.46</v>
      </c>
      <c r="O48" s="176">
        <f>5.95+4.455</f>
        <v>10.405000000000001</v>
      </c>
      <c r="P48" s="176"/>
      <c r="Q48" s="176">
        <v>5.5E-2</v>
      </c>
      <c r="R48" s="176" t="s">
        <v>114</v>
      </c>
      <c r="S48" s="209" t="s">
        <v>4486</v>
      </c>
      <c r="T48" s="178" t="s">
        <v>4378</v>
      </c>
      <c r="U48" s="178"/>
      <c r="V48" s="179"/>
      <c r="W48" s="177">
        <v>44906</v>
      </c>
      <c r="X48" s="177"/>
      <c r="Y48" s="177">
        <v>44906</v>
      </c>
      <c r="Z48" s="177"/>
      <c r="AA48" s="177"/>
      <c r="AB48" s="177"/>
      <c r="AC48" s="177"/>
      <c r="AD48" s="177"/>
      <c r="AE48" s="177"/>
      <c r="AF48" s="177"/>
      <c r="AG48" s="180" t="s">
        <v>4482</v>
      </c>
      <c r="AH48" s="173" t="s">
        <v>69</v>
      </c>
      <c r="AI48" s="181" t="s">
        <v>142</v>
      </c>
      <c r="AJ48" s="181" t="s">
        <v>2283</v>
      </c>
      <c r="AK48" s="181"/>
      <c r="AL48" s="181">
        <v>44880</v>
      </c>
      <c r="AM48" s="181"/>
      <c r="AN48" s="181">
        <f t="shared" ca="1" si="1"/>
        <v>44958</v>
      </c>
      <c r="AO48" s="173">
        <f t="shared" ca="1" si="5"/>
        <v>78</v>
      </c>
      <c r="AP48" s="173" t="str">
        <f t="shared" si="6"/>
        <v/>
      </c>
      <c r="AQ48" s="181"/>
      <c r="AR48" s="190" t="s">
        <v>4494</v>
      </c>
      <c r="AS48" s="176">
        <v>10.445</v>
      </c>
      <c r="AT48" s="176">
        <v>10.455</v>
      </c>
      <c r="AU48" s="176">
        <v>10.479999999999999</v>
      </c>
      <c r="AV48" s="176">
        <v>10.484999999999999</v>
      </c>
      <c r="AW48" s="173">
        <f t="shared" ca="1" si="7"/>
        <v>52</v>
      </c>
      <c r="AX48" s="142">
        <v>459</v>
      </c>
      <c r="AZ48" s="142" t="s">
        <v>123</v>
      </c>
    </row>
    <row r="49" spans="2:52" s="142" customFormat="1" ht="21" customHeight="1" x14ac:dyDescent="0.25">
      <c r="B49" s="173" t="str">
        <f t="shared" si="0"/>
        <v>0-304/2B-1.50X768</v>
      </c>
      <c r="C49" s="201" t="s">
        <v>4552</v>
      </c>
      <c r="D49" s="173" t="s">
        <v>4432</v>
      </c>
      <c r="E49" s="190" t="s">
        <v>4566</v>
      </c>
      <c r="F49" s="201" t="s">
        <v>4567</v>
      </c>
      <c r="G49" s="173">
        <v>304</v>
      </c>
      <c r="H49" s="173" t="s">
        <v>114</v>
      </c>
      <c r="I49" s="174">
        <v>4.38</v>
      </c>
      <c r="J49" s="174">
        <v>1.5</v>
      </c>
      <c r="K49" s="203">
        <v>1.48</v>
      </c>
      <c r="L49" s="203">
        <v>1.5</v>
      </c>
      <c r="M49" s="191">
        <v>768</v>
      </c>
      <c r="N49" s="176">
        <v>10.445</v>
      </c>
      <c r="O49" s="176">
        <f>5.36+5.035</f>
        <v>10.395</v>
      </c>
      <c r="P49" s="176"/>
      <c r="Q49" s="176">
        <v>0.05</v>
      </c>
      <c r="R49" s="176" t="s">
        <v>114</v>
      </c>
      <c r="S49" s="209" t="s">
        <v>4486</v>
      </c>
      <c r="T49" s="178" t="s">
        <v>4378</v>
      </c>
      <c r="U49" s="178"/>
      <c r="V49" s="179"/>
      <c r="W49" s="177">
        <v>44900</v>
      </c>
      <c r="X49" s="177"/>
      <c r="Y49" s="177">
        <v>44901</v>
      </c>
      <c r="Z49" s="177"/>
      <c r="AA49" s="177"/>
      <c r="AB49" s="177"/>
      <c r="AC49" s="177"/>
      <c r="AD49" s="177"/>
      <c r="AE49" s="177"/>
      <c r="AF49" s="177"/>
      <c r="AG49" s="180" t="s">
        <v>4482</v>
      </c>
      <c r="AH49" s="173" t="s">
        <v>69</v>
      </c>
      <c r="AI49" s="181" t="s">
        <v>142</v>
      </c>
      <c r="AJ49" s="181" t="s">
        <v>1887</v>
      </c>
      <c r="AK49" s="181"/>
      <c r="AL49" s="181">
        <v>44880</v>
      </c>
      <c r="AM49" s="181"/>
      <c r="AN49" s="181">
        <f t="shared" ca="1" si="1"/>
        <v>44958</v>
      </c>
      <c r="AO49" s="173">
        <f t="shared" ca="1" si="5"/>
        <v>78</v>
      </c>
      <c r="AP49" s="173" t="str">
        <f t="shared" si="6"/>
        <v/>
      </c>
      <c r="AQ49" s="181"/>
      <c r="AR49" s="190" t="s">
        <v>4568</v>
      </c>
      <c r="AS49" s="176">
        <v>10.455</v>
      </c>
      <c r="AT49" s="176">
        <v>10.465</v>
      </c>
      <c r="AU49" s="176">
        <v>10.489999999999998</v>
      </c>
      <c r="AV49" s="176">
        <v>10.494999999999999</v>
      </c>
      <c r="AW49" s="173">
        <f t="shared" ca="1" si="7"/>
        <v>57</v>
      </c>
      <c r="AX49" s="142">
        <v>459</v>
      </c>
      <c r="AZ49" s="142" t="s">
        <v>123</v>
      </c>
    </row>
    <row r="50" spans="2:52" s="142" customFormat="1" ht="21" customHeight="1" x14ac:dyDescent="0.25">
      <c r="B50" s="173" t="str">
        <f t="shared" si="0"/>
        <v>0-304/2B-1.50X767</v>
      </c>
      <c r="C50" s="201" t="s">
        <v>4569</v>
      </c>
      <c r="D50" s="173" t="s">
        <v>836</v>
      </c>
      <c r="E50" s="190" t="s">
        <v>4570</v>
      </c>
      <c r="F50" s="201" t="s">
        <v>4571</v>
      </c>
      <c r="G50" s="173">
        <v>304</v>
      </c>
      <c r="H50" s="173" t="s">
        <v>114</v>
      </c>
      <c r="I50" s="174">
        <v>3.84</v>
      </c>
      <c r="J50" s="174">
        <v>1.5</v>
      </c>
      <c r="K50" s="203">
        <v>1.48</v>
      </c>
      <c r="L50" s="203">
        <v>1.5</v>
      </c>
      <c r="M50" s="191">
        <v>767</v>
      </c>
      <c r="N50" s="176">
        <v>10.46</v>
      </c>
      <c r="O50" s="176">
        <v>10.44</v>
      </c>
      <c r="P50" s="176"/>
      <c r="Q50" s="176">
        <v>0.02</v>
      </c>
      <c r="R50" s="176" t="s">
        <v>114</v>
      </c>
      <c r="S50" s="209" t="s">
        <v>4486</v>
      </c>
      <c r="T50" s="178" t="s">
        <v>4378</v>
      </c>
      <c r="U50" s="178"/>
      <c r="V50" s="179"/>
      <c r="W50" s="177">
        <v>44909</v>
      </c>
      <c r="X50" s="177"/>
      <c r="Y50" s="177">
        <v>44909</v>
      </c>
      <c r="Z50" s="177"/>
      <c r="AA50" s="177">
        <v>44931</v>
      </c>
      <c r="AB50" s="177"/>
      <c r="AC50" s="177"/>
      <c r="AD50" s="177"/>
      <c r="AE50" s="177"/>
      <c r="AF50" s="177"/>
      <c r="AG50" s="180" t="s">
        <v>4482</v>
      </c>
      <c r="AH50" s="173" t="s">
        <v>69</v>
      </c>
      <c r="AI50" s="181" t="s">
        <v>142</v>
      </c>
      <c r="AJ50" s="181" t="s">
        <v>2283</v>
      </c>
      <c r="AK50" s="181"/>
      <c r="AL50" s="181">
        <v>44880</v>
      </c>
      <c r="AM50" s="181"/>
      <c r="AN50" s="181">
        <f t="shared" ca="1" si="1"/>
        <v>44958</v>
      </c>
      <c r="AO50" s="173">
        <f t="shared" ca="1" si="5"/>
        <v>78</v>
      </c>
      <c r="AP50" s="173">
        <f t="shared" ca="1" si="6"/>
        <v>27</v>
      </c>
      <c r="AQ50" s="181"/>
      <c r="AR50" s="190" t="s">
        <v>4483</v>
      </c>
      <c r="AS50" s="176">
        <v>10.455</v>
      </c>
      <c r="AT50" s="176">
        <v>10.465</v>
      </c>
      <c r="AU50" s="176">
        <v>10.489999999999998</v>
      </c>
      <c r="AV50" s="176">
        <v>10.494999999999999</v>
      </c>
      <c r="AW50" s="173">
        <f t="shared" ca="1" si="7"/>
        <v>49</v>
      </c>
      <c r="AX50" s="142">
        <v>459</v>
      </c>
      <c r="AZ50" s="142" t="s">
        <v>123</v>
      </c>
    </row>
    <row r="51" spans="2:52" s="142" customFormat="1" ht="21" customHeight="1" x14ac:dyDescent="0.25">
      <c r="B51" s="173" t="str">
        <f t="shared" si="0"/>
        <v>0-304/2B-1.50X767</v>
      </c>
      <c r="C51" s="201" t="s">
        <v>4552</v>
      </c>
      <c r="D51" s="173" t="s">
        <v>4432</v>
      </c>
      <c r="E51" s="190" t="s">
        <v>4572</v>
      </c>
      <c r="F51" s="201" t="s">
        <v>4573</v>
      </c>
      <c r="G51" s="173">
        <v>304</v>
      </c>
      <c r="H51" s="173" t="s">
        <v>114</v>
      </c>
      <c r="I51" s="174">
        <v>3.84</v>
      </c>
      <c r="J51" s="174">
        <v>1.5</v>
      </c>
      <c r="K51" s="203">
        <v>1.48</v>
      </c>
      <c r="L51" s="203">
        <v>1.5</v>
      </c>
      <c r="M51" s="191">
        <v>767</v>
      </c>
      <c r="N51" s="176">
        <v>10.435</v>
      </c>
      <c r="O51" s="176">
        <f>4.425+5.98</f>
        <v>10.405000000000001</v>
      </c>
      <c r="P51" s="176"/>
      <c r="Q51" s="176">
        <v>0.03</v>
      </c>
      <c r="R51" s="176" t="s">
        <v>114</v>
      </c>
      <c r="S51" s="209" t="s">
        <v>4486</v>
      </c>
      <c r="T51" s="178" t="s">
        <v>4378</v>
      </c>
      <c r="U51" s="178"/>
      <c r="V51" s="179"/>
      <c r="W51" s="177">
        <v>44905</v>
      </c>
      <c r="X51" s="177"/>
      <c r="Y51" s="177">
        <v>44905</v>
      </c>
      <c r="Z51" s="177"/>
      <c r="AA51" s="177"/>
      <c r="AB51" s="177"/>
      <c r="AC51" s="177"/>
      <c r="AD51" s="177"/>
      <c r="AE51" s="177"/>
      <c r="AF51" s="177"/>
      <c r="AG51" s="180" t="s">
        <v>4482</v>
      </c>
      <c r="AH51" s="173" t="s">
        <v>69</v>
      </c>
      <c r="AI51" s="181" t="s">
        <v>142</v>
      </c>
      <c r="AJ51" s="181" t="s">
        <v>2283</v>
      </c>
      <c r="AK51" s="181"/>
      <c r="AL51" s="181">
        <v>44880</v>
      </c>
      <c r="AM51" s="181"/>
      <c r="AN51" s="181">
        <f t="shared" ca="1" si="1"/>
        <v>44958</v>
      </c>
      <c r="AO51" s="173">
        <f t="shared" ca="1" si="5"/>
        <v>78</v>
      </c>
      <c r="AP51" s="173" t="str">
        <f t="shared" si="6"/>
        <v/>
      </c>
      <c r="AQ51" s="181"/>
      <c r="AR51" s="190" t="s">
        <v>4574</v>
      </c>
      <c r="AS51" s="176">
        <v>10.435</v>
      </c>
      <c r="AT51" s="176">
        <v>10.445</v>
      </c>
      <c r="AU51" s="176">
        <v>10.469999999999999</v>
      </c>
      <c r="AV51" s="176">
        <v>10.475</v>
      </c>
      <c r="AW51" s="173">
        <f t="shared" ca="1" si="7"/>
        <v>53</v>
      </c>
      <c r="AX51" s="142">
        <v>459</v>
      </c>
      <c r="AZ51" s="142" t="s">
        <v>123</v>
      </c>
    </row>
    <row r="52" spans="2:52" s="142" customFormat="1" ht="21" customHeight="1" x14ac:dyDescent="0.25">
      <c r="B52" s="173" t="str">
        <f t="shared" si="0"/>
        <v>0-304L/2B-1.20X765</v>
      </c>
      <c r="C52" s="201" t="s">
        <v>4552</v>
      </c>
      <c r="D52" s="173" t="s">
        <v>4432</v>
      </c>
      <c r="E52" s="190" t="s">
        <v>4575</v>
      </c>
      <c r="F52" s="201" t="s">
        <v>4576</v>
      </c>
      <c r="G52" s="173" t="s">
        <v>182</v>
      </c>
      <c r="H52" s="173" t="s">
        <v>114</v>
      </c>
      <c r="I52" s="174">
        <v>3.58</v>
      </c>
      <c r="J52" s="174">
        <v>1.2</v>
      </c>
      <c r="K52" s="174">
        <v>1.18</v>
      </c>
      <c r="L52" s="174">
        <v>1.2</v>
      </c>
      <c r="M52" s="191">
        <v>765</v>
      </c>
      <c r="N52" s="176">
        <f>3.815+3.805</f>
        <v>7.62</v>
      </c>
      <c r="O52" s="176">
        <f>3.815+3.805</f>
        <v>7.62</v>
      </c>
      <c r="P52" s="176"/>
      <c r="Q52" s="176"/>
      <c r="R52" s="176" t="s">
        <v>114</v>
      </c>
      <c r="S52" s="209" t="s">
        <v>4486</v>
      </c>
      <c r="T52" s="178" t="s">
        <v>4378</v>
      </c>
      <c r="U52" s="178"/>
      <c r="V52" s="179"/>
      <c r="W52" s="177">
        <v>44914</v>
      </c>
      <c r="X52" s="177"/>
      <c r="Y52" s="177">
        <v>44914</v>
      </c>
      <c r="Z52" s="177"/>
      <c r="AA52" s="177"/>
      <c r="AB52" s="177"/>
      <c r="AC52" s="177"/>
      <c r="AD52" s="177"/>
      <c r="AE52" s="177"/>
      <c r="AF52" s="177"/>
      <c r="AG52" s="180" t="s">
        <v>1619</v>
      </c>
      <c r="AH52" s="173" t="s">
        <v>69</v>
      </c>
      <c r="AI52" s="181" t="s">
        <v>142</v>
      </c>
      <c r="AJ52" s="181" t="s">
        <v>2283</v>
      </c>
      <c r="AK52" s="181"/>
      <c r="AL52" s="181">
        <v>44880</v>
      </c>
      <c r="AM52" s="181"/>
      <c r="AN52" s="181">
        <f t="shared" ca="1" si="1"/>
        <v>44958</v>
      </c>
      <c r="AO52" s="173">
        <f t="shared" ca="1" si="5"/>
        <v>78</v>
      </c>
      <c r="AP52" s="173" t="str">
        <f t="shared" si="6"/>
        <v/>
      </c>
      <c r="AQ52" s="181"/>
      <c r="AR52" s="190" t="s">
        <v>4498</v>
      </c>
      <c r="AS52" s="176">
        <v>11.625</v>
      </c>
      <c r="AT52" s="176">
        <v>11.635</v>
      </c>
      <c r="AU52" s="176">
        <v>11.659999999999998</v>
      </c>
      <c r="AV52" s="176">
        <v>11.664999999999999</v>
      </c>
      <c r="AW52" s="173">
        <f t="shared" ca="1" si="7"/>
        <v>44</v>
      </c>
      <c r="AX52" s="142">
        <v>459</v>
      </c>
      <c r="AZ52" s="142" t="s">
        <v>123</v>
      </c>
    </row>
    <row r="53" spans="2:52" s="142" customFormat="1" ht="21" customHeight="1" x14ac:dyDescent="0.25">
      <c r="B53" s="173" t="str">
        <f t="shared" si="0"/>
        <v>0-304L/2B-1.20X765</v>
      </c>
      <c r="C53" s="201" t="s">
        <v>4577</v>
      </c>
      <c r="D53" s="173" t="s">
        <v>4432</v>
      </c>
      <c r="E53" s="190" t="s">
        <v>4575</v>
      </c>
      <c r="F53" s="201" t="s">
        <v>4578</v>
      </c>
      <c r="G53" s="173" t="s">
        <v>182</v>
      </c>
      <c r="H53" s="173" t="s">
        <v>114</v>
      </c>
      <c r="I53" s="174">
        <v>3.58</v>
      </c>
      <c r="J53" s="174">
        <v>1.2</v>
      </c>
      <c r="K53" s="203">
        <v>1.18</v>
      </c>
      <c r="L53" s="203">
        <v>1.2</v>
      </c>
      <c r="M53" s="191">
        <v>765</v>
      </c>
      <c r="N53" s="176">
        <f>11.62-3.815-3.805</f>
        <v>3.9999999999999996</v>
      </c>
      <c r="O53" s="176">
        <v>3.96</v>
      </c>
      <c r="P53" s="176"/>
      <c r="Q53" s="176">
        <v>0.04</v>
      </c>
      <c r="R53" s="176" t="s">
        <v>114</v>
      </c>
      <c r="S53" s="209" t="s">
        <v>4579</v>
      </c>
      <c r="T53" s="178" t="s">
        <v>4580</v>
      </c>
      <c r="U53" s="178"/>
      <c r="V53" s="179"/>
      <c r="W53" s="177">
        <v>44914</v>
      </c>
      <c r="X53" s="177"/>
      <c r="Y53" s="177">
        <v>44914</v>
      </c>
      <c r="Z53" s="177"/>
      <c r="AA53" s="177"/>
      <c r="AB53" s="177"/>
      <c r="AC53" s="177"/>
      <c r="AD53" s="177"/>
      <c r="AE53" s="177"/>
      <c r="AF53" s="177"/>
      <c r="AG53" s="180" t="s">
        <v>1619</v>
      </c>
      <c r="AH53" s="173" t="s">
        <v>69</v>
      </c>
      <c r="AI53" s="181" t="s">
        <v>142</v>
      </c>
      <c r="AJ53" s="181" t="s">
        <v>2283</v>
      </c>
      <c r="AK53" s="181"/>
      <c r="AL53" s="181">
        <v>44880</v>
      </c>
      <c r="AM53" s="181"/>
      <c r="AN53" s="181">
        <f t="shared" ca="1" si="1"/>
        <v>44958</v>
      </c>
      <c r="AO53" s="173">
        <f ca="1">IF(AL53&lt;&gt;0,AN53-AL53,0)</f>
        <v>78</v>
      </c>
      <c r="AP53" s="173" t="str">
        <f t="shared" si="6"/>
        <v/>
      </c>
      <c r="AQ53" s="181"/>
      <c r="AR53" s="190" t="s">
        <v>4498</v>
      </c>
      <c r="AS53" s="176">
        <v>11.625</v>
      </c>
      <c r="AT53" s="176">
        <v>11.635</v>
      </c>
      <c r="AU53" s="176">
        <v>11.659999999999998</v>
      </c>
      <c r="AV53" s="176">
        <v>11.664999999999999</v>
      </c>
      <c r="AW53" s="173">
        <f t="shared" ca="1" si="7"/>
        <v>44</v>
      </c>
      <c r="AX53" s="142">
        <v>459</v>
      </c>
      <c r="AZ53" s="142" t="s">
        <v>123</v>
      </c>
    </row>
    <row r="54" spans="2:52" s="142" customFormat="1" ht="21" customHeight="1" x14ac:dyDescent="0.25">
      <c r="B54" s="173" t="str">
        <f t="shared" si="0"/>
        <v>0-304/2B-1.50X768</v>
      </c>
      <c r="C54" s="201" t="s">
        <v>4577</v>
      </c>
      <c r="D54" s="173" t="s">
        <v>4432</v>
      </c>
      <c r="E54" s="190" t="s">
        <v>4581</v>
      </c>
      <c r="F54" s="201" t="s">
        <v>4582</v>
      </c>
      <c r="G54" s="173">
        <v>304</v>
      </c>
      <c r="H54" s="173" t="s">
        <v>114</v>
      </c>
      <c r="I54" s="174">
        <v>3.85</v>
      </c>
      <c r="J54" s="174">
        <v>1.5</v>
      </c>
      <c r="K54" s="203">
        <v>1.48</v>
      </c>
      <c r="L54" s="203">
        <v>1.51</v>
      </c>
      <c r="M54" s="191">
        <v>768</v>
      </c>
      <c r="N54" s="176">
        <v>7.19</v>
      </c>
      <c r="O54" s="176">
        <f>3.49+3.615</f>
        <v>7.1050000000000004</v>
      </c>
      <c r="P54" s="176"/>
      <c r="Q54" s="176">
        <v>5.5E-2</v>
      </c>
      <c r="R54" s="176" t="s">
        <v>114</v>
      </c>
      <c r="S54" s="209" t="s">
        <v>4486</v>
      </c>
      <c r="T54" s="178" t="s">
        <v>4378</v>
      </c>
      <c r="U54" s="178"/>
      <c r="V54" s="179"/>
      <c r="W54" s="177">
        <v>44906</v>
      </c>
      <c r="X54" s="177"/>
      <c r="Y54" s="177">
        <v>44906</v>
      </c>
      <c r="Z54" s="177"/>
      <c r="AA54" s="177"/>
      <c r="AB54" s="177"/>
      <c r="AC54" s="177"/>
      <c r="AD54" s="177"/>
      <c r="AE54" s="177"/>
      <c r="AF54" s="177"/>
      <c r="AG54" s="180" t="s">
        <v>4482</v>
      </c>
      <c r="AH54" s="173" t="s">
        <v>69</v>
      </c>
      <c r="AI54" s="181" t="s">
        <v>142</v>
      </c>
      <c r="AJ54" s="181" t="s">
        <v>1653</v>
      </c>
      <c r="AK54" s="181"/>
      <c r="AL54" s="181">
        <v>44880</v>
      </c>
      <c r="AM54" s="181"/>
      <c r="AN54" s="181">
        <f t="shared" ca="1" si="1"/>
        <v>44958</v>
      </c>
      <c r="AO54" s="173">
        <f ca="1">IF(AL54&lt;&gt;0,AN54-AL54,0)</f>
        <v>78</v>
      </c>
      <c r="AP54" s="173" t="str">
        <f t="shared" si="6"/>
        <v/>
      </c>
      <c r="AQ54" s="181"/>
      <c r="AR54" s="190" t="s">
        <v>4563</v>
      </c>
      <c r="AS54" s="176">
        <v>10.51</v>
      </c>
      <c r="AT54" s="176">
        <v>10.52</v>
      </c>
      <c r="AU54" s="176">
        <v>10.544999999999998</v>
      </c>
      <c r="AV54" s="176">
        <v>10.549999999999999</v>
      </c>
      <c r="AW54" s="173">
        <f t="shared" ca="1" si="7"/>
        <v>52</v>
      </c>
      <c r="AX54" s="142">
        <v>459</v>
      </c>
      <c r="AZ54" s="142" t="s">
        <v>123</v>
      </c>
    </row>
    <row r="55" spans="2:52" s="142" customFormat="1" ht="21" customHeight="1" x14ac:dyDescent="0.25">
      <c r="B55" s="173" t="str">
        <f t="shared" si="0"/>
        <v>0-304/2B-1.50X768</v>
      </c>
      <c r="C55" s="201" t="s">
        <v>4583</v>
      </c>
      <c r="D55" s="173" t="s">
        <v>836</v>
      </c>
      <c r="E55" s="190" t="s">
        <v>4581</v>
      </c>
      <c r="F55" s="201" t="s">
        <v>4584</v>
      </c>
      <c r="G55" s="173">
        <v>304</v>
      </c>
      <c r="H55" s="173" t="s">
        <v>114</v>
      </c>
      <c r="I55" s="174">
        <v>3.85</v>
      </c>
      <c r="J55" s="174">
        <v>1.5</v>
      </c>
      <c r="K55" s="203">
        <v>1.48</v>
      </c>
      <c r="L55" s="203">
        <v>1.51</v>
      </c>
      <c r="M55" s="191">
        <v>768</v>
      </c>
      <c r="N55" s="176">
        <v>3.2250000000000001</v>
      </c>
      <c r="O55" s="176">
        <v>3.24</v>
      </c>
      <c r="P55" s="176"/>
      <c r="Q55" s="176">
        <v>1.4999999999999999E-2</v>
      </c>
      <c r="R55" s="176" t="s">
        <v>114</v>
      </c>
      <c r="S55" s="209"/>
      <c r="T55" s="178" t="s">
        <v>4378</v>
      </c>
      <c r="U55" s="178"/>
      <c r="V55" s="179"/>
      <c r="W55" s="177">
        <v>44906</v>
      </c>
      <c r="X55" s="177"/>
      <c r="Y55" s="177">
        <v>44907</v>
      </c>
      <c r="Z55" s="177"/>
      <c r="AA55" s="177">
        <v>44932</v>
      </c>
      <c r="AB55" s="177"/>
      <c r="AC55" s="177"/>
      <c r="AD55" s="177"/>
      <c r="AE55" s="177"/>
      <c r="AF55" s="177"/>
      <c r="AG55" s="180" t="s">
        <v>4482</v>
      </c>
      <c r="AH55" s="173" t="s">
        <v>69</v>
      </c>
      <c r="AI55" s="181" t="s">
        <v>142</v>
      </c>
      <c r="AJ55" s="181" t="s">
        <v>1653</v>
      </c>
      <c r="AK55" s="181"/>
      <c r="AL55" s="181">
        <v>44880</v>
      </c>
      <c r="AM55" s="181"/>
      <c r="AN55" s="181">
        <f t="shared" ca="1" si="1"/>
        <v>44958</v>
      </c>
      <c r="AO55" s="173">
        <f ca="1">IF(AL55&lt;&gt;0,AN55-AL55,0)</f>
        <v>78</v>
      </c>
      <c r="AP55" s="173">
        <f t="shared" ca="1" si="6"/>
        <v>26</v>
      </c>
      <c r="AQ55" s="181"/>
      <c r="AR55" s="190" t="s">
        <v>4563</v>
      </c>
      <c r="AS55" s="176">
        <v>10.51</v>
      </c>
      <c r="AT55" s="176">
        <v>10.52</v>
      </c>
      <c r="AU55" s="176">
        <v>10.544999999999998</v>
      </c>
      <c r="AV55" s="176">
        <v>10.549999999999999</v>
      </c>
      <c r="AW55" s="173">
        <f t="shared" ca="1" si="7"/>
        <v>51</v>
      </c>
      <c r="AX55" s="142">
        <v>459</v>
      </c>
      <c r="AZ55" s="142" t="s">
        <v>123</v>
      </c>
    </row>
    <row r="56" spans="2:52" s="142" customFormat="1" ht="21" customHeight="1" x14ac:dyDescent="0.25">
      <c r="B56" s="173" t="str">
        <f t="shared" si="0"/>
        <v>0-304L/2B-1.20X768</v>
      </c>
      <c r="C56" s="201" t="s">
        <v>4577</v>
      </c>
      <c r="D56" s="173" t="s">
        <v>4432</v>
      </c>
      <c r="E56" s="190" t="s">
        <v>4585</v>
      </c>
      <c r="F56" s="201" t="s">
        <v>4586</v>
      </c>
      <c r="G56" s="173" t="s">
        <v>182</v>
      </c>
      <c r="H56" s="173" t="s">
        <v>114</v>
      </c>
      <c r="I56" s="174">
        <v>3.61</v>
      </c>
      <c r="J56" s="174">
        <v>1.2</v>
      </c>
      <c r="K56" s="203">
        <v>1.17</v>
      </c>
      <c r="L56" s="203">
        <v>1.2</v>
      </c>
      <c r="M56" s="191">
        <v>768</v>
      </c>
      <c r="N56" s="176">
        <v>9.74</v>
      </c>
      <c r="O56" s="176">
        <f>4.83+4.88</f>
        <v>9.7100000000000009</v>
      </c>
      <c r="P56" s="176"/>
      <c r="Q56" s="176">
        <v>0.03</v>
      </c>
      <c r="R56" s="176" t="s">
        <v>114</v>
      </c>
      <c r="S56" s="209" t="s">
        <v>4486</v>
      </c>
      <c r="T56" s="178" t="s">
        <v>4378</v>
      </c>
      <c r="U56" s="178"/>
      <c r="V56" s="179"/>
      <c r="W56" s="177">
        <v>44906</v>
      </c>
      <c r="X56" s="177"/>
      <c r="Y56" s="177">
        <v>44906</v>
      </c>
      <c r="Z56" s="177"/>
      <c r="AA56" s="177"/>
      <c r="AB56" s="177"/>
      <c r="AC56" s="177"/>
      <c r="AD56" s="177"/>
      <c r="AE56" s="177"/>
      <c r="AF56" s="177"/>
      <c r="AG56" s="180" t="s">
        <v>1609</v>
      </c>
      <c r="AH56" s="173" t="s">
        <v>69</v>
      </c>
      <c r="AI56" s="181" t="s">
        <v>142</v>
      </c>
      <c r="AJ56" s="181" t="s">
        <v>1653</v>
      </c>
      <c r="AK56" s="181"/>
      <c r="AL56" s="181">
        <v>44880</v>
      </c>
      <c r="AM56" s="181"/>
      <c r="AN56" s="181">
        <f t="shared" ca="1" si="1"/>
        <v>44958</v>
      </c>
      <c r="AO56" s="173">
        <f ca="1">IF(AL56&lt;&gt;0,AN56-AL56,0)</f>
        <v>78</v>
      </c>
      <c r="AP56" s="173" t="str">
        <f t="shared" si="6"/>
        <v/>
      </c>
      <c r="AQ56" s="181"/>
      <c r="AR56" s="190" t="s">
        <v>4560</v>
      </c>
      <c r="AS56" s="176">
        <v>9.74</v>
      </c>
      <c r="AT56" s="176">
        <v>9.75</v>
      </c>
      <c r="AU56" s="176">
        <v>9.7749999999999986</v>
      </c>
      <c r="AV56" s="176">
        <v>9.7799999999999994</v>
      </c>
      <c r="AW56" s="173">
        <f t="shared" ca="1" si="7"/>
        <v>52</v>
      </c>
      <c r="AX56" s="142">
        <v>459</v>
      </c>
      <c r="AZ56" s="142" t="s">
        <v>123</v>
      </c>
    </row>
    <row r="57" spans="2:52" s="142" customFormat="1" ht="21" customHeight="1" x14ac:dyDescent="0.25">
      <c r="B57" s="173" t="str">
        <f t="shared" si="0"/>
        <v>0-316L/2B-1.50X775</v>
      </c>
      <c r="C57" s="201" t="s">
        <v>4577</v>
      </c>
      <c r="D57" s="173" t="s">
        <v>4432</v>
      </c>
      <c r="E57" s="190" t="s">
        <v>3823</v>
      </c>
      <c r="F57" s="201" t="s">
        <v>4587</v>
      </c>
      <c r="G57" s="173" t="s">
        <v>135</v>
      </c>
      <c r="H57" s="173" t="s">
        <v>114</v>
      </c>
      <c r="I57" s="174">
        <v>3.77</v>
      </c>
      <c r="J57" s="174">
        <v>1.5</v>
      </c>
      <c r="K57" s="203">
        <v>1.49</v>
      </c>
      <c r="L57" s="203">
        <v>1.51</v>
      </c>
      <c r="M57" s="191">
        <v>775</v>
      </c>
      <c r="N57" s="349">
        <v>10.8</v>
      </c>
      <c r="O57" s="176">
        <v>5.79</v>
      </c>
      <c r="P57" s="176"/>
      <c r="Q57" s="176"/>
      <c r="R57" s="176" t="s">
        <v>114</v>
      </c>
      <c r="S57" s="209" t="s">
        <v>4588</v>
      </c>
      <c r="T57" s="178" t="s">
        <v>761</v>
      </c>
      <c r="U57" s="178"/>
      <c r="V57" s="179"/>
      <c r="W57" s="177">
        <v>44926</v>
      </c>
      <c r="X57" s="177"/>
      <c r="Y57" s="177">
        <v>44926</v>
      </c>
      <c r="Z57" s="177"/>
      <c r="AA57" s="177"/>
      <c r="AB57" s="177"/>
      <c r="AC57" s="177"/>
      <c r="AD57" s="177">
        <v>44910</v>
      </c>
      <c r="AE57" s="177"/>
      <c r="AF57" s="177"/>
      <c r="AG57" s="180" t="s">
        <v>2374</v>
      </c>
      <c r="AH57" s="173" t="s">
        <v>69</v>
      </c>
      <c r="AI57" s="181" t="s">
        <v>142</v>
      </c>
      <c r="AJ57" s="181" t="s">
        <v>1887</v>
      </c>
      <c r="AK57" s="181"/>
      <c r="AL57" s="181">
        <v>44880</v>
      </c>
      <c r="AM57" s="181"/>
      <c r="AN57" s="181">
        <f t="shared" ca="1" si="1"/>
        <v>44958</v>
      </c>
      <c r="AO57" s="173">
        <f t="shared" ref="AO57:AO105" ca="1" si="8">IF(AL57&lt;&gt;0,AN57-AL57,0)</f>
        <v>78</v>
      </c>
      <c r="AP57" s="173" t="str">
        <f t="shared" si="6"/>
        <v/>
      </c>
      <c r="AQ57" s="181"/>
      <c r="AR57" s="190" t="s">
        <v>3825</v>
      </c>
      <c r="AS57" s="176">
        <v>21.65</v>
      </c>
      <c r="AT57" s="176">
        <v>21.709999999999997</v>
      </c>
      <c r="AU57" s="176">
        <v>21.734999999999999</v>
      </c>
      <c r="AV57" s="176">
        <v>21.74</v>
      </c>
      <c r="AW57" s="173">
        <f t="shared" ca="1" si="7"/>
        <v>32</v>
      </c>
      <c r="AX57" s="142">
        <v>460</v>
      </c>
      <c r="AZ57" s="142" t="s">
        <v>123</v>
      </c>
    </row>
    <row r="58" spans="2:52" s="142" customFormat="1" ht="21" customHeight="1" x14ac:dyDescent="0.25">
      <c r="B58" s="173" t="str">
        <f t="shared" si="0"/>
        <v>0-316L/2B-1.50X775</v>
      </c>
      <c r="C58" s="201" t="s">
        <v>4583</v>
      </c>
      <c r="D58" s="173" t="s">
        <v>836</v>
      </c>
      <c r="E58" s="190" t="s">
        <v>3823</v>
      </c>
      <c r="F58" s="201" t="s">
        <v>4589</v>
      </c>
      <c r="G58" s="173" t="s">
        <v>135</v>
      </c>
      <c r="H58" s="173" t="s">
        <v>114</v>
      </c>
      <c r="I58" s="174">
        <v>3.77</v>
      </c>
      <c r="J58" s="174">
        <v>1.5</v>
      </c>
      <c r="K58" s="203">
        <v>1.49</v>
      </c>
      <c r="L58" s="203">
        <v>1.51</v>
      </c>
      <c r="M58" s="191">
        <v>775</v>
      </c>
      <c r="N58" s="350"/>
      <c r="O58" s="176">
        <v>4.9850000000000003</v>
      </c>
      <c r="P58" s="176"/>
      <c r="Q58" s="176">
        <v>2.5000000000000001E-2</v>
      </c>
      <c r="R58" s="176" t="s">
        <v>114</v>
      </c>
      <c r="S58" s="209"/>
      <c r="T58" s="178" t="s">
        <v>761</v>
      </c>
      <c r="U58" s="178"/>
      <c r="V58" s="179"/>
      <c r="W58" s="177">
        <v>44926</v>
      </c>
      <c r="X58" s="177"/>
      <c r="Y58" s="177">
        <v>44926</v>
      </c>
      <c r="Z58" s="177"/>
      <c r="AA58" s="177">
        <v>44932</v>
      </c>
      <c r="AB58" s="177"/>
      <c r="AC58" s="177"/>
      <c r="AD58" s="177">
        <v>44910</v>
      </c>
      <c r="AE58" s="177"/>
      <c r="AF58" s="177"/>
      <c r="AG58" s="180" t="s">
        <v>2374</v>
      </c>
      <c r="AH58" s="173" t="s">
        <v>69</v>
      </c>
      <c r="AI58" s="181" t="s">
        <v>142</v>
      </c>
      <c r="AJ58" s="181" t="s">
        <v>1887</v>
      </c>
      <c r="AK58" s="181"/>
      <c r="AL58" s="181">
        <v>44880</v>
      </c>
      <c r="AM58" s="181"/>
      <c r="AN58" s="181">
        <f t="shared" ca="1" si="1"/>
        <v>44958</v>
      </c>
      <c r="AO58" s="173">
        <f t="shared" ca="1" si="8"/>
        <v>78</v>
      </c>
      <c r="AP58" s="173">
        <f t="shared" ca="1" si="6"/>
        <v>26</v>
      </c>
      <c r="AQ58" s="181"/>
      <c r="AR58" s="190" t="s">
        <v>3825</v>
      </c>
      <c r="AS58" s="176">
        <v>21.65</v>
      </c>
      <c r="AT58" s="176">
        <v>21.709999999999997</v>
      </c>
      <c r="AU58" s="176">
        <v>21.734999999999999</v>
      </c>
      <c r="AV58" s="176">
        <v>21.74</v>
      </c>
      <c r="AW58" s="173">
        <f t="shared" ca="1" si="7"/>
        <v>32</v>
      </c>
      <c r="AX58" s="142">
        <v>460</v>
      </c>
      <c r="AZ58" s="142" t="s">
        <v>123</v>
      </c>
    </row>
    <row r="59" spans="2:52" s="142" customFormat="1" ht="21" customHeight="1" x14ac:dyDescent="0.25">
      <c r="B59" s="173" t="str">
        <f t="shared" si="0"/>
        <v>0-316L/2B-2.00X777</v>
      </c>
      <c r="C59" s="201" t="s">
        <v>4577</v>
      </c>
      <c r="D59" s="173" t="s">
        <v>4432</v>
      </c>
      <c r="E59" s="190" t="s">
        <v>3819</v>
      </c>
      <c r="F59" s="201" t="s">
        <v>4590</v>
      </c>
      <c r="G59" s="173" t="s">
        <v>135</v>
      </c>
      <c r="H59" s="173" t="s">
        <v>114</v>
      </c>
      <c r="I59" s="174">
        <v>3.93</v>
      </c>
      <c r="J59" s="174">
        <v>2</v>
      </c>
      <c r="K59" s="203">
        <v>1.97</v>
      </c>
      <c r="L59" s="203">
        <v>2.0099999999999998</v>
      </c>
      <c r="M59" s="191">
        <v>777</v>
      </c>
      <c r="N59" s="176">
        <v>10.855</v>
      </c>
      <c r="O59" s="176">
        <f>4.615+6.2</f>
        <v>10.815000000000001</v>
      </c>
      <c r="P59" s="176"/>
      <c r="Q59" s="176">
        <v>0.04</v>
      </c>
      <c r="R59" s="176" t="s">
        <v>114</v>
      </c>
      <c r="S59" s="209" t="s">
        <v>4588</v>
      </c>
      <c r="T59" s="178" t="s">
        <v>761</v>
      </c>
      <c r="U59" s="178"/>
      <c r="V59" s="179"/>
      <c r="W59" s="177">
        <v>44925</v>
      </c>
      <c r="X59" s="177"/>
      <c r="Y59" s="177">
        <v>44926</v>
      </c>
      <c r="Z59" s="177"/>
      <c r="AA59" s="177"/>
      <c r="AB59" s="177"/>
      <c r="AC59" s="177"/>
      <c r="AD59" s="177">
        <v>44911</v>
      </c>
      <c r="AE59" s="177"/>
      <c r="AF59" s="177"/>
      <c r="AG59" s="180" t="s">
        <v>2374</v>
      </c>
      <c r="AH59" s="173" t="s">
        <v>69</v>
      </c>
      <c r="AI59" s="181" t="s">
        <v>142</v>
      </c>
      <c r="AJ59" s="181" t="s">
        <v>1887</v>
      </c>
      <c r="AK59" s="181"/>
      <c r="AL59" s="181">
        <v>44880</v>
      </c>
      <c r="AM59" s="181"/>
      <c r="AN59" s="181">
        <f t="shared" ca="1" si="1"/>
        <v>44958</v>
      </c>
      <c r="AO59" s="173">
        <f t="shared" ca="1" si="8"/>
        <v>78</v>
      </c>
      <c r="AP59" s="173" t="str">
        <f t="shared" si="6"/>
        <v/>
      </c>
      <c r="AQ59" s="181"/>
      <c r="AR59" s="190" t="s">
        <v>3821</v>
      </c>
      <c r="AS59" s="176">
        <v>21.65</v>
      </c>
      <c r="AT59" s="176">
        <v>21.709999999999997</v>
      </c>
      <c r="AU59" s="176">
        <v>21.734999999999999</v>
      </c>
      <c r="AV59" s="176">
        <v>21.74</v>
      </c>
      <c r="AW59" s="173">
        <f t="shared" ca="1" si="7"/>
        <v>32</v>
      </c>
      <c r="AX59" s="142">
        <v>460</v>
      </c>
      <c r="AZ59" s="142" t="s">
        <v>123</v>
      </c>
    </row>
    <row r="60" spans="2:52" s="142" customFormat="1" ht="21" customHeight="1" x14ac:dyDescent="0.25">
      <c r="B60" s="173" t="str">
        <f t="shared" si="0"/>
        <v>0-316L/2B-1.50X778</v>
      </c>
      <c r="C60" s="201" t="s">
        <v>4577</v>
      </c>
      <c r="D60" s="173" t="s">
        <v>4432</v>
      </c>
      <c r="E60" s="190" t="s">
        <v>3842</v>
      </c>
      <c r="F60" s="201" t="s">
        <v>4591</v>
      </c>
      <c r="G60" s="173" t="s">
        <v>135</v>
      </c>
      <c r="H60" s="173" t="s">
        <v>114</v>
      </c>
      <c r="I60" s="174">
        <v>3.92</v>
      </c>
      <c r="J60" s="174">
        <v>1.5</v>
      </c>
      <c r="K60" s="203">
        <v>1.47</v>
      </c>
      <c r="L60" s="203">
        <v>1.54</v>
      </c>
      <c r="M60" s="191">
        <v>778</v>
      </c>
      <c r="N60" s="176">
        <v>10.755000000000001</v>
      </c>
      <c r="O60" s="176">
        <f>6.235+4.48</f>
        <v>10.715</v>
      </c>
      <c r="P60" s="176"/>
      <c r="Q60" s="176">
        <v>0.04</v>
      </c>
      <c r="R60" s="176" t="s">
        <v>114</v>
      </c>
      <c r="S60" s="209" t="s">
        <v>4588</v>
      </c>
      <c r="T60" s="178" t="s">
        <v>761</v>
      </c>
      <c r="U60" s="178"/>
      <c r="V60" s="179"/>
      <c r="W60" s="177">
        <v>44928</v>
      </c>
      <c r="X60" s="177"/>
      <c r="Y60" s="177">
        <v>44928</v>
      </c>
      <c r="Z60" s="177"/>
      <c r="AA60" s="177"/>
      <c r="AB60" s="177"/>
      <c r="AC60" s="177"/>
      <c r="AD60" s="177">
        <v>44911</v>
      </c>
      <c r="AE60" s="177"/>
      <c r="AF60" s="177"/>
      <c r="AG60" s="180" t="s">
        <v>2374</v>
      </c>
      <c r="AH60" s="173" t="s">
        <v>69</v>
      </c>
      <c r="AI60" s="181" t="s">
        <v>142</v>
      </c>
      <c r="AJ60" s="181" t="s">
        <v>1887</v>
      </c>
      <c r="AK60" s="181"/>
      <c r="AL60" s="181">
        <v>44880</v>
      </c>
      <c r="AM60" s="181"/>
      <c r="AN60" s="181">
        <f t="shared" ca="1" si="1"/>
        <v>44958</v>
      </c>
      <c r="AO60" s="173">
        <f t="shared" ca="1" si="8"/>
        <v>78</v>
      </c>
      <c r="AP60" s="173" t="str">
        <f t="shared" si="6"/>
        <v/>
      </c>
      <c r="AQ60" s="181"/>
      <c r="AR60" s="190" t="s">
        <v>3844</v>
      </c>
      <c r="AS60" s="176">
        <v>21.51</v>
      </c>
      <c r="AT60" s="176">
        <v>21.57</v>
      </c>
      <c r="AU60" s="176">
        <v>21.595000000000002</v>
      </c>
      <c r="AV60" s="176">
        <v>21.6</v>
      </c>
      <c r="AW60" s="173">
        <f t="shared" ca="1" si="7"/>
        <v>30</v>
      </c>
      <c r="AX60" s="142">
        <v>460</v>
      </c>
      <c r="AZ60" s="142" t="s">
        <v>123</v>
      </c>
    </row>
    <row r="61" spans="2:52" s="142" customFormat="1" ht="21" customHeight="1" x14ac:dyDescent="0.25">
      <c r="B61" s="173" t="str">
        <f t="shared" si="0"/>
        <v>0-316L/2B-2.00X777</v>
      </c>
      <c r="C61" s="201" t="s">
        <v>4577</v>
      </c>
      <c r="D61" s="173" t="s">
        <v>4432</v>
      </c>
      <c r="E61" s="190" t="s">
        <v>3832</v>
      </c>
      <c r="F61" s="201" t="s">
        <v>4592</v>
      </c>
      <c r="G61" s="173" t="s">
        <v>135</v>
      </c>
      <c r="H61" s="173" t="s">
        <v>114</v>
      </c>
      <c r="I61" s="174">
        <v>3.92</v>
      </c>
      <c r="J61" s="174">
        <v>2</v>
      </c>
      <c r="K61" s="203">
        <v>1.97</v>
      </c>
      <c r="L61" s="203">
        <v>2.0099999999999998</v>
      </c>
      <c r="M61" s="191">
        <v>777</v>
      </c>
      <c r="N61" s="176">
        <v>10.765000000000001</v>
      </c>
      <c r="O61" s="176">
        <f>6.275+4.43</f>
        <v>10.705</v>
      </c>
      <c r="P61" s="176"/>
      <c r="Q61" s="176">
        <v>0.06</v>
      </c>
      <c r="R61" s="176" t="s">
        <v>114</v>
      </c>
      <c r="S61" s="209" t="s">
        <v>4588</v>
      </c>
      <c r="T61" s="178" t="s">
        <v>761</v>
      </c>
      <c r="U61" s="178"/>
      <c r="V61" s="179"/>
      <c r="W61" s="177">
        <v>44928</v>
      </c>
      <c r="X61" s="177"/>
      <c r="Y61" s="177">
        <v>44928</v>
      </c>
      <c r="Z61" s="177"/>
      <c r="AA61" s="177"/>
      <c r="AB61" s="177"/>
      <c r="AC61" s="177"/>
      <c r="AD61" s="177">
        <v>44910</v>
      </c>
      <c r="AE61" s="177"/>
      <c r="AF61" s="177"/>
      <c r="AG61" s="180" t="s">
        <v>2374</v>
      </c>
      <c r="AH61" s="173" t="s">
        <v>69</v>
      </c>
      <c r="AI61" s="181" t="s">
        <v>142</v>
      </c>
      <c r="AJ61" s="181" t="s">
        <v>1887</v>
      </c>
      <c r="AK61" s="181"/>
      <c r="AL61" s="181">
        <v>44880</v>
      </c>
      <c r="AM61" s="181"/>
      <c r="AN61" s="181">
        <f t="shared" ca="1" si="1"/>
        <v>44958</v>
      </c>
      <c r="AO61" s="173">
        <f t="shared" ca="1" si="8"/>
        <v>78</v>
      </c>
      <c r="AP61" s="173" t="str">
        <f t="shared" si="6"/>
        <v/>
      </c>
      <c r="AQ61" s="181"/>
      <c r="AR61" s="190" t="s">
        <v>3834</v>
      </c>
      <c r="AS61" s="176">
        <v>21.524999999999999</v>
      </c>
      <c r="AT61" s="176">
        <v>21.584999999999997</v>
      </c>
      <c r="AU61" s="176">
        <v>21.61</v>
      </c>
      <c r="AV61" s="176">
        <v>21.614999999999998</v>
      </c>
      <c r="AW61" s="173">
        <f t="shared" ca="1" si="7"/>
        <v>30</v>
      </c>
      <c r="AX61" s="142">
        <v>460</v>
      </c>
      <c r="AZ61" s="142" t="s">
        <v>123</v>
      </c>
    </row>
    <row r="62" spans="2:52" s="142" customFormat="1" ht="21" customHeight="1" x14ac:dyDescent="0.25">
      <c r="B62" s="173" t="str">
        <f t="shared" si="0"/>
        <v>0-316L/2B-1.50X777</v>
      </c>
      <c r="C62" s="201" t="s">
        <v>4577</v>
      </c>
      <c r="D62" s="173" t="s">
        <v>4432</v>
      </c>
      <c r="E62" s="190" t="s">
        <v>3842</v>
      </c>
      <c r="F62" s="201" t="s">
        <v>4593</v>
      </c>
      <c r="G62" s="173" t="s">
        <v>135</v>
      </c>
      <c r="H62" s="173" t="s">
        <v>114</v>
      </c>
      <c r="I62" s="174">
        <v>3.92</v>
      </c>
      <c r="J62" s="174">
        <v>1.5</v>
      </c>
      <c r="K62" s="203">
        <v>1.49</v>
      </c>
      <c r="L62" s="203">
        <v>1.53</v>
      </c>
      <c r="M62" s="191">
        <v>777</v>
      </c>
      <c r="N62" s="176">
        <v>10.775</v>
      </c>
      <c r="O62" s="176">
        <f>4.565+6.17</f>
        <v>10.734999999999999</v>
      </c>
      <c r="P62" s="176"/>
      <c r="Q62" s="176">
        <v>0.04</v>
      </c>
      <c r="R62" s="176" t="s">
        <v>114</v>
      </c>
      <c r="S62" s="209" t="s">
        <v>4588</v>
      </c>
      <c r="T62" s="178" t="s">
        <v>761</v>
      </c>
      <c r="U62" s="178"/>
      <c r="V62" s="179"/>
      <c r="W62" s="177">
        <v>44928</v>
      </c>
      <c r="X62" s="177"/>
      <c r="Y62" s="177">
        <v>44929</v>
      </c>
      <c r="Z62" s="177"/>
      <c r="AA62" s="177"/>
      <c r="AB62" s="177"/>
      <c r="AC62" s="177"/>
      <c r="AD62" s="177">
        <v>44911</v>
      </c>
      <c r="AE62" s="177"/>
      <c r="AF62" s="177"/>
      <c r="AG62" s="180" t="s">
        <v>2374</v>
      </c>
      <c r="AH62" s="173" t="s">
        <v>69</v>
      </c>
      <c r="AI62" s="181" t="s">
        <v>142</v>
      </c>
      <c r="AJ62" s="181" t="s">
        <v>1887</v>
      </c>
      <c r="AK62" s="181"/>
      <c r="AL62" s="181">
        <v>44880</v>
      </c>
      <c r="AM62" s="181"/>
      <c r="AN62" s="181">
        <f t="shared" ca="1" si="1"/>
        <v>44958</v>
      </c>
      <c r="AO62" s="173">
        <f t="shared" ca="1" si="8"/>
        <v>78</v>
      </c>
      <c r="AP62" s="173" t="str">
        <f t="shared" si="6"/>
        <v/>
      </c>
      <c r="AQ62" s="181"/>
      <c r="AR62" s="190" t="s">
        <v>3844</v>
      </c>
      <c r="AS62" s="176">
        <v>21.51</v>
      </c>
      <c r="AT62" s="176">
        <v>21.57</v>
      </c>
      <c r="AU62" s="176">
        <v>21.595000000000002</v>
      </c>
      <c r="AV62" s="176">
        <v>21.6</v>
      </c>
      <c r="AW62" s="173">
        <f t="shared" ca="1" si="7"/>
        <v>29</v>
      </c>
      <c r="AX62" s="142">
        <v>460</v>
      </c>
      <c r="AZ62" s="142" t="s">
        <v>123</v>
      </c>
    </row>
    <row r="63" spans="2:52" s="142" customFormat="1" ht="21" customHeight="1" x14ac:dyDescent="0.25">
      <c r="B63" s="173" t="str">
        <f t="shared" si="0"/>
        <v>0-304L/2B-1.00X644</v>
      </c>
      <c r="C63" s="201" t="s">
        <v>4583</v>
      </c>
      <c r="D63" s="173" t="s">
        <v>836</v>
      </c>
      <c r="E63" s="190" t="s">
        <v>3918</v>
      </c>
      <c r="F63" s="201" t="s">
        <v>3919</v>
      </c>
      <c r="G63" s="173" t="s">
        <v>182</v>
      </c>
      <c r="H63" s="173" t="s">
        <v>114</v>
      </c>
      <c r="I63" s="174">
        <v>2.81</v>
      </c>
      <c r="J63" s="174">
        <v>1</v>
      </c>
      <c r="K63" s="203">
        <v>0.98</v>
      </c>
      <c r="L63" s="203">
        <v>1.02</v>
      </c>
      <c r="M63" s="191">
        <v>644</v>
      </c>
      <c r="N63" s="176">
        <v>10.71</v>
      </c>
      <c r="O63" s="176">
        <v>10.61</v>
      </c>
      <c r="P63" s="176"/>
      <c r="Q63" s="176">
        <v>0.1</v>
      </c>
      <c r="R63" s="176" t="s">
        <v>114</v>
      </c>
      <c r="S63" s="209"/>
      <c r="T63" s="178" t="s">
        <v>4326</v>
      </c>
      <c r="U63" s="178" t="s">
        <v>294</v>
      </c>
      <c r="V63" s="179"/>
      <c r="W63" s="177">
        <v>44931</v>
      </c>
      <c r="X63" s="177"/>
      <c r="Y63" s="177"/>
      <c r="Z63" s="177">
        <v>44932</v>
      </c>
      <c r="AA63" s="177">
        <v>44932</v>
      </c>
      <c r="AB63" s="177"/>
      <c r="AC63" s="177"/>
      <c r="AD63" s="177"/>
      <c r="AE63" s="177"/>
      <c r="AF63" s="177"/>
      <c r="AG63" s="180" t="s">
        <v>2479</v>
      </c>
      <c r="AH63" s="173" t="s">
        <v>69</v>
      </c>
      <c r="AI63" s="181" t="s">
        <v>142</v>
      </c>
      <c r="AJ63" s="181" t="s">
        <v>1653</v>
      </c>
      <c r="AK63" s="181"/>
      <c r="AL63" s="181">
        <v>44880</v>
      </c>
      <c r="AM63" s="181"/>
      <c r="AN63" s="181">
        <f t="shared" ca="1" si="1"/>
        <v>44958</v>
      </c>
      <c r="AO63" s="173">
        <f t="shared" ca="1" si="8"/>
        <v>78</v>
      </c>
      <c r="AP63" s="173">
        <f t="shared" ca="1" si="6"/>
        <v>26</v>
      </c>
      <c r="AQ63" s="181"/>
      <c r="AR63" s="190" t="s">
        <v>1939</v>
      </c>
      <c r="AS63" s="176">
        <v>10.654999999999999</v>
      </c>
      <c r="AT63" s="176">
        <v>10.664999999999999</v>
      </c>
      <c r="AU63" s="176">
        <v>10.689999999999998</v>
      </c>
      <c r="AV63" s="176">
        <v>10.694999999999999</v>
      </c>
      <c r="AW63" s="173" t="str">
        <f t="shared" si="7"/>
        <v/>
      </c>
      <c r="AX63" s="142">
        <v>459</v>
      </c>
      <c r="AZ63" s="142" t="s">
        <v>123</v>
      </c>
    </row>
    <row r="64" spans="2:52" s="142" customFormat="1" ht="21" customHeight="1" x14ac:dyDescent="0.25">
      <c r="B64" s="173" t="str">
        <f t="shared" si="0"/>
        <v>0-316L/2B-1.50X776</v>
      </c>
      <c r="C64" s="201" t="s">
        <v>4577</v>
      </c>
      <c r="D64" s="173" t="s">
        <v>4432</v>
      </c>
      <c r="E64" s="190" t="s">
        <v>3832</v>
      </c>
      <c r="F64" s="201" t="s">
        <v>4594</v>
      </c>
      <c r="G64" s="173" t="s">
        <v>135</v>
      </c>
      <c r="H64" s="173" t="s">
        <v>114</v>
      </c>
      <c r="I64" s="174">
        <v>3.92</v>
      </c>
      <c r="J64" s="174">
        <v>1.5</v>
      </c>
      <c r="K64" s="203">
        <v>1.48</v>
      </c>
      <c r="L64" s="203">
        <v>1.52</v>
      </c>
      <c r="M64" s="191">
        <v>776</v>
      </c>
      <c r="N64" s="176">
        <v>5.24</v>
      </c>
      <c r="O64" s="176">
        <v>5.24</v>
      </c>
      <c r="P64" s="176"/>
      <c r="Q64" s="176"/>
      <c r="R64" s="176" t="s">
        <v>114</v>
      </c>
      <c r="S64" s="209" t="s">
        <v>4588</v>
      </c>
      <c r="T64" s="178" t="s">
        <v>761</v>
      </c>
      <c r="U64" s="178"/>
      <c r="V64" s="179"/>
      <c r="W64" s="177">
        <v>44928</v>
      </c>
      <c r="X64" s="177"/>
      <c r="Y64" s="177">
        <v>44928</v>
      </c>
      <c r="Z64" s="177"/>
      <c r="AA64" s="177"/>
      <c r="AB64" s="177"/>
      <c r="AC64" s="177"/>
      <c r="AD64" s="177">
        <v>44910</v>
      </c>
      <c r="AE64" s="177"/>
      <c r="AF64" s="177"/>
      <c r="AG64" s="180" t="s">
        <v>2374</v>
      </c>
      <c r="AH64" s="173" t="s">
        <v>69</v>
      </c>
      <c r="AI64" s="181" t="s">
        <v>142</v>
      </c>
      <c r="AJ64" s="181" t="s">
        <v>1887</v>
      </c>
      <c r="AK64" s="181"/>
      <c r="AL64" s="181">
        <v>44880</v>
      </c>
      <c r="AM64" s="181"/>
      <c r="AN64" s="181">
        <f t="shared" ca="1" si="1"/>
        <v>44958</v>
      </c>
      <c r="AO64" s="173">
        <f t="shared" ca="1" si="8"/>
        <v>78</v>
      </c>
      <c r="AP64" s="173" t="str">
        <f t="shared" si="6"/>
        <v/>
      </c>
      <c r="AQ64" s="181"/>
      <c r="AR64" s="190" t="s">
        <v>3834</v>
      </c>
      <c r="AS64" s="176">
        <v>21.524999999999999</v>
      </c>
      <c r="AT64" s="176">
        <v>21.584999999999997</v>
      </c>
      <c r="AU64" s="176">
        <v>21.61</v>
      </c>
      <c r="AV64" s="176">
        <v>21.614999999999998</v>
      </c>
      <c r="AW64" s="173">
        <f t="shared" ca="1" si="7"/>
        <v>30</v>
      </c>
      <c r="AX64" s="142">
        <v>460</v>
      </c>
      <c r="AZ64" s="142" t="s">
        <v>123</v>
      </c>
    </row>
    <row r="65" spans="2:52" s="142" customFormat="1" ht="21" customHeight="1" x14ac:dyDescent="0.25">
      <c r="B65" s="173" t="str">
        <f t="shared" si="0"/>
        <v>0-316L/2B-1.50X776</v>
      </c>
      <c r="C65" s="201" t="s">
        <v>4595</v>
      </c>
      <c r="D65" s="173" t="s">
        <v>4432</v>
      </c>
      <c r="E65" s="190" t="s">
        <v>3832</v>
      </c>
      <c r="F65" s="201" t="s">
        <v>4596</v>
      </c>
      <c r="G65" s="173" t="s">
        <v>135</v>
      </c>
      <c r="H65" s="173" t="s">
        <v>114</v>
      </c>
      <c r="I65" s="174">
        <v>3.92</v>
      </c>
      <c r="J65" s="174">
        <v>1.5</v>
      </c>
      <c r="K65" s="203">
        <v>1.48</v>
      </c>
      <c r="L65" s="203">
        <v>1.52</v>
      </c>
      <c r="M65" s="191">
        <v>776</v>
      </c>
      <c r="N65" s="176">
        <f>10.78-5.24</f>
        <v>5.5399999999999991</v>
      </c>
      <c r="O65" s="176">
        <v>5.5049999999999999</v>
      </c>
      <c r="P65" s="176"/>
      <c r="Q65" s="176">
        <v>3.5000000000000003E-2</v>
      </c>
      <c r="R65" s="176" t="s">
        <v>114</v>
      </c>
      <c r="S65" s="209" t="s">
        <v>4588</v>
      </c>
      <c r="T65" s="178" t="s">
        <v>761</v>
      </c>
      <c r="U65" s="178"/>
      <c r="V65" s="179"/>
      <c r="W65" s="177">
        <v>44928</v>
      </c>
      <c r="X65" s="177"/>
      <c r="Y65" s="177">
        <v>44928</v>
      </c>
      <c r="Z65" s="177"/>
      <c r="AA65" s="177"/>
      <c r="AB65" s="177"/>
      <c r="AC65" s="177"/>
      <c r="AD65" s="177">
        <v>44910</v>
      </c>
      <c r="AE65" s="177"/>
      <c r="AF65" s="177"/>
      <c r="AG65" s="180" t="s">
        <v>2374</v>
      </c>
      <c r="AH65" s="173" t="s">
        <v>69</v>
      </c>
      <c r="AI65" s="181" t="s">
        <v>142</v>
      </c>
      <c r="AJ65" s="181" t="s">
        <v>1887</v>
      </c>
      <c r="AK65" s="181"/>
      <c r="AL65" s="181">
        <v>44880</v>
      </c>
      <c r="AM65" s="181"/>
      <c r="AN65" s="181">
        <f t="shared" ca="1" si="1"/>
        <v>44958</v>
      </c>
      <c r="AO65" s="173">
        <f t="shared" ca="1" si="8"/>
        <v>78</v>
      </c>
      <c r="AP65" s="173" t="str">
        <f t="shared" si="6"/>
        <v/>
      </c>
      <c r="AQ65" s="181"/>
      <c r="AR65" s="190" t="s">
        <v>3834</v>
      </c>
      <c r="AS65" s="176">
        <v>21.524999999999999</v>
      </c>
      <c r="AT65" s="176">
        <v>21.584999999999997</v>
      </c>
      <c r="AU65" s="176">
        <v>21.61</v>
      </c>
      <c r="AV65" s="176">
        <v>21.614999999999998</v>
      </c>
      <c r="AW65" s="173">
        <f t="shared" ca="1" si="7"/>
        <v>30</v>
      </c>
      <c r="AX65" s="142">
        <v>460</v>
      </c>
      <c r="AZ65" s="142" t="s">
        <v>123</v>
      </c>
    </row>
    <row r="66" spans="2:52" s="142" customFormat="1" ht="21" customHeight="1" x14ac:dyDescent="0.25">
      <c r="B66" s="173" t="str">
        <f t="shared" si="0"/>
        <v>0-316L/2B-2.00X776</v>
      </c>
      <c r="C66" s="201" t="s">
        <v>4595</v>
      </c>
      <c r="D66" s="173" t="s">
        <v>4432</v>
      </c>
      <c r="E66" s="190" t="s">
        <v>3819</v>
      </c>
      <c r="F66" s="201" t="s">
        <v>4597</v>
      </c>
      <c r="G66" s="173" t="s">
        <v>135</v>
      </c>
      <c r="H66" s="173" t="s">
        <v>114</v>
      </c>
      <c r="I66" s="174">
        <v>3.93</v>
      </c>
      <c r="J66" s="174">
        <v>2</v>
      </c>
      <c r="K66" s="203">
        <v>1.97</v>
      </c>
      <c r="L66" s="203">
        <v>1.98</v>
      </c>
      <c r="M66" s="191">
        <v>776</v>
      </c>
      <c r="N66" s="176">
        <v>10.815</v>
      </c>
      <c r="O66" s="176">
        <f>4.915+5.855</f>
        <v>10.77</v>
      </c>
      <c r="P66" s="176"/>
      <c r="Q66" s="176">
        <v>5.5E-2</v>
      </c>
      <c r="R66" s="176" t="s">
        <v>114</v>
      </c>
      <c r="S66" s="209" t="s">
        <v>4588</v>
      </c>
      <c r="T66" s="178" t="s">
        <v>761</v>
      </c>
      <c r="U66" s="178"/>
      <c r="V66" s="179"/>
      <c r="W66" s="177">
        <v>44928</v>
      </c>
      <c r="X66" s="177"/>
      <c r="Y66" s="177">
        <v>44928</v>
      </c>
      <c r="Z66" s="177"/>
      <c r="AA66" s="177"/>
      <c r="AB66" s="177"/>
      <c r="AC66" s="177"/>
      <c r="AD66" s="177">
        <v>44911</v>
      </c>
      <c r="AE66" s="177"/>
      <c r="AF66" s="177"/>
      <c r="AG66" s="180" t="s">
        <v>2374</v>
      </c>
      <c r="AH66" s="173" t="s">
        <v>69</v>
      </c>
      <c r="AI66" s="181" t="s">
        <v>142</v>
      </c>
      <c r="AJ66" s="181" t="s">
        <v>1887</v>
      </c>
      <c r="AK66" s="181"/>
      <c r="AL66" s="181">
        <v>44880</v>
      </c>
      <c r="AM66" s="181"/>
      <c r="AN66" s="181">
        <f t="shared" ca="1" si="1"/>
        <v>44958</v>
      </c>
      <c r="AO66" s="173">
        <f t="shared" ca="1" si="8"/>
        <v>78</v>
      </c>
      <c r="AP66" s="173" t="str">
        <f t="shared" si="6"/>
        <v/>
      </c>
      <c r="AQ66" s="181"/>
      <c r="AR66" s="190" t="s">
        <v>3821</v>
      </c>
      <c r="AS66" s="176">
        <v>21.65</v>
      </c>
      <c r="AT66" s="176">
        <v>21.709999999999997</v>
      </c>
      <c r="AU66" s="176">
        <v>21.734999999999999</v>
      </c>
      <c r="AV66" s="176">
        <v>21.74</v>
      </c>
      <c r="AW66" s="173">
        <f t="shared" ca="1" si="7"/>
        <v>30</v>
      </c>
      <c r="AX66" s="142">
        <v>460</v>
      </c>
      <c r="AZ66" s="142" t="s">
        <v>123</v>
      </c>
    </row>
    <row r="67" spans="2:52" s="142" customFormat="1" ht="21" customHeight="1" x14ac:dyDescent="0.25">
      <c r="B67" s="173" t="str">
        <f t="shared" si="0"/>
        <v>0-316L/2B-1.50X777</v>
      </c>
      <c r="C67" s="201" t="s">
        <v>4598</v>
      </c>
      <c r="D67" s="173" t="s">
        <v>836</v>
      </c>
      <c r="E67" s="190" t="s">
        <v>4599</v>
      </c>
      <c r="F67" s="201" t="s">
        <v>4600</v>
      </c>
      <c r="G67" s="173" t="s">
        <v>135</v>
      </c>
      <c r="H67" s="173" t="s">
        <v>114</v>
      </c>
      <c r="I67" s="174">
        <v>3.92</v>
      </c>
      <c r="J67" s="174">
        <v>1.5</v>
      </c>
      <c r="K67" s="203">
        <v>1.46</v>
      </c>
      <c r="L67" s="203">
        <v>1.48</v>
      </c>
      <c r="M67" s="191">
        <v>777</v>
      </c>
      <c r="N67" s="176">
        <v>10.81</v>
      </c>
      <c r="O67" s="176">
        <v>10.795</v>
      </c>
      <c r="P67" s="176"/>
      <c r="Q67" s="176">
        <v>1.4999999999999999E-2</v>
      </c>
      <c r="R67" s="176" t="s">
        <v>114</v>
      </c>
      <c r="S67" s="209"/>
      <c r="T67" s="178" t="s">
        <v>761</v>
      </c>
      <c r="U67" s="178"/>
      <c r="V67" s="179"/>
      <c r="W67" s="177">
        <v>44925</v>
      </c>
      <c r="X67" s="177"/>
      <c r="Y67" s="177">
        <v>44925</v>
      </c>
      <c r="Z67" s="177"/>
      <c r="AA67" s="177">
        <v>44933</v>
      </c>
      <c r="AB67" s="177"/>
      <c r="AC67" s="177"/>
      <c r="AD67" s="177">
        <v>44909</v>
      </c>
      <c r="AE67" s="177"/>
      <c r="AF67" s="177"/>
      <c r="AG67" s="180" t="s">
        <v>2374</v>
      </c>
      <c r="AH67" s="173" t="s">
        <v>69</v>
      </c>
      <c r="AI67" s="181" t="s">
        <v>142</v>
      </c>
      <c r="AJ67" s="181" t="s">
        <v>1887</v>
      </c>
      <c r="AK67" s="181"/>
      <c r="AL67" s="181">
        <v>44880</v>
      </c>
      <c r="AM67" s="181"/>
      <c r="AN67" s="181">
        <f t="shared" ca="1" si="1"/>
        <v>44958</v>
      </c>
      <c r="AO67" s="173">
        <f t="shared" ca="1" si="8"/>
        <v>78</v>
      </c>
      <c r="AP67" s="173">
        <f t="shared" ca="1" si="6"/>
        <v>25</v>
      </c>
      <c r="AQ67" s="181"/>
      <c r="AR67" s="190" t="s">
        <v>4601</v>
      </c>
      <c r="AS67" s="176">
        <v>21.6</v>
      </c>
      <c r="AT67" s="176">
        <v>21.66</v>
      </c>
      <c r="AU67" s="176">
        <v>21.685000000000002</v>
      </c>
      <c r="AV67" s="176">
        <v>21.69</v>
      </c>
      <c r="AW67" s="173">
        <f t="shared" ca="1" si="7"/>
        <v>33</v>
      </c>
      <c r="AX67" s="142">
        <v>460</v>
      </c>
      <c r="AZ67" s="142" t="s">
        <v>123</v>
      </c>
    </row>
    <row r="68" spans="2:52" s="142" customFormat="1" ht="21" customHeight="1" x14ac:dyDescent="0.25">
      <c r="B68" s="173" t="str">
        <f t="shared" ref="B68:B115" si="9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0-316L/2B-2.00X775</v>
      </c>
      <c r="C68" s="201" t="s">
        <v>4595</v>
      </c>
      <c r="D68" s="173" t="s">
        <v>4432</v>
      </c>
      <c r="E68" s="190" t="s">
        <v>3835</v>
      </c>
      <c r="F68" s="201" t="s">
        <v>4602</v>
      </c>
      <c r="G68" s="173" t="s">
        <v>135</v>
      </c>
      <c r="H68" s="173" t="s">
        <v>114</v>
      </c>
      <c r="I68" s="174">
        <v>3.93</v>
      </c>
      <c r="J68" s="174">
        <v>2</v>
      </c>
      <c r="K68" s="203">
        <v>1.97</v>
      </c>
      <c r="L68" s="203">
        <v>2</v>
      </c>
      <c r="M68" s="191">
        <v>775</v>
      </c>
      <c r="N68" s="176">
        <v>10.66</v>
      </c>
      <c r="O68" s="176">
        <f>4.485+6.14</f>
        <v>10.625</v>
      </c>
      <c r="P68" s="176"/>
      <c r="Q68" s="176">
        <v>3.5000000000000003E-2</v>
      </c>
      <c r="R68" s="176" t="s">
        <v>114</v>
      </c>
      <c r="S68" s="209" t="s">
        <v>4588</v>
      </c>
      <c r="T68" s="178" t="s">
        <v>761</v>
      </c>
      <c r="U68" s="178"/>
      <c r="V68" s="179"/>
      <c r="W68" s="177">
        <v>44925</v>
      </c>
      <c r="X68" s="177"/>
      <c r="Y68" s="177">
        <v>44926</v>
      </c>
      <c r="Z68" s="177"/>
      <c r="AA68" s="177"/>
      <c r="AB68" s="177"/>
      <c r="AC68" s="177"/>
      <c r="AD68" s="177">
        <v>44909</v>
      </c>
      <c r="AE68" s="177"/>
      <c r="AF68" s="177"/>
      <c r="AG68" s="180" t="s">
        <v>2374</v>
      </c>
      <c r="AH68" s="173" t="s">
        <v>69</v>
      </c>
      <c r="AI68" s="181" t="s">
        <v>142</v>
      </c>
      <c r="AJ68" s="181" t="s">
        <v>1887</v>
      </c>
      <c r="AK68" s="181"/>
      <c r="AL68" s="181">
        <v>44880</v>
      </c>
      <c r="AM68" s="181"/>
      <c r="AN68" s="181">
        <f t="shared" ref="AN68:AN124" ca="1" si="10">TODAY()</f>
        <v>44958</v>
      </c>
      <c r="AO68" s="173">
        <f t="shared" ca="1" si="8"/>
        <v>78</v>
      </c>
      <c r="AP68" s="173" t="str">
        <f t="shared" si="6"/>
        <v/>
      </c>
      <c r="AQ68" s="181"/>
      <c r="AR68" s="190" t="s">
        <v>3837</v>
      </c>
      <c r="AS68" s="176">
        <v>21.295000000000002</v>
      </c>
      <c r="AT68" s="176">
        <v>21.355</v>
      </c>
      <c r="AU68" s="176">
        <v>21.380000000000003</v>
      </c>
      <c r="AV68" s="176">
        <v>21.385000000000002</v>
      </c>
      <c r="AW68" s="173">
        <f t="shared" ca="1" si="7"/>
        <v>32</v>
      </c>
      <c r="AX68" s="142">
        <v>460</v>
      </c>
      <c r="AZ68" s="142" t="s">
        <v>123</v>
      </c>
    </row>
    <row r="69" spans="2:52" s="142" customFormat="1" ht="21" customHeight="1" x14ac:dyDescent="0.25">
      <c r="B69" s="173" t="str">
        <f t="shared" si="9"/>
        <v>0-316L/2B-1.50X777</v>
      </c>
      <c r="C69" s="201" t="s">
        <v>4595</v>
      </c>
      <c r="D69" s="173" t="s">
        <v>4432</v>
      </c>
      <c r="E69" s="190" t="s">
        <v>3829</v>
      </c>
      <c r="F69" s="201" t="s">
        <v>4603</v>
      </c>
      <c r="G69" s="173" t="s">
        <v>135</v>
      </c>
      <c r="H69" s="173" t="s">
        <v>114</v>
      </c>
      <c r="I69" s="174">
        <v>3.73</v>
      </c>
      <c r="J69" s="174">
        <v>1.5</v>
      </c>
      <c r="K69" s="203">
        <v>1.48</v>
      </c>
      <c r="L69" s="203">
        <v>1.51</v>
      </c>
      <c r="M69" s="191">
        <v>777</v>
      </c>
      <c r="N69" s="176">
        <v>10.824999999999999</v>
      </c>
      <c r="O69" s="176">
        <f>5.44+5.36</f>
        <v>10.8</v>
      </c>
      <c r="P69" s="176"/>
      <c r="Q69" s="176">
        <v>2.5000000000000001E-2</v>
      </c>
      <c r="R69" s="176" t="s">
        <v>114</v>
      </c>
      <c r="S69" s="209" t="s">
        <v>4588</v>
      </c>
      <c r="T69" s="178" t="s">
        <v>761</v>
      </c>
      <c r="U69" s="178"/>
      <c r="V69" s="179"/>
      <c r="W69" s="177">
        <v>44926</v>
      </c>
      <c r="X69" s="177"/>
      <c r="Y69" s="177">
        <v>44928</v>
      </c>
      <c r="Z69" s="177"/>
      <c r="AA69" s="177"/>
      <c r="AB69" s="177"/>
      <c r="AC69" s="177"/>
      <c r="AD69" s="177">
        <v>44910</v>
      </c>
      <c r="AE69" s="177"/>
      <c r="AF69" s="177"/>
      <c r="AG69" s="180" t="s">
        <v>2374</v>
      </c>
      <c r="AH69" s="173" t="s">
        <v>69</v>
      </c>
      <c r="AI69" s="181" t="s">
        <v>142</v>
      </c>
      <c r="AJ69" s="181" t="s">
        <v>1887</v>
      </c>
      <c r="AK69" s="181"/>
      <c r="AL69" s="181">
        <v>44880</v>
      </c>
      <c r="AM69" s="181"/>
      <c r="AN69" s="181">
        <f t="shared" ca="1" si="10"/>
        <v>44958</v>
      </c>
      <c r="AO69" s="173">
        <f t="shared" ca="1" si="8"/>
        <v>78</v>
      </c>
      <c r="AP69" s="173" t="str">
        <f t="shared" si="6"/>
        <v/>
      </c>
      <c r="AQ69" s="181"/>
      <c r="AR69" s="190" t="s">
        <v>3831</v>
      </c>
      <c r="AS69" s="176">
        <v>21.63</v>
      </c>
      <c r="AT69" s="176">
        <v>21.689999999999998</v>
      </c>
      <c r="AU69" s="176">
        <v>21.715</v>
      </c>
      <c r="AV69" s="176">
        <v>21.72</v>
      </c>
      <c r="AW69" s="173">
        <f t="shared" ca="1" si="7"/>
        <v>30</v>
      </c>
      <c r="AX69" s="142">
        <v>460</v>
      </c>
      <c r="AZ69" s="142" t="s">
        <v>123</v>
      </c>
    </row>
    <row r="70" spans="2:52" s="142" customFormat="1" ht="21" customHeight="1" x14ac:dyDescent="0.25">
      <c r="B70" s="173" t="str">
        <f t="shared" si="9"/>
        <v>0-316L/2B-2.00X777</v>
      </c>
      <c r="C70" s="201" t="s">
        <v>4595</v>
      </c>
      <c r="D70" s="173" t="s">
        <v>4432</v>
      </c>
      <c r="E70" s="190" t="s">
        <v>3839</v>
      </c>
      <c r="F70" s="201" t="s">
        <v>4604</v>
      </c>
      <c r="G70" s="173" t="s">
        <v>135</v>
      </c>
      <c r="H70" s="173" t="s">
        <v>114</v>
      </c>
      <c r="I70" s="174">
        <v>3.92</v>
      </c>
      <c r="J70" s="174">
        <v>2</v>
      </c>
      <c r="K70" s="203">
        <v>1.99</v>
      </c>
      <c r="L70" s="203">
        <v>2.02</v>
      </c>
      <c r="M70" s="191">
        <v>777</v>
      </c>
      <c r="N70" s="176">
        <v>10.81</v>
      </c>
      <c r="O70" s="176">
        <f>4.485+6.18</f>
        <v>10.664999999999999</v>
      </c>
      <c r="P70" s="176">
        <v>7.0000000000000007E-2</v>
      </c>
      <c r="Q70" s="176">
        <v>0.06</v>
      </c>
      <c r="R70" s="176" t="s">
        <v>114</v>
      </c>
      <c r="S70" s="209" t="s">
        <v>4588</v>
      </c>
      <c r="T70" s="178" t="s">
        <v>761</v>
      </c>
      <c r="U70" s="178"/>
      <c r="V70" s="179"/>
      <c r="W70" s="177">
        <v>44926</v>
      </c>
      <c r="X70" s="177"/>
      <c r="Y70" s="177">
        <v>44928</v>
      </c>
      <c r="Z70" s="177"/>
      <c r="AA70" s="177"/>
      <c r="AB70" s="177"/>
      <c r="AC70" s="177"/>
      <c r="AD70" s="177">
        <v>44911</v>
      </c>
      <c r="AE70" s="177"/>
      <c r="AF70" s="177"/>
      <c r="AG70" s="180" t="s">
        <v>2374</v>
      </c>
      <c r="AH70" s="173" t="s">
        <v>69</v>
      </c>
      <c r="AI70" s="181" t="s">
        <v>142</v>
      </c>
      <c r="AJ70" s="181" t="s">
        <v>1887</v>
      </c>
      <c r="AK70" s="181"/>
      <c r="AL70" s="181">
        <v>44880</v>
      </c>
      <c r="AM70" s="181"/>
      <c r="AN70" s="181">
        <f t="shared" ca="1" si="10"/>
        <v>44958</v>
      </c>
      <c r="AO70" s="173">
        <f t="shared" ca="1" si="8"/>
        <v>78</v>
      </c>
      <c r="AP70" s="173" t="str">
        <f t="shared" si="6"/>
        <v/>
      </c>
      <c r="AQ70" s="181"/>
      <c r="AR70" s="190" t="s">
        <v>3841</v>
      </c>
      <c r="AS70" s="176">
        <v>21.62</v>
      </c>
      <c r="AT70" s="176">
        <v>21.68</v>
      </c>
      <c r="AU70" s="176">
        <v>21.705000000000002</v>
      </c>
      <c r="AV70" s="176">
        <v>21.71</v>
      </c>
      <c r="AW70" s="173">
        <f t="shared" ca="1" si="7"/>
        <v>30</v>
      </c>
      <c r="AX70" s="142">
        <v>460</v>
      </c>
      <c r="AZ70" s="142" t="s">
        <v>123</v>
      </c>
    </row>
    <row r="71" spans="2:52" s="142" customFormat="1" ht="21" customHeight="1" x14ac:dyDescent="0.25">
      <c r="B71" s="173" t="str">
        <f t="shared" si="9"/>
        <v>0-316L/2B-1.50X777</v>
      </c>
      <c r="C71" s="201" t="s">
        <v>4595</v>
      </c>
      <c r="D71" s="173" t="s">
        <v>4432</v>
      </c>
      <c r="E71" s="190" t="s">
        <v>3839</v>
      </c>
      <c r="F71" s="201" t="s">
        <v>4605</v>
      </c>
      <c r="G71" s="173" t="s">
        <v>135</v>
      </c>
      <c r="H71" s="173" t="s">
        <v>114</v>
      </c>
      <c r="I71" s="174">
        <v>3.92</v>
      </c>
      <c r="J71" s="174">
        <v>1.5</v>
      </c>
      <c r="K71" s="203">
        <v>1.48</v>
      </c>
      <c r="L71" s="203">
        <v>1.52</v>
      </c>
      <c r="M71" s="191">
        <v>777</v>
      </c>
      <c r="N71" s="176">
        <v>10.82</v>
      </c>
      <c r="O71" s="176">
        <f>4.76+6.035</f>
        <v>10.795</v>
      </c>
      <c r="P71" s="176"/>
      <c r="Q71" s="176">
        <v>2.5000000000000001E-2</v>
      </c>
      <c r="R71" s="176" t="s">
        <v>114</v>
      </c>
      <c r="S71" s="209" t="s">
        <v>4588</v>
      </c>
      <c r="T71" s="178" t="s">
        <v>761</v>
      </c>
      <c r="U71" s="178"/>
      <c r="V71" s="179"/>
      <c r="W71" s="177">
        <v>44928</v>
      </c>
      <c r="X71" s="177"/>
      <c r="Y71" s="177">
        <v>44928</v>
      </c>
      <c r="Z71" s="177"/>
      <c r="AA71" s="177"/>
      <c r="AB71" s="177"/>
      <c r="AC71" s="177"/>
      <c r="AD71" s="177">
        <v>44911</v>
      </c>
      <c r="AE71" s="177"/>
      <c r="AF71" s="177"/>
      <c r="AG71" s="180" t="s">
        <v>2374</v>
      </c>
      <c r="AH71" s="173" t="s">
        <v>69</v>
      </c>
      <c r="AI71" s="181" t="s">
        <v>142</v>
      </c>
      <c r="AJ71" s="181" t="s">
        <v>1887</v>
      </c>
      <c r="AK71" s="181"/>
      <c r="AL71" s="181">
        <v>44880</v>
      </c>
      <c r="AM71" s="181"/>
      <c r="AN71" s="181">
        <f t="shared" ca="1" si="10"/>
        <v>44958</v>
      </c>
      <c r="AO71" s="173">
        <f t="shared" ca="1" si="8"/>
        <v>78</v>
      </c>
      <c r="AP71" s="173" t="str">
        <f t="shared" si="6"/>
        <v/>
      </c>
      <c r="AQ71" s="181"/>
      <c r="AR71" s="190" t="s">
        <v>3841</v>
      </c>
      <c r="AS71" s="176">
        <v>21.62</v>
      </c>
      <c r="AT71" s="176">
        <v>21.68</v>
      </c>
      <c r="AU71" s="176">
        <v>21.705000000000002</v>
      </c>
      <c r="AV71" s="176">
        <v>21.71</v>
      </c>
      <c r="AW71" s="173">
        <f t="shared" ca="1" si="7"/>
        <v>30</v>
      </c>
      <c r="AX71" s="142">
        <v>460</v>
      </c>
      <c r="AZ71" s="142" t="s">
        <v>123</v>
      </c>
    </row>
    <row r="72" spans="2:52" s="142" customFormat="1" ht="21" customHeight="1" x14ac:dyDescent="0.25">
      <c r="B72" s="173" t="str">
        <f t="shared" si="9"/>
        <v>0-316L/2B-2.00X776</v>
      </c>
      <c r="C72" s="201" t="s">
        <v>4595</v>
      </c>
      <c r="D72" s="173" t="s">
        <v>4432</v>
      </c>
      <c r="E72" s="190" t="s">
        <v>3826</v>
      </c>
      <c r="F72" s="201" t="s">
        <v>4606</v>
      </c>
      <c r="G72" s="173" t="s">
        <v>135</v>
      </c>
      <c r="H72" s="173" t="s">
        <v>114</v>
      </c>
      <c r="I72" s="174">
        <v>3.94</v>
      </c>
      <c r="J72" s="174">
        <v>2</v>
      </c>
      <c r="K72" s="203">
        <v>1.99</v>
      </c>
      <c r="L72" s="203">
        <v>2.02</v>
      </c>
      <c r="M72" s="191">
        <v>776</v>
      </c>
      <c r="N72" s="176">
        <v>10.78</v>
      </c>
      <c r="O72" s="176">
        <f>4.545+6.17</f>
        <v>10.715</v>
      </c>
      <c r="P72" s="176"/>
      <c r="Q72" s="176">
        <v>6.5000000000000002E-2</v>
      </c>
      <c r="R72" s="176" t="s">
        <v>114</v>
      </c>
      <c r="S72" s="209" t="s">
        <v>4588</v>
      </c>
      <c r="T72" s="178" t="s">
        <v>761</v>
      </c>
      <c r="U72" s="178"/>
      <c r="V72" s="179"/>
      <c r="W72" s="177">
        <v>44926</v>
      </c>
      <c r="X72" s="177"/>
      <c r="Y72" s="177">
        <v>44926</v>
      </c>
      <c r="Z72" s="177"/>
      <c r="AA72" s="177"/>
      <c r="AB72" s="177"/>
      <c r="AC72" s="177"/>
      <c r="AD72" s="177">
        <v>44910</v>
      </c>
      <c r="AE72" s="177"/>
      <c r="AF72" s="177"/>
      <c r="AG72" s="180" t="s">
        <v>2374</v>
      </c>
      <c r="AH72" s="173" t="s">
        <v>69</v>
      </c>
      <c r="AI72" s="181" t="s">
        <v>142</v>
      </c>
      <c r="AJ72" s="181" t="s">
        <v>1887</v>
      </c>
      <c r="AK72" s="181"/>
      <c r="AL72" s="181">
        <v>44880</v>
      </c>
      <c r="AM72" s="181"/>
      <c r="AN72" s="181">
        <f t="shared" ca="1" si="10"/>
        <v>44958</v>
      </c>
      <c r="AO72" s="173">
        <f t="shared" ca="1" si="8"/>
        <v>78</v>
      </c>
      <c r="AP72" s="173" t="str">
        <f t="shared" si="6"/>
        <v/>
      </c>
      <c r="AQ72" s="181"/>
      <c r="AR72" s="190" t="s">
        <v>3828</v>
      </c>
      <c r="AS72" s="176">
        <v>21.56</v>
      </c>
      <c r="AT72" s="176">
        <v>21.619999999999997</v>
      </c>
      <c r="AU72" s="176">
        <v>21.645</v>
      </c>
      <c r="AV72" s="176">
        <v>21.65</v>
      </c>
      <c r="AW72" s="173">
        <f t="shared" ca="1" si="7"/>
        <v>32</v>
      </c>
      <c r="AX72" s="142">
        <v>460</v>
      </c>
      <c r="AZ72" s="142" t="s">
        <v>123</v>
      </c>
    </row>
    <row r="73" spans="2:52" s="142" customFormat="1" ht="21" customHeight="1" x14ac:dyDescent="0.25">
      <c r="B73" s="173" t="str">
        <f t="shared" si="9"/>
        <v>0-316L/2B-1.50X777</v>
      </c>
      <c r="C73" s="201" t="s">
        <v>4595</v>
      </c>
      <c r="D73" s="173" t="s">
        <v>4432</v>
      </c>
      <c r="E73" s="190" t="s">
        <v>4607</v>
      </c>
      <c r="F73" s="201" t="s">
        <v>4608</v>
      </c>
      <c r="G73" s="173" t="s">
        <v>135</v>
      </c>
      <c r="H73" s="173" t="s">
        <v>114</v>
      </c>
      <c r="I73" s="174">
        <v>3.75</v>
      </c>
      <c r="J73" s="174">
        <v>1.5</v>
      </c>
      <c r="K73" s="203">
        <v>1.51</v>
      </c>
      <c r="L73" s="203">
        <v>1.52</v>
      </c>
      <c r="M73" s="191">
        <v>777</v>
      </c>
      <c r="N73" s="176">
        <v>10.795</v>
      </c>
      <c r="O73" s="176">
        <f>6.225+4.54</f>
        <v>10.765000000000001</v>
      </c>
      <c r="P73" s="176"/>
      <c r="Q73" s="176">
        <v>0.03</v>
      </c>
      <c r="R73" s="176" t="s">
        <v>114</v>
      </c>
      <c r="S73" s="209" t="s">
        <v>4588</v>
      </c>
      <c r="T73" s="178" t="s">
        <v>761</v>
      </c>
      <c r="U73" s="178"/>
      <c r="V73" s="179"/>
      <c r="W73" s="177">
        <v>44926</v>
      </c>
      <c r="X73" s="177"/>
      <c r="Y73" s="177">
        <v>44926</v>
      </c>
      <c r="Z73" s="177"/>
      <c r="AA73" s="177"/>
      <c r="AB73" s="177"/>
      <c r="AC73" s="177"/>
      <c r="AD73" s="177">
        <v>44911</v>
      </c>
      <c r="AE73" s="177"/>
      <c r="AF73" s="177"/>
      <c r="AG73" s="180" t="s">
        <v>2374</v>
      </c>
      <c r="AH73" s="173" t="s">
        <v>69</v>
      </c>
      <c r="AI73" s="181" t="s">
        <v>142</v>
      </c>
      <c r="AJ73" s="181" t="s">
        <v>1887</v>
      </c>
      <c r="AK73" s="181"/>
      <c r="AL73" s="181">
        <v>44880</v>
      </c>
      <c r="AM73" s="181"/>
      <c r="AN73" s="181">
        <f t="shared" ca="1" si="10"/>
        <v>44958</v>
      </c>
      <c r="AO73" s="173">
        <f t="shared" ca="1" si="8"/>
        <v>78</v>
      </c>
      <c r="AP73" s="173" t="str">
        <f t="shared" si="6"/>
        <v/>
      </c>
      <c r="AQ73" s="181"/>
      <c r="AR73" s="190" t="s">
        <v>4609</v>
      </c>
      <c r="AS73" s="176">
        <v>21.614999999999998</v>
      </c>
      <c r="AT73" s="176">
        <v>21.674999999999997</v>
      </c>
      <c r="AU73" s="176">
        <v>21.7</v>
      </c>
      <c r="AV73" s="176">
        <v>21.704999999999998</v>
      </c>
      <c r="AW73" s="173">
        <f t="shared" ca="1" si="7"/>
        <v>32</v>
      </c>
      <c r="AX73" s="142">
        <v>460</v>
      </c>
      <c r="AZ73" s="142" t="s">
        <v>123</v>
      </c>
    </row>
    <row r="74" spans="2:52" s="142" customFormat="1" ht="21" customHeight="1" x14ac:dyDescent="0.25">
      <c r="B74" s="173" t="str">
        <f t="shared" si="9"/>
        <v>0-316L/2B-2.00X775</v>
      </c>
      <c r="C74" s="201" t="s">
        <v>4610</v>
      </c>
      <c r="D74" s="173" t="s">
        <v>836</v>
      </c>
      <c r="E74" s="190" t="s">
        <v>3851</v>
      </c>
      <c r="F74" s="201" t="s">
        <v>4611</v>
      </c>
      <c r="G74" s="173" t="s">
        <v>135</v>
      </c>
      <c r="H74" s="173" t="s">
        <v>114</v>
      </c>
      <c r="I74" s="174">
        <v>3.92</v>
      </c>
      <c r="J74" s="174">
        <v>2</v>
      </c>
      <c r="K74" s="203">
        <v>2</v>
      </c>
      <c r="L74" s="203">
        <v>2.0299999999999998</v>
      </c>
      <c r="M74" s="191">
        <v>775</v>
      </c>
      <c r="N74" s="176">
        <v>10.8</v>
      </c>
      <c r="O74" s="176">
        <v>10.79</v>
      </c>
      <c r="P74" s="176"/>
      <c r="Q74" s="176">
        <v>0.01</v>
      </c>
      <c r="R74" s="176" t="s">
        <v>114</v>
      </c>
      <c r="S74" s="209"/>
      <c r="T74" s="178" t="s">
        <v>761</v>
      </c>
      <c r="U74" s="178"/>
      <c r="V74" s="179"/>
      <c r="W74" s="177">
        <v>44925</v>
      </c>
      <c r="X74" s="177"/>
      <c r="Y74" s="177">
        <v>44926</v>
      </c>
      <c r="Z74" s="177"/>
      <c r="AA74" s="177">
        <v>44934</v>
      </c>
      <c r="AB74" s="177"/>
      <c r="AC74" s="177"/>
      <c r="AD74" s="177">
        <v>44909</v>
      </c>
      <c r="AE74" s="177"/>
      <c r="AF74" s="177"/>
      <c r="AG74" s="180" t="s">
        <v>2374</v>
      </c>
      <c r="AH74" s="173" t="s">
        <v>69</v>
      </c>
      <c r="AI74" s="181" t="s">
        <v>142</v>
      </c>
      <c r="AJ74" s="181" t="s">
        <v>1887</v>
      </c>
      <c r="AK74" s="181"/>
      <c r="AL74" s="181">
        <v>44880</v>
      </c>
      <c r="AM74" s="181"/>
      <c r="AN74" s="181">
        <f t="shared" ca="1" si="10"/>
        <v>44958</v>
      </c>
      <c r="AO74" s="173">
        <f t="shared" ca="1" si="8"/>
        <v>78</v>
      </c>
      <c r="AP74" s="173">
        <f t="shared" ca="1" si="6"/>
        <v>24</v>
      </c>
      <c r="AQ74" s="181"/>
      <c r="AR74" s="190" t="s">
        <v>3853</v>
      </c>
      <c r="AS74" s="176">
        <v>21.605</v>
      </c>
      <c r="AT74" s="176">
        <v>21.664999999999999</v>
      </c>
      <c r="AU74" s="176">
        <v>21.69</v>
      </c>
      <c r="AV74" s="176">
        <v>21.695</v>
      </c>
      <c r="AW74" s="173">
        <f t="shared" ca="1" si="7"/>
        <v>32</v>
      </c>
      <c r="AX74" s="142">
        <v>460</v>
      </c>
      <c r="AZ74" s="142" t="s">
        <v>123</v>
      </c>
    </row>
    <row r="75" spans="2:52" s="142" customFormat="1" ht="21" customHeight="1" x14ac:dyDescent="0.25">
      <c r="B75" s="173" t="str">
        <f t="shared" si="9"/>
        <v>0-316L/2B-1.50X777</v>
      </c>
      <c r="C75" s="201" t="s">
        <v>4612</v>
      </c>
      <c r="D75" s="173" t="s">
        <v>4432</v>
      </c>
      <c r="E75" s="190" t="s">
        <v>3829</v>
      </c>
      <c r="F75" s="201" t="s">
        <v>4613</v>
      </c>
      <c r="G75" s="173" t="s">
        <v>135</v>
      </c>
      <c r="H75" s="173" t="s">
        <v>114</v>
      </c>
      <c r="I75" s="174">
        <v>3.73</v>
      </c>
      <c r="J75" s="174">
        <v>1.5</v>
      </c>
      <c r="K75" s="203">
        <v>1.5</v>
      </c>
      <c r="L75" s="203">
        <v>1.53</v>
      </c>
      <c r="M75" s="191">
        <v>777</v>
      </c>
      <c r="N75" s="349">
        <v>10.824999999999999</v>
      </c>
      <c r="O75" s="176">
        <v>5.0449999999999999</v>
      </c>
      <c r="P75" s="176"/>
      <c r="Q75" s="176"/>
      <c r="R75" s="176" t="s">
        <v>114</v>
      </c>
      <c r="S75" s="209" t="s">
        <v>4588</v>
      </c>
      <c r="T75" s="178" t="s">
        <v>761</v>
      </c>
      <c r="U75" s="178"/>
      <c r="V75" s="179"/>
      <c r="W75" s="177">
        <v>44926</v>
      </c>
      <c r="X75" s="177"/>
      <c r="Y75" s="177">
        <v>44926</v>
      </c>
      <c r="Z75" s="177"/>
      <c r="AA75" s="177"/>
      <c r="AB75" s="177"/>
      <c r="AC75" s="177"/>
      <c r="AD75" s="177">
        <v>44910</v>
      </c>
      <c r="AE75" s="177"/>
      <c r="AF75" s="177"/>
      <c r="AG75" s="180" t="s">
        <v>2374</v>
      </c>
      <c r="AH75" s="173" t="s">
        <v>69</v>
      </c>
      <c r="AI75" s="181" t="s">
        <v>142</v>
      </c>
      <c r="AJ75" s="181" t="s">
        <v>1887</v>
      </c>
      <c r="AK75" s="181"/>
      <c r="AL75" s="181">
        <v>44880</v>
      </c>
      <c r="AM75" s="181"/>
      <c r="AN75" s="181">
        <f t="shared" ca="1" si="10"/>
        <v>44958</v>
      </c>
      <c r="AO75" s="173">
        <f t="shared" ca="1" si="8"/>
        <v>78</v>
      </c>
      <c r="AP75" s="173" t="str">
        <f t="shared" ref="AP75:AP115" si="11">IF(ISNUMBER(AA75)=TRUE,AN75-AA75,IF(AA75="","",(AN75)-(MID(RIGHT(AA75,10),4,2)&amp;"/"&amp;LEFT((RIGHT(AA75,10)),2)&amp;"/"&amp;RIGHT(AA75,4))))</f>
        <v/>
      </c>
      <c r="AQ75" s="181"/>
      <c r="AR75" s="190" t="s">
        <v>3831</v>
      </c>
      <c r="AS75" s="176">
        <v>21.63</v>
      </c>
      <c r="AT75" s="176">
        <v>21.689999999999998</v>
      </c>
      <c r="AU75" s="176">
        <v>21.715</v>
      </c>
      <c r="AV75" s="176">
        <v>21.72</v>
      </c>
      <c r="AW75" s="173">
        <f t="shared" ca="1" si="7"/>
        <v>32</v>
      </c>
      <c r="AX75" s="142">
        <v>460</v>
      </c>
      <c r="AZ75" s="142" t="s">
        <v>123</v>
      </c>
    </row>
    <row r="76" spans="2:52" s="142" customFormat="1" ht="21" customHeight="1" x14ac:dyDescent="0.25">
      <c r="B76" s="173" t="str">
        <f t="shared" si="9"/>
        <v>0-316L/2B-1.50X777</v>
      </c>
      <c r="C76" s="201" t="s">
        <v>4610</v>
      </c>
      <c r="D76" s="173" t="s">
        <v>836</v>
      </c>
      <c r="E76" s="190" t="s">
        <v>3829</v>
      </c>
      <c r="F76" s="201" t="s">
        <v>4614</v>
      </c>
      <c r="G76" s="173" t="s">
        <v>135</v>
      </c>
      <c r="H76" s="173" t="s">
        <v>114</v>
      </c>
      <c r="I76" s="174">
        <v>3.73</v>
      </c>
      <c r="J76" s="174">
        <v>1.5</v>
      </c>
      <c r="K76" s="203">
        <v>1.5</v>
      </c>
      <c r="L76" s="203">
        <v>1.53</v>
      </c>
      <c r="M76" s="191">
        <v>777</v>
      </c>
      <c r="N76" s="350"/>
      <c r="O76" s="176">
        <v>5.75</v>
      </c>
      <c r="P76" s="176"/>
      <c r="Q76" s="176">
        <v>0.03</v>
      </c>
      <c r="R76" s="176" t="s">
        <v>114</v>
      </c>
      <c r="S76" s="209"/>
      <c r="T76" s="178" t="s">
        <v>761</v>
      </c>
      <c r="U76" s="178"/>
      <c r="V76" s="179"/>
      <c r="W76" s="177">
        <v>44926</v>
      </c>
      <c r="X76" s="177"/>
      <c r="Y76" s="177">
        <v>44926</v>
      </c>
      <c r="Z76" s="177"/>
      <c r="AA76" s="177">
        <v>44934</v>
      </c>
      <c r="AB76" s="177"/>
      <c r="AC76" s="177"/>
      <c r="AD76" s="177">
        <v>44910</v>
      </c>
      <c r="AE76" s="177"/>
      <c r="AF76" s="177"/>
      <c r="AG76" s="180" t="s">
        <v>2374</v>
      </c>
      <c r="AH76" s="173" t="s">
        <v>69</v>
      </c>
      <c r="AI76" s="181" t="s">
        <v>142</v>
      </c>
      <c r="AJ76" s="181" t="s">
        <v>1887</v>
      </c>
      <c r="AK76" s="181"/>
      <c r="AL76" s="181">
        <v>44880</v>
      </c>
      <c r="AM76" s="181"/>
      <c r="AN76" s="181">
        <f t="shared" ca="1" si="10"/>
        <v>44958</v>
      </c>
      <c r="AO76" s="173">
        <f t="shared" ca="1" si="8"/>
        <v>78</v>
      </c>
      <c r="AP76" s="173">
        <f t="shared" ca="1" si="11"/>
        <v>24</v>
      </c>
      <c r="AQ76" s="181"/>
      <c r="AR76" s="190" t="s">
        <v>3831</v>
      </c>
      <c r="AS76" s="176">
        <v>21.63</v>
      </c>
      <c r="AT76" s="176">
        <v>21.689999999999998</v>
      </c>
      <c r="AU76" s="176">
        <v>21.715</v>
      </c>
      <c r="AV76" s="176">
        <v>21.72</v>
      </c>
      <c r="AW76" s="173">
        <f t="shared" ref="AW76:AW139" ca="1" si="12">IF(ISNUMBER(Y76)=TRUE,AN76-Y76,IF(Y76="","",(AN76)-(MID(RIGHT(Y76,10),4,2)&amp;"/"&amp;LEFT((RIGHT(Y76,10)),2)&amp;"/"&amp;RIGHT(Y76,4))))</f>
        <v>32</v>
      </c>
      <c r="AX76" s="142">
        <v>460</v>
      </c>
      <c r="AZ76" s="142" t="s">
        <v>123</v>
      </c>
    </row>
    <row r="77" spans="2:52" s="142" customFormat="1" ht="21" customHeight="1" x14ac:dyDescent="0.25">
      <c r="B77" s="173" t="str">
        <f t="shared" si="9"/>
        <v>0-316L/2B-2.00X777</v>
      </c>
      <c r="C77" s="201" t="s">
        <v>4610</v>
      </c>
      <c r="D77" s="173" t="s">
        <v>836</v>
      </c>
      <c r="E77" s="190" t="s">
        <v>3851</v>
      </c>
      <c r="F77" s="201" t="s">
        <v>3852</v>
      </c>
      <c r="G77" s="173" t="s">
        <v>135</v>
      </c>
      <c r="H77" s="173" t="s">
        <v>114</v>
      </c>
      <c r="I77" s="174">
        <v>3.92</v>
      </c>
      <c r="J77" s="174">
        <v>2</v>
      </c>
      <c r="K77" s="203">
        <v>1.98</v>
      </c>
      <c r="L77" s="203">
        <v>2</v>
      </c>
      <c r="M77" s="191">
        <v>777</v>
      </c>
      <c r="N77" s="176">
        <v>10.815</v>
      </c>
      <c r="O77" s="176">
        <v>10.79</v>
      </c>
      <c r="P77" s="176"/>
      <c r="Q77" s="176">
        <v>2.5000000000000001E-2</v>
      </c>
      <c r="R77" s="176" t="s">
        <v>114</v>
      </c>
      <c r="S77" s="209"/>
      <c r="T77" s="178" t="s">
        <v>761</v>
      </c>
      <c r="U77" s="178"/>
      <c r="V77" s="179"/>
      <c r="W77" s="177">
        <v>44928</v>
      </c>
      <c r="X77" s="177"/>
      <c r="Y77" s="177">
        <v>44929</v>
      </c>
      <c r="Z77" s="177"/>
      <c r="AA77" s="177">
        <v>44934</v>
      </c>
      <c r="AB77" s="177"/>
      <c r="AC77" s="177"/>
      <c r="AD77" s="177">
        <v>44909</v>
      </c>
      <c r="AE77" s="177"/>
      <c r="AF77" s="177"/>
      <c r="AG77" s="180" t="s">
        <v>2374</v>
      </c>
      <c r="AH77" s="173" t="s">
        <v>69</v>
      </c>
      <c r="AI77" s="181" t="s">
        <v>142</v>
      </c>
      <c r="AJ77" s="181" t="s">
        <v>1887</v>
      </c>
      <c r="AK77" s="181"/>
      <c r="AL77" s="181">
        <v>44880</v>
      </c>
      <c r="AM77" s="181"/>
      <c r="AN77" s="181">
        <f t="shared" ca="1" si="10"/>
        <v>44958</v>
      </c>
      <c r="AO77" s="173">
        <f t="shared" ca="1" si="8"/>
        <v>78</v>
      </c>
      <c r="AP77" s="173">
        <f t="shared" ca="1" si="11"/>
        <v>24</v>
      </c>
      <c r="AQ77" s="181"/>
      <c r="AR77" s="190" t="s">
        <v>3853</v>
      </c>
      <c r="AS77" s="176">
        <v>21.605</v>
      </c>
      <c r="AT77" s="176">
        <v>21.664999999999999</v>
      </c>
      <c r="AU77" s="176">
        <v>21.69</v>
      </c>
      <c r="AV77" s="176">
        <v>21.695</v>
      </c>
      <c r="AW77" s="173">
        <f t="shared" ca="1" si="12"/>
        <v>29</v>
      </c>
      <c r="AX77" s="142">
        <v>460</v>
      </c>
      <c r="AZ77" s="142" t="s">
        <v>123</v>
      </c>
    </row>
    <row r="78" spans="2:52" s="142" customFormat="1" ht="21" customHeight="1" x14ac:dyDescent="0.25">
      <c r="B78" s="173" t="str">
        <f t="shared" si="9"/>
        <v>0-316L/2B-1.50X777</v>
      </c>
      <c r="C78" s="201" t="s">
        <v>4610</v>
      </c>
      <c r="D78" s="173" t="s">
        <v>836</v>
      </c>
      <c r="E78" s="190" t="s">
        <v>4599</v>
      </c>
      <c r="F78" s="201" t="s">
        <v>4615</v>
      </c>
      <c r="G78" s="173" t="s">
        <v>135</v>
      </c>
      <c r="H78" s="173" t="s">
        <v>114</v>
      </c>
      <c r="I78" s="174">
        <v>3.92</v>
      </c>
      <c r="J78" s="174">
        <v>1.5</v>
      </c>
      <c r="K78" s="203">
        <v>1.5</v>
      </c>
      <c r="L78" s="203">
        <v>1.53</v>
      </c>
      <c r="M78" s="191">
        <v>777</v>
      </c>
      <c r="N78" s="176">
        <v>10.79</v>
      </c>
      <c r="O78" s="176">
        <v>10.785</v>
      </c>
      <c r="P78" s="176"/>
      <c r="Q78" s="176">
        <v>5.0000000000000001E-3</v>
      </c>
      <c r="R78" s="176" t="s">
        <v>114</v>
      </c>
      <c r="S78" s="209"/>
      <c r="T78" s="178" t="s">
        <v>761</v>
      </c>
      <c r="U78" s="178"/>
      <c r="V78" s="179"/>
      <c r="W78" s="177">
        <v>44925</v>
      </c>
      <c r="X78" s="177"/>
      <c r="Y78" s="177">
        <v>44925</v>
      </c>
      <c r="Z78" s="177"/>
      <c r="AA78" s="177">
        <v>44934</v>
      </c>
      <c r="AB78" s="177"/>
      <c r="AC78" s="177"/>
      <c r="AD78" s="177">
        <v>44909</v>
      </c>
      <c r="AE78" s="177"/>
      <c r="AF78" s="177"/>
      <c r="AG78" s="180" t="s">
        <v>2374</v>
      </c>
      <c r="AH78" s="173" t="s">
        <v>69</v>
      </c>
      <c r="AI78" s="181" t="s">
        <v>142</v>
      </c>
      <c r="AJ78" s="181" t="s">
        <v>1887</v>
      </c>
      <c r="AK78" s="181"/>
      <c r="AL78" s="181">
        <v>44880</v>
      </c>
      <c r="AM78" s="181"/>
      <c r="AN78" s="181">
        <f t="shared" ca="1" si="10"/>
        <v>44958</v>
      </c>
      <c r="AO78" s="173">
        <f t="shared" ca="1" si="8"/>
        <v>78</v>
      </c>
      <c r="AP78" s="173">
        <f t="shared" ca="1" si="11"/>
        <v>24</v>
      </c>
      <c r="AQ78" s="181"/>
      <c r="AR78" s="190" t="s">
        <v>4601</v>
      </c>
      <c r="AS78" s="176">
        <v>21.6</v>
      </c>
      <c r="AT78" s="176">
        <v>21.66</v>
      </c>
      <c r="AU78" s="176">
        <v>21.685000000000002</v>
      </c>
      <c r="AV78" s="176">
        <v>21.69</v>
      </c>
      <c r="AW78" s="173">
        <f t="shared" ca="1" si="12"/>
        <v>33</v>
      </c>
      <c r="AX78" s="142">
        <v>460</v>
      </c>
      <c r="AZ78" s="142" t="s">
        <v>123</v>
      </c>
    </row>
    <row r="79" spans="2:52" s="142" customFormat="1" ht="21" customHeight="1" x14ac:dyDescent="0.25">
      <c r="B79" s="173" t="str">
        <f t="shared" si="9"/>
        <v>0-316L/2B-2.00X777</v>
      </c>
      <c r="C79" s="201" t="s">
        <v>4610</v>
      </c>
      <c r="D79" s="173" t="s">
        <v>836</v>
      </c>
      <c r="E79" s="190" t="s">
        <v>3846</v>
      </c>
      <c r="F79" s="201" t="s">
        <v>4616</v>
      </c>
      <c r="G79" s="173" t="s">
        <v>135</v>
      </c>
      <c r="H79" s="173" t="s">
        <v>114</v>
      </c>
      <c r="I79" s="174">
        <v>3.94</v>
      </c>
      <c r="J79" s="174">
        <v>2</v>
      </c>
      <c r="K79" s="203">
        <v>2.02</v>
      </c>
      <c r="L79" s="203">
        <v>2.0499999999999998</v>
      </c>
      <c r="M79" s="191">
        <v>777</v>
      </c>
      <c r="N79" s="349">
        <v>10.78</v>
      </c>
      <c r="O79" s="176">
        <v>6.17</v>
      </c>
      <c r="P79" s="176"/>
      <c r="Q79" s="176"/>
      <c r="R79" s="176" t="s">
        <v>114</v>
      </c>
      <c r="S79" s="209"/>
      <c r="T79" s="178" t="s">
        <v>761</v>
      </c>
      <c r="U79" s="178"/>
      <c r="V79" s="179"/>
      <c r="W79" s="177">
        <v>44928</v>
      </c>
      <c r="X79" s="177"/>
      <c r="Y79" s="177">
        <v>44928</v>
      </c>
      <c r="Z79" s="177"/>
      <c r="AA79" s="177">
        <v>44934</v>
      </c>
      <c r="AB79" s="177"/>
      <c r="AC79" s="177">
        <v>44911</v>
      </c>
      <c r="AD79" s="177">
        <v>44911</v>
      </c>
      <c r="AE79" s="177"/>
      <c r="AF79" s="177"/>
      <c r="AG79" s="180" t="s">
        <v>2374</v>
      </c>
      <c r="AH79" s="173" t="s">
        <v>69</v>
      </c>
      <c r="AI79" s="181" t="s">
        <v>142</v>
      </c>
      <c r="AJ79" s="181" t="s">
        <v>1887</v>
      </c>
      <c r="AK79" s="181"/>
      <c r="AL79" s="181">
        <v>44880</v>
      </c>
      <c r="AM79" s="181"/>
      <c r="AN79" s="181">
        <f t="shared" ca="1" si="10"/>
        <v>44958</v>
      </c>
      <c r="AO79" s="173">
        <f t="shared" ca="1" si="8"/>
        <v>78</v>
      </c>
      <c r="AP79" s="173">
        <f t="shared" ca="1" si="11"/>
        <v>24</v>
      </c>
      <c r="AQ79" s="181"/>
      <c r="AR79" s="190" t="s">
        <v>3848</v>
      </c>
      <c r="AS79" s="176">
        <v>21.585000000000001</v>
      </c>
      <c r="AT79" s="176">
        <v>21.645</v>
      </c>
      <c r="AU79" s="176">
        <v>21.67</v>
      </c>
      <c r="AV79" s="176">
        <v>21.675000000000001</v>
      </c>
      <c r="AW79" s="173">
        <f t="shared" ca="1" si="12"/>
        <v>30</v>
      </c>
      <c r="AX79" s="142">
        <v>460</v>
      </c>
      <c r="AZ79" s="142" t="s">
        <v>123</v>
      </c>
    </row>
    <row r="80" spans="2:52" s="142" customFormat="1" ht="21" customHeight="1" x14ac:dyDescent="0.25">
      <c r="B80" s="173" t="str">
        <f t="shared" si="9"/>
        <v>0-316L/2B-2.00X777</v>
      </c>
      <c r="C80" s="201" t="s">
        <v>4612</v>
      </c>
      <c r="D80" s="173" t="s">
        <v>4432</v>
      </c>
      <c r="E80" s="190" t="s">
        <v>3846</v>
      </c>
      <c r="F80" s="201" t="s">
        <v>4617</v>
      </c>
      <c r="G80" s="173" t="s">
        <v>135</v>
      </c>
      <c r="H80" s="173" t="s">
        <v>114</v>
      </c>
      <c r="I80" s="174">
        <v>3.94</v>
      </c>
      <c r="J80" s="174">
        <v>2</v>
      </c>
      <c r="K80" s="203">
        <v>2.02</v>
      </c>
      <c r="L80" s="203">
        <v>2.0499999999999998</v>
      </c>
      <c r="M80" s="191">
        <v>777</v>
      </c>
      <c r="N80" s="350"/>
      <c r="O80" s="176">
        <v>4.55</v>
      </c>
      <c r="P80" s="176"/>
      <c r="Q80" s="176">
        <v>0.06</v>
      </c>
      <c r="R80" s="176" t="s">
        <v>114</v>
      </c>
      <c r="S80" s="209" t="s">
        <v>4588</v>
      </c>
      <c r="T80" s="178" t="s">
        <v>761</v>
      </c>
      <c r="U80" s="178"/>
      <c r="V80" s="179"/>
      <c r="W80" s="177">
        <v>44928</v>
      </c>
      <c r="X80" s="177"/>
      <c r="Y80" s="177">
        <v>44928</v>
      </c>
      <c r="Z80" s="177"/>
      <c r="AA80" s="177"/>
      <c r="AB80" s="177"/>
      <c r="AC80" s="177">
        <v>44911</v>
      </c>
      <c r="AD80" s="177">
        <v>44911</v>
      </c>
      <c r="AE80" s="177"/>
      <c r="AF80" s="177"/>
      <c r="AG80" s="180" t="s">
        <v>2374</v>
      </c>
      <c r="AH80" s="173" t="s">
        <v>69</v>
      </c>
      <c r="AI80" s="181" t="s">
        <v>142</v>
      </c>
      <c r="AJ80" s="181" t="s">
        <v>1887</v>
      </c>
      <c r="AK80" s="181"/>
      <c r="AL80" s="181">
        <v>44880</v>
      </c>
      <c r="AM80" s="181"/>
      <c r="AN80" s="181">
        <f t="shared" ca="1" si="10"/>
        <v>44958</v>
      </c>
      <c r="AO80" s="173">
        <f t="shared" ca="1" si="8"/>
        <v>78</v>
      </c>
      <c r="AP80" s="173" t="str">
        <f t="shared" si="11"/>
        <v/>
      </c>
      <c r="AQ80" s="181"/>
      <c r="AR80" s="190" t="s">
        <v>3848</v>
      </c>
      <c r="AS80" s="176">
        <v>21.585000000000001</v>
      </c>
      <c r="AT80" s="176">
        <v>21.645</v>
      </c>
      <c r="AU80" s="176">
        <v>21.67</v>
      </c>
      <c r="AV80" s="176">
        <v>21.675000000000001</v>
      </c>
      <c r="AW80" s="173">
        <f t="shared" ca="1" si="12"/>
        <v>30</v>
      </c>
      <c r="AX80" s="142">
        <v>460</v>
      </c>
      <c r="AZ80" s="142" t="s">
        <v>123</v>
      </c>
    </row>
    <row r="81" spans="2:52" s="142" customFormat="1" ht="21" customHeight="1" x14ac:dyDescent="0.25">
      <c r="B81" s="173" t="str">
        <f t="shared" si="9"/>
        <v>0-316L/2B-1.50X779</v>
      </c>
      <c r="C81" s="201" t="s">
        <v>4612</v>
      </c>
      <c r="D81" s="173" t="s">
        <v>4432</v>
      </c>
      <c r="E81" s="190" t="s">
        <v>3823</v>
      </c>
      <c r="F81" s="201" t="s">
        <v>4618</v>
      </c>
      <c r="G81" s="173" t="s">
        <v>135</v>
      </c>
      <c r="H81" s="173" t="s">
        <v>114</v>
      </c>
      <c r="I81" s="174">
        <v>3.77</v>
      </c>
      <c r="J81" s="174">
        <v>1.5</v>
      </c>
      <c r="K81" s="203">
        <v>1.48</v>
      </c>
      <c r="L81" s="203">
        <v>1.5</v>
      </c>
      <c r="M81" s="191">
        <v>779</v>
      </c>
      <c r="N81" s="176">
        <v>10.86</v>
      </c>
      <c r="O81" s="176">
        <f>4.935+5.885</f>
        <v>10.82</v>
      </c>
      <c r="P81" s="176"/>
      <c r="Q81" s="176">
        <v>0.04</v>
      </c>
      <c r="R81" s="176" t="s">
        <v>114</v>
      </c>
      <c r="S81" s="209" t="s">
        <v>4588</v>
      </c>
      <c r="T81" s="178" t="s">
        <v>761</v>
      </c>
      <c r="U81" s="178"/>
      <c r="V81" s="179"/>
      <c r="W81" s="177">
        <v>44926</v>
      </c>
      <c r="X81" s="177"/>
      <c r="Y81" s="177">
        <v>44926</v>
      </c>
      <c r="Z81" s="177"/>
      <c r="AA81" s="177"/>
      <c r="AB81" s="177"/>
      <c r="AC81" s="177"/>
      <c r="AD81" s="177">
        <v>44910</v>
      </c>
      <c r="AE81" s="177"/>
      <c r="AF81" s="177"/>
      <c r="AG81" s="180" t="s">
        <v>2374</v>
      </c>
      <c r="AH81" s="173" t="s">
        <v>69</v>
      </c>
      <c r="AI81" s="181" t="s">
        <v>142</v>
      </c>
      <c r="AJ81" s="181" t="s">
        <v>1887</v>
      </c>
      <c r="AK81" s="181"/>
      <c r="AL81" s="181">
        <v>44880</v>
      </c>
      <c r="AM81" s="181"/>
      <c r="AN81" s="181">
        <f t="shared" ca="1" si="10"/>
        <v>44958</v>
      </c>
      <c r="AO81" s="173">
        <f t="shared" ca="1" si="8"/>
        <v>78</v>
      </c>
      <c r="AP81" s="173" t="str">
        <f t="shared" si="11"/>
        <v/>
      </c>
      <c r="AQ81" s="181"/>
      <c r="AR81" s="190" t="s">
        <v>3825</v>
      </c>
      <c r="AS81" s="176">
        <v>21.65</v>
      </c>
      <c r="AT81" s="176">
        <v>21.709999999999997</v>
      </c>
      <c r="AU81" s="176">
        <v>21.734999999999999</v>
      </c>
      <c r="AV81" s="176">
        <v>21.74</v>
      </c>
      <c r="AW81" s="173">
        <f t="shared" ca="1" si="12"/>
        <v>32</v>
      </c>
      <c r="AX81" s="142">
        <v>460</v>
      </c>
      <c r="AZ81" s="142" t="s">
        <v>123</v>
      </c>
    </row>
    <row r="82" spans="2:52" s="142" customFormat="1" ht="21" customHeight="1" x14ac:dyDescent="0.25">
      <c r="B82" s="173" t="str">
        <f t="shared" si="9"/>
        <v>0-316L/2B-2.00X777</v>
      </c>
      <c r="C82" s="201" t="s">
        <v>4612</v>
      </c>
      <c r="D82" s="173" t="s">
        <v>4432</v>
      </c>
      <c r="E82" s="190" t="s">
        <v>3826</v>
      </c>
      <c r="F82" s="201" t="s">
        <v>4619</v>
      </c>
      <c r="G82" s="173" t="s">
        <v>135</v>
      </c>
      <c r="H82" s="173" t="s">
        <v>114</v>
      </c>
      <c r="I82" s="174">
        <v>3.94</v>
      </c>
      <c r="J82" s="174">
        <v>2</v>
      </c>
      <c r="K82" s="203">
        <v>1.98</v>
      </c>
      <c r="L82" s="203">
        <v>2</v>
      </c>
      <c r="M82" s="191">
        <v>777</v>
      </c>
      <c r="N82" s="349">
        <v>10.805</v>
      </c>
      <c r="O82" s="176">
        <v>5.24</v>
      </c>
      <c r="P82" s="176"/>
      <c r="Q82" s="176"/>
      <c r="R82" s="176" t="s">
        <v>114</v>
      </c>
      <c r="S82" s="209" t="s">
        <v>4588</v>
      </c>
      <c r="T82" s="178" t="s">
        <v>761</v>
      </c>
      <c r="U82" s="178"/>
      <c r="V82" s="179"/>
      <c r="W82" s="177">
        <v>44928</v>
      </c>
      <c r="X82" s="177"/>
      <c r="Y82" s="177">
        <v>44929</v>
      </c>
      <c r="Z82" s="177"/>
      <c r="AA82" s="177"/>
      <c r="AB82" s="177"/>
      <c r="AC82" s="177"/>
      <c r="AD82" s="177">
        <v>44910</v>
      </c>
      <c r="AE82" s="177"/>
      <c r="AF82" s="177"/>
      <c r="AG82" s="180" t="s">
        <v>2374</v>
      </c>
      <c r="AH82" s="173" t="s">
        <v>69</v>
      </c>
      <c r="AI82" s="181" t="s">
        <v>142</v>
      </c>
      <c r="AJ82" s="181" t="s">
        <v>1887</v>
      </c>
      <c r="AK82" s="181"/>
      <c r="AL82" s="181">
        <v>44880</v>
      </c>
      <c r="AM82" s="181"/>
      <c r="AN82" s="181">
        <f t="shared" ca="1" si="10"/>
        <v>44958</v>
      </c>
      <c r="AO82" s="173">
        <f t="shared" ca="1" si="8"/>
        <v>78</v>
      </c>
      <c r="AP82" s="173" t="str">
        <f t="shared" si="11"/>
        <v/>
      </c>
      <c r="AQ82" s="181"/>
      <c r="AR82" s="190" t="s">
        <v>3828</v>
      </c>
      <c r="AS82" s="176">
        <v>21.56</v>
      </c>
      <c r="AT82" s="176">
        <v>21.619999999999997</v>
      </c>
      <c r="AU82" s="176">
        <v>21.645</v>
      </c>
      <c r="AV82" s="176">
        <v>21.65</v>
      </c>
      <c r="AW82" s="173">
        <f t="shared" ca="1" si="12"/>
        <v>29</v>
      </c>
      <c r="AX82" s="142">
        <v>460</v>
      </c>
      <c r="AZ82" s="142" t="s">
        <v>123</v>
      </c>
    </row>
    <row r="83" spans="2:52" s="142" customFormat="1" ht="21" customHeight="1" x14ac:dyDescent="0.25">
      <c r="B83" s="173" t="str">
        <f t="shared" si="9"/>
        <v>0-316L/2B-2.00X777</v>
      </c>
      <c r="C83" s="201" t="s">
        <v>4610</v>
      </c>
      <c r="D83" s="173" t="s">
        <v>836</v>
      </c>
      <c r="E83" s="190" t="s">
        <v>3826</v>
      </c>
      <c r="F83" s="201" t="s">
        <v>4620</v>
      </c>
      <c r="G83" s="173" t="s">
        <v>135</v>
      </c>
      <c r="H83" s="173" t="s">
        <v>114</v>
      </c>
      <c r="I83" s="174">
        <v>3.94</v>
      </c>
      <c r="J83" s="174">
        <v>2</v>
      </c>
      <c r="K83" s="203">
        <v>1.98</v>
      </c>
      <c r="L83" s="203">
        <v>2</v>
      </c>
      <c r="M83" s="191">
        <v>777</v>
      </c>
      <c r="N83" s="350"/>
      <c r="O83" s="176">
        <v>5.5049999999999999</v>
      </c>
      <c r="P83" s="176"/>
      <c r="Q83" s="176">
        <v>0.06</v>
      </c>
      <c r="R83" s="176" t="s">
        <v>114</v>
      </c>
      <c r="S83" s="209"/>
      <c r="T83" s="178" t="s">
        <v>761</v>
      </c>
      <c r="U83" s="178"/>
      <c r="V83" s="179"/>
      <c r="W83" s="177">
        <v>44928</v>
      </c>
      <c r="X83" s="177"/>
      <c r="Y83" s="177">
        <v>44929</v>
      </c>
      <c r="Z83" s="177"/>
      <c r="AA83" s="177">
        <v>44934</v>
      </c>
      <c r="AB83" s="177"/>
      <c r="AC83" s="177"/>
      <c r="AD83" s="177">
        <v>44910</v>
      </c>
      <c r="AE83" s="177"/>
      <c r="AF83" s="177"/>
      <c r="AG83" s="180" t="s">
        <v>2374</v>
      </c>
      <c r="AH83" s="173" t="s">
        <v>69</v>
      </c>
      <c r="AI83" s="181" t="s">
        <v>142</v>
      </c>
      <c r="AJ83" s="181" t="s">
        <v>1887</v>
      </c>
      <c r="AK83" s="181"/>
      <c r="AL83" s="181">
        <v>44880</v>
      </c>
      <c r="AM83" s="181"/>
      <c r="AN83" s="181">
        <f t="shared" ca="1" si="10"/>
        <v>44958</v>
      </c>
      <c r="AO83" s="173">
        <f t="shared" ca="1" si="8"/>
        <v>78</v>
      </c>
      <c r="AP83" s="173">
        <f t="shared" ca="1" si="11"/>
        <v>24</v>
      </c>
      <c r="AQ83" s="181"/>
      <c r="AR83" s="190" t="s">
        <v>3828</v>
      </c>
      <c r="AS83" s="176">
        <v>21.56</v>
      </c>
      <c r="AT83" s="176">
        <v>21.619999999999997</v>
      </c>
      <c r="AU83" s="176">
        <v>21.645</v>
      </c>
      <c r="AV83" s="176">
        <v>21.65</v>
      </c>
      <c r="AW83" s="173">
        <f t="shared" ca="1" si="12"/>
        <v>29</v>
      </c>
      <c r="AX83" s="142">
        <v>460</v>
      </c>
      <c r="AZ83" s="142" t="s">
        <v>123</v>
      </c>
    </row>
    <row r="84" spans="2:52" s="142" customFormat="1" ht="21" customHeight="1" x14ac:dyDescent="0.25">
      <c r="B84" s="173" t="str">
        <f t="shared" si="9"/>
        <v>0-316L/2B-1.50X777</v>
      </c>
      <c r="C84" s="201" t="s">
        <v>4612</v>
      </c>
      <c r="D84" s="173" t="s">
        <v>4432</v>
      </c>
      <c r="E84" s="190" t="s">
        <v>4607</v>
      </c>
      <c r="F84" s="201" t="s">
        <v>4621</v>
      </c>
      <c r="G84" s="173" t="s">
        <v>135</v>
      </c>
      <c r="H84" s="173" t="s">
        <v>114</v>
      </c>
      <c r="I84" s="174">
        <v>3.75</v>
      </c>
      <c r="J84" s="174">
        <v>1.5</v>
      </c>
      <c r="K84" s="203">
        <v>1.48</v>
      </c>
      <c r="L84" s="203">
        <v>1.5</v>
      </c>
      <c r="M84" s="191">
        <v>777</v>
      </c>
      <c r="N84" s="349">
        <v>10.824999999999999</v>
      </c>
      <c r="O84" s="176">
        <v>5.05</v>
      </c>
      <c r="P84" s="176"/>
      <c r="Q84" s="176"/>
      <c r="R84" s="176" t="s">
        <v>114</v>
      </c>
      <c r="S84" s="209" t="s">
        <v>4588</v>
      </c>
      <c r="T84" s="178" t="s">
        <v>761</v>
      </c>
      <c r="U84" s="178"/>
      <c r="V84" s="179"/>
      <c r="W84" s="177">
        <v>44925</v>
      </c>
      <c r="X84" s="177"/>
      <c r="Y84" s="177">
        <v>44926</v>
      </c>
      <c r="Z84" s="177"/>
      <c r="AA84" s="177">
        <v>44934</v>
      </c>
      <c r="AB84" s="177"/>
      <c r="AC84" s="177"/>
      <c r="AD84" s="177">
        <v>44911</v>
      </c>
      <c r="AE84" s="177"/>
      <c r="AF84" s="177"/>
      <c r="AG84" s="180" t="s">
        <v>2374</v>
      </c>
      <c r="AH84" s="173" t="s">
        <v>69</v>
      </c>
      <c r="AI84" s="181" t="s">
        <v>142</v>
      </c>
      <c r="AJ84" s="181" t="s">
        <v>1887</v>
      </c>
      <c r="AK84" s="181"/>
      <c r="AL84" s="181">
        <v>44880</v>
      </c>
      <c r="AM84" s="181"/>
      <c r="AN84" s="181">
        <f t="shared" ca="1" si="10"/>
        <v>44958</v>
      </c>
      <c r="AO84" s="173">
        <f t="shared" ca="1" si="8"/>
        <v>78</v>
      </c>
      <c r="AP84" s="173">
        <f t="shared" ca="1" si="11"/>
        <v>24</v>
      </c>
      <c r="AQ84" s="181"/>
      <c r="AR84" s="190" t="s">
        <v>4609</v>
      </c>
      <c r="AS84" s="176">
        <v>21.614999999999998</v>
      </c>
      <c r="AT84" s="176">
        <v>21.674999999999997</v>
      </c>
      <c r="AU84" s="176">
        <v>21.7</v>
      </c>
      <c r="AV84" s="176">
        <v>21.704999999999998</v>
      </c>
      <c r="AW84" s="173">
        <f t="shared" ca="1" si="12"/>
        <v>32</v>
      </c>
      <c r="AX84" s="142">
        <v>460</v>
      </c>
      <c r="AZ84" s="142" t="s">
        <v>123</v>
      </c>
    </row>
    <row r="85" spans="2:52" s="142" customFormat="1" ht="21" customHeight="1" x14ac:dyDescent="0.25">
      <c r="B85" s="173" t="str">
        <f t="shared" si="9"/>
        <v>0-316L/2B-1.50X777</v>
      </c>
      <c r="C85" s="201" t="s">
        <v>4612</v>
      </c>
      <c r="D85" s="173" t="s">
        <v>4432</v>
      </c>
      <c r="E85" s="190" t="s">
        <v>4607</v>
      </c>
      <c r="F85" s="201" t="s">
        <v>4622</v>
      </c>
      <c r="G85" s="173" t="s">
        <v>135</v>
      </c>
      <c r="H85" s="173" t="s">
        <v>114</v>
      </c>
      <c r="I85" s="174">
        <v>3.75</v>
      </c>
      <c r="J85" s="174">
        <v>1.5</v>
      </c>
      <c r="K85" s="203">
        <v>1.48</v>
      </c>
      <c r="L85" s="203">
        <v>1.5</v>
      </c>
      <c r="M85" s="191">
        <v>777</v>
      </c>
      <c r="N85" s="350"/>
      <c r="O85" s="176">
        <v>5.75</v>
      </c>
      <c r="P85" s="176"/>
      <c r="Q85" s="176">
        <v>2.5000000000000001E-2</v>
      </c>
      <c r="R85" s="176" t="s">
        <v>114</v>
      </c>
      <c r="S85" s="209" t="s">
        <v>4588</v>
      </c>
      <c r="T85" s="178" t="s">
        <v>761</v>
      </c>
      <c r="U85" s="178"/>
      <c r="V85" s="179"/>
      <c r="W85" s="177">
        <v>44925</v>
      </c>
      <c r="X85" s="177"/>
      <c r="Y85" s="177">
        <v>44926</v>
      </c>
      <c r="Z85" s="177"/>
      <c r="AA85" s="177"/>
      <c r="AB85" s="177"/>
      <c r="AC85" s="177"/>
      <c r="AD85" s="177">
        <v>44911</v>
      </c>
      <c r="AE85" s="177"/>
      <c r="AF85" s="177"/>
      <c r="AG85" s="180" t="s">
        <v>2374</v>
      </c>
      <c r="AH85" s="173" t="s">
        <v>69</v>
      </c>
      <c r="AI85" s="181" t="s">
        <v>142</v>
      </c>
      <c r="AJ85" s="181" t="s">
        <v>1887</v>
      </c>
      <c r="AK85" s="181"/>
      <c r="AL85" s="181">
        <v>44880</v>
      </c>
      <c r="AM85" s="181"/>
      <c r="AN85" s="181">
        <f t="shared" ca="1" si="10"/>
        <v>44958</v>
      </c>
      <c r="AO85" s="173">
        <f t="shared" ca="1" si="8"/>
        <v>78</v>
      </c>
      <c r="AP85" s="173" t="str">
        <f t="shared" si="11"/>
        <v/>
      </c>
      <c r="AQ85" s="181"/>
      <c r="AR85" s="190" t="s">
        <v>4609</v>
      </c>
      <c r="AS85" s="176">
        <v>21.614999999999998</v>
      </c>
      <c r="AT85" s="176">
        <v>21.674999999999997</v>
      </c>
      <c r="AU85" s="176">
        <v>21.7</v>
      </c>
      <c r="AV85" s="176">
        <v>21.704999999999998</v>
      </c>
      <c r="AW85" s="173">
        <f t="shared" ca="1" si="12"/>
        <v>32</v>
      </c>
      <c r="AX85" s="142">
        <v>460</v>
      </c>
      <c r="AZ85" s="142" t="s">
        <v>123</v>
      </c>
    </row>
    <row r="86" spans="2:52" s="142" customFormat="1" ht="21" customHeight="1" x14ac:dyDescent="0.25">
      <c r="B86" s="173" t="str">
        <f t="shared" si="9"/>
        <v>0-304L/2B-1.20X771</v>
      </c>
      <c r="C86" s="201" t="s">
        <v>4612</v>
      </c>
      <c r="D86" s="173" t="s">
        <v>4432</v>
      </c>
      <c r="E86" s="190" t="s">
        <v>3870</v>
      </c>
      <c r="F86" s="201" t="s">
        <v>4623</v>
      </c>
      <c r="G86" s="173" t="s">
        <v>182</v>
      </c>
      <c r="H86" s="173" t="s">
        <v>114</v>
      </c>
      <c r="I86" s="174">
        <v>3.78</v>
      </c>
      <c r="J86" s="174">
        <v>1.2</v>
      </c>
      <c r="K86" s="203">
        <v>1.18</v>
      </c>
      <c r="L86" s="203">
        <v>1.19</v>
      </c>
      <c r="M86" s="191">
        <v>771</v>
      </c>
      <c r="N86" s="176">
        <v>5.9649999999999999</v>
      </c>
      <c r="O86" s="176">
        <v>5.9649999999999999</v>
      </c>
      <c r="P86" s="176"/>
      <c r="Q86" s="176"/>
      <c r="R86" s="176" t="s">
        <v>114</v>
      </c>
      <c r="S86" s="209" t="s">
        <v>4624</v>
      </c>
      <c r="T86" s="178" t="s">
        <v>1344</v>
      </c>
      <c r="U86" s="178"/>
      <c r="V86" s="179"/>
      <c r="W86" s="177">
        <v>44929</v>
      </c>
      <c r="X86" s="177"/>
      <c r="Y86" s="177">
        <v>44929</v>
      </c>
      <c r="Z86" s="177"/>
      <c r="AA86" s="177"/>
      <c r="AB86" s="177"/>
      <c r="AC86" s="177"/>
      <c r="AD86" s="177"/>
      <c r="AE86" s="177"/>
      <c r="AF86" s="177"/>
      <c r="AG86" s="180" t="s">
        <v>1345</v>
      </c>
      <c r="AH86" s="173" t="s">
        <v>69</v>
      </c>
      <c r="AI86" s="181" t="s">
        <v>142</v>
      </c>
      <c r="AJ86" s="181" t="s">
        <v>2283</v>
      </c>
      <c r="AK86" s="181"/>
      <c r="AL86" s="181">
        <v>44880</v>
      </c>
      <c r="AM86" s="181"/>
      <c r="AN86" s="181">
        <f t="shared" ca="1" si="10"/>
        <v>44958</v>
      </c>
      <c r="AO86" s="173">
        <f t="shared" ca="1" si="8"/>
        <v>78</v>
      </c>
      <c r="AP86" s="173" t="str">
        <f t="shared" si="11"/>
        <v/>
      </c>
      <c r="AQ86" s="181"/>
      <c r="AR86" s="190" t="s">
        <v>3862</v>
      </c>
      <c r="AS86" s="176">
        <v>11.99</v>
      </c>
      <c r="AT86" s="176">
        <v>12</v>
      </c>
      <c r="AU86" s="176">
        <v>12.024999999999999</v>
      </c>
      <c r="AV86" s="176">
        <v>12.03</v>
      </c>
      <c r="AW86" s="173">
        <f t="shared" ca="1" si="12"/>
        <v>29</v>
      </c>
      <c r="AX86" s="142">
        <v>459</v>
      </c>
      <c r="AZ86" s="142" t="s">
        <v>123</v>
      </c>
    </row>
    <row r="87" spans="2:52" s="142" customFormat="1" ht="21" customHeight="1" x14ac:dyDescent="0.25">
      <c r="B87" s="173" t="str">
        <f t="shared" si="9"/>
        <v>0-304L/2B-1.20X771</v>
      </c>
      <c r="C87" s="201" t="s">
        <v>4625</v>
      </c>
      <c r="D87" s="173" t="s">
        <v>4432</v>
      </c>
      <c r="E87" s="190" t="s">
        <v>3870</v>
      </c>
      <c r="F87" s="201" t="s">
        <v>4626</v>
      </c>
      <c r="G87" s="173" t="s">
        <v>182</v>
      </c>
      <c r="H87" s="173" t="s">
        <v>114</v>
      </c>
      <c r="I87" s="174">
        <v>3.78</v>
      </c>
      <c r="J87" s="174">
        <v>1.2</v>
      </c>
      <c r="K87" s="203">
        <v>1.18</v>
      </c>
      <c r="L87" s="203">
        <v>1.19</v>
      </c>
      <c r="M87" s="191">
        <v>771</v>
      </c>
      <c r="N87" s="176">
        <f>11.99-5.965</f>
        <v>6.0250000000000004</v>
      </c>
      <c r="O87" s="176">
        <v>5.9950000000000001</v>
      </c>
      <c r="P87" s="176"/>
      <c r="Q87" s="176">
        <v>0.03</v>
      </c>
      <c r="R87" s="176" t="s">
        <v>114</v>
      </c>
      <c r="S87" s="209" t="s">
        <v>4624</v>
      </c>
      <c r="T87" s="178" t="s">
        <v>1344</v>
      </c>
      <c r="U87" s="178"/>
      <c r="V87" s="179"/>
      <c r="W87" s="177">
        <v>44929</v>
      </c>
      <c r="X87" s="177"/>
      <c r="Y87" s="177">
        <v>44929</v>
      </c>
      <c r="Z87" s="177"/>
      <c r="AA87" s="177"/>
      <c r="AB87" s="177"/>
      <c r="AC87" s="177"/>
      <c r="AD87" s="177"/>
      <c r="AE87" s="177"/>
      <c r="AF87" s="177"/>
      <c r="AG87" s="180" t="s">
        <v>1345</v>
      </c>
      <c r="AH87" s="173" t="s">
        <v>69</v>
      </c>
      <c r="AI87" s="181" t="s">
        <v>142</v>
      </c>
      <c r="AJ87" s="181" t="s">
        <v>2283</v>
      </c>
      <c r="AK87" s="181"/>
      <c r="AL87" s="181">
        <v>44880</v>
      </c>
      <c r="AM87" s="181"/>
      <c r="AN87" s="181">
        <f t="shared" ca="1" si="10"/>
        <v>44958</v>
      </c>
      <c r="AO87" s="173">
        <f t="shared" ca="1" si="8"/>
        <v>78</v>
      </c>
      <c r="AP87" s="173" t="str">
        <f t="shared" si="11"/>
        <v/>
      </c>
      <c r="AQ87" s="181"/>
      <c r="AR87" s="190" t="s">
        <v>3862</v>
      </c>
      <c r="AS87" s="176">
        <v>11.99</v>
      </c>
      <c r="AT87" s="176">
        <v>12</v>
      </c>
      <c r="AU87" s="176">
        <v>12.024999999999999</v>
      </c>
      <c r="AV87" s="176">
        <v>12.03</v>
      </c>
      <c r="AW87" s="173">
        <f t="shared" ca="1" si="12"/>
        <v>29</v>
      </c>
      <c r="AX87" s="142">
        <v>459</v>
      </c>
      <c r="AZ87" s="142" t="s">
        <v>123</v>
      </c>
    </row>
    <row r="88" spans="2:52" s="142" customFormat="1" ht="21" customHeight="1" x14ac:dyDescent="0.25">
      <c r="B88" s="173" t="str">
        <f t="shared" si="9"/>
        <v>0-316L/2B-2.00X776</v>
      </c>
      <c r="C88" s="201" t="s">
        <v>4625</v>
      </c>
      <c r="D88" s="173" t="s">
        <v>4432</v>
      </c>
      <c r="E88" s="190" t="s">
        <v>3846</v>
      </c>
      <c r="F88" s="201" t="s">
        <v>4627</v>
      </c>
      <c r="G88" s="173" t="s">
        <v>135</v>
      </c>
      <c r="H88" s="173" t="s">
        <v>114</v>
      </c>
      <c r="I88" s="174">
        <v>3.94</v>
      </c>
      <c r="J88" s="174">
        <v>2</v>
      </c>
      <c r="K88" s="203">
        <v>1.99</v>
      </c>
      <c r="L88" s="203">
        <v>2</v>
      </c>
      <c r="M88" s="191">
        <v>776</v>
      </c>
      <c r="N88" s="176">
        <v>10.81</v>
      </c>
      <c r="O88" s="176">
        <f>4.55+6.2</f>
        <v>10.75</v>
      </c>
      <c r="P88" s="176"/>
      <c r="Q88" s="176">
        <v>0.06</v>
      </c>
      <c r="R88" s="176" t="s">
        <v>114</v>
      </c>
      <c r="S88" s="209" t="s">
        <v>4588</v>
      </c>
      <c r="T88" s="178" t="s">
        <v>761</v>
      </c>
      <c r="U88" s="178"/>
      <c r="V88" s="179"/>
      <c r="W88" s="177">
        <v>44928</v>
      </c>
      <c r="X88" s="177"/>
      <c r="Y88" s="177">
        <v>44929</v>
      </c>
      <c r="Z88" s="177"/>
      <c r="AA88" s="177"/>
      <c r="AB88" s="177"/>
      <c r="AC88" s="177"/>
      <c r="AD88" s="177">
        <v>44911</v>
      </c>
      <c r="AE88" s="177"/>
      <c r="AF88" s="177"/>
      <c r="AG88" s="180" t="s">
        <v>2374</v>
      </c>
      <c r="AH88" s="173" t="s">
        <v>69</v>
      </c>
      <c r="AI88" s="181" t="s">
        <v>142</v>
      </c>
      <c r="AJ88" s="181" t="s">
        <v>1887</v>
      </c>
      <c r="AK88" s="181"/>
      <c r="AL88" s="181">
        <v>44880</v>
      </c>
      <c r="AM88" s="181"/>
      <c r="AN88" s="181">
        <f t="shared" ca="1" si="10"/>
        <v>44958</v>
      </c>
      <c r="AO88" s="173">
        <f t="shared" ca="1" si="8"/>
        <v>78</v>
      </c>
      <c r="AP88" s="173" t="str">
        <f t="shared" si="11"/>
        <v/>
      </c>
      <c r="AQ88" s="181"/>
      <c r="AR88" s="190" t="s">
        <v>3848</v>
      </c>
      <c r="AS88" s="176">
        <v>21.585000000000001</v>
      </c>
      <c r="AT88" s="176">
        <v>21.645</v>
      </c>
      <c r="AU88" s="176">
        <v>21.67</v>
      </c>
      <c r="AV88" s="176">
        <v>21.675000000000001</v>
      </c>
      <c r="AW88" s="173">
        <f t="shared" ca="1" si="12"/>
        <v>29</v>
      </c>
      <c r="AX88" s="142">
        <v>460</v>
      </c>
      <c r="AZ88" s="142" t="s">
        <v>123</v>
      </c>
    </row>
    <row r="89" spans="2:52" s="142" customFormat="1" ht="21" customHeight="1" x14ac:dyDescent="0.25">
      <c r="B89" s="173" t="str">
        <f t="shared" si="9"/>
        <v>0-304L/2B-1.50X765</v>
      </c>
      <c r="C89" s="201" t="s">
        <v>4625</v>
      </c>
      <c r="D89" s="173" t="s">
        <v>4432</v>
      </c>
      <c r="E89" s="190" t="s">
        <v>3856</v>
      </c>
      <c r="F89" s="201" t="s">
        <v>4628</v>
      </c>
      <c r="G89" s="173" t="s">
        <v>182</v>
      </c>
      <c r="H89" s="173" t="s">
        <v>114</v>
      </c>
      <c r="I89" s="174">
        <v>3.79</v>
      </c>
      <c r="J89" s="174">
        <v>1.5</v>
      </c>
      <c r="K89" s="203">
        <v>1.48</v>
      </c>
      <c r="L89" s="203">
        <v>1.5</v>
      </c>
      <c r="M89" s="191">
        <v>765</v>
      </c>
      <c r="N89" s="176">
        <v>11.975</v>
      </c>
      <c r="O89" s="176">
        <f>5.83+6.035</f>
        <v>11.865</v>
      </c>
      <c r="P89" s="176"/>
      <c r="Q89" s="176">
        <v>0.09</v>
      </c>
      <c r="R89" s="176" t="s">
        <v>114</v>
      </c>
      <c r="S89" s="209" t="s">
        <v>4624</v>
      </c>
      <c r="T89" s="178" t="s">
        <v>1344</v>
      </c>
      <c r="U89" s="178"/>
      <c r="V89" s="179"/>
      <c r="W89" s="177">
        <v>44929</v>
      </c>
      <c r="X89" s="177"/>
      <c r="Y89" s="177">
        <v>44929</v>
      </c>
      <c r="Z89" s="177"/>
      <c r="AA89" s="177"/>
      <c r="AB89" s="177"/>
      <c r="AC89" s="177"/>
      <c r="AD89" s="177"/>
      <c r="AE89" s="177"/>
      <c r="AF89" s="177"/>
      <c r="AG89" s="180" t="s">
        <v>1345</v>
      </c>
      <c r="AH89" s="173" t="s">
        <v>69</v>
      </c>
      <c r="AI89" s="181" t="s">
        <v>142</v>
      </c>
      <c r="AJ89" s="181" t="s">
        <v>1653</v>
      </c>
      <c r="AK89" s="181"/>
      <c r="AL89" s="181">
        <v>44880</v>
      </c>
      <c r="AM89" s="181"/>
      <c r="AN89" s="181">
        <f t="shared" ca="1" si="10"/>
        <v>44958</v>
      </c>
      <c r="AO89" s="173">
        <f t="shared" ca="1" si="8"/>
        <v>78</v>
      </c>
      <c r="AP89" s="173" t="str">
        <f t="shared" si="11"/>
        <v/>
      </c>
      <c r="AQ89" s="181"/>
      <c r="AR89" s="190" t="s">
        <v>3858</v>
      </c>
      <c r="AS89" s="176">
        <v>11.975</v>
      </c>
      <c r="AT89" s="176">
        <v>11.984999999999999</v>
      </c>
      <c r="AU89" s="176">
        <v>12.009999999999998</v>
      </c>
      <c r="AV89" s="176">
        <v>12.014999999999999</v>
      </c>
      <c r="AW89" s="173">
        <f t="shared" ca="1" si="12"/>
        <v>29</v>
      </c>
      <c r="AX89" s="142">
        <v>459</v>
      </c>
      <c r="AZ89" s="142" t="s">
        <v>123</v>
      </c>
    </row>
    <row r="90" spans="2:52" s="142" customFormat="1" ht="21" customHeight="1" x14ac:dyDescent="0.25">
      <c r="B90" s="173" t="str">
        <f t="shared" si="9"/>
        <v>0-316L/2B-2.00X775</v>
      </c>
      <c r="C90" s="201" t="s">
        <v>4625</v>
      </c>
      <c r="D90" s="173" t="s">
        <v>4432</v>
      </c>
      <c r="E90" s="190" t="s">
        <v>3835</v>
      </c>
      <c r="F90" s="201" t="s">
        <v>4629</v>
      </c>
      <c r="G90" s="173" t="s">
        <v>135</v>
      </c>
      <c r="H90" s="173" t="s">
        <v>114</v>
      </c>
      <c r="I90" s="174">
        <v>3.93</v>
      </c>
      <c r="J90" s="174">
        <v>2</v>
      </c>
      <c r="K90" s="203">
        <v>1.98</v>
      </c>
      <c r="L90" s="203">
        <v>2.0099999999999998</v>
      </c>
      <c r="M90" s="191">
        <v>775</v>
      </c>
      <c r="N90" s="176">
        <v>10.65</v>
      </c>
      <c r="O90" s="176">
        <f>4.4+6.105</f>
        <v>10.505000000000001</v>
      </c>
      <c r="P90" s="176"/>
      <c r="Q90" s="176">
        <v>0.14499999999999999</v>
      </c>
      <c r="R90" s="176" t="s">
        <v>114</v>
      </c>
      <c r="S90" s="209" t="s">
        <v>4588</v>
      </c>
      <c r="T90" s="178" t="s">
        <v>761</v>
      </c>
      <c r="U90" s="178"/>
      <c r="V90" s="179"/>
      <c r="W90" s="177">
        <v>44926</v>
      </c>
      <c r="X90" s="177"/>
      <c r="Y90" s="177">
        <v>44928</v>
      </c>
      <c r="Z90" s="177"/>
      <c r="AA90" s="177"/>
      <c r="AB90" s="177"/>
      <c r="AC90" s="177"/>
      <c r="AD90" s="177">
        <v>44909</v>
      </c>
      <c r="AE90" s="177"/>
      <c r="AF90" s="177"/>
      <c r="AG90" s="180" t="s">
        <v>2374</v>
      </c>
      <c r="AH90" s="173" t="s">
        <v>69</v>
      </c>
      <c r="AI90" s="181" t="s">
        <v>142</v>
      </c>
      <c r="AJ90" s="181" t="s">
        <v>1887</v>
      </c>
      <c r="AK90" s="181"/>
      <c r="AL90" s="181">
        <v>44880</v>
      </c>
      <c r="AM90" s="181"/>
      <c r="AN90" s="181">
        <f t="shared" ca="1" si="10"/>
        <v>44958</v>
      </c>
      <c r="AO90" s="173">
        <f t="shared" ca="1" si="8"/>
        <v>78</v>
      </c>
      <c r="AP90" s="173" t="str">
        <f t="shared" si="11"/>
        <v/>
      </c>
      <c r="AQ90" s="181"/>
      <c r="AR90" s="190" t="s">
        <v>3837</v>
      </c>
      <c r="AS90" s="176">
        <v>21.295000000000002</v>
      </c>
      <c r="AT90" s="176">
        <v>21.355</v>
      </c>
      <c r="AU90" s="176">
        <v>21.380000000000003</v>
      </c>
      <c r="AV90" s="176">
        <v>21.385000000000002</v>
      </c>
      <c r="AW90" s="173">
        <f t="shared" ca="1" si="12"/>
        <v>30</v>
      </c>
      <c r="AX90" s="142">
        <v>460</v>
      </c>
      <c r="AZ90" s="142" t="s">
        <v>123</v>
      </c>
    </row>
    <row r="91" spans="2:52" s="142" customFormat="1" ht="21" customHeight="1" x14ac:dyDescent="0.25">
      <c r="B91" s="173" t="str">
        <f t="shared" si="9"/>
        <v>0-304L/2B-1.50X769</v>
      </c>
      <c r="C91" s="201" t="s">
        <v>4625</v>
      </c>
      <c r="D91" s="173" t="s">
        <v>4432</v>
      </c>
      <c r="E91" s="190" t="s">
        <v>3872</v>
      </c>
      <c r="F91" s="201" t="s">
        <v>4630</v>
      </c>
      <c r="G91" s="173" t="s">
        <v>182</v>
      </c>
      <c r="H91" s="173" t="s">
        <v>114</v>
      </c>
      <c r="I91" s="174">
        <v>3.78</v>
      </c>
      <c r="J91" s="174">
        <v>1.5</v>
      </c>
      <c r="K91" s="203">
        <v>1.48</v>
      </c>
      <c r="L91" s="203">
        <v>1.5</v>
      </c>
      <c r="M91" s="191">
        <v>769</v>
      </c>
      <c r="N91" s="176">
        <v>12.18</v>
      </c>
      <c r="O91" s="176">
        <f>3.935+3.945+4.125</f>
        <v>12.004999999999999</v>
      </c>
      <c r="P91" s="176"/>
      <c r="Q91" s="176"/>
      <c r="R91" s="176" t="s">
        <v>114</v>
      </c>
      <c r="S91" s="209" t="s">
        <v>4624</v>
      </c>
      <c r="T91" s="178" t="s">
        <v>1344</v>
      </c>
      <c r="U91" s="178"/>
      <c r="V91" s="179"/>
      <c r="W91" s="177">
        <v>44929</v>
      </c>
      <c r="X91" s="177"/>
      <c r="Y91" s="177">
        <v>44929</v>
      </c>
      <c r="Z91" s="177"/>
      <c r="AA91" s="177"/>
      <c r="AB91" s="177"/>
      <c r="AC91" s="177"/>
      <c r="AD91" s="177"/>
      <c r="AE91" s="177"/>
      <c r="AF91" s="177"/>
      <c r="AG91" s="180" t="s">
        <v>1345</v>
      </c>
      <c r="AH91" s="173" t="s">
        <v>69</v>
      </c>
      <c r="AI91" s="181" t="s">
        <v>142</v>
      </c>
      <c r="AJ91" s="181" t="s">
        <v>2283</v>
      </c>
      <c r="AK91" s="181"/>
      <c r="AL91" s="181">
        <v>44880</v>
      </c>
      <c r="AM91" s="181"/>
      <c r="AN91" s="181">
        <f t="shared" ca="1" si="10"/>
        <v>44958</v>
      </c>
      <c r="AO91" s="173">
        <f t="shared" ca="1" si="8"/>
        <v>78</v>
      </c>
      <c r="AP91" s="173" t="str">
        <f t="shared" si="11"/>
        <v/>
      </c>
      <c r="AQ91" s="181"/>
      <c r="AR91" s="190" t="s">
        <v>3874</v>
      </c>
      <c r="AS91" s="176">
        <v>12.25</v>
      </c>
      <c r="AT91" s="176">
        <v>12.26</v>
      </c>
      <c r="AU91" s="176">
        <v>12.284999999999998</v>
      </c>
      <c r="AV91" s="176">
        <v>12.29</v>
      </c>
      <c r="AW91" s="173">
        <f t="shared" ca="1" si="12"/>
        <v>29</v>
      </c>
      <c r="AX91" s="142">
        <v>459</v>
      </c>
      <c r="AZ91" s="142" t="s">
        <v>123</v>
      </c>
    </row>
    <row r="92" spans="2:52" s="142" customFormat="1" ht="21" customHeight="1" x14ac:dyDescent="0.25">
      <c r="B92" s="173" t="str">
        <f t="shared" si="9"/>
        <v>0-304/2B-2.00X773</v>
      </c>
      <c r="C92" s="201" t="s">
        <v>4631</v>
      </c>
      <c r="D92" s="173" t="s">
        <v>836</v>
      </c>
      <c r="E92" s="190" t="s">
        <v>4632</v>
      </c>
      <c r="F92" s="201" t="s">
        <v>4633</v>
      </c>
      <c r="G92" s="173">
        <v>304</v>
      </c>
      <c r="H92" s="173" t="s">
        <v>114</v>
      </c>
      <c r="I92" s="174">
        <v>4.38</v>
      </c>
      <c r="J92" s="174">
        <v>2</v>
      </c>
      <c r="K92" s="203">
        <v>1.97</v>
      </c>
      <c r="L92" s="203">
        <v>2</v>
      </c>
      <c r="M92" s="191">
        <v>773</v>
      </c>
      <c r="N92" s="176">
        <v>10.48</v>
      </c>
      <c r="O92" s="176">
        <v>10.45</v>
      </c>
      <c r="P92" s="176"/>
      <c r="Q92" s="176">
        <v>0.03</v>
      </c>
      <c r="R92" s="176" t="s">
        <v>114</v>
      </c>
      <c r="S92" s="209"/>
      <c r="T92" s="178" t="s">
        <v>1344</v>
      </c>
      <c r="U92" s="178"/>
      <c r="V92" s="179"/>
      <c r="W92" s="177">
        <v>44914</v>
      </c>
      <c r="X92" s="177"/>
      <c r="Y92" s="177">
        <v>44916</v>
      </c>
      <c r="Z92" s="177"/>
      <c r="AA92" s="177">
        <v>44935</v>
      </c>
      <c r="AB92" s="177"/>
      <c r="AC92" s="177"/>
      <c r="AD92" s="177"/>
      <c r="AE92" s="177"/>
      <c r="AF92" s="177"/>
      <c r="AG92" s="180" t="s">
        <v>1619</v>
      </c>
      <c r="AH92" s="173" t="s">
        <v>69</v>
      </c>
      <c r="AI92" s="181" t="s">
        <v>142</v>
      </c>
      <c r="AJ92" s="181" t="s">
        <v>1887</v>
      </c>
      <c r="AK92" s="181"/>
      <c r="AL92" s="181">
        <v>44880</v>
      </c>
      <c r="AM92" s="181"/>
      <c r="AN92" s="181">
        <f t="shared" ca="1" si="10"/>
        <v>44958</v>
      </c>
      <c r="AO92" s="173">
        <f t="shared" ca="1" si="8"/>
        <v>78</v>
      </c>
      <c r="AP92" s="173">
        <f t="shared" ca="1" si="11"/>
        <v>23</v>
      </c>
      <c r="AQ92" s="181"/>
      <c r="AR92" s="190" t="s">
        <v>4634</v>
      </c>
      <c r="AS92" s="176">
        <v>10.55</v>
      </c>
      <c r="AT92" s="176">
        <v>10.56</v>
      </c>
      <c r="AU92" s="176">
        <v>10.584999999999999</v>
      </c>
      <c r="AV92" s="176">
        <v>10.59</v>
      </c>
      <c r="AW92" s="173">
        <f t="shared" ca="1" si="12"/>
        <v>42</v>
      </c>
      <c r="AX92" s="142">
        <v>459</v>
      </c>
      <c r="AZ92" s="142" t="s">
        <v>123</v>
      </c>
    </row>
    <row r="93" spans="2:52" s="142" customFormat="1" ht="21" customHeight="1" x14ac:dyDescent="0.25">
      <c r="B93" s="173" t="str">
        <f t="shared" si="9"/>
        <v>0-304/2B-1.50X770</v>
      </c>
      <c r="C93" s="201" t="s">
        <v>4635</v>
      </c>
      <c r="D93" s="173" t="s">
        <v>776</v>
      </c>
      <c r="E93" s="190" t="s">
        <v>3863</v>
      </c>
      <c r="F93" s="201" t="s">
        <v>3864</v>
      </c>
      <c r="G93" s="173">
        <v>304</v>
      </c>
      <c r="H93" s="173" t="s">
        <v>114</v>
      </c>
      <c r="I93" s="174">
        <v>3.79</v>
      </c>
      <c r="J93" s="174">
        <v>1.5</v>
      </c>
      <c r="K93" s="203">
        <v>1.5</v>
      </c>
      <c r="L93" s="203">
        <v>1.52</v>
      </c>
      <c r="M93" s="191">
        <v>770</v>
      </c>
      <c r="N93" s="176">
        <v>10.494999999999999</v>
      </c>
      <c r="O93" s="176">
        <v>10.48</v>
      </c>
      <c r="P93" s="176"/>
      <c r="Q93" s="176">
        <v>1.4999999999999999E-2</v>
      </c>
      <c r="R93" s="176" t="s">
        <v>114</v>
      </c>
      <c r="S93" s="209"/>
      <c r="T93" s="178" t="s">
        <v>314</v>
      </c>
      <c r="U93" s="178" t="s">
        <v>1344</v>
      </c>
      <c r="V93" s="179" t="s">
        <v>4636</v>
      </c>
      <c r="W93" s="177">
        <v>44929</v>
      </c>
      <c r="X93" s="177"/>
      <c r="Y93" s="177">
        <v>44929</v>
      </c>
      <c r="Z93" s="177"/>
      <c r="AA93" s="177">
        <v>44935</v>
      </c>
      <c r="AB93" s="177"/>
      <c r="AC93" s="177"/>
      <c r="AD93" s="177"/>
      <c r="AE93" s="177"/>
      <c r="AF93" s="177"/>
      <c r="AG93" s="180" t="s">
        <v>1345</v>
      </c>
      <c r="AH93" s="173" t="s">
        <v>69</v>
      </c>
      <c r="AI93" s="181" t="s">
        <v>142</v>
      </c>
      <c r="AJ93" s="181" t="s">
        <v>2283</v>
      </c>
      <c r="AK93" s="181"/>
      <c r="AL93" s="181">
        <v>44880</v>
      </c>
      <c r="AM93" s="181"/>
      <c r="AN93" s="181">
        <f t="shared" ca="1" si="10"/>
        <v>44958</v>
      </c>
      <c r="AO93" s="173">
        <f t="shared" ca="1" si="8"/>
        <v>78</v>
      </c>
      <c r="AP93" s="173">
        <f t="shared" ca="1" si="11"/>
        <v>23</v>
      </c>
      <c r="AQ93" s="181"/>
      <c r="AR93" s="190" t="s">
        <v>3865</v>
      </c>
      <c r="AS93" s="176">
        <v>10.52</v>
      </c>
      <c r="AT93" s="176">
        <v>10.53</v>
      </c>
      <c r="AU93" s="176">
        <v>10.554999999999998</v>
      </c>
      <c r="AV93" s="176">
        <v>10.559999999999999</v>
      </c>
      <c r="AW93" s="173">
        <f t="shared" ca="1" si="12"/>
        <v>29</v>
      </c>
      <c r="AX93" s="142">
        <v>459</v>
      </c>
      <c r="AZ93" s="142" t="s">
        <v>123</v>
      </c>
    </row>
    <row r="94" spans="2:52" s="142" customFormat="1" ht="21" customHeight="1" x14ac:dyDescent="0.25">
      <c r="B94" s="173" t="str">
        <f t="shared" si="9"/>
        <v>0-304/2B-2.00X767</v>
      </c>
      <c r="C94" s="201" t="s">
        <v>4631</v>
      </c>
      <c r="D94" s="173" t="s">
        <v>836</v>
      </c>
      <c r="E94" s="190" t="s">
        <v>2279</v>
      </c>
      <c r="F94" s="201" t="s">
        <v>3859</v>
      </c>
      <c r="G94" s="173">
        <v>304</v>
      </c>
      <c r="H94" s="173" t="s">
        <v>114</v>
      </c>
      <c r="I94" s="174">
        <v>3.94</v>
      </c>
      <c r="J94" s="174">
        <v>2</v>
      </c>
      <c r="K94" s="203">
        <v>1.94</v>
      </c>
      <c r="L94" s="203">
        <v>1.98</v>
      </c>
      <c r="M94" s="191">
        <v>767</v>
      </c>
      <c r="N94" s="176">
        <v>12.01</v>
      </c>
      <c r="O94" s="176">
        <v>11.99</v>
      </c>
      <c r="P94" s="176"/>
      <c r="Q94" s="176">
        <v>0.02</v>
      </c>
      <c r="R94" s="176" t="s">
        <v>114</v>
      </c>
      <c r="S94" s="209"/>
      <c r="T94" s="178" t="s">
        <v>2281</v>
      </c>
      <c r="U94" s="178"/>
      <c r="V94" s="179"/>
      <c r="W94" s="177">
        <v>44929</v>
      </c>
      <c r="X94" s="177"/>
      <c r="Y94" s="177">
        <v>44929</v>
      </c>
      <c r="Z94" s="177"/>
      <c r="AA94" s="177">
        <v>44935</v>
      </c>
      <c r="AB94" s="177"/>
      <c r="AC94" s="177"/>
      <c r="AD94" s="177"/>
      <c r="AE94" s="177"/>
      <c r="AF94" s="177"/>
      <c r="AG94" s="180" t="s">
        <v>1345</v>
      </c>
      <c r="AH94" s="173" t="s">
        <v>69</v>
      </c>
      <c r="AI94" s="181" t="s">
        <v>142</v>
      </c>
      <c r="AJ94" s="181" t="s">
        <v>2283</v>
      </c>
      <c r="AK94" s="181"/>
      <c r="AL94" s="181">
        <v>44880</v>
      </c>
      <c r="AM94" s="181"/>
      <c r="AN94" s="181">
        <f t="shared" ca="1" si="10"/>
        <v>44958</v>
      </c>
      <c r="AO94" s="173">
        <f t="shared" ca="1" si="8"/>
        <v>78</v>
      </c>
      <c r="AP94" s="173">
        <f t="shared" ca="1" si="11"/>
        <v>23</v>
      </c>
      <c r="AQ94" s="181"/>
      <c r="AR94" s="190" t="s">
        <v>2284</v>
      </c>
      <c r="AS94" s="176">
        <v>12.03</v>
      </c>
      <c r="AT94" s="176">
        <v>12.04</v>
      </c>
      <c r="AU94" s="176">
        <v>12.064999999999998</v>
      </c>
      <c r="AV94" s="176">
        <v>12.069999999999999</v>
      </c>
      <c r="AW94" s="173">
        <f t="shared" ca="1" si="12"/>
        <v>29</v>
      </c>
      <c r="AX94" s="142">
        <v>459</v>
      </c>
      <c r="AZ94" s="142" t="s">
        <v>123</v>
      </c>
    </row>
    <row r="95" spans="2:52" s="142" customFormat="1" ht="21" customHeight="1" x14ac:dyDescent="0.25">
      <c r="B95" s="173" t="str">
        <f t="shared" si="9"/>
        <v>0-304/2B-1.20X768</v>
      </c>
      <c r="C95" s="201" t="s">
        <v>4631</v>
      </c>
      <c r="D95" s="173" t="s">
        <v>836</v>
      </c>
      <c r="E95" s="190" t="s">
        <v>3889</v>
      </c>
      <c r="F95" s="201" t="s">
        <v>3890</v>
      </c>
      <c r="G95" s="173">
        <v>304</v>
      </c>
      <c r="H95" s="173" t="s">
        <v>114</v>
      </c>
      <c r="I95" s="174">
        <v>3.46</v>
      </c>
      <c r="J95" s="174">
        <v>1.2</v>
      </c>
      <c r="K95" s="203">
        <v>1.18</v>
      </c>
      <c r="L95" s="203">
        <v>1.2</v>
      </c>
      <c r="M95" s="191">
        <v>768</v>
      </c>
      <c r="N95" s="176">
        <v>9.6349999999999998</v>
      </c>
      <c r="O95" s="176">
        <v>9.6300000000000008</v>
      </c>
      <c r="P95" s="176"/>
      <c r="Q95" s="176">
        <v>5.0000000000000001E-3</v>
      </c>
      <c r="R95" s="176" t="s">
        <v>114</v>
      </c>
      <c r="S95" s="209"/>
      <c r="T95" s="178" t="s">
        <v>1344</v>
      </c>
      <c r="U95" s="178"/>
      <c r="V95" s="179"/>
      <c r="W95" s="177">
        <v>44930</v>
      </c>
      <c r="X95" s="177"/>
      <c r="Y95" s="177">
        <v>44930</v>
      </c>
      <c r="Z95" s="177"/>
      <c r="AA95" s="177">
        <v>44935</v>
      </c>
      <c r="AB95" s="177"/>
      <c r="AC95" s="177"/>
      <c r="AD95" s="177"/>
      <c r="AE95" s="177"/>
      <c r="AF95" s="177"/>
      <c r="AG95" s="180" t="s">
        <v>2470</v>
      </c>
      <c r="AH95" s="173" t="s">
        <v>69</v>
      </c>
      <c r="AI95" s="181" t="s">
        <v>142</v>
      </c>
      <c r="AJ95" s="181" t="s">
        <v>1584</v>
      </c>
      <c r="AK95" s="181"/>
      <c r="AL95" s="181">
        <v>44914</v>
      </c>
      <c r="AM95" s="181"/>
      <c r="AN95" s="181">
        <f t="shared" ca="1" si="10"/>
        <v>44958</v>
      </c>
      <c r="AO95" s="173">
        <f t="shared" ca="1" si="8"/>
        <v>44</v>
      </c>
      <c r="AP95" s="173">
        <f t="shared" ca="1" si="11"/>
        <v>23</v>
      </c>
      <c r="AQ95" s="181"/>
      <c r="AR95" s="190" t="s">
        <v>3891</v>
      </c>
      <c r="AS95" s="176">
        <v>9.6850000000000005</v>
      </c>
      <c r="AT95" s="176">
        <v>9.6950000000000003</v>
      </c>
      <c r="AU95" s="176">
        <v>9.7199999999999989</v>
      </c>
      <c r="AV95" s="176">
        <v>9.7249999999999996</v>
      </c>
      <c r="AW95" s="173">
        <f t="shared" ca="1" si="12"/>
        <v>28</v>
      </c>
      <c r="AX95" s="142">
        <v>462</v>
      </c>
      <c r="AZ95" s="142" t="s">
        <v>123</v>
      </c>
    </row>
    <row r="96" spans="2:52" s="142" customFormat="1" ht="21" customHeight="1" x14ac:dyDescent="0.25">
      <c r="B96" s="173" t="str">
        <f t="shared" si="9"/>
        <v>0-304L/2B-1.20X767</v>
      </c>
      <c r="C96" s="201" t="s">
        <v>4625</v>
      </c>
      <c r="D96" s="173" t="s">
        <v>4432</v>
      </c>
      <c r="E96" s="190" t="s">
        <v>3875</v>
      </c>
      <c r="F96" s="201" t="s">
        <v>4637</v>
      </c>
      <c r="G96" s="173" t="s">
        <v>182</v>
      </c>
      <c r="H96" s="173" t="s">
        <v>114</v>
      </c>
      <c r="I96" s="174">
        <v>3.78</v>
      </c>
      <c r="J96" s="174">
        <v>1.2</v>
      </c>
      <c r="K96" s="203">
        <v>1.19</v>
      </c>
      <c r="L96" s="203">
        <v>1.2</v>
      </c>
      <c r="M96" s="191">
        <v>767</v>
      </c>
      <c r="N96" s="176">
        <v>4.125</v>
      </c>
      <c r="O96" s="176">
        <v>4.125</v>
      </c>
      <c r="P96" s="176"/>
      <c r="Q96" s="176"/>
      <c r="R96" s="176" t="s">
        <v>114</v>
      </c>
      <c r="S96" s="209" t="s">
        <v>4624</v>
      </c>
      <c r="T96" s="178" t="s">
        <v>1344</v>
      </c>
      <c r="U96" s="178"/>
      <c r="V96" s="179"/>
      <c r="W96" s="177">
        <v>44929</v>
      </c>
      <c r="X96" s="177"/>
      <c r="Y96" s="177">
        <v>44930</v>
      </c>
      <c r="Z96" s="177"/>
      <c r="AA96" s="177"/>
      <c r="AB96" s="177"/>
      <c r="AC96" s="177"/>
      <c r="AD96" s="177"/>
      <c r="AE96" s="177"/>
      <c r="AF96" s="177"/>
      <c r="AG96" s="180" t="s">
        <v>1345</v>
      </c>
      <c r="AH96" s="173" t="s">
        <v>69</v>
      </c>
      <c r="AI96" s="181" t="s">
        <v>142</v>
      </c>
      <c r="AJ96" s="181" t="s">
        <v>2283</v>
      </c>
      <c r="AK96" s="181"/>
      <c r="AL96" s="181">
        <v>44880</v>
      </c>
      <c r="AM96" s="181"/>
      <c r="AN96" s="181">
        <f t="shared" ca="1" si="10"/>
        <v>44958</v>
      </c>
      <c r="AO96" s="173">
        <f t="shared" ca="1" si="8"/>
        <v>78</v>
      </c>
      <c r="AP96" s="173" t="str">
        <f t="shared" si="11"/>
        <v/>
      </c>
      <c r="AQ96" s="181"/>
      <c r="AR96" s="190" t="s">
        <v>3874</v>
      </c>
      <c r="AS96" s="176">
        <v>12.215</v>
      </c>
      <c r="AT96" s="176">
        <v>12.225</v>
      </c>
      <c r="AU96" s="176">
        <v>12.249999999999998</v>
      </c>
      <c r="AV96" s="176">
        <v>12.254999999999999</v>
      </c>
      <c r="AW96" s="173">
        <f t="shared" ca="1" si="12"/>
        <v>28</v>
      </c>
      <c r="AX96" s="142">
        <v>459</v>
      </c>
      <c r="AZ96" s="142" t="s">
        <v>123</v>
      </c>
    </row>
    <row r="97" spans="2:52" s="142" customFormat="1" ht="21" customHeight="1" x14ac:dyDescent="0.25">
      <c r="B97" s="173" t="str">
        <f t="shared" si="9"/>
        <v>0-304L/2B-1.20X767</v>
      </c>
      <c r="C97" s="201" t="s">
        <v>4638</v>
      </c>
      <c r="D97" s="173" t="s">
        <v>4432</v>
      </c>
      <c r="E97" s="190" t="s">
        <v>3875</v>
      </c>
      <c r="F97" s="201" t="s">
        <v>4639</v>
      </c>
      <c r="G97" s="173" t="s">
        <v>182</v>
      </c>
      <c r="H97" s="173" t="s">
        <v>114</v>
      </c>
      <c r="I97" s="174">
        <v>3.78</v>
      </c>
      <c r="J97" s="174">
        <v>1.2</v>
      </c>
      <c r="K97" s="203">
        <v>1.19</v>
      </c>
      <c r="L97" s="203">
        <v>1.2</v>
      </c>
      <c r="M97" s="191">
        <v>767</v>
      </c>
      <c r="N97" s="176">
        <f>12.095-4.125</f>
        <v>7.9700000000000006</v>
      </c>
      <c r="O97" s="176">
        <f>4.12+3.965</f>
        <v>8.0850000000000009</v>
      </c>
      <c r="P97" s="176"/>
      <c r="Q97" s="176">
        <v>0.03</v>
      </c>
      <c r="R97" s="176" t="s">
        <v>114</v>
      </c>
      <c r="S97" s="209" t="s">
        <v>4624</v>
      </c>
      <c r="T97" s="178" t="s">
        <v>1344</v>
      </c>
      <c r="U97" s="178"/>
      <c r="V97" s="179"/>
      <c r="W97" s="177">
        <v>44929</v>
      </c>
      <c r="X97" s="177"/>
      <c r="Y97" s="177">
        <v>44930</v>
      </c>
      <c r="Z97" s="177"/>
      <c r="AA97" s="177"/>
      <c r="AB97" s="177"/>
      <c r="AC97" s="177"/>
      <c r="AD97" s="177"/>
      <c r="AE97" s="177"/>
      <c r="AF97" s="177"/>
      <c r="AG97" s="180" t="s">
        <v>1345</v>
      </c>
      <c r="AH97" s="173" t="s">
        <v>69</v>
      </c>
      <c r="AI97" s="181" t="s">
        <v>142</v>
      </c>
      <c r="AJ97" s="181" t="s">
        <v>2283</v>
      </c>
      <c r="AK97" s="181"/>
      <c r="AL97" s="181">
        <v>44880</v>
      </c>
      <c r="AM97" s="181"/>
      <c r="AN97" s="181">
        <f t="shared" ca="1" si="10"/>
        <v>44958</v>
      </c>
      <c r="AO97" s="173">
        <f t="shared" ca="1" si="8"/>
        <v>78</v>
      </c>
      <c r="AP97" s="173" t="str">
        <f t="shared" si="11"/>
        <v/>
      </c>
      <c r="AQ97" s="181"/>
      <c r="AR97" s="190" t="s">
        <v>3874</v>
      </c>
      <c r="AS97" s="176">
        <v>12.215</v>
      </c>
      <c r="AT97" s="176">
        <v>12.225</v>
      </c>
      <c r="AU97" s="176">
        <v>12.249999999999998</v>
      </c>
      <c r="AV97" s="176">
        <v>12.254999999999999</v>
      </c>
      <c r="AW97" s="173">
        <f t="shared" ca="1" si="12"/>
        <v>28</v>
      </c>
      <c r="AX97" s="142">
        <v>459</v>
      </c>
      <c r="AZ97" s="142" t="s">
        <v>123</v>
      </c>
    </row>
    <row r="98" spans="2:52" s="142" customFormat="1" ht="21" customHeight="1" x14ac:dyDescent="0.25">
      <c r="B98" s="173" t="str">
        <f t="shared" si="9"/>
        <v>0-304/2B-0.95X770</v>
      </c>
      <c r="C98" s="201" t="s">
        <v>4638</v>
      </c>
      <c r="D98" s="173" t="s">
        <v>4432</v>
      </c>
      <c r="E98" s="190" t="s">
        <v>3866</v>
      </c>
      <c r="F98" s="201" t="s">
        <v>4640</v>
      </c>
      <c r="G98" s="173">
        <v>304</v>
      </c>
      <c r="H98" s="173" t="s">
        <v>114</v>
      </c>
      <c r="I98" s="174">
        <v>2.88</v>
      </c>
      <c r="J98" s="174">
        <v>0.95</v>
      </c>
      <c r="K98" s="203">
        <v>0.94</v>
      </c>
      <c r="L98" s="203">
        <v>0.97</v>
      </c>
      <c r="M98" s="191">
        <v>770</v>
      </c>
      <c r="N98" s="349">
        <v>10.565</v>
      </c>
      <c r="O98" s="176">
        <v>4.99</v>
      </c>
      <c r="P98" s="176"/>
      <c r="Q98" s="176"/>
      <c r="R98" s="176" t="s">
        <v>114</v>
      </c>
      <c r="S98" s="209" t="s">
        <v>4624</v>
      </c>
      <c r="T98" s="178" t="s">
        <v>1344</v>
      </c>
      <c r="U98" s="178"/>
      <c r="V98" s="179"/>
      <c r="W98" s="177">
        <v>44929</v>
      </c>
      <c r="X98" s="177"/>
      <c r="Y98" s="177">
        <v>44929</v>
      </c>
      <c r="Z98" s="177"/>
      <c r="AA98" s="177"/>
      <c r="AB98" s="177"/>
      <c r="AC98" s="177"/>
      <c r="AD98" s="177"/>
      <c r="AE98" s="177"/>
      <c r="AF98" s="177"/>
      <c r="AG98" s="180" t="s">
        <v>2479</v>
      </c>
      <c r="AH98" s="173" t="s">
        <v>69</v>
      </c>
      <c r="AI98" s="181" t="s">
        <v>142</v>
      </c>
      <c r="AJ98" s="181" t="s">
        <v>1584</v>
      </c>
      <c r="AK98" s="181"/>
      <c r="AL98" s="181">
        <v>44914</v>
      </c>
      <c r="AM98" s="181"/>
      <c r="AN98" s="181">
        <f t="shared" ca="1" si="10"/>
        <v>44958</v>
      </c>
      <c r="AO98" s="173">
        <f t="shared" ca="1" si="8"/>
        <v>44</v>
      </c>
      <c r="AP98" s="173" t="str">
        <f t="shared" si="11"/>
        <v/>
      </c>
      <c r="AQ98" s="181"/>
      <c r="AR98" s="190" t="s">
        <v>3868</v>
      </c>
      <c r="AS98" s="176">
        <v>10.55</v>
      </c>
      <c r="AT98" s="176">
        <v>10.56</v>
      </c>
      <c r="AU98" s="176">
        <v>10.584999999999999</v>
      </c>
      <c r="AV98" s="176">
        <v>10.59</v>
      </c>
      <c r="AW98" s="173">
        <f t="shared" ca="1" si="12"/>
        <v>29</v>
      </c>
      <c r="AX98" s="142">
        <v>462</v>
      </c>
      <c r="AZ98" s="142" t="s">
        <v>123</v>
      </c>
    </row>
    <row r="99" spans="2:52" s="142" customFormat="1" ht="21" customHeight="1" x14ac:dyDescent="0.25">
      <c r="B99" s="173" t="str">
        <f t="shared" si="9"/>
        <v>0-304/2B-0.95X770</v>
      </c>
      <c r="C99" s="201" t="s">
        <v>4641</v>
      </c>
      <c r="D99" s="173" t="s">
        <v>836</v>
      </c>
      <c r="E99" s="190" t="s">
        <v>3866</v>
      </c>
      <c r="F99" s="201" t="s">
        <v>4642</v>
      </c>
      <c r="G99" s="173">
        <v>304</v>
      </c>
      <c r="H99" s="173" t="s">
        <v>114</v>
      </c>
      <c r="I99" s="174">
        <v>2.88</v>
      </c>
      <c r="J99" s="174">
        <v>0.95</v>
      </c>
      <c r="K99" s="203">
        <v>0.94</v>
      </c>
      <c r="L99" s="203">
        <v>0.97</v>
      </c>
      <c r="M99" s="191">
        <v>770</v>
      </c>
      <c r="N99" s="350"/>
      <c r="O99" s="176">
        <v>5.5750000000000002</v>
      </c>
      <c r="P99" s="176"/>
      <c r="Q99" s="176"/>
      <c r="R99" s="176" t="s">
        <v>114</v>
      </c>
      <c r="S99" s="209"/>
      <c r="T99" s="178" t="s">
        <v>1344</v>
      </c>
      <c r="U99" s="178"/>
      <c r="V99" s="179"/>
      <c r="W99" s="177">
        <v>44929</v>
      </c>
      <c r="X99" s="177"/>
      <c r="Y99" s="177">
        <v>44929</v>
      </c>
      <c r="Z99" s="177"/>
      <c r="AA99" s="177">
        <v>44936</v>
      </c>
      <c r="AB99" s="177"/>
      <c r="AC99" s="177"/>
      <c r="AD99" s="177"/>
      <c r="AE99" s="177"/>
      <c r="AF99" s="177"/>
      <c r="AG99" s="180" t="s">
        <v>2479</v>
      </c>
      <c r="AH99" s="173" t="s">
        <v>69</v>
      </c>
      <c r="AI99" s="181" t="s">
        <v>142</v>
      </c>
      <c r="AJ99" s="181" t="s">
        <v>1584</v>
      </c>
      <c r="AK99" s="181"/>
      <c r="AL99" s="181">
        <v>44914</v>
      </c>
      <c r="AM99" s="181"/>
      <c r="AN99" s="181">
        <f t="shared" ca="1" si="10"/>
        <v>44958</v>
      </c>
      <c r="AO99" s="173">
        <f t="shared" ca="1" si="8"/>
        <v>44</v>
      </c>
      <c r="AP99" s="173">
        <f t="shared" ca="1" si="11"/>
        <v>22</v>
      </c>
      <c r="AQ99" s="181"/>
      <c r="AR99" s="190" t="s">
        <v>3868</v>
      </c>
      <c r="AS99" s="176">
        <v>10.55</v>
      </c>
      <c r="AT99" s="176">
        <v>10.56</v>
      </c>
      <c r="AU99" s="176">
        <v>10.584999999999999</v>
      </c>
      <c r="AV99" s="176">
        <v>10.59</v>
      </c>
      <c r="AW99" s="173">
        <f t="shared" ca="1" si="12"/>
        <v>29</v>
      </c>
      <c r="AX99" s="142">
        <v>462</v>
      </c>
      <c r="AZ99" s="142" t="s">
        <v>123</v>
      </c>
    </row>
    <row r="100" spans="2:52" s="142" customFormat="1" ht="21" customHeight="1" x14ac:dyDescent="0.25">
      <c r="B100" s="173" t="str">
        <f t="shared" si="9"/>
        <v>0-304/2B-0.50X641</v>
      </c>
      <c r="C100" s="201" t="s">
        <v>4641</v>
      </c>
      <c r="D100" s="173" t="s">
        <v>836</v>
      </c>
      <c r="E100" s="190" t="s">
        <v>3933</v>
      </c>
      <c r="F100" s="201" t="s">
        <v>3934</v>
      </c>
      <c r="G100" s="173">
        <v>304</v>
      </c>
      <c r="H100" s="173" t="s">
        <v>114</v>
      </c>
      <c r="I100" s="174">
        <v>2.48</v>
      </c>
      <c r="J100" s="174">
        <v>0.5</v>
      </c>
      <c r="K100" s="203">
        <v>0.47</v>
      </c>
      <c r="L100" s="203">
        <v>0.51</v>
      </c>
      <c r="M100" s="191">
        <v>641</v>
      </c>
      <c r="N100" s="176">
        <v>10.130000000000001</v>
      </c>
      <c r="O100" s="176">
        <v>10.065</v>
      </c>
      <c r="P100" s="176"/>
      <c r="Q100" s="176">
        <v>6.5000000000000002E-2</v>
      </c>
      <c r="R100" s="176" t="s">
        <v>114</v>
      </c>
      <c r="S100" s="209"/>
      <c r="T100" s="178" t="s">
        <v>1344</v>
      </c>
      <c r="U100" s="178"/>
      <c r="V100" s="179"/>
      <c r="W100" s="177">
        <v>44932</v>
      </c>
      <c r="X100" s="177"/>
      <c r="Y100" s="177">
        <v>44932</v>
      </c>
      <c r="Z100" s="177"/>
      <c r="AA100" s="177">
        <v>44936</v>
      </c>
      <c r="AB100" s="177"/>
      <c r="AC100" s="177"/>
      <c r="AD100" s="177"/>
      <c r="AE100" s="177"/>
      <c r="AF100" s="177"/>
      <c r="AG100" s="180" t="s">
        <v>2479</v>
      </c>
      <c r="AH100" s="173" t="s">
        <v>69</v>
      </c>
      <c r="AI100" s="181" t="s">
        <v>142</v>
      </c>
      <c r="AJ100" s="181" t="s">
        <v>1594</v>
      </c>
      <c r="AK100" s="181"/>
      <c r="AL100" s="181">
        <v>44849</v>
      </c>
      <c r="AM100" s="181"/>
      <c r="AN100" s="181">
        <f t="shared" ca="1" si="10"/>
        <v>44958</v>
      </c>
      <c r="AO100" s="173">
        <f t="shared" ca="1" si="8"/>
        <v>109</v>
      </c>
      <c r="AP100" s="173">
        <f t="shared" ca="1" si="11"/>
        <v>22</v>
      </c>
      <c r="AQ100" s="181"/>
      <c r="AR100" s="190" t="s">
        <v>3935</v>
      </c>
      <c r="AS100" s="176">
        <v>10.135</v>
      </c>
      <c r="AT100" s="176">
        <v>10.145</v>
      </c>
      <c r="AU100" s="176">
        <v>10.169999999999998</v>
      </c>
      <c r="AV100" s="176">
        <v>10.174999999999999</v>
      </c>
      <c r="AW100" s="173">
        <f t="shared" ca="1" si="12"/>
        <v>26</v>
      </c>
      <c r="AX100" s="142">
        <v>456</v>
      </c>
      <c r="AZ100" s="142" t="s">
        <v>123</v>
      </c>
    </row>
    <row r="101" spans="2:52" s="142" customFormat="1" ht="21" customHeight="1" x14ac:dyDescent="0.25">
      <c r="B101" s="173" t="str">
        <f t="shared" si="9"/>
        <v>0-304/2B-0.80X772</v>
      </c>
      <c r="C101" s="201" t="s">
        <v>4638</v>
      </c>
      <c r="D101" s="173" t="s">
        <v>4432</v>
      </c>
      <c r="E101" s="190" t="s">
        <v>4643</v>
      </c>
      <c r="F101" s="201" t="s">
        <v>4644</v>
      </c>
      <c r="G101" s="173">
        <v>304</v>
      </c>
      <c r="H101" s="173" t="s">
        <v>114</v>
      </c>
      <c r="I101" s="174">
        <v>2.88</v>
      </c>
      <c r="J101" s="174">
        <v>0.8</v>
      </c>
      <c r="K101" s="203">
        <v>0.78</v>
      </c>
      <c r="L101" s="203">
        <v>0.8</v>
      </c>
      <c r="M101" s="191">
        <v>772</v>
      </c>
      <c r="N101" s="176">
        <v>11.955</v>
      </c>
      <c r="O101" s="176">
        <f>4.075+3.98+3.815</f>
        <v>11.87</v>
      </c>
      <c r="P101" s="176"/>
      <c r="Q101" s="176">
        <v>8.5000000000000006E-2</v>
      </c>
      <c r="R101" s="176" t="s">
        <v>114</v>
      </c>
      <c r="S101" s="209" t="s">
        <v>4645</v>
      </c>
      <c r="T101" s="178" t="s">
        <v>4646</v>
      </c>
      <c r="U101" s="178"/>
      <c r="V101" s="179"/>
      <c r="W101" s="177">
        <v>44909</v>
      </c>
      <c r="X101" s="177"/>
      <c r="Y101" s="177">
        <v>44910</v>
      </c>
      <c r="Z101" s="177"/>
      <c r="AA101" s="177"/>
      <c r="AB101" s="177"/>
      <c r="AC101" s="177"/>
      <c r="AD101" s="177"/>
      <c r="AE101" s="177"/>
      <c r="AF101" s="177"/>
      <c r="AG101" s="180" t="s">
        <v>1619</v>
      </c>
      <c r="AH101" s="173" t="s">
        <v>69</v>
      </c>
      <c r="AI101" s="181" t="s">
        <v>142</v>
      </c>
      <c r="AJ101" s="181" t="s">
        <v>2283</v>
      </c>
      <c r="AK101" s="181"/>
      <c r="AL101" s="181">
        <v>44880</v>
      </c>
      <c r="AM101" s="181"/>
      <c r="AN101" s="181">
        <f t="shared" ca="1" si="10"/>
        <v>44958</v>
      </c>
      <c r="AO101" s="173">
        <f t="shared" ca="1" si="8"/>
        <v>78</v>
      </c>
      <c r="AP101" s="173" t="str">
        <f t="shared" si="11"/>
        <v/>
      </c>
      <c r="AQ101" s="181"/>
      <c r="AR101" s="190" t="s">
        <v>4647</v>
      </c>
      <c r="AS101" s="176">
        <v>11.91</v>
      </c>
      <c r="AT101" s="176">
        <v>11.92</v>
      </c>
      <c r="AU101" s="176">
        <v>11.944999999999999</v>
      </c>
      <c r="AV101" s="176">
        <v>11.95</v>
      </c>
      <c r="AW101" s="173">
        <f t="shared" ca="1" si="12"/>
        <v>48</v>
      </c>
      <c r="AX101" s="142">
        <v>459</v>
      </c>
      <c r="AZ101" s="142" t="s">
        <v>123</v>
      </c>
    </row>
    <row r="102" spans="2:52" s="142" customFormat="1" ht="21" customHeight="1" x14ac:dyDescent="0.25">
      <c r="B102" s="173" t="str">
        <f t="shared" si="9"/>
        <v>0-304/2B-0.95X777</v>
      </c>
      <c r="C102" s="201" t="s">
        <v>4638</v>
      </c>
      <c r="D102" s="173" t="s">
        <v>4432</v>
      </c>
      <c r="E102" s="190" t="s">
        <v>3892</v>
      </c>
      <c r="F102" s="201" t="s">
        <v>4648</v>
      </c>
      <c r="G102" s="173">
        <v>304</v>
      </c>
      <c r="H102" s="173" t="s">
        <v>114</v>
      </c>
      <c r="I102" s="174">
        <v>2.95</v>
      </c>
      <c r="J102" s="174">
        <v>0.95</v>
      </c>
      <c r="K102" s="203">
        <v>0.92</v>
      </c>
      <c r="L102" s="203">
        <v>0.94</v>
      </c>
      <c r="M102" s="191">
        <v>777</v>
      </c>
      <c r="N102" s="349">
        <v>10.68</v>
      </c>
      <c r="O102" s="176">
        <v>5.1749999999999998</v>
      </c>
      <c r="P102" s="176"/>
      <c r="Q102" s="176"/>
      <c r="R102" s="176" t="s">
        <v>114</v>
      </c>
      <c r="S102" s="209" t="s">
        <v>4624</v>
      </c>
      <c r="T102" s="178" t="s">
        <v>1344</v>
      </c>
      <c r="U102" s="178"/>
      <c r="V102" s="179"/>
      <c r="W102" s="177">
        <v>44930</v>
      </c>
      <c r="X102" s="177"/>
      <c r="Y102" s="177">
        <v>44930</v>
      </c>
      <c r="Z102" s="177"/>
      <c r="AA102" s="177"/>
      <c r="AB102" s="177"/>
      <c r="AC102" s="177"/>
      <c r="AD102" s="177">
        <v>44926</v>
      </c>
      <c r="AE102" s="177"/>
      <c r="AF102" s="177"/>
      <c r="AG102" s="180" t="s">
        <v>1345</v>
      </c>
      <c r="AH102" s="173" t="s">
        <v>69</v>
      </c>
      <c r="AI102" s="181" t="s">
        <v>142</v>
      </c>
      <c r="AJ102" s="181" t="s">
        <v>1346</v>
      </c>
      <c r="AK102" s="181"/>
      <c r="AL102" s="181">
        <v>44813</v>
      </c>
      <c r="AM102" s="181"/>
      <c r="AN102" s="181">
        <f t="shared" ca="1" si="10"/>
        <v>44958</v>
      </c>
      <c r="AO102" s="173">
        <f t="shared" ca="1" si="8"/>
        <v>145</v>
      </c>
      <c r="AP102" s="173" t="str">
        <f t="shared" si="11"/>
        <v/>
      </c>
      <c r="AQ102" s="181"/>
      <c r="AR102" s="190" t="s">
        <v>3894</v>
      </c>
      <c r="AS102" s="176">
        <v>21.414999999999999</v>
      </c>
      <c r="AT102" s="176">
        <v>21.475000000000001</v>
      </c>
      <c r="AU102" s="176">
        <v>21.500000000000004</v>
      </c>
      <c r="AV102" s="176">
        <v>21.505000000000003</v>
      </c>
      <c r="AW102" s="173">
        <f t="shared" ca="1" si="12"/>
        <v>28</v>
      </c>
      <c r="AX102" s="142">
        <v>451</v>
      </c>
      <c r="AZ102" s="142" t="s">
        <v>123</v>
      </c>
    </row>
    <row r="103" spans="2:52" s="142" customFormat="1" ht="21" customHeight="1" x14ac:dyDescent="0.25">
      <c r="B103" s="173" t="str">
        <f t="shared" si="9"/>
        <v>0-304/2B-0.95X777</v>
      </c>
      <c r="C103" s="201" t="s">
        <v>4641</v>
      </c>
      <c r="D103" s="173" t="s">
        <v>836</v>
      </c>
      <c r="E103" s="190" t="s">
        <v>3892</v>
      </c>
      <c r="F103" s="201" t="s">
        <v>4649</v>
      </c>
      <c r="G103" s="173">
        <v>304</v>
      </c>
      <c r="H103" s="173" t="s">
        <v>114</v>
      </c>
      <c r="I103" s="174">
        <v>2.95</v>
      </c>
      <c r="J103" s="174">
        <v>0.95</v>
      </c>
      <c r="K103" s="203">
        <v>0.92</v>
      </c>
      <c r="L103" s="203">
        <v>0.94</v>
      </c>
      <c r="M103" s="191">
        <v>777</v>
      </c>
      <c r="N103" s="350"/>
      <c r="O103" s="176">
        <v>5.48</v>
      </c>
      <c r="P103" s="176"/>
      <c r="Q103" s="176">
        <v>2.5000000000000001E-2</v>
      </c>
      <c r="R103" s="176" t="s">
        <v>114</v>
      </c>
      <c r="S103" s="209"/>
      <c r="T103" s="178" t="s">
        <v>1344</v>
      </c>
      <c r="U103" s="178"/>
      <c r="V103" s="179"/>
      <c r="W103" s="177">
        <v>44930</v>
      </c>
      <c r="X103" s="177"/>
      <c r="Y103" s="177">
        <v>44930</v>
      </c>
      <c r="Z103" s="177"/>
      <c r="AA103" s="177">
        <v>44936</v>
      </c>
      <c r="AB103" s="177"/>
      <c r="AC103" s="177"/>
      <c r="AD103" s="177">
        <v>44926</v>
      </c>
      <c r="AE103" s="177"/>
      <c r="AF103" s="177"/>
      <c r="AG103" s="180" t="s">
        <v>1345</v>
      </c>
      <c r="AH103" s="173" t="s">
        <v>69</v>
      </c>
      <c r="AI103" s="181" t="s">
        <v>142</v>
      </c>
      <c r="AJ103" s="181" t="s">
        <v>1346</v>
      </c>
      <c r="AK103" s="181"/>
      <c r="AL103" s="181">
        <v>44813</v>
      </c>
      <c r="AM103" s="181"/>
      <c r="AN103" s="181">
        <f t="shared" ca="1" si="10"/>
        <v>44958</v>
      </c>
      <c r="AO103" s="173">
        <f t="shared" ca="1" si="8"/>
        <v>145</v>
      </c>
      <c r="AP103" s="173">
        <f t="shared" ca="1" si="11"/>
        <v>22</v>
      </c>
      <c r="AQ103" s="181"/>
      <c r="AR103" s="190" t="s">
        <v>3894</v>
      </c>
      <c r="AS103" s="176">
        <v>21.414999999999999</v>
      </c>
      <c r="AT103" s="176">
        <v>21.475000000000001</v>
      </c>
      <c r="AU103" s="176">
        <v>21.500000000000004</v>
      </c>
      <c r="AV103" s="176">
        <v>21.505000000000003</v>
      </c>
      <c r="AW103" s="173">
        <f t="shared" ca="1" si="12"/>
        <v>28</v>
      </c>
      <c r="AX103" s="142">
        <v>451</v>
      </c>
      <c r="AZ103" s="142" t="s">
        <v>123</v>
      </c>
    </row>
    <row r="104" spans="2:52" s="142" customFormat="1" ht="21" customHeight="1" x14ac:dyDescent="0.25">
      <c r="B104" s="173" t="str">
        <f t="shared" si="9"/>
        <v>0-304/2B-1.20X773</v>
      </c>
      <c r="C104" s="201" t="s">
        <v>4641</v>
      </c>
      <c r="D104" s="173" t="s">
        <v>836</v>
      </c>
      <c r="E104" s="190" t="s">
        <v>4650</v>
      </c>
      <c r="F104" s="201" t="s">
        <v>4651</v>
      </c>
      <c r="G104" s="173">
        <v>304</v>
      </c>
      <c r="H104" s="173" t="s">
        <v>114</v>
      </c>
      <c r="I104" s="174">
        <v>3.78</v>
      </c>
      <c r="J104" s="174">
        <v>1.2</v>
      </c>
      <c r="K104" s="203">
        <v>1.2</v>
      </c>
      <c r="L104" s="203">
        <v>1.22</v>
      </c>
      <c r="M104" s="191">
        <v>773</v>
      </c>
      <c r="N104" s="349">
        <v>10.52</v>
      </c>
      <c r="O104" s="176">
        <v>4.6349999999999998</v>
      </c>
      <c r="P104" s="176"/>
      <c r="Q104" s="176"/>
      <c r="R104" s="176" t="s">
        <v>114</v>
      </c>
      <c r="S104" s="209"/>
      <c r="T104" s="178" t="s">
        <v>1344</v>
      </c>
      <c r="U104" s="178"/>
      <c r="V104" s="179"/>
      <c r="W104" s="177">
        <v>44923</v>
      </c>
      <c r="X104" s="177"/>
      <c r="Y104" s="177">
        <v>44923</v>
      </c>
      <c r="Z104" s="177"/>
      <c r="AA104" s="177">
        <v>44936</v>
      </c>
      <c r="AB104" s="177"/>
      <c r="AC104" s="177"/>
      <c r="AD104" s="177"/>
      <c r="AE104" s="177"/>
      <c r="AF104" s="177"/>
      <c r="AG104" s="180" t="s">
        <v>2479</v>
      </c>
      <c r="AH104" s="173" t="s">
        <v>69</v>
      </c>
      <c r="AI104" s="181" t="s">
        <v>142</v>
      </c>
      <c r="AJ104" s="181" t="s">
        <v>2283</v>
      </c>
      <c r="AK104" s="181"/>
      <c r="AL104" s="181">
        <v>44880</v>
      </c>
      <c r="AM104" s="181"/>
      <c r="AN104" s="181">
        <f t="shared" ca="1" si="10"/>
        <v>44958</v>
      </c>
      <c r="AO104" s="173">
        <f t="shared" ca="1" si="8"/>
        <v>78</v>
      </c>
      <c r="AP104" s="173">
        <f t="shared" ca="1" si="11"/>
        <v>22</v>
      </c>
      <c r="AQ104" s="181"/>
      <c r="AR104" s="190" t="s">
        <v>4652</v>
      </c>
      <c r="AS104" s="176">
        <v>10.52</v>
      </c>
      <c r="AT104" s="176">
        <v>10.53</v>
      </c>
      <c r="AU104" s="176">
        <v>10.554999999999998</v>
      </c>
      <c r="AV104" s="176">
        <v>10.559999999999999</v>
      </c>
      <c r="AW104" s="173">
        <f t="shared" ca="1" si="12"/>
        <v>35</v>
      </c>
      <c r="AX104" s="142">
        <v>459</v>
      </c>
      <c r="AZ104" s="142" t="s">
        <v>123</v>
      </c>
    </row>
    <row r="105" spans="2:52" s="142" customFormat="1" ht="21" customHeight="1" x14ac:dyDescent="0.25">
      <c r="B105" s="173" t="str">
        <f t="shared" si="9"/>
        <v>0-304/2B-1.20X773</v>
      </c>
      <c r="C105" s="201" t="s">
        <v>4638</v>
      </c>
      <c r="D105" s="173" t="s">
        <v>4432</v>
      </c>
      <c r="E105" s="190" t="s">
        <v>4650</v>
      </c>
      <c r="F105" s="201" t="s">
        <v>4653</v>
      </c>
      <c r="G105" s="173">
        <v>304</v>
      </c>
      <c r="H105" s="173" t="s">
        <v>114</v>
      </c>
      <c r="I105" s="174">
        <v>3.78</v>
      </c>
      <c r="J105" s="174">
        <v>1.2</v>
      </c>
      <c r="K105" s="203">
        <v>1.2</v>
      </c>
      <c r="L105" s="203">
        <v>1.22</v>
      </c>
      <c r="M105" s="191">
        <v>773</v>
      </c>
      <c r="N105" s="350"/>
      <c r="O105" s="176">
        <v>5.84</v>
      </c>
      <c r="P105" s="176"/>
      <c r="Q105" s="176">
        <v>4.4999999999999998E-2</v>
      </c>
      <c r="R105" s="176" t="s">
        <v>114</v>
      </c>
      <c r="S105" s="209" t="s">
        <v>4654</v>
      </c>
      <c r="T105" s="178" t="s">
        <v>1344</v>
      </c>
      <c r="U105" s="178"/>
      <c r="V105" s="179"/>
      <c r="W105" s="177">
        <v>44923</v>
      </c>
      <c r="X105" s="177"/>
      <c r="Y105" s="177">
        <v>44923</v>
      </c>
      <c r="Z105" s="177"/>
      <c r="AA105" s="177"/>
      <c r="AB105" s="177"/>
      <c r="AC105" s="177"/>
      <c r="AD105" s="177"/>
      <c r="AE105" s="177"/>
      <c r="AF105" s="177"/>
      <c r="AG105" s="180" t="s">
        <v>2479</v>
      </c>
      <c r="AH105" s="173" t="s">
        <v>69</v>
      </c>
      <c r="AI105" s="181" t="s">
        <v>142</v>
      </c>
      <c r="AJ105" s="181" t="s">
        <v>2283</v>
      </c>
      <c r="AK105" s="181"/>
      <c r="AL105" s="181">
        <v>44880</v>
      </c>
      <c r="AM105" s="181"/>
      <c r="AN105" s="181">
        <f t="shared" ca="1" si="10"/>
        <v>44958</v>
      </c>
      <c r="AO105" s="173">
        <f t="shared" ca="1" si="8"/>
        <v>78</v>
      </c>
      <c r="AP105" s="173" t="str">
        <f t="shared" si="11"/>
        <v/>
      </c>
      <c r="AQ105" s="181"/>
      <c r="AR105" s="190" t="s">
        <v>4652</v>
      </c>
      <c r="AS105" s="176">
        <v>10.52</v>
      </c>
      <c r="AT105" s="176">
        <v>10.53</v>
      </c>
      <c r="AU105" s="176">
        <v>10.554999999999998</v>
      </c>
      <c r="AV105" s="176">
        <v>10.559999999999999</v>
      </c>
      <c r="AW105" s="173">
        <f t="shared" ca="1" si="12"/>
        <v>35</v>
      </c>
      <c r="AX105" s="142">
        <v>459</v>
      </c>
      <c r="AZ105" s="142" t="s">
        <v>123</v>
      </c>
    </row>
    <row r="106" spans="2:52" s="142" customFormat="1" ht="21" customHeight="1" x14ac:dyDescent="0.25">
      <c r="B106" s="173" t="str">
        <f t="shared" si="9"/>
        <v>0-304/2B-2.00X774</v>
      </c>
      <c r="C106" s="201" t="s">
        <v>4638</v>
      </c>
      <c r="D106" s="173" t="s">
        <v>4432</v>
      </c>
      <c r="E106" s="190" t="s">
        <v>4655</v>
      </c>
      <c r="F106" s="201" t="s">
        <v>4656</v>
      </c>
      <c r="G106" s="173">
        <v>304</v>
      </c>
      <c r="H106" s="173" t="s">
        <v>114</v>
      </c>
      <c r="I106" s="174">
        <v>4.37</v>
      </c>
      <c r="J106" s="174">
        <v>2</v>
      </c>
      <c r="K106" s="203">
        <v>2.0099999999999998</v>
      </c>
      <c r="L106" s="203">
        <v>2.0299999999999998</v>
      </c>
      <c r="M106" s="191">
        <v>774</v>
      </c>
      <c r="N106" s="176">
        <v>10.56</v>
      </c>
      <c r="O106" s="176">
        <f>5.635+4.885</f>
        <v>10.52</v>
      </c>
      <c r="P106" s="176"/>
      <c r="Q106" s="176">
        <v>0.04</v>
      </c>
      <c r="R106" s="176" t="s">
        <v>114</v>
      </c>
      <c r="S106" s="209" t="s">
        <v>4645</v>
      </c>
      <c r="T106" s="178" t="s">
        <v>1344</v>
      </c>
      <c r="U106" s="178"/>
      <c r="V106" s="179"/>
      <c r="W106" s="177">
        <v>44911</v>
      </c>
      <c r="X106" s="177"/>
      <c r="Y106" s="177">
        <v>44911</v>
      </c>
      <c r="Z106" s="177"/>
      <c r="AA106" s="177"/>
      <c r="AB106" s="177"/>
      <c r="AC106" s="177"/>
      <c r="AD106" s="177"/>
      <c r="AE106" s="177"/>
      <c r="AF106" s="177"/>
      <c r="AG106" s="180" t="s">
        <v>1619</v>
      </c>
      <c r="AH106" s="173" t="s">
        <v>69</v>
      </c>
      <c r="AI106" s="181" t="s">
        <v>142</v>
      </c>
      <c r="AJ106" s="181" t="s">
        <v>1887</v>
      </c>
      <c r="AK106" s="181"/>
      <c r="AL106" s="181">
        <v>44880</v>
      </c>
      <c r="AM106" s="181"/>
      <c r="AN106" s="181">
        <f t="shared" ca="1" si="10"/>
        <v>44958</v>
      </c>
      <c r="AO106" s="173">
        <f ca="1">IF(AL106&lt;&gt;0,AN106-AL106,0)</f>
        <v>78</v>
      </c>
      <c r="AP106" s="173" t="str">
        <f t="shared" si="11"/>
        <v/>
      </c>
      <c r="AQ106" s="181"/>
      <c r="AR106" s="190" t="s">
        <v>4079</v>
      </c>
      <c r="AS106" s="176">
        <v>10.59</v>
      </c>
      <c r="AT106" s="176">
        <v>10.6</v>
      </c>
      <c r="AU106" s="176">
        <v>10.624999999999998</v>
      </c>
      <c r="AV106" s="176">
        <v>10.629999999999999</v>
      </c>
      <c r="AW106" s="173">
        <f t="shared" ca="1" si="12"/>
        <v>47</v>
      </c>
      <c r="AX106" s="142">
        <v>459</v>
      </c>
      <c r="AZ106" s="142" t="s">
        <v>123</v>
      </c>
    </row>
    <row r="107" spans="2:52" s="142" customFormat="1" ht="21" customHeight="1" x14ac:dyDescent="0.25">
      <c r="B107" s="173" t="str">
        <f t="shared" si="9"/>
        <v>0-304/2B-1.10X777</v>
      </c>
      <c r="C107" s="201" t="s">
        <v>4638</v>
      </c>
      <c r="D107" s="173" t="s">
        <v>4432</v>
      </c>
      <c r="E107" s="190" t="s">
        <v>3877</v>
      </c>
      <c r="F107" s="201" t="s">
        <v>4657</v>
      </c>
      <c r="G107" s="173">
        <v>304</v>
      </c>
      <c r="H107" s="173" t="s">
        <v>114</v>
      </c>
      <c r="I107" s="174">
        <v>3.18</v>
      </c>
      <c r="J107" s="174">
        <v>1.1000000000000001</v>
      </c>
      <c r="K107" s="203">
        <v>1.1000000000000001</v>
      </c>
      <c r="L107" s="203">
        <v>1.1100000000000001</v>
      </c>
      <c r="M107" s="191">
        <v>777</v>
      </c>
      <c r="N107" s="176">
        <v>10.685</v>
      </c>
      <c r="O107" s="176">
        <f>5.215+5.45</f>
        <v>10.664999999999999</v>
      </c>
      <c r="P107" s="176"/>
      <c r="Q107" s="176">
        <v>0.02</v>
      </c>
      <c r="R107" s="176" t="s">
        <v>114</v>
      </c>
      <c r="S107" s="209" t="s">
        <v>4658</v>
      </c>
      <c r="T107" s="178" t="s">
        <v>4358</v>
      </c>
      <c r="U107" s="178"/>
      <c r="V107" s="179"/>
      <c r="W107" s="177">
        <v>44929</v>
      </c>
      <c r="X107" s="177"/>
      <c r="Y107" s="177">
        <v>44930</v>
      </c>
      <c r="Z107" s="177"/>
      <c r="AA107" s="177"/>
      <c r="AB107" s="177"/>
      <c r="AC107" s="177"/>
      <c r="AD107" s="177">
        <v>44929</v>
      </c>
      <c r="AE107" s="177"/>
      <c r="AF107" s="177"/>
      <c r="AG107" s="180" t="s">
        <v>1345</v>
      </c>
      <c r="AH107" s="173" t="s">
        <v>69</v>
      </c>
      <c r="AI107" s="181" t="s">
        <v>142</v>
      </c>
      <c r="AJ107" s="181" t="s">
        <v>1346</v>
      </c>
      <c r="AK107" s="181"/>
      <c r="AL107" s="181">
        <v>44813</v>
      </c>
      <c r="AM107" s="181"/>
      <c r="AN107" s="181">
        <f t="shared" ca="1" si="10"/>
        <v>44958</v>
      </c>
      <c r="AO107" s="173">
        <f ca="1">IF(AL107&lt;&gt;0,AN107-AL107,0)</f>
        <v>145</v>
      </c>
      <c r="AP107" s="173" t="str">
        <f t="shared" si="11"/>
        <v/>
      </c>
      <c r="AQ107" s="181"/>
      <c r="AR107" s="190" t="s">
        <v>3879</v>
      </c>
      <c r="AS107" s="176">
        <v>21.465</v>
      </c>
      <c r="AT107" s="176">
        <v>21.524999999999999</v>
      </c>
      <c r="AU107" s="176">
        <v>21.55</v>
      </c>
      <c r="AV107" s="176">
        <v>21.555</v>
      </c>
      <c r="AW107" s="173">
        <f t="shared" ca="1" si="12"/>
        <v>28</v>
      </c>
      <c r="AX107" s="142">
        <v>451</v>
      </c>
      <c r="AZ107" s="142" t="s">
        <v>123</v>
      </c>
    </row>
    <row r="108" spans="2:52" s="142" customFormat="1" ht="21" customHeight="1" x14ac:dyDescent="0.25">
      <c r="B108" s="173" t="str">
        <f t="shared" si="9"/>
        <v>0-304/2B-0.80X777</v>
      </c>
      <c r="C108" s="201" t="s">
        <v>4641</v>
      </c>
      <c r="D108" s="173" t="s">
        <v>836</v>
      </c>
      <c r="E108" s="190" t="s">
        <v>1342</v>
      </c>
      <c r="F108" s="201" t="s">
        <v>1343</v>
      </c>
      <c r="G108" s="173">
        <v>304</v>
      </c>
      <c r="H108" s="173" t="s">
        <v>114</v>
      </c>
      <c r="I108" s="174">
        <v>2.94</v>
      </c>
      <c r="J108" s="174">
        <v>0.8</v>
      </c>
      <c r="K108" s="203">
        <v>0.8</v>
      </c>
      <c r="L108" s="174">
        <v>0.82</v>
      </c>
      <c r="M108" s="191">
        <v>777</v>
      </c>
      <c r="N108" s="176">
        <v>4.7850000000000001</v>
      </c>
      <c r="O108" s="176">
        <v>4.7850000000000001</v>
      </c>
      <c r="P108" s="176"/>
      <c r="Q108" s="176"/>
      <c r="R108" s="176" t="s">
        <v>114</v>
      </c>
      <c r="S108" s="209" t="s">
        <v>4624</v>
      </c>
      <c r="T108" s="178" t="s">
        <v>1344</v>
      </c>
      <c r="U108" s="178"/>
      <c r="V108" s="179"/>
      <c r="W108" s="177">
        <v>44929</v>
      </c>
      <c r="X108" s="177"/>
      <c r="Y108" s="177">
        <v>44929</v>
      </c>
      <c r="Z108" s="177"/>
      <c r="AA108" s="177">
        <v>44936</v>
      </c>
      <c r="AB108" s="177"/>
      <c r="AC108" s="177"/>
      <c r="AD108" s="177">
        <v>44928</v>
      </c>
      <c r="AE108" s="177"/>
      <c r="AF108" s="177"/>
      <c r="AG108" s="180" t="s">
        <v>1345</v>
      </c>
      <c r="AH108" s="173" t="s">
        <v>69</v>
      </c>
      <c r="AI108" s="181" t="s">
        <v>142</v>
      </c>
      <c r="AJ108" s="181" t="s">
        <v>1346</v>
      </c>
      <c r="AK108" s="181"/>
      <c r="AL108" s="181">
        <v>44813</v>
      </c>
      <c r="AM108" s="181"/>
      <c r="AN108" s="181">
        <f t="shared" ca="1" si="10"/>
        <v>44958</v>
      </c>
      <c r="AO108" s="173">
        <f ca="1">IF(AL108&lt;&gt;0,AN108-AL108,0)</f>
        <v>145</v>
      </c>
      <c r="AP108" s="173">
        <f t="shared" ca="1" si="11"/>
        <v>22</v>
      </c>
      <c r="AQ108" s="181"/>
      <c r="AR108" s="190" t="s">
        <v>1347</v>
      </c>
      <c r="AS108" s="176">
        <v>21.414999999999999</v>
      </c>
      <c r="AT108" s="176">
        <v>21.475000000000001</v>
      </c>
      <c r="AU108" s="176">
        <v>21.500000000000004</v>
      </c>
      <c r="AV108" s="176">
        <v>21.505000000000003</v>
      </c>
      <c r="AW108" s="173">
        <f t="shared" ca="1" si="12"/>
        <v>29</v>
      </c>
      <c r="AX108" s="142">
        <v>451</v>
      </c>
      <c r="AZ108" s="142" t="s">
        <v>123</v>
      </c>
    </row>
    <row r="109" spans="2:52" s="142" customFormat="1" ht="21" customHeight="1" x14ac:dyDescent="0.25">
      <c r="B109" s="173" t="str">
        <f t="shared" si="9"/>
        <v>0-304/2B-0.80X777</v>
      </c>
      <c r="C109" s="201" t="s">
        <v>4659</v>
      </c>
      <c r="D109" s="173" t="s">
        <v>836</v>
      </c>
      <c r="E109" s="190" t="s">
        <v>1342</v>
      </c>
      <c r="F109" s="201" t="s">
        <v>1348</v>
      </c>
      <c r="G109" s="173">
        <v>304</v>
      </c>
      <c r="H109" s="173" t="s">
        <v>114</v>
      </c>
      <c r="I109" s="174">
        <v>2.94</v>
      </c>
      <c r="J109" s="174">
        <v>0.8</v>
      </c>
      <c r="K109" s="203">
        <v>0.8</v>
      </c>
      <c r="L109" s="203">
        <v>0.82</v>
      </c>
      <c r="M109" s="191">
        <v>777</v>
      </c>
      <c r="N109" s="176">
        <f>10.74-4.785</f>
        <v>5.9550000000000001</v>
      </c>
      <c r="O109" s="176">
        <v>5.86</v>
      </c>
      <c r="P109" s="176"/>
      <c r="Q109" s="176">
        <v>9.5000000000000001E-2</v>
      </c>
      <c r="R109" s="176" t="s">
        <v>114</v>
      </c>
      <c r="S109" s="209"/>
      <c r="T109" s="178" t="s">
        <v>1344</v>
      </c>
      <c r="U109" s="178"/>
      <c r="V109" s="179"/>
      <c r="W109" s="177">
        <v>44929</v>
      </c>
      <c r="X109" s="177"/>
      <c r="Y109" s="177">
        <v>44929</v>
      </c>
      <c r="Z109" s="177"/>
      <c r="AA109" s="177">
        <v>44937</v>
      </c>
      <c r="AB109" s="177"/>
      <c r="AC109" s="177"/>
      <c r="AD109" s="177">
        <v>44928</v>
      </c>
      <c r="AE109" s="177"/>
      <c r="AF109" s="177"/>
      <c r="AG109" s="180" t="s">
        <v>1345</v>
      </c>
      <c r="AH109" s="173" t="s">
        <v>69</v>
      </c>
      <c r="AI109" s="181" t="s">
        <v>142</v>
      </c>
      <c r="AJ109" s="181" t="s">
        <v>1346</v>
      </c>
      <c r="AK109" s="181"/>
      <c r="AL109" s="181">
        <v>44813</v>
      </c>
      <c r="AM109" s="181"/>
      <c r="AN109" s="181">
        <f t="shared" ca="1" si="10"/>
        <v>44958</v>
      </c>
      <c r="AO109" s="173">
        <f t="shared" ref="AO109:AO115" ca="1" si="13">IF(AL109&lt;&gt;0,AN109-AL109,0)</f>
        <v>145</v>
      </c>
      <c r="AP109" s="173">
        <f t="shared" ca="1" si="11"/>
        <v>21</v>
      </c>
      <c r="AQ109" s="181"/>
      <c r="AR109" s="190" t="s">
        <v>1347</v>
      </c>
      <c r="AS109" s="176">
        <v>21.414999999999999</v>
      </c>
      <c r="AT109" s="176">
        <v>21.475000000000001</v>
      </c>
      <c r="AU109" s="176">
        <v>21.500000000000004</v>
      </c>
      <c r="AV109" s="176">
        <v>21.505000000000003</v>
      </c>
      <c r="AW109" s="173">
        <f t="shared" ca="1" si="12"/>
        <v>29</v>
      </c>
      <c r="AX109" s="142">
        <v>451</v>
      </c>
      <c r="AZ109" s="142" t="s">
        <v>123</v>
      </c>
    </row>
    <row r="110" spans="2:52" s="142" customFormat="1" ht="21" customHeight="1" x14ac:dyDescent="0.25">
      <c r="B110" s="173" t="str">
        <f t="shared" si="9"/>
        <v>0-J3/2B-0.91X620</v>
      </c>
      <c r="C110" s="201" t="s">
        <v>4659</v>
      </c>
      <c r="D110" s="173" t="s">
        <v>836</v>
      </c>
      <c r="E110" s="190" t="s">
        <v>4660</v>
      </c>
      <c r="F110" s="201" t="s">
        <v>4661</v>
      </c>
      <c r="G110" s="173" t="s">
        <v>34</v>
      </c>
      <c r="H110" s="173" t="s">
        <v>114</v>
      </c>
      <c r="I110" s="174">
        <v>2.4</v>
      </c>
      <c r="J110" s="174">
        <v>0.91</v>
      </c>
      <c r="K110" s="203">
        <v>0.9</v>
      </c>
      <c r="L110" s="203">
        <v>0.93</v>
      </c>
      <c r="M110" s="191">
        <v>620</v>
      </c>
      <c r="N110" s="176">
        <v>5.4649999999999999</v>
      </c>
      <c r="O110" s="176">
        <v>5.4550000000000001</v>
      </c>
      <c r="P110" s="176"/>
      <c r="Q110" s="176">
        <v>0.01</v>
      </c>
      <c r="R110" s="176" t="s">
        <v>114</v>
      </c>
      <c r="S110" s="209"/>
      <c r="T110" s="178" t="s">
        <v>361</v>
      </c>
      <c r="U110" s="178"/>
      <c r="V110" s="179"/>
      <c r="W110" s="177">
        <v>44784</v>
      </c>
      <c r="X110" s="177"/>
      <c r="Y110" s="177">
        <v>44784</v>
      </c>
      <c r="Z110" s="177"/>
      <c r="AA110" s="177">
        <v>44937</v>
      </c>
      <c r="AB110" s="177"/>
      <c r="AC110" s="177"/>
      <c r="AD110" s="177"/>
      <c r="AE110" s="177"/>
      <c r="AF110" s="177"/>
      <c r="AG110" s="180"/>
      <c r="AH110" s="173" t="s">
        <v>69</v>
      </c>
      <c r="AI110" s="181" t="s">
        <v>119</v>
      </c>
      <c r="AJ110" s="181" t="s">
        <v>994</v>
      </c>
      <c r="AK110" s="181">
        <v>44713</v>
      </c>
      <c r="AL110" s="181">
        <v>44747</v>
      </c>
      <c r="AM110" s="181"/>
      <c r="AN110" s="181">
        <f t="shared" ca="1" si="10"/>
        <v>44958</v>
      </c>
      <c r="AO110" s="173">
        <f t="shared" ca="1" si="13"/>
        <v>211</v>
      </c>
      <c r="AP110" s="173">
        <f t="shared" ca="1" si="11"/>
        <v>21</v>
      </c>
      <c r="AQ110" s="181" t="s">
        <v>4662</v>
      </c>
      <c r="AR110" s="190" t="s">
        <v>4663</v>
      </c>
      <c r="AS110" s="176">
        <v>10.116</v>
      </c>
      <c r="AT110" s="176">
        <v>10.135999999999999</v>
      </c>
      <c r="AU110" s="176">
        <v>10.160999999999998</v>
      </c>
      <c r="AV110" s="176">
        <v>10.165999999999999</v>
      </c>
      <c r="AW110" s="173">
        <f t="shared" ca="1" si="12"/>
        <v>174</v>
      </c>
      <c r="AX110" s="142">
        <v>442</v>
      </c>
      <c r="AZ110" s="142" t="s">
        <v>123</v>
      </c>
    </row>
    <row r="111" spans="2:52" s="142" customFormat="1" ht="21" customHeight="1" x14ac:dyDescent="0.25">
      <c r="B111" s="173" t="str">
        <f t="shared" si="9"/>
        <v>0-J3/2B-0.45X615</v>
      </c>
      <c r="C111" s="201" t="s">
        <v>4659</v>
      </c>
      <c r="D111" s="173" t="s">
        <v>836</v>
      </c>
      <c r="E111" s="190" t="s">
        <v>4664</v>
      </c>
      <c r="F111" s="201" t="s">
        <v>4665</v>
      </c>
      <c r="G111" s="173" t="s">
        <v>34</v>
      </c>
      <c r="H111" s="173" t="s">
        <v>114</v>
      </c>
      <c r="I111" s="174">
        <v>0.75</v>
      </c>
      <c r="J111" s="174">
        <v>0.45</v>
      </c>
      <c r="K111" s="203">
        <v>0.43</v>
      </c>
      <c r="L111" s="203">
        <v>0.45</v>
      </c>
      <c r="M111" s="191">
        <v>615</v>
      </c>
      <c r="N111" s="349">
        <v>9.7349999999999994</v>
      </c>
      <c r="O111" s="176">
        <v>4.8449999999999998</v>
      </c>
      <c r="P111" s="176"/>
      <c r="Q111" s="176"/>
      <c r="R111" s="176" t="s">
        <v>114</v>
      </c>
      <c r="S111" s="209"/>
      <c r="T111" s="178" t="s">
        <v>361</v>
      </c>
      <c r="U111" s="178" t="s">
        <v>295</v>
      </c>
      <c r="V111" s="179"/>
      <c r="W111" s="177" t="s">
        <v>4666</v>
      </c>
      <c r="X111" s="177"/>
      <c r="Y111" s="177">
        <v>44747</v>
      </c>
      <c r="Z111" s="177">
        <v>44910</v>
      </c>
      <c r="AA111" s="177" t="s">
        <v>4667</v>
      </c>
      <c r="AB111" s="177"/>
      <c r="AC111" s="177">
        <v>44904</v>
      </c>
      <c r="AD111" s="177"/>
      <c r="AE111" s="177"/>
      <c r="AF111" s="177"/>
      <c r="AG111" s="180"/>
      <c r="AH111" s="173" t="s">
        <v>69</v>
      </c>
      <c r="AI111" s="181" t="s">
        <v>248</v>
      </c>
      <c r="AJ111" s="181" t="s">
        <v>924</v>
      </c>
      <c r="AK111" s="181">
        <v>44697</v>
      </c>
      <c r="AL111" s="181">
        <v>44721</v>
      </c>
      <c r="AM111" s="181"/>
      <c r="AN111" s="181">
        <f t="shared" ca="1" si="10"/>
        <v>44958</v>
      </c>
      <c r="AO111" s="173">
        <f t="shared" ca="1" si="13"/>
        <v>237</v>
      </c>
      <c r="AP111" s="173">
        <f t="shared" ca="1" si="11"/>
        <v>21</v>
      </c>
      <c r="AQ111" s="181" t="s">
        <v>4668</v>
      </c>
      <c r="AR111" s="190" t="s">
        <v>4669</v>
      </c>
      <c r="AS111" s="176">
        <v>10.002000000000001</v>
      </c>
      <c r="AT111" s="176">
        <v>10.042</v>
      </c>
      <c r="AU111" s="176">
        <v>10.066999999999998</v>
      </c>
      <c r="AV111" s="176">
        <v>10.071999999999999</v>
      </c>
      <c r="AW111" s="173">
        <f t="shared" ca="1" si="12"/>
        <v>211</v>
      </c>
      <c r="AX111" s="142">
        <v>440</v>
      </c>
      <c r="AZ111" s="142" t="s">
        <v>123</v>
      </c>
    </row>
    <row r="112" spans="2:52" s="142" customFormat="1" ht="21" customHeight="1" x14ac:dyDescent="0.25">
      <c r="B112" s="173" t="str">
        <f t="shared" si="9"/>
        <v>0-J3/2B-0.45X615</v>
      </c>
      <c r="C112" s="201" t="s">
        <v>4659</v>
      </c>
      <c r="D112" s="173" t="s">
        <v>836</v>
      </c>
      <c r="E112" s="190" t="s">
        <v>4664</v>
      </c>
      <c r="F112" s="201" t="s">
        <v>4670</v>
      </c>
      <c r="G112" s="173" t="s">
        <v>34</v>
      </c>
      <c r="H112" s="173" t="s">
        <v>114</v>
      </c>
      <c r="I112" s="174">
        <v>0.75</v>
      </c>
      <c r="J112" s="174">
        <v>0.45</v>
      </c>
      <c r="K112" s="203">
        <v>0.43</v>
      </c>
      <c r="L112" s="203">
        <v>0.45</v>
      </c>
      <c r="M112" s="191">
        <v>615</v>
      </c>
      <c r="N112" s="350"/>
      <c r="O112" s="176">
        <v>4.8449999999999998</v>
      </c>
      <c r="P112" s="176"/>
      <c r="Q112" s="176">
        <v>4.4999999999999998E-2</v>
      </c>
      <c r="R112" s="176" t="s">
        <v>114</v>
      </c>
      <c r="S112" s="209"/>
      <c r="T112" s="178" t="s">
        <v>361</v>
      </c>
      <c r="U112" s="178" t="s">
        <v>295</v>
      </c>
      <c r="V112" s="179"/>
      <c r="W112" s="177" t="s">
        <v>4666</v>
      </c>
      <c r="X112" s="177"/>
      <c r="Y112" s="177">
        <v>44747</v>
      </c>
      <c r="Z112" s="177">
        <v>44910</v>
      </c>
      <c r="AA112" s="177" t="s">
        <v>4667</v>
      </c>
      <c r="AB112" s="177"/>
      <c r="AC112" s="177">
        <v>44904</v>
      </c>
      <c r="AD112" s="177"/>
      <c r="AE112" s="177"/>
      <c r="AF112" s="177"/>
      <c r="AG112" s="180"/>
      <c r="AH112" s="173" t="s">
        <v>69</v>
      </c>
      <c r="AI112" s="181" t="s">
        <v>248</v>
      </c>
      <c r="AJ112" s="181" t="s">
        <v>924</v>
      </c>
      <c r="AK112" s="181">
        <v>44697</v>
      </c>
      <c r="AL112" s="181">
        <v>44721</v>
      </c>
      <c r="AM112" s="181"/>
      <c r="AN112" s="181">
        <f t="shared" ca="1" si="10"/>
        <v>44958</v>
      </c>
      <c r="AO112" s="173">
        <f t="shared" ca="1" si="13"/>
        <v>237</v>
      </c>
      <c r="AP112" s="173">
        <f t="shared" ca="1" si="11"/>
        <v>21</v>
      </c>
      <c r="AQ112" s="181" t="s">
        <v>4668</v>
      </c>
      <c r="AR112" s="190" t="s">
        <v>4669</v>
      </c>
      <c r="AS112" s="176">
        <v>10.002000000000001</v>
      </c>
      <c r="AT112" s="176">
        <v>10.042</v>
      </c>
      <c r="AU112" s="176">
        <v>10.066999999999998</v>
      </c>
      <c r="AV112" s="176">
        <v>10.071999999999999</v>
      </c>
      <c r="AW112" s="173">
        <f t="shared" ca="1" si="12"/>
        <v>211</v>
      </c>
      <c r="AX112" s="142">
        <v>440</v>
      </c>
      <c r="AZ112" s="142" t="s">
        <v>123</v>
      </c>
    </row>
    <row r="113" spans="2:52" s="142" customFormat="1" ht="21" customHeight="1" x14ac:dyDescent="0.25">
      <c r="B113" s="173" t="str">
        <f t="shared" si="9"/>
        <v>0-J3/2B-0.73X620</v>
      </c>
      <c r="C113" s="201" t="s">
        <v>4659</v>
      </c>
      <c r="D113" s="173" t="s">
        <v>836</v>
      </c>
      <c r="E113" s="190" t="s">
        <v>4671</v>
      </c>
      <c r="F113" s="201" t="s">
        <v>4672</v>
      </c>
      <c r="G113" s="173" t="s">
        <v>34</v>
      </c>
      <c r="H113" s="173" t="s">
        <v>114</v>
      </c>
      <c r="I113" s="174">
        <v>2.2000000000000002</v>
      </c>
      <c r="J113" s="174">
        <v>0.73</v>
      </c>
      <c r="K113" s="203">
        <v>0.7</v>
      </c>
      <c r="L113" s="203">
        <v>0.74</v>
      </c>
      <c r="M113" s="191">
        <v>620</v>
      </c>
      <c r="N113" s="176">
        <v>10.005000000000001</v>
      </c>
      <c r="O113" s="176">
        <v>9.99</v>
      </c>
      <c r="P113" s="176"/>
      <c r="Q113" s="176">
        <v>1.4999999999999999E-2</v>
      </c>
      <c r="R113" s="176" t="s">
        <v>114</v>
      </c>
      <c r="S113" s="209"/>
      <c r="T113" s="178" t="s">
        <v>361</v>
      </c>
      <c r="U113" s="178"/>
      <c r="V113" s="179"/>
      <c r="W113" s="177">
        <v>44784</v>
      </c>
      <c r="X113" s="177"/>
      <c r="Y113" s="177">
        <v>44785</v>
      </c>
      <c r="Z113" s="177"/>
      <c r="AA113" s="177">
        <v>44937</v>
      </c>
      <c r="AB113" s="177"/>
      <c r="AC113" s="177"/>
      <c r="AD113" s="177"/>
      <c r="AE113" s="177"/>
      <c r="AF113" s="177"/>
      <c r="AG113" s="180"/>
      <c r="AH113" s="173" t="s">
        <v>69</v>
      </c>
      <c r="AI113" s="181" t="s">
        <v>119</v>
      </c>
      <c r="AJ113" s="181" t="s">
        <v>994</v>
      </c>
      <c r="AK113" s="181">
        <v>44713</v>
      </c>
      <c r="AL113" s="181">
        <v>44747</v>
      </c>
      <c r="AM113" s="181"/>
      <c r="AN113" s="181">
        <f t="shared" ca="1" si="10"/>
        <v>44958</v>
      </c>
      <c r="AO113" s="173">
        <f t="shared" ca="1" si="13"/>
        <v>211</v>
      </c>
      <c r="AP113" s="173">
        <f t="shared" ca="1" si="11"/>
        <v>21</v>
      </c>
      <c r="AQ113" s="181" t="s">
        <v>1010</v>
      </c>
      <c r="AR113" s="190" t="s">
        <v>4673</v>
      </c>
      <c r="AS113" s="176">
        <v>10.023</v>
      </c>
      <c r="AT113" s="176">
        <v>10.042999999999999</v>
      </c>
      <c r="AU113" s="176">
        <v>10.067999999999998</v>
      </c>
      <c r="AV113" s="176">
        <v>10.072999999999999</v>
      </c>
      <c r="AW113" s="173">
        <f t="shared" ca="1" si="12"/>
        <v>173</v>
      </c>
      <c r="AX113" s="142">
        <v>442</v>
      </c>
      <c r="AZ113" s="142" t="s">
        <v>123</v>
      </c>
    </row>
    <row r="114" spans="2:52" s="142" customFormat="1" ht="21" customHeight="1" x14ac:dyDescent="0.25">
      <c r="B114" s="173" t="str">
        <f t="shared" si="9"/>
        <v>0-J3/2B-1.12X620</v>
      </c>
      <c r="C114" s="201" t="s">
        <v>4659</v>
      </c>
      <c r="D114" s="173" t="s">
        <v>836</v>
      </c>
      <c r="E114" s="190" t="s">
        <v>4674</v>
      </c>
      <c r="F114" s="201" t="s">
        <v>4675</v>
      </c>
      <c r="G114" s="173" t="s">
        <v>34</v>
      </c>
      <c r="H114" s="173" t="s">
        <v>114</v>
      </c>
      <c r="I114" s="174">
        <v>2.4</v>
      </c>
      <c r="J114" s="174">
        <v>1.1200000000000001</v>
      </c>
      <c r="K114" s="203">
        <v>1.1000000000000001</v>
      </c>
      <c r="L114" s="203">
        <v>1.1100000000000001</v>
      </c>
      <c r="M114" s="191">
        <v>620</v>
      </c>
      <c r="N114" s="176">
        <v>9.76</v>
      </c>
      <c r="O114" s="176">
        <v>9.7550000000000008</v>
      </c>
      <c r="P114" s="176"/>
      <c r="Q114" s="176">
        <v>5.0000000000000001E-3</v>
      </c>
      <c r="R114" s="176" t="s">
        <v>114</v>
      </c>
      <c r="S114" s="209"/>
      <c r="T114" s="178" t="s">
        <v>361</v>
      </c>
      <c r="U114" s="178"/>
      <c r="V114" s="179"/>
      <c r="W114" s="177">
        <v>44904</v>
      </c>
      <c r="X114" s="177"/>
      <c r="Y114" s="177"/>
      <c r="Z114" s="177">
        <v>44908</v>
      </c>
      <c r="AA114" s="177">
        <v>44937</v>
      </c>
      <c r="AB114" s="177"/>
      <c r="AC114" s="177"/>
      <c r="AD114" s="177"/>
      <c r="AE114" s="177"/>
      <c r="AF114" s="177"/>
      <c r="AG114" s="180"/>
      <c r="AH114" s="173" t="s">
        <v>69</v>
      </c>
      <c r="AI114" s="181" t="s">
        <v>119</v>
      </c>
      <c r="AJ114" s="181" t="s">
        <v>2387</v>
      </c>
      <c r="AK114" s="181">
        <v>44848</v>
      </c>
      <c r="AL114" s="181">
        <v>44880</v>
      </c>
      <c r="AM114" s="181"/>
      <c r="AN114" s="181">
        <f t="shared" ca="1" si="10"/>
        <v>44958</v>
      </c>
      <c r="AO114" s="173">
        <f t="shared" ca="1" si="13"/>
        <v>78</v>
      </c>
      <c r="AP114" s="173">
        <f t="shared" ca="1" si="11"/>
        <v>21</v>
      </c>
      <c r="AQ114" s="181" t="s">
        <v>2395</v>
      </c>
      <c r="AR114" s="190" t="s">
        <v>2416</v>
      </c>
      <c r="AS114" s="176">
        <v>10.055</v>
      </c>
      <c r="AT114" s="176">
        <v>10.074999999999999</v>
      </c>
      <c r="AU114" s="176">
        <v>10.099999999999998</v>
      </c>
      <c r="AV114" s="176">
        <v>10.104999999999999</v>
      </c>
      <c r="AW114" s="173" t="str">
        <f t="shared" si="12"/>
        <v/>
      </c>
      <c r="AX114" s="142">
        <v>461</v>
      </c>
      <c r="AZ114" s="142" t="s">
        <v>123</v>
      </c>
    </row>
    <row r="115" spans="2:52" s="142" customFormat="1" ht="21" customHeight="1" x14ac:dyDescent="0.25">
      <c r="B115" s="173" t="str">
        <f t="shared" si="9"/>
        <v>0-304L/2B-0.95X771</v>
      </c>
      <c r="C115" s="201" t="s">
        <v>4659</v>
      </c>
      <c r="D115" s="173" t="s">
        <v>836</v>
      </c>
      <c r="E115" s="190" t="s">
        <v>3997</v>
      </c>
      <c r="F115" s="201" t="s">
        <v>3998</v>
      </c>
      <c r="G115" s="173" t="s">
        <v>182</v>
      </c>
      <c r="H115" s="173" t="s">
        <v>114</v>
      </c>
      <c r="I115" s="174">
        <v>2.8</v>
      </c>
      <c r="J115" s="174">
        <v>0.95</v>
      </c>
      <c r="K115" s="203">
        <v>0.95</v>
      </c>
      <c r="L115" s="203">
        <v>0.96</v>
      </c>
      <c r="M115" s="191">
        <v>771</v>
      </c>
      <c r="N115" s="176">
        <v>10.54</v>
      </c>
      <c r="O115" s="176">
        <v>10.525</v>
      </c>
      <c r="P115" s="176"/>
      <c r="Q115" s="176">
        <v>1.4999999999999999E-2</v>
      </c>
      <c r="R115" s="176" t="s">
        <v>114</v>
      </c>
      <c r="S115" s="209"/>
      <c r="T115" s="178" t="s">
        <v>361</v>
      </c>
      <c r="U115" s="178"/>
      <c r="V115" s="179"/>
      <c r="W115" s="177">
        <v>44935</v>
      </c>
      <c r="X115" s="177"/>
      <c r="Y115" s="177">
        <v>44935</v>
      </c>
      <c r="Z115" s="177"/>
      <c r="AA115" s="177">
        <v>44937</v>
      </c>
      <c r="AB115" s="177"/>
      <c r="AC115" s="177"/>
      <c r="AD115" s="177"/>
      <c r="AE115" s="177"/>
      <c r="AF115" s="177"/>
      <c r="AG115" s="180" t="s">
        <v>1507</v>
      </c>
      <c r="AH115" s="173" t="s">
        <v>69</v>
      </c>
      <c r="AI115" s="181" t="s">
        <v>142</v>
      </c>
      <c r="AJ115" s="181" t="s">
        <v>1584</v>
      </c>
      <c r="AK115" s="181"/>
      <c r="AL115" s="181">
        <v>44914</v>
      </c>
      <c r="AM115" s="181"/>
      <c r="AN115" s="181">
        <f t="shared" ca="1" si="10"/>
        <v>44958</v>
      </c>
      <c r="AO115" s="173">
        <f t="shared" ca="1" si="13"/>
        <v>44</v>
      </c>
      <c r="AP115" s="173">
        <f t="shared" ca="1" si="11"/>
        <v>21</v>
      </c>
      <c r="AQ115" s="181"/>
      <c r="AR115" s="190" t="s">
        <v>2723</v>
      </c>
      <c r="AS115" s="176">
        <v>10.55</v>
      </c>
      <c r="AT115" s="176">
        <v>10.56</v>
      </c>
      <c r="AU115" s="176">
        <v>10.584999999999999</v>
      </c>
      <c r="AV115" s="176">
        <v>10.59</v>
      </c>
      <c r="AW115" s="173">
        <f t="shared" ca="1" si="12"/>
        <v>23</v>
      </c>
      <c r="AX115" s="142">
        <v>462</v>
      </c>
      <c r="AZ115" s="142" t="s">
        <v>123</v>
      </c>
    </row>
    <row r="116" spans="2:52" s="142" customFormat="1" ht="21" customHeight="1" x14ac:dyDescent="0.25">
      <c r="B116" s="173" t="str">
        <f>IF(C116="HOLD RM","HOLD RM",IF(C116="BAL","WIP",IF(C116="HOLD SLT","HOLD SLT",IF(C116="MILL","RM",IF(C116="RE SLT","WIP",IF(C116="RM","RM",IF(C116="RM BAL","RM",IF(C116="RM SLT","RM",IF(C116="RR","WIP",IF(C116="SKP","WIP",IF(C116="SLT","WIP",IF(C116="CTL","WIP",IF(C116="RM SLT RUST","RM SLT RUST",0)))))))))))))&amp;"-"&amp;G116&amp;"/"&amp;IF(H116="2B","2B",IF(H116="NO.1","1D",IF(H116="FH","FH",0)))&amp;"-"&amp;IF(J116="",(TEXT(I116,"0.00")),TEXT(J116,"0.00"))&amp;"X"&amp;M116</f>
        <v>0-304/2B-1.10X780</v>
      </c>
      <c r="C116" s="201" t="s">
        <v>4676</v>
      </c>
      <c r="D116" s="173" t="s">
        <v>4432</v>
      </c>
      <c r="E116" s="190" t="s">
        <v>3877</v>
      </c>
      <c r="F116" s="201" t="s">
        <v>4677</v>
      </c>
      <c r="G116" s="173">
        <v>304</v>
      </c>
      <c r="H116" s="173" t="s">
        <v>114</v>
      </c>
      <c r="I116" s="174">
        <v>3.18</v>
      </c>
      <c r="J116" s="174">
        <v>1.1000000000000001</v>
      </c>
      <c r="K116" s="203">
        <v>1.08</v>
      </c>
      <c r="L116" s="203">
        <v>1.1000000000000001</v>
      </c>
      <c r="M116" s="191">
        <v>780</v>
      </c>
      <c r="N116" s="176">
        <v>10.77</v>
      </c>
      <c r="O116" s="176">
        <f>6.065+4.655</f>
        <v>10.72</v>
      </c>
      <c r="P116" s="176"/>
      <c r="Q116" s="176">
        <v>0.05</v>
      </c>
      <c r="R116" s="176" t="s">
        <v>114</v>
      </c>
      <c r="S116" s="209" t="s">
        <v>4658</v>
      </c>
      <c r="T116" s="178" t="s">
        <v>4358</v>
      </c>
      <c r="U116" s="178"/>
      <c r="V116" s="179"/>
      <c r="W116" s="177">
        <v>44930</v>
      </c>
      <c r="X116" s="177"/>
      <c r="Y116" s="177">
        <v>44931</v>
      </c>
      <c r="Z116" s="177"/>
      <c r="AA116" s="177"/>
      <c r="AB116" s="177"/>
      <c r="AC116" s="177"/>
      <c r="AD116" s="177">
        <v>44929</v>
      </c>
      <c r="AE116" s="177"/>
      <c r="AF116" s="177"/>
      <c r="AG116" s="180" t="s">
        <v>1345</v>
      </c>
      <c r="AH116" s="173" t="s">
        <v>69</v>
      </c>
      <c r="AI116" s="181" t="s">
        <v>142</v>
      </c>
      <c r="AJ116" s="181" t="s">
        <v>1346</v>
      </c>
      <c r="AK116" s="181"/>
      <c r="AL116" s="181">
        <v>44813</v>
      </c>
      <c r="AM116" s="181"/>
      <c r="AN116" s="181">
        <f t="shared" ca="1" si="10"/>
        <v>44958</v>
      </c>
      <c r="AO116" s="173">
        <f ca="1">IF(AL116&lt;&gt;0,AN116-AL116,0)</f>
        <v>145</v>
      </c>
      <c r="AP116" s="173" t="str">
        <f>IF(ISNUMBER(AA116)=TRUE,AN116-AA116,IF(AA116="","",(AN116)-(MID(RIGHT(AA116,10),4,2)&amp;"/"&amp;LEFT((RIGHT(AA116,10)),2)&amp;"/"&amp;RIGHT(AA116,4))))</f>
        <v/>
      </c>
      <c r="AQ116" s="181"/>
      <c r="AR116" s="190" t="s">
        <v>3879</v>
      </c>
      <c r="AS116" s="176">
        <v>21.465</v>
      </c>
      <c r="AT116" s="176">
        <v>21.524999999999999</v>
      </c>
      <c r="AU116" s="176">
        <v>21.55</v>
      </c>
      <c r="AV116" s="176">
        <v>21.555</v>
      </c>
      <c r="AW116" s="173">
        <f t="shared" ca="1" si="12"/>
        <v>27</v>
      </c>
      <c r="AX116" s="142">
        <v>451</v>
      </c>
      <c r="AZ116" s="142" t="s">
        <v>123</v>
      </c>
    </row>
    <row r="117" spans="2:52" s="142" customFormat="1" ht="21" customHeight="1" x14ac:dyDescent="0.25">
      <c r="B117" s="173" t="str">
        <f t="shared" ref="B117" si="14">IF(C117="HOLD RM","HOLD RM",IF(C117="BAL","WIP",IF(C117="HOLD SLT","HOLD SLT",IF(C117="MILL","RM",IF(C117="RE SLT","WIP",IF(C117="RM","RM",IF(C117="RM BAL","RM",IF(C117="RM SLT","RM",IF(C117="RR","WIP",IF(C117="SKP","WIP",IF(C117="SLT","WIP",IF(C117="CTL","WIP",IF(C117="RM SLT RUST","RM SLT RUST",0)))))))))))))&amp;"-"&amp;G117&amp;"/"&amp;IF(H117="2B","2B",IF(H117="NO.1","1D",IF(H117="FH","FH",0)))&amp;"-"&amp;IF(J117="",(TEXT(I117,"0.00")),TEXT(J117,"0.00"))&amp;"X"&amp;M117</f>
        <v>0-304L/2B-0.50X642</v>
      </c>
      <c r="C117" s="201" t="s">
        <v>4659</v>
      </c>
      <c r="D117" s="173" t="s">
        <v>836</v>
      </c>
      <c r="E117" s="190" t="s">
        <v>3921</v>
      </c>
      <c r="F117" s="201" t="s">
        <v>3922</v>
      </c>
      <c r="G117" s="173" t="s">
        <v>182</v>
      </c>
      <c r="H117" s="173" t="s">
        <v>114</v>
      </c>
      <c r="I117" s="174">
        <v>2.4900000000000002</v>
      </c>
      <c r="J117" s="174">
        <v>0.5</v>
      </c>
      <c r="K117" s="203">
        <v>0.5</v>
      </c>
      <c r="L117" s="203">
        <v>0.53</v>
      </c>
      <c r="M117" s="191">
        <v>642</v>
      </c>
      <c r="N117" s="176">
        <v>10.57</v>
      </c>
      <c r="O117" s="176">
        <v>10.565</v>
      </c>
      <c r="P117" s="176"/>
      <c r="Q117" s="176">
        <v>5.0000000000000001E-3</v>
      </c>
      <c r="R117" s="176" t="s">
        <v>114</v>
      </c>
      <c r="S117" s="209"/>
      <c r="T117" s="178" t="s">
        <v>1344</v>
      </c>
      <c r="U117" s="178"/>
      <c r="V117" s="179"/>
      <c r="W117" s="177">
        <v>44931</v>
      </c>
      <c r="X117" s="177"/>
      <c r="Y117" s="177">
        <v>44932</v>
      </c>
      <c r="Z117" s="177"/>
      <c r="AA117" s="177">
        <v>44937</v>
      </c>
      <c r="AB117" s="177"/>
      <c r="AC117" s="177"/>
      <c r="AD117" s="177"/>
      <c r="AE117" s="177"/>
      <c r="AF117" s="177"/>
      <c r="AG117" s="180" t="s">
        <v>2479</v>
      </c>
      <c r="AH117" s="173" t="s">
        <v>69</v>
      </c>
      <c r="AI117" s="181" t="s">
        <v>142</v>
      </c>
      <c r="AJ117" s="181" t="s">
        <v>1657</v>
      </c>
      <c r="AK117" s="181"/>
      <c r="AL117" s="181">
        <v>44849</v>
      </c>
      <c r="AM117" s="181"/>
      <c r="AN117" s="181">
        <f t="shared" ca="1" si="10"/>
        <v>44958</v>
      </c>
      <c r="AO117" s="173">
        <f t="shared" ref="AO117" ca="1" si="15">IF(AL117&lt;&gt;0,AN117-AL117,0)</f>
        <v>109</v>
      </c>
      <c r="AP117" s="173">
        <f t="shared" ref="AP117" ca="1" si="16">IF(ISNUMBER(AA117)=TRUE,AN117-AA117,IF(AA117="","",(AN117)-(MID(RIGHT(AA117,10),4,2)&amp;"/"&amp;LEFT((RIGHT(AA117,10)),2)&amp;"/"&amp;RIGHT(AA117,4))))</f>
        <v>21</v>
      </c>
      <c r="AQ117" s="181"/>
      <c r="AR117" s="190" t="s">
        <v>3923</v>
      </c>
      <c r="AS117" s="176">
        <v>10.62</v>
      </c>
      <c r="AT117" s="176">
        <v>10.63</v>
      </c>
      <c r="AU117" s="176">
        <v>10.654999999999999</v>
      </c>
      <c r="AV117" s="176">
        <v>10.66</v>
      </c>
      <c r="AW117" s="173">
        <f t="shared" ca="1" si="12"/>
        <v>26</v>
      </c>
      <c r="AX117" s="142">
        <v>456</v>
      </c>
      <c r="AZ117" s="142" t="s">
        <v>123</v>
      </c>
    </row>
    <row r="118" spans="2:52" s="142" customFormat="1" ht="21" customHeight="1" x14ac:dyDescent="0.25">
      <c r="B118" s="173" t="str">
        <f>IF(C118="HOLD RM","HOLD RM",IF(C118="BAL","WIP",IF(C118="HOLD SLT","HOLD SLT",IF(C118="MILL","RM",IF(C118="RE SLT","WIP",IF(C118="RM","RM",IF(C118="RM BAL","RM",IF(C118="RM SLT","RM",IF(C118="RR","WIP",IF(C118="SKP","WIP",IF(C118="SLT","WIP",IF(C118="CTL","WIP",IF(C118="RM SLT RUST","RM SLT RUST",0)))))))))))))&amp;"-"&amp;G118&amp;"/"&amp;IF(H118="2B","2B",IF(H118="NO.1","1D",IF(H118="FH","FH",0)))&amp;"-"&amp;IF(J118="",(TEXT(I118,"0.00")),TEXT(J118,"0.00"))&amp;"X"&amp;M118</f>
        <v>0-304/2B-1.10X777</v>
      </c>
      <c r="C118" s="201" t="s">
        <v>4676</v>
      </c>
      <c r="D118" s="173" t="s">
        <v>4432</v>
      </c>
      <c r="E118" s="190" t="s">
        <v>3884</v>
      </c>
      <c r="F118" s="201" t="s">
        <v>4678</v>
      </c>
      <c r="G118" s="173">
        <v>304</v>
      </c>
      <c r="H118" s="173" t="s">
        <v>114</v>
      </c>
      <c r="I118" s="174">
        <v>3.18</v>
      </c>
      <c r="J118" s="174">
        <v>1.1000000000000001</v>
      </c>
      <c r="K118" s="203">
        <v>1.08</v>
      </c>
      <c r="L118" s="203">
        <v>1.1000000000000001</v>
      </c>
      <c r="M118" s="191">
        <v>777</v>
      </c>
      <c r="N118" s="176">
        <v>4.625</v>
      </c>
      <c r="O118" s="176">
        <v>4.625</v>
      </c>
      <c r="P118" s="176"/>
      <c r="Q118" s="176"/>
      <c r="R118" s="176" t="s">
        <v>114</v>
      </c>
      <c r="S118" s="209" t="s">
        <v>4658</v>
      </c>
      <c r="T118" s="178" t="s">
        <v>4358</v>
      </c>
      <c r="U118" s="178"/>
      <c r="V118" s="179"/>
      <c r="W118" s="177">
        <v>44930</v>
      </c>
      <c r="X118" s="177"/>
      <c r="Y118" s="177">
        <v>44930</v>
      </c>
      <c r="Z118" s="177"/>
      <c r="AA118" s="177"/>
      <c r="AB118" s="177"/>
      <c r="AC118" s="177"/>
      <c r="AD118" s="177">
        <v>44928</v>
      </c>
      <c r="AE118" s="177"/>
      <c r="AF118" s="177"/>
      <c r="AG118" s="180" t="s">
        <v>1345</v>
      </c>
      <c r="AH118" s="173" t="s">
        <v>69</v>
      </c>
      <c r="AI118" s="181" t="s">
        <v>142</v>
      </c>
      <c r="AJ118" s="181" t="s">
        <v>1346</v>
      </c>
      <c r="AK118" s="181"/>
      <c r="AL118" s="181">
        <v>44813</v>
      </c>
      <c r="AM118" s="181"/>
      <c r="AN118" s="181">
        <f t="shared" ca="1" si="10"/>
        <v>44958</v>
      </c>
      <c r="AO118" s="173">
        <f ca="1">IF(AL118&lt;&gt;0,AN118-AL118,0)</f>
        <v>145</v>
      </c>
      <c r="AP118" s="173" t="str">
        <f>IF(ISNUMBER(AA118)=TRUE,AN118-AA118,IF(AA118="","",(AN118)-(MID(RIGHT(AA118,10),4,2)&amp;"/"&amp;LEFT((RIGHT(AA118,10)),2)&amp;"/"&amp;RIGHT(AA118,4))))</f>
        <v/>
      </c>
      <c r="AQ118" s="181"/>
      <c r="AR118" s="190" t="s">
        <v>3886</v>
      </c>
      <c r="AS118" s="176">
        <v>21.445</v>
      </c>
      <c r="AT118" s="176">
        <v>21.504999999999999</v>
      </c>
      <c r="AU118" s="176">
        <v>21.53</v>
      </c>
      <c r="AV118" s="176">
        <v>21.535</v>
      </c>
      <c r="AW118" s="173">
        <f t="shared" ca="1" si="12"/>
        <v>28</v>
      </c>
      <c r="AX118" s="142">
        <v>451</v>
      </c>
      <c r="AZ118" s="142" t="s">
        <v>123</v>
      </c>
    </row>
    <row r="119" spans="2:52" s="142" customFormat="1" ht="21" customHeight="1" x14ac:dyDescent="0.25">
      <c r="B119" s="173" t="str">
        <f>IF(C119="HOLD RM","HOLD RM",IF(C119="BAL","WIP",IF(C119="HOLD SLT","HOLD SLT",IF(C119="MILL","RM",IF(C119="RE SLT","WIP",IF(C119="RM","RM",IF(C119="RM BAL","RM",IF(C119="RM SLT","RM",IF(C119="RR","WIP",IF(C119="SKP","WIP",IF(C119="SLT","WIP",IF(C119="CTL","WIP",IF(C119="RM SLT RUST","RM SLT RUST",0)))))))))))))&amp;"-"&amp;G119&amp;"/"&amp;IF(H119="2B","2B",IF(H119="NO.1","1D",IF(H119="FH","FH",0)))&amp;"-"&amp;IF(J119="",(TEXT(I119,"0.00")),TEXT(J119,"0.00"))&amp;"X"&amp;M119</f>
        <v>0-304/2B-1.10X777</v>
      </c>
      <c r="C119" s="201" t="s">
        <v>4679</v>
      </c>
      <c r="D119" s="173" t="s">
        <v>4432</v>
      </c>
      <c r="E119" s="190" t="s">
        <v>3884</v>
      </c>
      <c r="F119" s="201" t="s">
        <v>4680</v>
      </c>
      <c r="G119" s="173">
        <v>304</v>
      </c>
      <c r="H119" s="173" t="s">
        <v>114</v>
      </c>
      <c r="I119" s="174">
        <v>3.18</v>
      </c>
      <c r="J119" s="174">
        <v>1.1000000000000001</v>
      </c>
      <c r="K119" s="203">
        <v>1.08</v>
      </c>
      <c r="L119" s="203">
        <v>1.1000000000000001</v>
      </c>
      <c r="M119" s="191">
        <v>777</v>
      </c>
      <c r="N119" s="176">
        <f>10.725-4.625</f>
        <v>6.1</v>
      </c>
      <c r="O119" s="176">
        <v>6.08</v>
      </c>
      <c r="P119" s="176"/>
      <c r="Q119" s="176">
        <v>0.02</v>
      </c>
      <c r="R119" s="176" t="s">
        <v>114</v>
      </c>
      <c r="S119" s="209" t="s">
        <v>4658</v>
      </c>
      <c r="T119" s="178" t="s">
        <v>4358</v>
      </c>
      <c r="U119" s="178"/>
      <c r="V119" s="179"/>
      <c r="W119" s="177">
        <v>44930</v>
      </c>
      <c r="X119" s="177"/>
      <c r="Y119" s="177">
        <v>44930</v>
      </c>
      <c r="Z119" s="177"/>
      <c r="AA119" s="177"/>
      <c r="AB119" s="177"/>
      <c r="AC119" s="177"/>
      <c r="AD119" s="177">
        <v>44928</v>
      </c>
      <c r="AE119" s="177"/>
      <c r="AF119" s="177"/>
      <c r="AG119" s="180" t="s">
        <v>1345</v>
      </c>
      <c r="AH119" s="173" t="s">
        <v>69</v>
      </c>
      <c r="AI119" s="181" t="s">
        <v>142</v>
      </c>
      <c r="AJ119" s="181" t="s">
        <v>1346</v>
      </c>
      <c r="AK119" s="181"/>
      <c r="AL119" s="181">
        <v>44813</v>
      </c>
      <c r="AM119" s="181"/>
      <c r="AN119" s="181">
        <f t="shared" ca="1" si="10"/>
        <v>44958</v>
      </c>
      <c r="AO119" s="173">
        <f ca="1">IF(AL119&lt;&gt;0,AN119-AL119,0)</f>
        <v>145</v>
      </c>
      <c r="AP119" s="173" t="str">
        <f>IF(ISNUMBER(AA119)=TRUE,AN119-AA119,IF(AA119="","",(AN119)-(MID(RIGHT(AA119,10),4,2)&amp;"/"&amp;LEFT((RIGHT(AA119,10)),2)&amp;"/"&amp;RIGHT(AA119,4))))</f>
        <v/>
      </c>
      <c r="AQ119" s="181"/>
      <c r="AR119" s="190" t="s">
        <v>3886</v>
      </c>
      <c r="AS119" s="176">
        <v>21.445</v>
      </c>
      <c r="AT119" s="176">
        <v>21.504999999999999</v>
      </c>
      <c r="AU119" s="176">
        <v>21.53</v>
      </c>
      <c r="AV119" s="176">
        <v>21.535</v>
      </c>
      <c r="AW119" s="173">
        <f t="shared" ca="1" si="12"/>
        <v>28</v>
      </c>
      <c r="AX119" s="142">
        <v>451</v>
      </c>
      <c r="AZ119" s="142" t="s">
        <v>123</v>
      </c>
    </row>
    <row r="120" spans="2:52" s="142" customFormat="1" ht="21" customHeight="1" x14ac:dyDescent="0.25">
      <c r="B120" s="173" t="str">
        <f>IF(C120="HOLD RM","HOLD RM",IF(C120="BAL","WIP",IF(C120="HOLD SLT","HOLD SLT",IF(C120="MILL","RM",IF(C120="RE SLT","WIP",IF(C120="RM","RM",IF(C120="RM BAL","RM",IF(C120="RM SLT","RM",IF(C120="RR","WIP",IF(C120="SKP","WIP",IF(C120="SLT","WIP",IF(C120="CTL","WIP",IF(C120="RM SLT RUST","RM SLT RUST",0)))))))))))))&amp;"-"&amp;G120&amp;"/"&amp;IF(H120="2B","2B",IF(H120="NO.1","1D",IF(H120="FH","FH",0)))&amp;"-"&amp;IF(J120="",(TEXT(I120,"0.00")),TEXT(J120,"0.00"))&amp;"X"&amp;M120</f>
        <v>0-304/2B-1.10X777</v>
      </c>
      <c r="C120" s="201" t="s">
        <v>4679</v>
      </c>
      <c r="D120" s="173" t="s">
        <v>4432</v>
      </c>
      <c r="E120" s="190" t="s">
        <v>3880</v>
      </c>
      <c r="F120" s="201" t="s">
        <v>4681</v>
      </c>
      <c r="G120" s="173">
        <v>304</v>
      </c>
      <c r="H120" s="173" t="s">
        <v>114</v>
      </c>
      <c r="I120" s="174">
        <v>2.96</v>
      </c>
      <c r="J120" s="174">
        <v>1.1000000000000001</v>
      </c>
      <c r="K120" s="203">
        <v>1.08</v>
      </c>
      <c r="L120" s="203">
        <v>1.1000000000000001</v>
      </c>
      <c r="M120" s="191">
        <v>777</v>
      </c>
      <c r="N120" s="176">
        <v>10.78</v>
      </c>
      <c r="O120" s="176">
        <f>4.59+6.12</f>
        <v>10.71</v>
      </c>
      <c r="P120" s="176"/>
      <c r="Q120" s="176">
        <v>3.5000000000000003E-2</v>
      </c>
      <c r="R120" s="176" t="s">
        <v>114</v>
      </c>
      <c r="S120" s="209" t="s">
        <v>4658</v>
      </c>
      <c r="T120" s="178" t="s">
        <v>4358</v>
      </c>
      <c r="U120" s="178"/>
      <c r="V120" s="179"/>
      <c r="W120" s="177">
        <v>44929</v>
      </c>
      <c r="X120" s="177"/>
      <c r="Y120" s="177">
        <v>44930</v>
      </c>
      <c r="Z120" s="177"/>
      <c r="AA120" s="177"/>
      <c r="AB120" s="177"/>
      <c r="AC120" s="177"/>
      <c r="AD120" s="177">
        <v>44926</v>
      </c>
      <c r="AE120" s="177"/>
      <c r="AF120" s="177"/>
      <c r="AG120" s="180" t="s">
        <v>1345</v>
      </c>
      <c r="AH120" s="173" t="s">
        <v>69</v>
      </c>
      <c r="AI120" s="181" t="s">
        <v>142</v>
      </c>
      <c r="AJ120" s="181" t="s">
        <v>1346</v>
      </c>
      <c r="AK120" s="181"/>
      <c r="AL120" s="181">
        <v>44813</v>
      </c>
      <c r="AM120" s="181"/>
      <c r="AN120" s="181">
        <f t="shared" ca="1" si="10"/>
        <v>44958</v>
      </c>
      <c r="AO120" s="173">
        <f ca="1">IF(AL120&lt;&gt;0,AN120-AL120,0)</f>
        <v>145</v>
      </c>
      <c r="AP120" s="173" t="str">
        <f>IF(ISNUMBER(AA120)=TRUE,AN120-AA120,IF(AA120="","",(AN120)-(MID(RIGHT(AA120,10),4,2)&amp;"/"&amp;LEFT((RIGHT(AA120,10)),2)&amp;"/"&amp;RIGHT(AA120,4))))</f>
        <v/>
      </c>
      <c r="AQ120" s="181"/>
      <c r="AR120" s="190" t="s">
        <v>3882</v>
      </c>
      <c r="AS120" s="176">
        <v>21.445</v>
      </c>
      <c r="AT120" s="176">
        <v>21.504999999999999</v>
      </c>
      <c r="AU120" s="176">
        <v>21.53</v>
      </c>
      <c r="AV120" s="176">
        <v>21.535</v>
      </c>
      <c r="AW120" s="173">
        <f t="shared" ca="1" si="12"/>
        <v>28</v>
      </c>
      <c r="AX120" s="142">
        <v>451</v>
      </c>
      <c r="AZ120" s="142" t="s">
        <v>123</v>
      </c>
    </row>
    <row r="121" spans="2:52" s="142" customFormat="1" ht="21" customHeight="1" x14ac:dyDescent="0.25">
      <c r="B121" s="173" t="str">
        <f>IF(C121="HOLD RM","HOLD RM",IF(C121="BAL","WIP",IF(C121="HOLD SLT","HOLD SLT",IF(C121="MILL","RM",IF(C121="RE SLT","WIP",IF(C121="RM","RM",IF(C121="RM BAL","RM",IF(C121="RM SLT","RM",IF(C121="RR","WIP",IF(C121="SKP","WIP",IF(C121="SLT","WIP",IF(C121="CTL","WIP",IF(C121="RM SLT RUST","RM SLT RUST",0)))))))))))))&amp;"-"&amp;G121&amp;"/"&amp;IF(H121="2B","2B",IF(H121="NO.1","1D",IF(H121="FH","FH",0)))&amp;"-"&amp;IF(J121="",(TEXT(I121,"0.00")),TEXT(J121,"0.00"))&amp;"X"&amp;M121</f>
        <v>0-304/2B-1.10X777</v>
      </c>
      <c r="C121" s="201" t="s">
        <v>4679</v>
      </c>
      <c r="D121" s="173" t="s">
        <v>4432</v>
      </c>
      <c r="E121" s="190" t="s">
        <v>3911</v>
      </c>
      <c r="F121" s="201" t="s">
        <v>4682</v>
      </c>
      <c r="G121" s="173">
        <v>304</v>
      </c>
      <c r="H121" s="173" t="s">
        <v>114</v>
      </c>
      <c r="I121" s="174">
        <v>2.9</v>
      </c>
      <c r="J121" s="174">
        <v>1.1000000000000001</v>
      </c>
      <c r="K121" s="203">
        <v>1.07</v>
      </c>
      <c r="L121" s="203">
        <v>1.08</v>
      </c>
      <c r="M121" s="191">
        <v>777</v>
      </c>
      <c r="N121" s="176">
        <v>10.324999999999999</v>
      </c>
      <c r="O121" s="176">
        <f>6.125+4.165</f>
        <v>10.29</v>
      </c>
      <c r="P121" s="176"/>
      <c r="Q121" s="176">
        <v>0.03</v>
      </c>
      <c r="R121" s="176" t="s">
        <v>114</v>
      </c>
      <c r="S121" s="209" t="s">
        <v>4658</v>
      </c>
      <c r="T121" s="178" t="s">
        <v>4683</v>
      </c>
      <c r="U121" s="178"/>
      <c r="V121" s="179"/>
      <c r="W121" s="177">
        <v>44931</v>
      </c>
      <c r="X121" s="177"/>
      <c r="Y121" s="177">
        <v>44931</v>
      </c>
      <c r="Z121" s="177"/>
      <c r="AA121" s="177"/>
      <c r="AB121" s="177"/>
      <c r="AC121" s="177"/>
      <c r="AD121" s="177">
        <v>44926</v>
      </c>
      <c r="AE121" s="177"/>
      <c r="AF121" s="177"/>
      <c r="AG121" s="180" t="s">
        <v>1345</v>
      </c>
      <c r="AH121" s="173" t="s">
        <v>69</v>
      </c>
      <c r="AI121" s="181" t="s">
        <v>142</v>
      </c>
      <c r="AJ121" s="181" t="s">
        <v>1346</v>
      </c>
      <c r="AK121" s="181"/>
      <c r="AL121" s="181">
        <v>44813</v>
      </c>
      <c r="AM121" s="181"/>
      <c r="AN121" s="181">
        <f t="shared" ca="1" si="10"/>
        <v>44958</v>
      </c>
      <c r="AO121" s="173">
        <f ca="1">IF(AL121&lt;&gt;0,AN121-AL121,0)</f>
        <v>145</v>
      </c>
      <c r="AP121" s="173" t="str">
        <f>IF(ISNUMBER(AA121)=TRUE,AN121-AA121,IF(AA121="","",(AN121)-(MID(RIGHT(AA121,10),4,2)&amp;"/"&amp;LEFT((RIGHT(AA121,10)),2)&amp;"/"&amp;RIGHT(AA121,4))))</f>
        <v/>
      </c>
      <c r="AQ121" s="181"/>
      <c r="AR121" s="190" t="s">
        <v>3913</v>
      </c>
      <c r="AS121" s="176">
        <v>20.73</v>
      </c>
      <c r="AT121" s="176">
        <v>20.79</v>
      </c>
      <c r="AU121" s="176">
        <v>20.815000000000001</v>
      </c>
      <c r="AV121" s="176">
        <v>20.82</v>
      </c>
      <c r="AW121" s="173">
        <f t="shared" ca="1" si="12"/>
        <v>27</v>
      </c>
      <c r="AX121" s="142">
        <v>451</v>
      </c>
      <c r="AZ121" s="142" t="s">
        <v>123</v>
      </c>
    </row>
    <row r="122" spans="2:52" s="142" customFormat="1" ht="21" customHeight="1" x14ac:dyDescent="0.25">
      <c r="B122" s="173" t="str">
        <f t="shared" ref="B122:B124" si="17">IF(C122="HOLD RM","HOLD RM",IF(C122="BAL","WIP",IF(C122="HOLD SLT","HOLD SLT",IF(C122="MILL","RM",IF(C122="RE SLT","WIP",IF(C122="RM","RM",IF(C122="RM BAL","RM",IF(C122="RM SLT","RM",IF(C122="RR","WIP",IF(C122="SKP","WIP",IF(C122="SLT","WIP",IF(C122="CTL","WIP",IF(C122="RM SLT RUST","RM SLT RUST",0)))))))))))))&amp;"-"&amp;G122&amp;"/"&amp;IF(H122="2B","2B",IF(H122="NO.1","1D",IF(H122="FH","FH",0)))&amp;"-"&amp;IF(J122="",(TEXT(I122,"0.00")),TEXT(J122,"0.00"))&amp;"X"&amp;M122</f>
        <v>0-304L/2B-0.30X630</v>
      </c>
      <c r="C122" s="201" t="s">
        <v>4684</v>
      </c>
      <c r="D122" s="173" t="s">
        <v>836</v>
      </c>
      <c r="E122" s="190" t="s">
        <v>3966</v>
      </c>
      <c r="F122" s="201" t="s">
        <v>3967</v>
      </c>
      <c r="G122" s="173" t="s">
        <v>182</v>
      </c>
      <c r="H122" s="173" t="s">
        <v>114</v>
      </c>
      <c r="I122" s="174">
        <v>0.57999999999999996</v>
      </c>
      <c r="J122" s="174">
        <v>0.3</v>
      </c>
      <c r="K122" s="203">
        <v>0.28999999999999998</v>
      </c>
      <c r="L122" s="203">
        <v>0.3</v>
      </c>
      <c r="M122" s="191">
        <v>630</v>
      </c>
      <c r="N122" s="176">
        <v>10.54</v>
      </c>
      <c r="O122" s="176">
        <v>10.48</v>
      </c>
      <c r="P122" s="176"/>
      <c r="Q122" s="176">
        <v>0.06</v>
      </c>
      <c r="R122" s="176" t="s">
        <v>114</v>
      </c>
      <c r="S122" s="209"/>
      <c r="T122" s="178" t="s">
        <v>1344</v>
      </c>
      <c r="U122" s="178"/>
      <c r="V122" s="179" t="s">
        <v>230</v>
      </c>
      <c r="W122" s="177" t="s">
        <v>3968</v>
      </c>
      <c r="X122" s="177"/>
      <c r="Y122" s="177">
        <v>44936</v>
      </c>
      <c r="Z122" s="177">
        <v>44922</v>
      </c>
      <c r="AA122" s="177" t="s">
        <v>4685</v>
      </c>
      <c r="AB122" s="177"/>
      <c r="AC122" s="177" t="s">
        <v>3969</v>
      </c>
      <c r="AD122" s="177"/>
      <c r="AE122" s="177"/>
      <c r="AF122" s="177"/>
      <c r="AG122" s="180" t="s">
        <v>2479</v>
      </c>
      <c r="AH122" s="173" t="s">
        <v>69</v>
      </c>
      <c r="AI122" s="181" t="s">
        <v>142</v>
      </c>
      <c r="AJ122" s="181" t="s">
        <v>1594</v>
      </c>
      <c r="AK122" s="181"/>
      <c r="AL122" s="181">
        <v>44849</v>
      </c>
      <c r="AM122" s="181"/>
      <c r="AN122" s="181">
        <f t="shared" ca="1" si="10"/>
        <v>44958</v>
      </c>
      <c r="AO122" s="173">
        <f t="shared" ref="AO122:AO124" ca="1" si="18">IF(AL122&lt;&gt;0,AN122-AL122,0)</f>
        <v>109</v>
      </c>
      <c r="AP122" s="173">
        <f t="shared" ref="AP122:AP124" ca="1" si="19">IF(ISNUMBER(AA122)=TRUE,AN122-AA122,IF(AA122="","",(AN122)-(MID(RIGHT(AA122,10),4,2)&amp;"/"&amp;LEFT((RIGHT(AA122,10)),2)&amp;"/"&amp;RIGHT(AA122,4))))</f>
        <v>20</v>
      </c>
      <c r="AQ122" s="181"/>
      <c r="AR122" s="190" t="s">
        <v>3970</v>
      </c>
      <c r="AS122" s="176">
        <v>10.715</v>
      </c>
      <c r="AT122" s="176">
        <v>10.725</v>
      </c>
      <c r="AU122" s="176">
        <v>10.749999999999998</v>
      </c>
      <c r="AV122" s="176">
        <v>10.754999999999999</v>
      </c>
      <c r="AW122" s="173">
        <f t="shared" ca="1" si="12"/>
        <v>22</v>
      </c>
      <c r="AX122" s="142">
        <v>456</v>
      </c>
      <c r="AZ122" s="142" t="s">
        <v>123</v>
      </c>
    </row>
    <row r="123" spans="2:52" s="142" customFormat="1" ht="21" customHeight="1" x14ac:dyDescent="0.25">
      <c r="B123" s="173" t="str">
        <f t="shared" si="17"/>
        <v>0-304/2B-0.40X642</v>
      </c>
      <c r="C123" s="201" t="s">
        <v>4684</v>
      </c>
      <c r="D123" s="173" t="s">
        <v>836</v>
      </c>
      <c r="E123" s="190" t="s">
        <v>1621</v>
      </c>
      <c r="F123" s="201" t="s">
        <v>3990</v>
      </c>
      <c r="G123" s="173">
        <v>304</v>
      </c>
      <c r="H123" s="173" t="s">
        <v>114</v>
      </c>
      <c r="I123" s="174">
        <v>2.4900000000000002</v>
      </c>
      <c r="J123" s="174">
        <v>0.4</v>
      </c>
      <c r="K123" s="203">
        <v>0.41</v>
      </c>
      <c r="L123" s="203">
        <v>0.42</v>
      </c>
      <c r="M123" s="191">
        <v>642</v>
      </c>
      <c r="N123" s="176">
        <v>8.2100000000000009</v>
      </c>
      <c r="O123" s="176">
        <v>7.9450000000000003</v>
      </c>
      <c r="P123" s="176">
        <v>0.26500000000000001</v>
      </c>
      <c r="Q123" s="176"/>
      <c r="R123" s="176" t="s">
        <v>114</v>
      </c>
      <c r="S123" s="209"/>
      <c r="T123" s="178" t="s">
        <v>1344</v>
      </c>
      <c r="U123" s="178"/>
      <c r="V123" s="179"/>
      <c r="W123" s="177">
        <v>44933</v>
      </c>
      <c r="X123" s="177"/>
      <c r="Y123" s="177">
        <v>44934</v>
      </c>
      <c r="Z123" s="177"/>
      <c r="AA123" s="177">
        <v>44938</v>
      </c>
      <c r="AB123" s="177"/>
      <c r="AC123" s="177"/>
      <c r="AD123" s="177"/>
      <c r="AE123" s="177"/>
      <c r="AF123" s="177"/>
      <c r="AG123" s="180" t="s">
        <v>1619</v>
      </c>
      <c r="AH123" s="173" t="s">
        <v>69</v>
      </c>
      <c r="AI123" s="181" t="s">
        <v>142</v>
      </c>
      <c r="AJ123" s="181" t="s">
        <v>1594</v>
      </c>
      <c r="AK123" s="181"/>
      <c r="AL123" s="181">
        <v>44849</v>
      </c>
      <c r="AM123" s="181"/>
      <c r="AN123" s="181">
        <f t="shared" ca="1" si="10"/>
        <v>44958</v>
      </c>
      <c r="AO123" s="173">
        <f t="shared" ca="1" si="18"/>
        <v>109</v>
      </c>
      <c r="AP123" s="173">
        <f t="shared" ca="1" si="19"/>
        <v>20</v>
      </c>
      <c r="AQ123" s="181"/>
      <c r="AR123" s="190" t="s">
        <v>1620</v>
      </c>
      <c r="AS123" s="176">
        <v>10.68</v>
      </c>
      <c r="AT123" s="176">
        <v>10.69</v>
      </c>
      <c r="AU123" s="176">
        <v>10.714999999999998</v>
      </c>
      <c r="AV123" s="176">
        <v>10.719999999999999</v>
      </c>
      <c r="AW123" s="173">
        <f t="shared" ca="1" si="12"/>
        <v>24</v>
      </c>
      <c r="AX123" s="142">
        <v>456</v>
      </c>
      <c r="AZ123" s="142" t="s">
        <v>123</v>
      </c>
    </row>
    <row r="124" spans="2:52" s="142" customFormat="1" ht="21" customHeight="1" x14ac:dyDescent="0.25">
      <c r="B124" s="173" t="str">
        <f t="shared" si="17"/>
        <v>0-304/2B-0.40X641</v>
      </c>
      <c r="C124" s="201" t="s">
        <v>4684</v>
      </c>
      <c r="D124" s="173" t="s">
        <v>836</v>
      </c>
      <c r="E124" s="190" t="s">
        <v>3943</v>
      </c>
      <c r="F124" s="201" t="s">
        <v>3944</v>
      </c>
      <c r="G124" s="173">
        <v>304</v>
      </c>
      <c r="H124" s="173" t="s">
        <v>114</v>
      </c>
      <c r="I124" s="174">
        <v>2.48</v>
      </c>
      <c r="J124" s="174">
        <v>0.4</v>
      </c>
      <c r="K124" s="203">
        <v>0.4</v>
      </c>
      <c r="L124" s="203">
        <v>0.42</v>
      </c>
      <c r="M124" s="191">
        <v>641</v>
      </c>
      <c r="N124" s="176">
        <v>10.14</v>
      </c>
      <c r="O124" s="176">
        <v>10.135</v>
      </c>
      <c r="P124" s="176"/>
      <c r="Q124" s="176">
        <v>5.0000000000000001E-3</v>
      </c>
      <c r="R124" s="176" t="s">
        <v>114</v>
      </c>
      <c r="S124" s="209"/>
      <c r="T124" s="178" t="s">
        <v>1344</v>
      </c>
      <c r="U124" s="178"/>
      <c r="V124" s="179" t="s">
        <v>4686</v>
      </c>
      <c r="W124" s="177">
        <v>44932</v>
      </c>
      <c r="X124" s="177"/>
      <c r="Y124" s="177">
        <v>44933</v>
      </c>
      <c r="Z124" s="177"/>
      <c r="AA124" s="177">
        <v>44938</v>
      </c>
      <c r="AB124" s="177"/>
      <c r="AC124" s="177"/>
      <c r="AD124" s="177"/>
      <c r="AE124" s="177"/>
      <c r="AF124" s="177"/>
      <c r="AG124" s="180" t="s">
        <v>2479</v>
      </c>
      <c r="AH124" s="173" t="s">
        <v>69</v>
      </c>
      <c r="AI124" s="181" t="s">
        <v>142</v>
      </c>
      <c r="AJ124" s="181" t="s">
        <v>1594</v>
      </c>
      <c r="AK124" s="181"/>
      <c r="AL124" s="181">
        <v>44849</v>
      </c>
      <c r="AM124" s="181"/>
      <c r="AN124" s="181">
        <f t="shared" ca="1" si="10"/>
        <v>44958</v>
      </c>
      <c r="AO124" s="173">
        <f t="shared" ca="1" si="18"/>
        <v>109</v>
      </c>
      <c r="AP124" s="173">
        <f t="shared" ca="1" si="19"/>
        <v>20</v>
      </c>
      <c r="AQ124" s="181"/>
      <c r="AR124" s="190" t="s">
        <v>3935</v>
      </c>
      <c r="AS124" s="176">
        <v>10.135</v>
      </c>
      <c r="AT124" s="176">
        <v>10.145</v>
      </c>
      <c r="AU124" s="176">
        <v>10.169999999999998</v>
      </c>
      <c r="AV124" s="176">
        <v>10.174999999999999</v>
      </c>
      <c r="AW124" s="173">
        <f t="shared" ca="1" si="12"/>
        <v>25</v>
      </c>
      <c r="AX124" s="142">
        <v>456</v>
      </c>
      <c r="AZ124" s="142" t="s">
        <v>123</v>
      </c>
    </row>
    <row r="125" spans="2:52" s="142" customFormat="1" ht="21" customHeight="1" x14ac:dyDescent="0.25">
      <c r="B125" s="173" t="str">
        <f>IF(C125="HOLD RM","HOLD RM",IF(C125="BAL","WIP",IF(C125="HOLD SLT","HOLD SLT",IF(C125="MILL","RM",IF(C125="RE SLT","WIP",IF(C125="RM","RM",IF(C125="RM BAL","RM",IF(C125="RM SLT","RM",IF(C125="RR","WIP",IF(C125="SKP","WIP",IF(C125="SLT","WIP",IF(C125="CTL","WIP",IF(C125="RM SLT RUST","RM SLT RUST",0)))))))))))))&amp;"-"&amp;G125&amp;"/"&amp;IF(H125="2B","2B",IF(H125="NO.1","1D",IF(H125="FH","FH",0)))&amp;"-"&amp;IF(J125="",(TEXT(I125,"0.00")),TEXT(J125,"0.00"))&amp;"X"&amp;M125</f>
        <v>0-304/2B-1.00X777</v>
      </c>
      <c r="C125" s="201" t="s">
        <v>4684</v>
      </c>
      <c r="D125" s="173" t="s">
        <v>68</v>
      </c>
      <c r="E125" s="190" t="s">
        <v>3902</v>
      </c>
      <c r="F125" s="201" t="s">
        <v>3903</v>
      </c>
      <c r="G125" s="173">
        <v>304</v>
      </c>
      <c r="H125" s="173" t="s">
        <v>114</v>
      </c>
      <c r="I125" s="174">
        <v>2.92</v>
      </c>
      <c r="J125" s="174">
        <v>1</v>
      </c>
      <c r="K125" s="203">
        <v>0.99</v>
      </c>
      <c r="L125" s="203">
        <v>1</v>
      </c>
      <c r="M125" s="191">
        <v>777</v>
      </c>
      <c r="N125" s="176">
        <v>10.73</v>
      </c>
      <c r="O125" s="176">
        <v>10.7</v>
      </c>
      <c r="P125" s="176"/>
      <c r="Q125" s="176">
        <v>0.03</v>
      </c>
      <c r="R125" s="176" t="s">
        <v>114</v>
      </c>
      <c r="S125" s="209" t="s">
        <v>4687</v>
      </c>
      <c r="T125" s="178" t="s">
        <v>750</v>
      </c>
      <c r="U125" s="178"/>
      <c r="V125" s="179" t="s">
        <v>1350</v>
      </c>
      <c r="W125" s="177">
        <v>44930</v>
      </c>
      <c r="X125" s="177"/>
      <c r="Y125" s="177">
        <v>44931</v>
      </c>
      <c r="Z125" s="177"/>
      <c r="AA125" s="177">
        <v>44938</v>
      </c>
      <c r="AB125" s="177"/>
      <c r="AC125" s="177"/>
      <c r="AD125" s="177">
        <v>44929</v>
      </c>
      <c r="AE125" s="177"/>
      <c r="AF125" s="177"/>
      <c r="AG125" s="180" t="s">
        <v>1345</v>
      </c>
      <c r="AH125" s="173" t="s">
        <v>69</v>
      </c>
      <c r="AI125" s="181" t="s">
        <v>142</v>
      </c>
      <c r="AJ125" s="181" t="s">
        <v>1346</v>
      </c>
      <c r="AK125" s="181"/>
      <c r="AL125" s="181">
        <v>44813</v>
      </c>
      <c r="AM125" s="181"/>
      <c r="AN125" s="181">
        <f ca="1">TODAY()</f>
        <v>44958</v>
      </c>
      <c r="AO125" s="173">
        <f ca="1">IF(AL125&lt;&gt;0,AN125-AL125,0)</f>
        <v>145</v>
      </c>
      <c r="AP125" s="173">
        <f ca="1">IF(ISNUMBER(AA125)=TRUE,AN125-AA125,IF(AA125="","",(AN125)-(MID(RIGHT(AA125,10),4,2)&amp;"/"&amp;LEFT((RIGHT(AA125,10)),2)&amp;"/"&amp;RIGHT(AA125,4))))</f>
        <v>20</v>
      </c>
      <c r="AQ125" s="181"/>
      <c r="AR125" s="190" t="s">
        <v>3904</v>
      </c>
      <c r="AS125" s="176">
        <v>21.43</v>
      </c>
      <c r="AT125" s="176">
        <v>21.49</v>
      </c>
      <c r="AU125" s="176">
        <v>21.515000000000001</v>
      </c>
      <c r="AV125" s="176">
        <v>21.52</v>
      </c>
      <c r="AW125" s="173">
        <f t="shared" ca="1" si="12"/>
        <v>27</v>
      </c>
      <c r="AX125" s="142">
        <v>451</v>
      </c>
      <c r="AZ125" s="142" t="s">
        <v>123</v>
      </c>
    </row>
    <row r="126" spans="2:52" s="142" customFormat="1" ht="21" customHeight="1" x14ac:dyDescent="0.25">
      <c r="B126" s="173" t="str">
        <f>IF(C126="HOLD RM","HOLD RM",IF(C126="BAL","WIP",IF(C126="HOLD SLT","HOLD SLT",IF(C126="MILL","RM",IF(C126="RE SLT","WIP",IF(C126="RM","RM",IF(C126="RM BAL","RM",IF(C126="RM SLT","RM",IF(C126="RR","WIP",IF(C126="SKP","WIP",IF(C126="SLT","WIP",IF(C126="CTL","WIP",IF(C126="RM SLT RUST","RM SLT RUST",0)))))))))))))&amp;"-"&amp;G126&amp;"/"&amp;IF(H126="2B","2B",IF(H126="NO.1","1D",IF(H126="FH","FH",0)))&amp;"-"&amp;IF(J126="",(TEXT(I126,"0.00")),TEXT(J126,"0.00"))&amp;"X"&amp;M126</f>
        <v>0-304/2B-1.03X778</v>
      </c>
      <c r="C126" s="201" t="s">
        <v>4679</v>
      </c>
      <c r="D126" s="173" t="s">
        <v>4432</v>
      </c>
      <c r="E126" s="190" t="s">
        <v>3945</v>
      </c>
      <c r="F126" s="201" t="s">
        <v>4688</v>
      </c>
      <c r="G126" s="173">
        <v>304</v>
      </c>
      <c r="H126" s="173" t="s">
        <v>114</v>
      </c>
      <c r="I126" s="174">
        <v>3.49</v>
      </c>
      <c r="J126" s="174">
        <v>1.03</v>
      </c>
      <c r="K126" s="203">
        <v>1.04</v>
      </c>
      <c r="L126" s="203">
        <v>1.05</v>
      </c>
      <c r="M126" s="191">
        <v>778</v>
      </c>
      <c r="N126" s="176">
        <v>10.71</v>
      </c>
      <c r="O126" s="176">
        <f>5.985+4.675</f>
        <v>10.66</v>
      </c>
      <c r="P126" s="176"/>
      <c r="Q126" s="176">
        <v>0.04</v>
      </c>
      <c r="R126" s="176" t="s">
        <v>114</v>
      </c>
      <c r="S126" s="209" t="s">
        <v>4687</v>
      </c>
      <c r="T126" s="178" t="s">
        <v>4689</v>
      </c>
      <c r="U126" s="178"/>
      <c r="V126" s="179"/>
      <c r="W126" s="177">
        <v>44932</v>
      </c>
      <c r="X126" s="177"/>
      <c r="Y126" s="177">
        <v>44932</v>
      </c>
      <c r="Z126" s="177"/>
      <c r="AA126" s="177"/>
      <c r="AB126" s="177"/>
      <c r="AC126" s="177"/>
      <c r="AD126" s="177">
        <v>44929</v>
      </c>
      <c r="AE126" s="177"/>
      <c r="AF126" s="177"/>
      <c r="AG126" s="180" t="s">
        <v>1345</v>
      </c>
      <c r="AH126" s="173" t="s">
        <v>69</v>
      </c>
      <c r="AI126" s="181" t="s">
        <v>142</v>
      </c>
      <c r="AJ126" s="181" t="s">
        <v>1346</v>
      </c>
      <c r="AK126" s="181"/>
      <c r="AL126" s="181">
        <v>44813</v>
      </c>
      <c r="AM126" s="181"/>
      <c r="AN126" s="181">
        <f ca="1">TODAY()</f>
        <v>44958</v>
      </c>
      <c r="AO126" s="173">
        <f ca="1">IF(AL126&lt;&gt;0,AN126-AL126,0)</f>
        <v>145</v>
      </c>
      <c r="AP126" s="173" t="str">
        <f>IF(ISNUMBER(AA126)=TRUE,AN126-AA126,IF(AA126="","",(AN126)-(MID(RIGHT(AA126,10),4,2)&amp;"/"&amp;LEFT((RIGHT(AA126,10)),2)&amp;"/"&amp;RIGHT(AA126,4))))</f>
        <v/>
      </c>
      <c r="AQ126" s="181"/>
      <c r="AR126" s="190" t="s">
        <v>3947</v>
      </c>
      <c r="AS126" s="176">
        <v>21.434999999999999</v>
      </c>
      <c r="AT126" s="176">
        <v>21.495000000000001</v>
      </c>
      <c r="AU126" s="176">
        <v>21.520000000000003</v>
      </c>
      <c r="AV126" s="176">
        <v>21.525000000000002</v>
      </c>
      <c r="AW126" s="173">
        <f t="shared" ca="1" si="12"/>
        <v>26</v>
      </c>
      <c r="AX126" s="142">
        <v>451</v>
      </c>
      <c r="AZ126" s="142" t="s">
        <v>123</v>
      </c>
    </row>
    <row r="127" spans="2:52" s="142" customFormat="1" ht="21" customHeight="1" x14ac:dyDescent="0.25">
      <c r="B127" s="173" t="str">
        <f t="shared" ref="B127:B131" si="20">IF(C127="HOLD RM","HOLD RM",IF(C127="BAL","WIP",IF(C127="HOLD SLT","HOLD SLT",IF(C127="MILL","RM",IF(C127="RE SLT","WIP",IF(C127="RM","RM",IF(C127="RM BAL","RM",IF(C127="RM SLT","RM",IF(C127="RR","WIP",IF(C127="SKP","WIP",IF(C127="SLT","WIP",IF(C127="CTL","WIP",IF(C127="RM SLT RUST","RM SLT RUST",0)))))))))))))&amp;"-"&amp;G127&amp;"/"&amp;IF(H127="2B","2B",IF(H127="NO.1","1D",IF(H127="FH","FH",0)))&amp;"-"&amp;IF(J127="",(TEXT(I127,"0.00")),TEXT(J127,"0.00"))&amp;"X"&amp;M127</f>
        <v>0-304L/2B-1.00X769</v>
      </c>
      <c r="C127" s="201" t="s">
        <v>4690</v>
      </c>
      <c r="D127" s="173" t="s">
        <v>4432</v>
      </c>
      <c r="E127" s="190" t="s">
        <v>3906</v>
      </c>
      <c r="F127" s="201" t="s">
        <v>4691</v>
      </c>
      <c r="G127" s="173" t="s">
        <v>182</v>
      </c>
      <c r="H127" s="173" t="s">
        <v>114</v>
      </c>
      <c r="I127" s="174">
        <v>2.92</v>
      </c>
      <c r="J127" s="174">
        <v>1</v>
      </c>
      <c r="K127" s="203"/>
      <c r="L127" s="203"/>
      <c r="M127" s="191">
        <v>769</v>
      </c>
      <c r="N127" s="349">
        <v>12.225</v>
      </c>
      <c r="O127" s="176">
        <f>4.005+4.08</f>
        <v>8.0850000000000009</v>
      </c>
      <c r="P127" s="176"/>
      <c r="Q127" s="176"/>
      <c r="R127" s="176" t="s">
        <v>114</v>
      </c>
      <c r="S127" s="209" t="s">
        <v>4687</v>
      </c>
      <c r="T127" s="178" t="s">
        <v>750</v>
      </c>
      <c r="U127" s="178"/>
      <c r="V127" s="179"/>
      <c r="W127" s="177">
        <v>44930</v>
      </c>
      <c r="X127" s="177"/>
      <c r="Y127" s="177">
        <v>44931</v>
      </c>
      <c r="Z127" s="177"/>
      <c r="AA127" s="177"/>
      <c r="AB127" s="177"/>
      <c r="AC127" s="177"/>
      <c r="AD127" s="177">
        <v>44930</v>
      </c>
      <c r="AE127" s="177"/>
      <c r="AF127" s="177"/>
      <c r="AG127" s="180" t="s">
        <v>1345</v>
      </c>
      <c r="AH127" s="173" t="s">
        <v>69</v>
      </c>
      <c r="AI127" s="181" t="s">
        <v>142</v>
      </c>
      <c r="AJ127" s="181" t="s">
        <v>1508</v>
      </c>
      <c r="AK127" s="181"/>
      <c r="AL127" s="181">
        <v>44849</v>
      </c>
      <c r="AM127" s="181"/>
      <c r="AN127" s="181">
        <f t="shared" ref="AN127:AN131" ca="1" si="21">TODAY()</f>
        <v>44958</v>
      </c>
      <c r="AO127" s="173">
        <f t="shared" ref="AO127:AO131" ca="1" si="22">IF(AL127&lt;&gt;0,AN127-AL127,0)</f>
        <v>109</v>
      </c>
      <c r="AP127" s="173" t="str">
        <f t="shared" ref="AP127:AP131" si="23">IF(ISNUMBER(AA127)=TRUE,AN127-AA127,IF(AA127="","",(AN127)-(MID(RIGHT(AA127,10),4,2)&amp;"/"&amp;LEFT((RIGHT(AA127,10)),2)&amp;"/"&amp;RIGHT(AA127,4))))</f>
        <v/>
      </c>
      <c r="AQ127" s="181"/>
      <c r="AR127" s="190" t="s">
        <v>3908</v>
      </c>
      <c r="AS127" s="176">
        <v>24.495000000000001</v>
      </c>
      <c r="AT127" s="176">
        <v>24.555</v>
      </c>
      <c r="AU127" s="176">
        <v>24.580000000000002</v>
      </c>
      <c r="AV127" s="176">
        <v>24.585000000000001</v>
      </c>
      <c r="AW127" s="173">
        <f t="shared" ca="1" si="12"/>
        <v>27</v>
      </c>
      <c r="AX127" s="142">
        <v>456</v>
      </c>
      <c r="AZ127" s="142" t="s">
        <v>123</v>
      </c>
    </row>
    <row r="128" spans="2:52" s="142" customFormat="1" ht="21" customHeight="1" x14ac:dyDescent="0.25">
      <c r="B128" s="173" t="str">
        <f t="shared" si="20"/>
        <v>0-304L/2B-1.00X769</v>
      </c>
      <c r="C128" s="201" t="s">
        <v>4692</v>
      </c>
      <c r="D128" s="173" t="s">
        <v>836</v>
      </c>
      <c r="E128" s="190" t="s">
        <v>3906</v>
      </c>
      <c r="F128" s="201" t="s">
        <v>4693</v>
      </c>
      <c r="G128" s="173" t="s">
        <v>182</v>
      </c>
      <c r="H128" s="173" t="s">
        <v>114</v>
      </c>
      <c r="I128" s="174">
        <v>2.92</v>
      </c>
      <c r="J128" s="174">
        <v>1</v>
      </c>
      <c r="K128" s="203"/>
      <c r="L128" s="203"/>
      <c r="M128" s="191">
        <v>769</v>
      </c>
      <c r="N128" s="350"/>
      <c r="O128" s="176">
        <v>4.1100000000000003</v>
      </c>
      <c r="P128" s="176"/>
      <c r="Q128" s="176">
        <v>0.03</v>
      </c>
      <c r="R128" s="176" t="s">
        <v>114</v>
      </c>
      <c r="S128" s="209"/>
      <c r="T128" s="178" t="s">
        <v>750</v>
      </c>
      <c r="U128" s="178"/>
      <c r="V128" s="179"/>
      <c r="W128" s="177">
        <v>44930</v>
      </c>
      <c r="X128" s="177"/>
      <c r="Y128" s="177">
        <v>44931</v>
      </c>
      <c r="Z128" s="177"/>
      <c r="AA128" s="177">
        <v>44939</v>
      </c>
      <c r="AB128" s="177"/>
      <c r="AC128" s="177"/>
      <c r="AD128" s="177">
        <v>44930</v>
      </c>
      <c r="AE128" s="177"/>
      <c r="AF128" s="177"/>
      <c r="AG128" s="180" t="s">
        <v>1345</v>
      </c>
      <c r="AH128" s="173" t="s">
        <v>69</v>
      </c>
      <c r="AI128" s="181" t="s">
        <v>142</v>
      </c>
      <c r="AJ128" s="181" t="s">
        <v>1508</v>
      </c>
      <c r="AK128" s="181"/>
      <c r="AL128" s="181">
        <v>44849</v>
      </c>
      <c r="AM128" s="181"/>
      <c r="AN128" s="181">
        <f t="shared" ca="1" si="21"/>
        <v>44958</v>
      </c>
      <c r="AO128" s="173">
        <f t="shared" ca="1" si="22"/>
        <v>109</v>
      </c>
      <c r="AP128" s="173">
        <f t="shared" ca="1" si="23"/>
        <v>19</v>
      </c>
      <c r="AQ128" s="181"/>
      <c r="AR128" s="190" t="s">
        <v>3908</v>
      </c>
      <c r="AS128" s="176">
        <v>24.495000000000001</v>
      </c>
      <c r="AT128" s="176">
        <v>24.555</v>
      </c>
      <c r="AU128" s="176">
        <v>24.580000000000002</v>
      </c>
      <c r="AV128" s="176">
        <v>24.585000000000001</v>
      </c>
      <c r="AW128" s="173">
        <f t="shared" ca="1" si="12"/>
        <v>27</v>
      </c>
      <c r="AX128" s="142">
        <v>456</v>
      </c>
      <c r="AZ128" s="142" t="s">
        <v>123</v>
      </c>
    </row>
    <row r="129" spans="2:52" s="142" customFormat="1" ht="21" customHeight="1" x14ac:dyDescent="0.25">
      <c r="B129" s="173" t="str">
        <f t="shared" si="20"/>
        <v>0-304L/2B-0.30X630</v>
      </c>
      <c r="C129" s="201" t="s">
        <v>4692</v>
      </c>
      <c r="D129" s="173" t="s">
        <v>836</v>
      </c>
      <c r="E129" s="190" t="s">
        <v>3992</v>
      </c>
      <c r="F129" s="201" t="s">
        <v>3993</v>
      </c>
      <c r="G129" s="173" t="s">
        <v>182</v>
      </c>
      <c r="H129" s="173" t="s">
        <v>114</v>
      </c>
      <c r="I129" s="174">
        <v>0.57999999999999996</v>
      </c>
      <c r="J129" s="174">
        <v>0.3</v>
      </c>
      <c r="K129" s="203"/>
      <c r="L129" s="203"/>
      <c r="M129" s="191">
        <v>630</v>
      </c>
      <c r="N129" s="176">
        <v>10.57</v>
      </c>
      <c r="O129" s="176">
        <v>10.545</v>
      </c>
      <c r="P129" s="176"/>
      <c r="Q129" s="176">
        <v>2.5000000000000001E-2</v>
      </c>
      <c r="R129" s="176" t="s">
        <v>114</v>
      </c>
      <c r="S129" s="209"/>
      <c r="T129" s="178" t="s">
        <v>1344</v>
      </c>
      <c r="U129" s="178"/>
      <c r="V129" s="179" t="s">
        <v>230</v>
      </c>
      <c r="W129" s="177" t="s">
        <v>3994</v>
      </c>
      <c r="X129" s="177"/>
      <c r="Y129" s="177">
        <v>44936</v>
      </c>
      <c r="Z129" s="177">
        <v>44923</v>
      </c>
      <c r="AA129" s="177" t="s">
        <v>4694</v>
      </c>
      <c r="AB129" s="177"/>
      <c r="AC129" s="177" t="s">
        <v>3969</v>
      </c>
      <c r="AD129" s="177"/>
      <c r="AE129" s="177"/>
      <c r="AF129" s="177"/>
      <c r="AG129" s="180" t="s">
        <v>2479</v>
      </c>
      <c r="AH129" s="173" t="s">
        <v>69</v>
      </c>
      <c r="AI129" s="181" t="s">
        <v>142</v>
      </c>
      <c r="AJ129" s="181" t="s">
        <v>1594</v>
      </c>
      <c r="AK129" s="181"/>
      <c r="AL129" s="181">
        <v>44849</v>
      </c>
      <c r="AM129" s="181"/>
      <c r="AN129" s="181">
        <f t="shared" ca="1" si="21"/>
        <v>44958</v>
      </c>
      <c r="AO129" s="173">
        <f t="shared" ca="1" si="22"/>
        <v>109</v>
      </c>
      <c r="AP129" s="173">
        <f t="shared" ca="1" si="23"/>
        <v>19</v>
      </c>
      <c r="AQ129" s="181"/>
      <c r="AR129" s="190" t="s">
        <v>3995</v>
      </c>
      <c r="AS129" s="176">
        <v>10.705</v>
      </c>
      <c r="AT129" s="176">
        <v>10.715</v>
      </c>
      <c r="AU129" s="176">
        <v>10.739999999999998</v>
      </c>
      <c r="AV129" s="176">
        <v>10.744999999999999</v>
      </c>
      <c r="AW129" s="173">
        <f t="shared" ca="1" si="12"/>
        <v>22</v>
      </c>
      <c r="AX129" s="142">
        <v>456</v>
      </c>
      <c r="AZ129" s="142" t="s">
        <v>123</v>
      </c>
    </row>
    <row r="130" spans="2:52" s="142" customFormat="1" ht="21" customHeight="1" x14ac:dyDescent="0.25">
      <c r="B130" s="173" t="str">
        <f t="shared" si="20"/>
        <v>0-304L/2B-0.60X643</v>
      </c>
      <c r="C130" s="201" t="s">
        <v>4695</v>
      </c>
      <c r="D130" s="173" t="s">
        <v>1237</v>
      </c>
      <c r="E130" s="190" t="s">
        <v>4142</v>
      </c>
      <c r="F130" s="201" t="s">
        <v>4143</v>
      </c>
      <c r="G130" s="173" t="s">
        <v>182</v>
      </c>
      <c r="H130" s="173" t="s">
        <v>114</v>
      </c>
      <c r="I130" s="174">
        <v>2.79</v>
      </c>
      <c r="J130" s="174">
        <v>0.6</v>
      </c>
      <c r="K130" s="203"/>
      <c r="L130" s="203"/>
      <c r="M130" s="191">
        <v>643</v>
      </c>
      <c r="N130" s="176">
        <v>10.695</v>
      </c>
      <c r="O130" s="176">
        <v>10.69</v>
      </c>
      <c r="P130" s="176"/>
      <c r="Q130" s="176">
        <v>5.0000000000000001E-3</v>
      </c>
      <c r="R130" s="176" t="s">
        <v>114</v>
      </c>
      <c r="S130" s="209"/>
      <c r="T130" s="178" t="s">
        <v>1344</v>
      </c>
      <c r="U130" s="178"/>
      <c r="V130" s="179" t="s">
        <v>230</v>
      </c>
      <c r="W130" s="177">
        <v>44917</v>
      </c>
      <c r="X130" s="177"/>
      <c r="Y130" s="177">
        <v>44918</v>
      </c>
      <c r="Z130" s="177"/>
      <c r="AA130" s="177">
        <v>44939</v>
      </c>
      <c r="AB130" s="177"/>
      <c r="AC130" s="177"/>
      <c r="AD130" s="177"/>
      <c r="AE130" s="177"/>
      <c r="AF130" s="177"/>
      <c r="AG130" s="180" t="s">
        <v>1619</v>
      </c>
      <c r="AH130" s="173" t="s">
        <v>69</v>
      </c>
      <c r="AI130" s="181" t="s">
        <v>142</v>
      </c>
      <c r="AJ130" s="181" t="s">
        <v>1657</v>
      </c>
      <c r="AK130" s="181"/>
      <c r="AL130" s="181">
        <v>44849</v>
      </c>
      <c r="AM130" s="181"/>
      <c r="AN130" s="181">
        <f t="shared" ca="1" si="21"/>
        <v>44958</v>
      </c>
      <c r="AO130" s="173">
        <f t="shared" ca="1" si="22"/>
        <v>109</v>
      </c>
      <c r="AP130" s="173">
        <f t="shared" ca="1" si="23"/>
        <v>19</v>
      </c>
      <c r="AQ130" s="181"/>
      <c r="AR130" s="190" t="s">
        <v>1689</v>
      </c>
      <c r="AS130" s="176">
        <v>10.695</v>
      </c>
      <c r="AT130" s="176">
        <v>10.705</v>
      </c>
      <c r="AU130" s="176">
        <v>10.729999999999999</v>
      </c>
      <c r="AV130" s="176">
        <v>10.734999999999999</v>
      </c>
      <c r="AW130" s="173">
        <f t="shared" ca="1" si="12"/>
        <v>40</v>
      </c>
      <c r="AX130" s="142">
        <v>456</v>
      </c>
      <c r="AZ130" s="142" t="s">
        <v>123</v>
      </c>
    </row>
    <row r="131" spans="2:52" s="142" customFormat="1" ht="21" customHeight="1" x14ac:dyDescent="0.25">
      <c r="B131" s="173" t="str">
        <f t="shared" si="20"/>
        <v>0-304L/2B-1.00X771</v>
      </c>
      <c r="C131" s="201" t="s">
        <v>4690</v>
      </c>
      <c r="D131" s="173" t="s">
        <v>4432</v>
      </c>
      <c r="E131" s="190" t="s">
        <v>4696</v>
      </c>
      <c r="F131" s="201" t="s">
        <v>4697</v>
      </c>
      <c r="G131" s="173" t="s">
        <v>182</v>
      </c>
      <c r="H131" s="173" t="s">
        <v>114</v>
      </c>
      <c r="I131" s="174">
        <v>2.98</v>
      </c>
      <c r="J131" s="174">
        <v>1</v>
      </c>
      <c r="K131" s="203"/>
      <c r="L131" s="203"/>
      <c r="M131" s="191">
        <v>771</v>
      </c>
      <c r="N131" s="176">
        <v>10.56</v>
      </c>
      <c r="O131" s="176">
        <f>5.35+5.125</f>
        <v>10.475</v>
      </c>
      <c r="P131" s="176"/>
      <c r="Q131" s="176">
        <v>8.5000000000000006E-2</v>
      </c>
      <c r="R131" s="176" t="s">
        <v>114</v>
      </c>
      <c r="S131" s="209" t="s">
        <v>4698</v>
      </c>
      <c r="T131" s="178" t="s">
        <v>1540</v>
      </c>
      <c r="U131" s="178"/>
      <c r="V131" s="179"/>
      <c r="W131" s="177">
        <v>44919</v>
      </c>
      <c r="X131" s="177"/>
      <c r="Y131" s="177">
        <v>44919</v>
      </c>
      <c r="Z131" s="177"/>
      <c r="AA131" s="177"/>
      <c r="AB131" s="177"/>
      <c r="AC131" s="177"/>
      <c r="AD131" s="177"/>
      <c r="AE131" s="177"/>
      <c r="AF131" s="177"/>
      <c r="AG131" s="180" t="s">
        <v>2470</v>
      </c>
      <c r="AH131" s="173" t="s">
        <v>69</v>
      </c>
      <c r="AI131" s="181" t="s">
        <v>142</v>
      </c>
      <c r="AJ131" s="181" t="s">
        <v>1584</v>
      </c>
      <c r="AK131" s="181"/>
      <c r="AL131" s="181">
        <v>44914</v>
      </c>
      <c r="AM131" s="181"/>
      <c r="AN131" s="181">
        <f t="shared" ca="1" si="21"/>
        <v>44958</v>
      </c>
      <c r="AO131" s="173">
        <f t="shared" ca="1" si="22"/>
        <v>44</v>
      </c>
      <c r="AP131" s="173" t="str">
        <f t="shared" si="23"/>
        <v/>
      </c>
      <c r="AQ131" s="181"/>
      <c r="AR131" s="190" t="s">
        <v>4699</v>
      </c>
      <c r="AS131" s="176">
        <v>10.54</v>
      </c>
      <c r="AT131" s="176">
        <v>10.55</v>
      </c>
      <c r="AU131" s="176">
        <v>10.574999999999999</v>
      </c>
      <c r="AV131" s="176">
        <v>10.58</v>
      </c>
      <c r="AW131" s="173">
        <f t="shared" ca="1" si="12"/>
        <v>39</v>
      </c>
      <c r="AX131" s="142">
        <v>462</v>
      </c>
      <c r="AZ131" s="142" t="s">
        <v>123</v>
      </c>
    </row>
    <row r="132" spans="2:52" s="142" customFormat="1" ht="21" customHeight="1" x14ac:dyDescent="0.25">
      <c r="B132" s="173" t="str">
        <f>IF(C132="HOLD RM","HOLD RM",IF(C132="BAL","WIP",IF(C132="HOLD SLT","HOLD SLT",IF(C132="MILL","RM",IF(C132="RE SLT","WIP",IF(C132="RM","RM",IF(C132="RM BAL","RM",IF(C132="RM SLT","RM",IF(C132="RR","WIP",IF(C132="SKP","WIP",IF(C132="SLT","WIP",IF(C132="CTL","WIP",IF(C132="RM SLT RUST","RM SLT RUST",0)))))))))))))&amp;"-"&amp;G132&amp;"/"&amp;IF(H132="2B","2B",IF(H132="NO.1","1D",IF(H132="FH","FH",0)))&amp;"-"&amp;IF(J132="",(TEXT(I132,"0.00")),TEXT(J132,"0.00"))&amp;"X"&amp;M132</f>
        <v>0-304/2B-1.50X767</v>
      </c>
      <c r="C132" s="201" t="s">
        <v>4690</v>
      </c>
      <c r="D132" s="173" t="s">
        <v>4432</v>
      </c>
      <c r="E132" s="190" t="s">
        <v>4700</v>
      </c>
      <c r="F132" s="201" t="s">
        <v>4701</v>
      </c>
      <c r="G132" s="173">
        <v>304</v>
      </c>
      <c r="H132" s="173" t="s">
        <v>114</v>
      </c>
      <c r="I132" s="174">
        <v>3.8</v>
      </c>
      <c r="J132" s="174">
        <v>1.5</v>
      </c>
      <c r="K132" s="203"/>
      <c r="L132" s="203"/>
      <c r="M132" s="191">
        <v>767</v>
      </c>
      <c r="N132" s="176">
        <v>10.55</v>
      </c>
      <c r="O132" s="176">
        <f>5.19+5.25</f>
        <v>10.440000000000001</v>
      </c>
      <c r="P132" s="176"/>
      <c r="Q132" s="176">
        <v>0.06</v>
      </c>
      <c r="R132" s="176" t="s">
        <v>114</v>
      </c>
      <c r="S132" s="209" t="s">
        <v>4698</v>
      </c>
      <c r="T132" s="178" t="s">
        <v>1540</v>
      </c>
      <c r="U132" s="178"/>
      <c r="V132" s="179"/>
      <c r="W132" s="177">
        <v>44916</v>
      </c>
      <c r="X132" s="177"/>
      <c r="Y132" s="177">
        <v>44917</v>
      </c>
      <c r="Z132" s="177"/>
      <c r="AA132" s="177"/>
      <c r="AB132" s="177"/>
      <c r="AC132" s="177"/>
      <c r="AD132" s="177"/>
      <c r="AE132" s="177"/>
      <c r="AF132" s="177"/>
      <c r="AG132" s="180" t="s">
        <v>4437</v>
      </c>
      <c r="AH132" s="173" t="s">
        <v>69</v>
      </c>
      <c r="AI132" s="181" t="s">
        <v>142</v>
      </c>
      <c r="AJ132" s="181" t="s">
        <v>2283</v>
      </c>
      <c r="AK132" s="181"/>
      <c r="AL132" s="181">
        <v>44880</v>
      </c>
      <c r="AM132" s="181"/>
      <c r="AN132" s="181">
        <f ca="1">TODAY()</f>
        <v>44958</v>
      </c>
      <c r="AO132" s="173">
        <f ca="1">IF(AL132&lt;&gt;0,AN132-AL132,0)</f>
        <v>78</v>
      </c>
      <c r="AP132" s="173" t="str">
        <f>IF(ISNUMBER(AA132)=TRUE,AN132-AA132,IF(AA132="","",(AN132)-(MID(RIGHT(AA132,10),4,2)&amp;"/"&amp;LEFT((RIGHT(AA132,10)),2)&amp;"/"&amp;RIGHT(AA132,4))))</f>
        <v/>
      </c>
      <c r="AQ132" s="181"/>
      <c r="AR132" s="190" t="s">
        <v>3865</v>
      </c>
      <c r="AS132" s="176">
        <v>10.5</v>
      </c>
      <c r="AT132" s="176">
        <v>10.51</v>
      </c>
      <c r="AU132" s="176">
        <v>10.534999999999998</v>
      </c>
      <c r="AV132" s="176">
        <v>10.54</v>
      </c>
      <c r="AW132" s="173">
        <f t="shared" ca="1" si="12"/>
        <v>41</v>
      </c>
      <c r="AX132" s="142">
        <v>459</v>
      </c>
      <c r="AZ132" s="142" t="s">
        <v>123</v>
      </c>
    </row>
    <row r="133" spans="2:52" s="142" customFormat="1" ht="21" customHeight="1" x14ac:dyDescent="0.25">
      <c r="B133" s="173" t="str">
        <f>IF(C133="HOLD RM","HOLD RM",IF(C133="BAL","WIP",IF(C133="HOLD SLT","HOLD SLT",IF(C133="MILL","RM",IF(C133="RE SLT","WIP",IF(C133="RM","RM",IF(C133="RM BAL","RM",IF(C133="RM SLT","RM",IF(C133="RR","WIP",IF(C133="SKP","WIP",IF(C133="SLT","WIP",IF(C133="CTL","WIP",IF(C133="RM SLT RUST","RM SLT RUST",0)))))))))))))&amp;"-"&amp;G133&amp;"/"&amp;IF(H133="2B","2B",IF(H133="NO.1","1D",IF(H133="FH","FH",0)))&amp;"-"&amp;IF(J133="",(TEXT(I133,"0.00")),TEXT(J133,"0.00"))&amp;"X"&amp;M133</f>
        <v>0-304/2B-1.20X765</v>
      </c>
      <c r="C133" s="201" t="s">
        <v>4690</v>
      </c>
      <c r="D133" s="173" t="s">
        <v>4432</v>
      </c>
      <c r="E133" s="190" t="s">
        <v>4702</v>
      </c>
      <c r="F133" s="201" t="s">
        <v>4703</v>
      </c>
      <c r="G133" s="173">
        <v>304</v>
      </c>
      <c r="H133" s="173" t="s">
        <v>114</v>
      </c>
      <c r="I133" s="174">
        <v>3.79</v>
      </c>
      <c r="J133" s="174">
        <v>1.2</v>
      </c>
      <c r="K133" s="203"/>
      <c r="L133" s="203"/>
      <c r="M133" s="191">
        <v>765</v>
      </c>
      <c r="N133" s="176">
        <v>10.5</v>
      </c>
      <c r="O133" s="176">
        <f>5.69+4.735</f>
        <v>10.425000000000001</v>
      </c>
      <c r="P133" s="176"/>
      <c r="Q133" s="176">
        <v>7.4999999999999997E-2</v>
      </c>
      <c r="R133" s="176" t="s">
        <v>114</v>
      </c>
      <c r="S133" s="209" t="s">
        <v>4698</v>
      </c>
      <c r="T133" s="178" t="s">
        <v>1540</v>
      </c>
      <c r="U133" s="178"/>
      <c r="V133" s="179"/>
      <c r="W133" s="177">
        <v>44917</v>
      </c>
      <c r="X133" s="177"/>
      <c r="Y133" s="177">
        <v>44918</v>
      </c>
      <c r="Z133" s="177"/>
      <c r="AA133" s="177"/>
      <c r="AB133" s="177"/>
      <c r="AC133" s="177"/>
      <c r="AD133" s="177"/>
      <c r="AE133" s="177"/>
      <c r="AF133" s="177"/>
      <c r="AG133" s="180" t="s">
        <v>4437</v>
      </c>
      <c r="AH133" s="173" t="s">
        <v>69</v>
      </c>
      <c r="AI133" s="181" t="s">
        <v>142</v>
      </c>
      <c r="AJ133" s="181" t="s">
        <v>2283</v>
      </c>
      <c r="AK133" s="181"/>
      <c r="AL133" s="181">
        <v>44880</v>
      </c>
      <c r="AM133" s="181"/>
      <c r="AN133" s="181">
        <f ca="1">TODAY()</f>
        <v>44958</v>
      </c>
      <c r="AO133" s="173">
        <f ca="1">IF(AL133&lt;&gt;0,AN133-AL133,0)</f>
        <v>78</v>
      </c>
      <c r="AP133" s="173" t="str">
        <f>IF(ISNUMBER(AA133)=TRUE,AN133-AA133,IF(AA133="","",(AN133)-(MID(RIGHT(AA133,10),4,2)&amp;"/"&amp;LEFT((RIGHT(AA133,10)),2)&amp;"/"&amp;RIGHT(AA133,4))))</f>
        <v/>
      </c>
      <c r="AQ133" s="181"/>
      <c r="AR133" s="190" t="s">
        <v>4451</v>
      </c>
      <c r="AS133" s="176">
        <v>10.5</v>
      </c>
      <c r="AT133" s="176">
        <v>10.51</v>
      </c>
      <c r="AU133" s="176">
        <v>10.534999999999998</v>
      </c>
      <c r="AV133" s="176">
        <v>10.54</v>
      </c>
      <c r="AW133" s="173">
        <f t="shared" ca="1" si="12"/>
        <v>40</v>
      </c>
      <c r="AX133" s="142">
        <v>459</v>
      </c>
      <c r="AZ133" s="142" t="s">
        <v>123</v>
      </c>
    </row>
    <row r="134" spans="2:52" s="142" customFormat="1" ht="21" customHeight="1" x14ac:dyDescent="0.25">
      <c r="B134" s="173" t="str">
        <f>IF(C134="HOLD RM","HOLD RM",IF(C134="BAL","WIP",IF(C134="HOLD SLT","HOLD SLT",IF(C134="MILL","RM",IF(C134="RE SLT","WIP",IF(C134="RM","RM",IF(C134="RM BAL","RM",IF(C134="RM SLT","RM",IF(C134="RR","WIP",IF(C134="SKP","WIP",IF(C134="SLT","WIP",IF(C134="CTL","WIP",IF(C134="RM SLT RUST","RM SLT RUST",0)))))))))))))&amp;"-"&amp;G134&amp;"/"&amp;IF(H134="2B","2B",IF(H134="NO.1","1D",IF(H134="FH","FH",0)))&amp;"-"&amp;IF(J134="",(TEXT(I134,"0.00")),TEXT(J134,"0.00"))&amp;"X"&amp;M134</f>
        <v>0-304/2B-1.20X773</v>
      </c>
      <c r="C134" s="201" t="s">
        <v>4690</v>
      </c>
      <c r="D134" s="173" t="s">
        <v>4432</v>
      </c>
      <c r="E134" s="190" t="s">
        <v>4704</v>
      </c>
      <c r="F134" s="201" t="s">
        <v>4705</v>
      </c>
      <c r="G134" s="173">
        <v>304</v>
      </c>
      <c r="H134" s="173" t="s">
        <v>114</v>
      </c>
      <c r="I134" s="174">
        <v>3.77</v>
      </c>
      <c r="J134" s="174">
        <v>1.2</v>
      </c>
      <c r="K134" s="203"/>
      <c r="L134" s="203"/>
      <c r="M134" s="191">
        <v>773</v>
      </c>
      <c r="N134" s="176">
        <v>10.48</v>
      </c>
      <c r="O134" s="176">
        <f>5.895+4.56</f>
        <v>10.454999999999998</v>
      </c>
      <c r="P134" s="176"/>
      <c r="Q134" s="176">
        <v>2.5000000000000001E-2</v>
      </c>
      <c r="R134" s="176" t="s">
        <v>114</v>
      </c>
      <c r="S134" s="209" t="s">
        <v>4698</v>
      </c>
      <c r="T134" s="178" t="s">
        <v>1540</v>
      </c>
      <c r="U134" s="178"/>
      <c r="V134" s="179"/>
      <c r="W134" s="177">
        <v>44918</v>
      </c>
      <c r="X134" s="177"/>
      <c r="Y134" s="177">
        <v>44919</v>
      </c>
      <c r="Z134" s="177"/>
      <c r="AA134" s="177"/>
      <c r="AB134" s="177"/>
      <c r="AC134" s="177"/>
      <c r="AD134" s="177"/>
      <c r="AE134" s="177"/>
      <c r="AF134" s="177"/>
      <c r="AG134" s="180" t="s">
        <v>4437</v>
      </c>
      <c r="AH134" s="173" t="s">
        <v>69</v>
      </c>
      <c r="AI134" s="181" t="s">
        <v>142</v>
      </c>
      <c r="AJ134" s="181" t="s">
        <v>2283</v>
      </c>
      <c r="AK134" s="181"/>
      <c r="AL134" s="181">
        <v>44880</v>
      </c>
      <c r="AM134" s="181"/>
      <c r="AN134" s="181">
        <f ca="1">TODAY()</f>
        <v>44958</v>
      </c>
      <c r="AO134" s="173">
        <f ca="1">IF(AL134&lt;&gt;0,AN134-AL134,0)</f>
        <v>78</v>
      </c>
      <c r="AP134" s="173" t="str">
        <f>IF(ISNUMBER(AA134)=TRUE,AN134-AA134,IF(AA134="","",(AN134)-(MID(RIGHT(AA134,10),4,2)&amp;"/"&amp;LEFT((RIGHT(AA134,10)),2)&amp;"/"&amp;RIGHT(AA134,4))))</f>
        <v/>
      </c>
      <c r="AQ134" s="181"/>
      <c r="AR134" s="190" t="s">
        <v>2351</v>
      </c>
      <c r="AS134" s="176">
        <v>10.525</v>
      </c>
      <c r="AT134" s="176">
        <v>10.535</v>
      </c>
      <c r="AU134" s="176">
        <v>10.559999999999999</v>
      </c>
      <c r="AV134" s="176">
        <v>10.565</v>
      </c>
      <c r="AW134" s="173">
        <f t="shared" ca="1" si="12"/>
        <v>39</v>
      </c>
      <c r="AX134" s="142">
        <v>459</v>
      </c>
      <c r="AZ134" s="142" t="s">
        <v>123</v>
      </c>
    </row>
    <row r="135" spans="2:52" s="142" customFormat="1" ht="21" customHeight="1" x14ac:dyDescent="0.25">
      <c r="B135" s="173" t="str">
        <f t="shared" ref="B135:B158" si="24">IF(C135="HOLD RM","HOLD RM",IF(C135="BAL","WIP",IF(C135="HOLD SLT","HOLD SLT",IF(C135="MILL","RM",IF(C135="RE SLT","WIP",IF(C135="RM","RM",IF(C135="RM BAL","RM",IF(C135="RM SLT","RM",IF(C135="RR","WIP",IF(C135="SKP","WIP",IF(C135="SLT","WIP",IF(C135="CTL","WIP",IF(C135="RM SLT RUST","RM SLT RUST",0)))))))))))))&amp;"-"&amp;G135&amp;"/"&amp;IF(H135="2B","2B",IF(H135="NO.1","1D",IF(H135="FH","FH",0)))&amp;"-"&amp;IF(J135="",(TEXT(I135,"0.00")),TEXT(J135,"0.00"))&amp;"X"&amp;M135</f>
        <v>0-304L/2B-1.20X770</v>
      </c>
      <c r="C135" s="201" t="s">
        <v>4690</v>
      </c>
      <c r="D135" s="173" t="s">
        <v>4432</v>
      </c>
      <c r="E135" s="190" t="s">
        <v>4706</v>
      </c>
      <c r="F135" s="201" t="s">
        <v>4707</v>
      </c>
      <c r="G135" s="173" t="s">
        <v>182</v>
      </c>
      <c r="H135" s="173" t="s">
        <v>114</v>
      </c>
      <c r="I135" s="174">
        <v>3.49</v>
      </c>
      <c r="J135" s="174">
        <v>1.2</v>
      </c>
      <c r="K135" s="203">
        <v>1.2</v>
      </c>
      <c r="L135" s="203">
        <v>1.21</v>
      </c>
      <c r="M135" s="191">
        <v>770</v>
      </c>
      <c r="N135" s="176">
        <v>5.1950000000000003</v>
      </c>
      <c r="O135" s="176">
        <v>5.1950000000000003</v>
      </c>
      <c r="P135" s="176"/>
      <c r="Q135" s="176"/>
      <c r="R135" s="176" t="s">
        <v>114</v>
      </c>
      <c r="S135" s="209" t="s">
        <v>4579</v>
      </c>
      <c r="T135" s="178" t="s">
        <v>1540</v>
      </c>
      <c r="U135" s="178"/>
      <c r="V135" s="179"/>
      <c r="W135" s="177">
        <v>44919</v>
      </c>
      <c r="X135" s="177"/>
      <c r="Y135" s="177">
        <v>44919</v>
      </c>
      <c r="Z135" s="177"/>
      <c r="AA135" s="177"/>
      <c r="AB135" s="177"/>
      <c r="AC135" s="177"/>
      <c r="AD135" s="177"/>
      <c r="AE135" s="177"/>
      <c r="AF135" s="177"/>
      <c r="AG135" s="180" t="s">
        <v>2470</v>
      </c>
      <c r="AH135" s="173" t="s">
        <v>69</v>
      </c>
      <c r="AI135" s="181" t="s">
        <v>142</v>
      </c>
      <c r="AJ135" s="181" t="s">
        <v>1584</v>
      </c>
      <c r="AK135" s="181"/>
      <c r="AL135" s="181">
        <v>44914</v>
      </c>
      <c r="AM135" s="181"/>
      <c r="AN135" s="181">
        <f t="shared" ref="AN135:AN158" ca="1" si="25">TODAY()</f>
        <v>44958</v>
      </c>
      <c r="AO135" s="173">
        <f t="shared" ref="AO135:AO158" ca="1" si="26">IF(AL135&lt;&gt;0,AN135-AL135,0)</f>
        <v>44</v>
      </c>
      <c r="AP135" s="173" t="str">
        <f t="shared" ref="AP135:AP158" si="27">IF(ISNUMBER(AA135)=TRUE,AN135-AA135,IF(AA135="","",(AN135)-(MID(RIGHT(AA135,10),4,2)&amp;"/"&amp;LEFT((RIGHT(AA135,10)),2)&amp;"/"&amp;RIGHT(AA135,4))))</f>
        <v/>
      </c>
      <c r="AQ135" s="181"/>
      <c r="AR135" s="190" t="s">
        <v>4708</v>
      </c>
      <c r="AS135" s="176">
        <v>10.55</v>
      </c>
      <c r="AT135" s="176">
        <v>10.56</v>
      </c>
      <c r="AU135" s="176">
        <v>10.584999999999999</v>
      </c>
      <c r="AV135" s="176">
        <v>10.59</v>
      </c>
      <c r="AW135" s="173">
        <f t="shared" ca="1" si="12"/>
        <v>39</v>
      </c>
      <c r="AX135" s="142">
        <v>462</v>
      </c>
      <c r="AZ135" s="142" t="s">
        <v>123</v>
      </c>
    </row>
    <row r="136" spans="2:52" s="142" customFormat="1" ht="21" customHeight="1" x14ac:dyDescent="0.25">
      <c r="B136" s="173" t="str">
        <f t="shared" si="24"/>
        <v>0-304L/2B-1.20X770</v>
      </c>
      <c r="C136" s="201" t="s">
        <v>4709</v>
      </c>
      <c r="D136" s="173" t="s">
        <v>4432</v>
      </c>
      <c r="E136" s="190" t="s">
        <v>4706</v>
      </c>
      <c r="F136" s="201" t="s">
        <v>4710</v>
      </c>
      <c r="G136" s="173" t="s">
        <v>182</v>
      </c>
      <c r="H136" s="173" t="s">
        <v>114</v>
      </c>
      <c r="I136" s="174">
        <v>3.49</v>
      </c>
      <c r="J136" s="174">
        <v>1.2</v>
      </c>
      <c r="K136" s="203">
        <v>1.2</v>
      </c>
      <c r="L136" s="203">
        <v>1.21</v>
      </c>
      <c r="M136" s="191">
        <v>770</v>
      </c>
      <c r="N136" s="176">
        <f>10.5-5.195</f>
        <v>5.3049999999999997</v>
      </c>
      <c r="O136" s="176">
        <v>5.2750000000000004</v>
      </c>
      <c r="P136" s="176"/>
      <c r="Q136" s="176">
        <v>0.03</v>
      </c>
      <c r="R136" s="176" t="s">
        <v>114</v>
      </c>
      <c r="S136" s="209" t="s">
        <v>4579</v>
      </c>
      <c r="T136" s="178" t="s">
        <v>1540</v>
      </c>
      <c r="U136" s="178"/>
      <c r="V136" s="179"/>
      <c r="W136" s="177">
        <v>44919</v>
      </c>
      <c r="X136" s="177"/>
      <c r="Y136" s="177">
        <v>44919</v>
      </c>
      <c r="Z136" s="177"/>
      <c r="AA136" s="177"/>
      <c r="AB136" s="177"/>
      <c r="AC136" s="177"/>
      <c r="AD136" s="177"/>
      <c r="AE136" s="177"/>
      <c r="AF136" s="177"/>
      <c r="AG136" s="180" t="s">
        <v>2470</v>
      </c>
      <c r="AH136" s="173" t="s">
        <v>69</v>
      </c>
      <c r="AI136" s="181" t="s">
        <v>142</v>
      </c>
      <c r="AJ136" s="181" t="s">
        <v>1584</v>
      </c>
      <c r="AK136" s="181"/>
      <c r="AL136" s="181">
        <v>44914</v>
      </c>
      <c r="AM136" s="181"/>
      <c r="AN136" s="181">
        <f t="shared" ca="1" si="25"/>
        <v>44958</v>
      </c>
      <c r="AO136" s="173">
        <f t="shared" ca="1" si="26"/>
        <v>44</v>
      </c>
      <c r="AP136" s="173" t="str">
        <f t="shared" si="27"/>
        <v/>
      </c>
      <c r="AQ136" s="181"/>
      <c r="AR136" s="190" t="s">
        <v>4708</v>
      </c>
      <c r="AS136" s="176">
        <v>10.55</v>
      </c>
      <c r="AT136" s="176">
        <v>10.56</v>
      </c>
      <c r="AU136" s="176">
        <v>10.584999999999999</v>
      </c>
      <c r="AV136" s="176">
        <v>10.59</v>
      </c>
      <c r="AW136" s="173">
        <f t="shared" ca="1" si="12"/>
        <v>39</v>
      </c>
      <c r="AX136" s="142">
        <v>462</v>
      </c>
      <c r="AZ136" s="142" t="s">
        <v>123</v>
      </c>
    </row>
    <row r="137" spans="2:52" s="142" customFormat="1" ht="21" customHeight="1" x14ac:dyDescent="0.25">
      <c r="B137" s="173" t="str">
        <f t="shared" si="24"/>
        <v>0-304/2B-1.50X767</v>
      </c>
      <c r="C137" s="201" t="s">
        <v>4709</v>
      </c>
      <c r="D137" s="173" t="s">
        <v>4432</v>
      </c>
      <c r="E137" s="190" t="s">
        <v>4711</v>
      </c>
      <c r="F137" s="201" t="s">
        <v>4712</v>
      </c>
      <c r="G137" s="173">
        <v>304</v>
      </c>
      <c r="H137" s="173" t="s">
        <v>114</v>
      </c>
      <c r="I137" s="174">
        <v>3.81</v>
      </c>
      <c r="J137" s="174">
        <v>1.5</v>
      </c>
      <c r="K137" s="203">
        <v>1.48</v>
      </c>
      <c r="L137" s="203">
        <v>1.51</v>
      </c>
      <c r="M137" s="191">
        <v>767</v>
      </c>
      <c r="N137" s="176">
        <v>10.42</v>
      </c>
      <c r="O137" s="176">
        <f>4.38+6.035</f>
        <v>10.414999999999999</v>
      </c>
      <c r="P137" s="176"/>
      <c r="Q137" s="176">
        <v>5.0000000000000001E-3</v>
      </c>
      <c r="R137" s="176" t="s">
        <v>114</v>
      </c>
      <c r="S137" s="209" t="s">
        <v>4579</v>
      </c>
      <c r="T137" s="178" t="s">
        <v>1540</v>
      </c>
      <c r="U137" s="178"/>
      <c r="V137" s="179"/>
      <c r="W137" s="177">
        <v>44917</v>
      </c>
      <c r="X137" s="177"/>
      <c r="Y137" s="177">
        <v>44917</v>
      </c>
      <c r="Z137" s="177"/>
      <c r="AA137" s="177"/>
      <c r="AB137" s="177"/>
      <c r="AC137" s="177"/>
      <c r="AD137" s="177"/>
      <c r="AE137" s="177"/>
      <c r="AF137" s="177"/>
      <c r="AG137" s="180" t="s">
        <v>4437</v>
      </c>
      <c r="AH137" s="173" t="s">
        <v>69</v>
      </c>
      <c r="AI137" s="181" t="s">
        <v>142</v>
      </c>
      <c r="AJ137" s="181" t="s">
        <v>2283</v>
      </c>
      <c r="AK137" s="181"/>
      <c r="AL137" s="181">
        <v>44880</v>
      </c>
      <c r="AM137" s="181"/>
      <c r="AN137" s="181">
        <f t="shared" ca="1" si="25"/>
        <v>44958</v>
      </c>
      <c r="AO137" s="173">
        <f t="shared" ca="1" si="26"/>
        <v>78</v>
      </c>
      <c r="AP137" s="173" t="str">
        <f t="shared" si="27"/>
        <v/>
      </c>
      <c r="AQ137" s="181"/>
      <c r="AR137" s="190" t="s">
        <v>4713</v>
      </c>
      <c r="AS137" s="176">
        <v>10.47</v>
      </c>
      <c r="AT137" s="176">
        <v>10.48</v>
      </c>
      <c r="AU137" s="176">
        <v>10.504999999999999</v>
      </c>
      <c r="AV137" s="176">
        <v>10.51</v>
      </c>
      <c r="AW137" s="173">
        <f t="shared" ca="1" si="12"/>
        <v>41</v>
      </c>
      <c r="AX137" s="142">
        <v>459</v>
      </c>
      <c r="AZ137" s="142" t="s">
        <v>123</v>
      </c>
    </row>
    <row r="138" spans="2:52" s="142" customFormat="1" ht="21" customHeight="1" x14ac:dyDescent="0.25">
      <c r="B138" s="173" t="str">
        <f t="shared" si="24"/>
        <v>0-304/2B-1.50X767</v>
      </c>
      <c r="C138" s="201" t="s">
        <v>4709</v>
      </c>
      <c r="D138" s="173" t="s">
        <v>4432</v>
      </c>
      <c r="E138" s="190" t="s">
        <v>4714</v>
      </c>
      <c r="F138" s="201" t="s">
        <v>4715</v>
      </c>
      <c r="G138" s="173">
        <v>304</v>
      </c>
      <c r="H138" s="173" t="s">
        <v>114</v>
      </c>
      <c r="I138" s="174">
        <v>3.86</v>
      </c>
      <c r="J138" s="174">
        <v>1.5</v>
      </c>
      <c r="K138" s="203">
        <v>1.47</v>
      </c>
      <c r="L138" s="203">
        <v>1.49</v>
      </c>
      <c r="M138" s="191">
        <v>767</v>
      </c>
      <c r="N138" s="176">
        <v>10.42</v>
      </c>
      <c r="O138" s="176">
        <f>5.18+5.195</f>
        <v>10.375</v>
      </c>
      <c r="P138" s="176"/>
      <c r="Q138" s="176">
        <v>4.4999999999999998E-2</v>
      </c>
      <c r="R138" s="176" t="s">
        <v>114</v>
      </c>
      <c r="S138" s="209" t="s">
        <v>4579</v>
      </c>
      <c r="T138" s="178" t="s">
        <v>1540</v>
      </c>
      <c r="U138" s="178"/>
      <c r="V138" s="179"/>
      <c r="W138" s="177">
        <v>44917</v>
      </c>
      <c r="X138" s="177"/>
      <c r="Y138" s="177">
        <v>44918</v>
      </c>
      <c r="Z138" s="177"/>
      <c r="AA138" s="177"/>
      <c r="AB138" s="177"/>
      <c r="AC138" s="177"/>
      <c r="AD138" s="177"/>
      <c r="AE138" s="177"/>
      <c r="AF138" s="177"/>
      <c r="AG138" s="180" t="s">
        <v>4437</v>
      </c>
      <c r="AH138" s="173" t="s">
        <v>69</v>
      </c>
      <c r="AI138" s="181" t="s">
        <v>142</v>
      </c>
      <c r="AJ138" s="181" t="s">
        <v>2283</v>
      </c>
      <c r="AK138" s="181"/>
      <c r="AL138" s="181">
        <v>44880</v>
      </c>
      <c r="AM138" s="181"/>
      <c r="AN138" s="181">
        <f t="shared" ca="1" si="25"/>
        <v>44958</v>
      </c>
      <c r="AO138" s="173">
        <f t="shared" ca="1" si="26"/>
        <v>78</v>
      </c>
      <c r="AP138" s="173" t="str">
        <f t="shared" si="27"/>
        <v/>
      </c>
      <c r="AQ138" s="181"/>
      <c r="AR138" s="190" t="s">
        <v>4716</v>
      </c>
      <c r="AS138" s="176">
        <v>10.445</v>
      </c>
      <c r="AT138" s="176">
        <v>10.455</v>
      </c>
      <c r="AU138" s="176">
        <v>10.479999999999999</v>
      </c>
      <c r="AV138" s="176">
        <v>10.484999999999999</v>
      </c>
      <c r="AW138" s="173">
        <f t="shared" ca="1" si="12"/>
        <v>40</v>
      </c>
      <c r="AX138" s="142">
        <v>459</v>
      </c>
      <c r="AZ138" s="142" t="s">
        <v>123</v>
      </c>
    </row>
    <row r="139" spans="2:52" s="142" customFormat="1" ht="21" customHeight="1" x14ac:dyDescent="0.25">
      <c r="B139" s="173" t="str">
        <f t="shared" si="24"/>
        <v>0-304/2B-1.00X767</v>
      </c>
      <c r="C139" s="201" t="s">
        <v>4717</v>
      </c>
      <c r="D139" s="173" t="s">
        <v>836</v>
      </c>
      <c r="E139" s="190" t="s">
        <v>4718</v>
      </c>
      <c r="F139" s="201" t="s">
        <v>4719</v>
      </c>
      <c r="G139" s="173">
        <v>304</v>
      </c>
      <c r="H139" s="173" t="s">
        <v>114</v>
      </c>
      <c r="I139" s="174">
        <v>2.88</v>
      </c>
      <c r="J139" s="174">
        <v>1</v>
      </c>
      <c r="K139" s="203">
        <v>0.98</v>
      </c>
      <c r="L139" s="203">
        <v>1</v>
      </c>
      <c r="M139" s="191">
        <v>767</v>
      </c>
      <c r="N139" s="176">
        <v>10.5</v>
      </c>
      <c r="O139" s="176">
        <v>10.494999999999999</v>
      </c>
      <c r="P139" s="176"/>
      <c r="Q139" s="176">
        <v>5.0000000000000001E-3</v>
      </c>
      <c r="R139" s="176" t="s">
        <v>114</v>
      </c>
      <c r="S139" s="209"/>
      <c r="T139" s="178" t="s">
        <v>1540</v>
      </c>
      <c r="U139" s="178"/>
      <c r="V139" s="179"/>
      <c r="W139" s="177">
        <v>44917</v>
      </c>
      <c r="X139" s="177"/>
      <c r="Y139" s="177">
        <v>44917</v>
      </c>
      <c r="Z139" s="177"/>
      <c r="AA139" s="177">
        <v>44940</v>
      </c>
      <c r="AB139" s="177"/>
      <c r="AC139" s="177"/>
      <c r="AD139" s="177"/>
      <c r="AE139" s="177"/>
      <c r="AF139" s="177"/>
      <c r="AG139" s="180" t="s">
        <v>2470</v>
      </c>
      <c r="AH139" s="173" t="s">
        <v>69</v>
      </c>
      <c r="AI139" s="181" t="s">
        <v>142</v>
      </c>
      <c r="AJ139" s="181" t="s">
        <v>1584</v>
      </c>
      <c r="AK139" s="181"/>
      <c r="AL139" s="181">
        <v>44914</v>
      </c>
      <c r="AM139" s="181"/>
      <c r="AN139" s="181">
        <f t="shared" ca="1" si="25"/>
        <v>44958</v>
      </c>
      <c r="AO139" s="173">
        <f t="shared" ca="1" si="26"/>
        <v>44</v>
      </c>
      <c r="AP139" s="173">
        <f t="shared" ca="1" si="27"/>
        <v>18</v>
      </c>
      <c r="AQ139" s="181"/>
      <c r="AR139" s="190" t="s">
        <v>4720</v>
      </c>
      <c r="AS139" s="176">
        <v>10.555</v>
      </c>
      <c r="AT139" s="176">
        <v>10.565</v>
      </c>
      <c r="AU139" s="176">
        <v>10.589999999999998</v>
      </c>
      <c r="AV139" s="176">
        <v>10.594999999999999</v>
      </c>
      <c r="AW139" s="173">
        <f t="shared" ca="1" si="12"/>
        <v>41</v>
      </c>
      <c r="AX139" s="142">
        <v>462</v>
      </c>
      <c r="AZ139" s="142" t="s">
        <v>123</v>
      </c>
    </row>
    <row r="140" spans="2:52" s="142" customFormat="1" ht="21" customHeight="1" x14ac:dyDescent="0.25">
      <c r="B140" s="173" t="str">
        <f t="shared" si="24"/>
        <v>0-304/2B-0.60X642</v>
      </c>
      <c r="C140" s="201" t="s">
        <v>4721</v>
      </c>
      <c r="D140" s="173" t="s">
        <v>1237</v>
      </c>
      <c r="E140" s="190" t="s">
        <v>4155</v>
      </c>
      <c r="F140" s="201" t="s">
        <v>4156</v>
      </c>
      <c r="G140" s="173">
        <v>304</v>
      </c>
      <c r="H140" s="173" t="s">
        <v>114</v>
      </c>
      <c r="I140" s="174">
        <v>2.75</v>
      </c>
      <c r="J140" s="174">
        <v>0.6</v>
      </c>
      <c r="K140" s="203">
        <v>0.56999999999999995</v>
      </c>
      <c r="L140" s="203">
        <v>0.59</v>
      </c>
      <c r="M140" s="191">
        <v>642</v>
      </c>
      <c r="N140" s="176">
        <v>4.1749999999999998</v>
      </c>
      <c r="O140" s="176">
        <v>4.1449999999999996</v>
      </c>
      <c r="P140" s="176"/>
      <c r="Q140" s="176">
        <v>0.03</v>
      </c>
      <c r="R140" s="176" t="s">
        <v>114</v>
      </c>
      <c r="S140" s="209"/>
      <c r="T140" s="178" t="s">
        <v>1344</v>
      </c>
      <c r="U140" s="178"/>
      <c r="V140" s="179" t="s">
        <v>230</v>
      </c>
      <c r="W140" s="177">
        <v>44916</v>
      </c>
      <c r="X140" s="177"/>
      <c r="Y140" s="177"/>
      <c r="Z140" s="177">
        <v>44917</v>
      </c>
      <c r="AA140" s="177">
        <v>44940</v>
      </c>
      <c r="AB140" s="177"/>
      <c r="AC140" s="177"/>
      <c r="AD140" s="177"/>
      <c r="AE140" s="177"/>
      <c r="AF140" s="177"/>
      <c r="AG140" s="180" t="s">
        <v>1619</v>
      </c>
      <c r="AH140" s="173" t="s">
        <v>69</v>
      </c>
      <c r="AI140" s="181" t="s">
        <v>142</v>
      </c>
      <c r="AJ140" s="181" t="s">
        <v>1657</v>
      </c>
      <c r="AK140" s="181"/>
      <c r="AL140" s="181">
        <v>44849</v>
      </c>
      <c r="AM140" s="181"/>
      <c r="AN140" s="181">
        <f t="shared" ca="1" si="25"/>
        <v>44958</v>
      </c>
      <c r="AO140" s="173">
        <f t="shared" ca="1" si="26"/>
        <v>109</v>
      </c>
      <c r="AP140" s="173">
        <f t="shared" ca="1" si="27"/>
        <v>18</v>
      </c>
      <c r="AQ140" s="181"/>
      <c r="AR140" s="190" t="s">
        <v>4121</v>
      </c>
      <c r="AS140" s="176">
        <v>10.525</v>
      </c>
      <c r="AT140" s="176">
        <v>10.535</v>
      </c>
      <c r="AU140" s="176">
        <v>10.559999999999999</v>
      </c>
      <c r="AV140" s="176">
        <v>10.565</v>
      </c>
      <c r="AW140" s="173" t="str">
        <f t="shared" ref="AW140:AW203" si="28">IF(ISNUMBER(Y140)=TRUE,AN140-Y140,IF(Y140="","",(AN140)-(MID(RIGHT(Y140,10),4,2)&amp;"/"&amp;LEFT((RIGHT(Y140,10)),2)&amp;"/"&amp;RIGHT(Y140,4))))</f>
        <v/>
      </c>
      <c r="AX140" s="142">
        <v>456</v>
      </c>
      <c r="AZ140" s="142" t="s">
        <v>123</v>
      </c>
    </row>
    <row r="141" spans="2:52" s="142" customFormat="1" ht="21" customHeight="1" x14ac:dyDescent="0.25">
      <c r="B141" s="173" t="str">
        <f t="shared" si="24"/>
        <v>0-304/2B-0.60X642</v>
      </c>
      <c r="C141" s="201" t="s">
        <v>4721</v>
      </c>
      <c r="D141" s="173" t="s">
        <v>1237</v>
      </c>
      <c r="E141" s="190" t="s">
        <v>4155</v>
      </c>
      <c r="F141" s="201" t="s">
        <v>4159</v>
      </c>
      <c r="G141" s="173">
        <v>304</v>
      </c>
      <c r="H141" s="173" t="s">
        <v>114</v>
      </c>
      <c r="I141" s="174">
        <v>2.75</v>
      </c>
      <c r="J141" s="174">
        <v>0.6</v>
      </c>
      <c r="K141" s="203">
        <v>0.56999999999999995</v>
      </c>
      <c r="L141" s="203">
        <v>0.59</v>
      </c>
      <c r="M141" s="191">
        <v>642</v>
      </c>
      <c r="N141" s="176">
        <v>6.32</v>
      </c>
      <c r="O141" s="176">
        <v>6.3</v>
      </c>
      <c r="P141" s="176"/>
      <c r="Q141" s="176">
        <v>0.02</v>
      </c>
      <c r="R141" s="176" t="s">
        <v>114</v>
      </c>
      <c r="S141" s="209"/>
      <c r="T141" s="178" t="s">
        <v>1344</v>
      </c>
      <c r="U141" s="178"/>
      <c r="V141" s="179" t="s">
        <v>230</v>
      </c>
      <c r="W141" s="177">
        <v>44916</v>
      </c>
      <c r="X141" s="177"/>
      <c r="Y141" s="177"/>
      <c r="Z141" s="177">
        <v>44917</v>
      </c>
      <c r="AA141" s="177">
        <v>44940</v>
      </c>
      <c r="AB141" s="177"/>
      <c r="AC141" s="177"/>
      <c r="AD141" s="177"/>
      <c r="AE141" s="177"/>
      <c r="AF141" s="177"/>
      <c r="AG141" s="180" t="s">
        <v>1619</v>
      </c>
      <c r="AH141" s="173" t="s">
        <v>69</v>
      </c>
      <c r="AI141" s="181" t="s">
        <v>142</v>
      </c>
      <c r="AJ141" s="181" t="s">
        <v>1657</v>
      </c>
      <c r="AK141" s="181"/>
      <c r="AL141" s="181">
        <v>44849</v>
      </c>
      <c r="AM141" s="181"/>
      <c r="AN141" s="181">
        <f t="shared" ca="1" si="25"/>
        <v>44958</v>
      </c>
      <c r="AO141" s="173">
        <f t="shared" ca="1" si="26"/>
        <v>109</v>
      </c>
      <c r="AP141" s="173">
        <f t="shared" ca="1" si="27"/>
        <v>18</v>
      </c>
      <c r="AQ141" s="181"/>
      <c r="AR141" s="190" t="s">
        <v>4121</v>
      </c>
      <c r="AS141" s="176">
        <v>10.525</v>
      </c>
      <c r="AT141" s="176">
        <v>10.535</v>
      </c>
      <c r="AU141" s="176">
        <v>10.559999999999999</v>
      </c>
      <c r="AV141" s="176">
        <v>10.565</v>
      </c>
      <c r="AW141" s="173" t="str">
        <f t="shared" si="28"/>
        <v/>
      </c>
      <c r="AX141" s="142">
        <v>456</v>
      </c>
      <c r="AZ141" s="142" t="s">
        <v>123</v>
      </c>
    </row>
    <row r="142" spans="2:52" s="142" customFormat="1" ht="21" customHeight="1" x14ac:dyDescent="0.25">
      <c r="B142" s="173" t="str">
        <f t="shared" si="24"/>
        <v>0-304L/2B-0.80X770</v>
      </c>
      <c r="C142" s="201" t="s">
        <v>4709</v>
      </c>
      <c r="D142" s="173" t="s">
        <v>4432</v>
      </c>
      <c r="E142" s="190" t="s">
        <v>4722</v>
      </c>
      <c r="F142" s="201" t="s">
        <v>4723</v>
      </c>
      <c r="G142" s="173" t="s">
        <v>182</v>
      </c>
      <c r="H142" s="173" t="s">
        <v>114</v>
      </c>
      <c r="I142" s="174">
        <v>1.45</v>
      </c>
      <c r="J142" s="174">
        <v>0.8</v>
      </c>
      <c r="K142" s="203">
        <v>0.8</v>
      </c>
      <c r="L142" s="203">
        <v>0.82</v>
      </c>
      <c r="M142" s="191">
        <v>770</v>
      </c>
      <c r="N142" s="349">
        <v>11.97</v>
      </c>
      <c r="O142" s="176">
        <f>4+4</f>
        <v>8</v>
      </c>
      <c r="P142" s="176"/>
      <c r="Q142" s="176"/>
      <c r="R142" s="176" t="s">
        <v>114</v>
      </c>
      <c r="S142" s="209" t="s">
        <v>4724</v>
      </c>
      <c r="T142" s="178" t="s">
        <v>1344</v>
      </c>
      <c r="U142" s="178" t="s">
        <v>644</v>
      </c>
      <c r="V142" s="179" t="s">
        <v>1224</v>
      </c>
      <c r="W142" s="177" t="s">
        <v>4725</v>
      </c>
      <c r="X142" s="177"/>
      <c r="Y142" s="177" t="s">
        <v>4726</v>
      </c>
      <c r="Z142" s="177"/>
      <c r="AA142" s="177">
        <v>44787</v>
      </c>
      <c r="AB142" s="177"/>
      <c r="AC142" s="177">
        <v>44788</v>
      </c>
      <c r="AD142" s="177"/>
      <c r="AE142" s="177"/>
      <c r="AF142" s="177"/>
      <c r="AG142" s="180" t="s">
        <v>4727</v>
      </c>
      <c r="AH142" s="173" t="s">
        <v>69</v>
      </c>
      <c r="AI142" s="181" t="s">
        <v>142</v>
      </c>
      <c r="AJ142" s="181" t="s">
        <v>1215</v>
      </c>
      <c r="AK142" s="181"/>
      <c r="AL142" s="181">
        <v>44785</v>
      </c>
      <c r="AM142" s="181"/>
      <c r="AN142" s="181">
        <f t="shared" ca="1" si="25"/>
        <v>44958</v>
      </c>
      <c r="AO142" s="173">
        <f t="shared" ca="1" si="26"/>
        <v>173</v>
      </c>
      <c r="AP142" s="173">
        <f t="shared" ca="1" si="27"/>
        <v>171</v>
      </c>
      <c r="AQ142" s="181"/>
      <c r="AR142" s="190" t="s">
        <v>4728</v>
      </c>
      <c r="AS142" s="176">
        <v>12.01</v>
      </c>
      <c r="AT142" s="176">
        <v>12.02</v>
      </c>
      <c r="AU142" s="176">
        <v>12.044999999999998</v>
      </c>
      <c r="AV142" s="176">
        <v>12.049999999999999</v>
      </c>
      <c r="AW142" s="173">
        <f t="shared" ca="1" si="28"/>
        <v>44</v>
      </c>
      <c r="AX142" s="142">
        <v>447</v>
      </c>
      <c r="AZ142" s="142" t="s">
        <v>123</v>
      </c>
    </row>
    <row r="143" spans="2:52" s="142" customFormat="1" ht="21" customHeight="1" x14ac:dyDescent="0.25">
      <c r="B143" s="173" t="str">
        <f t="shared" si="24"/>
        <v>0-304L/2B-0.80X770</v>
      </c>
      <c r="C143" s="201" t="s">
        <v>4717</v>
      </c>
      <c r="D143" s="173" t="s">
        <v>836</v>
      </c>
      <c r="E143" s="190" t="s">
        <v>4722</v>
      </c>
      <c r="F143" s="201" t="s">
        <v>4729</v>
      </c>
      <c r="G143" s="173" t="s">
        <v>182</v>
      </c>
      <c r="H143" s="173" t="s">
        <v>114</v>
      </c>
      <c r="I143" s="174">
        <v>1.45</v>
      </c>
      <c r="J143" s="174">
        <v>0.8</v>
      </c>
      <c r="K143" s="203">
        <v>0.8</v>
      </c>
      <c r="L143" s="203">
        <v>0.82</v>
      </c>
      <c r="M143" s="191">
        <v>770</v>
      </c>
      <c r="N143" s="350"/>
      <c r="O143" s="176">
        <v>3.93</v>
      </c>
      <c r="P143" s="176"/>
      <c r="Q143" s="176">
        <v>0.04</v>
      </c>
      <c r="R143" s="176" t="s">
        <v>114</v>
      </c>
      <c r="S143" s="209"/>
      <c r="T143" s="178" t="s">
        <v>1540</v>
      </c>
      <c r="U143" s="178" t="s">
        <v>644</v>
      </c>
      <c r="V143" s="179" t="s">
        <v>1224</v>
      </c>
      <c r="W143" s="177" t="s">
        <v>4725</v>
      </c>
      <c r="X143" s="177"/>
      <c r="Y143" s="177" t="s">
        <v>4726</v>
      </c>
      <c r="Z143" s="177"/>
      <c r="AA143" s="177" t="s">
        <v>4730</v>
      </c>
      <c r="AB143" s="177"/>
      <c r="AC143" s="177">
        <v>44788</v>
      </c>
      <c r="AD143" s="177"/>
      <c r="AE143" s="177"/>
      <c r="AF143" s="177"/>
      <c r="AG143" s="180" t="s">
        <v>4727</v>
      </c>
      <c r="AH143" s="173" t="s">
        <v>69</v>
      </c>
      <c r="AI143" s="181" t="s">
        <v>142</v>
      </c>
      <c r="AJ143" s="181" t="s">
        <v>1215</v>
      </c>
      <c r="AK143" s="181"/>
      <c r="AL143" s="181">
        <v>44785</v>
      </c>
      <c r="AM143" s="181"/>
      <c r="AN143" s="181">
        <f t="shared" ca="1" si="25"/>
        <v>44958</v>
      </c>
      <c r="AO143" s="173">
        <f t="shared" ca="1" si="26"/>
        <v>173</v>
      </c>
      <c r="AP143" s="173">
        <f t="shared" ca="1" si="27"/>
        <v>18</v>
      </c>
      <c r="AQ143" s="181"/>
      <c r="AR143" s="190" t="s">
        <v>4728</v>
      </c>
      <c r="AS143" s="176">
        <v>12.01</v>
      </c>
      <c r="AT143" s="176">
        <v>12.02</v>
      </c>
      <c r="AU143" s="176">
        <v>12.044999999999998</v>
      </c>
      <c r="AV143" s="176">
        <v>12.049999999999999</v>
      </c>
      <c r="AW143" s="173">
        <f t="shared" ca="1" si="28"/>
        <v>44</v>
      </c>
      <c r="AX143" s="142">
        <v>447</v>
      </c>
      <c r="AZ143" s="142" t="s">
        <v>123</v>
      </c>
    </row>
    <row r="144" spans="2:52" s="142" customFormat="1" ht="21" customHeight="1" x14ac:dyDescent="0.25">
      <c r="B144" s="173" t="str">
        <f t="shared" si="24"/>
        <v>0-304/2B-0.90X767</v>
      </c>
      <c r="C144" s="201" t="s">
        <v>4709</v>
      </c>
      <c r="D144" s="173" t="s">
        <v>4432</v>
      </c>
      <c r="E144" s="190" t="s">
        <v>4731</v>
      </c>
      <c r="F144" s="201" t="s">
        <v>4732</v>
      </c>
      <c r="G144" s="173">
        <v>304</v>
      </c>
      <c r="H144" s="173" t="s">
        <v>114</v>
      </c>
      <c r="I144" s="174">
        <v>2.89</v>
      </c>
      <c r="J144" s="174">
        <v>0.9</v>
      </c>
      <c r="K144" s="203">
        <v>0.9</v>
      </c>
      <c r="L144" s="203">
        <v>0.92</v>
      </c>
      <c r="M144" s="191">
        <v>767</v>
      </c>
      <c r="N144" s="176">
        <v>10.335000000000001</v>
      </c>
      <c r="O144" s="176">
        <f>4.46+5.855</f>
        <v>10.315000000000001</v>
      </c>
      <c r="P144" s="176"/>
      <c r="Q144" s="176">
        <v>0.02</v>
      </c>
      <c r="R144" s="176" t="s">
        <v>114</v>
      </c>
      <c r="S144" s="209" t="s">
        <v>4733</v>
      </c>
      <c r="T144" s="178" t="s">
        <v>4734</v>
      </c>
      <c r="U144" s="178"/>
      <c r="V144" s="179"/>
      <c r="W144" s="177">
        <v>44917</v>
      </c>
      <c r="X144" s="177"/>
      <c r="Y144" s="177">
        <v>44918</v>
      </c>
      <c r="Z144" s="177"/>
      <c r="AA144" s="177"/>
      <c r="AB144" s="177"/>
      <c r="AC144" s="177"/>
      <c r="AD144" s="177"/>
      <c r="AE144" s="177"/>
      <c r="AF144" s="177"/>
      <c r="AG144" s="180" t="s">
        <v>2470</v>
      </c>
      <c r="AH144" s="173" t="s">
        <v>69</v>
      </c>
      <c r="AI144" s="181" t="s">
        <v>142</v>
      </c>
      <c r="AJ144" s="181" t="s">
        <v>1584</v>
      </c>
      <c r="AK144" s="181"/>
      <c r="AL144" s="181">
        <v>44914</v>
      </c>
      <c r="AM144" s="181"/>
      <c r="AN144" s="181">
        <f t="shared" ca="1" si="25"/>
        <v>44958</v>
      </c>
      <c r="AO144" s="173">
        <f t="shared" ca="1" si="26"/>
        <v>44</v>
      </c>
      <c r="AP144" s="173" t="str">
        <f t="shared" si="27"/>
        <v/>
      </c>
      <c r="AQ144" s="181"/>
      <c r="AR144" s="190" t="s">
        <v>2625</v>
      </c>
      <c r="AS144" s="176">
        <v>10.38</v>
      </c>
      <c r="AT144" s="176">
        <v>10.39</v>
      </c>
      <c r="AU144" s="176">
        <v>10.414999999999999</v>
      </c>
      <c r="AV144" s="176">
        <v>10.42</v>
      </c>
      <c r="AW144" s="173">
        <f t="shared" ca="1" si="28"/>
        <v>40</v>
      </c>
      <c r="AX144" s="142">
        <v>462</v>
      </c>
      <c r="AZ144" s="142" t="s">
        <v>123</v>
      </c>
    </row>
    <row r="145" spans="2:52" s="142" customFormat="1" ht="21" customHeight="1" x14ac:dyDescent="0.25">
      <c r="B145" s="173" t="str">
        <f t="shared" si="24"/>
        <v>0-304/2B-1.50X768</v>
      </c>
      <c r="C145" s="201" t="s">
        <v>4709</v>
      </c>
      <c r="D145" s="173" t="s">
        <v>4432</v>
      </c>
      <c r="E145" s="190" t="s">
        <v>4735</v>
      </c>
      <c r="F145" s="201" t="s">
        <v>4736</v>
      </c>
      <c r="G145" s="173">
        <v>304</v>
      </c>
      <c r="H145" s="173" t="s">
        <v>114</v>
      </c>
      <c r="I145" s="174">
        <v>3.89</v>
      </c>
      <c r="J145" s="174">
        <v>1.5</v>
      </c>
      <c r="K145" s="203">
        <v>1.5</v>
      </c>
      <c r="L145" s="203">
        <v>1.52</v>
      </c>
      <c r="M145" s="191">
        <v>768</v>
      </c>
      <c r="N145" s="176">
        <v>12.17</v>
      </c>
      <c r="O145" s="176">
        <f>3.995+4.035+4.09</f>
        <v>12.120000000000001</v>
      </c>
      <c r="P145" s="176"/>
      <c r="Q145" s="176">
        <v>0.05</v>
      </c>
      <c r="R145" s="176" t="s">
        <v>114</v>
      </c>
      <c r="S145" s="209" t="s">
        <v>4724</v>
      </c>
      <c r="T145" s="178" t="s">
        <v>1344</v>
      </c>
      <c r="U145" s="178"/>
      <c r="V145" s="179"/>
      <c r="W145" s="177">
        <v>44922</v>
      </c>
      <c r="X145" s="177"/>
      <c r="Y145" s="177">
        <v>44922</v>
      </c>
      <c r="Z145" s="177"/>
      <c r="AA145" s="177"/>
      <c r="AB145" s="177"/>
      <c r="AC145" s="177"/>
      <c r="AD145" s="177"/>
      <c r="AE145" s="177"/>
      <c r="AF145" s="177"/>
      <c r="AG145" s="180" t="s">
        <v>2479</v>
      </c>
      <c r="AH145" s="173" t="s">
        <v>69</v>
      </c>
      <c r="AI145" s="181" t="s">
        <v>142</v>
      </c>
      <c r="AJ145" s="181" t="s">
        <v>2283</v>
      </c>
      <c r="AK145" s="181"/>
      <c r="AL145" s="181">
        <v>44880</v>
      </c>
      <c r="AM145" s="181"/>
      <c r="AN145" s="181">
        <f t="shared" ca="1" si="25"/>
        <v>44958</v>
      </c>
      <c r="AO145" s="173">
        <f t="shared" ca="1" si="26"/>
        <v>78</v>
      </c>
      <c r="AP145" s="173" t="str">
        <f t="shared" si="27"/>
        <v/>
      </c>
      <c r="AQ145" s="181"/>
      <c r="AR145" s="190" t="s">
        <v>4737</v>
      </c>
      <c r="AS145" s="176">
        <v>12.205</v>
      </c>
      <c r="AT145" s="176">
        <v>12.215</v>
      </c>
      <c r="AU145" s="176">
        <v>12.239999999999998</v>
      </c>
      <c r="AV145" s="176">
        <v>12.244999999999999</v>
      </c>
      <c r="AW145" s="173">
        <f t="shared" ca="1" si="28"/>
        <v>36</v>
      </c>
      <c r="AX145" s="142">
        <v>459</v>
      </c>
      <c r="AZ145" s="142" t="s">
        <v>123</v>
      </c>
    </row>
    <row r="146" spans="2:52" s="142" customFormat="1" ht="21" customHeight="1" x14ac:dyDescent="0.25">
      <c r="B146" s="173" t="str">
        <f t="shared" si="24"/>
        <v>0-304L/2B-1.20X770</v>
      </c>
      <c r="C146" s="201" t="s">
        <v>4709</v>
      </c>
      <c r="D146" s="173" t="s">
        <v>4432</v>
      </c>
      <c r="E146" s="190" t="s">
        <v>4738</v>
      </c>
      <c r="F146" s="201" t="s">
        <v>4739</v>
      </c>
      <c r="G146" s="173" t="s">
        <v>182</v>
      </c>
      <c r="H146" s="173" t="s">
        <v>114</v>
      </c>
      <c r="I146" s="174">
        <v>3.51</v>
      </c>
      <c r="J146" s="174">
        <v>1.2</v>
      </c>
      <c r="K146" s="203">
        <v>1.19</v>
      </c>
      <c r="L146" s="203">
        <v>1.21</v>
      </c>
      <c r="M146" s="191">
        <v>770</v>
      </c>
      <c r="N146" s="176">
        <v>10.27</v>
      </c>
      <c r="O146" s="176">
        <f>4.86+5.365</f>
        <v>10.225000000000001</v>
      </c>
      <c r="P146" s="176"/>
      <c r="Q146" s="176"/>
      <c r="R146" s="176" t="s">
        <v>114</v>
      </c>
      <c r="S146" s="209" t="s">
        <v>4724</v>
      </c>
      <c r="T146" s="178" t="s">
        <v>1344</v>
      </c>
      <c r="U146" s="178"/>
      <c r="V146" s="179"/>
      <c r="W146" s="177">
        <v>44921</v>
      </c>
      <c r="X146" s="177"/>
      <c r="Y146" s="177">
        <v>44922</v>
      </c>
      <c r="Z146" s="177"/>
      <c r="AA146" s="177"/>
      <c r="AB146" s="177"/>
      <c r="AC146" s="177"/>
      <c r="AD146" s="177"/>
      <c r="AE146" s="177"/>
      <c r="AF146" s="177"/>
      <c r="AG146" s="180" t="s">
        <v>2470</v>
      </c>
      <c r="AH146" s="173" t="s">
        <v>69</v>
      </c>
      <c r="AI146" s="181" t="s">
        <v>142</v>
      </c>
      <c r="AJ146" s="181" t="s">
        <v>1584</v>
      </c>
      <c r="AK146" s="181"/>
      <c r="AL146" s="181">
        <v>44914</v>
      </c>
      <c r="AM146" s="181"/>
      <c r="AN146" s="181">
        <f t="shared" ca="1" si="25"/>
        <v>44958</v>
      </c>
      <c r="AO146" s="173">
        <f t="shared" ca="1" si="26"/>
        <v>44</v>
      </c>
      <c r="AP146" s="173" t="str">
        <f t="shared" si="27"/>
        <v/>
      </c>
      <c r="AQ146" s="181"/>
      <c r="AR146" s="190" t="s">
        <v>4740</v>
      </c>
      <c r="AS146" s="176">
        <v>10.295</v>
      </c>
      <c r="AT146" s="176">
        <v>10.305</v>
      </c>
      <c r="AU146" s="176">
        <v>10.329999999999998</v>
      </c>
      <c r="AV146" s="176">
        <v>10.334999999999999</v>
      </c>
      <c r="AW146" s="173">
        <f t="shared" ca="1" si="28"/>
        <v>36</v>
      </c>
      <c r="AX146" s="142">
        <v>462</v>
      </c>
      <c r="AZ146" s="142" t="s">
        <v>123</v>
      </c>
    </row>
    <row r="147" spans="2:52" s="142" customFormat="1" ht="21" customHeight="1" x14ac:dyDescent="0.25">
      <c r="B147" s="173" t="str">
        <f t="shared" si="24"/>
        <v>0-304L/2B-1.20X768</v>
      </c>
      <c r="C147" s="201" t="s">
        <v>4741</v>
      </c>
      <c r="D147" s="173" t="s">
        <v>4432</v>
      </c>
      <c r="E147" s="190" t="s">
        <v>4742</v>
      </c>
      <c r="F147" s="201" t="s">
        <v>4743</v>
      </c>
      <c r="G147" s="173" t="s">
        <v>182</v>
      </c>
      <c r="H147" s="173" t="s">
        <v>114</v>
      </c>
      <c r="I147" s="174">
        <v>3.61</v>
      </c>
      <c r="J147" s="174">
        <v>1.2</v>
      </c>
      <c r="K147" s="203">
        <v>1.1599999999999999</v>
      </c>
      <c r="L147" s="203">
        <v>1.18</v>
      </c>
      <c r="M147" s="191">
        <v>768</v>
      </c>
      <c r="N147" s="176">
        <v>10.43</v>
      </c>
      <c r="O147" s="176">
        <f>4.385+6.01</f>
        <v>10.395</v>
      </c>
      <c r="P147" s="176"/>
      <c r="Q147" s="176">
        <v>3.5000000000000003E-2</v>
      </c>
      <c r="R147" s="176" t="s">
        <v>114</v>
      </c>
      <c r="S147" s="209" t="s">
        <v>4744</v>
      </c>
      <c r="T147" s="178" t="s">
        <v>1344</v>
      </c>
      <c r="U147" s="178"/>
      <c r="V147" s="179"/>
      <c r="W147" s="177">
        <v>44922</v>
      </c>
      <c r="X147" s="177"/>
      <c r="Y147" s="177">
        <v>44922</v>
      </c>
      <c r="Z147" s="177"/>
      <c r="AA147" s="177"/>
      <c r="AB147" s="177"/>
      <c r="AC147" s="177"/>
      <c r="AD147" s="177"/>
      <c r="AE147" s="177"/>
      <c r="AF147" s="177"/>
      <c r="AG147" s="180" t="s">
        <v>2470</v>
      </c>
      <c r="AH147" s="173" t="s">
        <v>69</v>
      </c>
      <c r="AI147" s="181" t="s">
        <v>142</v>
      </c>
      <c r="AJ147" s="181" t="s">
        <v>1584</v>
      </c>
      <c r="AK147" s="181"/>
      <c r="AL147" s="181">
        <v>44914</v>
      </c>
      <c r="AM147" s="181"/>
      <c r="AN147" s="181">
        <f t="shared" ca="1" si="25"/>
        <v>44958</v>
      </c>
      <c r="AO147" s="173">
        <f t="shared" ca="1" si="26"/>
        <v>44</v>
      </c>
      <c r="AP147" s="173" t="str">
        <f t="shared" si="27"/>
        <v/>
      </c>
      <c r="AQ147" s="181"/>
      <c r="AR147" s="190" t="s">
        <v>4745</v>
      </c>
      <c r="AS147" s="176">
        <v>10.445</v>
      </c>
      <c r="AT147" s="176">
        <v>10.455</v>
      </c>
      <c r="AU147" s="176">
        <v>10.479999999999999</v>
      </c>
      <c r="AV147" s="176">
        <v>10.484999999999999</v>
      </c>
      <c r="AW147" s="173">
        <f t="shared" ca="1" si="28"/>
        <v>36</v>
      </c>
      <c r="AX147" s="142">
        <v>462</v>
      </c>
      <c r="AZ147" s="142" t="s">
        <v>123</v>
      </c>
    </row>
    <row r="148" spans="2:52" s="142" customFormat="1" ht="21" customHeight="1" x14ac:dyDescent="0.25">
      <c r="B148" s="173" t="str">
        <f t="shared" si="24"/>
        <v>0-304L/2B-1.50X776</v>
      </c>
      <c r="C148" s="201" t="s">
        <v>4741</v>
      </c>
      <c r="D148" s="173" t="s">
        <v>4432</v>
      </c>
      <c r="E148" s="190" t="s">
        <v>4746</v>
      </c>
      <c r="F148" s="201" t="s">
        <v>4747</v>
      </c>
      <c r="G148" s="173" t="s">
        <v>182</v>
      </c>
      <c r="H148" s="173" t="s">
        <v>114</v>
      </c>
      <c r="I148" s="174">
        <v>3.79</v>
      </c>
      <c r="J148" s="174">
        <v>1.5</v>
      </c>
      <c r="K148" s="203">
        <v>1.48</v>
      </c>
      <c r="L148" s="203">
        <v>1.5</v>
      </c>
      <c r="M148" s="191">
        <v>776</v>
      </c>
      <c r="N148" s="176">
        <v>11.77</v>
      </c>
      <c r="O148" s="176">
        <f>5.82+5.895</f>
        <v>11.715</v>
      </c>
      <c r="P148" s="176"/>
      <c r="Q148" s="176">
        <v>5.5E-2</v>
      </c>
      <c r="R148" s="176" t="s">
        <v>114</v>
      </c>
      <c r="S148" s="209" t="s">
        <v>4724</v>
      </c>
      <c r="T148" s="178" t="s">
        <v>1344</v>
      </c>
      <c r="U148" s="178"/>
      <c r="V148" s="179"/>
      <c r="W148" s="177">
        <v>44919</v>
      </c>
      <c r="X148" s="177"/>
      <c r="Y148" s="177">
        <v>44921</v>
      </c>
      <c r="Z148" s="177"/>
      <c r="AA148" s="177"/>
      <c r="AB148" s="177"/>
      <c r="AC148" s="177"/>
      <c r="AD148" s="177"/>
      <c r="AE148" s="177"/>
      <c r="AF148" s="177"/>
      <c r="AG148" s="180" t="s">
        <v>2479</v>
      </c>
      <c r="AH148" s="173" t="s">
        <v>69</v>
      </c>
      <c r="AI148" s="181" t="s">
        <v>142</v>
      </c>
      <c r="AJ148" s="181" t="s">
        <v>1653</v>
      </c>
      <c r="AK148" s="181"/>
      <c r="AL148" s="181">
        <v>44880</v>
      </c>
      <c r="AM148" s="181"/>
      <c r="AN148" s="181">
        <f t="shared" ca="1" si="25"/>
        <v>44958</v>
      </c>
      <c r="AO148" s="173">
        <f t="shared" ca="1" si="26"/>
        <v>78</v>
      </c>
      <c r="AP148" s="173" t="str">
        <f t="shared" si="27"/>
        <v/>
      </c>
      <c r="AQ148" s="181"/>
      <c r="AR148" s="190" t="s">
        <v>4748</v>
      </c>
      <c r="AS148" s="176">
        <v>11.795</v>
      </c>
      <c r="AT148" s="176">
        <v>11.805</v>
      </c>
      <c r="AU148" s="176">
        <v>11.829999999999998</v>
      </c>
      <c r="AV148" s="176">
        <v>11.834999999999999</v>
      </c>
      <c r="AW148" s="173">
        <f t="shared" ca="1" si="28"/>
        <v>37</v>
      </c>
      <c r="AX148" s="142">
        <v>459</v>
      </c>
      <c r="AZ148" s="142" t="s">
        <v>123</v>
      </c>
    </row>
    <row r="149" spans="2:52" s="142" customFormat="1" ht="21" customHeight="1" x14ac:dyDescent="0.25">
      <c r="B149" s="173" t="str">
        <f t="shared" si="24"/>
        <v>0-304L/2B-1.20X770</v>
      </c>
      <c r="C149" s="201" t="s">
        <v>4741</v>
      </c>
      <c r="D149" s="173" t="s">
        <v>4432</v>
      </c>
      <c r="E149" s="190" t="s">
        <v>4749</v>
      </c>
      <c r="F149" s="201" t="s">
        <v>4750</v>
      </c>
      <c r="G149" s="173" t="s">
        <v>182</v>
      </c>
      <c r="H149" s="173" t="s">
        <v>114</v>
      </c>
      <c r="I149" s="174">
        <v>3.6</v>
      </c>
      <c r="J149" s="174">
        <v>1.2</v>
      </c>
      <c r="K149" s="203">
        <v>1.18</v>
      </c>
      <c r="L149" s="203">
        <v>1.21</v>
      </c>
      <c r="M149" s="191">
        <v>770</v>
      </c>
      <c r="N149" s="176">
        <v>10.47</v>
      </c>
      <c r="O149" s="176">
        <f>5.155+5.265</f>
        <v>10.42</v>
      </c>
      <c r="P149" s="176"/>
      <c r="Q149" s="176">
        <v>0.05</v>
      </c>
      <c r="R149" s="176" t="s">
        <v>114</v>
      </c>
      <c r="S149" s="209" t="s">
        <v>4724</v>
      </c>
      <c r="T149" s="178" t="s">
        <v>1344</v>
      </c>
      <c r="U149" s="178"/>
      <c r="V149" s="179"/>
      <c r="W149" s="177">
        <v>44922</v>
      </c>
      <c r="X149" s="177"/>
      <c r="Y149" s="177">
        <v>44923</v>
      </c>
      <c r="Z149" s="177"/>
      <c r="AA149" s="177"/>
      <c r="AB149" s="177"/>
      <c r="AC149" s="177"/>
      <c r="AD149" s="177"/>
      <c r="AE149" s="177"/>
      <c r="AF149" s="177"/>
      <c r="AG149" s="180" t="s">
        <v>2470</v>
      </c>
      <c r="AH149" s="173" t="s">
        <v>69</v>
      </c>
      <c r="AI149" s="181" t="s">
        <v>142</v>
      </c>
      <c r="AJ149" s="181" t="s">
        <v>1584</v>
      </c>
      <c r="AK149" s="181"/>
      <c r="AL149" s="181">
        <v>44914</v>
      </c>
      <c r="AM149" s="181"/>
      <c r="AN149" s="181">
        <f t="shared" ca="1" si="25"/>
        <v>44958</v>
      </c>
      <c r="AO149" s="173">
        <f t="shared" ca="1" si="26"/>
        <v>44</v>
      </c>
      <c r="AP149" s="173" t="str">
        <f t="shared" si="27"/>
        <v/>
      </c>
      <c r="AQ149" s="181"/>
      <c r="AR149" s="190" t="s">
        <v>4745</v>
      </c>
      <c r="AS149" s="176">
        <v>10.475</v>
      </c>
      <c r="AT149" s="176">
        <v>10.484999999999999</v>
      </c>
      <c r="AU149" s="176">
        <v>10.509999999999998</v>
      </c>
      <c r="AV149" s="176">
        <v>10.514999999999999</v>
      </c>
      <c r="AW149" s="173">
        <f t="shared" ca="1" si="28"/>
        <v>35</v>
      </c>
      <c r="AX149" s="142">
        <v>462</v>
      </c>
      <c r="AZ149" s="142" t="s">
        <v>123</v>
      </c>
    </row>
    <row r="150" spans="2:52" s="142" customFormat="1" ht="21" customHeight="1" x14ac:dyDescent="0.25">
      <c r="B150" s="173" t="str">
        <f t="shared" si="24"/>
        <v>0-304L/2B-1.50X765</v>
      </c>
      <c r="C150" s="201" t="s">
        <v>4741</v>
      </c>
      <c r="D150" s="173" t="s">
        <v>4432</v>
      </c>
      <c r="E150" s="190" t="s">
        <v>4751</v>
      </c>
      <c r="F150" s="201" t="s">
        <v>4752</v>
      </c>
      <c r="G150" s="173" t="s">
        <v>182</v>
      </c>
      <c r="H150" s="173" t="s">
        <v>114</v>
      </c>
      <c r="I150" s="174">
        <v>3.79</v>
      </c>
      <c r="J150" s="174">
        <v>1.5</v>
      </c>
      <c r="K150" s="203">
        <v>1.48</v>
      </c>
      <c r="L150" s="203">
        <v>1.5</v>
      </c>
      <c r="M150" s="191">
        <v>765</v>
      </c>
      <c r="N150" s="176">
        <v>11.97</v>
      </c>
      <c r="O150" s="176">
        <f>3.82+3.81+4.29</f>
        <v>11.92</v>
      </c>
      <c r="P150" s="176"/>
      <c r="Q150" s="176">
        <v>0.05</v>
      </c>
      <c r="R150" s="176" t="s">
        <v>114</v>
      </c>
      <c r="S150" s="209" t="s">
        <v>4753</v>
      </c>
      <c r="T150" s="178" t="s">
        <v>4646</v>
      </c>
      <c r="U150" s="178"/>
      <c r="V150" s="179"/>
      <c r="W150" s="177">
        <v>44917</v>
      </c>
      <c r="X150" s="177"/>
      <c r="Y150" s="177">
        <v>44917</v>
      </c>
      <c r="Z150" s="177"/>
      <c r="AA150" s="177"/>
      <c r="AB150" s="177"/>
      <c r="AC150" s="177"/>
      <c r="AD150" s="177"/>
      <c r="AE150" s="177"/>
      <c r="AF150" s="177"/>
      <c r="AG150" s="180" t="s">
        <v>4437</v>
      </c>
      <c r="AH150" s="173" t="s">
        <v>69</v>
      </c>
      <c r="AI150" s="181" t="s">
        <v>142</v>
      </c>
      <c r="AJ150" s="181" t="s">
        <v>1653</v>
      </c>
      <c r="AK150" s="181"/>
      <c r="AL150" s="181">
        <v>44880</v>
      </c>
      <c r="AM150" s="181"/>
      <c r="AN150" s="181">
        <f t="shared" ca="1" si="25"/>
        <v>44958</v>
      </c>
      <c r="AO150" s="173">
        <f t="shared" ca="1" si="26"/>
        <v>78</v>
      </c>
      <c r="AP150" s="173" t="str">
        <f t="shared" si="27"/>
        <v/>
      </c>
      <c r="AQ150" s="181"/>
      <c r="AR150" s="190" t="s">
        <v>4447</v>
      </c>
      <c r="AS150" s="176">
        <v>11.975</v>
      </c>
      <c r="AT150" s="176">
        <v>11.984999999999999</v>
      </c>
      <c r="AU150" s="176">
        <v>12.009999999999998</v>
      </c>
      <c r="AV150" s="176">
        <v>12.014999999999999</v>
      </c>
      <c r="AW150" s="173">
        <f t="shared" ca="1" si="28"/>
        <v>41</v>
      </c>
      <c r="AX150" s="142">
        <v>459</v>
      </c>
      <c r="AZ150" s="142" t="s">
        <v>123</v>
      </c>
    </row>
    <row r="151" spans="2:52" s="142" customFormat="1" ht="21" customHeight="1" x14ac:dyDescent="0.25">
      <c r="B151" s="173" t="str">
        <f t="shared" si="24"/>
        <v>0-304L/2B-1.20X773</v>
      </c>
      <c r="C151" s="201" t="s">
        <v>4741</v>
      </c>
      <c r="D151" s="173" t="s">
        <v>4432</v>
      </c>
      <c r="E151" s="190" t="s">
        <v>4754</v>
      </c>
      <c r="F151" s="201" t="s">
        <v>4755</v>
      </c>
      <c r="G151" s="173" t="s">
        <v>182</v>
      </c>
      <c r="H151" s="173" t="s">
        <v>114</v>
      </c>
      <c r="I151" s="174">
        <v>3.58</v>
      </c>
      <c r="J151" s="174">
        <v>1.2</v>
      </c>
      <c r="K151" s="203">
        <v>1.18</v>
      </c>
      <c r="L151" s="203">
        <v>1.2</v>
      </c>
      <c r="M151" s="191">
        <v>773</v>
      </c>
      <c r="N151" s="176">
        <v>12.074999999999999</v>
      </c>
      <c r="O151" s="176">
        <f>3.975+4.06+3.98</f>
        <v>12.015000000000001</v>
      </c>
      <c r="P151" s="176"/>
      <c r="Q151" s="176">
        <v>0.06</v>
      </c>
      <c r="R151" s="176" t="s">
        <v>114</v>
      </c>
      <c r="S151" s="209" t="s">
        <v>4724</v>
      </c>
      <c r="T151" s="178" t="s">
        <v>1344</v>
      </c>
      <c r="U151" s="178"/>
      <c r="V151" s="179"/>
      <c r="W151" s="177">
        <v>44910</v>
      </c>
      <c r="X151" s="177"/>
      <c r="Y151" s="177">
        <v>44911</v>
      </c>
      <c r="Z151" s="177"/>
      <c r="AA151" s="177"/>
      <c r="AB151" s="177"/>
      <c r="AC151" s="177"/>
      <c r="AD151" s="177"/>
      <c r="AE151" s="177"/>
      <c r="AF151" s="177"/>
      <c r="AG151" s="180" t="s">
        <v>1619</v>
      </c>
      <c r="AH151" s="173" t="s">
        <v>69</v>
      </c>
      <c r="AI151" s="181" t="s">
        <v>142</v>
      </c>
      <c r="AJ151" s="181" t="s">
        <v>2283</v>
      </c>
      <c r="AK151" s="181"/>
      <c r="AL151" s="181">
        <v>44880</v>
      </c>
      <c r="AM151" s="181"/>
      <c r="AN151" s="181">
        <f t="shared" ca="1" si="25"/>
        <v>44958</v>
      </c>
      <c r="AO151" s="173">
        <f t="shared" ca="1" si="26"/>
        <v>78</v>
      </c>
      <c r="AP151" s="173" t="str">
        <f t="shared" si="27"/>
        <v/>
      </c>
      <c r="AQ151" s="181"/>
      <c r="AR151" s="190" t="s">
        <v>4756</v>
      </c>
      <c r="AS151" s="176">
        <v>12.09</v>
      </c>
      <c r="AT151" s="176">
        <v>12.1</v>
      </c>
      <c r="AU151" s="176">
        <v>12.124999999999998</v>
      </c>
      <c r="AV151" s="176">
        <v>12.129999999999999</v>
      </c>
      <c r="AW151" s="173">
        <f t="shared" ca="1" si="28"/>
        <v>47</v>
      </c>
      <c r="AX151" s="142">
        <v>459</v>
      </c>
      <c r="AZ151" s="142" t="s">
        <v>123</v>
      </c>
    </row>
    <row r="152" spans="2:52" s="142" customFormat="1" ht="21" customHeight="1" x14ac:dyDescent="0.25">
      <c r="B152" s="173" t="str">
        <f t="shared" si="24"/>
        <v>0-304L/2B-1.50X770</v>
      </c>
      <c r="C152" s="201" t="s">
        <v>4741</v>
      </c>
      <c r="D152" s="173" t="s">
        <v>4432</v>
      </c>
      <c r="E152" s="190" t="s">
        <v>4757</v>
      </c>
      <c r="F152" s="201" t="s">
        <v>4758</v>
      </c>
      <c r="G152" s="173" t="s">
        <v>182</v>
      </c>
      <c r="H152" s="173" t="s">
        <v>114</v>
      </c>
      <c r="I152" s="174">
        <v>3.96</v>
      </c>
      <c r="J152" s="174">
        <v>1.5</v>
      </c>
      <c r="K152" s="203">
        <v>1.5</v>
      </c>
      <c r="L152" s="203">
        <v>1.52</v>
      </c>
      <c r="M152" s="191">
        <v>770</v>
      </c>
      <c r="N152" s="176">
        <v>10.62</v>
      </c>
      <c r="O152" s="176">
        <f>4.58+5.995</f>
        <v>10.574999999999999</v>
      </c>
      <c r="P152" s="176"/>
      <c r="Q152" s="176">
        <v>4.4999999999999998E-2</v>
      </c>
      <c r="R152" s="176" t="s">
        <v>114</v>
      </c>
      <c r="S152" s="209" t="s">
        <v>4724</v>
      </c>
      <c r="T152" s="178" t="s">
        <v>1344</v>
      </c>
      <c r="U152" s="178"/>
      <c r="V152" s="179"/>
      <c r="W152" s="177">
        <v>44921</v>
      </c>
      <c r="X152" s="177"/>
      <c r="Y152" s="177">
        <v>44921</v>
      </c>
      <c r="Z152" s="177"/>
      <c r="AA152" s="177"/>
      <c r="AB152" s="177"/>
      <c r="AC152" s="177"/>
      <c r="AD152" s="177"/>
      <c r="AE152" s="177"/>
      <c r="AF152" s="177"/>
      <c r="AG152" s="180" t="s">
        <v>2479</v>
      </c>
      <c r="AH152" s="173" t="s">
        <v>69</v>
      </c>
      <c r="AI152" s="181" t="s">
        <v>142</v>
      </c>
      <c r="AJ152" s="181" t="s">
        <v>1653</v>
      </c>
      <c r="AK152" s="181"/>
      <c r="AL152" s="181">
        <v>44880</v>
      </c>
      <c r="AM152" s="181"/>
      <c r="AN152" s="181">
        <f t="shared" ca="1" si="25"/>
        <v>44958</v>
      </c>
      <c r="AO152" s="173">
        <f t="shared" ca="1" si="26"/>
        <v>78</v>
      </c>
      <c r="AP152" s="173" t="str">
        <f t="shared" si="27"/>
        <v/>
      </c>
      <c r="AQ152" s="181"/>
      <c r="AR152" s="190" t="s">
        <v>2355</v>
      </c>
      <c r="AS152" s="176">
        <v>10.635</v>
      </c>
      <c r="AT152" s="176">
        <v>10.645</v>
      </c>
      <c r="AU152" s="176">
        <v>10.669999999999998</v>
      </c>
      <c r="AV152" s="176">
        <v>10.674999999999999</v>
      </c>
      <c r="AW152" s="173">
        <f t="shared" ca="1" si="28"/>
        <v>37</v>
      </c>
      <c r="AX152" s="142">
        <v>459</v>
      </c>
      <c r="AZ152" s="142" t="s">
        <v>123</v>
      </c>
    </row>
    <row r="153" spans="2:52" s="142" customFormat="1" ht="21" customHeight="1" x14ac:dyDescent="0.25">
      <c r="B153" s="173" t="str">
        <f t="shared" si="24"/>
        <v>0-304/2B-0.95X767</v>
      </c>
      <c r="C153" s="201" t="s">
        <v>4741</v>
      </c>
      <c r="D153" s="173" t="s">
        <v>4432</v>
      </c>
      <c r="E153" s="190" t="s">
        <v>4759</v>
      </c>
      <c r="F153" s="201" t="s">
        <v>4760</v>
      </c>
      <c r="G153" s="173">
        <v>304</v>
      </c>
      <c r="H153" s="173" t="s">
        <v>114</v>
      </c>
      <c r="I153" s="174">
        <v>2.88</v>
      </c>
      <c r="J153" s="174">
        <v>0.95</v>
      </c>
      <c r="K153" s="203">
        <v>0.94</v>
      </c>
      <c r="L153" s="203">
        <v>0.95</v>
      </c>
      <c r="M153" s="191">
        <v>767</v>
      </c>
      <c r="N153" s="176">
        <v>10.005000000000001</v>
      </c>
      <c r="O153" s="176">
        <f>5.01+4.95</f>
        <v>9.9600000000000009</v>
      </c>
      <c r="P153" s="176"/>
      <c r="Q153" s="176">
        <v>4.4999999999999998E-2</v>
      </c>
      <c r="R153" s="176" t="s">
        <v>114</v>
      </c>
      <c r="S153" s="209" t="s">
        <v>4753</v>
      </c>
      <c r="T153" s="178" t="s">
        <v>1344</v>
      </c>
      <c r="U153" s="178"/>
      <c r="V153" s="179"/>
      <c r="W153" s="177">
        <v>44910</v>
      </c>
      <c r="X153" s="177"/>
      <c r="Y153" s="177">
        <v>44910</v>
      </c>
      <c r="Z153" s="177"/>
      <c r="AA153" s="177"/>
      <c r="AB153" s="177"/>
      <c r="AC153" s="177"/>
      <c r="AD153" s="177"/>
      <c r="AE153" s="177"/>
      <c r="AF153" s="177"/>
      <c r="AG153" s="180" t="s">
        <v>1619</v>
      </c>
      <c r="AH153" s="173" t="s">
        <v>69</v>
      </c>
      <c r="AI153" s="181" t="s">
        <v>142</v>
      </c>
      <c r="AJ153" s="181" t="s">
        <v>1887</v>
      </c>
      <c r="AK153" s="181"/>
      <c r="AL153" s="181">
        <v>44880</v>
      </c>
      <c r="AM153" s="181"/>
      <c r="AN153" s="181">
        <f t="shared" ca="1" si="25"/>
        <v>44958</v>
      </c>
      <c r="AO153" s="173">
        <f t="shared" ca="1" si="26"/>
        <v>78</v>
      </c>
      <c r="AP153" s="173" t="str">
        <f t="shared" si="27"/>
        <v/>
      </c>
      <c r="AQ153" s="181"/>
      <c r="AR153" s="190" t="s">
        <v>4761</v>
      </c>
      <c r="AS153" s="176">
        <v>10.435</v>
      </c>
      <c r="AT153" s="176">
        <v>10.445</v>
      </c>
      <c r="AU153" s="176">
        <v>10.469999999999999</v>
      </c>
      <c r="AV153" s="176">
        <v>10.475</v>
      </c>
      <c r="AW153" s="173">
        <f t="shared" ca="1" si="28"/>
        <v>48</v>
      </c>
      <c r="AX153" s="142">
        <v>459</v>
      </c>
      <c r="AZ153" s="142" t="s">
        <v>123</v>
      </c>
    </row>
    <row r="154" spans="2:52" s="142" customFormat="1" ht="21" customHeight="1" x14ac:dyDescent="0.25">
      <c r="B154" s="173" t="str">
        <f t="shared" si="24"/>
        <v>0-304/2B-0.95X773</v>
      </c>
      <c r="C154" s="201" t="s">
        <v>4741</v>
      </c>
      <c r="D154" s="173" t="s">
        <v>4432</v>
      </c>
      <c r="E154" s="190" t="s">
        <v>4762</v>
      </c>
      <c r="F154" s="201" t="s">
        <v>4763</v>
      </c>
      <c r="G154" s="173">
        <v>304</v>
      </c>
      <c r="H154" s="173" t="s">
        <v>114</v>
      </c>
      <c r="I154" s="174">
        <v>2.88</v>
      </c>
      <c r="J154" s="174">
        <v>0.95</v>
      </c>
      <c r="K154" s="203">
        <v>0.93</v>
      </c>
      <c r="L154" s="203">
        <v>0.95</v>
      </c>
      <c r="M154" s="191">
        <v>773</v>
      </c>
      <c r="N154" s="176">
        <v>10.525</v>
      </c>
      <c r="O154" s="176">
        <f>4.525+5.955</f>
        <v>10.48</v>
      </c>
      <c r="P154" s="176"/>
      <c r="Q154" s="176">
        <v>4.4999999999999998E-2</v>
      </c>
      <c r="R154" s="176" t="s">
        <v>114</v>
      </c>
      <c r="S154" s="209" t="s">
        <v>4724</v>
      </c>
      <c r="T154" s="178" t="s">
        <v>1344</v>
      </c>
      <c r="U154" s="178"/>
      <c r="V154" s="179"/>
      <c r="W154" s="177">
        <v>44921</v>
      </c>
      <c r="X154" s="177"/>
      <c r="Y154" s="177">
        <v>44921</v>
      </c>
      <c r="Z154" s="177"/>
      <c r="AA154" s="177"/>
      <c r="AB154" s="177"/>
      <c r="AC154" s="177"/>
      <c r="AD154" s="177"/>
      <c r="AE154" s="177"/>
      <c r="AF154" s="177"/>
      <c r="AG154" s="180" t="s">
        <v>2479</v>
      </c>
      <c r="AH154" s="173" t="s">
        <v>69</v>
      </c>
      <c r="AI154" s="181" t="s">
        <v>142</v>
      </c>
      <c r="AJ154" s="181" t="s">
        <v>1584</v>
      </c>
      <c r="AK154" s="181"/>
      <c r="AL154" s="181">
        <v>44914</v>
      </c>
      <c r="AM154" s="181"/>
      <c r="AN154" s="181">
        <f t="shared" ca="1" si="25"/>
        <v>44958</v>
      </c>
      <c r="AO154" s="173">
        <f t="shared" ca="1" si="26"/>
        <v>44</v>
      </c>
      <c r="AP154" s="173" t="str">
        <f t="shared" si="27"/>
        <v/>
      </c>
      <c r="AQ154" s="181"/>
      <c r="AR154" s="190" t="s">
        <v>3868</v>
      </c>
      <c r="AS154" s="176">
        <v>10.545</v>
      </c>
      <c r="AT154" s="176">
        <v>10.555</v>
      </c>
      <c r="AU154" s="176">
        <v>10.579999999999998</v>
      </c>
      <c r="AV154" s="176">
        <v>10.584999999999999</v>
      </c>
      <c r="AW154" s="173">
        <f t="shared" ca="1" si="28"/>
        <v>37</v>
      </c>
      <c r="AX154" s="142">
        <v>462</v>
      </c>
      <c r="AZ154" s="142" t="s">
        <v>123</v>
      </c>
    </row>
    <row r="155" spans="2:52" s="142" customFormat="1" ht="21" customHeight="1" x14ac:dyDescent="0.25">
      <c r="B155" s="173" t="str">
        <f t="shared" si="24"/>
        <v>0-304L/2B-1.20X639</v>
      </c>
      <c r="C155" s="201" t="s">
        <v>4764</v>
      </c>
      <c r="D155" s="173" t="s">
        <v>836</v>
      </c>
      <c r="E155" s="190" t="s">
        <v>3937</v>
      </c>
      <c r="F155" s="201" t="s">
        <v>3938</v>
      </c>
      <c r="G155" s="173" t="s">
        <v>182</v>
      </c>
      <c r="H155" s="173" t="s">
        <v>114</v>
      </c>
      <c r="I155" s="174">
        <v>2.87</v>
      </c>
      <c r="J155" s="174">
        <v>1.2</v>
      </c>
      <c r="K155" s="203">
        <v>1.1499999999999999</v>
      </c>
      <c r="L155" s="203">
        <v>1.18</v>
      </c>
      <c r="M155" s="191">
        <v>639</v>
      </c>
      <c r="N155" s="176">
        <v>10.58</v>
      </c>
      <c r="O155" s="176">
        <v>10.565</v>
      </c>
      <c r="P155" s="176"/>
      <c r="Q155" s="176">
        <v>1.4999999999999999E-2</v>
      </c>
      <c r="R155" s="176" t="s">
        <v>114</v>
      </c>
      <c r="S155" s="209"/>
      <c r="T155" s="178" t="s">
        <v>4326</v>
      </c>
      <c r="U155" s="178"/>
      <c r="V155" s="179"/>
      <c r="W155" s="177">
        <v>44932</v>
      </c>
      <c r="X155" s="177"/>
      <c r="Y155" s="177"/>
      <c r="Z155" s="177">
        <v>44936</v>
      </c>
      <c r="AA155" s="177">
        <v>44942</v>
      </c>
      <c r="AB155" s="177"/>
      <c r="AC155" s="177">
        <v>44941</v>
      </c>
      <c r="AD155" s="177"/>
      <c r="AE155" s="177"/>
      <c r="AF155" s="177"/>
      <c r="AG155" s="180" t="s">
        <v>2479</v>
      </c>
      <c r="AH155" s="173" t="s">
        <v>69</v>
      </c>
      <c r="AI155" s="181" t="s">
        <v>142</v>
      </c>
      <c r="AJ155" s="181" t="s">
        <v>1657</v>
      </c>
      <c r="AK155" s="181"/>
      <c r="AL155" s="181">
        <v>44849</v>
      </c>
      <c r="AM155" s="181"/>
      <c r="AN155" s="181">
        <f t="shared" ca="1" si="25"/>
        <v>44958</v>
      </c>
      <c r="AO155" s="173">
        <f t="shared" ca="1" si="26"/>
        <v>109</v>
      </c>
      <c r="AP155" s="173">
        <f t="shared" ca="1" si="27"/>
        <v>16</v>
      </c>
      <c r="AQ155" s="181"/>
      <c r="AR155" s="190" t="s">
        <v>3939</v>
      </c>
      <c r="AS155" s="176">
        <v>10.58</v>
      </c>
      <c r="AT155" s="176">
        <v>10.59</v>
      </c>
      <c r="AU155" s="176">
        <v>10.614999999999998</v>
      </c>
      <c r="AV155" s="176">
        <v>10.62</v>
      </c>
      <c r="AW155" s="173" t="str">
        <f t="shared" si="28"/>
        <v/>
      </c>
      <c r="AX155" s="142">
        <v>456</v>
      </c>
      <c r="AZ155" s="142" t="s">
        <v>123</v>
      </c>
    </row>
    <row r="156" spans="2:52" s="142" customFormat="1" ht="21" customHeight="1" x14ac:dyDescent="0.25">
      <c r="B156" s="173" t="str">
        <f t="shared" si="24"/>
        <v>0-304L/2B-1.20X639</v>
      </c>
      <c r="C156" s="201" t="s">
        <v>4764</v>
      </c>
      <c r="D156" s="173" t="s">
        <v>836</v>
      </c>
      <c r="E156" s="190" t="s">
        <v>4014</v>
      </c>
      <c r="F156" s="201" t="s">
        <v>4015</v>
      </c>
      <c r="G156" s="173" t="s">
        <v>182</v>
      </c>
      <c r="H156" s="173" t="s">
        <v>114</v>
      </c>
      <c r="I156" s="174">
        <v>2.89</v>
      </c>
      <c r="J156" s="174">
        <v>1.2</v>
      </c>
      <c r="K156" s="203">
        <v>1.17</v>
      </c>
      <c r="L156" s="203">
        <v>1.18</v>
      </c>
      <c r="M156" s="191">
        <v>639</v>
      </c>
      <c r="N156" s="176">
        <v>10.205</v>
      </c>
      <c r="O156" s="176">
        <v>10.164999999999999</v>
      </c>
      <c r="P156" s="176"/>
      <c r="Q156" s="176">
        <v>0.04</v>
      </c>
      <c r="R156" s="176" t="s">
        <v>114</v>
      </c>
      <c r="S156" s="209"/>
      <c r="T156" s="178" t="s">
        <v>4326</v>
      </c>
      <c r="U156" s="178"/>
      <c r="V156" s="179"/>
      <c r="W156" s="177">
        <v>44936</v>
      </c>
      <c r="X156" s="177"/>
      <c r="Y156" s="177"/>
      <c r="Z156" s="177">
        <v>44936</v>
      </c>
      <c r="AA156" s="177">
        <v>44942</v>
      </c>
      <c r="AB156" s="177"/>
      <c r="AC156" s="177">
        <v>44941</v>
      </c>
      <c r="AD156" s="177"/>
      <c r="AE156" s="177"/>
      <c r="AF156" s="177"/>
      <c r="AG156" s="180" t="s">
        <v>2479</v>
      </c>
      <c r="AH156" s="173" t="s">
        <v>69</v>
      </c>
      <c r="AI156" s="181" t="s">
        <v>142</v>
      </c>
      <c r="AJ156" s="181" t="s">
        <v>1657</v>
      </c>
      <c r="AK156" s="181"/>
      <c r="AL156" s="181">
        <v>44849</v>
      </c>
      <c r="AM156" s="181"/>
      <c r="AN156" s="181">
        <f t="shared" ca="1" si="25"/>
        <v>44958</v>
      </c>
      <c r="AO156" s="173">
        <f t="shared" ca="1" si="26"/>
        <v>109</v>
      </c>
      <c r="AP156" s="173">
        <f t="shared" ca="1" si="27"/>
        <v>16</v>
      </c>
      <c r="AQ156" s="181"/>
      <c r="AR156" s="190" t="s">
        <v>4016</v>
      </c>
      <c r="AS156" s="176">
        <v>10.215</v>
      </c>
      <c r="AT156" s="176">
        <v>10.225</v>
      </c>
      <c r="AU156" s="176">
        <v>10.249999999999998</v>
      </c>
      <c r="AV156" s="176">
        <v>10.254999999999999</v>
      </c>
      <c r="AW156" s="173" t="str">
        <f t="shared" si="28"/>
        <v/>
      </c>
      <c r="AX156" s="142">
        <v>456</v>
      </c>
      <c r="AZ156" s="142" t="s">
        <v>123</v>
      </c>
    </row>
    <row r="157" spans="2:52" s="142" customFormat="1" ht="21" customHeight="1" x14ac:dyDescent="0.25">
      <c r="B157" s="173" t="str">
        <f t="shared" si="24"/>
        <v>0-304L/2B-0.40X643</v>
      </c>
      <c r="C157" s="201" t="s">
        <v>4764</v>
      </c>
      <c r="D157" s="173" t="s">
        <v>836</v>
      </c>
      <c r="E157" s="190" t="s">
        <v>4765</v>
      </c>
      <c r="F157" s="201" t="s">
        <v>4766</v>
      </c>
      <c r="G157" s="173" t="s">
        <v>182</v>
      </c>
      <c r="H157" s="173" t="s">
        <v>114</v>
      </c>
      <c r="I157" s="174">
        <v>2.4900000000000002</v>
      </c>
      <c r="J157" s="174">
        <v>0.4</v>
      </c>
      <c r="K157" s="203">
        <v>0.4</v>
      </c>
      <c r="L157" s="203">
        <v>0.42</v>
      </c>
      <c r="M157" s="191">
        <v>643</v>
      </c>
      <c r="N157" s="176">
        <v>10.645</v>
      </c>
      <c r="O157" s="176">
        <v>10.63</v>
      </c>
      <c r="P157" s="176"/>
      <c r="Q157" s="176">
        <v>1.4999999999999999E-2</v>
      </c>
      <c r="R157" s="176" t="s">
        <v>114</v>
      </c>
      <c r="S157" s="209"/>
      <c r="T157" s="178" t="s">
        <v>1344</v>
      </c>
      <c r="U157" s="178"/>
      <c r="V157" s="179"/>
      <c r="W157" s="177" t="s">
        <v>4767</v>
      </c>
      <c r="X157" s="177"/>
      <c r="Y157" s="177">
        <v>44915</v>
      </c>
      <c r="Z157" s="177"/>
      <c r="AA157" s="177">
        <v>44942</v>
      </c>
      <c r="AB157" s="177"/>
      <c r="AC157" s="177"/>
      <c r="AD157" s="177"/>
      <c r="AE157" s="177"/>
      <c r="AF157" s="177"/>
      <c r="AG157" s="180" t="s">
        <v>1619</v>
      </c>
      <c r="AH157" s="173" t="s">
        <v>69</v>
      </c>
      <c r="AI157" s="181" t="s">
        <v>142</v>
      </c>
      <c r="AJ157" s="181" t="s">
        <v>1657</v>
      </c>
      <c r="AK157" s="181"/>
      <c r="AL157" s="181">
        <v>44849</v>
      </c>
      <c r="AM157" s="181"/>
      <c r="AN157" s="181">
        <f t="shared" ca="1" si="25"/>
        <v>44958</v>
      </c>
      <c r="AO157" s="173">
        <f t="shared" ca="1" si="26"/>
        <v>109</v>
      </c>
      <c r="AP157" s="173">
        <f t="shared" ca="1" si="27"/>
        <v>16</v>
      </c>
      <c r="AQ157" s="181"/>
      <c r="AR157" s="190" t="s">
        <v>3923</v>
      </c>
      <c r="AS157" s="176">
        <v>10.66</v>
      </c>
      <c r="AT157" s="176">
        <v>10.67</v>
      </c>
      <c r="AU157" s="176">
        <v>10.694999999999999</v>
      </c>
      <c r="AV157" s="176">
        <v>10.7</v>
      </c>
      <c r="AW157" s="173">
        <f t="shared" ca="1" si="28"/>
        <v>43</v>
      </c>
      <c r="AX157" s="142">
        <v>456</v>
      </c>
      <c r="AZ157" s="142" t="s">
        <v>123</v>
      </c>
    </row>
    <row r="158" spans="2:52" s="142" customFormat="1" ht="21" customHeight="1" x14ac:dyDescent="0.25">
      <c r="B158" s="173" t="str">
        <f t="shared" si="24"/>
        <v>0-304L/2B-1.00X644</v>
      </c>
      <c r="C158" s="201" t="s">
        <v>4764</v>
      </c>
      <c r="D158" s="173" t="s">
        <v>836</v>
      </c>
      <c r="E158" s="190" t="s">
        <v>1686</v>
      </c>
      <c r="F158" s="201" t="s">
        <v>4397</v>
      </c>
      <c r="G158" s="173" t="s">
        <v>182</v>
      </c>
      <c r="H158" s="173" t="s">
        <v>114</v>
      </c>
      <c r="I158" s="174">
        <v>2.79</v>
      </c>
      <c r="J158" s="174">
        <v>1</v>
      </c>
      <c r="K158" s="203">
        <v>0.99</v>
      </c>
      <c r="L158" s="203">
        <v>1.01</v>
      </c>
      <c r="M158" s="191">
        <v>644</v>
      </c>
      <c r="N158" s="176">
        <v>9.1999999999999993</v>
      </c>
      <c r="O158" s="176">
        <v>9.19</v>
      </c>
      <c r="P158" s="176"/>
      <c r="Q158" s="176">
        <v>0.01</v>
      </c>
      <c r="R158" s="176" t="s">
        <v>114</v>
      </c>
      <c r="S158" s="209"/>
      <c r="T158" s="178" t="s">
        <v>4326</v>
      </c>
      <c r="U158" s="178"/>
      <c r="V158" s="179"/>
      <c r="W158" s="177">
        <v>44933</v>
      </c>
      <c r="X158" s="177"/>
      <c r="Y158" s="177"/>
      <c r="Z158" s="177">
        <v>44935</v>
      </c>
      <c r="AA158" s="177">
        <v>44942</v>
      </c>
      <c r="AB158" s="177"/>
      <c r="AC158" s="177"/>
      <c r="AD158" s="177"/>
      <c r="AE158" s="177"/>
      <c r="AF158" s="177"/>
      <c r="AG158" s="180" t="s">
        <v>1619</v>
      </c>
      <c r="AH158" s="173" t="s">
        <v>69</v>
      </c>
      <c r="AI158" s="181" t="s">
        <v>142</v>
      </c>
      <c r="AJ158" s="181" t="s">
        <v>1657</v>
      </c>
      <c r="AK158" s="181"/>
      <c r="AL158" s="181">
        <v>44849</v>
      </c>
      <c r="AM158" s="181"/>
      <c r="AN158" s="181">
        <f t="shared" ca="1" si="25"/>
        <v>44958</v>
      </c>
      <c r="AO158" s="173">
        <f t="shared" ca="1" si="26"/>
        <v>109</v>
      </c>
      <c r="AP158" s="173">
        <f t="shared" ca="1" si="27"/>
        <v>16</v>
      </c>
      <c r="AQ158" s="181"/>
      <c r="AR158" s="190" t="s">
        <v>1689</v>
      </c>
      <c r="AS158" s="176">
        <v>10.725</v>
      </c>
      <c r="AT158" s="176">
        <v>10.734999999999999</v>
      </c>
      <c r="AU158" s="176">
        <v>10.759999999999998</v>
      </c>
      <c r="AV158" s="176">
        <v>10.764999999999999</v>
      </c>
      <c r="AW158" s="173" t="str">
        <f t="shared" si="28"/>
        <v/>
      </c>
      <c r="AX158" s="142">
        <v>456</v>
      </c>
      <c r="AZ158" s="142" t="s">
        <v>123</v>
      </c>
    </row>
    <row r="159" spans="2:52" s="142" customFormat="1" ht="21" customHeight="1" x14ac:dyDescent="0.25">
      <c r="B159" s="173" t="str">
        <f>IF(C159="HOLD RM","HOLD RM",IF(C159="BAL","WIP",IF(C159="HOLD SLT","HOLD SLT",IF(C159="MILL","RM",IF(C159="RE SLT","WIP",IF(C159="RM","RM",IF(C159="RM BAL","RM",IF(C159="RM SLT","RM",IF(C159="RR","WIP",IF(C159="SKP","WIP",IF(C159="SLT","WIP",IF(C159="CTL","WIP",IF(C159="RM SLT RUST","RM SLT RUST",0)))))))))))))&amp;"-"&amp;G159&amp;"/"&amp;IF(H159="2B","2B",IF(H159="NO.1","1D",IF(H159="FH","FH",0)))&amp;"-"&amp;IF(J159="",(TEXT(I159,"0.00")),TEXT(J159,"0.00"))&amp;"X"&amp;M159</f>
        <v>0-304L/2B-0.80X778</v>
      </c>
      <c r="C159" s="201" t="s">
        <v>4768</v>
      </c>
      <c r="D159" s="173" t="s">
        <v>4432</v>
      </c>
      <c r="E159" s="190" t="s">
        <v>4105</v>
      </c>
      <c r="F159" s="201" t="s">
        <v>4769</v>
      </c>
      <c r="G159" s="173" t="s">
        <v>182</v>
      </c>
      <c r="H159" s="173" t="s">
        <v>114</v>
      </c>
      <c r="I159" s="174">
        <v>2.82</v>
      </c>
      <c r="J159" s="174">
        <v>0.8</v>
      </c>
      <c r="K159" s="203">
        <v>0.8</v>
      </c>
      <c r="L159" s="203">
        <v>0.81</v>
      </c>
      <c r="M159" s="191">
        <v>778</v>
      </c>
      <c r="N159" s="176">
        <v>8.9649999999999999</v>
      </c>
      <c r="O159" s="176">
        <f>4.01+4.915</f>
        <v>8.9250000000000007</v>
      </c>
      <c r="P159" s="176"/>
      <c r="Q159" s="176">
        <v>0.04</v>
      </c>
      <c r="R159" s="176" t="s">
        <v>114</v>
      </c>
      <c r="S159" s="209" t="s">
        <v>4724</v>
      </c>
      <c r="T159" s="178" t="s">
        <v>4770</v>
      </c>
      <c r="U159" s="178"/>
      <c r="V159" s="179"/>
      <c r="W159" s="177">
        <v>44941</v>
      </c>
      <c r="X159" s="177"/>
      <c r="Y159" s="177">
        <v>44941</v>
      </c>
      <c r="Z159" s="177"/>
      <c r="AA159" s="177"/>
      <c r="AB159" s="177"/>
      <c r="AC159" s="177"/>
      <c r="AD159" s="177"/>
      <c r="AE159" s="177"/>
      <c r="AF159" s="177"/>
      <c r="AG159" s="180" t="s">
        <v>2448</v>
      </c>
      <c r="AH159" s="173" t="s">
        <v>69</v>
      </c>
      <c r="AI159" s="181" t="s">
        <v>142</v>
      </c>
      <c r="AJ159" s="181" t="s">
        <v>1584</v>
      </c>
      <c r="AK159" s="181"/>
      <c r="AL159" s="181">
        <v>44914</v>
      </c>
      <c r="AM159" s="181"/>
      <c r="AN159" s="181">
        <f ca="1">TODAY()</f>
        <v>44958</v>
      </c>
      <c r="AO159" s="173">
        <f ca="1">IF(AL159&lt;&gt;0,AN159-AL159,0)</f>
        <v>44</v>
      </c>
      <c r="AP159" s="173" t="str">
        <f>IF(ISNUMBER(AA159)=TRUE,AN159-AA159,IF(AA159="","",(AN159)-(MID(RIGHT(AA159,10),4,2)&amp;"/"&amp;LEFT((RIGHT(AA159,10)),2)&amp;"/"&amp;RIGHT(AA159,4))))</f>
        <v/>
      </c>
      <c r="AQ159" s="181"/>
      <c r="AR159" s="190" t="s">
        <v>4107</v>
      </c>
      <c r="AS159" s="176">
        <v>8.9849999999999994</v>
      </c>
      <c r="AT159" s="176">
        <v>8.9949999999999992</v>
      </c>
      <c r="AU159" s="176">
        <v>9.0199999999999978</v>
      </c>
      <c r="AV159" s="176">
        <v>9.0249999999999986</v>
      </c>
      <c r="AW159" s="173">
        <f t="shared" ca="1" si="28"/>
        <v>17</v>
      </c>
      <c r="AX159" s="142">
        <v>462</v>
      </c>
      <c r="AZ159" s="142" t="s">
        <v>123</v>
      </c>
    </row>
    <row r="160" spans="2:52" s="142" customFormat="1" ht="21" customHeight="1" x14ac:dyDescent="0.25">
      <c r="B160" s="173" t="str">
        <f>IF(C160="HOLD RM","HOLD RM",IF(C160="BAL","WIP",IF(C160="HOLD SLT","HOLD SLT",IF(C160="MILL","RM",IF(C160="RE SLT","WIP",IF(C160="RM","RM",IF(C160="RM BAL","RM",IF(C160="RM SLT","RM",IF(C160="RR","WIP",IF(C160="SKP","WIP",IF(C160="SLT","WIP",IF(C160="CTL","WIP",IF(C160="RM SLT RUST","RM SLT RUST",0)))))))))))))&amp;"-"&amp;G160&amp;"/"&amp;IF(H160="2B","2B",IF(H160="NO.1","1D",IF(H160="FH","FH",0)))&amp;"-"&amp;IF(J160="",(TEXT(I160,"0.00")),TEXT(J160,"0.00"))&amp;"X"&amp;M160</f>
        <v>0-304L/2B-0.80X767</v>
      </c>
      <c r="C160" s="201" t="s">
        <v>4768</v>
      </c>
      <c r="D160" s="173" t="s">
        <v>4432</v>
      </c>
      <c r="E160" s="190" t="s">
        <v>4094</v>
      </c>
      <c r="F160" s="201" t="s">
        <v>4771</v>
      </c>
      <c r="G160" s="173" t="s">
        <v>182</v>
      </c>
      <c r="H160" s="173" t="s">
        <v>114</v>
      </c>
      <c r="I160" s="174">
        <v>2.89</v>
      </c>
      <c r="J160" s="174">
        <v>0.8</v>
      </c>
      <c r="K160" s="203">
        <v>0.78</v>
      </c>
      <c r="L160" s="203">
        <v>0.8</v>
      </c>
      <c r="M160" s="191">
        <v>767</v>
      </c>
      <c r="N160" s="176">
        <v>8.4499999999999993</v>
      </c>
      <c r="O160" s="176">
        <f>4.27+4.145</f>
        <v>8.4149999999999991</v>
      </c>
      <c r="P160" s="176"/>
      <c r="Q160" s="176">
        <v>3.5000000000000003E-2</v>
      </c>
      <c r="R160" s="176" t="s">
        <v>114</v>
      </c>
      <c r="S160" s="209" t="s">
        <v>4724</v>
      </c>
      <c r="T160" s="178" t="s">
        <v>1344</v>
      </c>
      <c r="U160" s="178"/>
      <c r="V160" s="179"/>
      <c r="W160" s="177">
        <v>44940</v>
      </c>
      <c r="X160" s="177"/>
      <c r="Y160" s="177">
        <v>44941</v>
      </c>
      <c r="Z160" s="177"/>
      <c r="AA160" s="177"/>
      <c r="AB160" s="177"/>
      <c r="AC160" s="177"/>
      <c r="AD160" s="177"/>
      <c r="AE160" s="177"/>
      <c r="AF160" s="177"/>
      <c r="AG160" s="180" t="s">
        <v>2448</v>
      </c>
      <c r="AH160" s="173" t="s">
        <v>69</v>
      </c>
      <c r="AI160" s="181" t="s">
        <v>142</v>
      </c>
      <c r="AJ160" s="181" t="s">
        <v>1584</v>
      </c>
      <c r="AK160" s="181"/>
      <c r="AL160" s="181">
        <v>44914</v>
      </c>
      <c r="AM160" s="181"/>
      <c r="AN160" s="181">
        <f ca="1">TODAY()</f>
        <v>44958</v>
      </c>
      <c r="AO160" s="173">
        <f ca="1">IF(AL160&lt;&gt;0,AN160-AL160,0)</f>
        <v>44</v>
      </c>
      <c r="AP160" s="173" t="str">
        <f>IF(ISNUMBER(AA160)=TRUE,AN160-AA160,IF(AA160="","",(AN160)-(MID(RIGHT(AA160,10),4,2)&amp;"/"&amp;LEFT((RIGHT(AA160,10)),2)&amp;"/"&amp;RIGHT(AA160,4))))</f>
        <v/>
      </c>
      <c r="AQ160" s="181"/>
      <c r="AR160" s="190" t="s">
        <v>4096</v>
      </c>
      <c r="AS160" s="176">
        <v>8.4649999999999999</v>
      </c>
      <c r="AT160" s="176">
        <v>8.4749999999999996</v>
      </c>
      <c r="AU160" s="176">
        <v>8.4999999999999982</v>
      </c>
      <c r="AV160" s="176">
        <v>8.504999999999999</v>
      </c>
      <c r="AW160" s="173">
        <f t="shared" ca="1" si="28"/>
        <v>17</v>
      </c>
      <c r="AX160" s="142">
        <v>462</v>
      </c>
      <c r="AZ160" s="142" t="s">
        <v>123</v>
      </c>
    </row>
    <row r="161" spans="2:52" s="142" customFormat="1" ht="21" customHeight="1" x14ac:dyDescent="0.25">
      <c r="B161" s="173" t="str">
        <f>IF(C161="HOLD RM","HOLD RM",IF(C161="BAL","WIP",IF(C161="HOLD SLT","HOLD SLT",IF(C161="MILL","RM",IF(C161="RE SLT","WIP",IF(C161="RM","RM",IF(C161="RM BAL","RM",IF(C161="RM SLT","RM",IF(C161="RR","WIP",IF(C161="SKP","WIP",IF(C161="SLT","WIP",IF(C161="CTL","WIP",IF(C161="RM SLT RUST","RM SLT RUST",0)))))))))))))&amp;"-"&amp;G161&amp;"/"&amp;IF(H161="2B","2B",IF(H161="NO.1","1D",IF(H161="FH","FH",0)))&amp;"-"&amp;IF(J161="",(TEXT(I161,"0.00")),TEXT(J161,"0.00"))&amp;"X"&amp;M161</f>
        <v>0-304L/2B-0.95X762</v>
      </c>
      <c r="C161" s="201" t="s">
        <v>4768</v>
      </c>
      <c r="D161" s="173" t="s">
        <v>4432</v>
      </c>
      <c r="E161" s="190" t="s">
        <v>4772</v>
      </c>
      <c r="F161" s="201" t="s">
        <v>4773</v>
      </c>
      <c r="G161" s="173" t="s">
        <v>182</v>
      </c>
      <c r="H161" s="173" t="s">
        <v>114</v>
      </c>
      <c r="I161" s="174">
        <v>3</v>
      </c>
      <c r="J161" s="174">
        <v>0.95</v>
      </c>
      <c r="K161" s="203">
        <v>0.94</v>
      </c>
      <c r="L161" s="203">
        <v>0.96</v>
      </c>
      <c r="M161" s="191">
        <v>762</v>
      </c>
      <c r="N161" s="176">
        <v>10.45</v>
      </c>
      <c r="O161" s="176">
        <f>5.135+5.285</f>
        <v>10.42</v>
      </c>
      <c r="P161" s="176"/>
      <c r="Q161" s="176">
        <v>0.03</v>
      </c>
      <c r="R161" s="176" t="s">
        <v>114</v>
      </c>
      <c r="S161" s="209" t="s">
        <v>4753</v>
      </c>
      <c r="T161" s="178" t="s">
        <v>1344</v>
      </c>
      <c r="U161" s="178"/>
      <c r="V161" s="179"/>
      <c r="W161" s="177">
        <v>44924</v>
      </c>
      <c r="X161" s="177"/>
      <c r="Y161" s="177">
        <v>44925</v>
      </c>
      <c r="Z161" s="177"/>
      <c r="AA161" s="177"/>
      <c r="AB161" s="177"/>
      <c r="AC161" s="177"/>
      <c r="AD161" s="177"/>
      <c r="AE161" s="177"/>
      <c r="AF161" s="177"/>
      <c r="AG161" s="180" t="s">
        <v>2479</v>
      </c>
      <c r="AH161" s="173" t="s">
        <v>69</v>
      </c>
      <c r="AI161" s="181" t="s">
        <v>142</v>
      </c>
      <c r="AJ161" s="181" t="s">
        <v>1584</v>
      </c>
      <c r="AK161" s="181"/>
      <c r="AL161" s="181">
        <v>44914</v>
      </c>
      <c r="AM161" s="181"/>
      <c r="AN161" s="181">
        <f ca="1">TODAY()</f>
        <v>44958</v>
      </c>
      <c r="AO161" s="173">
        <f ca="1">IF(AL161&lt;&gt;0,AN161-AL161,0)</f>
        <v>44</v>
      </c>
      <c r="AP161" s="173" t="str">
        <f>IF(ISNUMBER(AA161)=TRUE,AN161-AA161,IF(AA161="","",(AN161)-(MID(RIGHT(AA161,10),4,2)&amp;"/"&amp;LEFT((RIGHT(AA161,10)),2)&amp;"/"&amp;RIGHT(AA161,4))))</f>
        <v/>
      </c>
      <c r="AQ161" s="181"/>
      <c r="AR161" s="190" t="s">
        <v>4774</v>
      </c>
      <c r="AS161" s="176">
        <v>10.475</v>
      </c>
      <c r="AT161" s="176">
        <v>10.484999999999999</v>
      </c>
      <c r="AU161" s="176">
        <v>10.509999999999998</v>
      </c>
      <c r="AV161" s="176">
        <v>10.514999999999999</v>
      </c>
      <c r="AW161" s="173">
        <f t="shared" ca="1" si="28"/>
        <v>33</v>
      </c>
      <c r="AX161" s="142">
        <v>462</v>
      </c>
      <c r="AZ161" s="142" t="s">
        <v>123</v>
      </c>
    </row>
    <row r="162" spans="2:52" s="142" customFormat="1" ht="21" customHeight="1" x14ac:dyDescent="0.25">
      <c r="B162" s="173" t="str">
        <f>IF(C162="HOLD RM","HOLD RM",IF(C162="BAL","WIP",IF(C162="HOLD SLT","HOLD SLT",IF(C162="MILL","RM",IF(C162="RE SLT","WIP",IF(C162="RM","RM",IF(C162="RM BAL","RM",IF(C162="RM SLT","RM",IF(C162="RR","WIP",IF(C162="SKP","WIP",IF(C162="SLT","WIP",IF(C162="CTL","WIP",IF(C162="RM SLT RUST","RM SLT RUST",0)))))))))))))&amp;"-"&amp;G162&amp;"/"&amp;IF(H162="2B","2B",IF(H162="NO.1","1D",IF(H162="FH","FH",0)))&amp;"-"&amp;IF(J162="",(TEXT(I162,"0.00")),TEXT(J162,"0.00"))&amp;"X"&amp;M162</f>
        <v>0-304/2B-1.00X765</v>
      </c>
      <c r="C162" s="201" t="s">
        <v>4768</v>
      </c>
      <c r="D162" s="173" t="s">
        <v>4432</v>
      </c>
      <c r="E162" s="190" t="s">
        <v>4775</v>
      </c>
      <c r="F162" s="201" t="s">
        <v>4776</v>
      </c>
      <c r="G162" s="173">
        <v>304</v>
      </c>
      <c r="H162" s="173" t="s">
        <v>114</v>
      </c>
      <c r="I162" s="174">
        <v>2.89</v>
      </c>
      <c r="J162" s="174">
        <v>1</v>
      </c>
      <c r="K162" s="203">
        <v>0.98</v>
      </c>
      <c r="L162" s="203">
        <v>0.99</v>
      </c>
      <c r="M162" s="191">
        <v>765</v>
      </c>
      <c r="N162" s="176">
        <v>11.8</v>
      </c>
      <c r="O162" s="176">
        <f>3.925+3.93+3.97</f>
        <v>11.825000000000001</v>
      </c>
      <c r="P162" s="176"/>
      <c r="Q162" s="176"/>
      <c r="R162" s="176" t="s">
        <v>114</v>
      </c>
      <c r="S162" s="209" t="s">
        <v>4777</v>
      </c>
      <c r="T162" s="178" t="s">
        <v>4378</v>
      </c>
      <c r="U162" s="178"/>
      <c r="V162" s="179"/>
      <c r="W162" s="177">
        <v>44903</v>
      </c>
      <c r="X162" s="177"/>
      <c r="Y162" s="177">
        <v>44904</v>
      </c>
      <c r="Z162" s="177"/>
      <c r="AA162" s="177"/>
      <c r="AB162" s="177"/>
      <c r="AC162" s="177"/>
      <c r="AD162" s="177"/>
      <c r="AE162" s="177"/>
      <c r="AF162" s="177"/>
      <c r="AG162" s="180" t="s">
        <v>1609</v>
      </c>
      <c r="AH162" s="173" t="s">
        <v>69</v>
      </c>
      <c r="AI162" s="181" t="s">
        <v>142</v>
      </c>
      <c r="AJ162" s="181" t="s">
        <v>2283</v>
      </c>
      <c r="AK162" s="181"/>
      <c r="AL162" s="181">
        <v>44880</v>
      </c>
      <c r="AM162" s="181"/>
      <c r="AN162" s="181">
        <f ca="1">TODAY()</f>
        <v>44958</v>
      </c>
      <c r="AO162" s="173">
        <f ca="1">IF(AL162&lt;&gt;0,AN162-AL162,0)</f>
        <v>78</v>
      </c>
      <c r="AP162" s="173" t="str">
        <f>IF(ISNUMBER(AA162)=TRUE,AN162-AA162,IF(AA162="","",(AN162)-(MID(RIGHT(AA162,10),4,2)&amp;"/"&amp;LEFT((RIGHT(AA162,10)),2)&amp;"/"&amp;RIGHT(AA162,4))))</f>
        <v/>
      </c>
      <c r="AQ162" s="181"/>
      <c r="AR162" s="190" t="s">
        <v>4778</v>
      </c>
      <c r="AS162" s="176">
        <v>11.885</v>
      </c>
      <c r="AT162" s="176">
        <v>11.895</v>
      </c>
      <c r="AU162" s="176">
        <v>11.919999999999998</v>
      </c>
      <c r="AV162" s="176">
        <v>11.924999999999999</v>
      </c>
      <c r="AW162" s="173">
        <f t="shared" ca="1" si="28"/>
        <v>54</v>
      </c>
      <c r="AX162" s="142">
        <v>459</v>
      </c>
      <c r="AZ162" s="142" t="s">
        <v>123</v>
      </c>
    </row>
    <row r="163" spans="2:52" s="142" customFormat="1" ht="21" customHeight="1" x14ac:dyDescent="0.25">
      <c r="B163" s="173" t="str">
        <f t="shared" ref="B163:B226" si="29">IF(C163="HOLD RM","HOLD RM",IF(C163="BAL","WIP",IF(C163="HOLD SLT","HOLD SLT",IF(C163="MILL","RM",IF(C163="RE SLT","WIP",IF(C163="RM","RM",IF(C163="RM BAL","RM",IF(C163="RM SLT","RM",IF(C163="RR","WIP",IF(C163="SKP","WIP",IF(C163="SLT","WIP",IF(C163="CTL","WIP",IF(C163="RM SLT RUST","RM SLT RUST",0)))))))))))))&amp;"-"&amp;G163&amp;"/"&amp;IF(H163="2B","2B",IF(H163="NO.1","1D",IF(H163="FH","FH",0)))&amp;"-"&amp;IF(J163="",(TEXT(I163,"0.00")),TEXT(J163,"0.00"))&amp;"X"&amp;M163</f>
        <v>0-304/2B-1.00X771</v>
      </c>
      <c r="C163" s="201" t="s">
        <v>4779</v>
      </c>
      <c r="D163" s="173" t="s">
        <v>4432</v>
      </c>
      <c r="E163" s="190" t="s">
        <v>4780</v>
      </c>
      <c r="F163" s="201" t="s">
        <v>4781</v>
      </c>
      <c r="G163" s="173">
        <v>304</v>
      </c>
      <c r="H163" s="173" t="s">
        <v>114</v>
      </c>
      <c r="I163" s="174">
        <v>2.87</v>
      </c>
      <c r="J163" s="174">
        <v>1</v>
      </c>
      <c r="K163" s="203">
        <v>1.02</v>
      </c>
      <c r="L163" s="203">
        <v>1.03</v>
      </c>
      <c r="M163" s="191">
        <v>771</v>
      </c>
      <c r="N163" s="349">
        <v>11.62</v>
      </c>
      <c r="O163" s="176">
        <v>5.665</v>
      </c>
      <c r="P163" s="176"/>
      <c r="Q163" s="176"/>
      <c r="R163" s="176" t="s">
        <v>114</v>
      </c>
      <c r="S163" s="209" t="s">
        <v>4777</v>
      </c>
      <c r="T163" s="178" t="s">
        <v>4378</v>
      </c>
      <c r="U163" s="178"/>
      <c r="V163" s="179"/>
      <c r="W163" s="177">
        <v>44903</v>
      </c>
      <c r="X163" s="177"/>
      <c r="Y163" s="177">
        <v>44903</v>
      </c>
      <c r="Z163" s="177"/>
      <c r="AA163" s="177"/>
      <c r="AB163" s="177"/>
      <c r="AC163" s="177"/>
      <c r="AD163" s="177"/>
      <c r="AE163" s="177"/>
      <c r="AF163" s="177"/>
      <c r="AG163" s="180" t="s">
        <v>1609</v>
      </c>
      <c r="AH163" s="173" t="s">
        <v>69</v>
      </c>
      <c r="AI163" s="181" t="s">
        <v>142</v>
      </c>
      <c r="AJ163" s="181" t="s">
        <v>1653</v>
      </c>
      <c r="AK163" s="181"/>
      <c r="AL163" s="181">
        <v>44880</v>
      </c>
      <c r="AM163" s="181"/>
      <c r="AN163" s="181">
        <f t="shared" ref="AN163:AN226" ca="1" si="30">TODAY()</f>
        <v>44958</v>
      </c>
      <c r="AO163" s="173">
        <f t="shared" ref="AO163:AO208" ca="1" si="31">IF(AL163&lt;&gt;0,AN163-AL163,0)</f>
        <v>78</v>
      </c>
      <c r="AP163" s="173" t="str">
        <f t="shared" ref="AP163:AP226" si="32">IF(ISNUMBER(AA163)=TRUE,AN163-AA163,IF(AA163="","",(AN163)-(MID(RIGHT(AA163,10),4,2)&amp;"/"&amp;LEFT((RIGHT(AA163,10)),2)&amp;"/"&amp;RIGHT(AA163,4))))</f>
        <v/>
      </c>
      <c r="AQ163" s="181"/>
      <c r="AR163" s="190" t="s">
        <v>4782</v>
      </c>
      <c r="AS163" s="176">
        <v>11.654999999999999</v>
      </c>
      <c r="AT163" s="176">
        <v>11.664999999999999</v>
      </c>
      <c r="AU163" s="176">
        <v>11.689999999999998</v>
      </c>
      <c r="AV163" s="176">
        <v>11.694999999999999</v>
      </c>
      <c r="AW163" s="173">
        <f t="shared" ca="1" si="28"/>
        <v>55</v>
      </c>
      <c r="AX163" s="142">
        <v>459</v>
      </c>
      <c r="AZ163" s="142" t="s">
        <v>123</v>
      </c>
    </row>
    <row r="164" spans="2:52" s="142" customFormat="1" ht="21" customHeight="1" x14ac:dyDescent="0.25">
      <c r="B164" s="173" t="str">
        <f t="shared" si="29"/>
        <v>0-304/2B-1.00X771</v>
      </c>
      <c r="C164" s="201" t="s">
        <v>4783</v>
      </c>
      <c r="D164" s="173" t="s">
        <v>836</v>
      </c>
      <c r="E164" s="190" t="s">
        <v>4780</v>
      </c>
      <c r="F164" s="201" t="s">
        <v>4784</v>
      </c>
      <c r="G164" s="173">
        <v>304</v>
      </c>
      <c r="H164" s="173" t="s">
        <v>114</v>
      </c>
      <c r="I164" s="174">
        <v>2.87</v>
      </c>
      <c r="J164" s="174">
        <v>1</v>
      </c>
      <c r="K164" s="203">
        <v>1.02</v>
      </c>
      <c r="L164" s="203">
        <v>1.03</v>
      </c>
      <c r="M164" s="191">
        <v>771</v>
      </c>
      <c r="N164" s="350"/>
      <c r="O164" s="176">
        <v>5.9349999999999996</v>
      </c>
      <c r="P164" s="176"/>
      <c r="Q164" s="176">
        <v>0.02</v>
      </c>
      <c r="R164" s="176" t="s">
        <v>114</v>
      </c>
      <c r="S164" s="209"/>
      <c r="T164" s="178" t="s">
        <v>4378</v>
      </c>
      <c r="U164" s="178"/>
      <c r="V164" s="179"/>
      <c r="W164" s="177">
        <v>44903</v>
      </c>
      <c r="X164" s="177"/>
      <c r="Y164" s="177">
        <v>44903</v>
      </c>
      <c r="Z164" s="177"/>
      <c r="AA164" s="177">
        <v>44943</v>
      </c>
      <c r="AB164" s="177"/>
      <c r="AC164" s="177"/>
      <c r="AD164" s="177"/>
      <c r="AE164" s="177"/>
      <c r="AF164" s="177"/>
      <c r="AG164" s="180" t="s">
        <v>1609</v>
      </c>
      <c r="AH164" s="173" t="s">
        <v>69</v>
      </c>
      <c r="AI164" s="181" t="s">
        <v>142</v>
      </c>
      <c r="AJ164" s="181" t="s">
        <v>1653</v>
      </c>
      <c r="AK164" s="181"/>
      <c r="AL164" s="181">
        <v>44880</v>
      </c>
      <c r="AM164" s="181"/>
      <c r="AN164" s="181">
        <f t="shared" ca="1" si="30"/>
        <v>44958</v>
      </c>
      <c r="AO164" s="173">
        <f t="shared" ca="1" si="31"/>
        <v>78</v>
      </c>
      <c r="AP164" s="173">
        <f t="shared" ca="1" si="32"/>
        <v>15</v>
      </c>
      <c r="AQ164" s="181"/>
      <c r="AR164" s="190" t="s">
        <v>4782</v>
      </c>
      <c r="AS164" s="176">
        <v>11.654999999999999</v>
      </c>
      <c r="AT164" s="176">
        <v>11.664999999999999</v>
      </c>
      <c r="AU164" s="176">
        <v>11.689999999999998</v>
      </c>
      <c r="AV164" s="176">
        <v>11.694999999999999</v>
      </c>
      <c r="AW164" s="173">
        <f t="shared" ca="1" si="28"/>
        <v>55</v>
      </c>
      <c r="AX164" s="142">
        <v>459</v>
      </c>
      <c r="AZ164" s="142" t="s">
        <v>123</v>
      </c>
    </row>
    <row r="165" spans="2:52" s="142" customFormat="1" ht="21" customHeight="1" x14ac:dyDescent="0.25">
      <c r="B165" s="173" t="str">
        <f t="shared" si="29"/>
        <v>0-304L/2B-0.50X642</v>
      </c>
      <c r="C165" s="201" t="s">
        <v>4783</v>
      </c>
      <c r="D165" s="173" t="s">
        <v>836</v>
      </c>
      <c r="E165" s="190" t="s">
        <v>4411</v>
      </c>
      <c r="F165" s="201" t="s">
        <v>4412</v>
      </c>
      <c r="G165" s="173" t="s">
        <v>182</v>
      </c>
      <c r="H165" s="173" t="s">
        <v>114</v>
      </c>
      <c r="I165" s="174">
        <v>2.5</v>
      </c>
      <c r="J165" s="174">
        <v>0.5</v>
      </c>
      <c r="K165" s="203">
        <v>0.48</v>
      </c>
      <c r="L165" s="203">
        <v>0.5</v>
      </c>
      <c r="M165" s="191">
        <v>642</v>
      </c>
      <c r="N165" s="176">
        <v>10.545</v>
      </c>
      <c r="O165" s="176">
        <v>10.5</v>
      </c>
      <c r="P165" s="176"/>
      <c r="Q165" s="176">
        <v>0.04</v>
      </c>
      <c r="R165" s="176" t="s">
        <v>114</v>
      </c>
      <c r="S165" s="209"/>
      <c r="T165" s="178" t="s">
        <v>1344</v>
      </c>
      <c r="U165" s="178"/>
      <c r="V165" s="179"/>
      <c r="W165" s="177">
        <v>44914</v>
      </c>
      <c r="X165" s="177"/>
      <c r="Y165" s="177"/>
      <c r="Z165" s="177">
        <v>44942</v>
      </c>
      <c r="AA165" s="177">
        <v>44943</v>
      </c>
      <c r="AB165" s="177"/>
      <c r="AC165" s="177">
        <v>44942</v>
      </c>
      <c r="AD165" s="177"/>
      <c r="AE165" s="177"/>
      <c r="AF165" s="177"/>
      <c r="AG165" s="180" t="s">
        <v>1619</v>
      </c>
      <c r="AH165" s="173" t="s">
        <v>69</v>
      </c>
      <c r="AI165" s="181" t="s">
        <v>142</v>
      </c>
      <c r="AJ165" s="181" t="s">
        <v>1594</v>
      </c>
      <c r="AK165" s="181"/>
      <c r="AL165" s="181">
        <v>44849</v>
      </c>
      <c r="AM165" s="181"/>
      <c r="AN165" s="181">
        <f t="shared" ca="1" si="30"/>
        <v>44958</v>
      </c>
      <c r="AO165" s="173">
        <f t="shared" ca="1" si="31"/>
        <v>109</v>
      </c>
      <c r="AP165" s="173">
        <f t="shared" ca="1" si="32"/>
        <v>15</v>
      </c>
      <c r="AQ165" s="181"/>
      <c r="AR165" s="190" t="s">
        <v>4410</v>
      </c>
      <c r="AS165" s="176">
        <v>10.545</v>
      </c>
      <c r="AT165" s="176">
        <v>10.555</v>
      </c>
      <c r="AU165" s="176">
        <v>10.579999999999998</v>
      </c>
      <c r="AV165" s="176">
        <v>10.584999999999999</v>
      </c>
      <c r="AW165" s="173" t="str">
        <f t="shared" si="28"/>
        <v/>
      </c>
      <c r="AX165" s="142">
        <v>456</v>
      </c>
      <c r="AZ165" s="142" t="s">
        <v>123</v>
      </c>
    </row>
    <row r="166" spans="2:52" s="142" customFormat="1" ht="21" customHeight="1" x14ac:dyDescent="0.25">
      <c r="B166" s="173" t="str">
        <f t="shared" si="29"/>
        <v>0-304L/2B-0.50X642</v>
      </c>
      <c r="C166" s="201" t="s">
        <v>4783</v>
      </c>
      <c r="D166" s="173" t="s">
        <v>836</v>
      </c>
      <c r="E166" s="190" t="s">
        <v>4408</v>
      </c>
      <c r="F166" s="201" t="s">
        <v>4409</v>
      </c>
      <c r="G166" s="173" t="s">
        <v>182</v>
      </c>
      <c r="H166" s="173" t="s">
        <v>114</v>
      </c>
      <c r="I166" s="174">
        <v>2.5</v>
      </c>
      <c r="J166" s="174">
        <v>0.5</v>
      </c>
      <c r="K166" s="203">
        <v>0.48</v>
      </c>
      <c r="L166" s="203">
        <v>0.5</v>
      </c>
      <c r="M166" s="191">
        <v>642</v>
      </c>
      <c r="N166" s="176">
        <v>10.465</v>
      </c>
      <c r="O166" s="176">
        <v>10.414999999999999</v>
      </c>
      <c r="P166" s="176"/>
      <c r="Q166" s="176">
        <v>0.05</v>
      </c>
      <c r="R166" s="176" t="s">
        <v>114</v>
      </c>
      <c r="S166" s="209"/>
      <c r="T166" s="178" t="s">
        <v>1344</v>
      </c>
      <c r="U166" s="178"/>
      <c r="V166" s="179"/>
      <c r="W166" s="177">
        <v>44913</v>
      </c>
      <c r="X166" s="177"/>
      <c r="Y166" s="177"/>
      <c r="Z166" s="177">
        <v>44942</v>
      </c>
      <c r="AA166" s="177">
        <v>44943</v>
      </c>
      <c r="AB166" s="177"/>
      <c r="AC166" s="177">
        <v>44942</v>
      </c>
      <c r="AD166" s="177"/>
      <c r="AE166" s="177"/>
      <c r="AF166" s="177"/>
      <c r="AG166" s="180" t="s">
        <v>1619</v>
      </c>
      <c r="AH166" s="173" t="s">
        <v>69</v>
      </c>
      <c r="AI166" s="181" t="s">
        <v>142</v>
      </c>
      <c r="AJ166" s="181" t="s">
        <v>1594</v>
      </c>
      <c r="AK166" s="181"/>
      <c r="AL166" s="181">
        <v>44849</v>
      </c>
      <c r="AM166" s="181"/>
      <c r="AN166" s="181">
        <f t="shared" ca="1" si="30"/>
        <v>44958</v>
      </c>
      <c r="AO166" s="173">
        <f t="shared" ca="1" si="31"/>
        <v>109</v>
      </c>
      <c r="AP166" s="173">
        <f t="shared" ca="1" si="32"/>
        <v>15</v>
      </c>
      <c r="AQ166" s="181"/>
      <c r="AR166" s="190" t="s">
        <v>4410</v>
      </c>
      <c r="AS166" s="176">
        <v>10.545</v>
      </c>
      <c r="AT166" s="176">
        <v>10.555</v>
      </c>
      <c r="AU166" s="176">
        <v>10.579999999999998</v>
      </c>
      <c r="AV166" s="176">
        <v>10.584999999999999</v>
      </c>
      <c r="AW166" s="173" t="str">
        <f t="shared" si="28"/>
        <v/>
      </c>
      <c r="AX166" s="142">
        <v>456</v>
      </c>
      <c r="AZ166" s="142" t="s">
        <v>123</v>
      </c>
    </row>
    <row r="167" spans="2:52" s="142" customFormat="1" ht="21" customHeight="1" x14ac:dyDescent="0.25">
      <c r="B167" s="173" t="str">
        <f t="shared" si="29"/>
        <v>0-304L/2B-0.40X644</v>
      </c>
      <c r="C167" s="201" t="s">
        <v>4783</v>
      </c>
      <c r="D167" s="173" t="s">
        <v>836</v>
      </c>
      <c r="E167" s="190" t="s">
        <v>1772</v>
      </c>
      <c r="F167" s="201" t="s">
        <v>4413</v>
      </c>
      <c r="G167" s="173" t="s">
        <v>182</v>
      </c>
      <c r="H167" s="173" t="s">
        <v>114</v>
      </c>
      <c r="I167" s="174">
        <v>2.4900000000000002</v>
      </c>
      <c r="J167" s="174">
        <v>0.4</v>
      </c>
      <c r="K167" s="203">
        <v>0.37</v>
      </c>
      <c r="L167" s="203">
        <v>0.39</v>
      </c>
      <c r="M167" s="191">
        <v>644</v>
      </c>
      <c r="N167" s="176">
        <v>10.585000000000001</v>
      </c>
      <c r="O167" s="176">
        <v>10.574999999999999</v>
      </c>
      <c r="P167" s="176"/>
      <c r="Q167" s="176">
        <v>0.01</v>
      </c>
      <c r="R167" s="176" t="s">
        <v>114</v>
      </c>
      <c r="S167" s="209"/>
      <c r="T167" s="178" t="s">
        <v>1344</v>
      </c>
      <c r="U167" s="178"/>
      <c r="V167" s="179"/>
      <c r="W167" s="177">
        <v>44915</v>
      </c>
      <c r="X167" s="177"/>
      <c r="Y167" s="177"/>
      <c r="Z167" s="177">
        <v>44942</v>
      </c>
      <c r="AA167" s="177">
        <v>44943</v>
      </c>
      <c r="AB167" s="177"/>
      <c r="AC167" s="177"/>
      <c r="AD167" s="177"/>
      <c r="AE167" s="177"/>
      <c r="AF167" s="177"/>
      <c r="AG167" s="180" t="s">
        <v>1619</v>
      </c>
      <c r="AH167" s="173" t="s">
        <v>69</v>
      </c>
      <c r="AI167" s="181" t="s">
        <v>142</v>
      </c>
      <c r="AJ167" s="181" t="s">
        <v>1657</v>
      </c>
      <c r="AK167" s="181"/>
      <c r="AL167" s="181">
        <v>44849</v>
      </c>
      <c r="AM167" s="181"/>
      <c r="AN167" s="181">
        <f t="shared" ca="1" si="30"/>
        <v>44958</v>
      </c>
      <c r="AO167" s="173">
        <f t="shared" ca="1" si="31"/>
        <v>109</v>
      </c>
      <c r="AP167" s="173">
        <f t="shared" ca="1" si="32"/>
        <v>15</v>
      </c>
      <c r="AQ167" s="181"/>
      <c r="AR167" s="190" t="s">
        <v>1775</v>
      </c>
      <c r="AS167" s="176">
        <v>10.64</v>
      </c>
      <c r="AT167" s="176">
        <v>10.65</v>
      </c>
      <c r="AU167" s="176">
        <v>10.674999999999999</v>
      </c>
      <c r="AV167" s="176">
        <v>10.68</v>
      </c>
      <c r="AW167" s="173" t="str">
        <f t="shared" si="28"/>
        <v/>
      </c>
      <c r="AX167" s="142">
        <v>456</v>
      </c>
      <c r="AZ167" s="142" t="s">
        <v>123</v>
      </c>
    </row>
    <row r="168" spans="2:52" s="142" customFormat="1" ht="21" customHeight="1" x14ac:dyDescent="0.25">
      <c r="B168" s="173" t="str">
        <f t="shared" si="29"/>
        <v>0-304/2B-0.90X765</v>
      </c>
      <c r="C168" s="201" t="s">
        <v>4779</v>
      </c>
      <c r="D168" s="173" t="s">
        <v>4432</v>
      </c>
      <c r="E168" s="190" t="s">
        <v>4785</v>
      </c>
      <c r="F168" s="201" t="s">
        <v>4786</v>
      </c>
      <c r="G168" s="173">
        <v>304</v>
      </c>
      <c r="H168" s="173" t="s">
        <v>114</v>
      </c>
      <c r="I168" s="174">
        <v>2.87</v>
      </c>
      <c r="J168" s="174">
        <v>0.9</v>
      </c>
      <c r="K168" s="203">
        <v>0.88</v>
      </c>
      <c r="L168" s="203">
        <v>0.9</v>
      </c>
      <c r="M168" s="191">
        <v>765</v>
      </c>
      <c r="N168" s="176">
        <v>11.6</v>
      </c>
      <c r="O168" s="176">
        <f>5.73+5.875</f>
        <v>11.605</v>
      </c>
      <c r="P168" s="176"/>
      <c r="Q168" s="176">
        <v>5.0000000000000001E-3</v>
      </c>
      <c r="R168" s="176" t="s">
        <v>114</v>
      </c>
      <c r="S168" s="209" t="s">
        <v>4777</v>
      </c>
      <c r="T168" s="178" t="s">
        <v>4378</v>
      </c>
      <c r="U168" s="178"/>
      <c r="V168" s="179"/>
      <c r="W168" s="177">
        <v>44903</v>
      </c>
      <c r="X168" s="177"/>
      <c r="Y168" s="177">
        <v>44904</v>
      </c>
      <c r="Z168" s="177"/>
      <c r="AA168" s="177"/>
      <c r="AB168" s="177"/>
      <c r="AC168" s="177"/>
      <c r="AD168" s="177"/>
      <c r="AE168" s="177"/>
      <c r="AF168" s="177"/>
      <c r="AG168" s="180" t="s">
        <v>1609</v>
      </c>
      <c r="AH168" s="173" t="s">
        <v>69</v>
      </c>
      <c r="AI168" s="181" t="s">
        <v>142</v>
      </c>
      <c r="AJ168" s="181" t="s">
        <v>1653</v>
      </c>
      <c r="AK168" s="181"/>
      <c r="AL168" s="181">
        <v>44880</v>
      </c>
      <c r="AM168" s="181"/>
      <c r="AN168" s="181">
        <f t="shared" ca="1" si="30"/>
        <v>44958</v>
      </c>
      <c r="AO168" s="173">
        <f t="shared" ca="1" si="31"/>
        <v>78</v>
      </c>
      <c r="AP168" s="173" t="str">
        <f t="shared" si="32"/>
        <v/>
      </c>
      <c r="AQ168" s="181"/>
      <c r="AR168" s="190" t="s">
        <v>4782</v>
      </c>
      <c r="AS168" s="176">
        <v>11.66</v>
      </c>
      <c r="AT168" s="176">
        <v>11.67</v>
      </c>
      <c r="AU168" s="176">
        <v>11.694999999999999</v>
      </c>
      <c r="AV168" s="176">
        <v>11.7</v>
      </c>
      <c r="AW168" s="173">
        <f t="shared" ca="1" si="28"/>
        <v>54</v>
      </c>
      <c r="AX168" s="142">
        <v>459</v>
      </c>
      <c r="AZ168" s="142" t="s">
        <v>123</v>
      </c>
    </row>
    <row r="169" spans="2:52" s="142" customFormat="1" ht="21" customHeight="1" x14ac:dyDescent="0.25">
      <c r="B169" s="173" t="str">
        <f t="shared" si="29"/>
        <v>0-304L/2B-0.90X776</v>
      </c>
      <c r="C169" s="201" t="s">
        <v>4779</v>
      </c>
      <c r="D169" s="173" t="s">
        <v>4432</v>
      </c>
      <c r="E169" s="190" t="s">
        <v>4787</v>
      </c>
      <c r="F169" s="201" t="s">
        <v>4788</v>
      </c>
      <c r="G169" s="173" t="s">
        <v>182</v>
      </c>
      <c r="H169" s="173" t="s">
        <v>114</v>
      </c>
      <c r="I169" s="174">
        <v>2.89</v>
      </c>
      <c r="J169" s="174">
        <v>0.9</v>
      </c>
      <c r="K169" s="203">
        <v>0.9</v>
      </c>
      <c r="L169" s="203">
        <v>0.92</v>
      </c>
      <c r="M169" s="191">
        <v>776</v>
      </c>
      <c r="N169" s="176">
        <v>7.4450000000000003</v>
      </c>
      <c r="O169" s="176">
        <f>3.635+3.8</f>
        <v>7.4349999999999996</v>
      </c>
      <c r="P169" s="176"/>
      <c r="Q169" s="176">
        <v>0.01</v>
      </c>
      <c r="R169" s="176" t="s">
        <v>114</v>
      </c>
      <c r="S169" s="209" t="s">
        <v>4777</v>
      </c>
      <c r="T169" s="178" t="s">
        <v>4378</v>
      </c>
      <c r="U169" s="178"/>
      <c r="V169" s="179"/>
      <c r="W169" s="177">
        <v>44904</v>
      </c>
      <c r="X169" s="177"/>
      <c r="Y169" s="177">
        <v>44905</v>
      </c>
      <c r="Z169" s="177"/>
      <c r="AA169" s="177"/>
      <c r="AB169" s="177"/>
      <c r="AC169" s="177"/>
      <c r="AD169" s="177"/>
      <c r="AE169" s="177"/>
      <c r="AF169" s="177"/>
      <c r="AG169" s="180" t="s">
        <v>4789</v>
      </c>
      <c r="AH169" s="173" t="s">
        <v>69</v>
      </c>
      <c r="AI169" s="181" t="s">
        <v>142</v>
      </c>
      <c r="AJ169" s="181" t="s">
        <v>1657</v>
      </c>
      <c r="AK169" s="181"/>
      <c r="AL169" s="181">
        <v>44849</v>
      </c>
      <c r="AM169" s="181"/>
      <c r="AN169" s="181">
        <f t="shared" ca="1" si="30"/>
        <v>44958</v>
      </c>
      <c r="AO169" s="173">
        <f t="shared" ca="1" si="31"/>
        <v>109</v>
      </c>
      <c r="AP169" s="173" t="str">
        <f t="shared" si="32"/>
        <v/>
      </c>
      <c r="AQ169" s="181"/>
      <c r="AR169" s="190" t="s">
        <v>4790</v>
      </c>
      <c r="AS169" s="176">
        <v>7.49</v>
      </c>
      <c r="AT169" s="176">
        <v>7.5</v>
      </c>
      <c r="AU169" s="176">
        <v>7.5250000000000004</v>
      </c>
      <c r="AV169" s="176">
        <v>7.53</v>
      </c>
      <c r="AW169" s="173">
        <f t="shared" ca="1" si="28"/>
        <v>53</v>
      </c>
      <c r="AX169" s="142">
        <v>456</v>
      </c>
      <c r="AZ169" s="142" t="s">
        <v>123</v>
      </c>
    </row>
    <row r="170" spans="2:52" s="142" customFormat="1" ht="21" customHeight="1" x14ac:dyDescent="0.25">
      <c r="B170" s="173" t="str">
        <f t="shared" si="29"/>
        <v>0-304/2B-0.90X769</v>
      </c>
      <c r="C170" s="201" t="s">
        <v>4779</v>
      </c>
      <c r="D170" s="173" t="s">
        <v>4432</v>
      </c>
      <c r="E170" s="190" t="s">
        <v>4791</v>
      </c>
      <c r="F170" s="201" t="s">
        <v>4792</v>
      </c>
      <c r="G170" s="173">
        <v>304</v>
      </c>
      <c r="H170" s="173" t="s">
        <v>114</v>
      </c>
      <c r="I170" s="174">
        <v>2.86</v>
      </c>
      <c r="J170" s="174">
        <v>0.9</v>
      </c>
      <c r="K170" s="203">
        <v>0.88</v>
      </c>
      <c r="L170" s="203">
        <v>0.9</v>
      </c>
      <c r="M170" s="191">
        <v>769</v>
      </c>
      <c r="N170" s="176">
        <v>10.29</v>
      </c>
      <c r="O170" s="176">
        <f>5.09+5.165</f>
        <v>10.254999999999999</v>
      </c>
      <c r="P170" s="176"/>
      <c r="Q170" s="176">
        <v>3.5000000000000003E-2</v>
      </c>
      <c r="R170" s="176" t="s">
        <v>114</v>
      </c>
      <c r="S170" s="209" t="s">
        <v>4777</v>
      </c>
      <c r="T170" s="178" t="s">
        <v>4378</v>
      </c>
      <c r="U170" s="178"/>
      <c r="V170" s="179"/>
      <c r="W170" s="177">
        <v>44904</v>
      </c>
      <c r="X170" s="177"/>
      <c r="Y170" s="177">
        <v>44904</v>
      </c>
      <c r="Z170" s="177"/>
      <c r="AA170" s="177"/>
      <c r="AB170" s="177"/>
      <c r="AC170" s="177"/>
      <c r="AD170" s="177"/>
      <c r="AE170" s="177"/>
      <c r="AF170" s="177"/>
      <c r="AG170" s="180" t="s">
        <v>1609</v>
      </c>
      <c r="AH170" s="173" t="s">
        <v>69</v>
      </c>
      <c r="AI170" s="181" t="s">
        <v>142</v>
      </c>
      <c r="AJ170" s="181" t="s">
        <v>2283</v>
      </c>
      <c r="AK170" s="181"/>
      <c r="AL170" s="181">
        <v>44880</v>
      </c>
      <c r="AM170" s="181"/>
      <c r="AN170" s="181">
        <f t="shared" ca="1" si="30"/>
        <v>44958</v>
      </c>
      <c r="AO170" s="173">
        <f t="shared" ca="1" si="31"/>
        <v>78</v>
      </c>
      <c r="AP170" s="173" t="str">
        <f t="shared" si="32"/>
        <v/>
      </c>
      <c r="AQ170" s="181"/>
      <c r="AR170" s="190" t="s">
        <v>4793</v>
      </c>
      <c r="AS170" s="176">
        <v>10.305</v>
      </c>
      <c r="AT170" s="176">
        <v>10.315</v>
      </c>
      <c r="AU170" s="176">
        <v>10.339999999999998</v>
      </c>
      <c r="AV170" s="176">
        <v>10.344999999999999</v>
      </c>
      <c r="AW170" s="173">
        <f t="shared" ca="1" si="28"/>
        <v>54</v>
      </c>
      <c r="AX170" s="142">
        <v>459</v>
      </c>
      <c r="AZ170" s="142" t="s">
        <v>123</v>
      </c>
    </row>
    <row r="171" spans="2:52" s="142" customFormat="1" ht="21" customHeight="1" x14ac:dyDescent="0.25">
      <c r="B171" s="173" t="str">
        <f t="shared" si="29"/>
        <v>0-304/2B-0.80X768</v>
      </c>
      <c r="C171" s="201" t="s">
        <v>4779</v>
      </c>
      <c r="D171" s="173" t="s">
        <v>4432</v>
      </c>
      <c r="E171" s="190" t="s">
        <v>4794</v>
      </c>
      <c r="F171" s="201" t="s">
        <v>4795</v>
      </c>
      <c r="G171" s="173">
        <v>304</v>
      </c>
      <c r="H171" s="173" t="s">
        <v>114</v>
      </c>
      <c r="I171" s="174">
        <v>1.5</v>
      </c>
      <c r="J171" s="174">
        <v>0.8</v>
      </c>
      <c r="K171" s="203">
        <v>0.78</v>
      </c>
      <c r="L171" s="203">
        <v>0.8</v>
      </c>
      <c r="M171" s="191">
        <v>768</v>
      </c>
      <c r="N171" s="176">
        <v>10.345000000000001</v>
      </c>
      <c r="O171" s="176">
        <f>5.48+4.845</f>
        <v>10.324999999999999</v>
      </c>
      <c r="P171" s="176"/>
      <c r="Q171" s="176"/>
      <c r="R171" s="176" t="s">
        <v>114</v>
      </c>
      <c r="S171" s="209" t="s">
        <v>4777</v>
      </c>
      <c r="T171" s="178" t="s">
        <v>4378</v>
      </c>
      <c r="U171" s="178" t="s">
        <v>4796</v>
      </c>
      <c r="V171" s="179"/>
      <c r="W171" s="177" t="s">
        <v>4797</v>
      </c>
      <c r="X171" s="177"/>
      <c r="Y171" s="177" t="s">
        <v>4798</v>
      </c>
      <c r="Z171" s="177"/>
      <c r="AA171" s="177">
        <v>44785</v>
      </c>
      <c r="AB171" s="177"/>
      <c r="AC171" s="177">
        <v>44788</v>
      </c>
      <c r="AD171" s="177"/>
      <c r="AE171" s="177"/>
      <c r="AF171" s="177"/>
      <c r="AG171" s="180" t="s">
        <v>4799</v>
      </c>
      <c r="AH171" s="173" t="s">
        <v>69</v>
      </c>
      <c r="AI171" s="181" t="s">
        <v>142</v>
      </c>
      <c r="AJ171" s="181" t="s">
        <v>757</v>
      </c>
      <c r="AK171" s="181"/>
      <c r="AL171" s="181">
        <v>44651</v>
      </c>
      <c r="AM171" s="181"/>
      <c r="AN171" s="181">
        <f t="shared" ca="1" si="30"/>
        <v>44958</v>
      </c>
      <c r="AO171" s="173">
        <f t="shared" ca="1" si="31"/>
        <v>307</v>
      </c>
      <c r="AP171" s="173">
        <f t="shared" ca="1" si="32"/>
        <v>173</v>
      </c>
      <c r="AQ171" s="181"/>
      <c r="AR171" s="190" t="s">
        <v>4800</v>
      </c>
      <c r="AS171" s="176">
        <v>10.41</v>
      </c>
      <c r="AT171" s="176">
        <v>10.42</v>
      </c>
      <c r="AU171" s="176">
        <v>10.444999999999999</v>
      </c>
      <c r="AV171" s="176">
        <v>10.45</v>
      </c>
      <c r="AW171" s="173">
        <f t="shared" ca="1" si="28"/>
        <v>49</v>
      </c>
      <c r="AX171" s="142">
        <v>430</v>
      </c>
      <c r="AZ171" s="142" t="s">
        <v>123</v>
      </c>
    </row>
    <row r="172" spans="2:52" s="142" customFormat="1" ht="21" customHeight="1" x14ac:dyDescent="0.25">
      <c r="B172" s="173" t="str">
        <f t="shared" si="29"/>
        <v>0-304L/2B-0.80X770</v>
      </c>
      <c r="C172" s="201" t="s">
        <v>4801</v>
      </c>
      <c r="D172" s="173" t="s">
        <v>4432</v>
      </c>
      <c r="E172" s="190" t="s">
        <v>4802</v>
      </c>
      <c r="F172" s="201" t="s">
        <v>4803</v>
      </c>
      <c r="G172" s="173" t="s">
        <v>182</v>
      </c>
      <c r="H172" s="173" t="s">
        <v>114</v>
      </c>
      <c r="I172" s="174">
        <v>1.45</v>
      </c>
      <c r="J172" s="174">
        <v>0.8</v>
      </c>
      <c r="K172" s="203">
        <v>0.8</v>
      </c>
      <c r="L172" s="203">
        <v>0.81</v>
      </c>
      <c r="M172" s="191">
        <v>770</v>
      </c>
      <c r="N172" s="176">
        <v>6.1150000000000002</v>
      </c>
      <c r="O172" s="176">
        <v>6.085</v>
      </c>
      <c r="P172" s="176"/>
      <c r="Q172" s="176">
        <v>0.03</v>
      </c>
      <c r="R172" s="176" t="s">
        <v>114</v>
      </c>
      <c r="S172" s="209" t="s">
        <v>4777</v>
      </c>
      <c r="T172" s="178" t="s">
        <v>4378</v>
      </c>
      <c r="U172" s="178" t="s">
        <v>1210</v>
      </c>
      <c r="V172" s="179"/>
      <c r="W172" s="177" t="s">
        <v>4804</v>
      </c>
      <c r="X172" s="177"/>
      <c r="Y172" s="177" t="s">
        <v>4805</v>
      </c>
      <c r="Z172" s="177"/>
      <c r="AA172" s="177">
        <v>44886</v>
      </c>
      <c r="AB172" s="177"/>
      <c r="AC172" s="177">
        <v>44887</v>
      </c>
      <c r="AD172" s="177"/>
      <c r="AE172" s="177"/>
      <c r="AF172" s="177"/>
      <c r="AG172" s="180" t="s">
        <v>4789</v>
      </c>
      <c r="AH172" s="173" t="s">
        <v>69</v>
      </c>
      <c r="AI172" s="181" t="s">
        <v>142</v>
      </c>
      <c r="AJ172" s="181" t="s">
        <v>1657</v>
      </c>
      <c r="AK172" s="181"/>
      <c r="AL172" s="181">
        <v>44849</v>
      </c>
      <c r="AM172" s="181"/>
      <c r="AN172" s="181">
        <f t="shared" ca="1" si="30"/>
        <v>44958</v>
      </c>
      <c r="AO172" s="173">
        <f t="shared" ca="1" si="31"/>
        <v>109</v>
      </c>
      <c r="AP172" s="173">
        <f t="shared" ca="1" si="32"/>
        <v>72</v>
      </c>
      <c r="AQ172" s="181"/>
      <c r="AR172" s="190" t="s">
        <v>4806</v>
      </c>
      <c r="AS172" s="176">
        <v>12.27</v>
      </c>
      <c r="AT172" s="176">
        <v>12.28</v>
      </c>
      <c r="AU172" s="176">
        <v>12.304999999999998</v>
      </c>
      <c r="AV172" s="176">
        <v>12.309999999999999</v>
      </c>
      <c r="AW172" s="173">
        <f t="shared" ca="1" si="28"/>
        <v>49</v>
      </c>
      <c r="AX172" s="142">
        <v>456</v>
      </c>
      <c r="AZ172" s="142" t="s">
        <v>123</v>
      </c>
    </row>
    <row r="173" spans="2:52" s="142" customFormat="1" ht="21" customHeight="1" x14ac:dyDescent="0.25">
      <c r="B173" s="173" t="str">
        <f t="shared" si="29"/>
        <v>0-304L/2B-0.80X766</v>
      </c>
      <c r="C173" s="201" t="s">
        <v>4801</v>
      </c>
      <c r="D173" s="173" t="s">
        <v>4432</v>
      </c>
      <c r="E173" s="190" t="s">
        <v>4807</v>
      </c>
      <c r="F173" s="201" t="s">
        <v>4808</v>
      </c>
      <c r="G173" s="173" t="s">
        <v>182</v>
      </c>
      <c r="H173" s="173" t="s">
        <v>114</v>
      </c>
      <c r="I173" s="174">
        <v>1.5</v>
      </c>
      <c r="J173" s="174">
        <v>0.8</v>
      </c>
      <c r="K173" s="203">
        <v>0.79</v>
      </c>
      <c r="L173" s="203">
        <v>0.81</v>
      </c>
      <c r="M173" s="191">
        <v>766</v>
      </c>
      <c r="N173" s="176">
        <v>4.74</v>
      </c>
      <c r="O173" s="176">
        <v>4.71</v>
      </c>
      <c r="P173" s="176"/>
      <c r="Q173" s="176">
        <v>0.03</v>
      </c>
      <c r="R173" s="176" t="s">
        <v>114</v>
      </c>
      <c r="S173" s="209" t="s">
        <v>4777</v>
      </c>
      <c r="T173" s="178" t="s">
        <v>4378</v>
      </c>
      <c r="U173" s="178" t="s">
        <v>615</v>
      </c>
      <c r="V173" s="179" t="s">
        <v>4809</v>
      </c>
      <c r="W173" s="177" t="s">
        <v>4810</v>
      </c>
      <c r="X173" s="177"/>
      <c r="Y173" s="177" t="s">
        <v>4811</v>
      </c>
      <c r="Z173" s="177"/>
      <c r="AA173" s="177">
        <v>44861</v>
      </c>
      <c r="AB173" s="177"/>
      <c r="AC173" s="177">
        <v>44862</v>
      </c>
      <c r="AD173" s="177"/>
      <c r="AE173" s="177"/>
      <c r="AF173" s="177"/>
      <c r="AG173" s="180" t="s">
        <v>4812</v>
      </c>
      <c r="AH173" s="173" t="s">
        <v>69</v>
      </c>
      <c r="AI173" s="181" t="s">
        <v>142</v>
      </c>
      <c r="AJ173" s="181" t="s">
        <v>1653</v>
      </c>
      <c r="AK173" s="181"/>
      <c r="AL173" s="181">
        <v>44849</v>
      </c>
      <c r="AM173" s="181"/>
      <c r="AN173" s="181">
        <f t="shared" ca="1" si="30"/>
        <v>44958</v>
      </c>
      <c r="AO173" s="173">
        <f t="shared" ca="1" si="31"/>
        <v>109</v>
      </c>
      <c r="AP173" s="173">
        <f t="shared" ca="1" si="32"/>
        <v>97</v>
      </c>
      <c r="AQ173" s="181"/>
      <c r="AR173" s="190" t="s">
        <v>4813</v>
      </c>
      <c r="AS173" s="176">
        <v>9.57</v>
      </c>
      <c r="AT173" s="176">
        <v>9.58</v>
      </c>
      <c r="AU173" s="176">
        <v>9.6049999999999986</v>
      </c>
      <c r="AV173" s="176">
        <v>9.61</v>
      </c>
      <c r="AW173" s="173">
        <f t="shared" ca="1" si="28"/>
        <v>47</v>
      </c>
      <c r="AX173" s="142">
        <v>456</v>
      </c>
      <c r="AZ173" s="142" t="s">
        <v>123</v>
      </c>
    </row>
    <row r="174" spans="2:52" s="142" customFormat="1" ht="21" customHeight="1" x14ac:dyDescent="0.25">
      <c r="B174" s="173" t="str">
        <f t="shared" si="29"/>
        <v>0-304/2B-1.00X770</v>
      </c>
      <c r="C174" s="201" t="s">
        <v>4801</v>
      </c>
      <c r="D174" s="173" t="s">
        <v>4432</v>
      </c>
      <c r="E174" s="190" t="s">
        <v>4814</v>
      </c>
      <c r="F174" s="201" t="s">
        <v>4815</v>
      </c>
      <c r="G174" s="173">
        <v>304</v>
      </c>
      <c r="H174" s="173" t="s">
        <v>114</v>
      </c>
      <c r="I174" s="174">
        <v>2</v>
      </c>
      <c r="J174" s="174">
        <v>1</v>
      </c>
      <c r="K174" s="203">
        <v>1</v>
      </c>
      <c r="L174" s="203">
        <v>1.02</v>
      </c>
      <c r="M174" s="191">
        <v>770</v>
      </c>
      <c r="N174" s="176">
        <v>4.8949999999999996</v>
      </c>
      <c r="O174" s="176">
        <v>4.8899999999999997</v>
      </c>
      <c r="P174" s="176"/>
      <c r="Q174" s="176">
        <v>5.0000000000000001E-3</v>
      </c>
      <c r="R174" s="176" t="s">
        <v>114</v>
      </c>
      <c r="S174" s="209" t="s">
        <v>4777</v>
      </c>
      <c r="T174" s="178" t="s">
        <v>4378</v>
      </c>
      <c r="U174" s="178" t="s">
        <v>1344</v>
      </c>
      <c r="V174" s="179"/>
      <c r="W174" s="177" t="s">
        <v>4816</v>
      </c>
      <c r="X174" s="177"/>
      <c r="Y174" s="177" t="s">
        <v>4817</v>
      </c>
      <c r="Z174" s="177"/>
      <c r="AA174" s="177">
        <v>44910</v>
      </c>
      <c r="AB174" s="177"/>
      <c r="AC174" s="177">
        <v>44914</v>
      </c>
      <c r="AD174" s="177"/>
      <c r="AE174" s="177"/>
      <c r="AF174" s="177"/>
      <c r="AG174" s="180" t="s">
        <v>4482</v>
      </c>
      <c r="AH174" s="173" t="s">
        <v>69</v>
      </c>
      <c r="AI174" s="181" t="s">
        <v>142</v>
      </c>
      <c r="AJ174" s="181" t="s">
        <v>2283</v>
      </c>
      <c r="AK174" s="181"/>
      <c r="AL174" s="181">
        <v>44880</v>
      </c>
      <c r="AM174" s="181"/>
      <c r="AN174" s="181">
        <f t="shared" ca="1" si="30"/>
        <v>44958</v>
      </c>
      <c r="AO174" s="173">
        <f t="shared" ca="1" si="31"/>
        <v>78</v>
      </c>
      <c r="AP174" s="173">
        <f t="shared" ca="1" si="32"/>
        <v>48</v>
      </c>
      <c r="AQ174" s="181"/>
      <c r="AR174" s="190" t="s">
        <v>4547</v>
      </c>
      <c r="AS174" s="176">
        <v>10.025</v>
      </c>
      <c r="AT174" s="176">
        <v>10.035</v>
      </c>
      <c r="AU174" s="176">
        <v>10.059999999999999</v>
      </c>
      <c r="AV174" s="176">
        <v>10.065</v>
      </c>
      <c r="AW174" s="173">
        <f t="shared" ca="1" si="28"/>
        <v>33</v>
      </c>
      <c r="AX174" s="142">
        <v>459</v>
      </c>
      <c r="AZ174" s="142" t="s">
        <v>123</v>
      </c>
    </row>
    <row r="175" spans="2:52" s="142" customFormat="1" ht="21" customHeight="1" x14ac:dyDescent="0.25">
      <c r="B175" s="173" t="str">
        <f t="shared" si="29"/>
        <v>0-304L/2B-1.00X767</v>
      </c>
      <c r="C175" s="201" t="s">
        <v>4801</v>
      </c>
      <c r="D175" s="173" t="s">
        <v>4432</v>
      </c>
      <c r="E175" s="190" t="s">
        <v>4125</v>
      </c>
      <c r="F175" s="201" t="s">
        <v>4818</v>
      </c>
      <c r="G175" s="173" t="s">
        <v>182</v>
      </c>
      <c r="H175" s="173" t="s">
        <v>114</v>
      </c>
      <c r="I175" s="174">
        <v>2.89</v>
      </c>
      <c r="J175" s="174">
        <v>1</v>
      </c>
      <c r="K175" s="203">
        <v>1</v>
      </c>
      <c r="L175" s="203">
        <v>1.01</v>
      </c>
      <c r="M175" s="191">
        <v>767</v>
      </c>
      <c r="N175" s="176">
        <v>8.4250000000000007</v>
      </c>
      <c r="O175" s="176">
        <f>4+4.425</f>
        <v>8.4250000000000007</v>
      </c>
      <c r="P175" s="176"/>
      <c r="Q175" s="176"/>
      <c r="R175" s="176" t="s">
        <v>114</v>
      </c>
      <c r="S175" s="209" t="s">
        <v>4777</v>
      </c>
      <c r="T175" s="178" t="s">
        <v>4378</v>
      </c>
      <c r="U175" s="178"/>
      <c r="V175" s="179"/>
      <c r="W175" s="177">
        <v>44943</v>
      </c>
      <c r="X175" s="177"/>
      <c r="Y175" s="177">
        <v>44943</v>
      </c>
      <c r="Z175" s="177"/>
      <c r="AA175" s="177"/>
      <c r="AB175" s="177"/>
      <c r="AC175" s="177"/>
      <c r="AD175" s="177"/>
      <c r="AE175" s="177"/>
      <c r="AF175" s="177"/>
      <c r="AG175" s="180" t="s">
        <v>2448</v>
      </c>
      <c r="AH175" s="173" t="s">
        <v>69</v>
      </c>
      <c r="AI175" s="181" t="s">
        <v>142</v>
      </c>
      <c r="AJ175" s="181" t="s">
        <v>1584</v>
      </c>
      <c r="AK175" s="181"/>
      <c r="AL175" s="181">
        <v>44914</v>
      </c>
      <c r="AM175" s="181"/>
      <c r="AN175" s="181">
        <f t="shared" ca="1" si="30"/>
        <v>44958</v>
      </c>
      <c r="AO175" s="173">
        <f t="shared" ca="1" si="31"/>
        <v>44</v>
      </c>
      <c r="AP175" s="173" t="str">
        <f t="shared" si="32"/>
        <v/>
      </c>
      <c r="AQ175" s="181"/>
      <c r="AR175" s="190" t="s">
        <v>4096</v>
      </c>
      <c r="AS175" s="176">
        <v>8.48</v>
      </c>
      <c r="AT175" s="176">
        <v>8.49</v>
      </c>
      <c r="AU175" s="176">
        <v>8.5149999999999988</v>
      </c>
      <c r="AV175" s="176">
        <v>8.52</v>
      </c>
      <c r="AW175" s="173">
        <f t="shared" ca="1" si="28"/>
        <v>15</v>
      </c>
      <c r="AX175" s="142">
        <v>462</v>
      </c>
      <c r="AZ175" s="142" t="s">
        <v>123</v>
      </c>
    </row>
    <row r="176" spans="2:52" s="142" customFormat="1" ht="21" customHeight="1" x14ac:dyDescent="0.25">
      <c r="B176" s="173" t="str">
        <f t="shared" si="29"/>
        <v>0-304L/2B-1.20X639</v>
      </c>
      <c r="C176" s="201" t="s">
        <v>4819</v>
      </c>
      <c r="D176" s="173" t="s">
        <v>836</v>
      </c>
      <c r="E176" s="190" t="s">
        <v>4081</v>
      </c>
      <c r="F176" s="201" t="s">
        <v>4082</v>
      </c>
      <c r="G176" s="173" t="s">
        <v>182</v>
      </c>
      <c r="H176" s="173" t="s">
        <v>114</v>
      </c>
      <c r="I176" s="174">
        <v>2.87</v>
      </c>
      <c r="J176" s="174">
        <v>1.2</v>
      </c>
      <c r="K176" s="203">
        <v>1.17</v>
      </c>
      <c r="L176" s="203">
        <v>1.18</v>
      </c>
      <c r="M176" s="191">
        <v>639</v>
      </c>
      <c r="N176" s="176">
        <v>10.595000000000001</v>
      </c>
      <c r="O176" s="176">
        <v>10.574999999999999</v>
      </c>
      <c r="P176" s="176"/>
      <c r="Q176" s="176">
        <v>0.02</v>
      </c>
      <c r="R176" s="176" t="s">
        <v>114</v>
      </c>
      <c r="S176" s="209"/>
      <c r="T176" s="178" t="s">
        <v>4326</v>
      </c>
      <c r="U176" s="178"/>
      <c r="V176" s="179"/>
      <c r="W176" s="177">
        <v>44940</v>
      </c>
      <c r="X176" s="177"/>
      <c r="Y176" s="177"/>
      <c r="Z176" s="177">
        <v>44940</v>
      </c>
      <c r="AA176" s="177">
        <v>44944</v>
      </c>
      <c r="AB176" s="177"/>
      <c r="AC176" s="177">
        <v>44941</v>
      </c>
      <c r="AD176" s="177"/>
      <c r="AE176" s="177"/>
      <c r="AF176" s="177"/>
      <c r="AG176" s="180" t="s">
        <v>2479</v>
      </c>
      <c r="AH176" s="173" t="s">
        <v>69</v>
      </c>
      <c r="AI176" s="181" t="s">
        <v>142</v>
      </c>
      <c r="AJ176" s="181" t="s">
        <v>1657</v>
      </c>
      <c r="AK176" s="181"/>
      <c r="AL176" s="181">
        <v>44849</v>
      </c>
      <c r="AM176" s="181"/>
      <c r="AN176" s="181">
        <f t="shared" ca="1" si="30"/>
        <v>44958</v>
      </c>
      <c r="AO176" s="173">
        <f t="shared" ca="1" si="31"/>
        <v>109</v>
      </c>
      <c r="AP176" s="173">
        <f t="shared" ca="1" si="32"/>
        <v>14</v>
      </c>
      <c r="AQ176" s="181"/>
      <c r="AR176" s="190" t="s">
        <v>3939</v>
      </c>
      <c r="AS176" s="176">
        <v>10.585000000000001</v>
      </c>
      <c r="AT176" s="176">
        <v>10.595000000000001</v>
      </c>
      <c r="AU176" s="176">
        <v>10.62</v>
      </c>
      <c r="AV176" s="176">
        <v>10.625</v>
      </c>
      <c r="AW176" s="173" t="str">
        <f t="shared" si="28"/>
        <v/>
      </c>
      <c r="AX176" s="142">
        <v>456</v>
      </c>
      <c r="AZ176" s="142" t="s">
        <v>123</v>
      </c>
    </row>
    <row r="177" spans="2:52" s="142" customFormat="1" ht="21" customHeight="1" x14ac:dyDescent="0.25">
      <c r="B177" s="173" t="str">
        <f t="shared" si="29"/>
        <v>0-304L/2B-1.20X638</v>
      </c>
      <c r="C177" s="201" t="s">
        <v>4819</v>
      </c>
      <c r="D177" s="173" t="s">
        <v>836</v>
      </c>
      <c r="E177" s="190" t="s">
        <v>4019</v>
      </c>
      <c r="F177" s="201" t="s">
        <v>4020</v>
      </c>
      <c r="G177" s="173" t="s">
        <v>182</v>
      </c>
      <c r="H177" s="173" t="s">
        <v>114</v>
      </c>
      <c r="I177" s="174">
        <v>2.89</v>
      </c>
      <c r="J177" s="174">
        <v>1.2</v>
      </c>
      <c r="K177" s="203">
        <v>1.18</v>
      </c>
      <c r="L177" s="203">
        <v>1.2</v>
      </c>
      <c r="M177" s="191">
        <v>638</v>
      </c>
      <c r="N177" s="176">
        <v>9.9949999999999992</v>
      </c>
      <c r="O177" s="176">
        <v>9.9749999999999996</v>
      </c>
      <c r="P177" s="176"/>
      <c r="Q177" s="176">
        <v>0.02</v>
      </c>
      <c r="R177" s="176" t="s">
        <v>114</v>
      </c>
      <c r="S177" s="209"/>
      <c r="T177" s="178" t="s">
        <v>4326</v>
      </c>
      <c r="U177" s="178"/>
      <c r="V177" s="179"/>
      <c r="W177" s="177">
        <v>44936</v>
      </c>
      <c r="X177" s="177"/>
      <c r="Y177" s="177"/>
      <c r="Z177" s="177">
        <v>44936</v>
      </c>
      <c r="AA177" s="177">
        <v>44944</v>
      </c>
      <c r="AB177" s="177"/>
      <c r="AC177" s="177">
        <v>44943</v>
      </c>
      <c r="AD177" s="177"/>
      <c r="AE177" s="177"/>
      <c r="AF177" s="177"/>
      <c r="AG177" s="180" t="s">
        <v>2479</v>
      </c>
      <c r="AH177" s="173" t="s">
        <v>69</v>
      </c>
      <c r="AI177" s="181" t="s">
        <v>142</v>
      </c>
      <c r="AJ177" s="181" t="s">
        <v>1594</v>
      </c>
      <c r="AK177" s="181"/>
      <c r="AL177" s="181">
        <v>44849</v>
      </c>
      <c r="AM177" s="181"/>
      <c r="AN177" s="181">
        <f t="shared" ca="1" si="30"/>
        <v>44958</v>
      </c>
      <c r="AO177" s="173">
        <f t="shared" ca="1" si="31"/>
        <v>109</v>
      </c>
      <c r="AP177" s="173">
        <f t="shared" ca="1" si="32"/>
        <v>14</v>
      </c>
      <c r="AQ177" s="181"/>
      <c r="AR177" s="190" t="s">
        <v>4013</v>
      </c>
      <c r="AS177" s="176">
        <v>9.9949999999999992</v>
      </c>
      <c r="AT177" s="176">
        <v>10.005000000000001</v>
      </c>
      <c r="AU177" s="176">
        <v>10.029999999999999</v>
      </c>
      <c r="AV177" s="176">
        <v>10.035</v>
      </c>
      <c r="AW177" s="173" t="str">
        <f t="shared" si="28"/>
        <v/>
      </c>
      <c r="AX177" s="142">
        <v>456</v>
      </c>
      <c r="AZ177" s="142" t="s">
        <v>123</v>
      </c>
    </row>
    <row r="178" spans="2:52" s="142" customFormat="1" ht="21" customHeight="1" x14ac:dyDescent="0.25">
      <c r="B178" s="173" t="str">
        <f t="shared" si="29"/>
        <v>0-304L/2B-1.20X637</v>
      </c>
      <c r="C178" s="201" t="s">
        <v>4819</v>
      </c>
      <c r="D178" s="173" t="s">
        <v>836</v>
      </c>
      <c r="E178" s="190" t="s">
        <v>4097</v>
      </c>
      <c r="F178" s="201" t="s">
        <v>4098</v>
      </c>
      <c r="G178" s="173" t="s">
        <v>182</v>
      </c>
      <c r="H178" s="173" t="s">
        <v>114</v>
      </c>
      <c r="I178" s="174">
        <v>2.89</v>
      </c>
      <c r="J178" s="174">
        <v>1.2</v>
      </c>
      <c r="K178" s="203">
        <v>1.18</v>
      </c>
      <c r="L178" s="203">
        <v>1.2</v>
      </c>
      <c r="M178" s="191">
        <v>637</v>
      </c>
      <c r="N178" s="176">
        <v>10.18</v>
      </c>
      <c r="O178" s="176">
        <v>10.14</v>
      </c>
      <c r="P178" s="176"/>
      <c r="Q178" s="176">
        <v>0.04</v>
      </c>
      <c r="R178" s="176" t="s">
        <v>114</v>
      </c>
      <c r="S178" s="209"/>
      <c r="T178" s="178" t="s">
        <v>4326</v>
      </c>
      <c r="U178" s="178"/>
      <c r="V178" s="179"/>
      <c r="W178" s="177">
        <v>44940</v>
      </c>
      <c r="X178" s="177"/>
      <c r="Y178" s="177"/>
      <c r="Z178" s="177">
        <v>44941</v>
      </c>
      <c r="AA178" s="177">
        <v>44944</v>
      </c>
      <c r="AB178" s="177"/>
      <c r="AC178" s="177">
        <v>44942</v>
      </c>
      <c r="AD178" s="177"/>
      <c r="AE178" s="177"/>
      <c r="AF178" s="177"/>
      <c r="AG178" s="180" t="s">
        <v>2479</v>
      </c>
      <c r="AH178" s="173" t="s">
        <v>69</v>
      </c>
      <c r="AI178" s="181" t="s">
        <v>142</v>
      </c>
      <c r="AJ178" s="181" t="s">
        <v>1657</v>
      </c>
      <c r="AK178" s="181"/>
      <c r="AL178" s="181">
        <v>44849</v>
      </c>
      <c r="AM178" s="181"/>
      <c r="AN178" s="181">
        <f t="shared" ca="1" si="30"/>
        <v>44958</v>
      </c>
      <c r="AO178" s="173">
        <f t="shared" ca="1" si="31"/>
        <v>109</v>
      </c>
      <c r="AP178" s="173">
        <f t="shared" ca="1" si="32"/>
        <v>14</v>
      </c>
      <c r="AQ178" s="181"/>
      <c r="AR178" s="190" t="s">
        <v>4016</v>
      </c>
      <c r="AS178" s="176">
        <v>10.185</v>
      </c>
      <c r="AT178" s="176">
        <v>10.195</v>
      </c>
      <c r="AU178" s="176">
        <v>10.219999999999999</v>
      </c>
      <c r="AV178" s="176">
        <v>10.225</v>
      </c>
      <c r="AW178" s="173" t="str">
        <f t="shared" si="28"/>
        <v/>
      </c>
      <c r="AX178" s="142">
        <v>456</v>
      </c>
      <c r="AZ178" s="142" t="s">
        <v>123</v>
      </c>
    </row>
    <row r="179" spans="2:52" s="142" customFormat="1" ht="21" customHeight="1" x14ac:dyDescent="0.25">
      <c r="B179" s="173" t="str">
        <f t="shared" si="29"/>
        <v>0-304L/2B-1.20X639</v>
      </c>
      <c r="C179" s="201" t="s">
        <v>4819</v>
      </c>
      <c r="D179" s="173" t="s">
        <v>836</v>
      </c>
      <c r="E179" s="190" t="s">
        <v>3961</v>
      </c>
      <c r="F179" s="201" t="s">
        <v>3962</v>
      </c>
      <c r="G179" s="173" t="s">
        <v>182</v>
      </c>
      <c r="H179" s="173" t="s">
        <v>114</v>
      </c>
      <c r="I179" s="174">
        <v>2.91</v>
      </c>
      <c r="J179" s="174">
        <v>1.2</v>
      </c>
      <c r="K179" s="203">
        <v>1.19</v>
      </c>
      <c r="L179" s="203">
        <v>1.2</v>
      </c>
      <c r="M179" s="191">
        <v>639</v>
      </c>
      <c r="N179" s="176">
        <v>8.86</v>
      </c>
      <c r="O179" s="176">
        <v>8.8350000000000009</v>
      </c>
      <c r="P179" s="176"/>
      <c r="Q179" s="176">
        <v>0.02</v>
      </c>
      <c r="R179" s="176" t="s">
        <v>114</v>
      </c>
      <c r="S179" s="209"/>
      <c r="T179" s="178" t="s">
        <v>4326</v>
      </c>
      <c r="U179" s="178"/>
      <c r="V179" s="179"/>
      <c r="W179" s="177">
        <v>44933</v>
      </c>
      <c r="X179" s="177"/>
      <c r="Y179" s="177"/>
      <c r="Z179" s="177">
        <v>44936</v>
      </c>
      <c r="AA179" s="177">
        <v>44944</v>
      </c>
      <c r="AB179" s="177"/>
      <c r="AC179" s="177">
        <v>44942</v>
      </c>
      <c r="AD179" s="177"/>
      <c r="AE179" s="177"/>
      <c r="AF179" s="177"/>
      <c r="AG179" s="180" t="s">
        <v>2479</v>
      </c>
      <c r="AH179" s="173" t="s">
        <v>69</v>
      </c>
      <c r="AI179" s="181" t="s">
        <v>142</v>
      </c>
      <c r="AJ179" s="181" t="s">
        <v>1887</v>
      </c>
      <c r="AK179" s="181"/>
      <c r="AL179" s="181">
        <v>44880</v>
      </c>
      <c r="AM179" s="181"/>
      <c r="AN179" s="181">
        <f t="shared" ca="1" si="30"/>
        <v>44958</v>
      </c>
      <c r="AO179" s="173">
        <f t="shared" ca="1" si="31"/>
        <v>78</v>
      </c>
      <c r="AP179" s="173">
        <f t="shared" ca="1" si="32"/>
        <v>14</v>
      </c>
      <c r="AQ179" s="181"/>
      <c r="AR179" s="190" t="s">
        <v>2273</v>
      </c>
      <c r="AS179" s="176">
        <v>8.86</v>
      </c>
      <c r="AT179" s="176">
        <v>8.8699999999999992</v>
      </c>
      <c r="AU179" s="176">
        <v>8.8949999999999978</v>
      </c>
      <c r="AV179" s="176">
        <v>8.8999999999999986</v>
      </c>
      <c r="AW179" s="173" t="str">
        <f t="shared" si="28"/>
        <v/>
      </c>
      <c r="AX179" s="142">
        <v>459</v>
      </c>
      <c r="AZ179" s="142" t="s">
        <v>123</v>
      </c>
    </row>
    <row r="180" spans="2:52" s="142" customFormat="1" ht="21" customHeight="1" x14ac:dyDescent="0.25">
      <c r="B180" s="173" t="str">
        <f t="shared" si="29"/>
        <v>0-304L/2B-1.20X637</v>
      </c>
      <c r="C180" s="201" t="s">
        <v>4819</v>
      </c>
      <c r="D180" s="173" t="s">
        <v>836</v>
      </c>
      <c r="E180" s="190" t="s">
        <v>4011</v>
      </c>
      <c r="F180" s="201" t="s">
        <v>4012</v>
      </c>
      <c r="G180" s="173" t="s">
        <v>182</v>
      </c>
      <c r="H180" s="173" t="s">
        <v>114</v>
      </c>
      <c r="I180" s="174">
        <v>2.9</v>
      </c>
      <c r="J180" s="174">
        <v>1.2</v>
      </c>
      <c r="K180" s="203">
        <v>1.1599999999999999</v>
      </c>
      <c r="L180" s="203">
        <v>1.18</v>
      </c>
      <c r="M180" s="191">
        <v>637</v>
      </c>
      <c r="N180" s="176">
        <v>10.47</v>
      </c>
      <c r="O180" s="176">
        <v>10.41</v>
      </c>
      <c r="P180" s="176"/>
      <c r="Q180" s="176"/>
      <c r="R180" s="176" t="s">
        <v>114</v>
      </c>
      <c r="S180" s="209"/>
      <c r="T180" s="178" t="s">
        <v>4326</v>
      </c>
      <c r="U180" s="178"/>
      <c r="V180" s="179"/>
      <c r="W180" s="177">
        <v>44936</v>
      </c>
      <c r="X180" s="177"/>
      <c r="Y180" s="177"/>
      <c r="Z180" s="177">
        <v>44936</v>
      </c>
      <c r="AA180" s="177">
        <v>44944</v>
      </c>
      <c r="AB180" s="177"/>
      <c r="AC180" s="177"/>
      <c r="AD180" s="177"/>
      <c r="AE180" s="177"/>
      <c r="AF180" s="177"/>
      <c r="AG180" s="180" t="s">
        <v>2479</v>
      </c>
      <c r="AH180" s="173" t="s">
        <v>69</v>
      </c>
      <c r="AI180" s="181" t="s">
        <v>142</v>
      </c>
      <c r="AJ180" s="181" t="s">
        <v>1594</v>
      </c>
      <c r="AK180" s="181"/>
      <c r="AL180" s="181">
        <v>44849</v>
      </c>
      <c r="AM180" s="181"/>
      <c r="AN180" s="181">
        <f t="shared" ca="1" si="30"/>
        <v>44958</v>
      </c>
      <c r="AO180" s="173">
        <f t="shared" ca="1" si="31"/>
        <v>109</v>
      </c>
      <c r="AP180" s="173">
        <f t="shared" ca="1" si="32"/>
        <v>14</v>
      </c>
      <c r="AQ180" s="181"/>
      <c r="AR180" s="190" t="s">
        <v>4013</v>
      </c>
      <c r="AS180" s="176">
        <v>10.455</v>
      </c>
      <c r="AT180" s="176">
        <v>10.465</v>
      </c>
      <c r="AU180" s="176">
        <v>10.489999999999998</v>
      </c>
      <c r="AV180" s="176">
        <v>10.494999999999999</v>
      </c>
      <c r="AW180" s="173" t="str">
        <f t="shared" si="28"/>
        <v/>
      </c>
      <c r="AX180" s="142">
        <v>456</v>
      </c>
      <c r="AZ180" s="142" t="s">
        <v>123</v>
      </c>
    </row>
    <row r="181" spans="2:52" s="142" customFormat="1" ht="21" customHeight="1" x14ac:dyDescent="0.25">
      <c r="B181" s="173" t="str">
        <f t="shared" si="29"/>
        <v>0-304L/2B-1.00X644</v>
      </c>
      <c r="C181" s="201" t="s">
        <v>4820</v>
      </c>
      <c r="D181" s="173" t="s">
        <v>836</v>
      </c>
      <c r="E181" s="190" t="s">
        <v>4023</v>
      </c>
      <c r="F181" s="201" t="s">
        <v>4024</v>
      </c>
      <c r="G181" s="173" t="s">
        <v>182</v>
      </c>
      <c r="H181" s="173" t="s">
        <v>114</v>
      </c>
      <c r="I181" s="174">
        <v>2.81</v>
      </c>
      <c r="J181" s="174">
        <v>1</v>
      </c>
      <c r="K181" s="203">
        <v>0.99</v>
      </c>
      <c r="L181" s="203">
        <v>1</v>
      </c>
      <c r="M181" s="191">
        <v>644</v>
      </c>
      <c r="N181" s="176">
        <v>10.664999999999999</v>
      </c>
      <c r="O181" s="176">
        <v>10.6</v>
      </c>
      <c r="P181" s="176"/>
      <c r="Q181" s="176">
        <v>6.5000000000000002E-2</v>
      </c>
      <c r="R181" s="176" t="s">
        <v>114</v>
      </c>
      <c r="S181" s="209"/>
      <c r="T181" s="178" t="s">
        <v>4400</v>
      </c>
      <c r="U181" s="178"/>
      <c r="V181" s="179"/>
      <c r="W181" s="177">
        <v>44936</v>
      </c>
      <c r="X181" s="177"/>
      <c r="Y181" s="177"/>
      <c r="Z181" s="177">
        <v>44937</v>
      </c>
      <c r="AA181" s="177">
        <v>44945</v>
      </c>
      <c r="AB181" s="177"/>
      <c r="AC181" s="177">
        <v>44942</v>
      </c>
      <c r="AD181" s="177"/>
      <c r="AE181" s="177"/>
      <c r="AF181" s="177"/>
      <c r="AG181" s="180" t="s">
        <v>2479</v>
      </c>
      <c r="AH181" s="173" t="s">
        <v>69</v>
      </c>
      <c r="AI181" s="181" t="s">
        <v>142</v>
      </c>
      <c r="AJ181" s="181" t="s">
        <v>1653</v>
      </c>
      <c r="AK181" s="181"/>
      <c r="AL181" s="181">
        <v>44880</v>
      </c>
      <c r="AM181" s="181"/>
      <c r="AN181" s="181">
        <f t="shared" ca="1" si="30"/>
        <v>44958</v>
      </c>
      <c r="AO181" s="173">
        <f t="shared" ca="1" si="31"/>
        <v>78</v>
      </c>
      <c r="AP181" s="173">
        <f t="shared" ca="1" si="32"/>
        <v>13</v>
      </c>
      <c r="AQ181" s="181"/>
      <c r="AR181" s="190" t="s">
        <v>2085</v>
      </c>
      <c r="AS181" s="176">
        <v>10.67</v>
      </c>
      <c r="AT181" s="176">
        <v>10.68</v>
      </c>
      <c r="AU181" s="176">
        <v>10.704999999999998</v>
      </c>
      <c r="AV181" s="176">
        <v>10.709999999999999</v>
      </c>
      <c r="AW181" s="173" t="str">
        <f t="shared" si="28"/>
        <v/>
      </c>
      <c r="AX181" s="142">
        <v>459</v>
      </c>
      <c r="AZ181" s="142" t="s">
        <v>123</v>
      </c>
    </row>
    <row r="182" spans="2:52" s="142" customFormat="1" ht="21" customHeight="1" x14ac:dyDescent="0.25">
      <c r="B182" s="173" t="str">
        <f t="shared" si="29"/>
        <v>0-304L/2B-1.20X642</v>
      </c>
      <c r="C182" s="201" t="s">
        <v>4820</v>
      </c>
      <c r="D182" s="173" t="s">
        <v>836</v>
      </c>
      <c r="E182" s="190" t="s">
        <v>4045</v>
      </c>
      <c r="F182" s="201" t="s">
        <v>4046</v>
      </c>
      <c r="G182" s="173" t="s">
        <v>182</v>
      </c>
      <c r="H182" s="173" t="s">
        <v>114</v>
      </c>
      <c r="I182" s="174">
        <v>2.95</v>
      </c>
      <c r="J182" s="174">
        <v>1.2</v>
      </c>
      <c r="K182" s="203">
        <v>1.18</v>
      </c>
      <c r="L182" s="203">
        <v>1.19</v>
      </c>
      <c r="M182" s="191">
        <v>642</v>
      </c>
      <c r="N182" s="176">
        <v>10.005000000000001</v>
      </c>
      <c r="O182" s="176">
        <v>9.9749999999999996</v>
      </c>
      <c r="P182" s="176"/>
      <c r="Q182" s="176">
        <v>0.03</v>
      </c>
      <c r="R182" s="176" t="s">
        <v>114</v>
      </c>
      <c r="S182" s="209"/>
      <c r="T182" s="178" t="s">
        <v>4326</v>
      </c>
      <c r="U182" s="178"/>
      <c r="V182" s="179"/>
      <c r="W182" s="177">
        <v>44937</v>
      </c>
      <c r="X182" s="177"/>
      <c r="Y182" s="177"/>
      <c r="Z182" s="177">
        <v>44938</v>
      </c>
      <c r="AA182" s="177">
        <v>44945</v>
      </c>
      <c r="AB182" s="177"/>
      <c r="AC182" s="177">
        <v>44941</v>
      </c>
      <c r="AD182" s="177"/>
      <c r="AE182" s="177"/>
      <c r="AF182" s="177"/>
      <c r="AG182" s="180" t="s">
        <v>1619</v>
      </c>
      <c r="AH182" s="173" t="s">
        <v>69</v>
      </c>
      <c r="AI182" s="181" t="s">
        <v>142</v>
      </c>
      <c r="AJ182" s="181" t="s">
        <v>1657</v>
      </c>
      <c r="AK182" s="181"/>
      <c r="AL182" s="181">
        <v>44849</v>
      </c>
      <c r="AM182" s="181"/>
      <c r="AN182" s="181">
        <f t="shared" ca="1" si="30"/>
        <v>44958</v>
      </c>
      <c r="AO182" s="173">
        <f t="shared" ca="1" si="31"/>
        <v>109</v>
      </c>
      <c r="AP182" s="173">
        <f t="shared" ca="1" si="32"/>
        <v>13</v>
      </c>
      <c r="AQ182" s="181"/>
      <c r="AR182" s="190" t="s">
        <v>1737</v>
      </c>
      <c r="AS182" s="176">
        <v>10.035</v>
      </c>
      <c r="AT182" s="176">
        <v>10.045</v>
      </c>
      <c r="AU182" s="176">
        <v>10.069999999999999</v>
      </c>
      <c r="AV182" s="176">
        <v>10.074999999999999</v>
      </c>
      <c r="AW182" s="173" t="str">
        <f t="shared" si="28"/>
        <v/>
      </c>
      <c r="AX182" s="142">
        <v>456</v>
      </c>
      <c r="AZ182" s="142" t="s">
        <v>123</v>
      </c>
    </row>
    <row r="183" spans="2:52" s="142" customFormat="1" ht="21" customHeight="1" x14ac:dyDescent="0.25">
      <c r="B183" s="173" t="str">
        <f t="shared" si="29"/>
        <v>0-304L/2B-1.20X641</v>
      </c>
      <c r="C183" s="201" t="s">
        <v>4820</v>
      </c>
      <c r="D183" s="173" t="s">
        <v>836</v>
      </c>
      <c r="E183" s="190" t="s">
        <v>4108</v>
      </c>
      <c r="F183" s="201" t="s">
        <v>4109</v>
      </c>
      <c r="G183" s="173" t="s">
        <v>182</v>
      </c>
      <c r="H183" s="173" t="s">
        <v>114</v>
      </c>
      <c r="I183" s="174">
        <v>2.89</v>
      </c>
      <c r="J183" s="174">
        <v>1.2</v>
      </c>
      <c r="K183" s="203">
        <v>1.18</v>
      </c>
      <c r="L183" s="203">
        <v>1.2</v>
      </c>
      <c r="M183" s="191">
        <v>641</v>
      </c>
      <c r="N183" s="176">
        <v>10.685</v>
      </c>
      <c r="O183" s="176">
        <v>10.585000000000001</v>
      </c>
      <c r="P183" s="176"/>
      <c r="Q183" s="176">
        <v>0.1</v>
      </c>
      <c r="R183" s="176" t="s">
        <v>114</v>
      </c>
      <c r="S183" s="209"/>
      <c r="T183" s="178" t="s">
        <v>4326</v>
      </c>
      <c r="U183" s="178"/>
      <c r="V183" s="179"/>
      <c r="W183" s="177">
        <v>44941</v>
      </c>
      <c r="X183" s="177"/>
      <c r="Y183" s="177">
        <v>44942</v>
      </c>
      <c r="Z183" s="177"/>
      <c r="AA183" s="177">
        <v>44945</v>
      </c>
      <c r="AB183" s="177"/>
      <c r="AC183" s="177">
        <v>44943</v>
      </c>
      <c r="AD183" s="177"/>
      <c r="AE183" s="177"/>
      <c r="AF183" s="177"/>
      <c r="AG183" s="180" t="s">
        <v>2479</v>
      </c>
      <c r="AH183" s="173" t="s">
        <v>69</v>
      </c>
      <c r="AI183" s="181" t="s">
        <v>142</v>
      </c>
      <c r="AJ183" s="181" t="s">
        <v>1594</v>
      </c>
      <c r="AK183" s="181"/>
      <c r="AL183" s="181">
        <v>44849</v>
      </c>
      <c r="AM183" s="181"/>
      <c r="AN183" s="181">
        <f t="shared" ca="1" si="30"/>
        <v>44958</v>
      </c>
      <c r="AO183" s="173">
        <f t="shared" ca="1" si="31"/>
        <v>109</v>
      </c>
      <c r="AP183" s="173">
        <f t="shared" ca="1" si="32"/>
        <v>13</v>
      </c>
      <c r="AQ183" s="181"/>
      <c r="AR183" s="190" t="s">
        <v>3995</v>
      </c>
      <c r="AS183" s="176">
        <v>10.695</v>
      </c>
      <c r="AT183" s="176">
        <v>10.705</v>
      </c>
      <c r="AU183" s="176">
        <v>10.729999999999999</v>
      </c>
      <c r="AV183" s="176">
        <v>10.734999999999999</v>
      </c>
      <c r="AW183" s="173">
        <f t="shared" ca="1" si="28"/>
        <v>16</v>
      </c>
      <c r="AX183" s="142">
        <v>456</v>
      </c>
      <c r="AZ183" s="142" t="s">
        <v>123</v>
      </c>
    </row>
    <row r="184" spans="2:52" s="142" customFormat="1" ht="21" customHeight="1" x14ac:dyDescent="0.25">
      <c r="B184" s="173" t="str">
        <f t="shared" si="29"/>
        <v>0-304L/2B-1.50X642</v>
      </c>
      <c r="C184" s="201" t="s">
        <v>4820</v>
      </c>
      <c r="D184" s="173" t="s">
        <v>836</v>
      </c>
      <c r="E184" s="190" t="s">
        <v>4088</v>
      </c>
      <c r="F184" s="201" t="s">
        <v>4089</v>
      </c>
      <c r="G184" s="173" t="s">
        <v>182</v>
      </c>
      <c r="H184" s="173" t="s">
        <v>114</v>
      </c>
      <c r="I184" s="174">
        <v>3.79</v>
      </c>
      <c r="J184" s="174">
        <v>1.5</v>
      </c>
      <c r="K184" s="203">
        <v>1.48</v>
      </c>
      <c r="L184" s="203">
        <v>1.5</v>
      </c>
      <c r="M184" s="191">
        <v>642</v>
      </c>
      <c r="N184" s="176">
        <v>9.875</v>
      </c>
      <c r="O184" s="176">
        <v>9.875</v>
      </c>
      <c r="P184" s="176"/>
      <c r="Q184" s="176"/>
      <c r="R184" s="176" t="s">
        <v>114</v>
      </c>
      <c r="S184" s="209"/>
      <c r="T184" s="178" t="s">
        <v>4326</v>
      </c>
      <c r="U184" s="178"/>
      <c r="V184" s="179"/>
      <c r="W184" s="177">
        <v>44940</v>
      </c>
      <c r="X184" s="177"/>
      <c r="Y184" s="177"/>
      <c r="Z184" s="177">
        <v>44940</v>
      </c>
      <c r="AA184" s="177">
        <v>44945</v>
      </c>
      <c r="AB184" s="177"/>
      <c r="AC184" s="177">
        <v>44943</v>
      </c>
      <c r="AD184" s="177"/>
      <c r="AE184" s="177"/>
      <c r="AF184" s="177"/>
      <c r="AG184" s="180" t="s">
        <v>1609</v>
      </c>
      <c r="AH184" s="173" t="s">
        <v>69</v>
      </c>
      <c r="AI184" s="181" t="s">
        <v>142</v>
      </c>
      <c r="AJ184" s="181" t="s">
        <v>1594</v>
      </c>
      <c r="AK184" s="181"/>
      <c r="AL184" s="181">
        <v>44849</v>
      </c>
      <c r="AM184" s="181"/>
      <c r="AN184" s="181">
        <f t="shared" ca="1" si="30"/>
        <v>44958</v>
      </c>
      <c r="AO184" s="173">
        <f t="shared" ca="1" si="31"/>
        <v>109</v>
      </c>
      <c r="AP184" s="173">
        <f t="shared" ca="1" si="32"/>
        <v>13</v>
      </c>
      <c r="AQ184" s="181"/>
      <c r="AR184" s="190" t="s">
        <v>4090</v>
      </c>
      <c r="AS184" s="176">
        <v>9.875</v>
      </c>
      <c r="AT184" s="176">
        <v>9.8849999999999998</v>
      </c>
      <c r="AU184" s="176">
        <v>9.9099999999999984</v>
      </c>
      <c r="AV184" s="176">
        <v>9.9149999999999991</v>
      </c>
      <c r="AW184" s="173" t="str">
        <f t="shared" si="28"/>
        <v/>
      </c>
      <c r="AX184" s="142">
        <v>456</v>
      </c>
      <c r="AZ184" s="142" t="s">
        <v>123</v>
      </c>
    </row>
    <row r="185" spans="2:52" s="142" customFormat="1" ht="21" customHeight="1" x14ac:dyDescent="0.25">
      <c r="B185" s="173" t="str">
        <f t="shared" si="29"/>
        <v>0-304L/2B-1.20X641</v>
      </c>
      <c r="C185" s="201" t="s">
        <v>4820</v>
      </c>
      <c r="D185" s="173" t="s">
        <v>836</v>
      </c>
      <c r="E185" s="190" t="s">
        <v>4091</v>
      </c>
      <c r="F185" s="201" t="s">
        <v>4092</v>
      </c>
      <c r="G185" s="173" t="s">
        <v>182</v>
      </c>
      <c r="H185" s="173" t="s">
        <v>114</v>
      </c>
      <c r="I185" s="174">
        <v>2.89</v>
      </c>
      <c r="J185" s="174">
        <v>1.2</v>
      </c>
      <c r="K185" s="203">
        <v>1.18</v>
      </c>
      <c r="L185" s="203">
        <v>1.2</v>
      </c>
      <c r="M185" s="191">
        <v>641</v>
      </c>
      <c r="N185" s="176">
        <v>10.84</v>
      </c>
      <c r="O185" s="176">
        <v>10.71</v>
      </c>
      <c r="P185" s="176"/>
      <c r="Q185" s="176">
        <v>0.13</v>
      </c>
      <c r="R185" s="176" t="s">
        <v>114</v>
      </c>
      <c r="S185" s="209"/>
      <c r="T185" s="178" t="s">
        <v>4326</v>
      </c>
      <c r="U185" s="178"/>
      <c r="V185" s="179"/>
      <c r="W185" s="177">
        <v>44940</v>
      </c>
      <c r="X185" s="177"/>
      <c r="Y185" s="177"/>
      <c r="Z185" s="177">
        <v>44940</v>
      </c>
      <c r="AA185" s="177">
        <v>44945</v>
      </c>
      <c r="AB185" s="177"/>
      <c r="AC185" s="177">
        <v>44943</v>
      </c>
      <c r="AD185" s="177"/>
      <c r="AE185" s="177"/>
      <c r="AF185" s="177"/>
      <c r="AG185" s="180" t="s">
        <v>2479</v>
      </c>
      <c r="AH185" s="173" t="s">
        <v>69</v>
      </c>
      <c r="AI185" s="181" t="s">
        <v>142</v>
      </c>
      <c r="AJ185" s="181" t="s">
        <v>1594</v>
      </c>
      <c r="AK185" s="181"/>
      <c r="AL185" s="181">
        <v>44849</v>
      </c>
      <c r="AM185" s="181"/>
      <c r="AN185" s="181">
        <f t="shared" ca="1" si="30"/>
        <v>44958</v>
      </c>
      <c r="AO185" s="173">
        <f t="shared" ca="1" si="31"/>
        <v>109</v>
      </c>
      <c r="AP185" s="173">
        <f t="shared" ca="1" si="32"/>
        <v>13</v>
      </c>
      <c r="AQ185" s="181"/>
      <c r="AR185" s="190" t="s">
        <v>3970</v>
      </c>
      <c r="AS185" s="176">
        <v>10.734999999999999</v>
      </c>
      <c r="AT185" s="176">
        <v>10.744999999999999</v>
      </c>
      <c r="AU185" s="176">
        <v>10.769999999999998</v>
      </c>
      <c r="AV185" s="176">
        <v>10.774999999999999</v>
      </c>
      <c r="AW185" s="173" t="str">
        <f t="shared" si="28"/>
        <v/>
      </c>
      <c r="AX185" s="142">
        <v>456</v>
      </c>
      <c r="AZ185" s="142" t="s">
        <v>123</v>
      </c>
    </row>
    <row r="186" spans="2:52" s="142" customFormat="1" ht="21" customHeight="1" x14ac:dyDescent="0.25">
      <c r="B186" s="173" t="str">
        <f t="shared" si="29"/>
        <v>0-304L/2B-1.20X642</v>
      </c>
      <c r="C186" s="201" t="s">
        <v>4820</v>
      </c>
      <c r="D186" s="173" t="s">
        <v>836</v>
      </c>
      <c r="E186" s="190" t="s">
        <v>4035</v>
      </c>
      <c r="F186" s="201" t="s">
        <v>4036</v>
      </c>
      <c r="G186" s="173" t="s">
        <v>182</v>
      </c>
      <c r="H186" s="173" t="s">
        <v>114</v>
      </c>
      <c r="I186" s="174">
        <v>2.88</v>
      </c>
      <c r="J186" s="174">
        <v>1.2</v>
      </c>
      <c r="K186" s="203">
        <v>1.2</v>
      </c>
      <c r="L186" s="203">
        <v>1.22</v>
      </c>
      <c r="M186" s="191">
        <v>642</v>
      </c>
      <c r="N186" s="176">
        <v>8.81</v>
      </c>
      <c r="O186" s="176">
        <v>8.8049999999999997</v>
      </c>
      <c r="P186" s="176"/>
      <c r="Q186" s="176">
        <v>5.0000000000000001E-3</v>
      </c>
      <c r="R186" s="176" t="s">
        <v>114</v>
      </c>
      <c r="S186" s="209"/>
      <c r="T186" s="178" t="s">
        <v>4326</v>
      </c>
      <c r="U186" s="178"/>
      <c r="V186" s="179"/>
      <c r="W186" s="177">
        <v>44937</v>
      </c>
      <c r="X186" s="177"/>
      <c r="Y186" s="177"/>
      <c r="Z186" s="177">
        <v>44937</v>
      </c>
      <c r="AA186" s="177">
        <v>44945</v>
      </c>
      <c r="AB186" s="177"/>
      <c r="AC186" s="177">
        <v>44938</v>
      </c>
      <c r="AD186" s="177"/>
      <c r="AE186" s="177"/>
      <c r="AF186" s="177"/>
      <c r="AG186" s="180" t="s">
        <v>2479</v>
      </c>
      <c r="AH186" s="173" t="s">
        <v>69</v>
      </c>
      <c r="AI186" s="181" t="s">
        <v>142</v>
      </c>
      <c r="AJ186" s="181" t="s">
        <v>1657</v>
      </c>
      <c r="AK186" s="181"/>
      <c r="AL186" s="181">
        <v>44849</v>
      </c>
      <c r="AM186" s="181"/>
      <c r="AN186" s="181">
        <f t="shared" ca="1" si="30"/>
        <v>44958</v>
      </c>
      <c r="AO186" s="173">
        <f t="shared" ca="1" si="31"/>
        <v>109</v>
      </c>
      <c r="AP186" s="173">
        <f t="shared" ca="1" si="32"/>
        <v>13</v>
      </c>
      <c r="AQ186" s="181"/>
      <c r="AR186" s="190" t="s">
        <v>4037</v>
      </c>
      <c r="AS186" s="176">
        <v>8.81</v>
      </c>
      <c r="AT186" s="176">
        <v>8.82</v>
      </c>
      <c r="AU186" s="176">
        <v>8.8449999999999989</v>
      </c>
      <c r="AV186" s="176">
        <v>8.85</v>
      </c>
      <c r="AW186" s="173" t="str">
        <f t="shared" si="28"/>
        <v/>
      </c>
      <c r="AX186" s="142">
        <v>456</v>
      </c>
      <c r="AZ186" s="142" t="s">
        <v>123</v>
      </c>
    </row>
    <row r="187" spans="2:52" s="142" customFormat="1" ht="21" customHeight="1" x14ac:dyDescent="0.25">
      <c r="B187" s="173" t="str">
        <f t="shared" si="29"/>
        <v>0-304L/2B-1.20X640</v>
      </c>
      <c r="C187" s="201" t="s">
        <v>4820</v>
      </c>
      <c r="D187" s="173" t="s">
        <v>836</v>
      </c>
      <c r="E187" s="190" t="s">
        <v>4070</v>
      </c>
      <c r="F187" s="201" t="s">
        <v>4071</v>
      </c>
      <c r="G187" s="173" t="s">
        <v>182</v>
      </c>
      <c r="H187" s="173" t="s">
        <v>114</v>
      </c>
      <c r="I187" s="174">
        <v>2.98</v>
      </c>
      <c r="J187" s="174">
        <v>1.2</v>
      </c>
      <c r="K187" s="203">
        <v>1.18</v>
      </c>
      <c r="L187" s="203">
        <v>1.19</v>
      </c>
      <c r="M187" s="191">
        <v>640</v>
      </c>
      <c r="N187" s="176">
        <v>10.385</v>
      </c>
      <c r="O187" s="176">
        <v>10.31</v>
      </c>
      <c r="P187" s="176"/>
      <c r="Q187" s="176">
        <v>7.4999999999999997E-2</v>
      </c>
      <c r="R187" s="176" t="s">
        <v>114</v>
      </c>
      <c r="S187" s="209"/>
      <c r="T187" s="178" t="s">
        <v>4326</v>
      </c>
      <c r="U187" s="178"/>
      <c r="V187" s="179"/>
      <c r="W187" s="177">
        <v>44939</v>
      </c>
      <c r="X187" s="177"/>
      <c r="Y187" s="177"/>
      <c r="Z187" s="177">
        <v>44939</v>
      </c>
      <c r="AA187" s="177">
        <v>44946</v>
      </c>
      <c r="AB187" s="177"/>
      <c r="AC187" s="177"/>
      <c r="AD187" s="177"/>
      <c r="AE187" s="177"/>
      <c r="AF187" s="177"/>
      <c r="AG187" s="180" t="s">
        <v>2479</v>
      </c>
      <c r="AH187" s="173" t="s">
        <v>69</v>
      </c>
      <c r="AI187" s="181" t="s">
        <v>142</v>
      </c>
      <c r="AJ187" s="181" t="s">
        <v>1887</v>
      </c>
      <c r="AK187" s="181"/>
      <c r="AL187" s="181">
        <v>44880</v>
      </c>
      <c r="AM187" s="181"/>
      <c r="AN187" s="181">
        <f t="shared" ca="1" si="30"/>
        <v>44958</v>
      </c>
      <c r="AO187" s="173">
        <f t="shared" ca="1" si="31"/>
        <v>78</v>
      </c>
      <c r="AP187" s="173">
        <f t="shared" ca="1" si="32"/>
        <v>12</v>
      </c>
      <c r="AQ187" s="181"/>
      <c r="AR187" s="190" t="s">
        <v>2302</v>
      </c>
      <c r="AS187" s="176">
        <v>10.385</v>
      </c>
      <c r="AT187" s="176">
        <v>10.395</v>
      </c>
      <c r="AU187" s="176">
        <v>10.419999999999998</v>
      </c>
      <c r="AV187" s="176">
        <v>10.424999999999999</v>
      </c>
      <c r="AW187" s="173" t="str">
        <f t="shared" si="28"/>
        <v/>
      </c>
      <c r="AX187" s="142">
        <v>459</v>
      </c>
      <c r="AZ187" s="142" t="s">
        <v>123</v>
      </c>
    </row>
    <row r="188" spans="2:52" s="142" customFormat="1" ht="21" customHeight="1" x14ac:dyDescent="0.25">
      <c r="B188" s="173" t="str">
        <f t="shared" si="29"/>
        <v>0-304/2B-1.20X642</v>
      </c>
      <c r="C188" s="201" t="s">
        <v>4820</v>
      </c>
      <c r="D188" s="173" t="s">
        <v>836</v>
      </c>
      <c r="E188" s="190" t="s">
        <v>4064</v>
      </c>
      <c r="F188" s="201" t="s">
        <v>4404</v>
      </c>
      <c r="G188" s="173">
        <v>304</v>
      </c>
      <c r="H188" s="173" t="s">
        <v>114</v>
      </c>
      <c r="I188" s="174">
        <v>2.91</v>
      </c>
      <c r="J188" s="174">
        <v>1.2</v>
      </c>
      <c r="K188" s="203">
        <v>1.19</v>
      </c>
      <c r="L188" s="203">
        <v>1.2</v>
      </c>
      <c r="M188" s="191">
        <v>642</v>
      </c>
      <c r="N188" s="176">
        <v>4.6399999999999997</v>
      </c>
      <c r="O188" s="176">
        <v>4.5449999999999999</v>
      </c>
      <c r="P188" s="176"/>
      <c r="Q188" s="176">
        <v>9.5000000000000001E-2</v>
      </c>
      <c r="R188" s="176" t="s">
        <v>114</v>
      </c>
      <c r="S188" s="209"/>
      <c r="T188" s="178" t="s">
        <v>4326</v>
      </c>
      <c r="U188" s="178"/>
      <c r="V188" s="179"/>
      <c r="W188" s="177">
        <v>44938</v>
      </c>
      <c r="X188" s="177"/>
      <c r="Y188" s="177"/>
      <c r="Z188" s="177">
        <v>44939</v>
      </c>
      <c r="AA188" s="177">
        <v>44945</v>
      </c>
      <c r="AB188" s="177"/>
      <c r="AC188" s="177"/>
      <c r="AD188" s="177"/>
      <c r="AE188" s="177"/>
      <c r="AF188" s="177"/>
      <c r="AG188" s="180" t="s">
        <v>2479</v>
      </c>
      <c r="AH188" s="173" t="s">
        <v>69</v>
      </c>
      <c r="AI188" s="181" t="s">
        <v>142</v>
      </c>
      <c r="AJ188" s="181" t="s">
        <v>1657</v>
      </c>
      <c r="AK188" s="181"/>
      <c r="AL188" s="181">
        <v>44849</v>
      </c>
      <c r="AM188" s="181"/>
      <c r="AN188" s="181">
        <f t="shared" ca="1" si="30"/>
        <v>44958</v>
      </c>
      <c r="AO188" s="173">
        <f t="shared" ca="1" si="31"/>
        <v>109</v>
      </c>
      <c r="AP188" s="173">
        <f t="shared" ca="1" si="32"/>
        <v>13</v>
      </c>
      <c r="AQ188" s="181"/>
      <c r="AR188" s="190" t="s">
        <v>4066</v>
      </c>
      <c r="AS188" s="176">
        <v>8.5950000000000006</v>
      </c>
      <c r="AT188" s="176">
        <v>8.6050000000000004</v>
      </c>
      <c r="AU188" s="176">
        <v>8.629999999999999</v>
      </c>
      <c r="AV188" s="176">
        <v>8.6349999999999998</v>
      </c>
      <c r="AW188" s="173" t="str">
        <f t="shared" si="28"/>
        <v/>
      </c>
      <c r="AX188" s="142">
        <v>456</v>
      </c>
      <c r="AZ188" s="142" t="s">
        <v>123</v>
      </c>
    </row>
    <row r="189" spans="2:52" s="142" customFormat="1" ht="21" customHeight="1" x14ac:dyDescent="0.25">
      <c r="B189" s="173" t="str">
        <f t="shared" si="29"/>
        <v>0-304L/2B-0.30X631</v>
      </c>
      <c r="C189" s="201" t="s">
        <v>4821</v>
      </c>
      <c r="D189" s="173" t="s">
        <v>836</v>
      </c>
      <c r="E189" s="190" t="s">
        <v>4142</v>
      </c>
      <c r="F189" s="201" t="s">
        <v>4143</v>
      </c>
      <c r="G189" s="173" t="s">
        <v>182</v>
      </c>
      <c r="H189" s="173" t="s">
        <v>114</v>
      </c>
      <c r="I189" s="174">
        <v>0.6</v>
      </c>
      <c r="J189" s="174">
        <v>0.3</v>
      </c>
      <c r="K189" s="203"/>
      <c r="L189" s="203"/>
      <c r="M189" s="191">
        <v>631</v>
      </c>
      <c r="N189" s="176">
        <v>10.515000000000001</v>
      </c>
      <c r="O189" s="176">
        <v>10.505000000000001</v>
      </c>
      <c r="P189" s="176"/>
      <c r="Q189" s="176">
        <v>0.01</v>
      </c>
      <c r="R189" s="176" t="s">
        <v>114</v>
      </c>
      <c r="S189" s="209"/>
      <c r="T189" s="178" t="s">
        <v>1344</v>
      </c>
      <c r="U189" s="178"/>
      <c r="V189" s="179" t="s">
        <v>230</v>
      </c>
      <c r="W189" s="177" t="s">
        <v>4144</v>
      </c>
      <c r="X189" s="177"/>
      <c r="Y189" s="177">
        <v>44918</v>
      </c>
      <c r="Z189" s="177">
        <v>44944</v>
      </c>
      <c r="AA189" s="177" t="s">
        <v>4822</v>
      </c>
      <c r="AB189" s="177"/>
      <c r="AC189" s="177">
        <v>44939</v>
      </c>
      <c r="AD189" s="177"/>
      <c r="AE189" s="177"/>
      <c r="AF189" s="177"/>
      <c r="AG189" s="180" t="s">
        <v>1619</v>
      </c>
      <c r="AH189" s="173" t="s">
        <v>69</v>
      </c>
      <c r="AI189" s="181" t="s">
        <v>142</v>
      </c>
      <c r="AJ189" s="181" t="s">
        <v>1657</v>
      </c>
      <c r="AK189" s="181"/>
      <c r="AL189" s="181">
        <v>44849</v>
      </c>
      <c r="AM189" s="181"/>
      <c r="AN189" s="181">
        <f t="shared" ca="1" si="30"/>
        <v>44958</v>
      </c>
      <c r="AO189" s="173">
        <f t="shared" ca="1" si="31"/>
        <v>109</v>
      </c>
      <c r="AP189" s="173">
        <f t="shared" ca="1" si="32"/>
        <v>12</v>
      </c>
      <c r="AQ189" s="181"/>
      <c r="AR189" s="190" t="s">
        <v>1689</v>
      </c>
      <c r="AS189" s="176">
        <v>10.695</v>
      </c>
      <c r="AT189" s="176">
        <v>10.705</v>
      </c>
      <c r="AU189" s="176">
        <v>10.729999999999999</v>
      </c>
      <c r="AV189" s="176">
        <v>10.734999999999999</v>
      </c>
      <c r="AW189" s="173">
        <f t="shared" ca="1" si="28"/>
        <v>40</v>
      </c>
      <c r="AX189" s="142">
        <v>456</v>
      </c>
      <c r="AZ189" s="142" t="s">
        <v>123</v>
      </c>
    </row>
    <row r="190" spans="2:52" s="142" customFormat="1" ht="21" customHeight="1" x14ac:dyDescent="0.25">
      <c r="B190" s="173" t="str">
        <f t="shared" si="29"/>
        <v>0-304/2B-0.30X631</v>
      </c>
      <c r="C190" s="201" t="s">
        <v>4821</v>
      </c>
      <c r="D190" s="173" t="s">
        <v>836</v>
      </c>
      <c r="E190" s="190" t="s">
        <v>4155</v>
      </c>
      <c r="F190" s="201" t="s">
        <v>4156</v>
      </c>
      <c r="G190" s="173">
        <v>304</v>
      </c>
      <c r="H190" s="173" t="s">
        <v>114</v>
      </c>
      <c r="I190" s="174">
        <v>0.6</v>
      </c>
      <c r="J190" s="174">
        <v>0.3</v>
      </c>
      <c r="K190" s="203"/>
      <c r="L190" s="203"/>
      <c r="M190" s="191">
        <v>631</v>
      </c>
      <c r="N190" s="349">
        <v>10.335000000000001</v>
      </c>
      <c r="O190" s="176">
        <v>4.1550000000000002</v>
      </c>
      <c r="P190" s="176"/>
      <c r="Q190" s="176"/>
      <c r="R190" s="176" t="s">
        <v>114</v>
      </c>
      <c r="S190" s="209"/>
      <c r="T190" s="178" t="s">
        <v>1344</v>
      </c>
      <c r="U190" s="178"/>
      <c r="V190" s="179" t="s">
        <v>230</v>
      </c>
      <c r="W190" s="177" t="s">
        <v>4157</v>
      </c>
      <c r="X190" s="177"/>
      <c r="Y190" s="177"/>
      <c r="Z190" s="177" t="s">
        <v>4419</v>
      </c>
      <c r="AA190" s="177" t="s">
        <v>4823</v>
      </c>
      <c r="AB190" s="177"/>
      <c r="AC190" s="177" t="s">
        <v>4158</v>
      </c>
      <c r="AD190" s="177"/>
      <c r="AE190" s="177"/>
      <c r="AF190" s="177"/>
      <c r="AG190" s="180" t="s">
        <v>1619</v>
      </c>
      <c r="AH190" s="173" t="s">
        <v>69</v>
      </c>
      <c r="AI190" s="181" t="s">
        <v>142</v>
      </c>
      <c r="AJ190" s="181" t="s">
        <v>1657</v>
      </c>
      <c r="AK190" s="181"/>
      <c r="AL190" s="181">
        <v>44849</v>
      </c>
      <c r="AM190" s="181"/>
      <c r="AN190" s="181">
        <f t="shared" ca="1" si="30"/>
        <v>44958</v>
      </c>
      <c r="AO190" s="173">
        <f t="shared" ca="1" si="31"/>
        <v>109</v>
      </c>
      <c r="AP190" s="173">
        <f t="shared" ca="1" si="32"/>
        <v>12</v>
      </c>
      <c r="AQ190" s="181"/>
      <c r="AR190" s="190" t="s">
        <v>4121</v>
      </c>
      <c r="AS190" s="176">
        <v>10.525</v>
      </c>
      <c r="AT190" s="176">
        <v>10.535</v>
      </c>
      <c r="AU190" s="176">
        <v>10.559999999999999</v>
      </c>
      <c r="AV190" s="176">
        <v>10.565</v>
      </c>
      <c r="AW190" s="173" t="str">
        <f t="shared" si="28"/>
        <v/>
      </c>
      <c r="AX190" s="142">
        <v>456</v>
      </c>
      <c r="AZ190" s="142" t="s">
        <v>123</v>
      </c>
    </row>
    <row r="191" spans="2:52" s="142" customFormat="1" ht="21" customHeight="1" x14ac:dyDescent="0.25">
      <c r="B191" s="173" t="str">
        <f t="shared" si="29"/>
        <v>0-304/2B-0.30X631</v>
      </c>
      <c r="C191" s="201" t="s">
        <v>4821</v>
      </c>
      <c r="D191" s="173" t="s">
        <v>836</v>
      </c>
      <c r="E191" s="190" t="s">
        <v>4155</v>
      </c>
      <c r="F191" s="201" t="s">
        <v>4159</v>
      </c>
      <c r="G191" s="173">
        <v>304</v>
      </c>
      <c r="H191" s="173" t="s">
        <v>114</v>
      </c>
      <c r="I191" s="174">
        <v>0.6</v>
      </c>
      <c r="J191" s="174">
        <v>0.3</v>
      </c>
      <c r="K191" s="203"/>
      <c r="L191" s="203"/>
      <c r="M191" s="191">
        <v>631</v>
      </c>
      <c r="N191" s="350"/>
      <c r="O191" s="176">
        <v>6.17</v>
      </c>
      <c r="P191" s="176"/>
      <c r="Q191" s="176">
        <v>0.01</v>
      </c>
      <c r="R191" s="176" t="s">
        <v>114</v>
      </c>
      <c r="S191" s="209"/>
      <c r="T191" s="178" t="s">
        <v>1344</v>
      </c>
      <c r="U191" s="178"/>
      <c r="V191" s="179" t="s">
        <v>230</v>
      </c>
      <c r="W191" s="177" t="s">
        <v>4157</v>
      </c>
      <c r="X191" s="177"/>
      <c r="Y191" s="177"/>
      <c r="Z191" s="177" t="s">
        <v>4419</v>
      </c>
      <c r="AA191" s="177" t="s">
        <v>4823</v>
      </c>
      <c r="AB191" s="177"/>
      <c r="AC191" s="177" t="s">
        <v>4158</v>
      </c>
      <c r="AD191" s="177"/>
      <c r="AE191" s="177"/>
      <c r="AF191" s="177"/>
      <c r="AG191" s="180" t="s">
        <v>1619</v>
      </c>
      <c r="AH191" s="173" t="s">
        <v>69</v>
      </c>
      <c r="AI191" s="181" t="s">
        <v>142</v>
      </c>
      <c r="AJ191" s="181" t="s">
        <v>1657</v>
      </c>
      <c r="AK191" s="181"/>
      <c r="AL191" s="181">
        <v>44849</v>
      </c>
      <c r="AM191" s="181"/>
      <c r="AN191" s="181">
        <f t="shared" ca="1" si="30"/>
        <v>44958</v>
      </c>
      <c r="AO191" s="173">
        <f t="shared" ca="1" si="31"/>
        <v>109</v>
      </c>
      <c r="AP191" s="173">
        <f t="shared" ca="1" si="32"/>
        <v>12</v>
      </c>
      <c r="AQ191" s="181"/>
      <c r="AR191" s="190" t="s">
        <v>4121</v>
      </c>
      <c r="AS191" s="176">
        <v>10.525</v>
      </c>
      <c r="AT191" s="176">
        <v>10.535</v>
      </c>
      <c r="AU191" s="176">
        <v>10.559999999999999</v>
      </c>
      <c r="AV191" s="176">
        <v>10.565</v>
      </c>
      <c r="AW191" s="173" t="str">
        <f t="shared" si="28"/>
        <v/>
      </c>
      <c r="AX191" s="142">
        <v>456</v>
      </c>
      <c r="AZ191" s="142" t="s">
        <v>123</v>
      </c>
    </row>
    <row r="192" spans="2:52" s="142" customFormat="1" ht="21" customHeight="1" x14ac:dyDescent="0.25">
      <c r="B192" s="173" t="str">
        <f t="shared" si="29"/>
        <v>0-304L/2B-0.80X773</v>
      </c>
      <c r="C192" s="201" t="s">
        <v>4824</v>
      </c>
      <c r="D192" s="173" t="s">
        <v>4432</v>
      </c>
      <c r="E192" s="190" t="s">
        <v>3999</v>
      </c>
      <c r="F192" s="201" t="s">
        <v>4825</v>
      </c>
      <c r="G192" s="173" t="s">
        <v>182</v>
      </c>
      <c r="H192" s="173" t="s">
        <v>114</v>
      </c>
      <c r="I192" s="174">
        <v>2.8</v>
      </c>
      <c r="J192" s="174">
        <v>0.8</v>
      </c>
      <c r="K192" s="203"/>
      <c r="L192" s="203"/>
      <c r="M192" s="191">
        <v>773</v>
      </c>
      <c r="N192" s="176">
        <v>10.54</v>
      </c>
      <c r="O192" s="176">
        <f>5.18+5.345</f>
        <v>10.524999999999999</v>
      </c>
      <c r="P192" s="176"/>
      <c r="Q192" s="176">
        <v>1.4999999999999999E-2</v>
      </c>
      <c r="R192" s="176" t="s">
        <v>114</v>
      </c>
      <c r="S192" s="209" t="s">
        <v>4826</v>
      </c>
      <c r="T192" s="178" t="s">
        <v>1540</v>
      </c>
      <c r="U192" s="178"/>
      <c r="V192" s="179"/>
      <c r="W192" s="177">
        <v>44935</v>
      </c>
      <c r="X192" s="177"/>
      <c r="Y192" s="177">
        <v>44936</v>
      </c>
      <c r="Z192" s="177"/>
      <c r="AA192" s="177"/>
      <c r="AB192" s="177"/>
      <c r="AC192" s="177"/>
      <c r="AD192" s="177"/>
      <c r="AE192" s="177"/>
      <c r="AF192" s="177"/>
      <c r="AG192" s="180" t="s">
        <v>1507</v>
      </c>
      <c r="AH192" s="173" t="s">
        <v>69</v>
      </c>
      <c r="AI192" s="181" t="s">
        <v>142</v>
      </c>
      <c r="AJ192" s="181" t="s">
        <v>1584</v>
      </c>
      <c r="AK192" s="181"/>
      <c r="AL192" s="181">
        <v>44914</v>
      </c>
      <c r="AM192" s="181"/>
      <c r="AN192" s="181">
        <f t="shared" ca="1" si="30"/>
        <v>44958</v>
      </c>
      <c r="AO192" s="173">
        <f t="shared" ca="1" si="31"/>
        <v>44</v>
      </c>
      <c r="AP192" s="173" t="str">
        <f t="shared" si="32"/>
        <v/>
      </c>
      <c r="AQ192" s="181"/>
      <c r="AR192" s="190" t="s">
        <v>4001</v>
      </c>
      <c r="AS192" s="176">
        <v>10.574999999999999</v>
      </c>
      <c r="AT192" s="176">
        <v>10.585000000000001</v>
      </c>
      <c r="AU192" s="176">
        <v>10.61</v>
      </c>
      <c r="AV192" s="176">
        <v>10.615</v>
      </c>
      <c r="AW192" s="173">
        <f t="shared" ca="1" si="28"/>
        <v>22</v>
      </c>
      <c r="AX192" s="142">
        <v>462</v>
      </c>
      <c r="AZ192" s="142" t="s">
        <v>123</v>
      </c>
    </row>
    <row r="193" spans="2:52" s="142" customFormat="1" ht="21" customHeight="1" x14ac:dyDescent="0.25">
      <c r="B193" s="173" t="str">
        <f t="shared" si="29"/>
        <v>0-304L/2B-1.20X765</v>
      </c>
      <c r="C193" s="201" t="s">
        <v>4824</v>
      </c>
      <c r="D193" s="173" t="s">
        <v>4432</v>
      </c>
      <c r="E193" s="190" t="s">
        <v>3860</v>
      </c>
      <c r="F193" s="201" t="s">
        <v>4827</v>
      </c>
      <c r="G193" s="173" t="s">
        <v>182</v>
      </c>
      <c r="H193" s="173" t="s">
        <v>114</v>
      </c>
      <c r="I193" s="174">
        <v>3.78</v>
      </c>
      <c r="J193" s="174">
        <v>1.2</v>
      </c>
      <c r="K193" s="203"/>
      <c r="L193" s="203"/>
      <c r="M193" s="191">
        <v>765</v>
      </c>
      <c r="N193" s="176">
        <v>11.845000000000001</v>
      </c>
      <c r="O193" s="176">
        <f>3.985+3.985+3.83</f>
        <v>11.8</v>
      </c>
      <c r="P193" s="176"/>
      <c r="Q193" s="176">
        <v>4.4999999999999998E-2</v>
      </c>
      <c r="R193" s="176" t="s">
        <v>114</v>
      </c>
      <c r="S193" s="209" t="s">
        <v>4828</v>
      </c>
      <c r="T193" s="178" t="s">
        <v>4829</v>
      </c>
      <c r="U193" s="178"/>
      <c r="V193" s="179"/>
      <c r="W193" s="177">
        <v>44929</v>
      </c>
      <c r="X193" s="177"/>
      <c r="Y193" s="177">
        <v>44929</v>
      </c>
      <c r="Z193" s="177"/>
      <c r="AA193" s="177"/>
      <c r="AB193" s="177"/>
      <c r="AC193" s="177"/>
      <c r="AD193" s="177"/>
      <c r="AE193" s="177"/>
      <c r="AF193" s="177"/>
      <c r="AG193" s="180" t="s">
        <v>1345</v>
      </c>
      <c r="AH193" s="173" t="s">
        <v>69</v>
      </c>
      <c r="AI193" s="181" t="s">
        <v>142</v>
      </c>
      <c r="AJ193" s="181" t="s">
        <v>2283</v>
      </c>
      <c r="AK193" s="181"/>
      <c r="AL193" s="181">
        <v>44880</v>
      </c>
      <c r="AM193" s="181"/>
      <c r="AN193" s="181">
        <f t="shared" ca="1" si="30"/>
        <v>44958</v>
      </c>
      <c r="AO193" s="173">
        <f t="shared" ca="1" si="31"/>
        <v>78</v>
      </c>
      <c r="AP193" s="173" t="str">
        <f t="shared" si="32"/>
        <v/>
      </c>
      <c r="AQ193" s="181"/>
      <c r="AR193" s="190" t="s">
        <v>3862</v>
      </c>
      <c r="AS193" s="176">
        <v>11.87</v>
      </c>
      <c r="AT193" s="176">
        <v>11.879999999999999</v>
      </c>
      <c r="AU193" s="176">
        <v>11.904999999999998</v>
      </c>
      <c r="AV193" s="176">
        <v>11.909999999999998</v>
      </c>
      <c r="AW193" s="173">
        <f t="shared" ca="1" si="28"/>
        <v>29</v>
      </c>
      <c r="AX193" s="142">
        <v>459</v>
      </c>
      <c r="AZ193" s="142" t="s">
        <v>123</v>
      </c>
    </row>
    <row r="194" spans="2:52" s="142" customFormat="1" ht="21" customHeight="1" x14ac:dyDescent="0.25">
      <c r="B194" s="173" t="str">
        <f t="shared" si="29"/>
        <v>0-304/2B-1.50X765</v>
      </c>
      <c r="C194" s="201" t="s">
        <v>4824</v>
      </c>
      <c r="D194" s="173" t="s">
        <v>4432</v>
      </c>
      <c r="E194" s="190" t="s">
        <v>4830</v>
      </c>
      <c r="F194" s="201" t="s">
        <v>4831</v>
      </c>
      <c r="G194" s="173">
        <v>304</v>
      </c>
      <c r="H194" s="173" t="s">
        <v>114</v>
      </c>
      <c r="I194" s="174">
        <v>3.78</v>
      </c>
      <c r="J194" s="174">
        <v>1.5</v>
      </c>
      <c r="K194" s="203"/>
      <c r="L194" s="203"/>
      <c r="M194" s="191">
        <v>765</v>
      </c>
      <c r="N194" s="176">
        <v>10.39</v>
      </c>
      <c r="O194" s="176">
        <f>5.11+5.235</f>
        <v>10.345000000000001</v>
      </c>
      <c r="P194" s="176"/>
      <c r="Q194" s="176">
        <v>4.4999999999999998E-2</v>
      </c>
      <c r="R194" s="176" t="s">
        <v>114</v>
      </c>
      <c r="S194" s="209" t="s">
        <v>4832</v>
      </c>
      <c r="T194" s="178" t="s">
        <v>4833</v>
      </c>
      <c r="U194" s="178"/>
      <c r="V194" s="179"/>
      <c r="W194" s="177">
        <v>44918</v>
      </c>
      <c r="X194" s="177"/>
      <c r="Y194" s="177">
        <v>44918</v>
      </c>
      <c r="Z194" s="177"/>
      <c r="AA194" s="177"/>
      <c r="AB194" s="177"/>
      <c r="AC194" s="177"/>
      <c r="AD194" s="177"/>
      <c r="AE194" s="177"/>
      <c r="AF194" s="177"/>
      <c r="AG194" s="180" t="s">
        <v>4437</v>
      </c>
      <c r="AH194" s="173" t="s">
        <v>69</v>
      </c>
      <c r="AI194" s="181" t="s">
        <v>142</v>
      </c>
      <c r="AJ194" s="181" t="s">
        <v>2283</v>
      </c>
      <c r="AK194" s="181"/>
      <c r="AL194" s="181">
        <v>44880</v>
      </c>
      <c r="AM194" s="181"/>
      <c r="AN194" s="181">
        <f t="shared" ca="1" si="30"/>
        <v>44958</v>
      </c>
      <c r="AO194" s="173">
        <f t="shared" ca="1" si="31"/>
        <v>78</v>
      </c>
      <c r="AP194" s="173" t="str">
        <f t="shared" si="32"/>
        <v/>
      </c>
      <c r="AQ194" s="181"/>
      <c r="AR194" s="190" t="s">
        <v>4652</v>
      </c>
      <c r="AS194" s="176">
        <v>10.414999999999999</v>
      </c>
      <c r="AT194" s="176">
        <v>10.424999999999999</v>
      </c>
      <c r="AU194" s="176">
        <v>10.449999999999998</v>
      </c>
      <c r="AV194" s="176">
        <v>10.454999999999998</v>
      </c>
      <c r="AW194" s="173">
        <f t="shared" ca="1" si="28"/>
        <v>40</v>
      </c>
      <c r="AX194" s="142">
        <v>459</v>
      </c>
      <c r="AZ194" s="142" t="s">
        <v>123</v>
      </c>
    </row>
    <row r="195" spans="2:52" s="142" customFormat="1" ht="21" customHeight="1" x14ac:dyDescent="0.25">
      <c r="B195" s="173" t="str">
        <f t="shared" si="29"/>
        <v>0-304/2B-0.90X765</v>
      </c>
      <c r="C195" s="201" t="s">
        <v>4824</v>
      </c>
      <c r="D195" s="173" t="s">
        <v>4432</v>
      </c>
      <c r="E195" s="190" t="s">
        <v>3895</v>
      </c>
      <c r="F195" s="201" t="s">
        <v>4834</v>
      </c>
      <c r="G195" s="173">
        <v>304</v>
      </c>
      <c r="H195" s="173" t="s">
        <v>114</v>
      </c>
      <c r="I195" s="174">
        <v>2.89</v>
      </c>
      <c r="J195" s="174">
        <v>0.9</v>
      </c>
      <c r="K195" s="203"/>
      <c r="L195" s="203"/>
      <c r="M195" s="191">
        <v>765</v>
      </c>
      <c r="N195" s="349">
        <v>10.445</v>
      </c>
      <c r="O195" s="176">
        <v>3.1</v>
      </c>
      <c r="P195" s="176"/>
      <c r="Q195" s="176"/>
      <c r="R195" s="176" t="s">
        <v>114</v>
      </c>
      <c r="S195" s="209"/>
      <c r="T195" s="178" t="s">
        <v>115</v>
      </c>
      <c r="U195" s="178"/>
      <c r="V195" s="179"/>
      <c r="W195" s="177">
        <v>44930</v>
      </c>
      <c r="X195" s="177"/>
      <c r="Y195" s="177">
        <v>44930</v>
      </c>
      <c r="Z195" s="177"/>
      <c r="AA195" s="177"/>
      <c r="AB195" s="177"/>
      <c r="AC195" s="177"/>
      <c r="AD195" s="177">
        <v>44926</v>
      </c>
      <c r="AE195" s="177"/>
      <c r="AF195" s="177"/>
      <c r="AG195" s="180" t="s">
        <v>1345</v>
      </c>
      <c r="AH195" s="173" t="s">
        <v>69</v>
      </c>
      <c r="AI195" s="181" t="s">
        <v>142</v>
      </c>
      <c r="AJ195" s="181" t="s">
        <v>1508</v>
      </c>
      <c r="AK195" s="181"/>
      <c r="AL195" s="181">
        <v>44849</v>
      </c>
      <c r="AM195" s="181"/>
      <c r="AN195" s="181">
        <f t="shared" ca="1" si="30"/>
        <v>44958</v>
      </c>
      <c r="AO195" s="173">
        <f t="shared" ca="1" si="31"/>
        <v>109</v>
      </c>
      <c r="AP195" s="173" t="str">
        <f t="shared" si="32"/>
        <v/>
      </c>
      <c r="AQ195" s="181"/>
      <c r="AR195" s="190" t="s">
        <v>3897</v>
      </c>
      <c r="AS195" s="176">
        <v>20.984999999999999</v>
      </c>
      <c r="AT195" s="176">
        <v>21.045000000000002</v>
      </c>
      <c r="AU195" s="176">
        <v>21.070000000000004</v>
      </c>
      <c r="AV195" s="176">
        <v>21.075000000000003</v>
      </c>
      <c r="AW195" s="173">
        <f t="shared" ca="1" si="28"/>
        <v>28</v>
      </c>
      <c r="AX195" s="142">
        <v>456</v>
      </c>
      <c r="AZ195" s="142" t="s">
        <v>123</v>
      </c>
    </row>
    <row r="196" spans="2:52" s="142" customFormat="1" ht="21" customHeight="1" x14ac:dyDescent="0.25">
      <c r="B196" s="173" t="str">
        <f t="shared" si="29"/>
        <v>0-304/2B-0.90X765</v>
      </c>
      <c r="C196" s="201" t="s">
        <v>4821</v>
      </c>
      <c r="D196" s="173" t="s">
        <v>836</v>
      </c>
      <c r="E196" s="190" t="s">
        <v>3895</v>
      </c>
      <c r="F196" s="201" t="s">
        <v>4835</v>
      </c>
      <c r="G196" s="173">
        <v>304</v>
      </c>
      <c r="H196" s="173" t="s">
        <v>114</v>
      </c>
      <c r="I196" s="174">
        <v>2.89</v>
      </c>
      <c r="J196" s="174">
        <v>0.9</v>
      </c>
      <c r="K196" s="203"/>
      <c r="L196" s="203"/>
      <c r="M196" s="191">
        <v>765</v>
      </c>
      <c r="N196" s="350"/>
      <c r="O196" s="176">
        <v>7.3150000000000004</v>
      </c>
      <c r="P196" s="176"/>
      <c r="Q196" s="176">
        <v>0.03</v>
      </c>
      <c r="R196" s="176" t="s">
        <v>114</v>
      </c>
      <c r="S196" s="209"/>
      <c r="T196" s="178" t="s">
        <v>1540</v>
      </c>
      <c r="U196" s="178"/>
      <c r="V196" s="179"/>
      <c r="W196" s="177">
        <v>44930</v>
      </c>
      <c r="X196" s="177"/>
      <c r="Y196" s="177">
        <v>44930</v>
      </c>
      <c r="Z196" s="177"/>
      <c r="AA196" s="177">
        <v>44946</v>
      </c>
      <c r="AB196" s="177"/>
      <c r="AC196" s="177"/>
      <c r="AD196" s="177">
        <v>44926</v>
      </c>
      <c r="AE196" s="177"/>
      <c r="AF196" s="177"/>
      <c r="AG196" s="180" t="s">
        <v>1345</v>
      </c>
      <c r="AH196" s="173" t="s">
        <v>69</v>
      </c>
      <c r="AI196" s="181" t="s">
        <v>142</v>
      </c>
      <c r="AJ196" s="181" t="s">
        <v>1508</v>
      </c>
      <c r="AK196" s="181"/>
      <c r="AL196" s="181">
        <v>44849</v>
      </c>
      <c r="AM196" s="181"/>
      <c r="AN196" s="181">
        <f t="shared" ca="1" si="30"/>
        <v>44958</v>
      </c>
      <c r="AO196" s="173">
        <f t="shared" ca="1" si="31"/>
        <v>109</v>
      </c>
      <c r="AP196" s="173">
        <f t="shared" ca="1" si="32"/>
        <v>12</v>
      </c>
      <c r="AQ196" s="181"/>
      <c r="AR196" s="190" t="s">
        <v>3897</v>
      </c>
      <c r="AS196" s="176">
        <v>20.984999999999999</v>
      </c>
      <c r="AT196" s="176">
        <v>21.045000000000002</v>
      </c>
      <c r="AU196" s="176">
        <v>21.070000000000004</v>
      </c>
      <c r="AV196" s="176">
        <v>21.075000000000003</v>
      </c>
      <c r="AW196" s="173">
        <f t="shared" ca="1" si="28"/>
        <v>28</v>
      </c>
      <c r="AX196" s="142">
        <v>456</v>
      </c>
      <c r="AZ196" s="142" t="s">
        <v>123</v>
      </c>
    </row>
    <row r="197" spans="2:52" s="142" customFormat="1" ht="21" customHeight="1" x14ac:dyDescent="0.25">
      <c r="B197" s="173" t="str">
        <f t="shared" si="29"/>
        <v>0-304/2B-1.20X773</v>
      </c>
      <c r="C197" s="201" t="s">
        <v>4824</v>
      </c>
      <c r="D197" s="173" t="s">
        <v>4432</v>
      </c>
      <c r="E197" s="190" t="s">
        <v>4836</v>
      </c>
      <c r="F197" s="201" t="s">
        <v>4837</v>
      </c>
      <c r="G197" s="173">
        <v>304</v>
      </c>
      <c r="H197" s="173" t="s">
        <v>114</v>
      </c>
      <c r="I197" s="174">
        <v>3.78</v>
      </c>
      <c r="J197" s="174">
        <v>1.2</v>
      </c>
      <c r="K197" s="203"/>
      <c r="L197" s="203"/>
      <c r="M197" s="191">
        <v>773</v>
      </c>
      <c r="N197" s="176">
        <v>10.515000000000001</v>
      </c>
      <c r="O197" s="176">
        <f>5.165+5.32</f>
        <v>10.484999999999999</v>
      </c>
      <c r="P197" s="176"/>
      <c r="Q197" s="176">
        <v>0.03</v>
      </c>
      <c r="R197" s="176" t="s">
        <v>114</v>
      </c>
      <c r="S197" s="209" t="s">
        <v>4832</v>
      </c>
      <c r="T197" s="178" t="s">
        <v>4436</v>
      </c>
      <c r="U197" s="178"/>
      <c r="V197" s="179"/>
      <c r="W197" s="177">
        <v>44914</v>
      </c>
      <c r="X197" s="177"/>
      <c r="Y197" s="177">
        <v>44914</v>
      </c>
      <c r="Z197" s="177"/>
      <c r="AA197" s="177"/>
      <c r="AB197" s="177"/>
      <c r="AC197" s="177"/>
      <c r="AD197" s="177"/>
      <c r="AE197" s="177"/>
      <c r="AF197" s="177"/>
      <c r="AG197" s="180" t="s">
        <v>4437</v>
      </c>
      <c r="AH197" s="173" t="s">
        <v>69</v>
      </c>
      <c r="AI197" s="181" t="s">
        <v>142</v>
      </c>
      <c r="AJ197" s="181" t="s">
        <v>2283</v>
      </c>
      <c r="AK197" s="181"/>
      <c r="AL197" s="181">
        <v>44880</v>
      </c>
      <c r="AM197" s="181"/>
      <c r="AN197" s="181">
        <f t="shared" ca="1" si="30"/>
        <v>44958</v>
      </c>
      <c r="AO197" s="173">
        <f t="shared" ca="1" si="31"/>
        <v>78</v>
      </c>
      <c r="AP197" s="173" t="str">
        <f t="shared" si="32"/>
        <v/>
      </c>
      <c r="AQ197" s="181"/>
      <c r="AR197" s="190" t="s">
        <v>4438</v>
      </c>
      <c r="AS197" s="176">
        <v>10.545</v>
      </c>
      <c r="AT197" s="176">
        <v>10.555</v>
      </c>
      <c r="AU197" s="176">
        <v>10.579999999999998</v>
      </c>
      <c r="AV197" s="176">
        <v>10.584999999999999</v>
      </c>
      <c r="AW197" s="173">
        <f t="shared" ca="1" si="28"/>
        <v>44</v>
      </c>
      <c r="AX197" s="142">
        <v>459</v>
      </c>
      <c r="AZ197" s="142" t="s">
        <v>123</v>
      </c>
    </row>
    <row r="198" spans="2:52" s="142" customFormat="1" ht="21" customHeight="1" x14ac:dyDescent="0.25">
      <c r="B198" s="173" t="str">
        <f t="shared" si="29"/>
        <v>0-304L/2B-2.00X768</v>
      </c>
      <c r="C198" s="201" t="s">
        <v>4824</v>
      </c>
      <c r="D198" s="173" t="s">
        <v>4432</v>
      </c>
      <c r="E198" s="190" t="s">
        <v>4025</v>
      </c>
      <c r="F198" s="201" t="s">
        <v>4838</v>
      </c>
      <c r="G198" s="173" t="s">
        <v>182</v>
      </c>
      <c r="H198" s="173" t="s">
        <v>114</v>
      </c>
      <c r="I198" s="174">
        <v>3.8</v>
      </c>
      <c r="J198" s="174">
        <v>2</v>
      </c>
      <c r="K198" s="203"/>
      <c r="L198" s="203"/>
      <c r="M198" s="191">
        <v>768</v>
      </c>
      <c r="N198" s="176">
        <v>12.275</v>
      </c>
      <c r="O198" s="176">
        <f>3.975+4.045+4.215</f>
        <v>12.234999999999999</v>
      </c>
      <c r="P198" s="176"/>
      <c r="Q198" s="176">
        <v>0.04</v>
      </c>
      <c r="R198" s="176" t="s">
        <v>114</v>
      </c>
      <c r="S198" s="209" t="s">
        <v>4839</v>
      </c>
      <c r="T198" s="178" t="s">
        <v>4840</v>
      </c>
      <c r="U198" s="178"/>
      <c r="V198" s="179"/>
      <c r="W198" s="177">
        <v>44936</v>
      </c>
      <c r="X198" s="177"/>
      <c r="Y198" s="177">
        <v>44937</v>
      </c>
      <c r="Z198" s="177"/>
      <c r="AA198" s="177"/>
      <c r="AB198" s="177"/>
      <c r="AC198" s="177"/>
      <c r="AD198" s="177">
        <v>44932</v>
      </c>
      <c r="AE198" s="177"/>
      <c r="AF198" s="177"/>
      <c r="AG198" s="180" t="s">
        <v>1507</v>
      </c>
      <c r="AH198" s="173" t="s">
        <v>69</v>
      </c>
      <c r="AI198" s="181" t="s">
        <v>142</v>
      </c>
      <c r="AJ198" s="181" t="s">
        <v>1508</v>
      </c>
      <c r="AK198" s="181"/>
      <c r="AL198" s="181">
        <v>44849</v>
      </c>
      <c r="AM198" s="181"/>
      <c r="AN198" s="181">
        <f t="shared" ca="1" si="30"/>
        <v>44958</v>
      </c>
      <c r="AO198" s="173">
        <f t="shared" ca="1" si="31"/>
        <v>109</v>
      </c>
      <c r="AP198" s="173" t="str">
        <f t="shared" si="32"/>
        <v/>
      </c>
      <c r="AQ198" s="181"/>
      <c r="AR198" s="190" t="s">
        <v>4027</v>
      </c>
      <c r="AS198" s="176">
        <v>24.6</v>
      </c>
      <c r="AT198" s="176">
        <v>24.66</v>
      </c>
      <c r="AU198" s="176">
        <v>24.685000000000002</v>
      </c>
      <c r="AV198" s="176">
        <v>24.69</v>
      </c>
      <c r="AW198" s="173">
        <f t="shared" ca="1" si="28"/>
        <v>21</v>
      </c>
      <c r="AX198" s="142">
        <v>456</v>
      </c>
      <c r="AZ198" s="142" t="s">
        <v>123</v>
      </c>
    </row>
    <row r="199" spans="2:52" s="142" customFormat="1" ht="21" customHeight="1" x14ac:dyDescent="0.25">
      <c r="B199" s="173" t="str">
        <f t="shared" si="29"/>
        <v>0-304/2B-1.50X768</v>
      </c>
      <c r="C199" s="201" t="s">
        <v>4841</v>
      </c>
      <c r="D199" s="173" t="s">
        <v>4432</v>
      </c>
      <c r="E199" s="190" t="s">
        <v>4842</v>
      </c>
      <c r="F199" s="201" t="s">
        <v>4843</v>
      </c>
      <c r="G199" s="173">
        <v>304</v>
      </c>
      <c r="H199" s="173" t="s">
        <v>114</v>
      </c>
      <c r="I199" s="174">
        <v>3.86</v>
      </c>
      <c r="J199" s="174">
        <v>1.5</v>
      </c>
      <c r="K199" s="203"/>
      <c r="L199" s="203"/>
      <c r="M199" s="191">
        <v>768</v>
      </c>
      <c r="N199" s="176">
        <v>10.445</v>
      </c>
      <c r="O199" s="176">
        <f>5.13+5.275</f>
        <v>10.405000000000001</v>
      </c>
      <c r="P199" s="176"/>
      <c r="Q199" s="176">
        <v>0.04</v>
      </c>
      <c r="R199" s="176" t="s">
        <v>114</v>
      </c>
      <c r="S199" s="209" t="s">
        <v>4832</v>
      </c>
      <c r="T199" s="178" t="s">
        <v>4436</v>
      </c>
      <c r="U199" s="178"/>
      <c r="V199" s="179"/>
      <c r="W199" s="177">
        <v>44914</v>
      </c>
      <c r="X199" s="177"/>
      <c r="Y199" s="177">
        <v>44915</v>
      </c>
      <c r="Z199" s="177"/>
      <c r="AA199" s="177"/>
      <c r="AB199" s="177"/>
      <c r="AC199" s="177"/>
      <c r="AD199" s="177"/>
      <c r="AE199" s="177"/>
      <c r="AF199" s="177"/>
      <c r="AG199" s="180" t="s">
        <v>4437</v>
      </c>
      <c r="AH199" s="173" t="s">
        <v>69</v>
      </c>
      <c r="AI199" s="181" t="s">
        <v>142</v>
      </c>
      <c r="AJ199" s="181" t="s">
        <v>2283</v>
      </c>
      <c r="AK199" s="181"/>
      <c r="AL199" s="181">
        <v>44880</v>
      </c>
      <c r="AM199" s="181"/>
      <c r="AN199" s="181">
        <f t="shared" ca="1" si="30"/>
        <v>44958</v>
      </c>
      <c r="AO199" s="173">
        <f t="shared" ca="1" si="31"/>
        <v>78</v>
      </c>
      <c r="AP199" s="173" t="str">
        <f t="shared" si="32"/>
        <v/>
      </c>
      <c r="AQ199" s="181"/>
      <c r="AR199" s="190" t="s">
        <v>4716</v>
      </c>
      <c r="AS199" s="176">
        <v>10.48</v>
      </c>
      <c r="AT199" s="176">
        <v>10.49</v>
      </c>
      <c r="AU199" s="176">
        <v>10.514999999999999</v>
      </c>
      <c r="AV199" s="176">
        <v>10.52</v>
      </c>
      <c r="AW199" s="173">
        <f t="shared" ca="1" si="28"/>
        <v>43</v>
      </c>
      <c r="AX199" s="142">
        <v>459</v>
      </c>
      <c r="AZ199" s="142" t="s">
        <v>123</v>
      </c>
    </row>
    <row r="200" spans="2:52" s="142" customFormat="1" ht="21" customHeight="1" x14ac:dyDescent="0.25">
      <c r="B200" s="173" t="str">
        <f t="shared" si="29"/>
        <v>0-304/2B-1.50X765</v>
      </c>
      <c r="C200" s="201" t="s">
        <v>4841</v>
      </c>
      <c r="D200" s="173" t="s">
        <v>4432</v>
      </c>
      <c r="E200" s="190" t="s">
        <v>4844</v>
      </c>
      <c r="F200" s="201" t="s">
        <v>4845</v>
      </c>
      <c r="G200" s="173">
        <v>304</v>
      </c>
      <c r="H200" s="173" t="s">
        <v>114</v>
      </c>
      <c r="I200" s="174">
        <v>3.89</v>
      </c>
      <c r="J200" s="174">
        <v>1.5</v>
      </c>
      <c r="K200" s="203"/>
      <c r="L200" s="203"/>
      <c r="M200" s="191">
        <v>765</v>
      </c>
      <c r="N200" s="176">
        <v>10.494999999999999</v>
      </c>
      <c r="O200" s="176">
        <f>5.175+5.255</f>
        <v>10.43</v>
      </c>
      <c r="P200" s="176"/>
      <c r="Q200" s="176">
        <v>6.5000000000000002E-2</v>
      </c>
      <c r="R200" s="176" t="s">
        <v>114</v>
      </c>
      <c r="S200" s="209" t="s">
        <v>4832</v>
      </c>
      <c r="T200" s="178" t="s">
        <v>4436</v>
      </c>
      <c r="U200" s="178"/>
      <c r="V200" s="179"/>
      <c r="W200" s="177">
        <v>44914</v>
      </c>
      <c r="X200" s="177"/>
      <c r="Y200" s="177">
        <v>44915</v>
      </c>
      <c r="Z200" s="177"/>
      <c r="AA200" s="177"/>
      <c r="AB200" s="177"/>
      <c r="AC200" s="177"/>
      <c r="AD200" s="177"/>
      <c r="AE200" s="177"/>
      <c r="AF200" s="177"/>
      <c r="AG200" s="180" t="s">
        <v>4437</v>
      </c>
      <c r="AH200" s="173" t="s">
        <v>69</v>
      </c>
      <c r="AI200" s="181" t="s">
        <v>142</v>
      </c>
      <c r="AJ200" s="181" t="s">
        <v>2283</v>
      </c>
      <c r="AK200" s="181"/>
      <c r="AL200" s="181">
        <v>44880</v>
      </c>
      <c r="AM200" s="181"/>
      <c r="AN200" s="181">
        <f t="shared" ca="1" si="30"/>
        <v>44958</v>
      </c>
      <c r="AO200" s="173">
        <f t="shared" ca="1" si="31"/>
        <v>78</v>
      </c>
      <c r="AP200" s="173" t="str">
        <f t="shared" si="32"/>
        <v/>
      </c>
      <c r="AQ200" s="181"/>
      <c r="AR200" s="190" t="s">
        <v>4846</v>
      </c>
      <c r="AS200" s="176">
        <v>10.5</v>
      </c>
      <c r="AT200" s="176">
        <v>10.51</v>
      </c>
      <c r="AU200" s="176">
        <v>10.534999999999998</v>
      </c>
      <c r="AV200" s="176">
        <v>10.54</v>
      </c>
      <c r="AW200" s="173">
        <f t="shared" ca="1" si="28"/>
        <v>43</v>
      </c>
      <c r="AX200" s="142">
        <v>459</v>
      </c>
      <c r="AZ200" s="142" t="s">
        <v>123</v>
      </c>
    </row>
    <row r="201" spans="2:52" s="142" customFormat="1" ht="21" customHeight="1" x14ac:dyDescent="0.25">
      <c r="B201" s="173" t="str">
        <f t="shared" si="29"/>
        <v>0-304/2B-0.95X770</v>
      </c>
      <c r="C201" s="201" t="s">
        <v>4841</v>
      </c>
      <c r="D201" s="173" t="s">
        <v>4432</v>
      </c>
      <c r="E201" s="190" t="s">
        <v>4149</v>
      </c>
      <c r="F201" s="201" t="s">
        <v>4847</v>
      </c>
      <c r="G201" s="173">
        <v>304</v>
      </c>
      <c r="H201" s="173" t="s">
        <v>114</v>
      </c>
      <c r="I201" s="174">
        <v>2.9</v>
      </c>
      <c r="J201" s="174">
        <v>0.95</v>
      </c>
      <c r="K201" s="203"/>
      <c r="L201" s="203"/>
      <c r="M201" s="191">
        <v>770</v>
      </c>
      <c r="N201" s="176">
        <v>10.58</v>
      </c>
      <c r="O201" s="176">
        <f>5.275+5.255</f>
        <v>10.530000000000001</v>
      </c>
      <c r="P201" s="176"/>
      <c r="Q201" s="176">
        <v>0.05</v>
      </c>
      <c r="R201" s="176" t="s">
        <v>114</v>
      </c>
      <c r="S201" s="209" t="s">
        <v>4654</v>
      </c>
      <c r="T201" s="178" t="s">
        <v>4770</v>
      </c>
      <c r="U201" s="178"/>
      <c r="V201" s="179"/>
      <c r="W201" s="177">
        <v>44944</v>
      </c>
      <c r="X201" s="177"/>
      <c r="Y201" s="177">
        <v>44945</v>
      </c>
      <c r="Z201" s="177"/>
      <c r="AA201" s="177"/>
      <c r="AB201" s="177"/>
      <c r="AC201" s="177"/>
      <c r="AD201" s="177"/>
      <c r="AE201" s="177"/>
      <c r="AF201" s="177"/>
      <c r="AG201" s="180" t="s">
        <v>1605</v>
      </c>
      <c r="AH201" s="173" t="s">
        <v>69</v>
      </c>
      <c r="AI201" s="181" t="s">
        <v>142</v>
      </c>
      <c r="AJ201" s="181" t="s">
        <v>1584</v>
      </c>
      <c r="AK201" s="181"/>
      <c r="AL201" s="181">
        <v>44914</v>
      </c>
      <c r="AM201" s="181"/>
      <c r="AN201" s="181">
        <f t="shared" ca="1" si="30"/>
        <v>44958</v>
      </c>
      <c r="AO201" s="173">
        <f t="shared" ca="1" si="31"/>
        <v>44</v>
      </c>
      <c r="AP201" s="173" t="str">
        <f t="shared" si="32"/>
        <v/>
      </c>
      <c r="AQ201" s="181"/>
      <c r="AR201" s="190" t="s">
        <v>4132</v>
      </c>
      <c r="AS201" s="176">
        <v>10.58</v>
      </c>
      <c r="AT201" s="176">
        <v>10.59</v>
      </c>
      <c r="AU201" s="176">
        <v>10.614999999999998</v>
      </c>
      <c r="AV201" s="176">
        <v>10.62</v>
      </c>
      <c r="AW201" s="173">
        <f t="shared" ca="1" si="28"/>
        <v>13</v>
      </c>
      <c r="AX201" s="142">
        <v>462</v>
      </c>
      <c r="AZ201" s="142" t="s">
        <v>123</v>
      </c>
    </row>
    <row r="202" spans="2:52" s="142" customFormat="1" ht="21" customHeight="1" x14ac:dyDescent="0.25">
      <c r="B202" s="173" t="str">
        <f t="shared" si="29"/>
        <v>0-304L/2B-1.20X770</v>
      </c>
      <c r="C202" s="201" t="s">
        <v>4841</v>
      </c>
      <c r="D202" s="173" t="s">
        <v>4432</v>
      </c>
      <c r="E202" s="190" t="s">
        <v>4848</v>
      </c>
      <c r="F202" s="201" t="s">
        <v>4849</v>
      </c>
      <c r="G202" s="173" t="s">
        <v>182</v>
      </c>
      <c r="H202" s="173" t="s">
        <v>114</v>
      </c>
      <c r="I202" s="174">
        <v>3.5</v>
      </c>
      <c r="J202" s="174">
        <v>1.2</v>
      </c>
      <c r="K202" s="203"/>
      <c r="L202" s="203"/>
      <c r="M202" s="191">
        <v>770</v>
      </c>
      <c r="N202" s="176">
        <v>10.36</v>
      </c>
      <c r="O202" s="176">
        <f>5.29+5.095</f>
        <v>10.385</v>
      </c>
      <c r="P202" s="176"/>
      <c r="Q202" s="176"/>
      <c r="R202" s="176" t="s">
        <v>114</v>
      </c>
      <c r="S202" s="209" t="s">
        <v>4654</v>
      </c>
      <c r="T202" s="178" t="s">
        <v>1344</v>
      </c>
      <c r="U202" s="178"/>
      <c r="V202" s="179"/>
      <c r="W202" s="177">
        <v>44923</v>
      </c>
      <c r="X202" s="177"/>
      <c r="Y202" s="177">
        <v>44924</v>
      </c>
      <c r="Z202" s="177"/>
      <c r="AA202" s="177"/>
      <c r="AB202" s="177"/>
      <c r="AC202" s="177"/>
      <c r="AD202" s="177"/>
      <c r="AE202" s="177"/>
      <c r="AF202" s="177"/>
      <c r="AG202" s="180" t="s">
        <v>2470</v>
      </c>
      <c r="AH202" s="173" t="s">
        <v>69</v>
      </c>
      <c r="AI202" s="181" t="s">
        <v>142</v>
      </c>
      <c r="AJ202" s="181" t="s">
        <v>1584</v>
      </c>
      <c r="AK202" s="181"/>
      <c r="AL202" s="181">
        <v>44914</v>
      </c>
      <c r="AM202" s="181"/>
      <c r="AN202" s="181">
        <f t="shared" ca="1" si="30"/>
        <v>44958</v>
      </c>
      <c r="AO202" s="173">
        <f t="shared" ca="1" si="31"/>
        <v>44</v>
      </c>
      <c r="AP202" s="173" t="str">
        <f t="shared" si="32"/>
        <v/>
      </c>
      <c r="AQ202" s="181"/>
      <c r="AR202" s="190" t="s">
        <v>2511</v>
      </c>
      <c r="AS202" s="176">
        <v>10.445</v>
      </c>
      <c r="AT202" s="176">
        <v>10.455</v>
      </c>
      <c r="AU202" s="176">
        <v>10.479999999999999</v>
      </c>
      <c r="AV202" s="176">
        <v>10.484999999999999</v>
      </c>
      <c r="AW202" s="173">
        <f t="shared" ca="1" si="28"/>
        <v>34</v>
      </c>
      <c r="AX202" s="142">
        <v>462</v>
      </c>
      <c r="AZ202" s="142" t="s">
        <v>123</v>
      </c>
    </row>
    <row r="203" spans="2:52" s="142" customFormat="1" ht="21" customHeight="1" x14ac:dyDescent="0.25">
      <c r="B203" s="173" t="str">
        <f t="shared" si="29"/>
        <v>0-304L/2B-1.50X768</v>
      </c>
      <c r="C203" s="201" t="s">
        <v>4841</v>
      </c>
      <c r="D203" s="173" t="s">
        <v>4432</v>
      </c>
      <c r="E203" s="190" t="s">
        <v>4850</v>
      </c>
      <c r="F203" s="201" t="s">
        <v>4851</v>
      </c>
      <c r="G203" s="173" t="s">
        <v>182</v>
      </c>
      <c r="H203" s="173" t="s">
        <v>114</v>
      </c>
      <c r="I203" s="174">
        <v>3.59</v>
      </c>
      <c r="J203" s="174">
        <v>1.5</v>
      </c>
      <c r="K203" s="203"/>
      <c r="L203" s="203"/>
      <c r="M203" s="191">
        <v>768</v>
      </c>
      <c r="N203" s="176">
        <v>10.31</v>
      </c>
      <c r="O203" s="176">
        <f>5.22+5.06</f>
        <v>10.28</v>
      </c>
      <c r="P203" s="176"/>
      <c r="Q203" s="176">
        <v>0.03</v>
      </c>
      <c r="R203" s="176" t="s">
        <v>114</v>
      </c>
      <c r="S203" s="209" t="s">
        <v>4654</v>
      </c>
      <c r="T203" s="178" t="s">
        <v>1344</v>
      </c>
      <c r="U203" s="178"/>
      <c r="V203" s="179"/>
      <c r="W203" s="177">
        <v>44923</v>
      </c>
      <c r="X203" s="177"/>
      <c r="Y203" s="177">
        <v>44923</v>
      </c>
      <c r="Z203" s="177"/>
      <c r="AA203" s="177"/>
      <c r="AB203" s="177"/>
      <c r="AC203" s="177"/>
      <c r="AD203" s="177"/>
      <c r="AE203" s="177"/>
      <c r="AF203" s="177"/>
      <c r="AG203" s="180" t="s">
        <v>2470</v>
      </c>
      <c r="AH203" s="173" t="s">
        <v>69</v>
      </c>
      <c r="AI203" s="181" t="s">
        <v>142</v>
      </c>
      <c r="AJ203" s="181" t="s">
        <v>1584</v>
      </c>
      <c r="AK203" s="181"/>
      <c r="AL203" s="181">
        <v>44914</v>
      </c>
      <c r="AM203" s="181"/>
      <c r="AN203" s="181">
        <f t="shared" ca="1" si="30"/>
        <v>44958</v>
      </c>
      <c r="AO203" s="173">
        <f t="shared" ca="1" si="31"/>
        <v>44</v>
      </c>
      <c r="AP203" s="173" t="str">
        <f t="shared" si="32"/>
        <v/>
      </c>
      <c r="AQ203" s="181"/>
      <c r="AR203" s="190" t="s">
        <v>2471</v>
      </c>
      <c r="AS203" s="176">
        <v>10.34</v>
      </c>
      <c r="AT203" s="176">
        <v>10.35</v>
      </c>
      <c r="AU203" s="176">
        <v>10.374999999999998</v>
      </c>
      <c r="AV203" s="176">
        <v>10.379999999999999</v>
      </c>
      <c r="AW203" s="173">
        <f t="shared" ca="1" si="28"/>
        <v>35</v>
      </c>
      <c r="AX203" s="142">
        <v>462</v>
      </c>
      <c r="AZ203" s="142" t="s">
        <v>123</v>
      </c>
    </row>
    <row r="204" spans="2:52" s="142" customFormat="1" ht="21" customHeight="1" x14ac:dyDescent="0.25">
      <c r="B204" s="173" t="str">
        <f t="shared" si="29"/>
        <v>0-304L/2B-1.50X776</v>
      </c>
      <c r="C204" s="201" t="s">
        <v>4841</v>
      </c>
      <c r="D204" s="173" t="s">
        <v>4432</v>
      </c>
      <c r="E204" s="190" t="s">
        <v>4852</v>
      </c>
      <c r="F204" s="201" t="s">
        <v>4853</v>
      </c>
      <c r="G204" s="173" t="s">
        <v>182</v>
      </c>
      <c r="H204" s="173" t="s">
        <v>114</v>
      </c>
      <c r="I204" s="174">
        <v>3.79</v>
      </c>
      <c r="J204" s="174">
        <v>1.5</v>
      </c>
      <c r="K204" s="203"/>
      <c r="L204" s="203"/>
      <c r="M204" s="191">
        <v>776</v>
      </c>
      <c r="N204" s="176">
        <v>11.765000000000001</v>
      </c>
      <c r="O204" s="176">
        <f>5.765+5.97</f>
        <v>11.734999999999999</v>
      </c>
      <c r="P204" s="176"/>
      <c r="Q204" s="176">
        <v>0.03</v>
      </c>
      <c r="R204" s="176" t="s">
        <v>114</v>
      </c>
      <c r="S204" s="209" t="s">
        <v>4654</v>
      </c>
      <c r="T204" s="178" t="s">
        <v>1344</v>
      </c>
      <c r="U204" s="178"/>
      <c r="V204" s="179"/>
      <c r="W204" s="177">
        <v>44924</v>
      </c>
      <c r="X204" s="177"/>
      <c r="Y204" s="177">
        <v>44924</v>
      </c>
      <c r="Z204" s="177"/>
      <c r="AA204" s="177"/>
      <c r="AB204" s="177"/>
      <c r="AC204" s="177"/>
      <c r="AD204" s="177"/>
      <c r="AE204" s="177"/>
      <c r="AF204" s="177"/>
      <c r="AG204" s="180" t="s">
        <v>2479</v>
      </c>
      <c r="AH204" s="173" t="s">
        <v>69</v>
      </c>
      <c r="AI204" s="181" t="s">
        <v>142</v>
      </c>
      <c r="AJ204" s="181" t="s">
        <v>1653</v>
      </c>
      <c r="AK204" s="181"/>
      <c r="AL204" s="181">
        <v>44880</v>
      </c>
      <c r="AM204" s="181"/>
      <c r="AN204" s="181">
        <f t="shared" ca="1" si="30"/>
        <v>44958</v>
      </c>
      <c r="AO204" s="173">
        <f t="shared" ca="1" si="31"/>
        <v>78</v>
      </c>
      <c r="AP204" s="173" t="str">
        <f t="shared" si="32"/>
        <v/>
      </c>
      <c r="AQ204" s="181"/>
      <c r="AR204" s="190" t="s">
        <v>4748</v>
      </c>
      <c r="AS204" s="176">
        <v>11.79</v>
      </c>
      <c r="AT204" s="176">
        <v>11.799999999999999</v>
      </c>
      <c r="AU204" s="176">
        <v>11.824999999999998</v>
      </c>
      <c r="AV204" s="176">
        <v>11.829999999999998</v>
      </c>
      <c r="AW204" s="173">
        <f t="shared" ref="AW204:AW267" ca="1" si="33">IF(ISNUMBER(Y204)=TRUE,AN204-Y204,IF(Y204="","",(AN204)-(MID(RIGHT(Y204,10),4,2)&amp;"/"&amp;LEFT((RIGHT(Y204,10)),2)&amp;"/"&amp;RIGHT(Y204,4))))</f>
        <v>34</v>
      </c>
      <c r="AX204" s="142">
        <v>459</v>
      </c>
      <c r="AZ204" s="142" t="s">
        <v>123</v>
      </c>
    </row>
    <row r="205" spans="2:52" s="142" customFormat="1" ht="21" customHeight="1" x14ac:dyDescent="0.25">
      <c r="B205" s="173" t="str">
        <f t="shared" si="29"/>
        <v>0-304L/2B-1.50X776</v>
      </c>
      <c r="C205" s="201" t="s">
        <v>4841</v>
      </c>
      <c r="D205" s="173" t="s">
        <v>4432</v>
      </c>
      <c r="E205" s="190" t="s">
        <v>4854</v>
      </c>
      <c r="F205" s="201" t="s">
        <v>4855</v>
      </c>
      <c r="G205" s="173" t="s">
        <v>182</v>
      </c>
      <c r="H205" s="173" t="s">
        <v>114</v>
      </c>
      <c r="I205" s="174">
        <v>3.79</v>
      </c>
      <c r="J205" s="174">
        <v>1.5</v>
      </c>
      <c r="K205" s="203"/>
      <c r="L205" s="203"/>
      <c r="M205" s="191">
        <v>776</v>
      </c>
      <c r="N205" s="176">
        <v>11.875</v>
      </c>
      <c r="O205" s="176">
        <f>5.845+6.025</f>
        <v>11.870000000000001</v>
      </c>
      <c r="P205" s="176"/>
      <c r="Q205" s="176">
        <v>5.0000000000000001E-3</v>
      </c>
      <c r="R205" s="176" t="s">
        <v>114</v>
      </c>
      <c r="S205" s="209" t="s">
        <v>4654</v>
      </c>
      <c r="T205" s="178" t="s">
        <v>1344</v>
      </c>
      <c r="U205" s="178"/>
      <c r="V205" s="179"/>
      <c r="W205" s="177">
        <v>44921</v>
      </c>
      <c r="X205" s="177"/>
      <c r="Y205" s="177">
        <v>44922</v>
      </c>
      <c r="Z205" s="177"/>
      <c r="AA205" s="177"/>
      <c r="AB205" s="177"/>
      <c r="AC205" s="177"/>
      <c r="AD205" s="177"/>
      <c r="AE205" s="177"/>
      <c r="AF205" s="177"/>
      <c r="AG205" s="180" t="s">
        <v>2479</v>
      </c>
      <c r="AH205" s="173" t="s">
        <v>69</v>
      </c>
      <c r="AI205" s="181" t="s">
        <v>142</v>
      </c>
      <c r="AJ205" s="181" t="s">
        <v>1653</v>
      </c>
      <c r="AK205" s="181"/>
      <c r="AL205" s="181">
        <v>44880</v>
      </c>
      <c r="AM205" s="181"/>
      <c r="AN205" s="181">
        <f t="shared" ca="1" si="30"/>
        <v>44958</v>
      </c>
      <c r="AO205" s="173">
        <f t="shared" ca="1" si="31"/>
        <v>78</v>
      </c>
      <c r="AP205" s="173" t="str">
        <f t="shared" si="32"/>
        <v/>
      </c>
      <c r="AQ205" s="181"/>
      <c r="AR205" s="190" t="s">
        <v>3974</v>
      </c>
      <c r="AS205" s="176">
        <v>11.91</v>
      </c>
      <c r="AT205" s="176">
        <v>11.92</v>
      </c>
      <c r="AU205" s="176">
        <v>11.944999999999999</v>
      </c>
      <c r="AV205" s="176">
        <v>11.95</v>
      </c>
      <c r="AW205" s="173">
        <f t="shared" ca="1" si="33"/>
        <v>36</v>
      </c>
      <c r="AX205" s="142">
        <v>459</v>
      </c>
      <c r="AZ205" s="142" t="s">
        <v>123</v>
      </c>
    </row>
    <row r="206" spans="2:52" s="142" customFormat="1" ht="21" customHeight="1" x14ac:dyDescent="0.25">
      <c r="B206" s="173" t="str">
        <f t="shared" si="29"/>
        <v>0-304/2B-1.50X768</v>
      </c>
      <c r="C206" s="201" t="s">
        <v>4841</v>
      </c>
      <c r="D206" s="173" t="s">
        <v>4432</v>
      </c>
      <c r="E206" s="190" t="s">
        <v>4856</v>
      </c>
      <c r="F206" s="201" t="s">
        <v>4857</v>
      </c>
      <c r="G206" s="173">
        <v>304</v>
      </c>
      <c r="H206" s="173" t="s">
        <v>114</v>
      </c>
      <c r="I206" s="174">
        <v>3.89</v>
      </c>
      <c r="J206" s="174">
        <v>1.5</v>
      </c>
      <c r="K206" s="203"/>
      <c r="L206" s="203"/>
      <c r="M206" s="191">
        <v>768</v>
      </c>
      <c r="N206" s="349">
        <v>12.225</v>
      </c>
      <c r="O206" s="176">
        <f>4.05+4.03</f>
        <v>8.08</v>
      </c>
      <c r="P206" s="176"/>
      <c r="Q206" s="176"/>
      <c r="R206" s="176" t="s">
        <v>114</v>
      </c>
      <c r="S206" s="209" t="s">
        <v>4654</v>
      </c>
      <c r="T206" s="178" t="s">
        <v>1344</v>
      </c>
      <c r="U206" s="178"/>
      <c r="V206" s="179"/>
      <c r="W206" s="177">
        <v>44922</v>
      </c>
      <c r="X206" s="177"/>
      <c r="Y206" s="177">
        <v>44923</v>
      </c>
      <c r="Z206" s="177"/>
      <c r="AA206" s="177"/>
      <c r="AB206" s="177"/>
      <c r="AC206" s="177"/>
      <c r="AD206" s="177"/>
      <c r="AE206" s="177"/>
      <c r="AF206" s="177"/>
      <c r="AG206" s="180" t="s">
        <v>2479</v>
      </c>
      <c r="AH206" s="173" t="s">
        <v>69</v>
      </c>
      <c r="AI206" s="181" t="s">
        <v>142</v>
      </c>
      <c r="AJ206" s="181" t="s">
        <v>1887</v>
      </c>
      <c r="AK206" s="181"/>
      <c r="AL206" s="181">
        <v>44880</v>
      </c>
      <c r="AM206" s="181"/>
      <c r="AN206" s="181">
        <f t="shared" ca="1" si="30"/>
        <v>44958</v>
      </c>
      <c r="AO206" s="173">
        <f t="shared" ca="1" si="31"/>
        <v>78</v>
      </c>
      <c r="AP206" s="173" t="str">
        <f t="shared" si="32"/>
        <v/>
      </c>
      <c r="AQ206" s="181"/>
      <c r="AR206" s="190" t="s">
        <v>4557</v>
      </c>
      <c r="AS206" s="176">
        <v>12.265000000000001</v>
      </c>
      <c r="AT206" s="176">
        <v>12.275</v>
      </c>
      <c r="AU206" s="176">
        <v>12.299999999999999</v>
      </c>
      <c r="AV206" s="176">
        <v>12.305</v>
      </c>
      <c r="AW206" s="173">
        <f t="shared" ca="1" si="33"/>
        <v>35</v>
      </c>
      <c r="AX206" s="142">
        <v>459</v>
      </c>
      <c r="AZ206" s="142" t="s">
        <v>123</v>
      </c>
    </row>
    <row r="207" spans="2:52" s="142" customFormat="1" ht="21" customHeight="1" x14ac:dyDescent="0.25">
      <c r="B207" s="173" t="str">
        <f t="shared" si="29"/>
        <v>0-304/2B-1.50X768</v>
      </c>
      <c r="C207" s="201" t="s">
        <v>4858</v>
      </c>
      <c r="D207" s="173" t="s">
        <v>836</v>
      </c>
      <c r="E207" s="190" t="s">
        <v>4856</v>
      </c>
      <c r="F207" s="201" t="s">
        <v>4859</v>
      </c>
      <c r="G207" s="173">
        <v>304</v>
      </c>
      <c r="H207" s="173" t="s">
        <v>114</v>
      </c>
      <c r="I207" s="174">
        <v>3.89</v>
      </c>
      <c r="J207" s="174">
        <v>1.5</v>
      </c>
      <c r="K207" s="203"/>
      <c r="L207" s="203"/>
      <c r="M207" s="191">
        <v>768</v>
      </c>
      <c r="N207" s="350"/>
      <c r="O207" s="176">
        <v>4.13</v>
      </c>
      <c r="P207" s="176"/>
      <c r="Q207" s="176">
        <v>1.4999999999999999E-2</v>
      </c>
      <c r="R207" s="176" t="s">
        <v>114</v>
      </c>
      <c r="S207" s="209"/>
      <c r="T207" s="178" t="s">
        <v>1344</v>
      </c>
      <c r="U207" s="178"/>
      <c r="V207" s="179"/>
      <c r="W207" s="177">
        <v>44922</v>
      </c>
      <c r="X207" s="177"/>
      <c r="Y207" s="177">
        <v>44923</v>
      </c>
      <c r="Z207" s="177"/>
      <c r="AA207" s="177">
        <v>44947</v>
      </c>
      <c r="AB207" s="177"/>
      <c r="AC207" s="177"/>
      <c r="AD207" s="177"/>
      <c r="AE207" s="177"/>
      <c r="AF207" s="177"/>
      <c r="AG207" s="180" t="s">
        <v>2479</v>
      </c>
      <c r="AH207" s="173" t="s">
        <v>69</v>
      </c>
      <c r="AI207" s="181" t="s">
        <v>142</v>
      </c>
      <c r="AJ207" s="181" t="s">
        <v>1887</v>
      </c>
      <c r="AK207" s="181"/>
      <c r="AL207" s="181">
        <v>44880</v>
      </c>
      <c r="AM207" s="181"/>
      <c r="AN207" s="181">
        <f t="shared" ca="1" si="30"/>
        <v>44958</v>
      </c>
      <c r="AO207" s="173">
        <f t="shared" ca="1" si="31"/>
        <v>78</v>
      </c>
      <c r="AP207" s="173">
        <f t="shared" ca="1" si="32"/>
        <v>11</v>
      </c>
      <c r="AQ207" s="181"/>
      <c r="AR207" s="190" t="s">
        <v>4557</v>
      </c>
      <c r="AS207" s="176">
        <v>12.265000000000001</v>
      </c>
      <c r="AT207" s="176">
        <v>12.275</v>
      </c>
      <c r="AU207" s="176">
        <v>12.299999999999999</v>
      </c>
      <c r="AV207" s="176">
        <v>12.305</v>
      </c>
      <c r="AW207" s="173">
        <f t="shared" ca="1" si="33"/>
        <v>35</v>
      </c>
      <c r="AX207" s="142">
        <v>459</v>
      </c>
      <c r="AZ207" s="142" t="s">
        <v>123</v>
      </c>
    </row>
    <row r="208" spans="2:52" s="142" customFormat="1" ht="21" customHeight="1" x14ac:dyDescent="0.25">
      <c r="B208" s="173" t="str">
        <f t="shared" si="29"/>
        <v>0-304/2B-1.50X766</v>
      </c>
      <c r="C208" s="201" t="s">
        <v>4841</v>
      </c>
      <c r="D208" s="173" t="s">
        <v>4432</v>
      </c>
      <c r="E208" s="190" t="s">
        <v>4860</v>
      </c>
      <c r="F208" s="201" t="s">
        <v>4861</v>
      </c>
      <c r="G208" s="173">
        <v>304</v>
      </c>
      <c r="H208" s="173" t="s">
        <v>114</v>
      </c>
      <c r="I208" s="174">
        <v>3.94</v>
      </c>
      <c r="J208" s="174">
        <v>1.5</v>
      </c>
      <c r="K208" s="203"/>
      <c r="L208" s="203"/>
      <c r="M208" s="191">
        <v>766</v>
      </c>
      <c r="N208" s="176">
        <v>3.95</v>
      </c>
      <c r="O208" s="176">
        <v>3.95</v>
      </c>
      <c r="P208" s="176"/>
      <c r="Q208" s="176"/>
      <c r="R208" s="176" t="s">
        <v>114</v>
      </c>
      <c r="S208" s="209" t="s">
        <v>4654</v>
      </c>
      <c r="T208" s="178" t="s">
        <v>1344</v>
      </c>
      <c r="U208" s="178"/>
      <c r="V208" s="179"/>
      <c r="W208" s="177">
        <v>44923</v>
      </c>
      <c r="X208" s="177"/>
      <c r="Y208" s="177">
        <v>44924</v>
      </c>
      <c r="Z208" s="177"/>
      <c r="AA208" s="177"/>
      <c r="AB208" s="177"/>
      <c r="AC208" s="177"/>
      <c r="AD208" s="177"/>
      <c r="AE208" s="177"/>
      <c r="AF208" s="177"/>
      <c r="AG208" s="180" t="s">
        <v>2479</v>
      </c>
      <c r="AH208" s="173" t="s">
        <v>69</v>
      </c>
      <c r="AI208" s="181" t="s">
        <v>142</v>
      </c>
      <c r="AJ208" s="181" t="s">
        <v>2283</v>
      </c>
      <c r="AK208" s="181"/>
      <c r="AL208" s="181">
        <v>44880</v>
      </c>
      <c r="AM208" s="181"/>
      <c r="AN208" s="181">
        <f t="shared" ca="1" si="30"/>
        <v>44958</v>
      </c>
      <c r="AO208" s="173">
        <f t="shared" ca="1" si="31"/>
        <v>78</v>
      </c>
      <c r="AP208" s="173" t="str">
        <f t="shared" si="32"/>
        <v/>
      </c>
      <c r="AQ208" s="181"/>
      <c r="AR208" s="190" t="s">
        <v>2284</v>
      </c>
      <c r="AS208" s="176">
        <v>12.025</v>
      </c>
      <c r="AT208" s="176">
        <v>12.035</v>
      </c>
      <c r="AU208" s="176">
        <v>12.059999999999999</v>
      </c>
      <c r="AV208" s="176">
        <v>12.065</v>
      </c>
      <c r="AW208" s="173">
        <f t="shared" ca="1" si="33"/>
        <v>34</v>
      </c>
      <c r="AX208" s="142">
        <v>459</v>
      </c>
      <c r="AZ208" s="142" t="s">
        <v>123</v>
      </c>
    </row>
    <row r="209" spans="2:52" s="142" customFormat="1" ht="21" customHeight="1" x14ac:dyDescent="0.25">
      <c r="B209" s="173" t="str">
        <f t="shared" si="29"/>
        <v>0-304/2B-1.50X766</v>
      </c>
      <c r="C209" s="201" t="s">
        <v>4862</v>
      </c>
      <c r="D209" s="173" t="s">
        <v>4432</v>
      </c>
      <c r="E209" s="190" t="s">
        <v>4860</v>
      </c>
      <c r="F209" s="201" t="s">
        <v>4863</v>
      </c>
      <c r="G209" s="173">
        <v>304</v>
      </c>
      <c r="H209" s="173" t="s">
        <v>114</v>
      </c>
      <c r="I209" s="174">
        <v>3.94</v>
      </c>
      <c r="J209" s="174">
        <v>1.5</v>
      </c>
      <c r="K209" s="203">
        <v>1.45</v>
      </c>
      <c r="L209" s="203">
        <v>1.45</v>
      </c>
      <c r="M209" s="191">
        <v>766</v>
      </c>
      <c r="N209" s="176">
        <f>12-3.95</f>
        <v>8.0500000000000007</v>
      </c>
      <c r="O209" s="176">
        <f>3.96+4.05</f>
        <v>8.01</v>
      </c>
      <c r="P209" s="176"/>
      <c r="Q209" s="176">
        <v>0.04</v>
      </c>
      <c r="R209" s="176" t="s">
        <v>114</v>
      </c>
      <c r="S209" s="209" t="s">
        <v>4654</v>
      </c>
      <c r="T209" s="178" t="s">
        <v>1344</v>
      </c>
      <c r="U209" s="178"/>
      <c r="V209" s="179"/>
      <c r="W209" s="177">
        <v>44923</v>
      </c>
      <c r="X209" s="177"/>
      <c r="Y209" s="177">
        <v>44924</v>
      </c>
      <c r="Z209" s="177"/>
      <c r="AA209" s="177"/>
      <c r="AB209" s="177"/>
      <c r="AC209" s="177"/>
      <c r="AD209" s="177"/>
      <c r="AE209" s="177"/>
      <c r="AF209" s="177"/>
      <c r="AG209" s="180" t="s">
        <v>2479</v>
      </c>
      <c r="AH209" s="173" t="s">
        <v>69</v>
      </c>
      <c r="AI209" s="181" t="s">
        <v>142</v>
      </c>
      <c r="AJ209" s="181" t="s">
        <v>2283</v>
      </c>
      <c r="AK209" s="181"/>
      <c r="AL209" s="181">
        <v>44880</v>
      </c>
      <c r="AM209" s="181"/>
      <c r="AN209" s="181">
        <f t="shared" ca="1" si="30"/>
        <v>44958</v>
      </c>
      <c r="AO209" s="173">
        <f ca="1">IF(AL209&lt;&gt;0,AN209-AL209,0)</f>
        <v>78</v>
      </c>
      <c r="AP209" s="173" t="str">
        <f t="shared" si="32"/>
        <v/>
      </c>
      <c r="AQ209" s="181"/>
      <c r="AR209" s="190" t="s">
        <v>2284</v>
      </c>
      <c r="AS209" s="176">
        <v>12.025</v>
      </c>
      <c r="AT209" s="176">
        <v>12.035</v>
      </c>
      <c r="AU209" s="176">
        <v>12.059999999999999</v>
      </c>
      <c r="AV209" s="176">
        <v>12.065</v>
      </c>
      <c r="AW209" s="173">
        <f t="shared" ca="1" si="33"/>
        <v>34</v>
      </c>
      <c r="AX209" s="142">
        <v>459</v>
      </c>
      <c r="AZ209" s="142" t="s">
        <v>123</v>
      </c>
    </row>
    <row r="210" spans="2:52" s="142" customFormat="1" ht="21" customHeight="1" x14ac:dyDescent="0.25">
      <c r="B210" s="173" t="str">
        <f t="shared" si="29"/>
        <v>0-304L/2B-1.50X771</v>
      </c>
      <c r="C210" s="201" t="s">
        <v>4864</v>
      </c>
      <c r="D210" s="173" t="s">
        <v>836</v>
      </c>
      <c r="E210" s="190" t="s">
        <v>2509</v>
      </c>
      <c r="F210" s="201" t="s">
        <v>4865</v>
      </c>
      <c r="G210" s="173" t="s">
        <v>182</v>
      </c>
      <c r="H210" s="173" t="s">
        <v>114</v>
      </c>
      <c r="I210" s="174">
        <v>3.49</v>
      </c>
      <c r="J210" s="174">
        <v>1.5</v>
      </c>
      <c r="K210" s="203">
        <v>1.48</v>
      </c>
      <c r="L210" s="203">
        <v>1.5</v>
      </c>
      <c r="M210" s="191">
        <v>771</v>
      </c>
      <c r="N210" s="176">
        <v>7.32</v>
      </c>
      <c r="O210" s="176">
        <v>7.31</v>
      </c>
      <c r="P210" s="176"/>
      <c r="Q210" s="176">
        <v>0.01</v>
      </c>
      <c r="R210" s="176" t="s">
        <v>114</v>
      </c>
      <c r="S210" s="209"/>
      <c r="T210" s="178" t="s">
        <v>1344</v>
      </c>
      <c r="U210" s="178"/>
      <c r="V210" s="179"/>
      <c r="W210" s="177">
        <v>44921</v>
      </c>
      <c r="X210" s="177"/>
      <c r="Y210" s="177">
        <v>44922</v>
      </c>
      <c r="Z210" s="177"/>
      <c r="AA210" s="177">
        <v>44948</v>
      </c>
      <c r="AB210" s="177"/>
      <c r="AC210" s="177"/>
      <c r="AD210" s="177"/>
      <c r="AE210" s="177"/>
      <c r="AF210" s="177"/>
      <c r="AG210" s="180" t="s">
        <v>2470</v>
      </c>
      <c r="AH210" s="173" t="s">
        <v>69</v>
      </c>
      <c r="AI210" s="181" t="s">
        <v>142</v>
      </c>
      <c r="AJ210" s="181" t="s">
        <v>1584</v>
      </c>
      <c r="AK210" s="181"/>
      <c r="AL210" s="181">
        <v>44914</v>
      </c>
      <c r="AM210" s="181"/>
      <c r="AN210" s="181">
        <f t="shared" ca="1" si="30"/>
        <v>44958</v>
      </c>
      <c r="AO210" s="173">
        <f t="shared" ref="AO210" ca="1" si="34">IF(AL210&lt;&gt;0,AN210-AL210,0)</f>
        <v>44</v>
      </c>
      <c r="AP210" s="173">
        <f t="shared" ca="1" si="32"/>
        <v>10</v>
      </c>
      <c r="AQ210" s="181"/>
      <c r="AR210" s="190" t="s">
        <v>2511</v>
      </c>
      <c r="AS210" s="176">
        <v>10.45</v>
      </c>
      <c r="AT210" s="176">
        <v>10.46</v>
      </c>
      <c r="AU210" s="176">
        <v>10.484999999999999</v>
      </c>
      <c r="AV210" s="176">
        <v>10.49</v>
      </c>
      <c r="AW210" s="173">
        <f t="shared" ca="1" si="33"/>
        <v>36</v>
      </c>
      <c r="AX210" s="142">
        <v>462</v>
      </c>
      <c r="AZ210" s="142" t="s">
        <v>123</v>
      </c>
    </row>
    <row r="211" spans="2:52" s="142" customFormat="1" ht="21" customHeight="1" x14ac:dyDescent="0.25">
      <c r="B211" s="173" t="str">
        <f t="shared" si="29"/>
        <v>0-304/2B-0.90X778</v>
      </c>
      <c r="C211" s="201" t="s">
        <v>4864</v>
      </c>
      <c r="D211" s="173" t="s">
        <v>836</v>
      </c>
      <c r="E211" s="190" t="s">
        <v>3892</v>
      </c>
      <c r="F211" s="201" t="s">
        <v>3956</v>
      </c>
      <c r="G211" s="173">
        <v>304</v>
      </c>
      <c r="H211" s="173" t="s">
        <v>114</v>
      </c>
      <c r="I211" s="174">
        <v>2.95</v>
      </c>
      <c r="J211" s="174">
        <v>0.9</v>
      </c>
      <c r="K211" s="203">
        <v>0.91</v>
      </c>
      <c r="L211" s="203">
        <v>0.93</v>
      </c>
      <c r="M211" s="191">
        <v>778</v>
      </c>
      <c r="N211" s="176">
        <v>10.74</v>
      </c>
      <c r="O211" s="176">
        <v>10.734999999999999</v>
      </c>
      <c r="P211" s="176"/>
      <c r="Q211" s="176">
        <v>5.0000000000000001E-3</v>
      </c>
      <c r="R211" s="176" t="s">
        <v>114</v>
      </c>
      <c r="S211" s="209"/>
      <c r="T211" s="178" t="s">
        <v>1210</v>
      </c>
      <c r="U211" s="178"/>
      <c r="V211" s="179"/>
      <c r="W211" s="177">
        <v>44933</v>
      </c>
      <c r="X211" s="177"/>
      <c r="Y211" s="177">
        <v>44933</v>
      </c>
      <c r="Z211" s="177"/>
      <c r="AA211" s="177">
        <v>44948</v>
      </c>
      <c r="AB211" s="177"/>
      <c r="AC211" s="177"/>
      <c r="AD211" s="177">
        <v>44926</v>
      </c>
      <c r="AE211" s="177"/>
      <c r="AF211" s="177"/>
      <c r="AG211" s="180" t="s">
        <v>1345</v>
      </c>
      <c r="AH211" s="173" t="s">
        <v>69</v>
      </c>
      <c r="AI211" s="181" t="s">
        <v>142</v>
      </c>
      <c r="AJ211" s="181" t="s">
        <v>1346</v>
      </c>
      <c r="AK211" s="181"/>
      <c r="AL211" s="181">
        <v>44813</v>
      </c>
      <c r="AM211" s="181"/>
      <c r="AN211" s="181">
        <f t="shared" ca="1" si="30"/>
        <v>44958</v>
      </c>
      <c r="AO211" s="173">
        <f ca="1">IF(AL211&lt;&gt;0,AN211-AL211,0)</f>
        <v>145</v>
      </c>
      <c r="AP211" s="173">
        <f t="shared" ca="1" si="32"/>
        <v>10</v>
      </c>
      <c r="AQ211" s="181"/>
      <c r="AR211" s="190" t="s">
        <v>3894</v>
      </c>
      <c r="AS211" s="176">
        <v>21.414999999999999</v>
      </c>
      <c r="AT211" s="176">
        <v>21.475000000000001</v>
      </c>
      <c r="AU211" s="176">
        <v>21.500000000000004</v>
      </c>
      <c r="AV211" s="176">
        <v>21.505000000000003</v>
      </c>
      <c r="AW211" s="173">
        <f t="shared" ca="1" si="33"/>
        <v>25</v>
      </c>
      <c r="AX211" s="142">
        <v>451</v>
      </c>
      <c r="AZ211" s="142" t="s">
        <v>123</v>
      </c>
    </row>
    <row r="212" spans="2:52" s="142" customFormat="1" ht="21" customHeight="1" x14ac:dyDescent="0.25">
      <c r="B212" s="173" t="str">
        <f t="shared" si="29"/>
        <v>0-304/2B-0.90X777</v>
      </c>
      <c r="C212" s="201" t="s">
        <v>4866</v>
      </c>
      <c r="D212" s="173" t="s">
        <v>68</v>
      </c>
      <c r="E212" s="190" t="s">
        <v>3884</v>
      </c>
      <c r="F212" s="201" t="s">
        <v>3885</v>
      </c>
      <c r="G212" s="173">
        <v>304</v>
      </c>
      <c r="H212" s="173" t="s">
        <v>114</v>
      </c>
      <c r="I212" s="174">
        <v>3.18</v>
      </c>
      <c r="J212" s="174">
        <v>0.9</v>
      </c>
      <c r="K212" s="203">
        <v>0.88</v>
      </c>
      <c r="L212" s="203">
        <v>0.9</v>
      </c>
      <c r="M212" s="191">
        <v>777</v>
      </c>
      <c r="N212" s="176">
        <v>10.68</v>
      </c>
      <c r="O212" s="176">
        <v>10.67</v>
      </c>
      <c r="P212" s="176"/>
      <c r="Q212" s="176">
        <v>0.01</v>
      </c>
      <c r="R212" s="176" t="s">
        <v>114</v>
      </c>
      <c r="S212" s="209"/>
      <c r="T212" s="178" t="s">
        <v>1210</v>
      </c>
      <c r="U212" s="178"/>
      <c r="V212" s="179" t="s">
        <v>4867</v>
      </c>
      <c r="W212" s="177">
        <v>44930</v>
      </c>
      <c r="X212" s="177"/>
      <c r="Y212" s="177">
        <v>44931</v>
      </c>
      <c r="Z212" s="177"/>
      <c r="AA212" s="177">
        <v>44948</v>
      </c>
      <c r="AB212" s="177"/>
      <c r="AC212" s="177"/>
      <c r="AD212" s="177">
        <v>44928</v>
      </c>
      <c r="AE212" s="177"/>
      <c r="AF212" s="177"/>
      <c r="AG212" s="180" t="s">
        <v>1345</v>
      </c>
      <c r="AH212" s="173" t="s">
        <v>69</v>
      </c>
      <c r="AI212" s="181" t="s">
        <v>142</v>
      </c>
      <c r="AJ212" s="181" t="s">
        <v>1346</v>
      </c>
      <c r="AK212" s="181"/>
      <c r="AL212" s="181">
        <v>44813</v>
      </c>
      <c r="AM212" s="181"/>
      <c r="AN212" s="181">
        <f t="shared" ca="1" si="30"/>
        <v>44958</v>
      </c>
      <c r="AO212" s="173">
        <f ca="1">IF(AL212&lt;&gt;0,AN212-AL212,0)</f>
        <v>145</v>
      </c>
      <c r="AP212" s="173">
        <f t="shared" ca="1" si="32"/>
        <v>10</v>
      </c>
      <c r="AQ212" s="181"/>
      <c r="AR212" s="190" t="s">
        <v>3886</v>
      </c>
      <c r="AS212" s="176">
        <v>21.445</v>
      </c>
      <c r="AT212" s="176">
        <v>21.504999999999999</v>
      </c>
      <c r="AU212" s="176">
        <v>21.53</v>
      </c>
      <c r="AV212" s="176">
        <v>21.535</v>
      </c>
      <c r="AW212" s="173">
        <f t="shared" ca="1" si="33"/>
        <v>27</v>
      </c>
      <c r="AX212" s="142">
        <v>451</v>
      </c>
      <c r="AZ212" s="142" t="s">
        <v>123</v>
      </c>
    </row>
    <row r="213" spans="2:52" s="142" customFormat="1" ht="21" customHeight="1" x14ac:dyDescent="0.25">
      <c r="B213" s="173" t="str">
        <f t="shared" si="29"/>
        <v>0-304/2B-1.15X767</v>
      </c>
      <c r="C213" s="201" t="s">
        <v>4864</v>
      </c>
      <c r="D213" s="173" t="s">
        <v>836</v>
      </c>
      <c r="E213" s="190" t="s">
        <v>3924</v>
      </c>
      <c r="F213" s="201" t="s">
        <v>4868</v>
      </c>
      <c r="G213" s="173">
        <v>304</v>
      </c>
      <c r="H213" s="173" t="s">
        <v>114</v>
      </c>
      <c r="I213" s="174">
        <v>3.45</v>
      </c>
      <c r="J213" s="174">
        <v>1.1499999999999999</v>
      </c>
      <c r="K213" s="203">
        <v>1.1499999999999999</v>
      </c>
      <c r="L213" s="203">
        <v>1.1599999999999999</v>
      </c>
      <c r="M213" s="191">
        <v>767</v>
      </c>
      <c r="N213" s="349">
        <v>12.06</v>
      </c>
      <c r="O213" s="176">
        <v>7.94</v>
      </c>
      <c r="P213" s="176"/>
      <c r="Q213" s="176"/>
      <c r="R213" s="176" t="s">
        <v>114</v>
      </c>
      <c r="S213" s="209"/>
      <c r="T213" s="178" t="s">
        <v>1210</v>
      </c>
      <c r="U213" s="178"/>
      <c r="V213" s="179"/>
      <c r="W213" s="177">
        <v>44931</v>
      </c>
      <c r="X213" s="177"/>
      <c r="Y213" s="177">
        <v>44932</v>
      </c>
      <c r="Z213" s="177"/>
      <c r="AA213" s="177">
        <v>44948</v>
      </c>
      <c r="AB213" s="177"/>
      <c r="AC213" s="177"/>
      <c r="AD213" s="177">
        <v>44931</v>
      </c>
      <c r="AE213" s="177"/>
      <c r="AF213" s="177"/>
      <c r="AG213" s="180" t="s">
        <v>1345</v>
      </c>
      <c r="AH213" s="173" t="s">
        <v>69</v>
      </c>
      <c r="AI213" s="181" t="s">
        <v>142</v>
      </c>
      <c r="AJ213" s="181" t="s">
        <v>1508</v>
      </c>
      <c r="AK213" s="181"/>
      <c r="AL213" s="181">
        <v>44849</v>
      </c>
      <c r="AM213" s="181"/>
      <c r="AN213" s="181">
        <f t="shared" ca="1" si="30"/>
        <v>44958</v>
      </c>
      <c r="AO213" s="173">
        <f ca="1">IF(AL213&lt;&gt;0,AN213-AL213,0)</f>
        <v>109</v>
      </c>
      <c r="AP213" s="173">
        <f t="shared" ca="1" si="32"/>
        <v>10</v>
      </c>
      <c r="AQ213" s="181"/>
      <c r="AR213" s="190" t="s">
        <v>3926</v>
      </c>
      <c r="AS213" s="176">
        <v>24.335000000000001</v>
      </c>
      <c r="AT213" s="176">
        <v>24.395</v>
      </c>
      <c r="AU213" s="176">
        <v>24.42</v>
      </c>
      <c r="AV213" s="176">
        <v>24.425000000000001</v>
      </c>
      <c r="AW213" s="173">
        <f t="shared" ca="1" si="33"/>
        <v>26</v>
      </c>
      <c r="AX213" s="142">
        <v>456</v>
      </c>
      <c r="AZ213" s="142" t="s">
        <v>123</v>
      </c>
    </row>
    <row r="214" spans="2:52" s="142" customFormat="1" ht="21" customHeight="1" x14ac:dyDescent="0.25">
      <c r="B214" s="173" t="str">
        <f t="shared" si="29"/>
        <v>0-304/2B-1.15X767</v>
      </c>
      <c r="C214" s="201" t="s">
        <v>4864</v>
      </c>
      <c r="D214" s="173" t="s">
        <v>836</v>
      </c>
      <c r="E214" s="190" t="s">
        <v>3924</v>
      </c>
      <c r="F214" s="201" t="s">
        <v>4869</v>
      </c>
      <c r="G214" s="173">
        <v>304</v>
      </c>
      <c r="H214" s="173" t="s">
        <v>114</v>
      </c>
      <c r="I214" s="174">
        <v>3.45</v>
      </c>
      <c r="J214" s="174">
        <v>1.1499999999999999</v>
      </c>
      <c r="K214" s="203">
        <v>1.1499999999999999</v>
      </c>
      <c r="L214" s="203">
        <v>1.1599999999999999</v>
      </c>
      <c r="M214" s="191">
        <v>767</v>
      </c>
      <c r="N214" s="350"/>
      <c r="O214" s="176">
        <v>4.125</v>
      </c>
      <c r="P214" s="176"/>
      <c r="Q214" s="176">
        <v>5.0000000000000001E-3</v>
      </c>
      <c r="R214" s="176" t="s">
        <v>114</v>
      </c>
      <c r="S214" s="209"/>
      <c r="T214" s="178" t="s">
        <v>1210</v>
      </c>
      <c r="U214" s="178"/>
      <c r="V214" s="179"/>
      <c r="W214" s="177">
        <v>44931</v>
      </c>
      <c r="X214" s="177"/>
      <c r="Y214" s="177">
        <v>44932</v>
      </c>
      <c r="Z214" s="177"/>
      <c r="AA214" s="177">
        <v>44948</v>
      </c>
      <c r="AB214" s="177"/>
      <c r="AC214" s="177"/>
      <c r="AD214" s="177">
        <v>44931</v>
      </c>
      <c r="AE214" s="177"/>
      <c r="AF214" s="177"/>
      <c r="AG214" s="180" t="s">
        <v>1345</v>
      </c>
      <c r="AH214" s="173" t="s">
        <v>69</v>
      </c>
      <c r="AI214" s="181" t="s">
        <v>142</v>
      </c>
      <c r="AJ214" s="181" t="s">
        <v>1508</v>
      </c>
      <c r="AK214" s="181"/>
      <c r="AL214" s="181">
        <v>44849</v>
      </c>
      <c r="AM214" s="181"/>
      <c r="AN214" s="181">
        <f t="shared" ca="1" si="30"/>
        <v>44958</v>
      </c>
      <c r="AO214" s="173">
        <f ca="1">IF(AL214&lt;&gt;0,AN214-AL214,0)</f>
        <v>109</v>
      </c>
      <c r="AP214" s="173">
        <f t="shared" ca="1" si="32"/>
        <v>10</v>
      </c>
      <c r="AQ214" s="181"/>
      <c r="AR214" s="190" t="s">
        <v>3926</v>
      </c>
      <c r="AS214" s="176">
        <v>24.335000000000001</v>
      </c>
      <c r="AT214" s="176">
        <v>24.395</v>
      </c>
      <c r="AU214" s="176">
        <v>24.42</v>
      </c>
      <c r="AV214" s="176">
        <v>24.425000000000001</v>
      </c>
      <c r="AW214" s="173">
        <f t="shared" ca="1" si="33"/>
        <v>26</v>
      </c>
      <c r="AX214" s="142">
        <v>456</v>
      </c>
      <c r="AZ214" s="142" t="s">
        <v>123</v>
      </c>
    </row>
    <row r="215" spans="2:52" s="142" customFormat="1" ht="21" customHeight="1" x14ac:dyDescent="0.25">
      <c r="B215" s="173" t="str">
        <f t="shared" si="29"/>
        <v>0-316L/2B-0.60X627</v>
      </c>
      <c r="C215" s="201" t="s">
        <v>4870</v>
      </c>
      <c r="D215" s="173" t="s">
        <v>1237</v>
      </c>
      <c r="E215" s="190" t="s">
        <v>2379</v>
      </c>
      <c r="F215" s="201" t="s">
        <v>2380</v>
      </c>
      <c r="G215" s="173" t="s">
        <v>135</v>
      </c>
      <c r="H215" s="173" t="s">
        <v>114</v>
      </c>
      <c r="I215" s="174">
        <v>1.2</v>
      </c>
      <c r="J215" s="174">
        <v>0.6</v>
      </c>
      <c r="K215" s="203">
        <v>0.57999999999999996</v>
      </c>
      <c r="L215" s="203">
        <v>0.6</v>
      </c>
      <c r="M215" s="191">
        <v>627</v>
      </c>
      <c r="N215" s="176">
        <v>10.77</v>
      </c>
      <c r="O215" s="176">
        <v>11.045</v>
      </c>
      <c r="P215" s="176"/>
      <c r="Q215" s="176">
        <v>2.5000000000000001E-2</v>
      </c>
      <c r="R215" s="176" t="s">
        <v>114</v>
      </c>
      <c r="S215" s="209"/>
      <c r="T215" s="178" t="s">
        <v>1370</v>
      </c>
      <c r="U215" s="178" t="s">
        <v>615</v>
      </c>
      <c r="V215" s="179" t="s">
        <v>230</v>
      </c>
      <c r="W215" s="177" t="s">
        <v>2381</v>
      </c>
      <c r="X215" s="177"/>
      <c r="Y215" s="177">
        <v>44885</v>
      </c>
      <c r="Z215" s="177">
        <v>44901</v>
      </c>
      <c r="AA215" s="177" t="s">
        <v>2382</v>
      </c>
      <c r="AB215" s="177"/>
      <c r="AC215" s="177" t="s">
        <v>4871</v>
      </c>
      <c r="AD215" s="177">
        <v>44882</v>
      </c>
      <c r="AE215" s="177"/>
      <c r="AF215" s="177"/>
      <c r="AG215" s="180" t="s">
        <v>2374</v>
      </c>
      <c r="AH215" s="173" t="s">
        <v>69</v>
      </c>
      <c r="AI215" s="181" t="s">
        <v>142</v>
      </c>
      <c r="AJ215" s="181" t="s">
        <v>1887</v>
      </c>
      <c r="AK215" s="181"/>
      <c r="AL215" s="181">
        <v>44880</v>
      </c>
      <c r="AM215" s="181"/>
      <c r="AN215" s="181">
        <f t="shared" ca="1" si="30"/>
        <v>44958</v>
      </c>
      <c r="AO215" s="173">
        <f t="shared" ref="AO215" ca="1" si="35">IF(AL215&lt;&gt;0,AN215-AL215,0)</f>
        <v>78</v>
      </c>
      <c r="AP215" s="173">
        <f t="shared" ca="1" si="32"/>
        <v>375</v>
      </c>
      <c r="AQ215" s="181"/>
      <c r="AR215" s="190" t="s">
        <v>2384</v>
      </c>
      <c r="AS215" s="176">
        <v>21.59</v>
      </c>
      <c r="AT215" s="176">
        <v>21.645</v>
      </c>
      <c r="AU215" s="176">
        <v>21.67</v>
      </c>
      <c r="AV215" s="176">
        <v>21.675000000000001</v>
      </c>
      <c r="AW215" s="173">
        <f t="shared" ca="1" si="33"/>
        <v>73</v>
      </c>
      <c r="AX215" s="142">
        <v>460</v>
      </c>
      <c r="AZ215" s="142" t="s">
        <v>123</v>
      </c>
    </row>
    <row r="216" spans="2:52" s="142" customFormat="1" ht="21" customHeight="1" x14ac:dyDescent="0.25">
      <c r="B216" s="173" t="str">
        <f t="shared" si="29"/>
        <v>0-304L/2B-1.15X766</v>
      </c>
      <c r="C216" s="201" t="s">
        <v>4862</v>
      </c>
      <c r="D216" s="173" t="s">
        <v>4432</v>
      </c>
      <c r="E216" s="190" t="s">
        <v>1579</v>
      </c>
      <c r="F216" s="201" t="s">
        <v>4872</v>
      </c>
      <c r="G216" s="173" t="s">
        <v>182</v>
      </c>
      <c r="H216" s="173" t="s">
        <v>114</v>
      </c>
      <c r="I216" s="174">
        <v>3.4</v>
      </c>
      <c r="J216" s="174">
        <v>1.1499999999999999</v>
      </c>
      <c r="K216" s="203">
        <v>1.1299999999999999</v>
      </c>
      <c r="L216" s="203">
        <v>1.1499999999999999</v>
      </c>
      <c r="M216" s="191">
        <v>766</v>
      </c>
      <c r="N216" s="176">
        <v>10.36</v>
      </c>
      <c r="O216" s="176">
        <f>5.15+5.2</f>
        <v>10.350000000000001</v>
      </c>
      <c r="P216" s="176"/>
      <c r="Q216" s="176">
        <v>0.01</v>
      </c>
      <c r="R216" s="176" t="s">
        <v>114</v>
      </c>
      <c r="S216" s="209" t="s">
        <v>4873</v>
      </c>
      <c r="T216" s="178" t="s">
        <v>1210</v>
      </c>
      <c r="U216" s="178"/>
      <c r="V216" s="179"/>
      <c r="W216" s="177">
        <v>44933</v>
      </c>
      <c r="X216" s="177"/>
      <c r="Y216" s="177">
        <v>44933</v>
      </c>
      <c r="Z216" s="177"/>
      <c r="AA216" s="177"/>
      <c r="AB216" s="177"/>
      <c r="AC216" s="177"/>
      <c r="AD216" s="177">
        <v>44930</v>
      </c>
      <c r="AE216" s="177"/>
      <c r="AF216" s="177"/>
      <c r="AG216" s="180" t="s">
        <v>1345</v>
      </c>
      <c r="AH216" s="173" t="s">
        <v>69</v>
      </c>
      <c r="AI216" s="181" t="s">
        <v>142</v>
      </c>
      <c r="AJ216" s="181" t="s">
        <v>1508</v>
      </c>
      <c r="AK216" s="181"/>
      <c r="AL216" s="181">
        <v>44849</v>
      </c>
      <c r="AM216" s="181"/>
      <c r="AN216" s="181">
        <f t="shared" ca="1" si="30"/>
        <v>44958</v>
      </c>
      <c r="AO216" s="173">
        <f ca="1">IF(AL216&lt;&gt;0,AN216-AL216,0)</f>
        <v>109</v>
      </c>
      <c r="AP216" s="173" t="str">
        <f t="shared" si="32"/>
        <v/>
      </c>
      <c r="AQ216" s="181"/>
      <c r="AR216" s="190" t="s">
        <v>1581</v>
      </c>
      <c r="AS216" s="176">
        <v>20.74</v>
      </c>
      <c r="AT216" s="176">
        <v>20.8</v>
      </c>
      <c r="AU216" s="176">
        <v>20.825000000000003</v>
      </c>
      <c r="AV216" s="176">
        <v>20.830000000000002</v>
      </c>
      <c r="AW216" s="173">
        <f t="shared" ca="1" si="33"/>
        <v>25</v>
      </c>
      <c r="AX216" s="142">
        <v>456</v>
      </c>
      <c r="AZ216" s="142" t="s">
        <v>123</v>
      </c>
    </row>
    <row r="217" spans="2:52" s="142" customFormat="1" ht="21" customHeight="1" x14ac:dyDescent="0.25">
      <c r="B217" s="173" t="str">
        <f t="shared" si="29"/>
        <v>0-304/2B-1.95X767</v>
      </c>
      <c r="C217" s="201" t="s">
        <v>4862</v>
      </c>
      <c r="D217" s="173" t="s">
        <v>4432</v>
      </c>
      <c r="E217" s="190" t="s">
        <v>3958</v>
      </c>
      <c r="F217" s="201" t="s">
        <v>4874</v>
      </c>
      <c r="G217" s="173">
        <v>304</v>
      </c>
      <c r="H217" s="173" t="s">
        <v>114</v>
      </c>
      <c r="I217" s="174">
        <v>3.95</v>
      </c>
      <c r="J217" s="174">
        <v>1.95</v>
      </c>
      <c r="K217" s="203">
        <v>1.95</v>
      </c>
      <c r="L217" s="203">
        <v>1.98</v>
      </c>
      <c r="M217" s="191">
        <v>767</v>
      </c>
      <c r="N217" s="176">
        <v>10.35</v>
      </c>
      <c r="O217" s="176">
        <f>4.935+5.41</f>
        <v>10.344999999999999</v>
      </c>
      <c r="P217" s="176"/>
      <c r="Q217" s="176">
        <v>5.0000000000000001E-3</v>
      </c>
      <c r="R217" s="176" t="s">
        <v>114</v>
      </c>
      <c r="S217" s="209" t="s">
        <v>4873</v>
      </c>
      <c r="T217" s="178" t="s">
        <v>1210</v>
      </c>
      <c r="U217" s="178"/>
      <c r="V217" s="179"/>
      <c r="W217" s="177">
        <v>44933</v>
      </c>
      <c r="X217" s="177"/>
      <c r="Y217" s="177">
        <v>44934</v>
      </c>
      <c r="Z217" s="177"/>
      <c r="AA217" s="177"/>
      <c r="AB217" s="177"/>
      <c r="AC217" s="177"/>
      <c r="AD217" s="177"/>
      <c r="AE217" s="177"/>
      <c r="AF217" s="177"/>
      <c r="AG217" s="180" t="s">
        <v>1345</v>
      </c>
      <c r="AH217" s="173" t="s">
        <v>69</v>
      </c>
      <c r="AI217" s="181" t="s">
        <v>142</v>
      </c>
      <c r="AJ217" s="181" t="s">
        <v>2283</v>
      </c>
      <c r="AK217" s="181"/>
      <c r="AL217" s="181">
        <v>44880</v>
      </c>
      <c r="AM217" s="181"/>
      <c r="AN217" s="181">
        <f t="shared" ca="1" si="30"/>
        <v>44958</v>
      </c>
      <c r="AO217" s="173">
        <f ca="1">IF(AL217&lt;&gt;0,AN217-AL217,0)</f>
        <v>78</v>
      </c>
      <c r="AP217" s="173" t="str">
        <f t="shared" si="32"/>
        <v/>
      </c>
      <c r="AQ217" s="181"/>
      <c r="AR217" s="190" t="s">
        <v>3960</v>
      </c>
      <c r="AS217" s="176">
        <v>10.41</v>
      </c>
      <c r="AT217" s="176">
        <v>10.42</v>
      </c>
      <c r="AU217" s="176">
        <v>10.444999999999999</v>
      </c>
      <c r="AV217" s="176">
        <v>10.45</v>
      </c>
      <c r="AW217" s="173">
        <f t="shared" ca="1" si="33"/>
        <v>24</v>
      </c>
      <c r="AX217" s="142">
        <v>459</v>
      </c>
      <c r="AZ217" s="142" t="s">
        <v>123</v>
      </c>
    </row>
    <row r="218" spans="2:52" s="142" customFormat="1" ht="21" customHeight="1" x14ac:dyDescent="0.25">
      <c r="B218" s="173" t="str">
        <f t="shared" si="29"/>
        <v>0-304/2B-1.45X773</v>
      </c>
      <c r="C218" s="201" t="s">
        <v>4862</v>
      </c>
      <c r="D218" s="173" t="s">
        <v>4432</v>
      </c>
      <c r="E218" s="190" t="s">
        <v>3940</v>
      </c>
      <c r="F218" s="201" t="s">
        <v>4875</v>
      </c>
      <c r="G218" s="173">
        <v>304</v>
      </c>
      <c r="H218" s="173" t="s">
        <v>114</v>
      </c>
      <c r="I218" s="174">
        <v>3.77</v>
      </c>
      <c r="J218" s="174">
        <v>1.45</v>
      </c>
      <c r="K218" s="203">
        <v>1.47</v>
      </c>
      <c r="L218" s="203">
        <v>1.46</v>
      </c>
      <c r="M218" s="191">
        <v>773</v>
      </c>
      <c r="N218" s="349">
        <v>10.51</v>
      </c>
      <c r="O218" s="176">
        <v>4.91</v>
      </c>
      <c r="P218" s="176"/>
      <c r="Q218" s="176"/>
      <c r="R218" s="176" t="s">
        <v>114</v>
      </c>
      <c r="S218" s="209" t="s">
        <v>4873</v>
      </c>
      <c r="T218" s="178" t="s">
        <v>1210</v>
      </c>
      <c r="U218" s="178"/>
      <c r="V218" s="179"/>
      <c r="W218" s="177">
        <v>44932</v>
      </c>
      <c r="X218" s="177"/>
      <c r="Y218" s="177">
        <v>44932</v>
      </c>
      <c r="Z218" s="177"/>
      <c r="AA218" s="177"/>
      <c r="AB218" s="177"/>
      <c r="AC218" s="177"/>
      <c r="AD218" s="177"/>
      <c r="AE218" s="177"/>
      <c r="AF218" s="177"/>
      <c r="AG218" s="180" t="s">
        <v>1345</v>
      </c>
      <c r="AH218" s="173" t="s">
        <v>69</v>
      </c>
      <c r="AI218" s="181" t="s">
        <v>142</v>
      </c>
      <c r="AJ218" s="181" t="s">
        <v>2283</v>
      </c>
      <c r="AK218" s="181"/>
      <c r="AL218" s="181">
        <v>44880</v>
      </c>
      <c r="AM218" s="181"/>
      <c r="AN218" s="181">
        <f t="shared" ca="1" si="30"/>
        <v>44958</v>
      </c>
      <c r="AO218" s="173">
        <f t="shared" ref="AO218:AO219" ca="1" si="36">IF(AL218&lt;&gt;0,AN218-AL218,0)</f>
        <v>78</v>
      </c>
      <c r="AP218" s="173" t="str">
        <f t="shared" si="32"/>
        <v/>
      </c>
      <c r="AQ218" s="181"/>
      <c r="AR218" s="190" t="s">
        <v>3942</v>
      </c>
      <c r="AS218" s="176">
        <v>10.574999999999999</v>
      </c>
      <c r="AT218" s="176">
        <v>10.584999999999999</v>
      </c>
      <c r="AU218" s="176">
        <v>10.609999999999998</v>
      </c>
      <c r="AV218" s="176">
        <v>10.614999999999998</v>
      </c>
      <c r="AW218" s="173">
        <f t="shared" ca="1" si="33"/>
        <v>26</v>
      </c>
      <c r="AX218" s="142">
        <v>459</v>
      </c>
      <c r="AZ218" s="142" t="s">
        <v>123</v>
      </c>
    </row>
    <row r="219" spans="2:52" s="142" customFormat="1" ht="21" customHeight="1" x14ac:dyDescent="0.25">
      <c r="B219" s="173" t="str">
        <f t="shared" si="29"/>
        <v>0-304/2B-1.45X773</v>
      </c>
      <c r="C219" s="201" t="s">
        <v>4864</v>
      </c>
      <c r="D219" s="173" t="s">
        <v>836</v>
      </c>
      <c r="E219" s="190" t="s">
        <v>3940</v>
      </c>
      <c r="F219" s="201" t="s">
        <v>4876</v>
      </c>
      <c r="G219" s="173">
        <v>304</v>
      </c>
      <c r="H219" s="173" t="s">
        <v>114</v>
      </c>
      <c r="I219" s="174">
        <v>3.77</v>
      </c>
      <c r="J219" s="174">
        <v>1.45</v>
      </c>
      <c r="K219" s="203">
        <v>1.47</v>
      </c>
      <c r="L219" s="203">
        <v>1.46</v>
      </c>
      <c r="M219" s="191">
        <v>773</v>
      </c>
      <c r="N219" s="350"/>
      <c r="O219" s="176">
        <v>5.6</v>
      </c>
      <c r="P219" s="176"/>
      <c r="Q219" s="176"/>
      <c r="R219" s="176" t="s">
        <v>114</v>
      </c>
      <c r="S219" s="209"/>
      <c r="T219" s="178" t="s">
        <v>1210</v>
      </c>
      <c r="U219" s="178"/>
      <c r="V219" s="179"/>
      <c r="W219" s="177">
        <v>44932</v>
      </c>
      <c r="X219" s="177"/>
      <c r="Y219" s="177">
        <v>44932</v>
      </c>
      <c r="Z219" s="177"/>
      <c r="AA219" s="177">
        <v>44948</v>
      </c>
      <c r="AB219" s="177"/>
      <c r="AC219" s="177"/>
      <c r="AD219" s="177"/>
      <c r="AE219" s="177"/>
      <c r="AF219" s="177"/>
      <c r="AG219" s="180" t="s">
        <v>1345</v>
      </c>
      <c r="AH219" s="173" t="s">
        <v>69</v>
      </c>
      <c r="AI219" s="181" t="s">
        <v>142</v>
      </c>
      <c r="AJ219" s="181" t="s">
        <v>2283</v>
      </c>
      <c r="AK219" s="181"/>
      <c r="AL219" s="181">
        <v>44880</v>
      </c>
      <c r="AM219" s="181"/>
      <c r="AN219" s="181">
        <f t="shared" ca="1" si="30"/>
        <v>44958</v>
      </c>
      <c r="AO219" s="173">
        <f t="shared" ca="1" si="36"/>
        <v>78</v>
      </c>
      <c r="AP219" s="173">
        <f t="shared" ca="1" si="32"/>
        <v>10</v>
      </c>
      <c r="AQ219" s="181"/>
      <c r="AR219" s="190" t="s">
        <v>3942</v>
      </c>
      <c r="AS219" s="176">
        <v>10.574999999999999</v>
      </c>
      <c r="AT219" s="176">
        <v>10.584999999999999</v>
      </c>
      <c r="AU219" s="176">
        <v>10.609999999999998</v>
      </c>
      <c r="AV219" s="176">
        <v>10.614999999999998</v>
      </c>
      <c r="AW219" s="173">
        <f t="shared" ca="1" si="33"/>
        <v>26</v>
      </c>
      <c r="AX219" s="142">
        <v>459</v>
      </c>
      <c r="AZ219" s="142" t="s">
        <v>123</v>
      </c>
    </row>
    <row r="220" spans="2:52" s="142" customFormat="1" ht="21" customHeight="1" x14ac:dyDescent="0.25">
      <c r="B220" s="173" t="str">
        <f t="shared" si="29"/>
        <v>0-304L/2B-1.45X769</v>
      </c>
      <c r="C220" s="201" t="s">
        <v>4877</v>
      </c>
      <c r="D220" s="173" t="s">
        <v>4432</v>
      </c>
      <c r="E220" s="190" t="s">
        <v>4878</v>
      </c>
      <c r="F220" s="201" t="s">
        <v>4879</v>
      </c>
      <c r="G220" s="173" t="s">
        <v>182</v>
      </c>
      <c r="H220" s="173" t="s">
        <v>114</v>
      </c>
      <c r="I220" s="174">
        <v>3.78</v>
      </c>
      <c r="J220" s="174">
        <v>1.45</v>
      </c>
      <c r="K220" s="203">
        <v>1.44</v>
      </c>
      <c r="L220" s="203">
        <v>1.46</v>
      </c>
      <c r="M220" s="191">
        <v>769</v>
      </c>
      <c r="N220" s="176">
        <v>12.225</v>
      </c>
      <c r="O220" s="176">
        <f>4.095+4.11+3.925</f>
        <v>12.129999999999999</v>
      </c>
      <c r="P220" s="176"/>
      <c r="Q220" s="176">
        <v>9.5000000000000001E-2</v>
      </c>
      <c r="R220" s="176" t="s">
        <v>114</v>
      </c>
      <c r="S220" s="209" t="s">
        <v>4873</v>
      </c>
      <c r="T220" s="178" t="s">
        <v>1210</v>
      </c>
      <c r="U220" s="178" t="s">
        <v>1540</v>
      </c>
      <c r="V220" s="179"/>
      <c r="W220" s="177">
        <v>44923</v>
      </c>
      <c r="X220" s="177"/>
      <c r="Y220" s="177">
        <v>44923</v>
      </c>
      <c r="Z220" s="177"/>
      <c r="AA220" s="177"/>
      <c r="AB220" s="177"/>
      <c r="AC220" s="177"/>
      <c r="AD220" s="177"/>
      <c r="AE220" s="177"/>
      <c r="AF220" s="177"/>
      <c r="AG220" s="180" t="s">
        <v>2479</v>
      </c>
      <c r="AH220" s="173" t="s">
        <v>69</v>
      </c>
      <c r="AI220" s="181" t="s">
        <v>142</v>
      </c>
      <c r="AJ220" s="181" t="s">
        <v>2283</v>
      </c>
      <c r="AK220" s="181"/>
      <c r="AL220" s="181">
        <v>44880</v>
      </c>
      <c r="AM220" s="181"/>
      <c r="AN220" s="181">
        <f t="shared" ca="1" si="30"/>
        <v>44958</v>
      </c>
      <c r="AO220" s="173">
        <f ca="1">IF(AL220&lt;&gt;0,AN220-AL220,0)</f>
        <v>78</v>
      </c>
      <c r="AP220" s="173" t="str">
        <f t="shared" si="32"/>
        <v/>
      </c>
      <c r="AQ220" s="181"/>
      <c r="AR220" s="190" t="s">
        <v>4880</v>
      </c>
      <c r="AS220" s="176">
        <v>12.205</v>
      </c>
      <c r="AT220" s="176">
        <v>12.215</v>
      </c>
      <c r="AU220" s="176">
        <v>12.239999999999998</v>
      </c>
      <c r="AV220" s="176">
        <v>12.244999999999999</v>
      </c>
      <c r="AW220" s="173">
        <f t="shared" ca="1" si="33"/>
        <v>35</v>
      </c>
      <c r="AX220" s="142">
        <v>459</v>
      </c>
      <c r="AZ220" s="142" t="s">
        <v>123</v>
      </c>
    </row>
    <row r="221" spans="2:52" s="142" customFormat="1" ht="21" customHeight="1" x14ac:dyDescent="0.25">
      <c r="B221" s="173" t="str">
        <f t="shared" si="29"/>
        <v>0-304L/2B-1.45X774</v>
      </c>
      <c r="C221" s="201" t="s">
        <v>4877</v>
      </c>
      <c r="D221" s="173" t="s">
        <v>4432</v>
      </c>
      <c r="E221" s="190" t="s">
        <v>3972</v>
      </c>
      <c r="F221" s="201" t="s">
        <v>4881</v>
      </c>
      <c r="G221" s="173" t="s">
        <v>182</v>
      </c>
      <c r="H221" s="173" t="s">
        <v>114</v>
      </c>
      <c r="I221" s="174">
        <v>3.79</v>
      </c>
      <c r="J221" s="174">
        <v>1.45</v>
      </c>
      <c r="K221" s="203">
        <v>1.44</v>
      </c>
      <c r="L221" s="203">
        <v>1.46</v>
      </c>
      <c r="M221" s="191">
        <v>774</v>
      </c>
      <c r="N221" s="176">
        <v>11.885</v>
      </c>
      <c r="O221" s="176">
        <f>5.765+6.055</f>
        <v>11.82</v>
      </c>
      <c r="P221" s="176"/>
      <c r="Q221" s="176">
        <v>6.5000000000000002E-2</v>
      </c>
      <c r="R221" s="176" t="s">
        <v>114</v>
      </c>
      <c r="S221" s="209" t="s">
        <v>4882</v>
      </c>
      <c r="T221" s="178" t="s">
        <v>1210</v>
      </c>
      <c r="U221" s="178"/>
      <c r="V221" s="179"/>
      <c r="W221" s="177">
        <v>44934</v>
      </c>
      <c r="X221" s="177"/>
      <c r="Y221" s="177">
        <v>44934</v>
      </c>
      <c r="Z221" s="177"/>
      <c r="AA221" s="177"/>
      <c r="AB221" s="177"/>
      <c r="AC221" s="177"/>
      <c r="AD221" s="177"/>
      <c r="AE221" s="177"/>
      <c r="AF221" s="177"/>
      <c r="AG221" s="180" t="s">
        <v>1345</v>
      </c>
      <c r="AH221" s="173" t="s">
        <v>69</v>
      </c>
      <c r="AI221" s="181" t="s">
        <v>142</v>
      </c>
      <c r="AJ221" s="181" t="s">
        <v>1653</v>
      </c>
      <c r="AK221" s="181"/>
      <c r="AL221" s="181">
        <v>44880</v>
      </c>
      <c r="AM221" s="181"/>
      <c r="AN221" s="181">
        <f t="shared" ca="1" si="30"/>
        <v>44958</v>
      </c>
      <c r="AO221" s="173">
        <f ca="1">IF(AL221&lt;&gt;0,AN221-AL221,0)</f>
        <v>78</v>
      </c>
      <c r="AP221" s="173" t="str">
        <f t="shared" si="32"/>
        <v/>
      </c>
      <c r="AQ221" s="181"/>
      <c r="AR221" s="190" t="s">
        <v>3974</v>
      </c>
      <c r="AS221" s="176">
        <v>11.88</v>
      </c>
      <c r="AT221" s="176">
        <v>11.89</v>
      </c>
      <c r="AU221" s="176">
        <v>11.914999999999999</v>
      </c>
      <c r="AV221" s="176">
        <v>11.92</v>
      </c>
      <c r="AW221" s="173">
        <f t="shared" ca="1" si="33"/>
        <v>24</v>
      </c>
      <c r="AX221" s="142">
        <v>459</v>
      </c>
      <c r="AZ221" s="142" t="s">
        <v>123</v>
      </c>
    </row>
    <row r="222" spans="2:52" s="142" customFormat="1" ht="21" customHeight="1" x14ac:dyDescent="0.25">
      <c r="B222" s="173" t="str">
        <f t="shared" si="29"/>
        <v>0-304L/2B-1.50X767</v>
      </c>
      <c r="C222" s="201" t="s">
        <v>4877</v>
      </c>
      <c r="D222" s="173" t="s">
        <v>4432</v>
      </c>
      <c r="E222" s="190" t="s">
        <v>4025</v>
      </c>
      <c r="F222" s="201" t="s">
        <v>4883</v>
      </c>
      <c r="G222" s="173" t="s">
        <v>182</v>
      </c>
      <c r="H222" s="173" t="s">
        <v>114</v>
      </c>
      <c r="I222" s="174">
        <v>3.8</v>
      </c>
      <c r="J222" s="174">
        <v>1.5</v>
      </c>
      <c r="K222" s="203">
        <v>1.48</v>
      </c>
      <c r="L222" s="203">
        <v>1.5</v>
      </c>
      <c r="M222" s="191">
        <v>767</v>
      </c>
      <c r="N222" s="349">
        <v>12.28</v>
      </c>
      <c r="O222" s="176">
        <f>4.045+4.045</f>
        <v>8.09</v>
      </c>
      <c r="P222" s="176"/>
      <c r="Q222" s="176"/>
      <c r="R222" s="176" t="s">
        <v>114</v>
      </c>
      <c r="S222" s="209" t="s">
        <v>4884</v>
      </c>
      <c r="T222" s="178" t="s">
        <v>2600</v>
      </c>
      <c r="U222" s="178"/>
      <c r="V222" s="179"/>
      <c r="W222" s="177">
        <v>44938</v>
      </c>
      <c r="X222" s="177"/>
      <c r="Y222" s="177">
        <v>44938</v>
      </c>
      <c r="Z222" s="177"/>
      <c r="AA222" s="177"/>
      <c r="AB222" s="177"/>
      <c r="AC222" s="177"/>
      <c r="AD222" s="177">
        <v>44932</v>
      </c>
      <c r="AE222" s="177"/>
      <c r="AF222" s="177"/>
      <c r="AG222" s="180" t="s">
        <v>1507</v>
      </c>
      <c r="AH222" s="173" t="s">
        <v>69</v>
      </c>
      <c r="AI222" s="181" t="s">
        <v>142</v>
      </c>
      <c r="AJ222" s="181" t="s">
        <v>1508</v>
      </c>
      <c r="AK222" s="181"/>
      <c r="AL222" s="181">
        <v>44849</v>
      </c>
      <c r="AM222" s="181"/>
      <c r="AN222" s="181">
        <f t="shared" ca="1" si="30"/>
        <v>44958</v>
      </c>
      <c r="AO222" s="173">
        <f ca="1">IF(AL222&lt;&gt;0,AN222-AL222,0)</f>
        <v>109</v>
      </c>
      <c r="AP222" s="173" t="str">
        <f t="shared" si="32"/>
        <v/>
      </c>
      <c r="AQ222" s="181"/>
      <c r="AR222" s="190" t="s">
        <v>4027</v>
      </c>
      <c r="AS222" s="176">
        <v>24.6</v>
      </c>
      <c r="AT222" s="176">
        <v>24.66</v>
      </c>
      <c r="AU222" s="176">
        <v>24.685000000000002</v>
      </c>
      <c r="AV222" s="176">
        <v>24.69</v>
      </c>
      <c r="AW222" s="173">
        <f t="shared" ca="1" si="33"/>
        <v>20</v>
      </c>
      <c r="AX222" s="142">
        <v>456</v>
      </c>
      <c r="AZ222" s="142" t="s">
        <v>123</v>
      </c>
    </row>
    <row r="223" spans="2:52" s="142" customFormat="1" ht="21" customHeight="1" x14ac:dyDescent="0.25">
      <c r="B223" s="173" t="str">
        <f t="shared" si="29"/>
        <v>0-304L/2B-1.50X767</v>
      </c>
      <c r="C223" s="201" t="s">
        <v>4885</v>
      </c>
      <c r="D223" s="173" t="s">
        <v>836</v>
      </c>
      <c r="E223" s="190" t="s">
        <v>4025</v>
      </c>
      <c r="F223" s="201" t="s">
        <v>4886</v>
      </c>
      <c r="G223" s="173" t="s">
        <v>182</v>
      </c>
      <c r="H223" s="173" t="s">
        <v>114</v>
      </c>
      <c r="I223" s="174">
        <v>3.8</v>
      </c>
      <c r="J223" s="174">
        <v>1.5</v>
      </c>
      <c r="K223" s="203">
        <v>1.48</v>
      </c>
      <c r="L223" s="203">
        <v>1.5</v>
      </c>
      <c r="M223" s="191">
        <v>767</v>
      </c>
      <c r="N223" s="350"/>
      <c r="O223" s="176">
        <v>4.125</v>
      </c>
      <c r="P223" s="176"/>
      <c r="Q223" s="176">
        <v>6.5000000000000002E-2</v>
      </c>
      <c r="R223" s="176" t="s">
        <v>114</v>
      </c>
      <c r="S223" s="209"/>
      <c r="T223" s="178" t="s">
        <v>1546</v>
      </c>
      <c r="U223" s="178"/>
      <c r="V223" s="179"/>
      <c r="W223" s="177">
        <v>44938</v>
      </c>
      <c r="X223" s="177"/>
      <c r="Y223" s="177">
        <v>44938</v>
      </c>
      <c r="Z223" s="177"/>
      <c r="AA223" s="177">
        <v>44949</v>
      </c>
      <c r="AB223" s="177"/>
      <c r="AC223" s="177"/>
      <c r="AD223" s="177">
        <v>44932</v>
      </c>
      <c r="AE223" s="177"/>
      <c r="AF223" s="177"/>
      <c r="AG223" s="180" t="s">
        <v>1507</v>
      </c>
      <c r="AH223" s="173" t="s">
        <v>69</v>
      </c>
      <c r="AI223" s="181" t="s">
        <v>142</v>
      </c>
      <c r="AJ223" s="181" t="s">
        <v>1508</v>
      </c>
      <c r="AK223" s="181"/>
      <c r="AL223" s="181">
        <v>44849</v>
      </c>
      <c r="AM223" s="181"/>
      <c r="AN223" s="181">
        <f t="shared" ca="1" si="30"/>
        <v>44958</v>
      </c>
      <c r="AO223" s="173">
        <f ca="1">IF(AL223&lt;&gt;0,AN223-AL223,0)</f>
        <v>109</v>
      </c>
      <c r="AP223" s="173">
        <f t="shared" ca="1" si="32"/>
        <v>9</v>
      </c>
      <c r="AQ223" s="181"/>
      <c r="AR223" s="190" t="s">
        <v>4027</v>
      </c>
      <c r="AS223" s="176">
        <v>24.6</v>
      </c>
      <c r="AT223" s="176">
        <v>24.66</v>
      </c>
      <c r="AU223" s="176">
        <v>24.685000000000002</v>
      </c>
      <c r="AV223" s="176">
        <v>24.69</v>
      </c>
      <c r="AW223" s="173">
        <f t="shared" ca="1" si="33"/>
        <v>20</v>
      </c>
      <c r="AX223" s="142">
        <v>456</v>
      </c>
      <c r="AZ223" s="142" t="s">
        <v>123</v>
      </c>
    </row>
    <row r="224" spans="2:52" s="142" customFormat="1" ht="21" customHeight="1" x14ac:dyDescent="0.25">
      <c r="B224" s="173" t="str">
        <f t="shared" si="29"/>
        <v>0-304/2B-1.50X772</v>
      </c>
      <c r="C224" s="201" t="s">
        <v>4877</v>
      </c>
      <c r="D224" s="173" t="s">
        <v>4432</v>
      </c>
      <c r="E224" s="190" t="s">
        <v>4006</v>
      </c>
      <c r="F224" s="201" t="s">
        <v>4887</v>
      </c>
      <c r="G224" s="173">
        <v>304</v>
      </c>
      <c r="H224" s="173" t="s">
        <v>114</v>
      </c>
      <c r="I224" s="174">
        <v>3.82</v>
      </c>
      <c r="J224" s="174">
        <v>1.5</v>
      </c>
      <c r="K224" s="203">
        <v>1.49</v>
      </c>
      <c r="L224" s="203">
        <v>1.5</v>
      </c>
      <c r="M224" s="191">
        <v>772</v>
      </c>
      <c r="N224" s="176">
        <v>9.1750000000000007</v>
      </c>
      <c r="O224" s="176">
        <f>4.19+4.925</f>
        <v>9.1150000000000002</v>
      </c>
      <c r="P224" s="176"/>
      <c r="Q224" s="176">
        <v>0.06</v>
      </c>
      <c r="R224" s="176" t="s">
        <v>114</v>
      </c>
      <c r="S224" s="209" t="s">
        <v>4888</v>
      </c>
      <c r="T224" s="178" t="s">
        <v>1546</v>
      </c>
      <c r="U224" s="178"/>
      <c r="V224" s="179"/>
      <c r="W224" s="177">
        <v>44935</v>
      </c>
      <c r="X224" s="177"/>
      <c r="Y224" s="177">
        <v>44936</v>
      </c>
      <c r="Z224" s="177"/>
      <c r="AA224" s="177"/>
      <c r="AB224" s="177"/>
      <c r="AC224" s="177"/>
      <c r="AD224" s="177"/>
      <c r="AE224" s="177"/>
      <c r="AF224" s="177"/>
      <c r="AG224" s="180" t="s">
        <v>1507</v>
      </c>
      <c r="AH224" s="173" t="s">
        <v>69</v>
      </c>
      <c r="AI224" s="181" t="s">
        <v>142</v>
      </c>
      <c r="AJ224" s="181" t="s">
        <v>1584</v>
      </c>
      <c r="AK224" s="181"/>
      <c r="AL224" s="181">
        <v>44914</v>
      </c>
      <c r="AM224" s="181"/>
      <c r="AN224" s="181">
        <f t="shared" ca="1" si="30"/>
        <v>44958</v>
      </c>
      <c r="AO224" s="173">
        <f ca="1">IF(AL224&lt;&gt;0,AN224-AL224,0)</f>
        <v>44</v>
      </c>
      <c r="AP224" s="173" t="str">
        <f t="shared" si="32"/>
        <v/>
      </c>
      <c r="AQ224" s="181"/>
      <c r="AR224" s="190" t="s">
        <v>2601</v>
      </c>
      <c r="AS224" s="176">
        <v>9.1850000000000005</v>
      </c>
      <c r="AT224" s="176">
        <v>9.1950000000000003</v>
      </c>
      <c r="AU224" s="176">
        <v>9.2199999999999989</v>
      </c>
      <c r="AV224" s="176">
        <v>9.2249999999999996</v>
      </c>
      <c r="AW224" s="173">
        <f t="shared" ca="1" si="33"/>
        <v>22</v>
      </c>
      <c r="AX224" s="142">
        <v>462</v>
      </c>
      <c r="AZ224" s="142" t="s">
        <v>123</v>
      </c>
    </row>
    <row r="225" spans="2:52" s="142" customFormat="1" ht="21" customHeight="1" x14ac:dyDescent="0.25">
      <c r="B225" s="173" t="str">
        <f t="shared" si="29"/>
        <v>0-304/2B-1.00X769</v>
      </c>
      <c r="C225" s="201" t="s">
        <v>4877</v>
      </c>
      <c r="D225" s="173" t="s">
        <v>4432</v>
      </c>
      <c r="E225" s="190" t="s">
        <v>4130</v>
      </c>
      <c r="F225" s="201" t="s">
        <v>4889</v>
      </c>
      <c r="G225" s="173">
        <v>304</v>
      </c>
      <c r="H225" s="173" t="s">
        <v>114</v>
      </c>
      <c r="I225" s="174">
        <v>2.9</v>
      </c>
      <c r="J225" s="174">
        <v>1</v>
      </c>
      <c r="K225" s="203">
        <v>0.98</v>
      </c>
      <c r="L225" s="203">
        <v>1</v>
      </c>
      <c r="M225" s="191">
        <v>769</v>
      </c>
      <c r="N225" s="349">
        <v>10.605</v>
      </c>
      <c r="O225" s="176">
        <f>2.505+2.55</f>
        <v>5.0549999999999997</v>
      </c>
      <c r="P225" s="176"/>
      <c r="Q225" s="176"/>
      <c r="R225" s="176" t="s">
        <v>114</v>
      </c>
      <c r="S225" s="209" t="s">
        <v>4890</v>
      </c>
      <c r="T225" s="178" t="s">
        <v>511</v>
      </c>
      <c r="U225" s="178"/>
      <c r="V225" s="179"/>
      <c r="W225" s="177">
        <v>44943</v>
      </c>
      <c r="X225" s="177"/>
      <c r="Y225" s="177">
        <v>44944</v>
      </c>
      <c r="Z225" s="177"/>
      <c r="AA225" s="177"/>
      <c r="AB225" s="177"/>
      <c r="AC225" s="177"/>
      <c r="AD225" s="177"/>
      <c r="AE225" s="177"/>
      <c r="AF225" s="177"/>
      <c r="AG225" s="180" t="s">
        <v>2448</v>
      </c>
      <c r="AH225" s="173" t="s">
        <v>69</v>
      </c>
      <c r="AI225" s="181" t="s">
        <v>142</v>
      </c>
      <c r="AJ225" s="181" t="s">
        <v>1584</v>
      </c>
      <c r="AK225" s="181"/>
      <c r="AL225" s="181">
        <v>44914</v>
      </c>
      <c r="AM225" s="181"/>
      <c r="AN225" s="181">
        <f t="shared" ca="1" si="30"/>
        <v>44958</v>
      </c>
      <c r="AO225" s="173">
        <f t="shared" ref="AO225:AO226" ca="1" si="37">IF(AL225&lt;&gt;0,AN225-AL225,0)</f>
        <v>44</v>
      </c>
      <c r="AP225" s="173" t="str">
        <f t="shared" si="32"/>
        <v/>
      </c>
      <c r="AQ225" s="181"/>
      <c r="AR225" s="190" t="s">
        <v>4132</v>
      </c>
      <c r="AS225" s="176">
        <v>10.595000000000001</v>
      </c>
      <c r="AT225" s="176">
        <v>10.605</v>
      </c>
      <c r="AU225" s="176">
        <v>10.629999999999999</v>
      </c>
      <c r="AV225" s="176">
        <v>10.635</v>
      </c>
      <c r="AW225" s="173">
        <f t="shared" ca="1" si="33"/>
        <v>14</v>
      </c>
      <c r="AX225" s="142">
        <v>462</v>
      </c>
      <c r="AZ225" s="142" t="s">
        <v>123</v>
      </c>
    </row>
    <row r="226" spans="2:52" s="142" customFormat="1" ht="21" customHeight="1" x14ac:dyDescent="0.25">
      <c r="B226" s="173" t="str">
        <f t="shared" si="29"/>
        <v>0-304/2B-1.00X769</v>
      </c>
      <c r="C226" s="201" t="s">
        <v>4885</v>
      </c>
      <c r="D226" s="173" t="s">
        <v>836</v>
      </c>
      <c r="E226" s="190" t="s">
        <v>4130</v>
      </c>
      <c r="F226" s="201" t="s">
        <v>4891</v>
      </c>
      <c r="G226" s="173">
        <v>304</v>
      </c>
      <c r="H226" s="173" t="s">
        <v>114</v>
      </c>
      <c r="I226" s="174">
        <v>2.9</v>
      </c>
      <c r="J226" s="174">
        <v>1</v>
      </c>
      <c r="K226" s="203">
        <v>0.98</v>
      </c>
      <c r="L226" s="203">
        <v>1</v>
      </c>
      <c r="M226" s="191">
        <v>769</v>
      </c>
      <c r="N226" s="350"/>
      <c r="O226" s="176">
        <v>5.48</v>
      </c>
      <c r="P226" s="176"/>
      <c r="Q226" s="176">
        <v>7.0000000000000007E-2</v>
      </c>
      <c r="R226" s="176" t="s">
        <v>114</v>
      </c>
      <c r="S226" s="209"/>
      <c r="T226" s="178" t="s">
        <v>511</v>
      </c>
      <c r="U226" s="178"/>
      <c r="V226" s="179"/>
      <c r="W226" s="177">
        <v>44943</v>
      </c>
      <c r="X226" s="177"/>
      <c r="Y226" s="177">
        <v>44944</v>
      </c>
      <c r="Z226" s="177"/>
      <c r="AA226" s="177">
        <v>44949</v>
      </c>
      <c r="AB226" s="177"/>
      <c r="AC226" s="177"/>
      <c r="AD226" s="177"/>
      <c r="AE226" s="177"/>
      <c r="AF226" s="177"/>
      <c r="AG226" s="180" t="s">
        <v>2448</v>
      </c>
      <c r="AH226" s="173" t="s">
        <v>69</v>
      </c>
      <c r="AI226" s="181" t="s">
        <v>142</v>
      </c>
      <c r="AJ226" s="181" t="s">
        <v>1584</v>
      </c>
      <c r="AK226" s="181"/>
      <c r="AL226" s="181">
        <v>44914</v>
      </c>
      <c r="AM226" s="181"/>
      <c r="AN226" s="181">
        <f t="shared" ca="1" si="30"/>
        <v>44958</v>
      </c>
      <c r="AO226" s="173">
        <f t="shared" ca="1" si="37"/>
        <v>44</v>
      </c>
      <c r="AP226" s="173">
        <f t="shared" ca="1" si="32"/>
        <v>9</v>
      </c>
      <c r="AQ226" s="181"/>
      <c r="AR226" s="190" t="s">
        <v>4132</v>
      </c>
      <c r="AS226" s="176">
        <v>10.595000000000001</v>
      </c>
      <c r="AT226" s="176">
        <v>10.605</v>
      </c>
      <c r="AU226" s="176">
        <v>10.629999999999999</v>
      </c>
      <c r="AV226" s="176">
        <v>10.635</v>
      </c>
      <c r="AW226" s="173">
        <f t="shared" ca="1" si="33"/>
        <v>14</v>
      </c>
      <c r="AX226" s="142">
        <v>462</v>
      </c>
      <c r="AZ226" s="142" t="s">
        <v>123</v>
      </c>
    </row>
    <row r="227" spans="2:52" s="142" customFormat="1" ht="21" customHeight="1" x14ac:dyDescent="0.25">
      <c r="B227" s="173" t="str">
        <f t="shared" ref="B227:B239" si="38">IF(C227="HOLD RM","HOLD RM",IF(C227="BAL","WIP",IF(C227="HOLD SLT","HOLD SLT",IF(C227="MILL","RM",IF(C227="RE SLT","WIP",IF(C227="RM","RM",IF(C227="RM BAL","RM",IF(C227="RM SLT","RM",IF(C227="RR","WIP",IF(C227="SKP","WIP",IF(C227="SLT","WIP",IF(C227="CTL","WIP",IF(C227="RM SLT RUST","RM SLT RUST",0)))))))))))))&amp;"-"&amp;G227&amp;"/"&amp;IF(H227="2B","2B",IF(H227="NO.1","1D",IF(H227="FH","FH",0)))&amp;"-"&amp;IF(J227="",(TEXT(I227,"0.00")),TEXT(J227,"0.00"))&amp;"X"&amp;M227</f>
        <v>0-304/2B-0.48X642</v>
      </c>
      <c r="C227" s="201" t="s">
        <v>4892</v>
      </c>
      <c r="D227" s="173" t="s">
        <v>1237</v>
      </c>
      <c r="E227" s="190" t="s">
        <v>1617</v>
      </c>
      <c r="F227" s="201" t="s">
        <v>1618</v>
      </c>
      <c r="G227" s="173">
        <v>304</v>
      </c>
      <c r="H227" s="173" t="s">
        <v>114</v>
      </c>
      <c r="I227" s="174">
        <v>2.4900000000000002</v>
      </c>
      <c r="J227" s="174">
        <v>0.48</v>
      </c>
      <c r="K227" s="203">
        <v>0.47</v>
      </c>
      <c r="L227" s="203">
        <v>0.48</v>
      </c>
      <c r="M227" s="191">
        <v>642</v>
      </c>
      <c r="N227" s="176">
        <v>10.695</v>
      </c>
      <c r="O227" s="176">
        <v>10.675000000000001</v>
      </c>
      <c r="P227" s="176"/>
      <c r="Q227" s="176">
        <v>0.02</v>
      </c>
      <c r="R227" s="176" t="s">
        <v>114</v>
      </c>
      <c r="S227" s="209"/>
      <c r="T227" s="178" t="s">
        <v>1370</v>
      </c>
      <c r="U227" s="178"/>
      <c r="V227" s="179" t="s">
        <v>230</v>
      </c>
      <c r="W227" s="177">
        <v>44917</v>
      </c>
      <c r="X227" s="177">
        <v>44947</v>
      </c>
      <c r="Y227" s="177"/>
      <c r="Z227" s="177">
        <v>44917</v>
      </c>
      <c r="AA227" s="177">
        <v>44949</v>
      </c>
      <c r="AB227" s="177"/>
      <c r="AC227" s="177"/>
      <c r="AD227" s="177"/>
      <c r="AE227" s="177"/>
      <c r="AF227" s="177"/>
      <c r="AG227" s="180" t="s">
        <v>1619</v>
      </c>
      <c r="AH227" s="173" t="s">
        <v>69</v>
      </c>
      <c r="AI227" s="181" t="s">
        <v>142</v>
      </c>
      <c r="AJ227" s="181" t="s">
        <v>1594</v>
      </c>
      <c r="AK227" s="181"/>
      <c r="AL227" s="181">
        <v>44849</v>
      </c>
      <c r="AM227" s="181"/>
      <c r="AN227" s="181">
        <f t="shared" ref="AN227:AN246" ca="1" si="39">TODAY()</f>
        <v>44958</v>
      </c>
      <c r="AO227" s="173">
        <f ca="1">IF(AL227&lt;&gt;0,AN227-AL227,0)</f>
        <v>109</v>
      </c>
      <c r="AP227" s="173">
        <f t="shared" ref="AP227:AP236" ca="1" si="40">IF(ISNUMBER(AA227)=TRUE,AN227-AA227,IF(AA227="","",(AN227)-(MID(RIGHT(AA227,10),4,2)&amp;"/"&amp;LEFT((RIGHT(AA227,10)),2)&amp;"/"&amp;RIGHT(AA227,4))))</f>
        <v>9</v>
      </c>
      <c r="AQ227" s="181"/>
      <c r="AR227" s="190" t="s">
        <v>1620</v>
      </c>
      <c r="AS227" s="176">
        <v>10.7</v>
      </c>
      <c r="AT227" s="176">
        <v>10.71</v>
      </c>
      <c r="AU227" s="176">
        <v>10.734999999999999</v>
      </c>
      <c r="AV227" s="176">
        <v>10.74</v>
      </c>
      <c r="AW227" s="173" t="str">
        <f t="shared" si="33"/>
        <v/>
      </c>
      <c r="AX227" s="142">
        <v>456</v>
      </c>
      <c r="AZ227" s="142" t="s">
        <v>123</v>
      </c>
    </row>
    <row r="228" spans="2:52" s="142" customFormat="1" ht="21" customHeight="1" x14ac:dyDescent="0.25">
      <c r="B228" s="173" t="str">
        <f t="shared" si="38"/>
        <v>0-304/2B-1.20X642</v>
      </c>
      <c r="C228" s="201" t="s">
        <v>4885</v>
      </c>
      <c r="D228" s="173" t="s">
        <v>836</v>
      </c>
      <c r="E228" s="190" t="s">
        <v>4064</v>
      </c>
      <c r="F228" s="201" t="s">
        <v>4403</v>
      </c>
      <c r="G228" s="173">
        <v>304</v>
      </c>
      <c r="H228" s="173" t="s">
        <v>114</v>
      </c>
      <c r="I228" s="174">
        <v>2.91</v>
      </c>
      <c r="J228" s="174">
        <v>1.2</v>
      </c>
      <c r="K228" s="203">
        <v>1.17</v>
      </c>
      <c r="L228" s="203">
        <v>1.18</v>
      </c>
      <c r="M228" s="191">
        <v>642</v>
      </c>
      <c r="N228" s="176">
        <v>3.98</v>
      </c>
      <c r="O228" s="176">
        <v>3.9649999999999999</v>
      </c>
      <c r="P228" s="176"/>
      <c r="Q228" s="176">
        <v>1.4999999999999999E-2</v>
      </c>
      <c r="R228" s="176" t="s">
        <v>114</v>
      </c>
      <c r="S228" s="209"/>
      <c r="T228" s="178" t="s">
        <v>4326</v>
      </c>
      <c r="U228" s="178"/>
      <c r="V228" s="179"/>
      <c r="W228" s="177">
        <v>44938</v>
      </c>
      <c r="X228" s="177"/>
      <c r="Y228" s="177"/>
      <c r="Z228" s="177">
        <v>44939</v>
      </c>
      <c r="AA228" s="177">
        <v>44949</v>
      </c>
      <c r="AB228" s="177"/>
      <c r="AC228" s="177"/>
      <c r="AD228" s="177"/>
      <c r="AE228" s="177"/>
      <c r="AF228" s="177"/>
      <c r="AG228" s="180" t="s">
        <v>2479</v>
      </c>
      <c r="AH228" s="173" t="s">
        <v>69</v>
      </c>
      <c r="AI228" s="181" t="s">
        <v>142</v>
      </c>
      <c r="AJ228" s="181" t="s">
        <v>1657</v>
      </c>
      <c r="AK228" s="181"/>
      <c r="AL228" s="181">
        <v>44849</v>
      </c>
      <c r="AM228" s="181"/>
      <c r="AN228" s="181">
        <f t="shared" ca="1" si="39"/>
        <v>44958</v>
      </c>
      <c r="AO228" s="173">
        <f ca="1">IF(AL228&lt;&gt;0,AN228-AL228,0)</f>
        <v>109</v>
      </c>
      <c r="AP228" s="173">
        <f t="shared" ca="1" si="40"/>
        <v>9</v>
      </c>
      <c r="AQ228" s="181"/>
      <c r="AR228" s="190" t="s">
        <v>4066</v>
      </c>
      <c r="AS228" s="176">
        <v>8.5950000000000006</v>
      </c>
      <c r="AT228" s="176">
        <v>8.6050000000000004</v>
      </c>
      <c r="AU228" s="176">
        <v>8.629999999999999</v>
      </c>
      <c r="AV228" s="176">
        <v>8.6349999999999998</v>
      </c>
      <c r="AW228" s="173" t="str">
        <f t="shared" si="33"/>
        <v/>
      </c>
      <c r="AX228" s="142">
        <v>456</v>
      </c>
      <c r="AZ228" s="142" t="s">
        <v>123</v>
      </c>
    </row>
    <row r="229" spans="2:52" s="142" customFormat="1" ht="21" customHeight="1" x14ac:dyDescent="0.25">
      <c r="B229" s="173" t="str">
        <f t="shared" si="38"/>
        <v>0-304L/2B-0.38X644</v>
      </c>
      <c r="C229" s="201" t="s">
        <v>4892</v>
      </c>
      <c r="D229" s="173" t="s">
        <v>1237</v>
      </c>
      <c r="E229" s="190" t="s">
        <v>1776</v>
      </c>
      <c r="F229" s="201" t="s">
        <v>1777</v>
      </c>
      <c r="G229" s="173" t="s">
        <v>182</v>
      </c>
      <c r="H229" s="173" t="s">
        <v>114</v>
      </c>
      <c r="I229" s="174">
        <v>2.4900000000000002</v>
      </c>
      <c r="J229" s="174">
        <v>0.38</v>
      </c>
      <c r="K229" s="203">
        <v>0.38</v>
      </c>
      <c r="L229" s="203">
        <v>0.39</v>
      </c>
      <c r="M229" s="191">
        <v>644</v>
      </c>
      <c r="N229" s="176">
        <v>9.18</v>
      </c>
      <c r="O229" s="176">
        <v>9.1649999999999991</v>
      </c>
      <c r="P229" s="176"/>
      <c r="Q229" s="176">
        <v>1.4999999999999999E-2</v>
      </c>
      <c r="R229" s="176" t="s">
        <v>114</v>
      </c>
      <c r="S229" s="209"/>
      <c r="T229" s="178" t="s">
        <v>1370</v>
      </c>
      <c r="U229" s="178"/>
      <c r="V229" s="179" t="s">
        <v>230</v>
      </c>
      <c r="W229" s="177">
        <v>44918</v>
      </c>
      <c r="X229" s="177"/>
      <c r="Y229" s="177"/>
      <c r="Z229" s="177">
        <v>44922</v>
      </c>
      <c r="AA229" s="177">
        <v>44949</v>
      </c>
      <c r="AB229" s="177"/>
      <c r="AC229" s="177"/>
      <c r="AD229" s="177"/>
      <c r="AE229" s="177"/>
      <c r="AF229" s="177"/>
      <c r="AG229" s="180" t="s">
        <v>1619</v>
      </c>
      <c r="AH229" s="173" t="s">
        <v>69</v>
      </c>
      <c r="AI229" s="181" t="s">
        <v>142</v>
      </c>
      <c r="AJ229" s="181" t="s">
        <v>1657</v>
      </c>
      <c r="AK229" s="181"/>
      <c r="AL229" s="181">
        <v>44849</v>
      </c>
      <c r="AM229" s="181"/>
      <c r="AN229" s="181">
        <f t="shared" ca="1" si="39"/>
        <v>44958</v>
      </c>
      <c r="AO229" s="173">
        <f ca="1">IF(AL229&lt;&gt;0,AN229-AL229,0)</f>
        <v>109</v>
      </c>
      <c r="AP229" s="173">
        <f t="shared" ca="1" si="40"/>
        <v>9</v>
      </c>
      <c r="AQ229" s="181"/>
      <c r="AR229" s="190" t="s">
        <v>1775</v>
      </c>
      <c r="AS229" s="176">
        <v>10.664999999999999</v>
      </c>
      <c r="AT229" s="176">
        <v>10.675000000000001</v>
      </c>
      <c r="AU229" s="176">
        <v>10.7</v>
      </c>
      <c r="AV229" s="176">
        <v>10.705</v>
      </c>
      <c r="AW229" s="173" t="str">
        <f t="shared" si="33"/>
        <v/>
      </c>
      <c r="AX229" s="142">
        <v>456</v>
      </c>
      <c r="AZ229" s="142" t="s">
        <v>123</v>
      </c>
    </row>
    <row r="230" spans="2:52" s="142" customFormat="1" ht="21" customHeight="1" x14ac:dyDescent="0.25">
      <c r="B230" s="173" t="str">
        <f t="shared" si="38"/>
        <v>0-304L/2B-1.00X644</v>
      </c>
      <c r="C230" s="201" t="s">
        <v>4893</v>
      </c>
      <c r="D230" s="173" t="s">
        <v>836</v>
      </c>
      <c r="E230" s="190" t="s">
        <v>4103</v>
      </c>
      <c r="F230" s="201" t="s">
        <v>4104</v>
      </c>
      <c r="G230" s="173" t="s">
        <v>182</v>
      </c>
      <c r="H230" s="173" t="s">
        <v>114</v>
      </c>
      <c r="I230" s="174">
        <v>2.82</v>
      </c>
      <c r="J230" s="174">
        <v>1</v>
      </c>
      <c r="K230" s="203">
        <v>0.97</v>
      </c>
      <c r="L230" s="203">
        <v>0.99</v>
      </c>
      <c r="M230" s="191">
        <v>644</v>
      </c>
      <c r="N230" s="176">
        <v>10.7</v>
      </c>
      <c r="O230" s="176">
        <v>10.69</v>
      </c>
      <c r="P230" s="176"/>
      <c r="Q230" s="176">
        <v>0.01</v>
      </c>
      <c r="R230" s="176" t="s">
        <v>114</v>
      </c>
      <c r="S230" s="209"/>
      <c r="T230" s="178" t="s">
        <v>511</v>
      </c>
      <c r="U230" s="178"/>
      <c r="V230" s="179"/>
      <c r="W230" s="177">
        <v>44941</v>
      </c>
      <c r="X230" s="177">
        <v>44945</v>
      </c>
      <c r="Y230" s="177"/>
      <c r="Z230" s="177">
        <v>44941</v>
      </c>
      <c r="AA230" s="177">
        <v>44950</v>
      </c>
      <c r="AB230" s="177"/>
      <c r="AC230" s="177"/>
      <c r="AD230" s="177"/>
      <c r="AE230" s="177"/>
      <c r="AF230" s="177"/>
      <c r="AG230" s="180" t="s">
        <v>2479</v>
      </c>
      <c r="AH230" s="173" t="s">
        <v>69</v>
      </c>
      <c r="AI230" s="181" t="s">
        <v>142</v>
      </c>
      <c r="AJ230" s="181" t="s">
        <v>1653</v>
      </c>
      <c r="AK230" s="181"/>
      <c r="AL230" s="181">
        <v>44880</v>
      </c>
      <c r="AM230" s="181"/>
      <c r="AN230" s="181">
        <f t="shared" ca="1" si="39"/>
        <v>44958</v>
      </c>
      <c r="AO230" s="173">
        <f t="shared" ref="AO230:AO232" ca="1" si="41">IF(AL230&lt;&gt;0,AN230-AL230,0)</f>
        <v>78</v>
      </c>
      <c r="AP230" s="173">
        <f t="shared" ca="1" si="40"/>
        <v>8</v>
      </c>
      <c r="AQ230" s="181"/>
      <c r="AR230" s="190" t="s">
        <v>1967</v>
      </c>
      <c r="AS230" s="176">
        <v>10.71</v>
      </c>
      <c r="AT230" s="176">
        <v>10.72</v>
      </c>
      <c r="AU230" s="176">
        <v>10.744999999999999</v>
      </c>
      <c r="AV230" s="176">
        <v>10.75</v>
      </c>
      <c r="AW230" s="173" t="str">
        <f t="shared" si="33"/>
        <v/>
      </c>
      <c r="AX230" s="142">
        <v>459</v>
      </c>
      <c r="AZ230" s="142" t="s">
        <v>123</v>
      </c>
    </row>
    <row r="231" spans="2:52" s="142" customFormat="1" ht="21" customHeight="1" x14ac:dyDescent="0.25">
      <c r="B231" s="173" t="str">
        <f t="shared" si="38"/>
        <v>0-304L/2B-1.20X765</v>
      </c>
      <c r="C231" s="201" t="s">
        <v>4894</v>
      </c>
      <c r="D231" s="173" t="s">
        <v>4432</v>
      </c>
      <c r="E231" s="190" t="s">
        <v>1576</v>
      </c>
      <c r="F231" s="201" t="s">
        <v>4895</v>
      </c>
      <c r="G231" s="173" t="s">
        <v>182</v>
      </c>
      <c r="H231" s="173" t="s">
        <v>114</v>
      </c>
      <c r="I231" s="174">
        <v>3.79666666666667</v>
      </c>
      <c r="J231" s="174">
        <v>1.2</v>
      </c>
      <c r="K231" s="203">
        <v>1.21</v>
      </c>
      <c r="L231" s="203">
        <v>1.23</v>
      </c>
      <c r="M231" s="191">
        <v>765</v>
      </c>
      <c r="N231" s="349">
        <v>10.31</v>
      </c>
      <c r="O231" s="176">
        <v>5.16</v>
      </c>
      <c r="P231" s="176"/>
      <c r="Q231" s="176"/>
      <c r="R231" s="176" t="s">
        <v>114</v>
      </c>
      <c r="S231" s="209" t="s">
        <v>4896</v>
      </c>
      <c r="T231" s="178" t="s">
        <v>1513</v>
      </c>
      <c r="U231" s="178"/>
      <c r="V231" s="179"/>
      <c r="W231" s="177">
        <v>44937</v>
      </c>
      <c r="X231" s="177"/>
      <c r="Y231" s="177">
        <v>44937</v>
      </c>
      <c r="Z231" s="177"/>
      <c r="AA231" s="177"/>
      <c r="AB231" s="177"/>
      <c r="AC231" s="177"/>
      <c r="AD231" s="177">
        <v>44935</v>
      </c>
      <c r="AE231" s="177"/>
      <c r="AF231" s="177"/>
      <c r="AG231" s="180" t="s">
        <v>1507</v>
      </c>
      <c r="AH231" s="173" t="s">
        <v>69</v>
      </c>
      <c r="AI231" s="181" t="s">
        <v>142</v>
      </c>
      <c r="AJ231" s="181" t="s">
        <v>1508</v>
      </c>
      <c r="AK231" s="181"/>
      <c r="AL231" s="181">
        <v>44849</v>
      </c>
      <c r="AM231" s="181"/>
      <c r="AN231" s="181">
        <f t="shared" ca="1" si="39"/>
        <v>44958</v>
      </c>
      <c r="AO231" s="173">
        <f t="shared" ca="1" si="41"/>
        <v>109</v>
      </c>
      <c r="AP231" s="173" t="str">
        <f t="shared" si="40"/>
        <v/>
      </c>
      <c r="AQ231" s="181"/>
      <c r="AR231" s="190" t="s">
        <v>1578</v>
      </c>
      <c r="AS231" s="176">
        <v>20.625</v>
      </c>
      <c r="AT231" s="176">
        <v>20.684999999999999</v>
      </c>
      <c r="AU231" s="176">
        <v>20.71</v>
      </c>
      <c r="AV231" s="176">
        <v>20.715</v>
      </c>
      <c r="AW231" s="173">
        <f t="shared" ca="1" si="33"/>
        <v>21</v>
      </c>
      <c r="AX231" s="142">
        <v>456</v>
      </c>
      <c r="AZ231" s="142" t="s">
        <v>123</v>
      </c>
    </row>
    <row r="232" spans="2:52" s="142" customFormat="1" ht="21" customHeight="1" x14ac:dyDescent="0.25">
      <c r="B232" s="173" t="str">
        <f t="shared" si="38"/>
        <v>0-304L/2B-1.20X765</v>
      </c>
      <c r="C232" s="201" t="s">
        <v>4893</v>
      </c>
      <c r="D232" s="173" t="s">
        <v>836</v>
      </c>
      <c r="E232" s="190" t="s">
        <v>1576</v>
      </c>
      <c r="F232" s="201" t="s">
        <v>4897</v>
      </c>
      <c r="G232" s="173" t="s">
        <v>182</v>
      </c>
      <c r="H232" s="173" t="s">
        <v>114</v>
      </c>
      <c r="I232" s="174">
        <v>3.79666666666667</v>
      </c>
      <c r="J232" s="174">
        <v>1.2</v>
      </c>
      <c r="K232" s="203">
        <v>1.21</v>
      </c>
      <c r="L232" s="203">
        <v>1.23</v>
      </c>
      <c r="M232" s="191">
        <v>765</v>
      </c>
      <c r="N232" s="350"/>
      <c r="O232" s="176">
        <v>5.12</v>
      </c>
      <c r="P232" s="176"/>
      <c r="Q232" s="176">
        <v>0.03</v>
      </c>
      <c r="R232" s="176" t="s">
        <v>114</v>
      </c>
      <c r="S232" s="209"/>
      <c r="T232" s="178" t="s">
        <v>1513</v>
      </c>
      <c r="U232" s="178"/>
      <c r="V232" s="179"/>
      <c r="W232" s="177">
        <v>44937</v>
      </c>
      <c r="X232" s="177"/>
      <c r="Y232" s="177">
        <v>44937</v>
      </c>
      <c r="Z232" s="177"/>
      <c r="AA232" s="177">
        <v>44950</v>
      </c>
      <c r="AB232" s="177"/>
      <c r="AC232" s="177"/>
      <c r="AD232" s="177">
        <v>44935</v>
      </c>
      <c r="AE232" s="177"/>
      <c r="AF232" s="177"/>
      <c r="AG232" s="180" t="s">
        <v>1507</v>
      </c>
      <c r="AH232" s="173" t="s">
        <v>69</v>
      </c>
      <c r="AI232" s="181" t="s">
        <v>142</v>
      </c>
      <c r="AJ232" s="181" t="s">
        <v>1508</v>
      </c>
      <c r="AK232" s="181"/>
      <c r="AL232" s="181">
        <v>44849</v>
      </c>
      <c r="AM232" s="181"/>
      <c r="AN232" s="181">
        <f t="shared" ca="1" si="39"/>
        <v>44958</v>
      </c>
      <c r="AO232" s="173">
        <f t="shared" ca="1" si="41"/>
        <v>109</v>
      </c>
      <c r="AP232" s="173">
        <f t="shared" ca="1" si="40"/>
        <v>8</v>
      </c>
      <c r="AQ232" s="181"/>
      <c r="AR232" s="190" t="s">
        <v>1578</v>
      </c>
      <c r="AS232" s="176">
        <v>20.625</v>
      </c>
      <c r="AT232" s="176">
        <v>20.684999999999999</v>
      </c>
      <c r="AU232" s="176">
        <v>20.71</v>
      </c>
      <c r="AV232" s="176">
        <v>20.715</v>
      </c>
      <c r="AW232" s="173">
        <f t="shared" ca="1" si="33"/>
        <v>21</v>
      </c>
      <c r="AX232" s="142">
        <v>456</v>
      </c>
      <c r="AZ232" s="142" t="s">
        <v>123</v>
      </c>
    </row>
    <row r="233" spans="2:52" s="142" customFormat="1" ht="21" customHeight="1" x14ac:dyDescent="0.25">
      <c r="B233" s="173" t="str">
        <f>IF(C233="HOLD RM","HOLD RM",IF(C233="BAL","WIP",IF(C233="HOLD SLT","HOLD SLT",IF(C233="MILL","RM",IF(C233="RE SLT","WIP",IF(C233="RM","RM",IF(C233="RM BAL","RM",IF(C233="RM SLT","RM",IF(C233="RR","WIP",IF(C233="SKP","WIP",IF(C233="SLT","WIP",IF(C233="CTL","WIP",IF(C233="RM SLT RUST","RM SLT RUST",0)))))))))))))&amp;"-"&amp;G233&amp;"/"&amp;IF(H233="2B","2B",IF(H233="NO.1","1D",IF(H233="FH","FH",0)))&amp;"-"&amp;IF(J233="",(TEXT(I233,"0.00")),TEXT(J233,"0.00"))&amp;"X"&amp;M233</f>
        <v>0-304L/2B-1.20X767</v>
      </c>
      <c r="C233" s="201" t="s">
        <v>4894</v>
      </c>
      <c r="D233" s="173" t="s">
        <v>4432</v>
      </c>
      <c r="E233" s="190" t="s">
        <v>1511</v>
      </c>
      <c r="F233" s="201" t="s">
        <v>4898</v>
      </c>
      <c r="G233" s="173" t="s">
        <v>182</v>
      </c>
      <c r="H233" s="173" t="s">
        <v>114</v>
      </c>
      <c r="I233" s="174">
        <v>3.77</v>
      </c>
      <c r="J233" s="174">
        <v>1.2</v>
      </c>
      <c r="K233" s="203">
        <v>1.2</v>
      </c>
      <c r="L233" s="203">
        <v>1.22</v>
      </c>
      <c r="M233" s="191">
        <v>767</v>
      </c>
      <c r="N233" s="176">
        <v>12.26</v>
      </c>
      <c r="O233" s="176">
        <f>4.01+4.01+4.195</f>
        <v>12.215</v>
      </c>
      <c r="P233" s="176"/>
      <c r="Q233" s="176">
        <v>4.4999999999999998E-2</v>
      </c>
      <c r="R233" s="176" t="s">
        <v>114</v>
      </c>
      <c r="S233" s="209" t="s">
        <v>4896</v>
      </c>
      <c r="T233" s="178" t="s">
        <v>1513</v>
      </c>
      <c r="U233" s="178"/>
      <c r="V233" s="179"/>
      <c r="W233" s="177">
        <v>44938</v>
      </c>
      <c r="X233" s="177"/>
      <c r="Y233" s="177">
        <v>44938</v>
      </c>
      <c r="Z233" s="177"/>
      <c r="AA233" s="177"/>
      <c r="AB233" s="177"/>
      <c r="AC233" s="177"/>
      <c r="AD233" s="177">
        <v>44938</v>
      </c>
      <c r="AE233" s="177"/>
      <c r="AF233" s="177"/>
      <c r="AG233" s="180" t="s">
        <v>1507</v>
      </c>
      <c r="AH233" s="173" t="s">
        <v>69</v>
      </c>
      <c r="AI233" s="181" t="s">
        <v>142</v>
      </c>
      <c r="AJ233" s="181" t="s">
        <v>1508</v>
      </c>
      <c r="AK233" s="181"/>
      <c r="AL233" s="181">
        <v>44849</v>
      </c>
      <c r="AM233" s="181"/>
      <c r="AN233" s="181">
        <f t="shared" ca="1" si="39"/>
        <v>44958</v>
      </c>
      <c r="AO233" s="173">
        <f ca="1">IF(AL233&lt;&gt;0,AN233-AL233,0)</f>
        <v>109</v>
      </c>
      <c r="AP233" s="173" t="str">
        <f>IF(ISNUMBER(AA233)=TRUE,AN233-AA233,IF(AA233="","",(AN233)-(MID(RIGHT(AA233,10),4,2)&amp;"/"&amp;LEFT((RIGHT(AA233,10)),2)&amp;"/"&amp;RIGHT(AA233,4))))</f>
        <v/>
      </c>
      <c r="AQ233" s="181"/>
      <c r="AR233" s="190" t="s">
        <v>1514</v>
      </c>
      <c r="AS233" s="176">
        <v>24.54</v>
      </c>
      <c r="AT233" s="176">
        <v>24.6</v>
      </c>
      <c r="AU233" s="176">
        <v>24.625000000000004</v>
      </c>
      <c r="AV233" s="176">
        <v>24.630000000000003</v>
      </c>
      <c r="AW233" s="173">
        <f t="shared" ca="1" si="33"/>
        <v>20</v>
      </c>
      <c r="AX233" s="142">
        <v>456</v>
      </c>
      <c r="AZ233" s="142" t="s">
        <v>123</v>
      </c>
    </row>
    <row r="234" spans="2:52" s="142" customFormat="1" ht="21" customHeight="1" x14ac:dyDescent="0.25">
      <c r="B234" s="173" t="str">
        <f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0-304L/2B-1.20X768</v>
      </c>
      <c r="C234" s="201" t="s">
        <v>4899</v>
      </c>
      <c r="D234" s="173" t="s">
        <v>68</v>
      </c>
      <c r="E234" s="190" t="s">
        <v>1511</v>
      </c>
      <c r="F234" s="201" t="s">
        <v>1512</v>
      </c>
      <c r="G234" s="173" t="s">
        <v>182</v>
      </c>
      <c r="H234" s="173" t="s">
        <v>114</v>
      </c>
      <c r="I234" s="174">
        <v>3.77</v>
      </c>
      <c r="J234" s="174">
        <v>1.2</v>
      </c>
      <c r="K234" s="203">
        <v>1.2</v>
      </c>
      <c r="L234" s="203">
        <v>1.22</v>
      </c>
      <c r="M234" s="191">
        <v>768</v>
      </c>
      <c r="N234" s="176">
        <v>12.25</v>
      </c>
      <c r="O234" s="176">
        <v>12.23</v>
      </c>
      <c r="P234" s="176"/>
      <c r="Q234" s="176">
        <v>0.02</v>
      </c>
      <c r="R234" s="176" t="s">
        <v>114</v>
      </c>
      <c r="S234" s="209"/>
      <c r="T234" s="178" t="s">
        <v>1513</v>
      </c>
      <c r="U234" s="178"/>
      <c r="V234" s="179"/>
      <c r="W234" s="177">
        <v>44938</v>
      </c>
      <c r="X234" s="177"/>
      <c r="Y234" s="177">
        <v>44938</v>
      </c>
      <c r="Z234" s="177"/>
      <c r="AA234" s="177">
        <v>44950</v>
      </c>
      <c r="AB234" s="177"/>
      <c r="AC234" s="177"/>
      <c r="AD234" s="177">
        <v>44938</v>
      </c>
      <c r="AE234" s="177"/>
      <c r="AF234" s="177"/>
      <c r="AG234" s="180" t="s">
        <v>1507</v>
      </c>
      <c r="AH234" s="173" t="s">
        <v>69</v>
      </c>
      <c r="AI234" s="181" t="s">
        <v>142</v>
      </c>
      <c r="AJ234" s="181" t="s">
        <v>1508</v>
      </c>
      <c r="AK234" s="181"/>
      <c r="AL234" s="181">
        <v>44849</v>
      </c>
      <c r="AM234" s="181"/>
      <c r="AN234" s="181">
        <f t="shared" ca="1" si="39"/>
        <v>44958</v>
      </c>
      <c r="AO234" s="173">
        <f ca="1">IF(AL234&lt;&gt;0,AN234-AL234,0)</f>
        <v>109</v>
      </c>
      <c r="AP234" s="173">
        <f ca="1">IF(ISNUMBER(AA234)=TRUE,AN234-AA234,IF(AA234="","",(AN234)-(MID(RIGHT(AA234,10),4,2)&amp;"/"&amp;LEFT((RIGHT(AA234,10)),2)&amp;"/"&amp;RIGHT(AA234,4))))</f>
        <v>8</v>
      </c>
      <c r="AQ234" s="181"/>
      <c r="AR234" s="190" t="s">
        <v>1514</v>
      </c>
      <c r="AS234" s="176">
        <v>24.54</v>
      </c>
      <c r="AT234" s="176">
        <v>24.6</v>
      </c>
      <c r="AU234" s="176">
        <v>24.625000000000004</v>
      </c>
      <c r="AV234" s="176">
        <v>24.630000000000003</v>
      </c>
      <c r="AW234" s="173">
        <f t="shared" ca="1" si="33"/>
        <v>20</v>
      </c>
      <c r="AX234" s="142">
        <v>456</v>
      </c>
      <c r="AZ234" s="142" t="s">
        <v>123</v>
      </c>
    </row>
    <row r="235" spans="2:52" s="142" customFormat="1" ht="21" customHeight="1" x14ac:dyDescent="0.25">
      <c r="B235" s="173" t="str">
        <f t="shared" ref="B235:B239" si="42">IF(C235="HOLD RM","HOLD RM",IF(C235="BAL","WIP",IF(C235="HOLD SLT","HOLD SLT",IF(C235="MILL","RM",IF(C235="RE SLT","WIP",IF(C235="RM","RM",IF(C235="RM BAL","RM",IF(C235="RM SLT","RM",IF(C235="RR","WIP",IF(C235="SKP","WIP",IF(C235="SLT","WIP",IF(C235="CTL","WIP",IF(C235="RM SLT RUST","RM SLT RUST",0)))))))))))))&amp;"-"&amp;G235&amp;"/"&amp;IF(H235="2B","2B",IF(H235="NO.1","1D",IF(H235="FH","FH",0)))&amp;"-"&amp;IF(J235="",(TEXT(I235,"0.00")),TEXT(J235,"0.00"))&amp;"X"&amp;M235</f>
        <v>0-304/2B-2.00X765</v>
      </c>
      <c r="C235" s="201" t="s">
        <v>4894</v>
      </c>
      <c r="D235" s="173" t="s">
        <v>4432</v>
      </c>
      <c r="E235" s="190" t="s">
        <v>4077</v>
      </c>
      <c r="F235" s="201" t="s">
        <v>4900</v>
      </c>
      <c r="G235" s="173">
        <v>304</v>
      </c>
      <c r="H235" s="173" t="s">
        <v>114</v>
      </c>
      <c r="I235" s="174">
        <v>4.38</v>
      </c>
      <c r="J235" s="174">
        <v>2</v>
      </c>
      <c r="K235" s="203">
        <v>1.97</v>
      </c>
      <c r="L235" s="203">
        <v>1.98</v>
      </c>
      <c r="M235" s="191">
        <v>765</v>
      </c>
      <c r="N235" s="349">
        <v>10.455</v>
      </c>
      <c r="O235" s="176">
        <v>4.8</v>
      </c>
      <c r="P235" s="176"/>
      <c r="Q235" s="176"/>
      <c r="R235" s="176" t="s">
        <v>114</v>
      </c>
      <c r="S235" s="209" t="s">
        <v>4896</v>
      </c>
      <c r="T235" s="178" t="s">
        <v>1513</v>
      </c>
      <c r="U235" s="178"/>
      <c r="V235" s="179"/>
      <c r="W235" s="177">
        <v>44939</v>
      </c>
      <c r="X235" s="177"/>
      <c r="Y235" s="177">
        <v>44939</v>
      </c>
      <c r="Z235" s="177"/>
      <c r="AA235" s="177"/>
      <c r="AB235" s="177"/>
      <c r="AC235" s="177"/>
      <c r="AD235" s="177"/>
      <c r="AE235" s="177"/>
      <c r="AF235" s="177"/>
      <c r="AG235" s="180" t="s">
        <v>1619</v>
      </c>
      <c r="AH235" s="173" t="s">
        <v>69</v>
      </c>
      <c r="AI235" s="181" t="s">
        <v>142</v>
      </c>
      <c r="AJ235" s="181" t="s">
        <v>1887</v>
      </c>
      <c r="AK235" s="181"/>
      <c r="AL235" s="181">
        <v>44880</v>
      </c>
      <c r="AM235" s="181"/>
      <c r="AN235" s="181">
        <f t="shared" ca="1" si="39"/>
        <v>44958</v>
      </c>
      <c r="AO235" s="173">
        <f t="shared" ref="AO235:AO236" ca="1" si="43">IF(AL235&lt;&gt;0,AN235-AL235,0)</f>
        <v>78</v>
      </c>
      <c r="AP235" s="173" t="str">
        <f t="shared" ref="AP235:AP236" si="44">IF(ISNUMBER(AA235)=TRUE,AN235-AA235,IF(AA235="","",(AN235)-(MID(RIGHT(AA235,10),4,2)&amp;"/"&amp;LEFT((RIGHT(AA235,10)),2)&amp;"/"&amp;RIGHT(AA235,4))))</f>
        <v/>
      </c>
      <c r="AQ235" s="181"/>
      <c r="AR235" s="190" t="s">
        <v>4079</v>
      </c>
      <c r="AS235" s="176">
        <v>10.47</v>
      </c>
      <c r="AT235" s="176">
        <v>10.48</v>
      </c>
      <c r="AU235" s="176">
        <v>10.504999999999999</v>
      </c>
      <c r="AV235" s="176">
        <v>10.51</v>
      </c>
      <c r="AW235" s="173">
        <f t="shared" ca="1" si="33"/>
        <v>19</v>
      </c>
      <c r="AX235" s="142">
        <v>459</v>
      </c>
      <c r="AZ235" s="142" t="s">
        <v>123</v>
      </c>
    </row>
    <row r="236" spans="2:52" s="142" customFormat="1" ht="21" customHeight="1" x14ac:dyDescent="0.25">
      <c r="B236" s="173" t="str">
        <f t="shared" si="42"/>
        <v>0-304/2B-2.00X765</v>
      </c>
      <c r="C236" s="201" t="s">
        <v>4899</v>
      </c>
      <c r="D236" s="173" t="s">
        <v>68</v>
      </c>
      <c r="E236" s="190" t="s">
        <v>4077</v>
      </c>
      <c r="F236" s="201" t="s">
        <v>4901</v>
      </c>
      <c r="G236" s="173">
        <v>304</v>
      </c>
      <c r="H236" s="173" t="s">
        <v>114</v>
      </c>
      <c r="I236" s="174">
        <v>4.38</v>
      </c>
      <c r="J236" s="174">
        <v>2</v>
      </c>
      <c r="K236" s="203">
        <v>1.97</v>
      </c>
      <c r="L236" s="203">
        <v>1.98</v>
      </c>
      <c r="M236" s="191">
        <v>765</v>
      </c>
      <c r="N236" s="350"/>
      <c r="O236" s="176">
        <v>5.6050000000000004</v>
      </c>
      <c r="P236" s="176"/>
      <c r="Q236" s="176">
        <v>0.05</v>
      </c>
      <c r="R236" s="176" t="s">
        <v>114</v>
      </c>
      <c r="S236" s="209"/>
      <c r="T236" s="178" t="s">
        <v>1513</v>
      </c>
      <c r="U236" s="178"/>
      <c r="V236" s="179"/>
      <c r="W236" s="177">
        <v>44939</v>
      </c>
      <c r="X236" s="177"/>
      <c r="Y236" s="177">
        <v>44939</v>
      </c>
      <c r="Z236" s="177"/>
      <c r="AA236" s="177">
        <v>44950</v>
      </c>
      <c r="AB236" s="177"/>
      <c r="AC236" s="177"/>
      <c r="AD236" s="177"/>
      <c r="AE236" s="177"/>
      <c r="AF236" s="177"/>
      <c r="AG236" s="180" t="s">
        <v>1619</v>
      </c>
      <c r="AH236" s="173" t="s">
        <v>69</v>
      </c>
      <c r="AI236" s="181" t="s">
        <v>142</v>
      </c>
      <c r="AJ236" s="181" t="s">
        <v>1887</v>
      </c>
      <c r="AK236" s="181"/>
      <c r="AL236" s="181">
        <v>44880</v>
      </c>
      <c r="AM236" s="181"/>
      <c r="AN236" s="181">
        <f t="shared" ca="1" si="39"/>
        <v>44958</v>
      </c>
      <c r="AO236" s="173">
        <f t="shared" ca="1" si="43"/>
        <v>78</v>
      </c>
      <c r="AP236" s="173">
        <f t="shared" ca="1" si="44"/>
        <v>8</v>
      </c>
      <c r="AQ236" s="181"/>
      <c r="AR236" s="190" t="s">
        <v>4079</v>
      </c>
      <c r="AS236" s="176">
        <v>10.47</v>
      </c>
      <c r="AT236" s="176">
        <v>10.48</v>
      </c>
      <c r="AU236" s="176">
        <v>10.504999999999999</v>
      </c>
      <c r="AV236" s="176">
        <v>10.51</v>
      </c>
      <c r="AW236" s="173">
        <f t="shared" ca="1" si="33"/>
        <v>19</v>
      </c>
      <c r="AX236" s="142">
        <v>459</v>
      </c>
      <c r="AZ236" s="142" t="s">
        <v>123</v>
      </c>
    </row>
    <row r="237" spans="2:52" s="142" customFormat="1" ht="21" customHeight="1" x14ac:dyDescent="0.25">
      <c r="B237" s="173" t="str">
        <f t="shared" si="42"/>
        <v>0-304L/2B-1.20X768</v>
      </c>
      <c r="C237" s="201" t="s">
        <v>4894</v>
      </c>
      <c r="D237" s="173" t="s">
        <v>4432</v>
      </c>
      <c r="E237" s="190" t="s">
        <v>1558</v>
      </c>
      <c r="F237" s="201" t="s">
        <v>4902</v>
      </c>
      <c r="G237" s="173" t="s">
        <v>182</v>
      </c>
      <c r="H237" s="173" t="s">
        <v>114</v>
      </c>
      <c r="I237" s="174">
        <v>3.78</v>
      </c>
      <c r="J237" s="174">
        <v>1.2</v>
      </c>
      <c r="K237" s="203">
        <v>1.17</v>
      </c>
      <c r="L237" s="203">
        <v>1.19</v>
      </c>
      <c r="M237" s="191">
        <v>768</v>
      </c>
      <c r="N237" s="349">
        <v>12.2</v>
      </c>
      <c r="O237" s="176">
        <v>3.89</v>
      </c>
      <c r="P237" s="176"/>
      <c r="Q237" s="176"/>
      <c r="R237" s="176" t="s">
        <v>114</v>
      </c>
      <c r="S237" s="209" t="s">
        <v>4896</v>
      </c>
      <c r="T237" s="178" t="s">
        <v>1513</v>
      </c>
      <c r="U237" s="178"/>
      <c r="V237" s="179"/>
      <c r="W237" s="177">
        <v>44937</v>
      </c>
      <c r="X237" s="177"/>
      <c r="Y237" s="177">
        <v>44937</v>
      </c>
      <c r="Z237" s="177"/>
      <c r="AA237" s="177"/>
      <c r="AB237" s="177"/>
      <c r="AC237" s="177"/>
      <c r="AD237" s="177">
        <v>44934</v>
      </c>
      <c r="AE237" s="177"/>
      <c r="AF237" s="177"/>
      <c r="AG237" s="180" t="s">
        <v>1507</v>
      </c>
      <c r="AH237" s="173" t="s">
        <v>69</v>
      </c>
      <c r="AI237" s="181" t="s">
        <v>142</v>
      </c>
      <c r="AJ237" s="181" t="s">
        <v>1508</v>
      </c>
      <c r="AK237" s="181"/>
      <c r="AL237" s="181">
        <v>44849</v>
      </c>
      <c r="AM237" s="181"/>
      <c r="AN237" s="181">
        <f t="shared" ca="1" si="39"/>
        <v>44958</v>
      </c>
      <c r="AO237" s="173">
        <f ca="1">IF(AL237&lt;&gt;0,AN237-AL237,0)</f>
        <v>109</v>
      </c>
      <c r="AP237" s="173" t="str">
        <f>IF(ISNUMBER(AA237)=TRUE,AN237-AA237,IF(AA237="","",(AN237)-(MID(RIGHT(AA237,10),4,2)&amp;"/"&amp;LEFT((RIGHT(AA237,10)),2)&amp;"/"&amp;RIGHT(AA237,4))))</f>
        <v/>
      </c>
      <c r="AQ237" s="181"/>
      <c r="AR237" s="190" t="s">
        <v>1560</v>
      </c>
      <c r="AS237" s="176">
        <v>24.535</v>
      </c>
      <c r="AT237" s="176">
        <v>24.594999999999999</v>
      </c>
      <c r="AU237" s="176">
        <v>24.62</v>
      </c>
      <c r="AV237" s="176">
        <v>24.625</v>
      </c>
      <c r="AW237" s="173">
        <f t="shared" ca="1" si="33"/>
        <v>21</v>
      </c>
      <c r="AX237" s="142">
        <v>456</v>
      </c>
      <c r="AZ237" s="142" t="s">
        <v>123</v>
      </c>
    </row>
    <row r="238" spans="2:52" s="142" customFormat="1" ht="21" customHeight="1" x14ac:dyDescent="0.25">
      <c r="B238" s="173" t="str">
        <f t="shared" si="42"/>
        <v>0-304L/2B-1.20X768</v>
      </c>
      <c r="C238" s="201" t="s">
        <v>4893</v>
      </c>
      <c r="D238" s="173" t="s">
        <v>836</v>
      </c>
      <c r="E238" s="190" t="s">
        <v>1558</v>
      </c>
      <c r="F238" s="201" t="s">
        <v>1559</v>
      </c>
      <c r="G238" s="173" t="s">
        <v>182</v>
      </c>
      <c r="H238" s="173" t="s">
        <v>114</v>
      </c>
      <c r="I238" s="174">
        <v>3.78</v>
      </c>
      <c r="J238" s="174">
        <v>1.2</v>
      </c>
      <c r="K238" s="203">
        <v>1.17</v>
      </c>
      <c r="L238" s="203">
        <v>1.19</v>
      </c>
      <c r="M238" s="191">
        <v>768</v>
      </c>
      <c r="N238" s="350"/>
      <c r="O238" s="176">
        <v>8.2799999999999994</v>
      </c>
      <c r="P238" s="176"/>
      <c r="Q238" s="176">
        <v>0.03</v>
      </c>
      <c r="R238" s="176" t="s">
        <v>114</v>
      </c>
      <c r="S238" s="209"/>
      <c r="T238" s="178" t="s">
        <v>1513</v>
      </c>
      <c r="U238" s="178"/>
      <c r="V238" s="179"/>
      <c r="W238" s="177">
        <v>44937</v>
      </c>
      <c r="X238" s="177"/>
      <c r="Y238" s="177">
        <v>44937</v>
      </c>
      <c r="Z238" s="177"/>
      <c r="AA238" s="177">
        <v>44950</v>
      </c>
      <c r="AB238" s="177"/>
      <c r="AC238" s="177"/>
      <c r="AD238" s="177">
        <v>44934</v>
      </c>
      <c r="AE238" s="177"/>
      <c r="AF238" s="177"/>
      <c r="AG238" s="180" t="s">
        <v>1507</v>
      </c>
      <c r="AH238" s="173" t="s">
        <v>69</v>
      </c>
      <c r="AI238" s="181" t="s">
        <v>142</v>
      </c>
      <c r="AJ238" s="181" t="s">
        <v>1508</v>
      </c>
      <c r="AK238" s="181"/>
      <c r="AL238" s="181">
        <v>44849</v>
      </c>
      <c r="AM238" s="181"/>
      <c r="AN238" s="181">
        <f t="shared" ca="1" si="39"/>
        <v>44958</v>
      </c>
      <c r="AO238" s="173">
        <f ca="1">IF(AL238&lt;&gt;0,AN238-AL238,0)</f>
        <v>109</v>
      </c>
      <c r="AP238" s="173">
        <f ca="1">IF(ISNUMBER(AA238)=TRUE,AN238-AA238,IF(AA238="","",(AN238)-(MID(RIGHT(AA238,10),4,2)&amp;"/"&amp;LEFT((RIGHT(AA238,10)),2)&amp;"/"&amp;RIGHT(AA238,4))))</f>
        <v>8</v>
      </c>
      <c r="AQ238" s="181"/>
      <c r="AR238" s="190" t="s">
        <v>1560</v>
      </c>
      <c r="AS238" s="176">
        <v>24.535</v>
      </c>
      <c r="AT238" s="176">
        <v>24.594999999999999</v>
      </c>
      <c r="AU238" s="176">
        <v>24.62</v>
      </c>
      <c r="AV238" s="176">
        <v>24.625</v>
      </c>
      <c r="AW238" s="173">
        <f t="shared" ca="1" si="33"/>
        <v>21</v>
      </c>
      <c r="AX238" s="142">
        <v>456</v>
      </c>
      <c r="AZ238" s="142" t="s">
        <v>123</v>
      </c>
    </row>
    <row r="239" spans="2:52" s="142" customFormat="1" ht="21" customHeight="1" x14ac:dyDescent="0.25">
      <c r="B239" s="173" t="str">
        <f t="shared" si="42"/>
        <v>0-304L/2B-2.00X765</v>
      </c>
      <c r="C239" s="201" t="s">
        <v>4893</v>
      </c>
      <c r="D239" s="173" t="s">
        <v>836</v>
      </c>
      <c r="E239" s="190" t="s">
        <v>2352</v>
      </c>
      <c r="F239" s="201" t="s">
        <v>2353</v>
      </c>
      <c r="G239" s="173" t="s">
        <v>182</v>
      </c>
      <c r="H239" s="173" t="s">
        <v>114</v>
      </c>
      <c r="I239" s="174">
        <v>3.96</v>
      </c>
      <c r="J239" s="174">
        <v>2</v>
      </c>
      <c r="K239" s="203">
        <v>2</v>
      </c>
      <c r="L239" s="203">
        <v>2.0099999999999998</v>
      </c>
      <c r="M239" s="191">
        <v>765</v>
      </c>
      <c r="N239" s="176">
        <v>10.615</v>
      </c>
      <c r="O239" s="176">
        <v>10.57</v>
      </c>
      <c r="P239" s="176"/>
      <c r="Q239" s="176">
        <v>4.4999999999999998E-2</v>
      </c>
      <c r="R239" s="176" t="s">
        <v>114</v>
      </c>
      <c r="S239" s="209"/>
      <c r="T239" s="178" t="s">
        <v>1386</v>
      </c>
      <c r="U239" s="178"/>
      <c r="V239" s="179"/>
      <c r="W239" s="177">
        <v>44940</v>
      </c>
      <c r="X239" s="177"/>
      <c r="Y239" s="177">
        <v>44940</v>
      </c>
      <c r="Z239" s="177"/>
      <c r="AA239" s="177">
        <v>44950</v>
      </c>
      <c r="AB239" s="177"/>
      <c r="AC239" s="177"/>
      <c r="AD239" s="177"/>
      <c r="AE239" s="177"/>
      <c r="AF239" s="177"/>
      <c r="AG239" s="180" t="s">
        <v>1345</v>
      </c>
      <c r="AH239" s="173" t="s">
        <v>69</v>
      </c>
      <c r="AI239" s="181" t="s">
        <v>142</v>
      </c>
      <c r="AJ239" s="181" t="s">
        <v>1653</v>
      </c>
      <c r="AK239" s="181"/>
      <c r="AL239" s="181">
        <v>44880</v>
      </c>
      <c r="AM239" s="181"/>
      <c r="AN239" s="181">
        <f t="shared" ca="1" si="39"/>
        <v>44958</v>
      </c>
      <c r="AO239" s="173">
        <f t="shared" ref="AO239" ca="1" si="45">IF(AL239&lt;&gt;0,AN239-AL239,0)</f>
        <v>78</v>
      </c>
      <c r="AP239" s="173">
        <f t="shared" ref="AP239" ca="1" si="46">IF(ISNUMBER(AA239)=TRUE,AN239-AA239,IF(AA239="","",(AN239)-(MID(RIGHT(AA239,10),4,2)&amp;"/"&amp;LEFT((RIGHT(AA239,10)),2)&amp;"/"&amp;RIGHT(AA239,4))))</f>
        <v>8</v>
      </c>
      <c r="AQ239" s="181"/>
      <c r="AR239" s="190" t="s">
        <v>2355</v>
      </c>
      <c r="AS239" s="176">
        <v>10.61</v>
      </c>
      <c r="AT239" s="176">
        <v>10.62</v>
      </c>
      <c r="AU239" s="176">
        <v>10.644999999999998</v>
      </c>
      <c r="AV239" s="176">
        <v>10.649999999999999</v>
      </c>
      <c r="AW239" s="173">
        <f t="shared" ca="1" si="33"/>
        <v>18</v>
      </c>
      <c r="AX239" s="142">
        <v>459</v>
      </c>
      <c r="AZ239" s="142" t="s">
        <v>123</v>
      </c>
    </row>
    <row r="240" spans="2:52" s="142" customFormat="1" ht="21" customHeight="1" x14ac:dyDescent="0.25">
      <c r="B240" s="173" t="str">
        <f>IF(C240="HOLD RM","HOLD RM",IF(C240="BAL","WIP",IF(C240="HOLD SLT","HOLD SLT",IF(C240="MILL","RM",IF(C240="RE SLT","WIP",IF(C240="RM","RM",IF(C240="RM BAL","RM",IF(C240="RM SLT","RM",IF(C240="RR","WIP",IF(C240="SKP","WIP",IF(C240="SLT","WIP",IF(C240="CTL","WIP",IF(C240="RM SLT RUST","RM SLT RUST",0)))))))))))))&amp;"-"&amp;G240&amp;"/"&amp;IF(H240="2B","2B",IF(H240="NO.1","1D",IF(H240="FH","FH",0)))&amp;"-"&amp;IF(J240="",(TEXT(I240,"0.00")),TEXT(J240,"0.00"))&amp;"X"&amp;M240</f>
        <v>0-304L/2B-1.50X767</v>
      </c>
      <c r="C240" s="201" t="s">
        <v>4893</v>
      </c>
      <c r="D240" s="173" t="s">
        <v>836</v>
      </c>
      <c r="E240" s="190" t="s">
        <v>4042</v>
      </c>
      <c r="F240" s="201" t="s">
        <v>4043</v>
      </c>
      <c r="G240" s="173" t="s">
        <v>182</v>
      </c>
      <c r="H240" s="173" t="s">
        <v>114</v>
      </c>
      <c r="I240" s="174">
        <v>3.79</v>
      </c>
      <c r="J240" s="174">
        <v>1.5</v>
      </c>
      <c r="K240" s="203">
        <v>1.47</v>
      </c>
      <c r="L240" s="203">
        <v>1.49</v>
      </c>
      <c r="M240" s="191">
        <v>767</v>
      </c>
      <c r="N240" s="176">
        <v>12.21</v>
      </c>
      <c r="O240" s="176">
        <v>12.18</v>
      </c>
      <c r="P240" s="176"/>
      <c r="Q240" s="176">
        <v>0.03</v>
      </c>
      <c r="R240" s="176" t="s">
        <v>114</v>
      </c>
      <c r="S240" s="209"/>
      <c r="T240" s="178" t="s">
        <v>1513</v>
      </c>
      <c r="U240" s="178"/>
      <c r="V240" s="179"/>
      <c r="W240" s="177">
        <v>44937</v>
      </c>
      <c r="X240" s="177"/>
      <c r="Y240" s="177">
        <v>44937</v>
      </c>
      <c r="Z240" s="177"/>
      <c r="AA240" s="177">
        <v>44950</v>
      </c>
      <c r="AB240" s="177"/>
      <c r="AC240" s="177"/>
      <c r="AD240" s="177">
        <v>44933</v>
      </c>
      <c r="AE240" s="177"/>
      <c r="AF240" s="177"/>
      <c r="AG240" s="180" t="s">
        <v>1507</v>
      </c>
      <c r="AH240" s="173" t="s">
        <v>69</v>
      </c>
      <c r="AI240" s="181" t="s">
        <v>142</v>
      </c>
      <c r="AJ240" s="181" t="s">
        <v>1508</v>
      </c>
      <c r="AK240" s="181"/>
      <c r="AL240" s="181">
        <v>44849</v>
      </c>
      <c r="AM240" s="181"/>
      <c r="AN240" s="181">
        <f t="shared" ca="1" si="39"/>
        <v>44958</v>
      </c>
      <c r="AO240" s="173">
        <f ca="1">IF(AL240&lt;&gt;0,AN240-AL240,0)</f>
        <v>109</v>
      </c>
      <c r="AP240" s="173">
        <f ca="1">IF(ISNUMBER(AA240)=TRUE,AN240-AA240,IF(AA240="","",(AN240)-(MID(RIGHT(AA240,10),4,2)&amp;"/"&amp;LEFT((RIGHT(AA240,10)),2)&amp;"/"&amp;RIGHT(AA240,4))))</f>
        <v>8</v>
      </c>
      <c r="AQ240" s="181"/>
      <c r="AR240" s="190" t="s">
        <v>4044</v>
      </c>
      <c r="AS240" s="176">
        <v>24.504999999999999</v>
      </c>
      <c r="AT240" s="176">
        <v>24.565000000000001</v>
      </c>
      <c r="AU240" s="176">
        <v>24.590000000000003</v>
      </c>
      <c r="AV240" s="176">
        <v>24.595000000000002</v>
      </c>
      <c r="AW240" s="173">
        <f t="shared" ca="1" si="33"/>
        <v>21</v>
      </c>
      <c r="AX240" s="142">
        <v>456</v>
      </c>
      <c r="AZ240" s="142" t="s">
        <v>123</v>
      </c>
    </row>
    <row r="241" spans="2:52" s="142" customFormat="1" ht="21" customHeight="1" x14ac:dyDescent="0.25">
      <c r="B241" s="173" t="str">
        <f t="shared" ref="B241:B246" si="47">IF(C241="HOLD RM","HOLD RM",IF(C241="BAL","WIP",IF(C241="HOLD SLT","HOLD SLT",IF(C241="MILL","RM",IF(C241="RE SLT","WIP",IF(C241="RM","RM",IF(C241="RM BAL","RM",IF(C241="RM SLT","RM",IF(C241="RR","WIP",IF(C241="SKP","WIP",IF(C241="SLT","WIP",IF(C241="CTL","WIP",IF(C241="RM SLT RUST","RM SLT RUST",0)))))))))))))&amp;"-"&amp;G241&amp;"/"&amp;IF(H241="2B","2B",IF(H241="NO.1","1D",IF(H241="FH","FH",0)))&amp;"-"&amp;IF(J241="",(TEXT(I241,"0.00")),TEXT(J241,"0.00"))&amp;"X"&amp;M241</f>
        <v>0-304L/2B-1.50X770</v>
      </c>
      <c r="C241" s="201" t="s">
        <v>4903</v>
      </c>
      <c r="D241" s="173" t="s">
        <v>836</v>
      </c>
      <c r="E241" s="190" t="s">
        <v>4042</v>
      </c>
      <c r="F241" s="201" t="s">
        <v>4084</v>
      </c>
      <c r="G241" s="173" t="s">
        <v>182</v>
      </c>
      <c r="H241" s="173" t="s">
        <v>114</v>
      </c>
      <c r="I241" s="174">
        <v>3.79</v>
      </c>
      <c r="J241" s="174">
        <v>1.5</v>
      </c>
      <c r="K241" s="203">
        <v>1.47</v>
      </c>
      <c r="L241" s="203">
        <v>1.5</v>
      </c>
      <c r="M241" s="191">
        <v>770</v>
      </c>
      <c r="N241" s="176">
        <v>12.285</v>
      </c>
      <c r="O241" s="176">
        <v>12.275</v>
      </c>
      <c r="P241" s="176"/>
      <c r="Q241" s="176">
        <v>0.01</v>
      </c>
      <c r="R241" s="176" t="s">
        <v>114</v>
      </c>
      <c r="S241" s="209"/>
      <c r="T241" s="178" t="s">
        <v>1513</v>
      </c>
      <c r="U241" s="178"/>
      <c r="V241" s="179"/>
      <c r="W241" s="177">
        <v>44940</v>
      </c>
      <c r="X241" s="177"/>
      <c r="Y241" s="177">
        <v>44940</v>
      </c>
      <c r="Z241" s="177"/>
      <c r="AA241" s="177">
        <v>44951</v>
      </c>
      <c r="AB241" s="177"/>
      <c r="AC241" s="177"/>
      <c r="AD241" s="177">
        <v>44933</v>
      </c>
      <c r="AE241" s="177"/>
      <c r="AF241" s="177"/>
      <c r="AG241" s="180" t="s">
        <v>1507</v>
      </c>
      <c r="AH241" s="173" t="s">
        <v>69</v>
      </c>
      <c r="AI241" s="181" t="s">
        <v>142</v>
      </c>
      <c r="AJ241" s="181" t="s">
        <v>1508</v>
      </c>
      <c r="AK241" s="181"/>
      <c r="AL241" s="181">
        <v>44849</v>
      </c>
      <c r="AM241" s="181"/>
      <c r="AN241" s="181">
        <f t="shared" ca="1" si="39"/>
        <v>44958</v>
      </c>
      <c r="AO241" s="173">
        <f t="shared" ref="AO241:AO246" ca="1" si="48">IF(AL241&lt;&gt;0,AN241-AL241,0)</f>
        <v>109</v>
      </c>
      <c r="AP241" s="173">
        <f t="shared" ref="AP241:AP246" ca="1" si="49">IF(ISNUMBER(AA241)=TRUE,AN241-AA241,IF(AA241="","",(AN241)-(MID(RIGHT(AA241,10),4,2)&amp;"/"&amp;LEFT((RIGHT(AA241,10)),2)&amp;"/"&amp;RIGHT(AA241,4))))</f>
        <v>7</v>
      </c>
      <c r="AQ241" s="181"/>
      <c r="AR241" s="190" t="s">
        <v>4044</v>
      </c>
      <c r="AS241" s="176">
        <v>24.504999999999999</v>
      </c>
      <c r="AT241" s="176">
        <v>24.565000000000001</v>
      </c>
      <c r="AU241" s="176">
        <v>24.590000000000003</v>
      </c>
      <c r="AV241" s="176">
        <v>24.595000000000002</v>
      </c>
      <c r="AW241" s="173">
        <f t="shared" ca="1" si="33"/>
        <v>18</v>
      </c>
      <c r="AX241" s="142">
        <v>456</v>
      </c>
      <c r="AZ241" s="142" t="s">
        <v>123</v>
      </c>
    </row>
    <row r="242" spans="2:52" s="142" customFormat="1" ht="21" customHeight="1" x14ac:dyDescent="0.25">
      <c r="B242" s="173" t="str">
        <f t="shared" si="47"/>
        <v>0-J3/2B-0.91X620</v>
      </c>
      <c r="C242" s="201" t="s">
        <v>4903</v>
      </c>
      <c r="D242" s="173" t="s">
        <v>836</v>
      </c>
      <c r="E242" s="190" t="s">
        <v>4904</v>
      </c>
      <c r="F242" s="201" t="s">
        <v>4905</v>
      </c>
      <c r="G242" s="173" t="s">
        <v>34</v>
      </c>
      <c r="H242" s="173" t="s">
        <v>114</v>
      </c>
      <c r="I242" s="174">
        <v>2.4</v>
      </c>
      <c r="J242" s="174">
        <v>0.91</v>
      </c>
      <c r="K242" s="203">
        <v>0.89</v>
      </c>
      <c r="L242" s="203">
        <v>0.91</v>
      </c>
      <c r="M242" s="191">
        <v>620</v>
      </c>
      <c r="N242" s="176">
        <v>9.9700000000000006</v>
      </c>
      <c r="O242" s="176">
        <v>9.9600000000000009</v>
      </c>
      <c r="P242" s="176"/>
      <c r="Q242" s="176">
        <v>0.01</v>
      </c>
      <c r="R242" s="176" t="s">
        <v>114</v>
      </c>
      <c r="S242" s="209"/>
      <c r="T242" s="178" t="s">
        <v>361</v>
      </c>
      <c r="U242" s="178"/>
      <c r="V242" s="179"/>
      <c r="W242" s="177">
        <v>44888</v>
      </c>
      <c r="X242" s="177"/>
      <c r="Y242" s="177"/>
      <c r="Z242" s="177">
        <v>44888</v>
      </c>
      <c r="AA242" s="177">
        <v>44951</v>
      </c>
      <c r="AB242" s="177"/>
      <c r="AC242" s="177"/>
      <c r="AD242" s="177"/>
      <c r="AE242" s="177"/>
      <c r="AF242" s="177"/>
      <c r="AG242" s="180"/>
      <c r="AH242" s="173" t="s">
        <v>69</v>
      </c>
      <c r="AI242" s="181" t="s">
        <v>119</v>
      </c>
      <c r="AJ242" s="181" t="s">
        <v>891</v>
      </c>
      <c r="AK242" s="181">
        <v>44667</v>
      </c>
      <c r="AL242" s="181">
        <v>44706</v>
      </c>
      <c r="AM242" s="181"/>
      <c r="AN242" s="181">
        <f t="shared" ca="1" si="39"/>
        <v>44958</v>
      </c>
      <c r="AO242" s="173">
        <f t="shared" ca="1" si="48"/>
        <v>252</v>
      </c>
      <c r="AP242" s="173">
        <f t="shared" ca="1" si="49"/>
        <v>7</v>
      </c>
      <c r="AQ242" s="181" t="s">
        <v>898</v>
      </c>
      <c r="AR242" s="190" t="s">
        <v>916</v>
      </c>
      <c r="AS242" s="176">
        <v>10.018000000000001</v>
      </c>
      <c r="AT242" s="176">
        <v>10.038</v>
      </c>
      <c r="AU242" s="176">
        <v>10.062999999999999</v>
      </c>
      <c r="AV242" s="176">
        <v>10.068</v>
      </c>
      <c r="AW242" s="173" t="str">
        <f t="shared" si="33"/>
        <v/>
      </c>
      <c r="AX242" s="142">
        <v>437</v>
      </c>
      <c r="AZ242" s="142" t="s">
        <v>123</v>
      </c>
    </row>
    <row r="243" spans="2:52" s="142" customFormat="1" ht="21" customHeight="1" x14ac:dyDescent="0.25">
      <c r="B243" s="173" t="str">
        <f t="shared" si="47"/>
        <v>0-316L/2B-0.68X626</v>
      </c>
      <c r="C243" s="201" t="s">
        <v>4906</v>
      </c>
      <c r="D243" s="173" t="s">
        <v>1237</v>
      </c>
      <c r="E243" s="190" t="s">
        <v>1368</v>
      </c>
      <c r="F243" s="201" t="s">
        <v>1369</v>
      </c>
      <c r="G243" s="173" t="s">
        <v>135</v>
      </c>
      <c r="H243" s="173" t="s">
        <v>114</v>
      </c>
      <c r="I243" s="174">
        <v>1.1499999999999999</v>
      </c>
      <c r="J243" s="174">
        <v>0.68</v>
      </c>
      <c r="K243" s="203">
        <v>0.68</v>
      </c>
      <c r="L243" s="203">
        <v>0.71</v>
      </c>
      <c r="M243" s="191">
        <v>626</v>
      </c>
      <c r="N243" s="176">
        <v>10.83</v>
      </c>
      <c r="O243" s="176">
        <v>10.8</v>
      </c>
      <c r="P243" s="176"/>
      <c r="Q243" s="176">
        <v>0.03</v>
      </c>
      <c r="R243" s="176" t="s">
        <v>114</v>
      </c>
      <c r="S243" s="209"/>
      <c r="T243" s="178" t="s">
        <v>1370</v>
      </c>
      <c r="U243" s="178" t="s">
        <v>750</v>
      </c>
      <c r="V243" s="179"/>
      <c r="W243" s="177" t="s">
        <v>1371</v>
      </c>
      <c r="X243" s="177"/>
      <c r="Y243" s="177">
        <v>44868</v>
      </c>
      <c r="Z243" s="177">
        <v>44903</v>
      </c>
      <c r="AA243" s="177" t="s">
        <v>1372</v>
      </c>
      <c r="AB243" s="177"/>
      <c r="AC243" s="177" t="s">
        <v>4907</v>
      </c>
      <c r="AD243" s="177">
        <v>44868</v>
      </c>
      <c r="AE243" s="177"/>
      <c r="AF243" s="177"/>
      <c r="AG243" s="180" t="s">
        <v>1374</v>
      </c>
      <c r="AH243" s="173" t="s">
        <v>69</v>
      </c>
      <c r="AI243" s="181" t="s">
        <v>142</v>
      </c>
      <c r="AJ243" s="181" t="s">
        <v>1346</v>
      </c>
      <c r="AK243" s="181"/>
      <c r="AL243" s="181">
        <v>44813</v>
      </c>
      <c r="AM243" s="181"/>
      <c r="AN243" s="181">
        <f t="shared" ca="1" si="39"/>
        <v>44958</v>
      </c>
      <c r="AO243" s="173">
        <f t="shared" ca="1" si="48"/>
        <v>145</v>
      </c>
      <c r="AP243" s="173">
        <f t="shared" ca="1" si="49"/>
        <v>7</v>
      </c>
      <c r="AQ243" s="181"/>
      <c r="AR243" s="190" t="s">
        <v>1375</v>
      </c>
      <c r="AS243" s="176">
        <v>21.664999999999999</v>
      </c>
      <c r="AT243" s="176">
        <v>21.72</v>
      </c>
      <c r="AU243" s="176">
        <v>21.745000000000001</v>
      </c>
      <c r="AV243" s="176">
        <v>21.75</v>
      </c>
      <c r="AW243" s="173">
        <f t="shared" ca="1" si="33"/>
        <v>90</v>
      </c>
      <c r="AX243" s="142">
        <v>451</v>
      </c>
      <c r="AZ243" s="142" t="s">
        <v>123</v>
      </c>
    </row>
    <row r="244" spans="2:52" s="142" customFormat="1" ht="21" customHeight="1" x14ac:dyDescent="0.25">
      <c r="B244" s="173" t="str">
        <f t="shared" si="47"/>
        <v>0-J3/2B-0.73X620</v>
      </c>
      <c r="C244" s="201" t="s">
        <v>4903</v>
      </c>
      <c r="D244" s="173" t="s">
        <v>836</v>
      </c>
      <c r="E244" s="190" t="s">
        <v>4908</v>
      </c>
      <c r="F244" s="201" t="s">
        <v>4909</v>
      </c>
      <c r="G244" s="173" t="s">
        <v>34</v>
      </c>
      <c r="H244" s="173" t="s">
        <v>114</v>
      </c>
      <c r="I244" s="174">
        <v>2.2000000000000002</v>
      </c>
      <c r="J244" s="174">
        <v>0.73</v>
      </c>
      <c r="K244" s="203">
        <v>0.7</v>
      </c>
      <c r="L244" s="203">
        <v>0.73</v>
      </c>
      <c r="M244" s="191">
        <v>620</v>
      </c>
      <c r="N244" s="176">
        <v>10.045</v>
      </c>
      <c r="O244" s="176">
        <v>10.039999999999999</v>
      </c>
      <c r="P244" s="176"/>
      <c r="Q244" s="176">
        <v>5.0000000000000001E-3</v>
      </c>
      <c r="R244" s="176" t="s">
        <v>114</v>
      </c>
      <c r="S244" s="209"/>
      <c r="T244" s="178" t="s">
        <v>361</v>
      </c>
      <c r="U244" s="178"/>
      <c r="V244" s="179"/>
      <c r="W244" s="177">
        <v>44829</v>
      </c>
      <c r="X244" s="177"/>
      <c r="Y244" s="177">
        <v>44831</v>
      </c>
      <c r="Z244" s="177"/>
      <c r="AA244" s="177">
        <v>44951</v>
      </c>
      <c r="AB244" s="177"/>
      <c r="AC244" s="177"/>
      <c r="AD244" s="177"/>
      <c r="AE244" s="177"/>
      <c r="AF244" s="177"/>
      <c r="AG244" s="180"/>
      <c r="AH244" s="173" t="s">
        <v>69</v>
      </c>
      <c r="AI244" s="181" t="s">
        <v>248</v>
      </c>
      <c r="AJ244" s="181" t="s">
        <v>1145</v>
      </c>
      <c r="AK244" s="181">
        <v>44752</v>
      </c>
      <c r="AL244" s="181">
        <v>44778</v>
      </c>
      <c r="AM244" s="181"/>
      <c r="AN244" s="181">
        <f t="shared" ca="1" si="39"/>
        <v>44958</v>
      </c>
      <c r="AO244" s="173">
        <f t="shared" ca="1" si="48"/>
        <v>180</v>
      </c>
      <c r="AP244" s="173">
        <f t="shared" ca="1" si="49"/>
        <v>7</v>
      </c>
      <c r="AQ244" s="181"/>
      <c r="AR244" s="190" t="s">
        <v>1199</v>
      </c>
      <c r="AS244" s="176">
        <v>10.093999999999999</v>
      </c>
      <c r="AT244" s="176">
        <f t="shared" ref="AT244" si="50">AS244+0.04</f>
        <v>10.133999999999999</v>
      </c>
      <c r="AU244" s="176">
        <v>10.158999999999997</v>
      </c>
      <c r="AV244" s="176">
        <v>10.163999999999998</v>
      </c>
      <c r="AW244" s="173">
        <f t="shared" ca="1" si="33"/>
        <v>127</v>
      </c>
      <c r="AX244" s="142">
        <v>445</v>
      </c>
      <c r="AZ244" s="142" t="s">
        <v>123</v>
      </c>
    </row>
    <row r="245" spans="2:52" s="142" customFormat="1" ht="21" customHeight="1" x14ac:dyDescent="0.25">
      <c r="B245" s="173" t="str">
        <f t="shared" si="47"/>
        <v>0-J3/2B-0.73X620</v>
      </c>
      <c r="C245" s="201" t="s">
        <v>4903</v>
      </c>
      <c r="D245" s="173" t="s">
        <v>836</v>
      </c>
      <c r="E245" s="190" t="s">
        <v>4910</v>
      </c>
      <c r="F245" s="201" t="s">
        <v>4911</v>
      </c>
      <c r="G245" s="173" t="s">
        <v>34</v>
      </c>
      <c r="H245" s="173" t="s">
        <v>114</v>
      </c>
      <c r="I245" s="174">
        <v>2.2000000000000002</v>
      </c>
      <c r="J245" s="174">
        <v>0.73</v>
      </c>
      <c r="K245" s="203">
        <v>0.68</v>
      </c>
      <c r="L245" s="203">
        <v>0.71</v>
      </c>
      <c r="M245" s="191">
        <v>620</v>
      </c>
      <c r="N245" s="176">
        <v>9.9550000000000001</v>
      </c>
      <c r="O245" s="176">
        <v>9.8949999999999996</v>
      </c>
      <c r="P245" s="176"/>
      <c r="Q245" s="176">
        <v>0.06</v>
      </c>
      <c r="R245" s="176" t="s">
        <v>114</v>
      </c>
      <c r="S245" s="209"/>
      <c r="T245" s="178" t="s">
        <v>361</v>
      </c>
      <c r="U245" s="178"/>
      <c r="V245" s="179"/>
      <c r="W245" s="177">
        <v>44785</v>
      </c>
      <c r="X245" s="177"/>
      <c r="Y245" s="177">
        <v>44830</v>
      </c>
      <c r="Z245" s="177"/>
      <c r="AA245" s="177">
        <v>44951</v>
      </c>
      <c r="AB245" s="177"/>
      <c r="AC245" s="177"/>
      <c r="AD245" s="177"/>
      <c r="AE245" s="177"/>
      <c r="AF245" s="177"/>
      <c r="AG245" s="180"/>
      <c r="AH245" s="173" t="s">
        <v>69</v>
      </c>
      <c r="AI245" s="181" t="s">
        <v>119</v>
      </c>
      <c r="AJ245" s="181" t="s">
        <v>994</v>
      </c>
      <c r="AK245" s="181">
        <v>44713</v>
      </c>
      <c r="AL245" s="181">
        <v>44747</v>
      </c>
      <c r="AM245" s="181"/>
      <c r="AN245" s="181">
        <f t="shared" ca="1" si="39"/>
        <v>44958</v>
      </c>
      <c r="AO245" s="173">
        <f t="shared" ca="1" si="48"/>
        <v>211</v>
      </c>
      <c r="AP245" s="173">
        <f t="shared" ca="1" si="49"/>
        <v>7</v>
      </c>
      <c r="AQ245" s="181" t="s">
        <v>4912</v>
      </c>
      <c r="AR245" s="190" t="s">
        <v>1044</v>
      </c>
      <c r="AS245" s="176">
        <v>9.9779999999999998</v>
      </c>
      <c r="AT245" s="176">
        <v>9.9979999999999993</v>
      </c>
      <c r="AU245" s="176">
        <v>10.022999999999998</v>
      </c>
      <c r="AV245" s="176">
        <v>10.027999999999999</v>
      </c>
      <c r="AW245" s="173">
        <f t="shared" ca="1" si="33"/>
        <v>128</v>
      </c>
      <c r="AX245" s="142">
        <v>442</v>
      </c>
      <c r="AZ245" s="142" t="s">
        <v>123</v>
      </c>
    </row>
    <row r="246" spans="2:52" s="142" customFormat="1" ht="21" customHeight="1" x14ac:dyDescent="0.25">
      <c r="B246" s="173" t="str">
        <f t="shared" si="47"/>
        <v>0-304/2B-0.90X641</v>
      </c>
      <c r="C246" s="201" t="s">
        <v>4903</v>
      </c>
      <c r="D246" s="173" t="s">
        <v>836</v>
      </c>
      <c r="E246" s="190" t="s">
        <v>4118</v>
      </c>
      <c r="F246" s="201" t="s">
        <v>4119</v>
      </c>
      <c r="G246" s="173">
        <v>304</v>
      </c>
      <c r="H246" s="173" t="s">
        <v>114</v>
      </c>
      <c r="I246" s="174">
        <v>2.75</v>
      </c>
      <c r="J246" s="174">
        <v>0.9</v>
      </c>
      <c r="K246" s="203">
        <v>0.88</v>
      </c>
      <c r="L246" s="203">
        <v>0.9</v>
      </c>
      <c r="M246" s="191">
        <v>641</v>
      </c>
      <c r="N246" s="176">
        <v>10.535</v>
      </c>
      <c r="O246" s="176">
        <v>10.51</v>
      </c>
      <c r="P246" s="176"/>
      <c r="Q246" s="176">
        <v>2.5000000000000001E-2</v>
      </c>
      <c r="R246" s="176" t="s">
        <v>114</v>
      </c>
      <c r="S246" s="209"/>
      <c r="T246" s="178" t="s">
        <v>1210</v>
      </c>
      <c r="U246" s="178" t="s">
        <v>1592</v>
      </c>
      <c r="V246" s="179"/>
      <c r="W246" s="177">
        <v>44942</v>
      </c>
      <c r="X246" s="177">
        <v>44942</v>
      </c>
      <c r="Y246" s="177"/>
      <c r="Z246" s="177">
        <v>44943</v>
      </c>
      <c r="AA246" s="177">
        <v>44951</v>
      </c>
      <c r="AB246" s="177"/>
      <c r="AC246" s="177"/>
      <c r="AD246" s="177"/>
      <c r="AE246" s="177"/>
      <c r="AF246" s="177"/>
      <c r="AG246" s="180" t="s">
        <v>1619</v>
      </c>
      <c r="AH246" s="173" t="s">
        <v>69</v>
      </c>
      <c r="AI246" s="181" t="s">
        <v>142</v>
      </c>
      <c r="AJ246" s="181" t="s">
        <v>1657</v>
      </c>
      <c r="AK246" s="181"/>
      <c r="AL246" s="181">
        <v>44849</v>
      </c>
      <c r="AM246" s="181"/>
      <c r="AN246" s="181">
        <f t="shared" ca="1" si="39"/>
        <v>44958</v>
      </c>
      <c r="AO246" s="173">
        <f t="shared" ca="1" si="48"/>
        <v>109</v>
      </c>
      <c r="AP246" s="173">
        <f t="shared" ca="1" si="49"/>
        <v>7</v>
      </c>
      <c r="AQ246" s="181"/>
      <c r="AR246" s="190" t="s">
        <v>4121</v>
      </c>
      <c r="AS246" s="176">
        <v>10.565</v>
      </c>
      <c r="AT246" s="176">
        <v>10.574999999999999</v>
      </c>
      <c r="AU246" s="176">
        <v>10.599999999999998</v>
      </c>
      <c r="AV246" s="176">
        <v>10.604999999999999</v>
      </c>
      <c r="AW246" s="173" t="str">
        <f t="shared" si="33"/>
        <v/>
      </c>
      <c r="AX246" s="142">
        <v>456</v>
      </c>
      <c r="AZ246" s="142" t="s">
        <v>123</v>
      </c>
    </row>
    <row r="247" spans="2:52" s="142" customFormat="1" ht="21" customHeight="1" x14ac:dyDescent="0.25">
      <c r="B247" s="173" t="str">
        <f>IF(C247="HOLD RM","HOLD RM",IF(C247="BAL","WIP",IF(C247="HOLD SLT","HOLD SLT",IF(C247="MILL","RM",IF(C247="RE SLT","WIP",IF(C247="RM","RM",IF(C247="RM BAL","RM",IF(C247="RM SLT","RM",IF(C247="RR","WIP",IF(C247="SKP","WIP",IF(C247="SLT","WIP",IF(C247="CTL","WIP",IF(C247="RM SLT RUST","RM SLT RUST",0)))))))))))))&amp;"-"&amp;G247&amp;"/"&amp;IF(H247="2B","2B",IF(H247="NO.1","1D",IF(H247="FH","FH",0)))&amp;"-"&amp;IF(J247="",(TEXT(I247,"0.00")),TEXT(J247,"0.00"))&amp;"X"&amp;M247</f>
        <v>0-304L/2B-1.15X641</v>
      </c>
      <c r="C247" s="201" t="s">
        <v>4913</v>
      </c>
      <c r="D247" s="173" t="s">
        <v>4432</v>
      </c>
      <c r="E247" s="190" t="s">
        <v>4175</v>
      </c>
      <c r="F247" s="201" t="s">
        <v>4914</v>
      </c>
      <c r="G247" s="173" t="s">
        <v>182</v>
      </c>
      <c r="H247" s="173" t="s">
        <v>114</v>
      </c>
      <c r="I247" s="174">
        <v>3.1</v>
      </c>
      <c r="J247" s="174">
        <v>1.1499999999999999</v>
      </c>
      <c r="K247" s="203">
        <v>1.1599999999999999</v>
      </c>
      <c r="L247" s="203">
        <v>1.17</v>
      </c>
      <c r="M247" s="191">
        <v>641</v>
      </c>
      <c r="N247" s="176">
        <v>10.52</v>
      </c>
      <c r="O247" s="176">
        <f>5.14+5.32</f>
        <v>10.46</v>
      </c>
      <c r="P247" s="176"/>
      <c r="Q247" s="176">
        <v>0.06</v>
      </c>
      <c r="R247" s="176" t="s">
        <v>114</v>
      </c>
      <c r="S247" s="209" t="s">
        <v>4915</v>
      </c>
      <c r="T247" s="178" t="s">
        <v>1210</v>
      </c>
      <c r="U247" s="178" t="s">
        <v>1592</v>
      </c>
      <c r="V247" s="179"/>
      <c r="W247" s="177" t="s">
        <v>4331</v>
      </c>
      <c r="X247" s="177"/>
      <c r="Y247" s="177"/>
      <c r="Z247" s="177">
        <v>44949</v>
      </c>
      <c r="AA247" s="177"/>
      <c r="AB247" s="177"/>
      <c r="AC247" s="177"/>
      <c r="AD247" s="177"/>
      <c r="AE247" s="177"/>
      <c r="AF247" s="177"/>
      <c r="AG247" s="180" t="s">
        <v>1605</v>
      </c>
      <c r="AH247" s="173" t="s">
        <v>69</v>
      </c>
      <c r="AI247" s="181" t="s">
        <v>142</v>
      </c>
      <c r="AJ247" s="181" t="s">
        <v>1657</v>
      </c>
      <c r="AK247" s="181"/>
      <c r="AL247" s="181">
        <v>44849</v>
      </c>
      <c r="AM247" s="181"/>
      <c r="AN247" s="181">
        <f ca="1">TODAY()</f>
        <v>44958</v>
      </c>
      <c r="AO247" s="173">
        <f ca="1">IF(AL247&lt;&gt;0,AN247-AL247,0)</f>
        <v>109</v>
      </c>
      <c r="AP247" s="173" t="str">
        <f>IF(ISNUMBER(AA247)=TRUE,AN247-AA247,IF(AA247="","",(AN247)-(MID(RIGHT(AA247,10),4,2)&amp;"/"&amp;LEFT((RIGHT(AA247,10)),2)&amp;"/"&amp;RIGHT(AA247,4))))</f>
        <v/>
      </c>
      <c r="AQ247" s="181"/>
      <c r="AR247" s="190" t="s">
        <v>4129</v>
      </c>
      <c r="AS247" s="176">
        <v>10.545</v>
      </c>
      <c r="AT247" s="176">
        <v>10.555</v>
      </c>
      <c r="AU247" s="176">
        <v>10.579999999999998</v>
      </c>
      <c r="AV247" s="176">
        <v>10.584999999999999</v>
      </c>
      <c r="AW247" s="173" t="str">
        <f t="shared" si="33"/>
        <v/>
      </c>
      <c r="AX247" s="142">
        <v>456</v>
      </c>
      <c r="AZ247" s="142" t="s">
        <v>123</v>
      </c>
    </row>
    <row r="248" spans="2:52" s="142" customFormat="1" ht="21" customHeight="1" x14ac:dyDescent="0.25">
      <c r="B248" s="173" t="str">
        <f t="shared" ref="B248:B301" si="51">IF(C248="HOLD RM","HOLD RM",IF(C248="BAL","WIP",IF(C248="HOLD SLT","HOLD SLT",IF(C248="MILL","RM",IF(C248="RE SLT","WIP",IF(C248="RM","RM",IF(C248="RM BAL","RM",IF(C248="RM SLT","RM",IF(C248="RR","WIP",IF(C248="SKP","WIP",IF(C248="SLT","WIP",IF(C248="CTL","WIP",IF(C248="RM SLT RUST","RM SLT RUST",0)))))))))))))&amp;"-"&amp;G248&amp;"/"&amp;IF(H248="2B","2B",IF(H248="NO.1","1D",IF(H248="FH","FH",0)))&amp;"-"&amp;IF(J248="",(TEXT(I248,"0.00")),TEXT(J248,"0.00"))&amp;"X"&amp;M248</f>
        <v>0-304L/2B-1.15X642</v>
      </c>
      <c r="C248" s="201" t="s">
        <v>4916</v>
      </c>
      <c r="D248" s="173" t="s">
        <v>836</v>
      </c>
      <c r="E248" s="190" t="s">
        <v>4163</v>
      </c>
      <c r="F248" s="201" t="s">
        <v>4164</v>
      </c>
      <c r="G248" s="173" t="s">
        <v>182</v>
      </c>
      <c r="H248" s="173" t="s">
        <v>114</v>
      </c>
      <c r="I248" s="174">
        <v>3.1</v>
      </c>
      <c r="J248" s="174">
        <v>1.1499999999999999</v>
      </c>
      <c r="K248" s="174">
        <v>1.1599999999999999</v>
      </c>
      <c r="L248" s="174">
        <v>1.17</v>
      </c>
      <c r="M248" s="191">
        <v>642</v>
      </c>
      <c r="N248" s="176">
        <v>10.625</v>
      </c>
      <c r="O248" s="176">
        <v>10.57</v>
      </c>
      <c r="P248" s="176"/>
      <c r="Q248" s="176">
        <v>5.5E-2</v>
      </c>
      <c r="R248" s="176" t="s">
        <v>114</v>
      </c>
      <c r="S248" s="209"/>
      <c r="T248" s="178" t="s">
        <v>1210</v>
      </c>
      <c r="U248" s="178" t="s">
        <v>1592</v>
      </c>
      <c r="V248" s="179"/>
      <c r="W248" s="177">
        <v>44945</v>
      </c>
      <c r="X248" s="177">
        <v>44945</v>
      </c>
      <c r="Y248" s="177"/>
      <c r="Z248" s="177">
        <v>44945</v>
      </c>
      <c r="AA248" s="177">
        <v>44952</v>
      </c>
      <c r="AB248" s="177"/>
      <c r="AC248" s="177"/>
      <c r="AD248" s="177"/>
      <c r="AE248" s="177"/>
      <c r="AF248" s="177"/>
      <c r="AG248" s="180" t="s">
        <v>1605</v>
      </c>
      <c r="AH248" s="173" t="s">
        <v>69</v>
      </c>
      <c r="AI248" s="181" t="s">
        <v>142</v>
      </c>
      <c r="AJ248" s="181" t="s">
        <v>1657</v>
      </c>
      <c r="AK248" s="181"/>
      <c r="AL248" s="181">
        <v>44849</v>
      </c>
      <c r="AM248" s="181"/>
      <c r="AN248" s="181">
        <f t="shared" ref="AN248:AN301" ca="1" si="52">TODAY()</f>
        <v>44958</v>
      </c>
      <c r="AO248" s="173">
        <f t="shared" ref="AO248:AO272" ca="1" si="53">IF(AL248&lt;&gt;0,AN248-AL248,0)</f>
        <v>109</v>
      </c>
      <c r="AP248" s="173">
        <f t="shared" ref="AP248:AP301" ca="1" si="54">IF(ISNUMBER(AA248)=TRUE,AN248-AA248,IF(AA248="","",(AN248)-(MID(RIGHT(AA248,10),4,2)&amp;"/"&amp;LEFT((RIGHT(AA248,10)),2)&amp;"/"&amp;RIGHT(AA248,4))))</f>
        <v>6</v>
      </c>
      <c r="AQ248" s="181"/>
      <c r="AR248" s="190" t="s">
        <v>1670</v>
      </c>
      <c r="AS248" s="176">
        <v>10.64</v>
      </c>
      <c r="AT248" s="176">
        <v>10.65</v>
      </c>
      <c r="AU248" s="176">
        <v>10.674999999999999</v>
      </c>
      <c r="AV248" s="176">
        <v>10.68</v>
      </c>
      <c r="AW248" s="173" t="str">
        <f t="shared" si="33"/>
        <v/>
      </c>
      <c r="AX248" s="142">
        <v>456</v>
      </c>
      <c r="AZ248" s="142" t="s">
        <v>123</v>
      </c>
    </row>
    <row r="249" spans="2:52" s="142" customFormat="1" ht="21" customHeight="1" x14ac:dyDescent="0.25">
      <c r="B249" s="173" t="str">
        <f t="shared" si="51"/>
        <v>0-304L/2B-1.45X637</v>
      </c>
      <c r="C249" s="201" t="s">
        <v>4917</v>
      </c>
      <c r="D249" s="173" t="s">
        <v>4432</v>
      </c>
      <c r="E249" s="190" t="s">
        <v>4221</v>
      </c>
      <c r="F249" s="201" t="s">
        <v>4918</v>
      </c>
      <c r="G249" s="173" t="s">
        <v>182</v>
      </c>
      <c r="H249" s="173" t="s">
        <v>114</v>
      </c>
      <c r="I249" s="174">
        <v>3.89</v>
      </c>
      <c r="J249" s="174">
        <v>1.45</v>
      </c>
      <c r="K249" s="203">
        <v>1.43</v>
      </c>
      <c r="L249" s="203">
        <v>1.45</v>
      </c>
      <c r="M249" s="191">
        <v>637</v>
      </c>
      <c r="N249" s="176">
        <v>10.53</v>
      </c>
      <c r="O249" s="176">
        <f>5.155+5.255</f>
        <v>10.41</v>
      </c>
      <c r="P249" s="176"/>
      <c r="Q249" s="176">
        <v>0.12</v>
      </c>
      <c r="R249" s="176" t="s">
        <v>114</v>
      </c>
      <c r="S249" s="209" t="s">
        <v>4915</v>
      </c>
      <c r="T249" s="178" t="s">
        <v>1210</v>
      </c>
      <c r="U249" s="178" t="s">
        <v>1592</v>
      </c>
      <c r="V249" s="179"/>
      <c r="W249" s="177">
        <v>44949</v>
      </c>
      <c r="X249" s="177"/>
      <c r="Y249" s="177"/>
      <c r="Z249" s="177">
        <v>44950</v>
      </c>
      <c r="AA249" s="177"/>
      <c r="AB249" s="177"/>
      <c r="AC249" s="177"/>
      <c r="AD249" s="177"/>
      <c r="AE249" s="177"/>
      <c r="AF249" s="177"/>
      <c r="AG249" s="180" t="s">
        <v>1605</v>
      </c>
      <c r="AH249" s="173" t="s">
        <v>69</v>
      </c>
      <c r="AI249" s="181" t="s">
        <v>142</v>
      </c>
      <c r="AJ249" s="181" t="s">
        <v>1657</v>
      </c>
      <c r="AK249" s="181"/>
      <c r="AL249" s="181">
        <v>44849</v>
      </c>
      <c r="AM249" s="181"/>
      <c r="AN249" s="181">
        <f t="shared" ca="1" si="52"/>
        <v>44958</v>
      </c>
      <c r="AO249" s="173">
        <f t="shared" ca="1" si="53"/>
        <v>109</v>
      </c>
      <c r="AP249" s="173" t="str">
        <f t="shared" si="54"/>
        <v/>
      </c>
      <c r="AQ249" s="181"/>
      <c r="AR249" s="190" t="s">
        <v>1729</v>
      </c>
      <c r="AS249" s="176">
        <v>10.53</v>
      </c>
      <c r="AT249" s="176">
        <v>10.54</v>
      </c>
      <c r="AU249" s="176">
        <v>10.564999999999998</v>
      </c>
      <c r="AV249" s="176">
        <v>10.569999999999999</v>
      </c>
      <c r="AW249" s="173" t="str">
        <f t="shared" si="33"/>
        <v/>
      </c>
      <c r="AX249" s="142">
        <v>456</v>
      </c>
      <c r="AZ249" s="142" t="s">
        <v>123</v>
      </c>
    </row>
    <row r="250" spans="2:52" s="142" customFormat="1" ht="21" customHeight="1" x14ac:dyDescent="0.25">
      <c r="B250" s="173" t="str">
        <f t="shared" si="51"/>
        <v>0-304L/2B-1.45X637</v>
      </c>
      <c r="C250" s="201" t="s">
        <v>4916</v>
      </c>
      <c r="D250" s="173" t="s">
        <v>836</v>
      </c>
      <c r="E250" s="190" t="s">
        <v>4202</v>
      </c>
      <c r="F250" s="201" t="s">
        <v>4203</v>
      </c>
      <c r="G250" s="173" t="s">
        <v>182</v>
      </c>
      <c r="H250" s="173" t="s">
        <v>114</v>
      </c>
      <c r="I250" s="174">
        <v>3.89</v>
      </c>
      <c r="J250" s="174">
        <v>1.45</v>
      </c>
      <c r="K250" s="203">
        <v>1.44</v>
      </c>
      <c r="L250" s="203">
        <v>1.47</v>
      </c>
      <c r="M250" s="191">
        <v>637</v>
      </c>
      <c r="N250" s="176">
        <v>10.305</v>
      </c>
      <c r="O250" s="176">
        <v>10.234999999999999</v>
      </c>
      <c r="P250" s="176"/>
      <c r="Q250" s="176">
        <v>7.0000000000000007E-2</v>
      </c>
      <c r="R250" s="176" t="s">
        <v>114</v>
      </c>
      <c r="S250" s="209"/>
      <c r="T250" s="178" t="s">
        <v>1210</v>
      </c>
      <c r="U250" s="178" t="s">
        <v>1592</v>
      </c>
      <c r="V250" s="179"/>
      <c r="W250" s="177">
        <v>44948</v>
      </c>
      <c r="X250" s="177"/>
      <c r="Y250" s="177"/>
      <c r="Z250" s="177">
        <v>44950</v>
      </c>
      <c r="AA250" s="177">
        <v>44952</v>
      </c>
      <c r="AB250" s="177"/>
      <c r="AC250" s="177"/>
      <c r="AD250" s="177"/>
      <c r="AE250" s="177"/>
      <c r="AF250" s="177"/>
      <c r="AG250" s="180" t="s">
        <v>1605</v>
      </c>
      <c r="AH250" s="173" t="s">
        <v>69</v>
      </c>
      <c r="AI250" s="181" t="s">
        <v>142</v>
      </c>
      <c r="AJ250" s="181" t="s">
        <v>1657</v>
      </c>
      <c r="AK250" s="181"/>
      <c r="AL250" s="181">
        <v>44849</v>
      </c>
      <c r="AM250" s="181"/>
      <c r="AN250" s="181">
        <f t="shared" ca="1" si="52"/>
        <v>44958</v>
      </c>
      <c r="AO250" s="173">
        <f t="shared" ca="1" si="53"/>
        <v>109</v>
      </c>
      <c r="AP250" s="173">
        <f t="shared" ca="1" si="54"/>
        <v>6</v>
      </c>
      <c r="AQ250" s="181"/>
      <c r="AR250" s="190" t="s">
        <v>4204</v>
      </c>
      <c r="AS250" s="176">
        <v>10.33</v>
      </c>
      <c r="AT250" s="176">
        <v>10.34</v>
      </c>
      <c r="AU250" s="176">
        <v>10.364999999999998</v>
      </c>
      <c r="AV250" s="176">
        <v>10.37</v>
      </c>
      <c r="AW250" s="173" t="str">
        <f t="shared" si="33"/>
        <v/>
      </c>
      <c r="AX250" s="142">
        <v>456</v>
      </c>
      <c r="AZ250" s="142" t="s">
        <v>123</v>
      </c>
    </row>
    <row r="251" spans="2:52" s="142" customFormat="1" ht="21" customHeight="1" x14ac:dyDescent="0.25">
      <c r="B251" s="173" t="str">
        <f t="shared" si="51"/>
        <v>0-304L/2B-1.15X643</v>
      </c>
      <c r="C251" s="201" t="s">
        <v>4916</v>
      </c>
      <c r="D251" s="173" t="s">
        <v>836</v>
      </c>
      <c r="E251" s="190" t="s">
        <v>4127</v>
      </c>
      <c r="F251" s="201" t="s">
        <v>4128</v>
      </c>
      <c r="G251" s="173" t="s">
        <v>182</v>
      </c>
      <c r="H251" s="173" t="s">
        <v>114</v>
      </c>
      <c r="I251" s="174">
        <v>3.11</v>
      </c>
      <c r="J251" s="174">
        <v>1.1499999999999999</v>
      </c>
      <c r="K251" s="203">
        <v>1.1200000000000001</v>
      </c>
      <c r="L251" s="203">
        <v>1.1299999999999999</v>
      </c>
      <c r="M251" s="191">
        <v>643</v>
      </c>
      <c r="N251" s="176">
        <v>10.535</v>
      </c>
      <c r="O251" s="176">
        <v>10.525</v>
      </c>
      <c r="P251" s="176"/>
      <c r="Q251" s="176">
        <v>0.01</v>
      </c>
      <c r="R251" s="176" t="s">
        <v>114</v>
      </c>
      <c r="S251" s="209"/>
      <c r="T251" s="178" t="s">
        <v>1210</v>
      </c>
      <c r="U251" s="178" t="s">
        <v>1592</v>
      </c>
      <c r="V251" s="179"/>
      <c r="W251" s="177">
        <v>44943</v>
      </c>
      <c r="X251" s="177">
        <v>44944</v>
      </c>
      <c r="Y251" s="177"/>
      <c r="Z251" s="177">
        <v>44944</v>
      </c>
      <c r="AA251" s="177">
        <v>44952</v>
      </c>
      <c r="AB251" s="177"/>
      <c r="AC251" s="177"/>
      <c r="AD251" s="177"/>
      <c r="AE251" s="177"/>
      <c r="AF251" s="177"/>
      <c r="AG251" s="180" t="s">
        <v>2448</v>
      </c>
      <c r="AH251" s="173" t="s">
        <v>69</v>
      </c>
      <c r="AI251" s="181" t="s">
        <v>142</v>
      </c>
      <c r="AJ251" s="181" t="s">
        <v>1657</v>
      </c>
      <c r="AK251" s="181"/>
      <c r="AL251" s="181">
        <v>44849</v>
      </c>
      <c r="AM251" s="181"/>
      <c r="AN251" s="181">
        <f t="shared" ca="1" si="52"/>
        <v>44958</v>
      </c>
      <c r="AO251" s="173">
        <f t="shared" ca="1" si="53"/>
        <v>109</v>
      </c>
      <c r="AP251" s="173">
        <f t="shared" ca="1" si="54"/>
        <v>6</v>
      </c>
      <c r="AQ251" s="181"/>
      <c r="AR251" s="190" t="s">
        <v>4129</v>
      </c>
      <c r="AS251" s="176">
        <v>10.605</v>
      </c>
      <c r="AT251" s="176">
        <v>10.615</v>
      </c>
      <c r="AU251" s="176">
        <v>10.639999999999999</v>
      </c>
      <c r="AV251" s="176">
        <v>10.645</v>
      </c>
      <c r="AW251" s="173" t="str">
        <f t="shared" si="33"/>
        <v/>
      </c>
      <c r="AX251" s="142">
        <v>456</v>
      </c>
      <c r="AZ251" s="142" t="s">
        <v>123</v>
      </c>
    </row>
    <row r="252" spans="2:52" s="142" customFormat="1" ht="21" customHeight="1" x14ac:dyDescent="0.25">
      <c r="B252" s="173" t="str">
        <f t="shared" si="51"/>
        <v>0-304L/2B-1.15X646</v>
      </c>
      <c r="C252" s="201" t="s">
        <v>4917</v>
      </c>
      <c r="D252" s="173" t="s">
        <v>4432</v>
      </c>
      <c r="E252" s="190" t="s">
        <v>4151</v>
      </c>
      <c r="F252" s="201" t="s">
        <v>4919</v>
      </c>
      <c r="G252" s="173" t="s">
        <v>182</v>
      </c>
      <c r="H252" s="173" t="s">
        <v>114</v>
      </c>
      <c r="I252" s="174">
        <v>2.9</v>
      </c>
      <c r="J252" s="174">
        <v>1.1499999999999999</v>
      </c>
      <c r="K252" s="203">
        <v>1.1200000000000001</v>
      </c>
      <c r="L252" s="203">
        <v>1.1399999999999999</v>
      </c>
      <c r="M252" s="191">
        <v>646</v>
      </c>
      <c r="N252" s="176">
        <v>10.135</v>
      </c>
      <c r="O252" s="176">
        <f>4.115+6</f>
        <v>10.115</v>
      </c>
      <c r="P252" s="176"/>
      <c r="Q252" s="176">
        <v>0.02</v>
      </c>
      <c r="R252" s="176" t="s">
        <v>114</v>
      </c>
      <c r="S252" s="209" t="s">
        <v>4915</v>
      </c>
      <c r="T252" s="178" t="s">
        <v>1210</v>
      </c>
      <c r="U252" s="178" t="s">
        <v>1592</v>
      </c>
      <c r="V252" s="179"/>
      <c r="W252" s="177">
        <v>44944</v>
      </c>
      <c r="X252" s="177">
        <v>44947</v>
      </c>
      <c r="Y252" s="177"/>
      <c r="Z252" s="177">
        <v>44946</v>
      </c>
      <c r="AA252" s="177"/>
      <c r="AB252" s="177"/>
      <c r="AC252" s="177"/>
      <c r="AD252" s="177"/>
      <c r="AE252" s="177"/>
      <c r="AF252" s="177"/>
      <c r="AG252" s="180" t="s">
        <v>2448</v>
      </c>
      <c r="AH252" s="173" t="s">
        <v>69</v>
      </c>
      <c r="AI252" s="181" t="s">
        <v>142</v>
      </c>
      <c r="AJ252" s="181" t="s">
        <v>1657</v>
      </c>
      <c r="AK252" s="181"/>
      <c r="AL252" s="181">
        <v>44849</v>
      </c>
      <c r="AM252" s="181"/>
      <c r="AN252" s="181">
        <f t="shared" ca="1" si="52"/>
        <v>44958</v>
      </c>
      <c r="AO252" s="173">
        <f t="shared" ca="1" si="53"/>
        <v>109</v>
      </c>
      <c r="AP252" s="173" t="str">
        <f t="shared" si="54"/>
        <v/>
      </c>
      <c r="AQ252" s="181"/>
      <c r="AR252" s="190" t="s">
        <v>1766</v>
      </c>
      <c r="AS252" s="176">
        <v>10.195</v>
      </c>
      <c r="AT252" s="176">
        <v>10.205</v>
      </c>
      <c r="AU252" s="176">
        <v>10.229999999999999</v>
      </c>
      <c r="AV252" s="176">
        <v>10.234999999999999</v>
      </c>
      <c r="AW252" s="173" t="str">
        <f t="shared" si="33"/>
        <v/>
      </c>
      <c r="AX252" s="142">
        <v>456</v>
      </c>
      <c r="AZ252" s="142" t="s">
        <v>123</v>
      </c>
    </row>
    <row r="253" spans="2:52" s="142" customFormat="1" ht="21" customHeight="1" x14ac:dyDescent="0.25">
      <c r="B253" s="173" t="str">
        <f t="shared" si="51"/>
        <v>0-304L/2B-1.15X642</v>
      </c>
      <c r="C253" s="201" t="s">
        <v>4917</v>
      </c>
      <c r="D253" s="173" t="s">
        <v>4432</v>
      </c>
      <c r="E253" s="190" t="s">
        <v>4239</v>
      </c>
      <c r="F253" s="201" t="s">
        <v>4920</v>
      </c>
      <c r="G253" s="173" t="s">
        <v>182</v>
      </c>
      <c r="H253" s="173" t="s">
        <v>114</v>
      </c>
      <c r="I253" s="174">
        <v>2.96</v>
      </c>
      <c r="J253" s="174">
        <v>1.1499999999999999</v>
      </c>
      <c r="K253" s="203">
        <v>1.1100000000000001</v>
      </c>
      <c r="L253" s="203">
        <v>1.1299999999999999</v>
      </c>
      <c r="M253" s="191">
        <v>642</v>
      </c>
      <c r="N253" s="176">
        <v>10.065</v>
      </c>
      <c r="O253" s="176">
        <f>5.675+4.35</f>
        <v>10.024999999999999</v>
      </c>
      <c r="P253" s="176"/>
      <c r="Q253" s="176">
        <v>0.04</v>
      </c>
      <c r="R253" s="176" t="s">
        <v>114</v>
      </c>
      <c r="S253" s="209" t="s">
        <v>4915</v>
      </c>
      <c r="T253" s="178" t="s">
        <v>1210</v>
      </c>
      <c r="U253" s="178" t="s">
        <v>1592</v>
      </c>
      <c r="V253" s="179"/>
      <c r="W253" s="177">
        <v>44951</v>
      </c>
      <c r="X253" s="177"/>
      <c r="Y253" s="177">
        <v>44951</v>
      </c>
      <c r="Z253" s="177"/>
      <c r="AA253" s="177"/>
      <c r="AB253" s="177"/>
      <c r="AC253" s="177"/>
      <c r="AD253" s="177"/>
      <c r="AE253" s="177"/>
      <c r="AF253" s="177"/>
      <c r="AG253" s="180" t="s">
        <v>1643</v>
      </c>
      <c r="AH253" s="173" t="s">
        <v>69</v>
      </c>
      <c r="AI253" s="181" t="s">
        <v>142</v>
      </c>
      <c r="AJ253" s="181" t="s">
        <v>1657</v>
      </c>
      <c r="AK253" s="181"/>
      <c r="AL253" s="181">
        <v>44849</v>
      </c>
      <c r="AM253" s="181"/>
      <c r="AN253" s="181">
        <f t="shared" ca="1" si="52"/>
        <v>44958</v>
      </c>
      <c r="AO253" s="173">
        <f t="shared" ca="1" si="53"/>
        <v>109</v>
      </c>
      <c r="AP253" s="173" t="str">
        <f t="shared" si="54"/>
        <v/>
      </c>
      <c r="AQ253" s="181"/>
      <c r="AR253" s="190" t="s">
        <v>4241</v>
      </c>
      <c r="AS253" s="176">
        <v>10.09</v>
      </c>
      <c r="AT253" s="176">
        <v>10.1</v>
      </c>
      <c r="AU253" s="176">
        <v>10.124999999999998</v>
      </c>
      <c r="AV253" s="176">
        <v>10.129999999999999</v>
      </c>
      <c r="AW253" s="173">
        <f t="shared" ca="1" si="33"/>
        <v>7</v>
      </c>
      <c r="AX253" s="142">
        <v>456</v>
      </c>
      <c r="AZ253" s="142" t="s">
        <v>123</v>
      </c>
    </row>
    <row r="254" spans="2:52" s="142" customFormat="1" ht="21" customHeight="1" x14ac:dyDescent="0.25">
      <c r="B254" s="173" t="str">
        <f t="shared" si="51"/>
        <v>0-304/2B-1.00X637</v>
      </c>
      <c r="C254" s="201" t="s">
        <v>4917</v>
      </c>
      <c r="D254" s="173" t="s">
        <v>4432</v>
      </c>
      <c r="E254" s="190" t="s">
        <v>4245</v>
      </c>
      <c r="F254" s="201" t="s">
        <v>4921</v>
      </c>
      <c r="G254" s="173">
        <v>304</v>
      </c>
      <c r="H254" s="173" t="s">
        <v>114</v>
      </c>
      <c r="I254" s="174">
        <v>3.47</v>
      </c>
      <c r="J254" s="174">
        <v>1</v>
      </c>
      <c r="K254" s="203">
        <v>0.98</v>
      </c>
      <c r="L254" s="203">
        <v>1</v>
      </c>
      <c r="M254" s="191">
        <v>637</v>
      </c>
      <c r="N254" s="176">
        <v>8.1750000000000007</v>
      </c>
      <c r="O254" s="176">
        <f>4.14+4</f>
        <v>8.14</v>
      </c>
      <c r="P254" s="176"/>
      <c r="Q254" s="176">
        <v>0.05</v>
      </c>
      <c r="R254" s="176" t="s">
        <v>114</v>
      </c>
      <c r="S254" s="209" t="s">
        <v>4915</v>
      </c>
      <c r="T254" s="178" t="s">
        <v>1210</v>
      </c>
      <c r="U254" s="178"/>
      <c r="V254" s="179"/>
      <c r="W254" s="177">
        <v>44951</v>
      </c>
      <c r="X254" s="177"/>
      <c r="Y254" s="177">
        <v>44952</v>
      </c>
      <c r="Z254" s="177"/>
      <c r="AA254" s="177"/>
      <c r="AB254" s="177"/>
      <c r="AC254" s="177"/>
      <c r="AD254" s="177"/>
      <c r="AE254" s="177"/>
      <c r="AF254" s="177"/>
      <c r="AG254" s="180" t="s">
        <v>1643</v>
      </c>
      <c r="AH254" s="173" t="s">
        <v>69</v>
      </c>
      <c r="AI254" s="181" t="s">
        <v>142</v>
      </c>
      <c r="AJ254" s="181" t="s">
        <v>1657</v>
      </c>
      <c r="AK254" s="181"/>
      <c r="AL254" s="181">
        <v>44849</v>
      </c>
      <c r="AM254" s="181"/>
      <c r="AN254" s="181">
        <f t="shared" ca="1" si="52"/>
        <v>44958</v>
      </c>
      <c r="AO254" s="173">
        <f t="shared" ca="1" si="53"/>
        <v>109</v>
      </c>
      <c r="AP254" s="173" t="str">
        <f t="shared" si="54"/>
        <v/>
      </c>
      <c r="AQ254" s="181"/>
      <c r="AR254" s="190" t="s">
        <v>1763</v>
      </c>
      <c r="AS254" s="176">
        <v>8.2149999999999999</v>
      </c>
      <c r="AT254" s="176">
        <v>8.2249999999999996</v>
      </c>
      <c r="AU254" s="176">
        <v>8.2499999999999982</v>
      </c>
      <c r="AV254" s="176">
        <v>8.254999999999999</v>
      </c>
      <c r="AW254" s="173">
        <f t="shared" ca="1" si="33"/>
        <v>6</v>
      </c>
      <c r="AX254" s="142">
        <v>456</v>
      </c>
      <c r="AZ254" s="142" t="s">
        <v>123</v>
      </c>
    </row>
    <row r="255" spans="2:52" s="142" customFormat="1" ht="21" customHeight="1" x14ac:dyDescent="0.25">
      <c r="B255" s="173" t="str">
        <f t="shared" si="51"/>
        <v>0-304/2B-1.15X642</v>
      </c>
      <c r="C255" s="201" t="s">
        <v>4916</v>
      </c>
      <c r="D255" s="173" t="s">
        <v>836</v>
      </c>
      <c r="E255" s="190" t="s">
        <v>4242</v>
      </c>
      <c r="F255" s="201" t="s">
        <v>4243</v>
      </c>
      <c r="G255" s="173">
        <v>304</v>
      </c>
      <c r="H255" s="173" t="s">
        <v>114</v>
      </c>
      <c r="I255" s="174">
        <v>3.01</v>
      </c>
      <c r="J255" s="174">
        <v>1.1499999999999999</v>
      </c>
      <c r="K255" s="203">
        <v>1.1599999999999999</v>
      </c>
      <c r="L255" s="203">
        <v>1.17</v>
      </c>
      <c r="M255" s="191">
        <v>642</v>
      </c>
      <c r="N255" s="176">
        <v>10.654999999999999</v>
      </c>
      <c r="O255" s="176">
        <v>10.585000000000001</v>
      </c>
      <c r="P255" s="176"/>
      <c r="Q255" s="176">
        <v>7.0000000000000007E-2</v>
      </c>
      <c r="R255" s="176" t="s">
        <v>114</v>
      </c>
      <c r="S255" s="209"/>
      <c r="T255" s="178" t="s">
        <v>1210</v>
      </c>
      <c r="U255" s="178"/>
      <c r="V255" s="179"/>
      <c r="W255" s="177">
        <v>44951</v>
      </c>
      <c r="X255" s="177"/>
      <c r="Y255" s="177">
        <v>44952</v>
      </c>
      <c r="Z255" s="177"/>
      <c r="AA255" s="177">
        <v>44952</v>
      </c>
      <c r="AB255" s="177"/>
      <c r="AC255" s="177"/>
      <c r="AD255" s="177"/>
      <c r="AE255" s="177"/>
      <c r="AF255" s="177"/>
      <c r="AG255" s="180" t="s">
        <v>1643</v>
      </c>
      <c r="AH255" s="173" t="s">
        <v>69</v>
      </c>
      <c r="AI255" s="181" t="s">
        <v>142</v>
      </c>
      <c r="AJ255" s="181" t="s">
        <v>1657</v>
      </c>
      <c r="AK255" s="181"/>
      <c r="AL255" s="181">
        <v>44849</v>
      </c>
      <c r="AM255" s="181"/>
      <c r="AN255" s="181">
        <f t="shared" ca="1" si="52"/>
        <v>44958</v>
      </c>
      <c r="AO255" s="173">
        <f t="shared" ca="1" si="53"/>
        <v>109</v>
      </c>
      <c r="AP255" s="173">
        <f t="shared" ca="1" si="54"/>
        <v>6</v>
      </c>
      <c r="AQ255" s="181"/>
      <c r="AR255" s="190" t="s">
        <v>4244</v>
      </c>
      <c r="AS255" s="176">
        <v>10.66</v>
      </c>
      <c r="AT255" s="176">
        <v>10.67</v>
      </c>
      <c r="AU255" s="176">
        <v>10.694999999999999</v>
      </c>
      <c r="AV255" s="176">
        <v>10.7</v>
      </c>
      <c r="AW255" s="173">
        <f t="shared" ca="1" si="33"/>
        <v>6</v>
      </c>
      <c r="AX255" s="142">
        <v>456</v>
      </c>
      <c r="AZ255" s="142" t="s">
        <v>123</v>
      </c>
    </row>
    <row r="256" spans="2:52" s="142" customFormat="1" ht="21" customHeight="1" x14ac:dyDescent="0.25">
      <c r="B256" s="173" t="str">
        <f t="shared" si="51"/>
        <v>0-304/2B-1.45X641</v>
      </c>
      <c r="C256" s="201" t="s">
        <v>4917</v>
      </c>
      <c r="D256" s="173" t="s">
        <v>4432</v>
      </c>
      <c r="E256" s="190" t="s">
        <v>4258</v>
      </c>
      <c r="F256" s="201" t="s">
        <v>4922</v>
      </c>
      <c r="G256" s="173">
        <v>304</v>
      </c>
      <c r="H256" s="173" t="s">
        <v>114</v>
      </c>
      <c r="I256" s="174">
        <v>3.89</v>
      </c>
      <c r="J256" s="174">
        <v>1.45</v>
      </c>
      <c r="K256" s="203"/>
      <c r="L256" s="203"/>
      <c r="M256" s="191">
        <v>641</v>
      </c>
      <c r="N256" s="176">
        <v>5.17</v>
      </c>
      <c r="O256" s="176">
        <v>5.17</v>
      </c>
      <c r="P256" s="176"/>
      <c r="Q256" s="176"/>
      <c r="R256" s="176" t="s">
        <v>114</v>
      </c>
      <c r="S256" s="209" t="s">
        <v>4915</v>
      </c>
      <c r="T256" s="178" t="s">
        <v>1210</v>
      </c>
      <c r="U256" s="178"/>
      <c r="V256" s="179"/>
      <c r="W256" s="177">
        <v>44952</v>
      </c>
      <c r="X256" s="177"/>
      <c r="Y256" s="177">
        <v>44952</v>
      </c>
      <c r="Z256" s="177"/>
      <c r="AA256" s="177"/>
      <c r="AB256" s="177"/>
      <c r="AC256" s="177"/>
      <c r="AD256" s="177"/>
      <c r="AE256" s="177"/>
      <c r="AF256" s="177"/>
      <c r="AG256" s="180" t="s">
        <v>1605</v>
      </c>
      <c r="AH256" s="173" t="s">
        <v>69</v>
      </c>
      <c r="AI256" s="181" t="s">
        <v>142</v>
      </c>
      <c r="AJ256" s="181" t="s">
        <v>1594</v>
      </c>
      <c r="AK256" s="181"/>
      <c r="AL256" s="181">
        <v>44849</v>
      </c>
      <c r="AM256" s="181"/>
      <c r="AN256" s="181">
        <f t="shared" ca="1" si="52"/>
        <v>44958</v>
      </c>
      <c r="AO256" s="173">
        <f t="shared" ca="1" si="53"/>
        <v>109</v>
      </c>
      <c r="AP256" s="173" t="str">
        <f t="shared" si="54"/>
        <v/>
      </c>
      <c r="AQ256" s="181"/>
      <c r="AR256" s="190" t="s">
        <v>4075</v>
      </c>
      <c r="AS256" s="176">
        <v>10.305</v>
      </c>
      <c r="AT256" s="176">
        <v>10.315</v>
      </c>
      <c r="AU256" s="176">
        <v>10.339999999999998</v>
      </c>
      <c r="AV256" s="176">
        <v>10.344999999999999</v>
      </c>
      <c r="AW256" s="173">
        <f t="shared" ca="1" si="33"/>
        <v>6</v>
      </c>
      <c r="AX256" s="142">
        <v>456</v>
      </c>
      <c r="AZ256" s="142" t="s">
        <v>123</v>
      </c>
    </row>
    <row r="257" spans="2:52" s="142" customFormat="1" ht="21" customHeight="1" x14ac:dyDescent="0.25">
      <c r="B257" s="173" t="str">
        <f t="shared" si="51"/>
        <v>0-304/2B-1.45X641</v>
      </c>
      <c r="C257" s="201" t="s">
        <v>4923</v>
      </c>
      <c r="D257" s="173" t="s">
        <v>4432</v>
      </c>
      <c r="E257" s="190" t="s">
        <v>4258</v>
      </c>
      <c r="F257" s="201" t="s">
        <v>4924</v>
      </c>
      <c r="G257" s="173">
        <v>304</v>
      </c>
      <c r="H257" s="173" t="s">
        <v>114</v>
      </c>
      <c r="I257" s="174">
        <v>3.89</v>
      </c>
      <c r="J257" s="174">
        <v>1.45</v>
      </c>
      <c r="K257" s="203"/>
      <c r="L257" s="203"/>
      <c r="M257" s="191">
        <v>641</v>
      </c>
      <c r="N257" s="176">
        <f>10.275-5.17</f>
        <v>5.1050000000000004</v>
      </c>
      <c r="O257" s="176">
        <v>5.09</v>
      </c>
      <c r="P257" s="176"/>
      <c r="Q257" s="176">
        <v>1.4999999999999999E-2</v>
      </c>
      <c r="R257" s="176" t="s">
        <v>114</v>
      </c>
      <c r="S257" s="209" t="s">
        <v>4915</v>
      </c>
      <c r="T257" s="178" t="s">
        <v>1210</v>
      </c>
      <c r="U257" s="178"/>
      <c r="V257" s="179"/>
      <c r="W257" s="177">
        <v>44952</v>
      </c>
      <c r="X257" s="177"/>
      <c r="Y257" s="177">
        <v>44952</v>
      </c>
      <c r="Z257" s="177"/>
      <c r="AA257" s="177"/>
      <c r="AB257" s="177"/>
      <c r="AC257" s="177"/>
      <c r="AD257" s="177"/>
      <c r="AE257" s="177"/>
      <c r="AF257" s="177"/>
      <c r="AG257" s="180" t="s">
        <v>1605</v>
      </c>
      <c r="AH257" s="173" t="s">
        <v>69</v>
      </c>
      <c r="AI257" s="181" t="s">
        <v>142</v>
      </c>
      <c r="AJ257" s="181" t="s">
        <v>1594</v>
      </c>
      <c r="AK257" s="181"/>
      <c r="AL257" s="181">
        <v>44849</v>
      </c>
      <c r="AM257" s="181"/>
      <c r="AN257" s="181">
        <f t="shared" ca="1" si="52"/>
        <v>44958</v>
      </c>
      <c r="AO257" s="173">
        <f t="shared" ca="1" si="53"/>
        <v>109</v>
      </c>
      <c r="AP257" s="173" t="str">
        <f t="shared" si="54"/>
        <v/>
      </c>
      <c r="AQ257" s="181"/>
      <c r="AR257" s="190" t="s">
        <v>4075</v>
      </c>
      <c r="AS257" s="176">
        <v>10.305</v>
      </c>
      <c r="AT257" s="176">
        <v>10.315</v>
      </c>
      <c r="AU257" s="176">
        <v>10.339999999999998</v>
      </c>
      <c r="AV257" s="176">
        <v>10.344999999999999</v>
      </c>
      <c r="AW257" s="173">
        <f t="shared" ca="1" si="33"/>
        <v>6</v>
      </c>
      <c r="AX257" s="142">
        <v>456</v>
      </c>
      <c r="AZ257" s="142" t="s">
        <v>123</v>
      </c>
    </row>
    <row r="258" spans="2:52" s="142" customFormat="1" ht="21" customHeight="1" x14ac:dyDescent="0.25">
      <c r="B258" s="173" t="str">
        <f t="shared" si="51"/>
        <v>0-304L/2B-0.90X643</v>
      </c>
      <c r="C258" s="201" t="s">
        <v>4923</v>
      </c>
      <c r="D258" s="173" t="s">
        <v>4432</v>
      </c>
      <c r="E258" s="190" t="s">
        <v>4237</v>
      </c>
      <c r="F258" s="201" t="s">
        <v>4925</v>
      </c>
      <c r="G258" s="173" t="s">
        <v>182</v>
      </c>
      <c r="H258" s="173" t="s">
        <v>114</v>
      </c>
      <c r="I258" s="174">
        <v>2.88</v>
      </c>
      <c r="J258" s="174">
        <v>0.9</v>
      </c>
      <c r="K258" s="203"/>
      <c r="L258" s="203"/>
      <c r="M258" s="191">
        <v>643</v>
      </c>
      <c r="N258" s="176">
        <v>8.89</v>
      </c>
      <c r="O258" s="176">
        <f>4.48+4.37</f>
        <v>8.8500000000000014</v>
      </c>
      <c r="P258" s="176"/>
      <c r="Q258" s="176">
        <v>0.04</v>
      </c>
      <c r="R258" s="176" t="s">
        <v>114</v>
      </c>
      <c r="S258" s="209" t="s">
        <v>4915</v>
      </c>
      <c r="T258" s="178" t="s">
        <v>1210</v>
      </c>
      <c r="U258" s="178"/>
      <c r="V258" s="179"/>
      <c r="W258" s="177">
        <v>44951</v>
      </c>
      <c r="X258" s="177"/>
      <c r="Y258" s="177">
        <v>44951</v>
      </c>
      <c r="Z258" s="177"/>
      <c r="AA258" s="177"/>
      <c r="AB258" s="177"/>
      <c r="AC258" s="177"/>
      <c r="AD258" s="177"/>
      <c r="AE258" s="177"/>
      <c r="AF258" s="177"/>
      <c r="AG258" s="180" t="s">
        <v>1643</v>
      </c>
      <c r="AH258" s="173" t="s">
        <v>69</v>
      </c>
      <c r="AI258" s="181" t="s">
        <v>142</v>
      </c>
      <c r="AJ258" s="181" t="s">
        <v>1657</v>
      </c>
      <c r="AK258" s="181"/>
      <c r="AL258" s="181">
        <v>44849</v>
      </c>
      <c r="AM258" s="181"/>
      <c r="AN258" s="181">
        <f t="shared" ca="1" si="52"/>
        <v>44958</v>
      </c>
      <c r="AO258" s="173">
        <f t="shared" ca="1" si="53"/>
        <v>109</v>
      </c>
      <c r="AP258" s="173" t="str">
        <f t="shared" si="54"/>
        <v/>
      </c>
      <c r="AQ258" s="181"/>
      <c r="AR258" s="190" t="s">
        <v>4037</v>
      </c>
      <c r="AS258" s="176">
        <v>8.8849999999999998</v>
      </c>
      <c r="AT258" s="176">
        <v>8.8949999999999996</v>
      </c>
      <c r="AU258" s="176">
        <v>8.9199999999999982</v>
      </c>
      <c r="AV258" s="176">
        <v>8.9249999999999989</v>
      </c>
      <c r="AW258" s="173">
        <f t="shared" ca="1" si="33"/>
        <v>7</v>
      </c>
      <c r="AX258" s="142">
        <v>456</v>
      </c>
      <c r="AZ258" s="142" t="s">
        <v>123</v>
      </c>
    </row>
    <row r="259" spans="2:52" s="142" customFormat="1" ht="21" customHeight="1" x14ac:dyDescent="0.25">
      <c r="B259" s="173" t="str">
        <f t="shared" si="51"/>
        <v>0-304L/2B-1.45X767</v>
      </c>
      <c r="C259" s="201" t="s">
        <v>4923</v>
      </c>
      <c r="D259" s="173" t="s">
        <v>4432</v>
      </c>
      <c r="E259" s="190" t="s">
        <v>3975</v>
      </c>
      <c r="F259" s="201" t="s">
        <v>3986</v>
      </c>
      <c r="G259" s="173" t="s">
        <v>182</v>
      </c>
      <c r="H259" s="173" t="s">
        <v>114</v>
      </c>
      <c r="I259" s="174">
        <v>3.8</v>
      </c>
      <c r="J259" s="174">
        <v>1.45</v>
      </c>
      <c r="K259" s="203"/>
      <c r="L259" s="203"/>
      <c r="M259" s="191">
        <v>767</v>
      </c>
      <c r="N259" s="176">
        <v>4.9050000000000002</v>
      </c>
      <c r="O259" s="176">
        <v>4.84</v>
      </c>
      <c r="P259" s="176"/>
      <c r="Q259" s="176">
        <v>6.5000000000000002E-2</v>
      </c>
      <c r="R259" s="176" t="s">
        <v>114</v>
      </c>
      <c r="S259" s="209" t="s">
        <v>4926</v>
      </c>
      <c r="T259" s="178" t="s">
        <v>1210</v>
      </c>
      <c r="U259" s="178"/>
      <c r="V259" s="179"/>
      <c r="W259" s="177">
        <v>44934</v>
      </c>
      <c r="X259" s="177"/>
      <c r="Y259" s="177">
        <v>44934</v>
      </c>
      <c r="Z259" s="177"/>
      <c r="AA259" s="177"/>
      <c r="AB259" s="177"/>
      <c r="AC259" s="177"/>
      <c r="AD259" s="177">
        <v>44933</v>
      </c>
      <c r="AE259" s="177"/>
      <c r="AF259" s="177"/>
      <c r="AG259" s="180" t="s">
        <v>1507</v>
      </c>
      <c r="AH259" s="173" t="s">
        <v>69</v>
      </c>
      <c r="AI259" s="181" t="s">
        <v>142</v>
      </c>
      <c r="AJ259" s="181" t="s">
        <v>1508</v>
      </c>
      <c r="AK259" s="181"/>
      <c r="AL259" s="181">
        <v>44849</v>
      </c>
      <c r="AM259" s="181"/>
      <c r="AN259" s="181">
        <f t="shared" ca="1" si="52"/>
        <v>44958</v>
      </c>
      <c r="AO259" s="173">
        <f t="shared" ca="1" si="53"/>
        <v>109</v>
      </c>
      <c r="AP259" s="173" t="str">
        <f t="shared" si="54"/>
        <v/>
      </c>
      <c r="AQ259" s="181"/>
      <c r="AR259" s="190" t="s">
        <v>3977</v>
      </c>
      <c r="AS259" s="176">
        <v>24.56</v>
      </c>
      <c r="AT259" s="176">
        <v>24.62</v>
      </c>
      <c r="AU259" s="176">
        <v>24.645000000000003</v>
      </c>
      <c r="AV259" s="176">
        <v>24.650000000000002</v>
      </c>
      <c r="AW259" s="173">
        <f t="shared" ca="1" si="33"/>
        <v>24</v>
      </c>
      <c r="AX259" s="142">
        <v>456</v>
      </c>
      <c r="AZ259" s="142" t="s">
        <v>123</v>
      </c>
    </row>
    <row r="260" spans="2:52" s="142" customFormat="1" ht="21" customHeight="1" x14ac:dyDescent="0.25">
      <c r="B260" s="173" t="str">
        <f t="shared" si="51"/>
        <v>0-304L/2B-1.15X643</v>
      </c>
      <c r="C260" s="201" t="s">
        <v>4923</v>
      </c>
      <c r="D260" s="173" t="s">
        <v>4432</v>
      </c>
      <c r="E260" s="190" t="s">
        <v>4251</v>
      </c>
      <c r="F260" s="201" t="s">
        <v>4927</v>
      </c>
      <c r="G260" s="173" t="s">
        <v>182</v>
      </c>
      <c r="H260" s="173" t="s">
        <v>114</v>
      </c>
      <c r="I260" s="174">
        <v>3.5</v>
      </c>
      <c r="J260" s="174">
        <v>1.1499999999999999</v>
      </c>
      <c r="K260" s="203"/>
      <c r="L260" s="203"/>
      <c r="M260" s="191">
        <v>643</v>
      </c>
      <c r="N260" s="176">
        <v>10.59</v>
      </c>
      <c r="O260" s="176">
        <f>4.575+5.995</f>
        <v>10.57</v>
      </c>
      <c r="P260" s="176"/>
      <c r="Q260" s="176">
        <v>0.02</v>
      </c>
      <c r="R260" s="176" t="s">
        <v>114</v>
      </c>
      <c r="S260" s="209" t="s">
        <v>4915</v>
      </c>
      <c r="T260" s="178" t="s">
        <v>1210</v>
      </c>
      <c r="U260" s="178"/>
      <c r="V260" s="179"/>
      <c r="W260" s="177">
        <v>44952</v>
      </c>
      <c r="X260" s="177"/>
      <c r="Y260" s="177">
        <v>44952</v>
      </c>
      <c r="Z260" s="177"/>
      <c r="AA260" s="177"/>
      <c r="AB260" s="177"/>
      <c r="AC260" s="177"/>
      <c r="AD260" s="177"/>
      <c r="AE260" s="177"/>
      <c r="AF260" s="177"/>
      <c r="AG260" s="180" t="s">
        <v>1605</v>
      </c>
      <c r="AH260" s="173" t="s">
        <v>69</v>
      </c>
      <c r="AI260" s="181" t="s">
        <v>142</v>
      </c>
      <c r="AJ260" s="181" t="s">
        <v>1657</v>
      </c>
      <c r="AK260" s="181"/>
      <c r="AL260" s="181">
        <v>44849</v>
      </c>
      <c r="AM260" s="181"/>
      <c r="AN260" s="181">
        <f t="shared" ca="1" si="52"/>
        <v>44958</v>
      </c>
      <c r="AO260" s="173">
        <f t="shared" ca="1" si="53"/>
        <v>109</v>
      </c>
      <c r="AP260" s="173" t="str">
        <f t="shared" si="54"/>
        <v/>
      </c>
      <c r="AQ260" s="181"/>
      <c r="AR260" s="190" t="s">
        <v>1760</v>
      </c>
      <c r="AS260" s="176">
        <v>10.615</v>
      </c>
      <c r="AT260" s="176">
        <v>10.625</v>
      </c>
      <c r="AU260" s="176">
        <v>10.649999999999999</v>
      </c>
      <c r="AV260" s="176">
        <v>10.654999999999999</v>
      </c>
      <c r="AW260" s="173">
        <f t="shared" ca="1" si="33"/>
        <v>6</v>
      </c>
      <c r="AX260" s="142">
        <v>456</v>
      </c>
      <c r="AZ260" s="142" t="s">
        <v>123</v>
      </c>
    </row>
    <row r="261" spans="2:52" s="142" customFormat="1" ht="21" customHeight="1" x14ac:dyDescent="0.25">
      <c r="B261" s="173" t="str">
        <f t="shared" si="51"/>
        <v>0-304L/2B-1.15X643</v>
      </c>
      <c r="C261" s="201" t="s">
        <v>4923</v>
      </c>
      <c r="D261" s="173" t="s">
        <v>4432</v>
      </c>
      <c r="E261" s="190" t="s">
        <v>4256</v>
      </c>
      <c r="F261" s="201" t="s">
        <v>4928</v>
      </c>
      <c r="G261" s="173" t="s">
        <v>182</v>
      </c>
      <c r="H261" s="173" t="s">
        <v>114</v>
      </c>
      <c r="I261" s="174">
        <v>3.51</v>
      </c>
      <c r="J261" s="174">
        <v>1.1499999999999999</v>
      </c>
      <c r="K261" s="203"/>
      <c r="L261" s="203"/>
      <c r="M261" s="191">
        <v>643</v>
      </c>
      <c r="N261" s="176">
        <v>10.73</v>
      </c>
      <c r="O261" s="176">
        <f>4.74+5.95</f>
        <v>10.690000000000001</v>
      </c>
      <c r="P261" s="176"/>
      <c r="Q261" s="176">
        <v>0.04</v>
      </c>
      <c r="R261" s="176" t="s">
        <v>114</v>
      </c>
      <c r="S261" s="367" t="s">
        <v>4929</v>
      </c>
      <c r="T261" s="178" t="s">
        <v>1210</v>
      </c>
      <c r="U261" s="178"/>
      <c r="V261" s="179"/>
      <c r="W261" s="177">
        <v>44952</v>
      </c>
      <c r="X261" s="177"/>
      <c r="Y261" s="177">
        <v>44952</v>
      </c>
      <c r="Z261" s="177"/>
      <c r="AA261" s="177"/>
      <c r="AB261" s="177"/>
      <c r="AC261" s="177"/>
      <c r="AD261" s="177"/>
      <c r="AE261" s="177"/>
      <c r="AF261" s="177"/>
      <c r="AG261" s="180" t="s">
        <v>1643</v>
      </c>
      <c r="AH261" s="173" t="s">
        <v>69</v>
      </c>
      <c r="AI261" s="181" t="s">
        <v>142</v>
      </c>
      <c r="AJ261" s="181" t="s">
        <v>1657</v>
      </c>
      <c r="AK261" s="181"/>
      <c r="AL261" s="181">
        <v>44849</v>
      </c>
      <c r="AM261" s="181"/>
      <c r="AN261" s="181">
        <f t="shared" ca="1" si="52"/>
        <v>44958</v>
      </c>
      <c r="AO261" s="173">
        <f t="shared" ca="1" si="53"/>
        <v>109</v>
      </c>
      <c r="AP261" s="173" t="str">
        <f t="shared" si="54"/>
        <v/>
      </c>
      <c r="AQ261" s="181"/>
      <c r="AR261" s="190" t="s">
        <v>1679</v>
      </c>
      <c r="AS261" s="176">
        <v>10.74</v>
      </c>
      <c r="AT261" s="176">
        <v>10.75</v>
      </c>
      <c r="AU261" s="176">
        <v>10.774999999999999</v>
      </c>
      <c r="AV261" s="176">
        <v>10.78</v>
      </c>
      <c r="AW261" s="173">
        <f t="shared" ca="1" si="33"/>
        <v>6</v>
      </c>
      <c r="AX261" s="142">
        <v>456</v>
      </c>
      <c r="AZ261" s="142" t="s">
        <v>123</v>
      </c>
    </row>
    <row r="262" spans="2:52" s="142" customFormat="1" ht="21" customHeight="1" x14ac:dyDescent="0.25">
      <c r="B262" s="173" t="str">
        <f t="shared" si="51"/>
        <v>0-304/2B-1.45X642</v>
      </c>
      <c r="C262" s="201" t="s">
        <v>4923</v>
      </c>
      <c r="D262" s="173" t="s">
        <v>4432</v>
      </c>
      <c r="E262" s="190" t="s">
        <v>4261</v>
      </c>
      <c r="F262" s="201" t="s">
        <v>4930</v>
      </c>
      <c r="G262" s="173">
        <v>304</v>
      </c>
      <c r="H262" s="173" t="s">
        <v>114</v>
      </c>
      <c r="I262" s="174">
        <v>3.9</v>
      </c>
      <c r="J262" s="174">
        <v>1.45</v>
      </c>
      <c r="K262" s="203"/>
      <c r="L262" s="203"/>
      <c r="M262" s="191">
        <v>642</v>
      </c>
      <c r="N262" s="176">
        <v>10.61</v>
      </c>
      <c r="O262" s="176">
        <f>5.03+5.52</f>
        <v>10.55</v>
      </c>
      <c r="P262" s="176"/>
      <c r="Q262" s="176">
        <v>0.06</v>
      </c>
      <c r="R262" s="176" t="s">
        <v>114</v>
      </c>
      <c r="S262" s="209" t="s">
        <v>4915</v>
      </c>
      <c r="T262" s="178" t="s">
        <v>1210</v>
      </c>
      <c r="U262" s="178"/>
      <c r="V262" s="179"/>
      <c r="W262" s="177">
        <v>44952</v>
      </c>
      <c r="X262" s="177"/>
      <c r="Y262" s="177">
        <v>44952</v>
      </c>
      <c r="Z262" s="177"/>
      <c r="AA262" s="177"/>
      <c r="AB262" s="177"/>
      <c r="AC262" s="177"/>
      <c r="AD262" s="177"/>
      <c r="AE262" s="177"/>
      <c r="AF262" s="177"/>
      <c r="AG262" s="180" t="s">
        <v>1643</v>
      </c>
      <c r="AH262" s="173" t="s">
        <v>69</v>
      </c>
      <c r="AI262" s="181" t="s">
        <v>142</v>
      </c>
      <c r="AJ262" s="181" t="s">
        <v>1594</v>
      </c>
      <c r="AK262" s="181"/>
      <c r="AL262" s="181">
        <v>44849</v>
      </c>
      <c r="AM262" s="181"/>
      <c r="AN262" s="181">
        <f t="shared" ca="1" si="52"/>
        <v>44958</v>
      </c>
      <c r="AO262" s="173">
        <f t="shared" ca="1" si="53"/>
        <v>109</v>
      </c>
      <c r="AP262" s="173" t="str">
        <f t="shared" si="54"/>
        <v/>
      </c>
      <c r="AQ262" s="181"/>
      <c r="AR262" s="190" t="s">
        <v>1644</v>
      </c>
      <c r="AS262" s="176">
        <v>10.63</v>
      </c>
      <c r="AT262" s="176">
        <v>10.64</v>
      </c>
      <c r="AU262" s="176">
        <v>10.664999999999999</v>
      </c>
      <c r="AV262" s="176">
        <v>10.67</v>
      </c>
      <c r="AW262" s="173">
        <f t="shared" ca="1" si="33"/>
        <v>6</v>
      </c>
      <c r="AX262" s="142">
        <v>456</v>
      </c>
      <c r="AZ262" s="142" t="s">
        <v>123</v>
      </c>
    </row>
    <row r="263" spans="2:52" s="142" customFormat="1" ht="21" customHeight="1" x14ac:dyDescent="0.25">
      <c r="B263" s="173" t="str">
        <f t="shared" si="51"/>
        <v>0-304L/2B-2.00X638</v>
      </c>
      <c r="C263" s="201" t="s">
        <v>4923</v>
      </c>
      <c r="D263" s="173" t="s">
        <v>4432</v>
      </c>
      <c r="E263" s="190" t="s">
        <v>4267</v>
      </c>
      <c r="F263" s="201" t="s">
        <v>4931</v>
      </c>
      <c r="G263" s="173" t="s">
        <v>182</v>
      </c>
      <c r="H263" s="173" t="s">
        <v>114</v>
      </c>
      <c r="I263" s="174">
        <v>3.89</v>
      </c>
      <c r="J263" s="174">
        <v>2</v>
      </c>
      <c r="K263" s="203"/>
      <c r="L263" s="203"/>
      <c r="M263" s="191">
        <v>638</v>
      </c>
      <c r="N263" s="176">
        <v>10.28</v>
      </c>
      <c r="O263" s="176">
        <f>5.615+4.63</f>
        <v>10.245000000000001</v>
      </c>
      <c r="P263" s="176"/>
      <c r="Q263" s="176">
        <v>3.5000000000000003E-2</v>
      </c>
      <c r="R263" s="176" t="s">
        <v>114</v>
      </c>
      <c r="S263" s="209" t="s">
        <v>4915</v>
      </c>
      <c r="T263" s="178" t="s">
        <v>1210</v>
      </c>
      <c r="U263" s="178"/>
      <c r="V263" s="179"/>
      <c r="W263" s="177">
        <v>44952</v>
      </c>
      <c r="X263" s="177"/>
      <c r="Y263" s="177">
        <v>44953</v>
      </c>
      <c r="Z263" s="177"/>
      <c r="AA263" s="177"/>
      <c r="AB263" s="177"/>
      <c r="AC263" s="177"/>
      <c r="AD263" s="177"/>
      <c r="AE263" s="177"/>
      <c r="AF263" s="177"/>
      <c r="AG263" s="180" t="s">
        <v>1605</v>
      </c>
      <c r="AH263" s="173" t="s">
        <v>69</v>
      </c>
      <c r="AI263" s="181" t="s">
        <v>142</v>
      </c>
      <c r="AJ263" s="181" t="s">
        <v>1657</v>
      </c>
      <c r="AK263" s="181"/>
      <c r="AL263" s="181">
        <v>44849</v>
      </c>
      <c r="AM263" s="181"/>
      <c r="AN263" s="181">
        <f t="shared" ca="1" si="52"/>
        <v>44958</v>
      </c>
      <c r="AO263" s="173">
        <f t="shared" ca="1" si="53"/>
        <v>109</v>
      </c>
      <c r="AP263" s="173" t="str">
        <f t="shared" si="54"/>
        <v/>
      </c>
      <c r="AQ263" s="181"/>
      <c r="AR263" s="190" t="s">
        <v>4204</v>
      </c>
      <c r="AS263" s="176">
        <v>10.3</v>
      </c>
      <c r="AT263" s="176">
        <v>10.31</v>
      </c>
      <c r="AU263" s="176">
        <v>10.334999999999999</v>
      </c>
      <c r="AV263" s="176">
        <v>10.34</v>
      </c>
      <c r="AW263" s="173">
        <f t="shared" ca="1" si="33"/>
        <v>5</v>
      </c>
      <c r="AX263" s="142">
        <v>456</v>
      </c>
      <c r="AZ263" s="142" t="s">
        <v>123</v>
      </c>
    </row>
    <row r="264" spans="2:52" s="142" customFormat="1" ht="21" customHeight="1" x14ac:dyDescent="0.25">
      <c r="B264" s="173" t="str">
        <f t="shared" si="51"/>
        <v>0-304L/2B-0.90X643</v>
      </c>
      <c r="C264" s="201" t="s">
        <v>4932</v>
      </c>
      <c r="D264" s="173" t="s">
        <v>836</v>
      </c>
      <c r="E264" s="190" t="s">
        <v>4319</v>
      </c>
      <c r="F264" s="201" t="s">
        <v>4320</v>
      </c>
      <c r="G264" s="173" t="s">
        <v>182</v>
      </c>
      <c r="H264" s="173" t="s">
        <v>114</v>
      </c>
      <c r="I264" s="174">
        <v>2.89</v>
      </c>
      <c r="J264" s="174">
        <v>0.9</v>
      </c>
      <c r="K264" s="203"/>
      <c r="L264" s="203"/>
      <c r="M264" s="191">
        <v>643</v>
      </c>
      <c r="N264" s="176">
        <v>10.76</v>
      </c>
      <c r="O264" s="176">
        <v>10.69</v>
      </c>
      <c r="P264" s="176"/>
      <c r="Q264" s="176">
        <v>7.0000000000000007E-2</v>
      </c>
      <c r="R264" s="176" t="s">
        <v>114</v>
      </c>
      <c r="S264" s="209"/>
      <c r="T264" s="178" t="s">
        <v>1210</v>
      </c>
      <c r="U264" s="178" t="s">
        <v>1592</v>
      </c>
      <c r="V264" s="179"/>
      <c r="W264" s="177"/>
      <c r="X264" s="177" t="s">
        <v>4325</v>
      </c>
      <c r="Y264" s="177"/>
      <c r="Z264" s="177">
        <v>44943</v>
      </c>
      <c r="AA264" s="177">
        <v>44954</v>
      </c>
      <c r="AB264" s="177"/>
      <c r="AC264" s="177"/>
      <c r="AD264" s="177"/>
      <c r="AE264" s="177"/>
      <c r="AF264" s="177"/>
      <c r="AG264" s="180" t="s">
        <v>2479</v>
      </c>
      <c r="AH264" s="173" t="s">
        <v>69</v>
      </c>
      <c r="AI264" s="181" t="s">
        <v>142</v>
      </c>
      <c r="AJ264" s="181" t="s">
        <v>1594</v>
      </c>
      <c r="AK264" s="181"/>
      <c r="AL264" s="181">
        <v>44849</v>
      </c>
      <c r="AM264" s="181"/>
      <c r="AN264" s="181">
        <f t="shared" ca="1" si="52"/>
        <v>44958</v>
      </c>
      <c r="AO264" s="173">
        <f t="shared" ca="1" si="53"/>
        <v>109</v>
      </c>
      <c r="AP264" s="173">
        <f t="shared" ca="1" si="54"/>
        <v>4</v>
      </c>
      <c r="AQ264" s="181"/>
      <c r="AR264" s="190" t="s">
        <v>4321</v>
      </c>
      <c r="AS264" s="176">
        <v>10.775</v>
      </c>
      <c r="AT264" s="176">
        <v>10.785</v>
      </c>
      <c r="AU264" s="176">
        <v>10.809999999999999</v>
      </c>
      <c r="AV264" s="176">
        <v>10.815</v>
      </c>
      <c r="AW264" s="173" t="str">
        <f t="shared" si="33"/>
        <v/>
      </c>
      <c r="AX264" s="142">
        <v>456</v>
      </c>
      <c r="AZ264" s="142" t="s">
        <v>123</v>
      </c>
    </row>
    <row r="265" spans="2:52" s="142" customFormat="1" ht="21" customHeight="1" x14ac:dyDescent="0.25">
      <c r="B265" s="173" t="str">
        <f t="shared" si="51"/>
        <v>0-304L/2B-0.90X642</v>
      </c>
      <c r="C265" s="201" t="s">
        <v>4933</v>
      </c>
      <c r="D265" s="173" t="s">
        <v>4432</v>
      </c>
      <c r="E265" s="190" t="s">
        <v>4147</v>
      </c>
      <c r="F265" s="201" t="s">
        <v>4934</v>
      </c>
      <c r="G265" s="173" t="s">
        <v>182</v>
      </c>
      <c r="H265" s="173" t="s">
        <v>114</v>
      </c>
      <c r="I265" s="174">
        <v>3.38</v>
      </c>
      <c r="J265" s="174">
        <v>0.9</v>
      </c>
      <c r="K265" s="203"/>
      <c r="L265" s="203"/>
      <c r="M265" s="191">
        <v>642</v>
      </c>
      <c r="N265" s="176">
        <v>10.61</v>
      </c>
      <c r="O265" s="176">
        <f>5.165+5.31</f>
        <v>10.475</v>
      </c>
      <c r="P265" s="176"/>
      <c r="Q265" s="176"/>
      <c r="R265" s="176" t="s">
        <v>114</v>
      </c>
      <c r="S265" s="209" t="s">
        <v>4915</v>
      </c>
      <c r="T265" s="178" t="s">
        <v>1210</v>
      </c>
      <c r="U265" s="178" t="s">
        <v>1592</v>
      </c>
      <c r="V265" s="179"/>
      <c r="W265" s="177">
        <v>44944</v>
      </c>
      <c r="X265" s="177">
        <v>44947</v>
      </c>
      <c r="Y265" s="177"/>
      <c r="Z265" s="177">
        <v>44946</v>
      </c>
      <c r="AA265" s="177"/>
      <c r="AB265" s="177"/>
      <c r="AC265" s="177">
        <v>44953</v>
      </c>
      <c r="AD265" s="177"/>
      <c r="AE265" s="177"/>
      <c r="AF265" s="177"/>
      <c r="AG265" s="180" t="s">
        <v>1605</v>
      </c>
      <c r="AH265" s="173" t="s">
        <v>69</v>
      </c>
      <c r="AI265" s="181" t="s">
        <v>142</v>
      </c>
      <c r="AJ265" s="181" t="s">
        <v>1657</v>
      </c>
      <c r="AK265" s="181"/>
      <c r="AL265" s="181">
        <v>44849</v>
      </c>
      <c r="AM265" s="181"/>
      <c r="AN265" s="181">
        <f t="shared" ca="1" si="52"/>
        <v>44958</v>
      </c>
      <c r="AO265" s="173">
        <f t="shared" ca="1" si="53"/>
        <v>109</v>
      </c>
      <c r="AP265" s="173" t="str">
        <f t="shared" si="54"/>
        <v/>
      </c>
      <c r="AQ265" s="181"/>
      <c r="AR265" s="190" t="s">
        <v>1706</v>
      </c>
      <c r="AS265" s="176">
        <v>10.61</v>
      </c>
      <c r="AT265" s="176">
        <v>10.62</v>
      </c>
      <c r="AU265" s="176">
        <v>10.644999999999998</v>
      </c>
      <c r="AV265" s="176">
        <v>10.649999999999999</v>
      </c>
      <c r="AW265" s="173" t="str">
        <f t="shared" si="33"/>
        <v/>
      </c>
      <c r="AX265" s="142">
        <v>456</v>
      </c>
      <c r="AZ265" s="142" t="s">
        <v>123</v>
      </c>
    </row>
    <row r="266" spans="2:52" s="142" customFormat="1" ht="21" customHeight="1" x14ac:dyDescent="0.25">
      <c r="B266" s="173" t="str">
        <f t="shared" si="51"/>
        <v>0-304/2B-1.15X643</v>
      </c>
      <c r="C266" s="201" t="s">
        <v>4933</v>
      </c>
      <c r="D266" s="173" t="s">
        <v>4432</v>
      </c>
      <c r="E266" s="190" t="s">
        <v>4248</v>
      </c>
      <c r="F266" s="201" t="s">
        <v>4935</v>
      </c>
      <c r="G266" s="173">
        <v>304</v>
      </c>
      <c r="H266" s="173" t="s">
        <v>114</v>
      </c>
      <c r="I266" s="174">
        <v>3.39</v>
      </c>
      <c r="J266" s="174">
        <v>1.1499999999999999</v>
      </c>
      <c r="K266" s="203"/>
      <c r="L266" s="203"/>
      <c r="M266" s="191">
        <v>643</v>
      </c>
      <c r="N266" s="176">
        <v>10.055</v>
      </c>
      <c r="O266" s="176">
        <f>3.995+5.98</f>
        <v>9.9750000000000014</v>
      </c>
      <c r="P266" s="176"/>
      <c r="Q266" s="176"/>
      <c r="R266" s="176" t="s">
        <v>114</v>
      </c>
      <c r="S266" s="209" t="s">
        <v>4936</v>
      </c>
      <c r="T266" s="178" t="s">
        <v>1210</v>
      </c>
      <c r="U266" s="178"/>
      <c r="V266" s="179"/>
      <c r="W266" s="177">
        <v>44952</v>
      </c>
      <c r="X266" s="177"/>
      <c r="Y266" s="177">
        <v>44952</v>
      </c>
      <c r="Z266" s="177"/>
      <c r="AA266" s="177"/>
      <c r="AB266" s="177"/>
      <c r="AC266" s="177"/>
      <c r="AD266" s="177"/>
      <c r="AE266" s="177"/>
      <c r="AF266" s="177"/>
      <c r="AG266" s="180" t="s">
        <v>1605</v>
      </c>
      <c r="AH266" s="173" t="s">
        <v>69</v>
      </c>
      <c r="AI266" s="181" t="s">
        <v>142</v>
      </c>
      <c r="AJ266" s="181" t="s">
        <v>1657</v>
      </c>
      <c r="AK266" s="181"/>
      <c r="AL266" s="181">
        <v>44849</v>
      </c>
      <c r="AM266" s="181"/>
      <c r="AN266" s="181">
        <f t="shared" ca="1" si="52"/>
        <v>44958</v>
      </c>
      <c r="AO266" s="173">
        <f t="shared" ca="1" si="53"/>
        <v>109</v>
      </c>
      <c r="AP266" s="173" t="str">
        <f t="shared" si="54"/>
        <v/>
      </c>
      <c r="AQ266" s="181"/>
      <c r="AR266" s="190" t="s">
        <v>4184</v>
      </c>
      <c r="AS266" s="176">
        <v>10.055</v>
      </c>
      <c r="AT266" s="176">
        <v>10.065</v>
      </c>
      <c r="AU266" s="176">
        <v>10.089999999999998</v>
      </c>
      <c r="AV266" s="176">
        <v>10.094999999999999</v>
      </c>
      <c r="AW266" s="173">
        <f t="shared" ca="1" si="33"/>
        <v>6</v>
      </c>
      <c r="AX266" s="142">
        <v>456</v>
      </c>
      <c r="AZ266" s="142" t="s">
        <v>123</v>
      </c>
    </row>
    <row r="267" spans="2:52" s="142" customFormat="1" ht="21" customHeight="1" x14ac:dyDescent="0.25">
      <c r="B267" s="173" t="str">
        <f t="shared" si="51"/>
        <v>0-304L/2B-2.00X772</v>
      </c>
      <c r="C267" s="201" t="s">
        <v>4933</v>
      </c>
      <c r="D267" s="173" t="s">
        <v>4432</v>
      </c>
      <c r="E267" s="190" t="s">
        <v>4224</v>
      </c>
      <c r="F267" s="201" t="s">
        <v>4937</v>
      </c>
      <c r="G267" s="173" t="s">
        <v>182</v>
      </c>
      <c r="H267" s="173" t="s">
        <v>114</v>
      </c>
      <c r="I267" s="174">
        <v>3.97</v>
      </c>
      <c r="J267" s="174">
        <v>2</v>
      </c>
      <c r="K267" s="203"/>
      <c r="L267" s="203"/>
      <c r="M267" s="191">
        <v>772</v>
      </c>
      <c r="N267" s="176">
        <v>10.46</v>
      </c>
      <c r="O267" s="176">
        <f>5.195+5.23</f>
        <v>10.425000000000001</v>
      </c>
      <c r="P267" s="176"/>
      <c r="Q267" s="176">
        <v>3.5000000000000003E-2</v>
      </c>
      <c r="R267" s="176" t="s">
        <v>114</v>
      </c>
      <c r="S267" s="209" t="s">
        <v>4938</v>
      </c>
      <c r="T267" s="178" t="s">
        <v>1546</v>
      </c>
      <c r="U267" s="178" t="s">
        <v>1540</v>
      </c>
      <c r="V267" s="179"/>
      <c r="W267" s="177">
        <v>44949</v>
      </c>
      <c r="X267" s="177"/>
      <c r="Y267" s="177">
        <v>44949</v>
      </c>
      <c r="Z267" s="177"/>
      <c r="AA267" s="177"/>
      <c r="AB267" s="177"/>
      <c r="AC267" s="177"/>
      <c r="AD267" s="177"/>
      <c r="AE267" s="177"/>
      <c r="AF267" s="177"/>
      <c r="AG267" s="180" t="s">
        <v>2448</v>
      </c>
      <c r="AH267" s="173" t="s">
        <v>69</v>
      </c>
      <c r="AI267" s="181" t="s">
        <v>142</v>
      </c>
      <c r="AJ267" s="181" t="s">
        <v>1584</v>
      </c>
      <c r="AK267" s="181"/>
      <c r="AL267" s="181">
        <v>44914</v>
      </c>
      <c r="AM267" s="181"/>
      <c r="AN267" s="181">
        <f t="shared" ca="1" si="52"/>
        <v>44958</v>
      </c>
      <c r="AO267" s="173">
        <f t="shared" ca="1" si="53"/>
        <v>44</v>
      </c>
      <c r="AP267" s="173" t="str">
        <f t="shared" si="54"/>
        <v/>
      </c>
      <c r="AQ267" s="181"/>
      <c r="AR267" s="190" t="s">
        <v>2628</v>
      </c>
      <c r="AS267" s="176">
        <v>10.525</v>
      </c>
      <c r="AT267" s="176">
        <v>10.535</v>
      </c>
      <c r="AU267" s="176">
        <v>10.559999999999999</v>
      </c>
      <c r="AV267" s="176">
        <v>10.565</v>
      </c>
      <c r="AW267" s="173">
        <f t="shared" ca="1" si="33"/>
        <v>9</v>
      </c>
      <c r="AX267" s="142">
        <v>462</v>
      </c>
      <c r="AZ267" s="142" t="s">
        <v>123</v>
      </c>
    </row>
    <row r="268" spans="2:52" s="142" customFormat="1" ht="21" customHeight="1" x14ac:dyDescent="0.25">
      <c r="B268" s="173" t="str">
        <f t="shared" si="51"/>
        <v>0-304L/2B-1.45X638</v>
      </c>
      <c r="C268" s="201" t="s">
        <v>4933</v>
      </c>
      <c r="D268" s="173" t="s">
        <v>4432</v>
      </c>
      <c r="E268" s="190" t="s">
        <v>4234</v>
      </c>
      <c r="F268" s="201" t="s">
        <v>4939</v>
      </c>
      <c r="G268" s="173" t="s">
        <v>182</v>
      </c>
      <c r="H268" s="173" t="s">
        <v>114</v>
      </c>
      <c r="I268" s="174">
        <v>3.88</v>
      </c>
      <c r="J268" s="174">
        <v>1.45</v>
      </c>
      <c r="K268" s="203"/>
      <c r="L268" s="203"/>
      <c r="M268" s="191">
        <v>638</v>
      </c>
      <c r="N268" s="176">
        <v>10.34</v>
      </c>
      <c r="O268" s="176">
        <f>4.32+5.945</f>
        <v>10.265000000000001</v>
      </c>
      <c r="P268" s="176"/>
      <c r="Q268" s="176">
        <v>7.4999999999999997E-2</v>
      </c>
      <c r="R268" s="176" t="s">
        <v>114</v>
      </c>
      <c r="S268" s="209" t="s">
        <v>4936</v>
      </c>
      <c r="T268" s="178" t="s">
        <v>1210</v>
      </c>
      <c r="U268" s="178"/>
      <c r="V268" s="179"/>
      <c r="W268" s="177"/>
      <c r="X268" s="177">
        <v>44951</v>
      </c>
      <c r="Y268" s="177"/>
      <c r="Z268" s="177">
        <v>44952</v>
      </c>
      <c r="AA268" s="177"/>
      <c r="AB268" s="177"/>
      <c r="AC268" s="177"/>
      <c r="AD268" s="177"/>
      <c r="AE268" s="177"/>
      <c r="AF268" s="177"/>
      <c r="AG268" s="180" t="s">
        <v>1609</v>
      </c>
      <c r="AH268" s="173" t="s">
        <v>69</v>
      </c>
      <c r="AI268" s="181" t="s">
        <v>142</v>
      </c>
      <c r="AJ268" s="181" t="s">
        <v>1594</v>
      </c>
      <c r="AK268" s="181"/>
      <c r="AL268" s="181">
        <v>44849</v>
      </c>
      <c r="AM268" s="181"/>
      <c r="AN268" s="181">
        <f t="shared" ca="1" si="52"/>
        <v>44958</v>
      </c>
      <c r="AO268" s="173">
        <f t="shared" ca="1" si="53"/>
        <v>109</v>
      </c>
      <c r="AP268" s="173" t="str">
        <f t="shared" si="54"/>
        <v/>
      </c>
      <c r="AQ268" s="181"/>
      <c r="AR268" s="190" t="s">
        <v>1612</v>
      </c>
      <c r="AS268" s="176">
        <v>10.395</v>
      </c>
      <c r="AT268" s="176">
        <v>10.404999999999999</v>
      </c>
      <c r="AU268" s="176">
        <v>10.429999999999998</v>
      </c>
      <c r="AV268" s="176">
        <v>10.434999999999999</v>
      </c>
      <c r="AW268" s="173" t="str">
        <f t="shared" ref="AW268:AW291" si="55">IF(ISNUMBER(Y268)=TRUE,AN268-Y268,IF(Y268="","",(AN268)-(MID(RIGHT(Y268,10),4,2)&amp;"/"&amp;LEFT((RIGHT(Y268,10)),2)&amp;"/"&amp;RIGHT(Y268,4))))</f>
        <v/>
      </c>
      <c r="AX268" s="142">
        <v>456</v>
      </c>
      <c r="AZ268" s="142" t="s">
        <v>123</v>
      </c>
    </row>
    <row r="269" spans="2:52" s="142" customFormat="1" ht="21" customHeight="1" x14ac:dyDescent="0.25">
      <c r="B269" s="173" t="str">
        <f t="shared" si="51"/>
        <v>0-304L/2B-2.00X643</v>
      </c>
      <c r="C269" s="201" t="s">
        <v>4933</v>
      </c>
      <c r="D269" s="173" t="s">
        <v>4432</v>
      </c>
      <c r="E269" s="190" t="s">
        <v>4287</v>
      </c>
      <c r="F269" s="201" t="s">
        <v>4940</v>
      </c>
      <c r="G269" s="173" t="s">
        <v>182</v>
      </c>
      <c r="H269" s="173" t="s">
        <v>114</v>
      </c>
      <c r="I269" s="174">
        <v>3.89</v>
      </c>
      <c r="J269" s="174">
        <v>2</v>
      </c>
      <c r="K269" s="203"/>
      <c r="L269" s="203"/>
      <c r="M269" s="191">
        <v>643</v>
      </c>
      <c r="N269" s="176">
        <v>10.42</v>
      </c>
      <c r="O269" s="176">
        <f>5.32+5.025</f>
        <v>10.345000000000001</v>
      </c>
      <c r="P269" s="176"/>
      <c r="Q269" s="176">
        <v>7.4999999999999997E-2</v>
      </c>
      <c r="R269" s="176" t="s">
        <v>114</v>
      </c>
      <c r="S269" s="209" t="s">
        <v>4915</v>
      </c>
      <c r="T269" s="178" t="s">
        <v>1210</v>
      </c>
      <c r="U269" s="178"/>
      <c r="V269" s="179"/>
      <c r="W269" s="177">
        <v>44954</v>
      </c>
      <c r="X269" s="177"/>
      <c r="Y269" s="177">
        <v>44954</v>
      </c>
      <c r="Z269" s="177"/>
      <c r="AA269" s="177"/>
      <c r="AB269" s="177"/>
      <c r="AC269" s="177"/>
      <c r="AD269" s="177"/>
      <c r="AE269" s="177"/>
      <c r="AF269" s="177"/>
      <c r="AG269" s="180" t="s">
        <v>1605</v>
      </c>
      <c r="AH269" s="173" t="s">
        <v>69</v>
      </c>
      <c r="AI269" s="181" t="s">
        <v>142</v>
      </c>
      <c r="AJ269" s="181" t="s">
        <v>1657</v>
      </c>
      <c r="AK269" s="181"/>
      <c r="AL269" s="181">
        <v>44849</v>
      </c>
      <c r="AM269" s="181"/>
      <c r="AN269" s="181">
        <f t="shared" ca="1" si="52"/>
        <v>44958</v>
      </c>
      <c r="AO269" s="173">
        <f t="shared" ca="1" si="53"/>
        <v>109</v>
      </c>
      <c r="AP269" s="173" t="str">
        <f t="shared" si="54"/>
        <v/>
      </c>
      <c r="AQ269" s="181"/>
      <c r="AR269" s="190" t="s">
        <v>1661</v>
      </c>
      <c r="AS269" s="176">
        <v>10.505000000000001</v>
      </c>
      <c r="AT269" s="176">
        <v>10.515000000000001</v>
      </c>
      <c r="AU269" s="176">
        <v>10.54</v>
      </c>
      <c r="AV269" s="176">
        <v>10.545</v>
      </c>
      <c r="AW269" s="173">
        <f t="shared" ca="1" si="55"/>
        <v>4</v>
      </c>
      <c r="AX269" s="142">
        <v>456</v>
      </c>
      <c r="AZ269" s="142" t="s">
        <v>123</v>
      </c>
    </row>
    <row r="270" spans="2:52" s="142" customFormat="1" ht="21" customHeight="1" x14ac:dyDescent="0.25">
      <c r="B270" s="173" t="str">
        <f t="shared" si="51"/>
        <v>0-304L/2B-1.00X644</v>
      </c>
      <c r="C270" s="201" t="s">
        <v>4933</v>
      </c>
      <c r="D270" s="173" t="s">
        <v>4432</v>
      </c>
      <c r="E270" s="190" t="s">
        <v>4254</v>
      </c>
      <c r="F270" s="201" t="s">
        <v>4941</v>
      </c>
      <c r="G270" s="173" t="s">
        <v>182</v>
      </c>
      <c r="H270" s="173" t="s">
        <v>114</v>
      </c>
      <c r="I270" s="174">
        <v>2.96</v>
      </c>
      <c r="J270" s="174">
        <v>1</v>
      </c>
      <c r="K270" s="203"/>
      <c r="L270" s="203"/>
      <c r="M270" s="191">
        <v>644</v>
      </c>
      <c r="N270" s="176">
        <v>10.08</v>
      </c>
      <c r="O270" s="176">
        <f>4.245+5.835</f>
        <v>10.08</v>
      </c>
      <c r="P270" s="176"/>
      <c r="Q270" s="176"/>
      <c r="R270" s="176" t="s">
        <v>114</v>
      </c>
      <c r="S270" s="209" t="s">
        <v>4936</v>
      </c>
      <c r="T270" s="178" t="s">
        <v>1210</v>
      </c>
      <c r="U270" s="178"/>
      <c r="V270" s="179"/>
      <c r="W270" s="177">
        <v>44952</v>
      </c>
      <c r="X270" s="177"/>
      <c r="Y270" s="177">
        <v>44952</v>
      </c>
      <c r="Z270" s="177"/>
      <c r="AA270" s="177"/>
      <c r="AB270" s="177"/>
      <c r="AC270" s="177"/>
      <c r="AD270" s="177"/>
      <c r="AE270" s="177"/>
      <c r="AF270" s="177"/>
      <c r="AG270" s="180" t="s">
        <v>1643</v>
      </c>
      <c r="AH270" s="173" t="s">
        <v>69</v>
      </c>
      <c r="AI270" s="181" t="s">
        <v>142</v>
      </c>
      <c r="AJ270" s="181" t="s">
        <v>1657</v>
      </c>
      <c r="AK270" s="181"/>
      <c r="AL270" s="181">
        <v>44849</v>
      </c>
      <c r="AM270" s="181"/>
      <c r="AN270" s="181">
        <f t="shared" ca="1" si="52"/>
        <v>44958</v>
      </c>
      <c r="AO270" s="173">
        <f t="shared" ca="1" si="53"/>
        <v>109</v>
      </c>
      <c r="AP270" s="173" t="str">
        <f t="shared" si="54"/>
        <v/>
      </c>
      <c r="AQ270" s="181"/>
      <c r="AR270" s="190" t="s">
        <v>4241</v>
      </c>
      <c r="AS270" s="176">
        <v>10.135</v>
      </c>
      <c r="AT270" s="176">
        <v>10.145</v>
      </c>
      <c r="AU270" s="176">
        <v>10.169999999999998</v>
      </c>
      <c r="AV270" s="176">
        <v>10.174999999999999</v>
      </c>
      <c r="AW270" s="173">
        <f t="shared" ca="1" si="55"/>
        <v>6</v>
      </c>
      <c r="AX270" s="142">
        <v>456</v>
      </c>
      <c r="AZ270" s="142" t="s">
        <v>123</v>
      </c>
    </row>
    <row r="271" spans="2:52" s="142" customFormat="1" ht="21" customHeight="1" x14ac:dyDescent="0.25">
      <c r="B271" s="173" t="str">
        <f t="shared" si="51"/>
        <v>0-304/2B-1.15X643</v>
      </c>
      <c r="C271" s="201" t="s">
        <v>4933</v>
      </c>
      <c r="D271" s="173" t="s">
        <v>4432</v>
      </c>
      <c r="E271" s="190" t="s">
        <v>4182</v>
      </c>
      <c r="F271" s="201" t="s">
        <v>4942</v>
      </c>
      <c r="G271" s="173">
        <v>304</v>
      </c>
      <c r="H271" s="173" t="s">
        <v>114</v>
      </c>
      <c r="I271" s="174">
        <v>3.39</v>
      </c>
      <c r="J271" s="174">
        <v>1.1499999999999999</v>
      </c>
      <c r="K271" s="203"/>
      <c r="L271" s="203"/>
      <c r="M271" s="191">
        <v>643</v>
      </c>
      <c r="N271" s="176">
        <v>10.055</v>
      </c>
      <c r="O271" s="176">
        <f>4.17+5.82</f>
        <v>9.99</v>
      </c>
      <c r="P271" s="176"/>
      <c r="Q271" s="176">
        <v>6.5000000000000002E-2</v>
      </c>
      <c r="R271" s="176" t="s">
        <v>114</v>
      </c>
      <c r="S271" s="209" t="s">
        <v>4936</v>
      </c>
      <c r="T271" s="178" t="s">
        <v>1210</v>
      </c>
      <c r="U271" s="178" t="s">
        <v>1592</v>
      </c>
      <c r="V271" s="179"/>
      <c r="W271" s="177">
        <v>44946</v>
      </c>
      <c r="X271" s="177"/>
      <c r="Y271" s="177"/>
      <c r="Z271" s="177">
        <v>44951</v>
      </c>
      <c r="AA271" s="177"/>
      <c r="AB271" s="177"/>
      <c r="AC271" s="177"/>
      <c r="AD271" s="177"/>
      <c r="AE271" s="177"/>
      <c r="AF271" s="177"/>
      <c r="AG271" s="180" t="s">
        <v>1605</v>
      </c>
      <c r="AH271" s="173" t="s">
        <v>69</v>
      </c>
      <c r="AI271" s="181" t="s">
        <v>142</v>
      </c>
      <c r="AJ271" s="181" t="s">
        <v>1657</v>
      </c>
      <c r="AK271" s="181"/>
      <c r="AL271" s="181">
        <v>44849</v>
      </c>
      <c r="AM271" s="181"/>
      <c r="AN271" s="181">
        <f t="shared" ca="1" si="52"/>
        <v>44958</v>
      </c>
      <c r="AO271" s="173">
        <f t="shared" ca="1" si="53"/>
        <v>109</v>
      </c>
      <c r="AP271" s="173" t="str">
        <f t="shared" si="54"/>
        <v/>
      </c>
      <c r="AQ271" s="181"/>
      <c r="AR271" s="190" t="s">
        <v>4184</v>
      </c>
      <c r="AS271" s="176">
        <v>10.055</v>
      </c>
      <c r="AT271" s="176">
        <v>10.065</v>
      </c>
      <c r="AU271" s="176">
        <v>10.089999999999998</v>
      </c>
      <c r="AV271" s="176">
        <v>10.094999999999999</v>
      </c>
      <c r="AW271" s="173" t="str">
        <f t="shared" si="55"/>
        <v/>
      </c>
      <c r="AX271" s="142">
        <v>456</v>
      </c>
      <c r="AZ271" s="142" t="s">
        <v>123</v>
      </c>
    </row>
    <row r="272" spans="2:52" s="142" customFormat="1" ht="21" customHeight="1" x14ac:dyDescent="0.25">
      <c r="B272" s="173" t="str">
        <f t="shared" si="51"/>
        <v>0-304L/2B-1.15X643</v>
      </c>
      <c r="C272" s="201" t="s">
        <v>4933</v>
      </c>
      <c r="D272" s="173" t="s">
        <v>4432</v>
      </c>
      <c r="E272" s="190" t="s">
        <v>4333</v>
      </c>
      <c r="F272" s="201" t="s">
        <v>4943</v>
      </c>
      <c r="G272" s="173" t="s">
        <v>182</v>
      </c>
      <c r="H272" s="173" t="s">
        <v>114</v>
      </c>
      <c r="I272" s="174">
        <v>2.99</v>
      </c>
      <c r="J272" s="174">
        <v>1.1499999999999999</v>
      </c>
      <c r="K272" s="203"/>
      <c r="L272" s="203"/>
      <c r="M272" s="191">
        <v>643</v>
      </c>
      <c r="N272" s="176">
        <v>5.2649999999999997</v>
      </c>
      <c r="O272" s="176">
        <v>5.2649999999999997</v>
      </c>
      <c r="P272" s="176"/>
      <c r="Q272" s="176"/>
      <c r="R272" s="176" t="s">
        <v>114</v>
      </c>
      <c r="S272" s="209" t="s">
        <v>4936</v>
      </c>
      <c r="T272" s="178" t="s">
        <v>1210</v>
      </c>
      <c r="U272" s="178" t="s">
        <v>1592</v>
      </c>
      <c r="V272" s="179"/>
      <c r="W272" s="177">
        <v>44950</v>
      </c>
      <c r="X272" s="177"/>
      <c r="Y272" s="177"/>
      <c r="Z272" s="177">
        <v>44952</v>
      </c>
      <c r="AA272" s="177"/>
      <c r="AB272" s="177"/>
      <c r="AC272" s="177"/>
      <c r="AD272" s="177"/>
      <c r="AE272" s="177"/>
      <c r="AF272" s="177"/>
      <c r="AG272" s="180" t="s">
        <v>1643</v>
      </c>
      <c r="AH272" s="173" t="s">
        <v>69</v>
      </c>
      <c r="AI272" s="181" t="s">
        <v>142</v>
      </c>
      <c r="AJ272" s="181" t="s">
        <v>1657</v>
      </c>
      <c r="AK272" s="181"/>
      <c r="AL272" s="181">
        <v>44849</v>
      </c>
      <c r="AM272" s="181"/>
      <c r="AN272" s="181">
        <f t="shared" ca="1" si="52"/>
        <v>44958</v>
      </c>
      <c r="AO272" s="173">
        <f t="shared" ca="1" si="53"/>
        <v>109</v>
      </c>
      <c r="AP272" s="173" t="str">
        <f t="shared" si="54"/>
        <v/>
      </c>
      <c r="AQ272" s="181"/>
      <c r="AR272" s="190" t="s">
        <v>1673</v>
      </c>
      <c r="AS272" s="176">
        <v>10.76</v>
      </c>
      <c r="AT272" s="176">
        <v>10.77</v>
      </c>
      <c r="AU272" s="176">
        <v>10.794999999999998</v>
      </c>
      <c r="AV272" s="176">
        <v>10.799999999999999</v>
      </c>
      <c r="AW272" s="173" t="str">
        <f t="shared" si="55"/>
        <v/>
      </c>
      <c r="AX272" s="142">
        <v>456</v>
      </c>
      <c r="AZ272" s="142" t="s">
        <v>123</v>
      </c>
    </row>
    <row r="273" spans="2:52" s="142" customFormat="1" ht="21" customHeight="1" x14ac:dyDescent="0.25">
      <c r="B273" s="173" t="str">
        <f t="shared" si="51"/>
        <v>0-304L/2B-1.15X643</v>
      </c>
      <c r="C273" s="201" t="s">
        <v>4944</v>
      </c>
      <c r="D273" s="173" t="s">
        <v>4432</v>
      </c>
      <c r="E273" s="190" t="s">
        <v>4333</v>
      </c>
      <c r="F273" s="201" t="s">
        <v>4945</v>
      </c>
      <c r="G273" s="173" t="s">
        <v>182</v>
      </c>
      <c r="H273" s="173" t="s">
        <v>114</v>
      </c>
      <c r="I273" s="174">
        <v>2.99</v>
      </c>
      <c r="J273" s="174">
        <v>1.1499999999999999</v>
      </c>
      <c r="K273" s="203"/>
      <c r="L273" s="203"/>
      <c r="M273" s="191">
        <v>643</v>
      </c>
      <c r="N273" s="176">
        <f>10.725-5.265</f>
        <v>5.46</v>
      </c>
      <c r="O273" s="176">
        <v>5.4050000000000002</v>
      </c>
      <c r="P273" s="176"/>
      <c r="Q273" s="176">
        <v>5.5E-2</v>
      </c>
      <c r="R273" s="176" t="s">
        <v>114</v>
      </c>
      <c r="S273" s="209" t="s">
        <v>4936</v>
      </c>
      <c r="T273" s="178" t="s">
        <v>1210</v>
      </c>
      <c r="U273" s="178" t="s">
        <v>1592</v>
      </c>
      <c r="V273" s="179"/>
      <c r="W273" s="177">
        <v>44950</v>
      </c>
      <c r="X273" s="177"/>
      <c r="Y273" s="177"/>
      <c r="Z273" s="177">
        <v>44952</v>
      </c>
      <c r="AA273" s="177"/>
      <c r="AB273" s="177"/>
      <c r="AC273" s="177"/>
      <c r="AD273" s="177"/>
      <c r="AE273" s="177"/>
      <c r="AF273" s="177"/>
      <c r="AG273" s="180" t="s">
        <v>1643</v>
      </c>
      <c r="AH273" s="173" t="s">
        <v>69</v>
      </c>
      <c r="AI273" s="181" t="s">
        <v>142</v>
      </c>
      <c r="AJ273" s="181" t="s">
        <v>1657</v>
      </c>
      <c r="AK273" s="181"/>
      <c r="AL273" s="181">
        <v>44849</v>
      </c>
      <c r="AM273" s="181"/>
      <c r="AN273" s="181">
        <f t="shared" ca="1" si="52"/>
        <v>44958</v>
      </c>
      <c r="AO273" s="173">
        <f ca="1">IF(AL273&lt;&gt;0,AN273-AL273,0)</f>
        <v>109</v>
      </c>
      <c r="AP273" s="173" t="str">
        <f t="shared" si="54"/>
        <v/>
      </c>
      <c r="AQ273" s="181"/>
      <c r="AR273" s="190" t="s">
        <v>1673</v>
      </c>
      <c r="AS273" s="176">
        <v>10.76</v>
      </c>
      <c r="AT273" s="176">
        <v>10.77</v>
      </c>
      <c r="AU273" s="176">
        <v>10.794999999999998</v>
      </c>
      <c r="AV273" s="176">
        <v>10.799999999999999</v>
      </c>
      <c r="AW273" s="173" t="str">
        <f t="shared" si="55"/>
        <v/>
      </c>
      <c r="AX273" s="142">
        <v>456</v>
      </c>
      <c r="AZ273" s="142" t="s">
        <v>123</v>
      </c>
    </row>
    <row r="274" spans="2:52" s="142" customFormat="1" ht="21" customHeight="1" x14ac:dyDescent="0.25">
      <c r="B274" s="173" t="str">
        <f t="shared" si="51"/>
        <v>0-304L/2B-0.90X643</v>
      </c>
      <c r="C274" s="201" t="s">
        <v>4946</v>
      </c>
      <c r="D274" s="173" t="s">
        <v>836</v>
      </c>
      <c r="E274" s="190" t="s">
        <v>4336</v>
      </c>
      <c r="F274" s="201" t="s">
        <v>4337</v>
      </c>
      <c r="G274" s="173" t="s">
        <v>182</v>
      </c>
      <c r="H274" s="173" t="s">
        <v>114</v>
      </c>
      <c r="I274" s="174">
        <v>2.89</v>
      </c>
      <c r="J274" s="174">
        <v>0.9</v>
      </c>
      <c r="K274" s="203"/>
      <c r="L274" s="203"/>
      <c r="M274" s="191">
        <v>643</v>
      </c>
      <c r="N274" s="176">
        <v>10.77</v>
      </c>
      <c r="O274" s="176">
        <v>10.7</v>
      </c>
      <c r="P274" s="176"/>
      <c r="Q274" s="176">
        <v>2.5000000000000001E-2</v>
      </c>
      <c r="R274" s="176" t="s">
        <v>114</v>
      </c>
      <c r="S274" s="209"/>
      <c r="T274" s="178" t="s">
        <v>1210</v>
      </c>
      <c r="U274" s="178"/>
      <c r="V274" s="179"/>
      <c r="W274" s="177"/>
      <c r="X274" s="177">
        <v>44951</v>
      </c>
      <c r="Y274" s="177"/>
      <c r="Z274" s="177">
        <v>44952</v>
      </c>
      <c r="AA274" s="177">
        <v>44955</v>
      </c>
      <c r="AB274" s="177"/>
      <c r="AC274" s="177"/>
      <c r="AD274" s="177"/>
      <c r="AE274" s="177"/>
      <c r="AF274" s="177"/>
      <c r="AG274" s="180" t="s">
        <v>1643</v>
      </c>
      <c r="AH274" s="173" t="s">
        <v>69</v>
      </c>
      <c r="AI274" s="181" t="s">
        <v>142</v>
      </c>
      <c r="AJ274" s="181" t="s">
        <v>1594</v>
      </c>
      <c r="AK274" s="181"/>
      <c r="AL274" s="181">
        <v>44849</v>
      </c>
      <c r="AM274" s="181"/>
      <c r="AN274" s="181">
        <f t="shared" ca="1" si="52"/>
        <v>44958</v>
      </c>
      <c r="AO274" s="173">
        <f ca="1">IF(AL274&lt;&gt;0,AN274-AL274,0)</f>
        <v>109</v>
      </c>
      <c r="AP274" s="173">
        <f t="shared" ca="1" si="54"/>
        <v>3</v>
      </c>
      <c r="AQ274" s="181"/>
      <c r="AR274" s="190" t="s">
        <v>4321</v>
      </c>
      <c r="AS274" s="176">
        <v>10.77</v>
      </c>
      <c r="AT274" s="176">
        <v>10.78</v>
      </c>
      <c r="AU274" s="176">
        <v>10.804999999999998</v>
      </c>
      <c r="AV274" s="176">
        <v>10.809999999999999</v>
      </c>
      <c r="AW274" s="173" t="str">
        <f t="shared" si="55"/>
        <v/>
      </c>
      <c r="AX274" s="142">
        <v>456</v>
      </c>
      <c r="AZ274" s="142" t="s">
        <v>123</v>
      </c>
    </row>
    <row r="275" spans="2:52" s="142" customFormat="1" ht="21" customHeight="1" x14ac:dyDescent="0.25">
      <c r="B275" s="173" t="str">
        <f t="shared" si="51"/>
        <v>0-304/2B-0.90X643</v>
      </c>
      <c r="C275" s="201" t="s">
        <v>4944</v>
      </c>
      <c r="D275" s="173" t="s">
        <v>4432</v>
      </c>
      <c r="E275" s="190" t="s">
        <v>4263</v>
      </c>
      <c r="F275" s="201" t="s">
        <v>4947</v>
      </c>
      <c r="G275" s="173">
        <v>304</v>
      </c>
      <c r="H275" s="173" t="s">
        <v>114</v>
      </c>
      <c r="I275" s="174">
        <v>2.91</v>
      </c>
      <c r="J275" s="174">
        <v>0.9</v>
      </c>
      <c r="K275" s="203"/>
      <c r="L275" s="203"/>
      <c r="M275" s="191">
        <v>643</v>
      </c>
      <c r="N275" s="176">
        <v>8.625</v>
      </c>
      <c r="O275" s="176">
        <f>4.36+4.215</f>
        <v>8.5749999999999993</v>
      </c>
      <c r="P275" s="176"/>
      <c r="Q275" s="176">
        <v>5.0000000000000001E-3</v>
      </c>
      <c r="R275" s="176" t="s">
        <v>114</v>
      </c>
      <c r="S275" s="209" t="s">
        <v>4936</v>
      </c>
      <c r="T275" s="178" t="s">
        <v>1210</v>
      </c>
      <c r="U275" s="178"/>
      <c r="V275" s="179"/>
      <c r="W275" s="177">
        <v>44952</v>
      </c>
      <c r="X275" s="177"/>
      <c r="Y275" s="177">
        <v>44953</v>
      </c>
      <c r="Z275" s="177"/>
      <c r="AA275" s="177"/>
      <c r="AB275" s="177"/>
      <c r="AC275" s="177"/>
      <c r="AD275" s="177"/>
      <c r="AE275" s="177"/>
      <c r="AF275" s="177"/>
      <c r="AG275" s="180" t="s">
        <v>1643</v>
      </c>
      <c r="AH275" s="173" t="s">
        <v>69</v>
      </c>
      <c r="AI275" s="181" t="s">
        <v>142</v>
      </c>
      <c r="AJ275" s="181" t="s">
        <v>1657</v>
      </c>
      <c r="AK275" s="181"/>
      <c r="AL275" s="181">
        <v>44849</v>
      </c>
      <c r="AM275" s="181"/>
      <c r="AN275" s="181">
        <f t="shared" ca="1" si="52"/>
        <v>44958</v>
      </c>
      <c r="AO275" s="173">
        <f ca="1">IF(AL275&lt;&gt;0,AN275-AL275,0)</f>
        <v>109</v>
      </c>
      <c r="AP275" s="173" t="str">
        <f t="shared" si="54"/>
        <v/>
      </c>
      <c r="AQ275" s="181"/>
      <c r="AR275" s="190" t="s">
        <v>4066</v>
      </c>
      <c r="AS275" s="176">
        <v>8.6199999999999992</v>
      </c>
      <c r="AT275" s="176">
        <v>8.6300000000000008</v>
      </c>
      <c r="AU275" s="176">
        <v>8.6549999999999994</v>
      </c>
      <c r="AV275" s="176">
        <v>8.66</v>
      </c>
      <c r="AW275" s="173">
        <f t="shared" ca="1" si="55"/>
        <v>5</v>
      </c>
      <c r="AX275" s="142">
        <v>456</v>
      </c>
      <c r="AZ275" s="142" t="s">
        <v>123</v>
      </c>
    </row>
    <row r="276" spans="2:52" s="142" customFormat="1" ht="21" customHeight="1" x14ac:dyDescent="0.25">
      <c r="B276" s="173" t="str">
        <f t="shared" si="51"/>
        <v>0-304L/2B-1.15X642</v>
      </c>
      <c r="C276" s="201" t="s">
        <v>4944</v>
      </c>
      <c r="D276" s="173" t="s">
        <v>4432</v>
      </c>
      <c r="E276" s="190" t="s">
        <v>4338</v>
      </c>
      <c r="F276" s="201" t="s">
        <v>4948</v>
      </c>
      <c r="G276" s="173" t="s">
        <v>182</v>
      </c>
      <c r="H276" s="173" t="s">
        <v>114</v>
      </c>
      <c r="I276" s="174">
        <v>2.89</v>
      </c>
      <c r="J276" s="174">
        <v>1.1499999999999999</v>
      </c>
      <c r="K276" s="203"/>
      <c r="L276" s="203"/>
      <c r="M276" s="191">
        <v>642</v>
      </c>
      <c r="N276" s="176">
        <v>5.375</v>
      </c>
      <c r="O276" s="176">
        <v>5.375</v>
      </c>
      <c r="P276" s="176"/>
      <c r="Q276" s="176"/>
      <c r="R276" s="176" t="s">
        <v>114</v>
      </c>
      <c r="S276" s="209" t="s">
        <v>4936</v>
      </c>
      <c r="T276" s="178" t="s">
        <v>1210</v>
      </c>
      <c r="U276" s="178" t="s">
        <v>1592</v>
      </c>
      <c r="V276" s="179"/>
      <c r="W276" s="177"/>
      <c r="X276" s="177">
        <v>44951</v>
      </c>
      <c r="Y276" s="177"/>
      <c r="Z276" s="177">
        <v>44952</v>
      </c>
      <c r="AA276" s="177"/>
      <c r="AB276" s="177"/>
      <c r="AC276" s="177"/>
      <c r="AD276" s="177"/>
      <c r="AE276" s="177"/>
      <c r="AF276" s="177"/>
      <c r="AG276" s="180" t="s">
        <v>1643</v>
      </c>
      <c r="AH276" s="173" t="s">
        <v>69</v>
      </c>
      <c r="AI276" s="181" t="s">
        <v>142</v>
      </c>
      <c r="AJ276" s="181" t="s">
        <v>1594</v>
      </c>
      <c r="AK276" s="181"/>
      <c r="AL276" s="181">
        <v>44849</v>
      </c>
      <c r="AM276" s="181"/>
      <c r="AN276" s="181">
        <f t="shared" ca="1" si="52"/>
        <v>44958</v>
      </c>
      <c r="AO276" s="173">
        <f ca="1">IF(AL276&lt;&gt;0,AN276-AL276,0)</f>
        <v>109</v>
      </c>
      <c r="AP276" s="173" t="str">
        <f t="shared" si="54"/>
        <v/>
      </c>
      <c r="AQ276" s="181"/>
      <c r="AR276" s="190" t="s">
        <v>1640</v>
      </c>
      <c r="AS276" s="176">
        <v>10.755000000000001</v>
      </c>
      <c r="AT276" s="176">
        <v>10.765000000000001</v>
      </c>
      <c r="AU276" s="176">
        <v>10.79</v>
      </c>
      <c r="AV276" s="176">
        <v>10.795</v>
      </c>
      <c r="AW276" s="173" t="str">
        <f t="shared" si="55"/>
        <v/>
      </c>
      <c r="AX276" s="142">
        <v>456</v>
      </c>
      <c r="AZ276" s="142" t="s">
        <v>123</v>
      </c>
    </row>
    <row r="277" spans="2:52" s="142" customFormat="1" ht="21" customHeight="1" x14ac:dyDescent="0.25">
      <c r="B277" s="173" t="str">
        <f t="shared" si="51"/>
        <v>0-304L/2B-0.90X772</v>
      </c>
      <c r="C277" s="201" t="s">
        <v>4944</v>
      </c>
      <c r="D277" s="173" t="s">
        <v>4432</v>
      </c>
      <c r="E277" s="190" t="s">
        <v>2721</v>
      </c>
      <c r="F277" s="201" t="s">
        <v>4949</v>
      </c>
      <c r="G277" s="173" t="s">
        <v>182</v>
      </c>
      <c r="H277" s="173" t="s">
        <v>114</v>
      </c>
      <c r="I277" s="174">
        <v>2.79</v>
      </c>
      <c r="J277" s="174">
        <v>0.9</v>
      </c>
      <c r="K277" s="203"/>
      <c r="L277" s="203"/>
      <c r="M277" s="191">
        <v>772</v>
      </c>
      <c r="N277" s="176">
        <v>5.9249999999999998</v>
      </c>
      <c r="O277" s="176">
        <v>5.9249999999999998</v>
      </c>
      <c r="P277" s="176"/>
      <c r="Q277" s="176"/>
      <c r="R277" s="176" t="s">
        <v>114</v>
      </c>
      <c r="S277" s="209" t="s">
        <v>4950</v>
      </c>
      <c r="T277" s="178" t="s">
        <v>1540</v>
      </c>
      <c r="U277" s="178"/>
      <c r="V277" s="179"/>
      <c r="W277" s="177">
        <v>44947</v>
      </c>
      <c r="X277" s="177"/>
      <c r="Y277" s="177">
        <v>44948</v>
      </c>
      <c r="Z277" s="177"/>
      <c r="AA277" s="177"/>
      <c r="AB277" s="177"/>
      <c r="AC277" s="177"/>
      <c r="AD277" s="177"/>
      <c r="AE277" s="177"/>
      <c r="AF277" s="177"/>
      <c r="AG277" s="180" t="s">
        <v>1605</v>
      </c>
      <c r="AH277" s="173" t="s">
        <v>69</v>
      </c>
      <c r="AI277" s="181" t="s">
        <v>142</v>
      </c>
      <c r="AJ277" s="181" t="s">
        <v>1584</v>
      </c>
      <c r="AK277" s="181"/>
      <c r="AL277" s="181">
        <v>44914</v>
      </c>
      <c r="AM277" s="181"/>
      <c r="AN277" s="181">
        <f t="shared" ca="1" si="52"/>
        <v>44958</v>
      </c>
      <c r="AO277" s="173">
        <f t="shared" ref="AO277:AO301" ca="1" si="56">IF(AL277&lt;&gt;0,AN277-AL277,0)</f>
        <v>44</v>
      </c>
      <c r="AP277" s="173" t="str">
        <f t="shared" si="54"/>
        <v/>
      </c>
      <c r="AQ277" s="181"/>
      <c r="AR277" s="190" t="s">
        <v>2723</v>
      </c>
      <c r="AS277" s="176">
        <v>10.57</v>
      </c>
      <c r="AT277" s="176">
        <v>10.58</v>
      </c>
      <c r="AU277" s="176">
        <v>10.604999999999999</v>
      </c>
      <c r="AV277" s="176">
        <v>10.61</v>
      </c>
      <c r="AW277" s="173">
        <f t="shared" ca="1" si="55"/>
        <v>10</v>
      </c>
      <c r="AX277" s="142">
        <v>462</v>
      </c>
      <c r="AZ277" s="142" t="s">
        <v>123</v>
      </c>
    </row>
    <row r="278" spans="2:52" s="142" customFormat="1" ht="21" customHeight="1" x14ac:dyDescent="0.25">
      <c r="B278" s="173" t="str">
        <f t="shared" si="51"/>
        <v>0-304L/2B-1.20X768</v>
      </c>
      <c r="C278" s="201" t="s">
        <v>4944</v>
      </c>
      <c r="D278" s="173" t="s">
        <v>4432</v>
      </c>
      <c r="E278" s="190" t="s">
        <v>1541</v>
      </c>
      <c r="F278" s="201" t="s">
        <v>4951</v>
      </c>
      <c r="G278" s="173" t="s">
        <v>182</v>
      </c>
      <c r="H278" s="173" t="s">
        <v>114</v>
      </c>
      <c r="I278" s="174">
        <v>3.79</v>
      </c>
      <c r="J278" s="174">
        <v>1.2</v>
      </c>
      <c r="K278" s="203"/>
      <c r="L278" s="203"/>
      <c r="M278" s="191">
        <v>768</v>
      </c>
      <c r="N278" s="176">
        <v>12.29</v>
      </c>
      <c r="O278" s="176">
        <f>6.15+6.065</f>
        <v>12.215</v>
      </c>
      <c r="P278" s="176"/>
      <c r="Q278" s="176">
        <v>7.4999999999999997E-2</v>
      </c>
      <c r="R278" s="176" t="s">
        <v>114</v>
      </c>
      <c r="S278" s="209" t="s">
        <v>4952</v>
      </c>
      <c r="T278" s="178" t="s">
        <v>1540</v>
      </c>
      <c r="U278" s="178"/>
      <c r="V278" s="179"/>
      <c r="W278" s="177">
        <v>44946</v>
      </c>
      <c r="X278" s="177"/>
      <c r="Y278" s="177">
        <v>44946</v>
      </c>
      <c r="Z278" s="177"/>
      <c r="AA278" s="177"/>
      <c r="AB278" s="177"/>
      <c r="AC278" s="177"/>
      <c r="AD278" s="177">
        <v>44940</v>
      </c>
      <c r="AE278" s="177"/>
      <c r="AF278" s="177"/>
      <c r="AG278" s="180" t="s">
        <v>1507</v>
      </c>
      <c r="AH278" s="173" t="s">
        <v>69</v>
      </c>
      <c r="AI278" s="181" t="s">
        <v>142</v>
      </c>
      <c r="AJ278" s="181" t="s">
        <v>1508</v>
      </c>
      <c r="AK278" s="181"/>
      <c r="AL278" s="181">
        <v>44849</v>
      </c>
      <c r="AM278" s="181"/>
      <c r="AN278" s="181">
        <f t="shared" ca="1" si="52"/>
        <v>44958</v>
      </c>
      <c r="AO278" s="173">
        <f t="shared" ca="1" si="56"/>
        <v>109</v>
      </c>
      <c r="AP278" s="173" t="str">
        <f t="shared" si="54"/>
        <v/>
      </c>
      <c r="AQ278" s="181"/>
      <c r="AR278" s="190" t="s">
        <v>1543</v>
      </c>
      <c r="AS278" s="176">
        <v>24.51</v>
      </c>
      <c r="AT278" s="176">
        <v>24.57</v>
      </c>
      <c r="AU278" s="176">
        <v>24.595000000000002</v>
      </c>
      <c r="AV278" s="176">
        <v>24.6</v>
      </c>
      <c r="AW278" s="173">
        <f t="shared" ca="1" si="55"/>
        <v>12</v>
      </c>
      <c r="AX278" s="142">
        <v>456</v>
      </c>
      <c r="AZ278" s="142" t="s">
        <v>123</v>
      </c>
    </row>
    <row r="279" spans="2:52" s="142" customFormat="1" ht="21" customHeight="1" x14ac:dyDescent="0.25">
      <c r="B279" s="173" t="str">
        <f t="shared" si="51"/>
        <v>0-304L/2B-1.50X774</v>
      </c>
      <c r="C279" s="201" t="s">
        <v>4944</v>
      </c>
      <c r="D279" s="173" t="s">
        <v>4432</v>
      </c>
      <c r="E279" s="190" t="s">
        <v>4115</v>
      </c>
      <c r="F279" s="201" t="s">
        <v>4953</v>
      </c>
      <c r="G279" s="173" t="s">
        <v>182</v>
      </c>
      <c r="H279" s="173" t="s">
        <v>114</v>
      </c>
      <c r="I279" s="174">
        <v>3.88</v>
      </c>
      <c r="J279" s="174">
        <v>1.5</v>
      </c>
      <c r="K279" s="203"/>
      <c r="L279" s="203"/>
      <c r="M279" s="191">
        <v>774</v>
      </c>
      <c r="N279" s="176">
        <v>12.19</v>
      </c>
      <c r="O279" s="176">
        <f>4.055+4.08+4.01</f>
        <v>12.145</v>
      </c>
      <c r="P279" s="176"/>
      <c r="Q279" s="176">
        <v>4.4999999999999998E-2</v>
      </c>
      <c r="R279" s="176" t="s">
        <v>114</v>
      </c>
      <c r="S279" s="209" t="s">
        <v>4954</v>
      </c>
      <c r="T279" s="178" t="s">
        <v>4955</v>
      </c>
      <c r="U279" s="178"/>
      <c r="V279" s="179"/>
      <c r="W279" s="177">
        <v>44942</v>
      </c>
      <c r="X279" s="177"/>
      <c r="Y279" s="177">
        <v>44943</v>
      </c>
      <c r="Z279" s="177"/>
      <c r="AA279" s="177"/>
      <c r="AB279" s="177"/>
      <c r="AC279" s="177"/>
      <c r="AD279" s="177"/>
      <c r="AE279" s="177"/>
      <c r="AF279" s="177"/>
      <c r="AG279" s="180" t="s">
        <v>2448</v>
      </c>
      <c r="AH279" s="173" t="s">
        <v>69</v>
      </c>
      <c r="AI279" s="181" t="s">
        <v>142</v>
      </c>
      <c r="AJ279" s="181" t="s">
        <v>1584</v>
      </c>
      <c r="AK279" s="181"/>
      <c r="AL279" s="181">
        <v>44914</v>
      </c>
      <c r="AM279" s="181"/>
      <c r="AN279" s="181">
        <f t="shared" ca="1" si="52"/>
        <v>44958</v>
      </c>
      <c r="AO279" s="173">
        <f t="shared" ca="1" si="56"/>
        <v>44</v>
      </c>
      <c r="AP279" s="173" t="str">
        <f t="shared" si="54"/>
        <v/>
      </c>
      <c r="AQ279" s="181"/>
      <c r="AR279" s="190" t="s">
        <v>2452</v>
      </c>
      <c r="AS279" s="176">
        <v>12.234999999999999</v>
      </c>
      <c r="AT279" s="176">
        <v>12.244999999999999</v>
      </c>
      <c r="AU279" s="176">
        <v>12.269999999999998</v>
      </c>
      <c r="AV279" s="176">
        <v>12.274999999999999</v>
      </c>
      <c r="AW279" s="173">
        <f t="shared" ca="1" si="55"/>
        <v>15</v>
      </c>
      <c r="AX279" s="142">
        <v>462</v>
      </c>
      <c r="AZ279" s="142" t="s">
        <v>123</v>
      </c>
    </row>
    <row r="280" spans="2:52" s="142" customFormat="1" ht="21" customHeight="1" x14ac:dyDescent="0.25">
      <c r="B280" s="173" t="str">
        <f t="shared" si="51"/>
        <v>0-304L/2B-1.50X766</v>
      </c>
      <c r="C280" s="201" t="s">
        <v>4944</v>
      </c>
      <c r="D280" s="173" t="s">
        <v>4432</v>
      </c>
      <c r="E280" s="190" t="s">
        <v>4215</v>
      </c>
      <c r="F280" s="201" t="s">
        <v>4956</v>
      </c>
      <c r="G280" s="173" t="s">
        <v>182</v>
      </c>
      <c r="H280" s="173" t="s">
        <v>114</v>
      </c>
      <c r="I280" s="174">
        <v>3.88</v>
      </c>
      <c r="J280" s="174">
        <v>1.5</v>
      </c>
      <c r="K280" s="203"/>
      <c r="L280" s="203"/>
      <c r="M280" s="191">
        <v>766</v>
      </c>
      <c r="N280" s="176">
        <v>11.935</v>
      </c>
      <c r="O280" s="176">
        <f>5.765+6.1</f>
        <v>11.864999999999998</v>
      </c>
      <c r="P280" s="176"/>
      <c r="Q280" s="176">
        <v>7.0000000000000007E-2</v>
      </c>
      <c r="R280" s="176" t="s">
        <v>114</v>
      </c>
      <c r="S280" s="209" t="s">
        <v>4957</v>
      </c>
      <c r="T280" s="178" t="s">
        <v>1540</v>
      </c>
      <c r="U280" s="178"/>
      <c r="V280" s="179"/>
      <c r="W280" s="177">
        <v>44949</v>
      </c>
      <c r="X280" s="177"/>
      <c r="Y280" s="177">
        <v>44949</v>
      </c>
      <c r="Z280" s="177"/>
      <c r="AA280" s="177"/>
      <c r="AB280" s="177"/>
      <c r="AC280" s="177"/>
      <c r="AD280" s="177"/>
      <c r="AE280" s="177"/>
      <c r="AF280" s="177"/>
      <c r="AG280" s="180" t="s">
        <v>1605</v>
      </c>
      <c r="AH280" s="173" t="s">
        <v>69</v>
      </c>
      <c r="AI280" s="181" t="s">
        <v>142</v>
      </c>
      <c r="AJ280" s="181" t="s">
        <v>1584</v>
      </c>
      <c r="AK280" s="181"/>
      <c r="AL280" s="181">
        <v>44914</v>
      </c>
      <c r="AM280" s="181"/>
      <c r="AN280" s="181">
        <f t="shared" ca="1" si="52"/>
        <v>44958</v>
      </c>
      <c r="AO280" s="173">
        <f t="shared" ca="1" si="56"/>
        <v>44</v>
      </c>
      <c r="AP280" s="173" t="str">
        <f t="shared" si="54"/>
        <v/>
      </c>
      <c r="AQ280" s="181"/>
      <c r="AR280" s="190" t="s">
        <v>2622</v>
      </c>
      <c r="AS280" s="176">
        <v>11.965</v>
      </c>
      <c r="AT280" s="176">
        <v>11.975</v>
      </c>
      <c r="AU280" s="176">
        <v>11.999999999999998</v>
      </c>
      <c r="AV280" s="176">
        <v>12.004999999999999</v>
      </c>
      <c r="AW280" s="173">
        <f t="shared" ca="1" si="55"/>
        <v>9</v>
      </c>
      <c r="AX280" s="142">
        <v>462</v>
      </c>
      <c r="AZ280" s="142" t="s">
        <v>123</v>
      </c>
    </row>
    <row r="281" spans="2:52" s="142" customFormat="1" ht="21" customHeight="1" x14ac:dyDescent="0.25">
      <c r="B281" s="173" t="str">
        <f t="shared" si="51"/>
        <v>0-304L/2B-1.20X769</v>
      </c>
      <c r="C281" s="201" t="s">
        <v>4944</v>
      </c>
      <c r="D281" s="173" t="s">
        <v>4432</v>
      </c>
      <c r="E281" s="190" t="s">
        <v>1534</v>
      </c>
      <c r="F281" s="201" t="s">
        <v>4958</v>
      </c>
      <c r="G281" s="173" t="s">
        <v>182</v>
      </c>
      <c r="H281" s="173" t="s">
        <v>114</v>
      </c>
      <c r="I281" s="174">
        <v>3.79</v>
      </c>
      <c r="J281" s="174">
        <v>1.2</v>
      </c>
      <c r="K281" s="203"/>
      <c r="L281" s="203"/>
      <c r="M281" s="191">
        <v>769</v>
      </c>
      <c r="N281" s="349">
        <v>12.27</v>
      </c>
      <c r="O281" s="176">
        <f>4.08+4.095</f>
        <v>8.1750000000000007</v>
      </c>
      <c r="P281" s="176"/>
      <c r="Q281" s="176"/>
      <c r="R281" s="176" t="s">
        <v>114</v>
      </c>
      <c r="S281" s="209" t="s">
        <v>4957</v>
      </c>
      <c r="T281" s="178" t="s">
        <v>1540</v>
      </c>
      <c r="U281" s="178"/>
      <c r="V281" s="179"/>
      <c r="W281" s="177">
        <v>44945</v>
      </c>
      <c r="X281" s="177"/>
      <c r="Y281" s="177">
        <v>44946</v>
      </c>
      <c r="Z281" s="177"/>
      <c r="AA281" s="177"/>
      <c r="AB281" s="177"/>
      <c r="AC281" s="177"/>
      <c r="AD281" s="177">
        <v>44940</v>
      </c>
      <c r="AE281" s="177"/>
      <c r="AF281" s="177"/>
      <c r="AG281" s="180" t="s">
        <v>1507</v>
      </c>
      <c r="AH281" s="173" t="s">
        <v>69</v>
      </c>
      <c r="AI281" s="181" t="s">
        <v>142</v>
      </c>
      <c r="AJ281" s="181" t="s">
        <v>1508</v>
      </c>
      <c r="AK281" s="181"/>
      <c r="AL281" s="181">
        <v>44849</v>
      </c>
      <c r="AM281" s="181"/>
      <c r="AN281" s="181">
        <f t="shared" ca="1" si="52"/>
        <v>44958</v>
      </c>
      <c r="AO281" s="173">
        <f t="shared" ca="1" si="56"/>
        <v>109</v>
      </c>
      <c r="AP281" s="173" t="str">
        <f t="shared" si="54"/>
        <v/>
      </c>
      <c r="AQ281" s="181"/>
      <c r="AR281" s="190" t="s">
        <v>1537</v>
      </c>
      <c r="AS281" s="176">
        <v>24.545000000000002</v>
      </c>
      <c r="AT281" s="176">
        <v>24.605</v>
      </c>
      <c r="AU281" s="176">
        <v>24.630000000000003</v>
      </c>
      <c r="AV281" s="176">
        <v>24.635000000000002</v>
      </c>
      <c r="AW281" s="173">
        <f t="shared" ca="1" si="55"/>
        <v>12</v>
      </c>
      <c r="AX281" s="142">
        <v>456</v>
      </c>
      <c r="AZ281" s="142" t="s">
        <v>123</v>
      </c>
    </row>
    <row r="282" spans="2:52" s="142" customFormat="1" ht="21" customHeight="1" x14ac:dyDescent="0.25">
      <c r="B282" s="173" t="str">
        <f t="shared" si="51"/>
        <v>0-304L/2B-1.20X769</v>
      </c>
      <c r="C282" s="201" t="s">
        <v>4946</v>
      </c>
      <c r="D282" s="173" t="s">
        <v>836</v>
      </c>
      <c r="E282" s="190" t="s">
        <v>1534</v>
      </c>
      <c r="F282" s="201" t="s">
        <v>1538</v>
      </c>
      <c r="G282" s="173" t="s">
        <v>182</v>
      </c>
      <c r="H282" s="173" t="s">
        <v>114</v>
      </c>
      <c r="I282" s="174">
        <v>3.79</v>
      </c>
      <c r="J282" s="174">
        <v>1.2</v>
      </c>
      <c r="K282" s="203"/>
      <c r="L282" s="203"/>
      <c r="M282" s="191">
        <v>769</v>
      </c>
      <c r="N282" s="350"/>
      <c r="O282" s="176">
        <v>4.0350000000000001</v>
      </c>
      <c r="P282" s="176"/>
      <c r="Q282" s="176">
        <v>0.06</v>
      </c>
      <c r="R282" s="176" t="s">
        <v>114</v>
      </c>
      <c r="S282" s="209"/>
      <c r="T282" s="178" t="s">
        <v>1540</v>
      </c>
      <c r="U282" s="178"/>
      <c r="V282" s="179"/>
      <c r="W282" s="177">
        <v>44945</v>
      </c>
      <c r="X282" s="177"/>
      <c r="Y282" s="177">
        <v>44946</v>
      </c>
      <c r="Z282" s="177"/>
      <c r="AA282" s="177">
        <v>44955</v>
      </c>
      <c r="AB282" s="177"/>
      <c r="AC282" s="177"/>
      <c r="AD282" s="177">
        <v>44940</v>
      </c>
      <c r="AE282" s="177"/>
      <c r="AF282" s="177"/>
      <c r="AG282" s="180" t="s">
        <v>1507</v>
      </c>
      <c r="AH282" s="173" t="s">
        <v>69</v>
      </c>
      <c r="AI282" s="181" t="s">
        <v>142</v>
      </c>
      <c r="AJ282" s="181" t="s">
        <v>1508</v>
      </c>
      <c r="AK282" s="181"/>
      <c r="AL282" s="181">
        <v>44849</v>
      </c>
      <c r="AM282" s="181"/>
      <c r="AN282" s="181">
        <f t="shared" ca="1" si="52"/>
        <v>44958</v>
      </c>
      <c r="AO282" s="173">
        <f t="shared" ca="1" si="56"/>
        <v>109</v>
      </c>
      <c r="AP282" s="173">
        <f t="shared" ca="1" si="54"/>
        <v>3</v>
      </c>
      <c r="AQ282" s="181"/>
      <c r="AR282" s="190" t="s">
        <v>1537</v>
      </c>
      <c r="AS282" s="176">
        <v>24.545000000000002</v>
      </c>
      <c r="AT282" s="176">
        <v>24.605</v>
      </c>
      <c r="AU282" s="176">
        <v>24.630000000000003</v>
      </c>
      <c r="AV282" s="176">
        <v>24.635000000000002</v>
      </c>
      <c r="AW282" s="173">
        <f t="shared" ca="1" si="55"/>
        <v>12</v>
      </c>
      <c r="AX282" s="142">
        <v>456</v>
      </c>
      <c r="AZ282" s="142" t="s">
        <v>123</v>
      </c>
    </row>
    <row r="283" spans="2:52" s="142" customFormat="1" ht="21" customHeight="1" x14ac:dyDescent="0.25">
      <c r="B283" s="173" t="str">
        <f t="shared" si="51"/>
        <v>0-304/2B-1.50X767</v>
      </c>
      <c r="C283" s="201" t="s">
        <v>4959</v>
      </c>
      <c r="D283" s="173" t="s">
        <v>4432</v>
      </c>
      <c r="E283" s="190" t="s">
        <v>4205</v>
      </c>
      <c r="F283" s="201" t="s">
        <v>4960</v>
      </c>
      <c r="G283" s="173">
        <v>304</v>
      </c>
      <c r="H283" s="173" t="s">
        <v>114</v>
      </c>
      <c r="I283" s="174">
        <v>3.93</v>
      </c>
      <c r="J283" s="174">
        <v>1.5</v>
      </c>
      <c r="K283" s="203">
        <v>1.48</v>
      </c>
      <c r="L283" s="203">
        <v>1.51</v>
      </c>
      <c r="M283" s="191">
        <v>767</v>
      </c>
      <c r="N283" s="176">
        <v>10.505000000000001</v>
      </c>
      <c r="O283" s="176">
        <f>4.87+5.58</f>
        <v>10.45</v>
      </c>
      <c r="P283" s="176"/>
      <c r="Q283" s="176">
        <v>5.5E-2</v>
      </c>
      <c r="R283" s="176" t="s">
        <v>114</v>
      </c>
      <c r="S283" s="209" t="s">
        <v>4961</v>
      </c>
      <c r="T283" s="178" t="s">
        <v>1540</v>
      </c>
      <c r="U283" s="178"/>
      <c r="V283" s="179"/>
      <c r="W283" s="177">
        <v>44948</v>
      </c>
      <c r="X283" s="177"/>
      <c r="Y283" s="177">
        <v>44948</v>
      </c>
      <c r="Z283" s="177"/>
      <c r="AA283" s="177"/>
      <c r="AB283" s="177"/>
      <c r="AC283" s="177"/>
      <c r="AD283" s="177"/>
      <c r="AE283" s="177"/>
      <c r="AF283" s="177"/>
      <c r="AG283" s="180" t="s">
        <v>2448</v>
      </c>
      <c r="AH283" s="173" t="s">
        <v>69</v>
      </c>
      <c r="AI283" s="181" t="s">
        <v>142</v>
      </c>
      <c r="AJ283" s="181" t="s">
        <v>1584</v>
      </c>
      <c r="AK283" s="181"/>
      <c r="AL283" s="181">
        <v>44914</v>
      </c>
      <c r="AM283" s="181"/>
      <c r="AN283" s="181">
        <f t="shared" ca="1" si="52"/>
        <v>44958</v>
      </c>
      <c r="AO283" s="173">
        <f t="shared" ca="1" si="56"/>
        <v>44</v>
      </c>
      <c r="AP283" s="173" t="str">
        <f t="shared" si="54"/>
        <v/>
      </c>
      <c r="AQ283" s="181"/>
      <c r="AR283" s="190" t="s">
        <v>2462</v>
      </c>
      <c r="AS283" s="176">
        <v>10.505000000000001</v>
      </c>
      <c r="AT283" s="176">
        <v>10.515000000000001</v>
      </c>
      <c r="AU283" s="176">
        <v>10.54</v>
      </c>
      <c r="AV283" s="176">
        <v>10.545</v>
      </c>
      <c r="AW283" s="173">
        <f t="shared" ca="1" si="55"/>
        <v>10</v>
      </c>
      <c r="AX283" s="142">
        <v>462</v>
      </c>
      <c r="AZ283" s="142" t="s">
        <v>123</v>
      </c>
    </row>
    <row r="284" spans="2:52" s="142" customFormat="1" ht="21" customHeight="1" x14ac:dyDescent="0.25">
      <c r="B284" s="173" t="str">
        <f t="shared" si="51"/>
        <v>0-304/2B-2.00X767</v>
      </c>
      <c r="C284" s="201" t="s">
        <v>4959</v>
      </c>
      <c r="D284" s="173" t="s">
        <v>4432</v>
      </c>
      <c r="E284" s="190" t="s">
        <v>4191</v>
      </c>
      <c r="F284" s="201" t="s">
        <v>4962</v>
      </c>
      <c r="G284" s="173">
        <v>304</v>
      </c>
      <c r="H284" s="173" t="s">
        <v>114</v>
      </c>
      <c r="I284" s="174">
        <v>3.98</v>
      </c>
      <c r="J284" s="174">
        <v>2</v>
      </c>
      <c r="K284" s="203">
        <v>1.98</v>
      </c>
      <c r="L284" s="203">
        <v>2.02</v>
      </c>
      <c r="M284" s="191">
        <v>767</v>
      </c>
      <c r="N284" s="176">
        <v>10.54</v>
      </c>
      <c r="O284" s="176">
        <f>5.07+5.395</f>
        <v>10.465</v>
      </c>
      <c r="P284" s="176"/>
      <c r="Q284" s="176">
        <v>7.4999999999999997E-2</v>
      </c>
      <c r="R284" s="176" t="s">
        <v>114</v>
      </c>
      <c r="S284" s="209" t="s">
        <v>4961</v>
      </c>
      <c r="T284" s="178" t="s">
        <v>1540</v>
      </c>
      <c r="U284" s="178"/>
      <c r="V284" s="179"/>
      <c r="W284" s="177">
        <v>44947</v>
      </c>
      <c r="X284" s="177"/>
      <c r="Y284" s="177">
        <v>44947</v>
      </c>
      <c r="Z284" s="177"/>
      <c r="AA284" s="177"/>
      <c r="AB284" s="177"/>
      <c r="AC284" s="177"/>
      <c r="AD284" s="177"/>
      <c r="AE284" s="177"/>
      <c r="AF284" s="177"/>
      <c r="AG284" s="180" t="s">
        <v>1507</v>
      </c>
      <c r="AH284" s="173" t="s">
        <v>69</v>
      </c>
      <c r="AI284" s="181" t="s">
        <v>142</v>
      </c>
      <c r="AJ284" s="181" t="s">
        <v>1584</v>
      </c>
      <c r="AK284" s="181"/>
      <c r="AL284" s="181">
        <v>44914</v>
      </c>
      <c r="AM284" s="181"/>
      <c r="AN284" s="181">
        <f t="shared" ca="1" si="52"/>
        <v>44958</v>
      </c>
      <c r="AO284" s="173">
        <f t="shared" ca="1" si="56"/>
        <v>44</v>
      </c>
      <c r="AP284" s="173" t="str">
        <f t="shared" si="54"/>
        <v/>
      </c>
      <c r="AQ284" s="181"/>
      <c r="AR284" s="190" t="s">
        <v>2631</v>
      </c>
      <c r="AS284" s="176">
        <v>10.525</v>
      </c>
      <c r="AT284" s="176">
        <v>10.535</v>
      </c>
      <c r="AU284" s="176">
        <v>10.559999999999999</v>
      </c>
      <c r="AV284" s="176">
        <v>10.565</v>
      </c>
      <c r="AW284" s="173">
        <f t="shared" ca="1" si="55"/>
        <v>11</v>
      </c>
      <c r="AX284" s="142">
        <v>462</v>
      </c>
      <c r="AZ284" s="142" t="s">
        <v>123</v>
      </c>
    </row>
    <row r="285" spans="2:52" s="142" customFormat="1" ht="21" customHeight="1" x14ac:dyDescent="0.25">
      <c r="B285" s="173" t="str">
        <f t="shared" si="51"/>
        <v>0-304L/2B-1.15X642</v>
      </c>
      <c r="C285" s="201" t="s">
        <v>4963</v>
      </c>
      <c r="D285" s="173" t="s">
        <v>836</v>
      </c>
      <c r="E285" s="190" t="s">
        <v>4338</v>
      </c>
      <c r="F285" s="201" t="s">
        <v>4339</v>
      </c>
      <c r="G285" s="173" t="s">
        <v>182</v>
      </c>
      <c r="H285" s="173" t="s">
        <v>114</v>
      </c>
      <c r="I285" s="174">
        <v>2.89</v>
      </c>
      <c r="J285" s="174">
        <v>1.1499999999999999</v>
      </c>
      <c r="K285" s="203">
        <v>1.1100000000000001</v>
      </c>
      <c r="L285" s="203">
        <v>1.1399999999999999</v>
      </c>
      <c r="M285" s="191">
        <v>642</v>
      </c>
      <c r="N285" s="176">
        <v>5.9450000000000003</v>
      </c>
      <c r="O285" s="176">
        <v>5.93</v>
      </c>
      <c r="P285" s="176"/>
      <c r="Q285" s="176">
        <v>1.4999999999999999E-2</v>
      </c>
      <c r="R285" s="176" t="s">
        <v>114</v>
      </c>
      <c r="S285" s="209"/>
      <c r="T285" s="178" t="s">
        <v>1210</v>
      </c>
      <c r="U285" s="178" t="s">
        <v>1592</v>
      </c>
      <c r="V285" s="179"/>
      <c r="W285" s="177"/>
      <c r="X285" s="177">
        <v>44951</v>
      </c>
      <c r="Y285" s="177"/>
      <c r="Z285" s="177">
        <v>44952</v>
      </c>
      <c r="AA285" s="177">
        <v>44956</v>
      </c>
      <c r="AB285" s="177"/>
      <c r="AC285" s="177"/>
      <c r="AD285" s="177"/>
      <c r="AE285" s="177"/>
      <c r="AF285" s="177"/>
      <c r="AG285" s="180" t="s">
        <v>1643</v>
      </c>
      <c r="AH285" s="173" t="s">
        <v>69</v>
      </c>
      <c r="AI285" s="181" t="s">
        <v>142</v>
      </c>
      <c r="AJ285" s="181" t="s">
        <v>1594</v>
      </c>
      <c r="AK285" s="181"/>
      <c r="AL285" s="181">
        <v>44849</v>
      </c>
      <c r="AM285" s="181"/>
      <c r="AN285" s="181">
        <f t="shared" ca="1" si="52"/>
        <v>44958</v>
      </c>
      <c r="AO285" s="173">
        <f t="shared" ca="1" si="56"/>
        <v>109</v>
      </c>
      <c r="AP285" s="173">
        <f t="shared" ca="1" si="54"/>
        <v>2</v>
      </c>
      <c r="AQ285" s="181"/>
      <c r="AR285" s="190" t="s">
        <v>1640</v>
      </c>
      <c r="AS285" s="176">
        <v>10.755000000000001</v>
      </c>
      <c r="AT285" s="176">
        <v>10.765000000000001</v>
      </c>
      <c r="AU285" s="176">
        <v>10.79</v>
      </c>
      <c r="AV285" s="176">
        <v>10.795</v>
      </c>
      <c r="AW285" s="173" t="str">
        <f t="shared" si="55"/>
        <v/>
      </c>
      <c r="AX285" s="142">
        <v>456</v>
      </c>
      <c r="AZ285" s="142" t="s">
        <v>123</v>
      </c>
    </row>
    <row r="286" spans="2:52" s="142" customFormat="1" ht="21" customHeight="1" x14ac:dyDescent="0.25">
      <c r="B286" s="173" t="str">
        <f t="shared" si="51"/>
        <v>0-304/2B-2.00X768</v>
      </c>
      <c r="C286" s="201" t="s">
        <v>4959</v>
      </c>
      <c r="D286" s="173" t="s">
        <v>4432</v>
      </c>
      <c r="E286" s="190" t="s">
        <v>4110</v>
      </c>
      <c r="F286" s="201" t="s">
        <v>4964</v>
      </c>
      <c r="G286" s="173">
        <v>304</v>
      </c>
      <c r="H286" s="173" t="s">
        <v>114</v>
      </c>
      <c r="I286" s="174">
        <v>3.94</v>
      </c>
      <c r="J286" s="174">
        <v>2</v>
      </c>
      <c r="K286" s="203">
        <v>1.98</v>
      </c>
      <c r="L286" s="203">
        <v>2.0099999999999998</v>
      </c>
      <c r="M286" s="191">
        <v>768</v>
      </c>
      <c r="N286" s="176">
        <v>8.2200000000000006</v>
      </c>
      <c r="O286" s="176">
        <f>4.18+4.035</f>
        <v>8.2149999999999999</v>
      </c>
      <c r="P286" s="176"/>
      <c r="Q286" s="176">
        <v>5.0000000000000001E-3</v>
      </c>
      <c r="R286" s="176" t="s">
        <v>114</v>
      </c>
      <c r="S286" s="209" t="s">
        <v>4961</v>
      </c>
      <c r="T286" s="178" t="s">
        <v>4965</v>
      </c>
      <c r="U286" s="178"/>
      <c r="V286" s="179"/>
      <c r="W286" s="177">
        <v>44941</v>
      </c>
      <c r="X286" s="177"/>
      <c r="Y286" s="177">
        <v>44942</v>
      </c>
      <c r="Z286" s="177"/>
      <c r="AA286" s="177"/>
      <c r="AB286" s="177"/>
      <c r="AC286" s="177"/>
      <c r="AD286" s="177"/>
      <c r="AE286" s="177"/>
      <c r="AF286" s="177"/>
      <c r="AG286" s="180" t="s">
        <v>2448</v>
      </c>
      <c r="AH286" s="173" t="s">
        <v>69</v>
      </c>
      <c r="AI286" s="181" t="s">
        <v>142</v>
      </c>
      <c r="AJ286" s="181" t="s">
        <v>1584</v>
      </c>
      <c r="AK286" s="181"/>
      <c r="AL286" s="181">
        <v>44914</v>
      </c>
      <c r="AM286" s="181"/>
      <c r="AN286" s="181">
        <f t="shared" ca="1" si="52"/>
        <v>44958</v>
      </c>
      <c r="AO286" s="173">
        <f t="shared" ca="1" si="56"/>
        <v>44</v>
      </c>
      <c r="AP286" s="173" t="str">
        <f t="shared" si="54"/>
        <v/>
      </c>
      <c r="AQ286" s="181"/>
      <c r="AR286" s="190" t="s">
        <v>2564</v>
      </c>
      <c r="AS286" s="176">
        <v>9.6300000000000008</v>
      </c>
      <c r="AT286" s="176">
        <v>9.64</v>
      </c>
      <c r="AU286" s="176">
        <v>9.6649999999999991</v>
      </c>
      <c r="AV286" s="176">
        <v>9.67</v>
      </c>
      <c r="AW286" s="173">
        <f t="shared" ca="1" si="55"/>
        <v>16</v>
      </c>
      <c r="AX286" s="142">
        <v>462</v>
      </c>
      <c r="AZ286" s="142" t="s">
        <v>123</v>
      </c>
    </row>
    <row r="287" spans="2:52" s="142" customFormat="1" ht="21" customHeight="1" x14ac:dyDescent="0.25">
      <c r="B287" s="173" t="str">
        <f t="shared" si="51"/>
        <v>0-304/2B-1.15X642</v>
      </c>
      <c r="C287" s="201" t="s">
        <v>4959</v>
      </c>
      <c r="D287" s="173" t="s">
        <v>4432</v>
      </c>
      <c r="E287" s="190" t="s">
        <v>4302</v>
      </c>
      <c r="F287" s="201" t="s">
        <v>4303</v>
      </c>
      <c r="G287" s="173">
        <v>304</v>
      </c>
      <c r="H287" s="173" t="s">
        <v>114</v>
      </c>
      <c r="I287" s="174">
        <v>2.99</v>
      </c>
      <c r="J287" s="174">
        <v>1.1499999999999999</v>
      </c>
      <c r="K287" s="203">
        <v>1.1200000000000001</v>
      </c>
      <c r="L287" s="203">
        <v>1.1599999999999999</v>
      </c>
      <c r="M287" s="191">
        <v>642</v>
      </c>
      <c r="N287" s="176">
        <v>10.69</v>
      </c>
      <c r="O287" s="176">
        <v>10.65</v>
      </c>
      <c r="P287" s="176"/>
      <c r="Q287" s="176">
        <v>0.04</v>
      </c>
      <c r="R287" s="176" t="s">
        <v>114</v>
      </c>
      <c r="S287" s="209" t="s">
        <v>4936</v>
      </c>
      <c r="T287" s="178" t="s">
        <v>1210</v>
      </c>
      <c r="U287" s="178"/>
      <c r="V287" s="179"/>
      <c r="W287" s="177">
        <v>44955</v>
      </c>
      <c r="X287" s="177"/>
      <c r="Y287" s="177">
        <v>44955</v>
      </c>
      <c r="Z287" s="177"/>
      <c r="AA287" s="177"/>
      <c r="AB287" s="177"/>
      <c r="AC287" s="177"/>
      <c r="AD287" s="177"/>
      <c r="AE287" s="177"/>
      <c r="AF287" s="177"/>
      <c r="AG287" s="180" t="s">
        <v>1593</v>
      </c>
      <c r="AH287" s="173" t="s">
        <v>69</v>
      </c>
      <c r="AI287" s="181" t="s">
        <v>142</v>
      </c>
      <c r="AJ287" s="181" t="s">
        <v>1657</v>
      </c>
      <c r="AK287" s="181"/>
      <c r="AL287" s="181">
        <v>44849</v>
      </c>
      <c r="AM287" s="181"/>
      <c r="AN287" s="181">
        <f t="shared" ca="1" si="52"/>
        <v>44958</v>
      </c>
      <c r="AO287" s="173">
        <f t="shared" ca="1" si="56"/>
        <v>109</v>
      </c>
      <c r="AP287" s="173" t="str">
        <f t="shared" si="54"/>
        <v/>
      </c>
      <c r="AQ287" s="181"/>
      <c r="AR287" s="190" t="s">
        <v>4061</v>
      </c>
      <c r="AS287" s="176">
        <v>10.67</v>
      </c>
      <c r="AT287" s="176">
        <v>10.68</v>
      </c>
      <c r="AU287" s="176">
        <v>10.704999999999998</v>
      </c>
      <c r="AV287" s="176">
        <v>10.709999999999999</v>
      </c>
      <c r="AW287" s="173">
        <f t="shared" ca="1" si="55"/>
        <v>3</v>
      </c>
      <c r="AX287" s="142">
        <v>456</v>
      </c>
      <c r="AZ287" s="142" t="s">
        <v>123</v>
      </c>
    </row>
    <row r="288" spans="2:52" s="142" customFormat="1" ht="21" customHeight="1" x14ac:dyDescent="0.25">
      <c r="B288" s="173" t="str">
        <f t="shared" si="51"/>
        <v>0-304/2B-1.00X768</v>
      </c>
      <c r="C288" s="201" t="s">
        <v>4959</v>
      </c>
      <c r="D288" s="173" t="s">
        <v>4432</v>
      </c>
      <c r="E288" s="190" t="s">
        <v>4177</v>
      </c>
      <c r="F288" s="201" t="s">
        <v>4966</v>
      </c>
      <c r="G288" s="173">
        <v>304</v>
      </c>
      <c r="H288" s="173" t="s">
        <v>114</v>
      </c>
      <c r="I288" s="174">
        <v>2.9</v>
      </c>
      <c r="J288" s="174">
        <v>1</v>
      </c>
      <c r="K288" s="203">
        <v>0.98</v>
      </c>
      <c r="L288" s="203">
        <v>1.03</v>
      </c>
      <c r="M288" s="191">
        <v>768</v>
      </c>
      <c r="N288" s="176">
        <v>10.44</v>
      </c>
      <c r="O288" s="176">
        <f>4.435+5.93</f>
        <v>10.364999999999998</v>
      </c>
      <c r="P288" s="176"/>
      <c r="Q288" s="176">
        <v>7.4999999999999997E-2</v>
      </c>
      <c r="R288" s="176" t="s">
        <v>114</v>
      </c>
      <c r="S288" s="209" t="s">
        <v>4961</v>
      </c>
      <c r="T288" s="178" t="s">
        <v>4965</v>
      </c>
      <c r="U288" s="178"/>
      <c r="V288" s="179"/>
      <c r="W288" s="177">
        <v>44946</v>
      </c>
      <c r="X288" s="177"/>
      <c r="Y288" s="177">
        <v>44946</v>
      </c>
      <c r="Z288" s="177"/>
      <c r="AA288" s="177"/>
      <c r="AB288" s="177"/>
      <c r="AC288" s="177"/>
      <c r="AD288" s="177"/>
      <c r="AE288" s="177"/>
      <c r="AF288" s="177"/>
      <c r="AG288" s="180" t="s">
        <v>2448</v>
      </c>
      <c r="AH288" s="173" t="s">
        <v>69</v>
      </c>
      <c r="AI288" s="181" t="s">
        <v>142</v>
      </c>
      <c r="AJ288" s="181" t="s">
        <v>1584</v>
      </c>
      <c r="AK288" s="181"/>
      <c r="AL288" s="181">
        <v>44914</v>
      </c>
      <c r="AM288" s="181"/>
      <c r="AN288" s="181">
        <f t="shared" ca="1" si="52"/>
        <v>44958</v>
      </c>
      <c r="AO288" s="173">
        <f t="shared" ca="1" si="56"/>
        <v>44</v>
      </c>
      <c r="AP288" s="173" t="str">
        <f t="shared" si="54"/>
        <v/>
      </c>
      <c r="AQ288" s="181"/>
      <c r="AR288" s="190" t="s">
        <v>4140</v>
      </c>
      <c r="AS288" s="176">
        <v>10.56</v>
      </c>
      <c r="AT288" s="176">
        <v>10.57</v>
      </c>
      <c r="AU288" s="176">
        <v>10.594999999999999</v>
      </c>
      <c r="AV288" s="176">
        <v>10.6</v>
      </c>
      <c r="AW288" s="173">
        <f t="shared" ca="1" si="55"/>
        <v>12</v>
      </c>
      <c r="AX288" s="142">
        <v>462</v>
      </c>
      <c r="AZ288" s="142" t="s">
        <v>123</v>
      </c>
    </row>
    <row r="289" spans="1:60" s="142" customFormat="1" ht="21" customHeight="1" x14ac:dyDescent="0.25">
      <c r="B289" s="173" t="str">
        <f t="shared" si="51"/>
        <v>0-304L/2B-1.20X767</v>
      </c>
      <c r="C289" s="201" t="s">
        <v>4959</v>
      </c>
      <c r="D289" s="173" t="s">
        <v>4432</v>
      </c>
      <c r="E289" s="190" t="s">
        <v>1522</v>
      </c>
      <c r="F289" s="201" t="s">
        <v>4967</v>
      </c>
      <c r="G289" s="173" t="s">
        <v>182</v>
      </c>
      <c r="H289" s="173" t="s">
        <v>114</v>
      </c>
      <c r="I289" s="174">
        <v>3.8</v>
      </c>
      <c r="J289" s="174">
        <v>1.2</v>
      </c>
      <c r="K289" s="203">
        <v>1.18</v>
      </c>
      <c r="L289" s="203">
        <v>1.22</v>
      </c>
      <c r="M289" s="191">
        <v>767</v>
      </c>
      <c r="N289" s="176">
        <v>11.984999999999999</v>
      </c>
      <c r="O289" s="176">
        <f>3.905+4.065+3.995</f>
        <v>11.965</v>
      </c>
      <c r="P289" s="176"/>
      <c r="Q289" s="176">
        <v>0.02</v>
      </c>
      <c r="R289" s="176" t="s">
        <v>114</v>
      </c>
      <c r="S289" s="209" t="s">
        <v>4968</v>
      </c>
      <c r="T289" s="178" t="s">
        <v>4969</v>
      </c>
      <c r="U289" s="178"/>
      <c r="V289" s="179"/>
      <c r="W289" s="177">
        <v>44936</v>
      </c>
      <c r="X289" s="177"/>
      <c r="Y289" s="177">
        <v>44938</v>
      </c>
      <c r="Z289" s="177"/>
      <c r="AA289" s="177"/>
      <c r="AB289" s="177"/>
      <c r="AC289" s="177"/>
      <c r="AD289" s="177">
        <v>44935</v>
      </c>
      <c r="AE289" s="177"/>
      <c r="AF289" s="177"/>
      <c r="AG289" s="180" t="s">
        <v>1507</v>
      </c>
      <c r="AH289" s="173" t="s">
        <v>69</v>
      </c>
      <c r="AI289" s="181" t="s">
        <v>142</v>
      </c>
      <c r="AJ289" s="181" t="s">
        <v>1508</v>
      </c>
      <c r="AK289" s="181"/>
      <c r="AL289" s="181">
        <v>44849</v>
      </c>
      <c r="AM289" s="181"/>
      <c r="AN289" s="181">
        <f t="shared" ca="1" si="52"/>
        <v>44958</v>
      </c>
      <c r="AO289" s="173">
        <f t="shared" ca="1" si="56"/>
        <v>109</v>
      </c>
      <c r="AP289" s="173" t="str">
        <f t="shared" si="54"/>
        <v/>
      </c>
      <c r="AQ289" s="181"/>
      <c r="AR289" s="190" t="s">
        <v>1525</v>
      </c>
      <c r="AS289" s="176">
        <v>24.204999999999998</v>
      </c>
      <c r="AT289" s="176">
        <v>24.265000000000001</v>
      </c>
      <c r="AU289" s="176">
        <v>24.290000000000003</v>
      </c>
      <c r="AV289" s="176">
        <v>24.295000000000002</v>
      </c>
      <c r="AW289" s="173">
        <f t="shared" ca="1" si="55"/>
        <v>20</v>
      </c>
      <c r="AX289" s="142">
        <v>456</v>
      </c>
      <c r="AZ289" s="142" t="s">
        <v>123</v>
      </c>
    </row>
    <row r="290" spans="1:60" s="142" customFormat="1" ht="21" customHeight="1" x14ac:dyDescent="0.25">
      <c r="B290" s="173" t="str">
        <f t="shared" si="51"/>
        <v>0-304/2B-1.95X635</v>
      </c>
      <c r="C290" s="201" t="s">
        <v>4963</v>
      </c>
      <c r="D290" s="173" t="s">
        <v>836</v>
      </c>
      <c r="E290" s="190" t="s">
        <v>1641</v>
      </c>
      <c r="F290" s="201" t="s">
        <v>4233</v>
      </c>
      <c r="G290" s="173">
        <v>304</v>
      </c>
      <c r="H290" s="173" t="s">
        <v>114</v>
      </c>
      <c r="I290" s="174">
        <v>3.9</v>
      </c>
      <c r="J290" s="174">
        <v>1.95</v>
      </c>
      <c r="K290" s="203">
        <v>1.91</v>
      </c>
      <c r="L290" s="203">
        <v>1.94</v>
      </c>
      <c r="M290" s="191">
        <v>635</v>
      </c>
      <c r="N290" s="176">
        <v>10.43</v>
      </c>
      <c r="O290" s="176">
        <v>10.414999999999999</v>
      </c>
      <c r="P290" s="176"/>
      <c r="Q290" s="176">
        <v>1.4999999999999999E-2</v>
      </c>
      <c r="R290" s="176" t="s">
        <v>114</v>
      </c>
      <c r="S290" s="209"/>
      <c r="T290" s="178" t="s">
        <v>361</v>
      </c>
      <c r="U290" s="178"/>
      <c r="V290" s="179"/>
      <c r="W290" s="177">
        <v>44951</v>
      </c>
      <c r="X290" s="177"/>
      <c r="Y290" s="177">
        <v>44951</v>
      </c>
      <c r="Z290" s="177"/>
      <c r="AA290" s="177">
        <v>44956</v>
      </c>
      <c r="AB290" s="177"/>
      <c r="AC290" s="177"/>
      <c r="AD290" s="177"/>
      <c r="AE290" s="177"/>
      <c r="AF290" s="177"/>
      <c r="AG290" s="180" t="s">
        <v>1643</v>
      </c>
      <c r="AH290" s="173" t="s">
        <v>69</v>
      </c>
      <c r="AI290" s="181" t="s">
        <v>142</v>
      </c>
      <c r="AJ290" s="181" t="s">
        <v>1594</v>
      </c>
      <c r="AK290" s="181"/>
      <c r="AL290" s="181">
        <v>44849</v>
      </c>
      <c r="AM290" s="181"/>
      <c r="AN290" s="181">
        <f t="shared" ca="1" si="52"/>
        <v>44958</v>
      </c>
      <c r="AO290" s="173">
        <f t="shared" ca="1" si="56"/>
        <v>109</v>
      </c>
      <c r="AP290" s="173">
        <f t="shared" ca="1" si="54"/>
        <v>2</v>
      </c>
      <c r="AQ290" s="181"/>
      <c r="AR290" s="190" t="s">
        <v>1644</v>
      </c>
      <c r="AS290" s="176">
        <v>10.52</v>
      </c>
      <c r="AT290" s="176">
        <v>10.53</v>
      </c>
      <c r="AU290" s="176">
        <v>10.554999999999998</v>
      </c>
      <c r="AV290" s="176">
        <v>10.559999999999999</v>
      </c>
      <c r="AW290" s="173">
        <f t="shared" ca="1" si="55"/>
        <v>7</v>
      </c>
      <c r="AX290" s="142">
        <v>456</v>
      </c>
      <c r="AZ290" s="142" t="s">
        <v>123</v>
      </c>
    </row>
    <row r="291" spans="1:60" s="142" customFormat="1" ht="21" customHeight="1" x14ac:dyDescent="0.25">
      <c r="B291" s="173" t="str">
        <f t="shared" si="51"/>
        <v>0-304/2B-1.10X768</v>
      </c>
      <c r="C291" s="201" t="s">
        <v>4959</v>
      </c>
      <c r="D291" s="173" t="s">
        <v>4432</v>
      </c>
      <c r="E291" s="190" t="s">
        <v>4970</v>
      </c>
      <c r="F291" s="201" t="s">
        <v>4971</v>
      </c>
      <c r="G291" s="173">
        <v>304</v>
      </c>
      <c r="H291" s="173" t="s">
        <v>114</v>
      </c>
      <c r="I291" s="174">
        <v>2.9</v>
      </c>
      <c r="J291" s="174">
        <v>1.1000000000000001</v>
      </c>
      <c r="K291" s="203">
        <v>1.0900000000000001</v>
      </c>
      <c r="L291" s="203">
        <v>1.1000000000000001</v>
      </c>
      <c r="M291" s="191">
        <v>768</v>
      </c>
      <c r="N291" s="176">
        <v>4.4000000000000004</v>
      </c>
      <c r="O291" s="176">
        <v>4.4000000000000004</v>
      </c>
      <c r="P291" s="176"/>
      <c r="Q291" s="176"/>
      <c r="R291" s="176" t="s">
        <v>114</v>
      </c>
      <c r="S291" s="209" t="s">
        <v>4972</v>
      </c>
      <c r="T291" s="178" t="s">
        <v>4358</v>
      </c>
      <c r="U291" s="178"/>
      <c r="V291" s="179"/>
      <c r="W291" s="177">
        <v>44899</v>
      </c>
      <c r="X291" s="177"/>
      <c r="Y291" s="177">
        <v>44900</v>
      </c>
      <c r="Z291" s="177"/>
      <c r="AA291" s="177"/>
      <c r="AB291" s="177"/>
      <c r="AC291" s="177"/>
      <c r="AD291" s="177"/>
      <c r="AE291" s="177"/>
      <c r="AF291" s="177"/>
      <c r="AG291" s="180" t="s">
        <v>1609</v>
      </c>
      <c r="AH291" s="173" t="s">
        <v>69</v>
      </c>
      <c r="AI291" s="181" t="s">
        <v>142</v>
      </c>
      <c r="AJ291" s="181" t="s">
        <v>1887</v>
      </c>
      <c r="AK291" s="181"/>
      <c r="AL291" s="181">
        <v>44880</v>
      </c>
      <c r="AM291" s="181"/>
      <c r="AN291" s="181">
        <f t="shared" ca="1" si="52"/>
        <v>44958</v>
      </c>
      <c r="AO291" s="173">
        <f t="shared" ca="1" si="56"/>
        <v>78</v>
      </c>
      <c r="AP291" s="173" t="str">
        <f t="shared" si="54"/>
        <v/>
      </c>
      <c r="AQ291" s="181"/>
      <c r="AR291" s="190" t="s">
        <v>4973</v>
      </c>
      <c r="AS291" s="176">
        <v>10.445</v>
      </c>
      <c r="AT291" s="176">
        <v>10.455</v>
      </c>
      <c r="AU291" s="176">
        <v>10.479999999999999</v>
      </c>
      <c r="AV291" s="176">
        <v>10.484999999999999</v>
      </c>
      <c r="AW291" s="173">
        <f t="shared" ca="1" si="55"/>
        <v>58</v>
      </c>
      <c r="AX291" s="142">
        <v>459</v>
      </c>
      <c r="AZ291" s="142" t="s">
        <v>123</v>
      </c>
    </row>
    <row r="292" spans="1:60" s="142" customFormat="1" ht="21" customHeight="1" x14ac:dyDescent="0.25">
      <c r="B292" s="173" t="str">
        <f t="shared" si="51"/>
        <v>0-304/2B-1.10X768</v>
      </c>
      <c r="C292" s="201" t="s">
        <v>4974</v>
      </c>
      <c r="D292" s="173" t="s">
        <v>4432</v>
      </c>
      <c r="E292" s="190" t="s">
        <v>4970</v>
      </c>
      <c r="F292" s="201" t="s">
        <v>4975</v>
      </c>
      <c r="G292" s="173">
        <v>304</v>
      </c>
      <c r="H292" s="173" t="s">
        <v>114</v>
      </c>
      <c r="I292" s="174">
        <v>2.9</v>
      </c>
      <c r="J292" s="174">
        <v>1.1000000000000001</v>
      </c>
      <c r="K292" s="203">
        <v>1.0900000000000001</v>
      </c>
      <c r="L292" s="203">
        <v>1.1000000000000001</v>
      </c>
      <c r="M292" s="191">
        <v>768</v>
      </c>
      <c r="N292" s="176">
        <f>10.43-4.4</f>
        <v>6.0299999999999994</v>
      </c>
      <c r="O292" s="176">
        <v>5.9649999999999999</v>
      </c>
      <c r="P292" s="176"/>
      <c r="Q292" s="176">
        <v>6.5000000000000002E-2</v>
      </c>
      <c r="R292" s="176" t="s">
        <v>114</v>
      </c>
      <c r="S292" s="209" t="s">
        <v>4972</v>
      </c>
      <c r="T292" s="178" t="s">
        <v>4358</v>
      </c>
      <c r="U292" s="178"/>
      <c r="V292" s="179"/>
      <c r="W292" s="177">
        <v>44899</v>
      </c>
      <c r="X292" s="177"/>
      <c r="Y292" s="177">
        <v>44900</v>
      </c>
      <c r="Z292" s="177"/>
      <c r="AA292" s="177"/>
      <c r="AB292" s="177"/>
      <c r="AC292" s="177"/>
      <c r="AD292" s="177"/>
      <c r="AE292" s="177"/>
      <c r="AF292" s="177"/>
      <c r="AG292" s="180" t="s">
        <v>1609</v>
      </c>
      <c r="AH292" s="173" t="s">
        <v>69</v>
      </c>
      <c r="AI292" s="181" t="s">
        <v>142</v>
      </c>
      <c r="AJ292" s="181" t="s">
        <v>1887</v>
      </c>
      <c r="AK292" s="181"/>
      <c r="AL292" s="181">
        <v>44880</v>
      </c>
      <c r="AM292" s="181"/>
      <c r="AN292" s="181">
        <f t="shared" ca="1" si="52"/>
        <v>44958</v>
      </c>
      <c r="AO292" s="173">
        <f t="shared" ca="1" si="56"/>
        <v>78</v>
      </c>
      <c r="AP292" s="173" t="str">
        <f t="shared" si="54"/>
        <v/>
      </c>
      <c r="AQ292" s="181"/>
      <c r="AR292" s="190" t="s">
        <v>4973</v>
      </c>
      <c r="AS292" s="176">
        <v>10.445</v>
      </c>
      <c r="AT292" s="176">
        <v>10.455</v>
      </c>
      <c r="AU292" s="176">
        <v>10.479999999999999</v>
      </c>
      <c r="AV292" s="176">
        <v>10.484999999999999</v>
      </c>
      <c r="AW292" s="173" t="str">
        <f t="shared" ref="AW292:AW301" si="57">IF(ISNUMBER(X292)=TRUE,AN292-X292,IF(X292="","",(AN292)-(MID(RIGHT(X292,10),4,2)&amp;"/"&amp;LEFT((RIGHT(X292,10)),2)&amp;"/"&amp;RIGHT(X292,4))))</f>
        <v/>
      </c>
      <c r="AX292" s="142">
        <v>459</v>
      </c>
      <c r="AZ292" s="142" t="s">
        <v>123</v>
      </c>
    </row>
    <row r="293" spans="1:60" s="142" customFormat="1" ht="21" customHeight="1" x14ac:dyDescent="0.25">
      <c r="B293" s="173" t="str">
        <f t="shared" si="51"/>
        <v>0-304/2B-1.10X767</v>
      </c>
      <c r="C293" s="201" t="s">
        <v>4974</v>
      </c>
      <c r="D293" s="173" t="s">
        <v>4432</v>
      </c>
      <c r="E293" s="190" t="s">
        <v>4976</v>
      </c>
      <c r="F293" s="201" t="s">
        <v>4977</v>
      </c>
      <c r="G293" s="173">
        <v>304</v>
      </c>
      <c r="H293" s="173" t="s">
        <v>114</v>
      </c>
      <c r="I293" s="174">
        <v>2.89</v>
      </c>
      <c r="J293" s="174">
        <v>1.1000000000000001</v>
      </c>
      <c r="K293" s="203">
        <v>1.0900000000000001</v>
      </c>
      <c r="L293" s="203">
        <v>1.1000000000000001</v>
      </c>
      <c r="M293" s="191">
        <v>767</v>
      </c>
      <c r="N293" s="349">
        <v>10.48</v>
      </c>
      <c r="O293" s="176">
        <v>5.165</v>
      </c>
      <c r="P293" s="176"/>
      <c r="Q293" s="176"/>
      <c r="R293" s="176" t="s">
        <v>114</v>
      </c>
      <c r="S293" s="209" t="s">
        <v>4972</v>
      </c>
      <c r="T293" s="178" t="s">
        <v>4358</v>
      </c>
      <c r="U293" s="178"/>
      <c r="V293" s="179"/>
      <c r="W293" s="177">
        <v>44900</v>
      </c>
      <c r="X293" s="177"/>
      <c r="Y293" s="177">
        <v>44900</v>
      </c>
      <c r="Z293" s="177"/>
      <c r="AA293" s="177"/>
      <c r="AB293" s="177"/>
      <c r="AC293" s="177"/>
      <c r="AD293" s="177"/>
      <c r="AE293" s="177"/>
      <c r="AF293" s="177"/>
      <c r="AG293" s="180" t="s">
        <v>1609</v>
      </c>
      <c r="AH293" s="173" t="s">
        <v>69</v>
      </c>
      <c r="AI293" s="181" t="s">
        <v>142</v>
      </c>
      <c r="AJ293" s="181" t="s">
        <v>1653</v>
      </c>
      <c r="AK293" s="181"/>
      <c r="AL293" s="181">
        <v>44880</v>
      </c>
      <c r="AM293" s="181"/>
      <c r="AN293" s="181">
        <f t="shared" ca="1" si="52"/>
        <v>44958</v>
      </c>
      <c r="AO293" s="173">
        <f t="shared" ca="1" si="56"/>
        <v>78</v>
      </c>
      <c r="AP293" s="173" t="str">
        <f t="shared" si="54"/>
        <v/>
      </c>
      <c r="AQ293" s="181"/>
      <c r="AR293" s="190" t="s">
        <v>4978</v>
      </c>
      <c r="AS293" s="176">
        <v>10.48</v>
      </c>
      <c r="AT293" s="176">
        <v>10.49</v>
      </c>
      <c r="AU293" s="176">
        <v>10.514999999999999</v>
      </c>
      <c r="AV293" s="176">
        <v>10.52</v>
      </c>
      <c r="AW293" s="173" t="str">
        <f t="shared" si="57"/>
        <v/>
      </c>
      <c r="AX293" s="142">
        <v>459</v>
      </c>
      <c r="AZ293" s="142" t="s">
        <v>123</v>
      </c>
    </row>
    <row r="294" spans="1:60" s="142" customFormat="1" ht="21" customHeight="1" x14ac:dyDescent="0.25">
      <c r="B294" s="173" t="str">
        <f t="shared" si="51"/>
        <v>0-304/2B-1.10X767</v>
      </c>
      <c r="C294" s="201" t="s">
        <v>4979</v>
      </c>
      <c r="D294" s="173" t="s">
        <v>836</v>
      </c>
      <c r="E294" s="190" t="s">
        <v>4976</v>
      </c>
      <c r="F294" s="201" t="s">
        <v>4980</v>
      </c>
      <c r="G294" s="173">
        <v>304</v>
      </c>
      <c r="H294" s="173" t="s">
        <v>114</v>
      </c>
      <c r="I294" s="174">
        <v>2.89</v>
      </c>
      <c r="J294" s="174">
        <v>1.1000000000000001</v>
      </c>
      <c r="K294" s="203">
        <v>1.0900000000000001</v>
      </c>
      <c r="L294" s="203">
        <v>1.1000000000000001</v>
      </c>
      <c r="M294" s="191">
        <v>767</v>
      </c>
      <c r="N294" s="350"/>
      <c r="O294" s="176">
        <v>5.26</v>
      </c>
      <c r="P294" s="176"/>
      <c r="Q294" s="176">
        <v>5.5E-2</v>
      </c>
      <c r="R294" s="176" t="s">
        <v>114</v>
      </c>
      <c r="S294" s="209"/>
      <c r="T294" s="178" t="s">
        <v>4358</v>
      </c>
      <c r="U294" s="178"/>
      <c r="V294" s="179"/>
      <c r="W294" s="177">
        <v>44900</v>
      </c>
      <c r="X294" s="177"/>
      <c r="Y294" s="177">
        <v>44900</v>
      </c>
      <c r="Z294" s="177"/>
      <c r="AA294" s="177">
        <v>44957</v>
      </c>
      <c r="AB294" s="177"/>
      <c r="AC294" s="177"/>
      <c r="AD294" s="177"/>
      <c r="AE294" s="177"/>
      <c r="AF294" s="177"/>
      <c r="AG294" s="180" t="s">
        <v>1609</v>
      </c>
      <c r="AH294" s="173" t="s">
        <v>69</v>
      </c>
      <c r="AI294" s="181" t="s">
        <v>142</v>
      </c>
      <c r="AJ294" s="181" t="s">
        <v>1653</v>
      </c>
      <c r="AK294" s="181"/>
      <c r="AL294" s="181">
        <v>44880</v>
      </c>
      <c r="AM294" s="181"/>
      <c r="AN294" s="181">
        <f t="shared" ca="1" si="52"/>
        <v>44958</v>
      </c>
      <c r="AO294" s="173">
        <f t="shared" ca="1" si="56"/>
        <v>78</v>
      </c>
      <c r="AP294" s="173">
        <f t="shared" ca="1" si="54"/>
        <v>1</v>
      </c>
      <c r="AQ294" s="181"/>
      <c r="AR294" s="190" t="s">
        <v>4978</v>
      </c>
      <c r="AS294" s="176">
        <v>10.48</v>
      </c>
      <c r="AT294" s="176">
        <v>10.49</v>
      </c>
      <c r="AU294" s="176">
        <v>10.514999999999999</v>
      </c>
      <c r="AV294" s="176">
        <v>10.52</v>
      </c>
      <c r="AW294" s="173" t="str">
        <f t="shared" si="57"/>
        <v/>
      </c>
      <c r="AX294" s="142">
        <v>459</v>
      </c>
      <c r="AZ294" s="142" t="s">
        <v>123</v>
      </c>
    </row>
    <row r="295" spans="1:60" s="142" customFormat="1" ht="21" customHeight="1" x14ac:dyDescent="0.25">
      <c r="B295" s="173" t="str">
        <f t="shared" si="51"/>
        <v>0-304/2B-2.00X643</v>
      </c>
      <c r="C295" s="201" t="s">
        <v>4974</v>
      </c>
      <c r="D295" s="173" t="s">
        <v>4432</v>
      </c>
      <c r="E295" s="190" t="s">
        <v>4312</v>
      </c>
      <c r="F295" s="201" t="s">
        <v>4981</v>
      </c>
      <c r="G295" s="173">
        <v>304</v>
      </c>
      <c r="H295" s="173" t="s">
        <v>114</v>
      </c>
      <c r="I295" s="174">
        <v>3.94</v>
      </c>
      <c r="J295" s="174">
        <v>2</v>
      </c>
      <c r="K295" s="203">
        <v>1.98</v>
      </c>
      <c r="L295" s="203">
        <v>2</v>
      </c>
      <c r="M295" s="191">
        <v>643</v>
      </c>
      <c r="N295" s="176">
        <v>10.69</v>
      </c>
      <c r="O295" s="176">
        <f>3.55+3.57+3.54</f>
        <v>10.66</v>
      </c>
      <c r="P295" s="176"/>
      <c r="Q295" s="176">
        <v>0.03</v>
      </c>
      <c r="R295" s="176" t="s">
        <v>114</v>
      </c>
      <c r="S295" s="209" t="s">
        <v>4936</v>
      </c>
      <c r="T295" s="178" t="s">
        <v>1210</v>
      </c>
      <c r="U295" s="178"/>
      <c r="V295" s="179"/>
      <c r="W295" s="177">
        <v>44956</v>
      </c>
      <c r="X295" s="177"/>
      <c r="Y295" s="177">
        <v>44956</v>
      </c>
      <c r="Z295" s="177"/>
      <c r="AA295" s="177"/>
      <c r="AB295" s="177"/>
      <c r="AC295" s="177"/>
      <c r="AD295" s="177"/>
      <c r="AE295" s="177"/>
      <c r="AF295" s="177"/>
      <c r="AG295" s="180" t="s">
        <v>1593</v>
      </c>
      <c r="AH295" s="173" t="s">
        <v>69</v>
      </c>
      <c r="AI295" s="181" t="s">
        <v>142</v>
      </c>
      <c r="AJ295" s="181" t="s">
        <v>1657</v>
      </c>
      <c r="AK295" s="181"/>
      <c r="AL295" s="181">
        <v>44849</v>
      </c>
      <c r="AM295" s="181"/>
      <c r="AN295" s="181">
        <f t="shared" ca="1" si="52"/>
        <v>44958</v>
      </c>
      <c r="AO295" s="173">
        <f t="shared" ca="1" si="56"/>
        <v>109</v>
      </c>
      <c r="AP295" s="173" t="str">
        <f t="shared" si="54"/>
        <v/>
      </c>
      <c r="AQ295" s="181"/>
      <c r="AR295" s="190" t="s">
        <v>1781</v>
      </c>
      <c r="AS295" s="176">
        <v>10.765000000000001</v>
      </c>
      <c r="AT295" s="176">
        <v>10.775</v>
      </c>
      <c r="AU295" s="176">
        <v>10.799999999999999</v>
      </c>
      <c r="AV295" s="176">
        <v>10.805</v>
      </c>
      <c r="AW295" s="173" t="str">
        <f t="shared" si="57"/>
        <v/>
      </c>
      <c r="AX295" s="142">
        <v>456</v>
      </c>
      <c r="AZ295" s="142" t="s">
        <v>123</v>
      </c>
    </row>
    <row r="296" spans="1:60" s="142" customFormat="1" ht="21" customHeight="1" x14ac:dyDescent="0.25">
      <c r="B296" s="173" t="str">
        <f t="shared" si="51"/>
        <v>0-304L/2B-1.45X644</v>
      </c>
      <c r="C296" s="201" t="s">
        <v>4974</v>
      </c>
      <c r="D296" s="173" t="s">
        <v>4432</v>
      </c>
      <c r="E296" s="190" t="s">
        <v>4279</v>
      </c>
      <c r="F296" s="201" t="s">
        <v>4982</v>
      </c>
      <c r="G296" s="173" t="s">
        <v>182</v>
      </c>
      <c r="H296" s="173" t="s">
        <v>114</v>
      </c>
      <c r="I296" s="174">
        <v>3.8</v>
      </c>
      <c r="J296" s="174">
        <v>1.45</v>
      </c>
      <c r="K296" s="203">
        <v>1.44</v>
      </c>
      <c r="L296" s="203">
        <v>1.46</v>
      </c>
      <c r="M296" s="191">
        <v>644</v>
      </c>
      <c r="N296" s="349">
        <v>10.65</v>
      </c>
      <c r="O296" s="176">
        <f>3.54+3.55</f>
        <v>7.09</v>
      </c>
      <c r="P296" s="176"/>
      <c r="Q296" s="176"/>
      <c r="R296" s="176" t="s">
        <v>114</v>
      </c>
      <c r="S296" s="209" t="s">
        <v>4936</v>
      </c>
      <c r="T296" s="178" t="s">
        <v>1210</v>
      </c>
      <c r="U296" s="178"/>
      <c r="V296" s="179"/>
      <c r="W296" s="177">
        <v>44953</v>
      </c>
      <c r="X296" s="177"/>
      <c r="Y296" s="177">
        <v>44954</v>
      </c>
      <c r="Z296" s="177"/>
      <c r="AA296" s="177"/>
      <c r="AB296" s="177"/>
      <c r="AC296" s="177"/>
      <c r="AD296" s="177"/>
      <c r="AE296" s="177"/>
      <c r="AF296" s="177"/>
      <c r="AG296" s="180" t="s">
        <v>1605</v>
      </c>
      <c r="AH296" s="173" t="s">
        <v>69</v>
      </c>
      <c r="AI296" s="181" t="s">
        <v>142</v>
      </c>
      <c r="AJ296" s="181" t="s">
        <v>1657</v>
      </c>
      <c r="AK296" s="181"/>
      <c r="AL296" s="181">
        <v>44849</v>
      </c>
      <c r="AM296" s="181"/>
      <c r="AN296" s="181">
        <f t="shared" ca="1" si="52"/>
        <v>44958</v>
      </c>
      <c r="AO296" s="173">
        <f t="shared" ca="1" si="56"/>
        <v>109</v>
      </c>
      <c r="AP296" s="173" t="str">
        <f t="shared" si="54"/>
        <v/>
      </c>
      <c r="AQ296" s="181"/>
      <c r="AR296" s="190" t="s">
        <v>1676</v>
      </c>
      <c r="AS296" s="176">
        <v>10.695</v>
      </c>
      <c r="AT296" s="176">
        <v>10.705</v>
      </c>
      <c r="AU296" s="176">
        <v>10.729999999999999</v>
      </c>
      <c r="AV296" s="176">
        <v>10.734999999999999</v>
      </c>
      <c r="AW296" s="173" t="str">
        <f t="shared" si="57"/>
        <v/>
      </c>
      <c r="AX296" s="142">
        <v>456</v>
      </c>
      <c r="AZ296" s="142" t="s">
        <v>123</v>
      </c>
    </row>
    <row r="297" spans="1:60" s="142" customFormat="1" ht="21" customHeight="1" x14ac:dyDescent="0.25">
      <c r="B297" s="173" t="str">
        <f t="shared" si="51"/>
        <v>0-304L/2B-1.45X644</v>
      </c>
      <c r="C297" s="201" t="s">
        <v>4979</v>
      </c>
      <c r="D297" s="173" t="s">
        <v>836</v>
      </c>
      <c r="E297" s="190" t="s">
        <v>4279</v>
      </c>
      <c r="F297" s="201" t="s">
        <v>4983</v>
      </c>
      <c r="G297" s="173" t="s">
        <v>182</v>
      </c>
      <c r="H297" s="173" t="s">
        <v>114</v>
      </c>
      <c r="I297" s="174">
        <v>3.8</v>
      </c>
      <c r="J297" s="174">
        <v>1.45</v>
      </c>
      <c r="K297" s="203">
        <v>1.44</v>
      </c>
      <c r="L297" s="203">
        <v>1.46</v>
      </c>
      <c r="M297" s="191">
        <v>644</v>
      </c>
      <c r="N297" s="350"/>
      <c r="O297" s="176">
        <v>3.5249999999999999</v>
      </c>
      <c r="P297" s="176"/>
      <c r="Q297" s="176">
        <v>3.5000000000000003E-2</v>
      </c>
      <c r="R297" s="176" t="s">
        <v>114</v>
      </c>
      <c r="S297" s="209"/>
      <c r="T297" s="178" t="s">
        <v>1210</v>
      </c>
      <c r="U297" s="178"/>
      <c r="V297" s="179"/>
      <c r="W297" s="177">
        <v>44953</v>
      </c>
      <c r="X297" s="177"/>
      <c r="Y297" s="177">
        <v>44954</v>
      </c>
      <c r="Z297" s="177"/>
      <c r="AA297" s="177">
        <v>44957</v>
      </c>
      <c r="AB297" s="177"/>
      <c r="AC297" s="177"/>
      <c r="AD297" s="177"/>
      <c r="AE297" s="177"/>
      <c r="AF297" s="177"/>
      <c r="AG297" s="180" t="s">
        <v>1605</v>
      </c>
      <c r="AH297" s="173" t="s">
        <v>69</v>
      </c>
      <c r="AI297" s="181" t="s">
        <v>142</v>
      </c>
      <c r="AJ297" s="181" t="s">
        <v>1657</v>
      </c>
      <c r="AK297" s="181"/>
      <c r="AL297" s="181">
        <v>44849</v>
      </c>
      <c r="AM297" s="181"/>
      <c r="AN297" s="181">
        <f t="shared" ca="1" si="52"/>
        <v>44958</v>
      </c>
      <c r="AO297" s="173">
        <f t="shared" ca="1" si="56"/>
        <v>109</v>
      </c>
      <c r="AP297" s="173">
        <f t="shared" ca="1" si="54"/>
        <v>1</v>
      </c>
      <c r="AQ297" s="181"/>
      <c r="AR297" s="190" t="s">
        <v>1676</v>
      </c>
      <c r="AS297" s="176">
        <v>10.695</v>
      </c>
      <c r="AT297" s="176">
        <v>10.705</v>
      </c>
      <c r="AU297" s="176">
        <v>10.729999999999999</v>
      </c>
      <c r="AV297" s="176">
        <v>10.734999999999999</v>
      </c>
      <c r="AW297" s="173" t="str">
        <f t="shared" si="57"/>
        <v/>
      </c>
      <c r="AX297" s="142">
        <v>456</v>
      </c>
      <c r="AZ297" s="142" t="s">
        <v>123</v>
      </c>
    </row>
    <row r="298" spans="1:60" s="142" customFormat="1" ht="21" customHeight="1" x14ac:dyDescent="0.25">
      <c r="B298" s="173" t="str">
        <f t="shared" si="51"/>
        <v>0-304L/2B-2.00X642</v>
      </c>
      <c r="C298" s="201" t="s">
        <v>4974</v>
      </c>
      <c r="D298" s="173" t="s">
        <v>4432</v>
      </c>
      <c r="E298" s="190" t="s">
        <v>4305</v>
      </c>
      <c r="F298" s="201" t="s">
        <v>4306</v>
      </c>
      <c r="G298" s="173" t="s">
        <v>182</v>
      </c>
      <c r="H298" s="173" t="s">
        <v>114</v>
      </c>
      <c r="I298" s="174">
        <v>3.94</v>
      </c>
      <c r="J298" s="174">
        <v>2</v>
      </c>
      <c r="K298" s="203">
        <v>1.98</v>
      </c>
      <c r="L298" s="203">
        <v>2.02</v>
      </c>
      <c r="M298" s="191">
        <v>642</v>
      </c>
      <c r="N298" s="176">
        <v>10.53</v>
      </c>
      <c r="O298" s="176">
        <v>10.525</v>
      </c>
      <c r="P298" s="176"/>
      <c r="Q298" s="176">
        <v>5.0000000000000001E-3</v>
      </c>
      <c r="R298" s="176" t="s">
        <v>114</v>
      </c>
      <c r="S298" s="209" t="s">
        <v>4936</v>
      </c>
      <c r="T298" s="178" t="s">
        <v>1210</v>
      </c>
      <c r="U298" s="178" t="s">
        <v>361</v>
      </c>
      <c r="V298" s="179"/>
      <c r="W298" s="177">
        <v>44956</v>
      </c>
      <c r="X298" s="177"/>
      <c r="Y298" s="177">
        <v>44956</v>
      </c>
      <c r="Z298" s="177"/>
      <c r="AA298" s="177"/>
      <c r="AB298" s="177"/>
      <c r="AC298" s="177"/>
      <c r="AD298" s="177"/>
      <c r="AE298" s="177"/>
      <c r="AF298" s="177"/>
      <c r="AG298" s="180" t="s">
        <v>1593</v>
      </c>
      <c r="AH298" s="173" t="s">
        <v>69</v>
      </c>
      <c r="AI298" s="181" t="s">
        <v>142</v>
      </c>
      <c r="AJ298" s="181" t="s">
        <v>1657</v>
      </c>
      <c r="AK298" s="181"/>
      <c r="AL298" s="181">
        <v>44849</v>
      </c>
      <c r="AM298" s="181"/>
      <c r="AN298" s="181">
        <f t="shared" ca="1" si="52"/>
        <v>44958</v>
      </c>
      <c r="AO298" s="173">
        <f t="shared" ca="1" si="56"/>
        <v>109</v>
      </c>
      <c r="AP298" s="173" t="str">
        <f t="shared" si="54"/>
        <v/>
      </c>
      <c r="AQ298" s="181"/>
      <c r="AR298" s="190" t="s">
        <v>4307</v>
      </c>
      <c r="AS298" s="176">
        <v>10.58</v>
      </c>
      <c r="AT298" s="176">
        <v>10.59</v>
      </c>
      <c r="AU298" s="176">
        <v>10.614999999999998</v>
      </c>
      <c r="AV298" s="176">
        <v>10.62</v>
      </c>
      <c r="AW298" s="173" t="str">
        <f t="shared" si="57"/>
        <v/>
      </c>
      <c r="AX298" s="142">
        <v>456</v>
      </c>
      <c r="AZ298" s="142" t="s">
        <v>123</v>
      </c>
    </row>
    <row r="299" spans="1:60" s="142" customFormat="1" ht="21" customHeight="1" x14ac:dyDescent="0.25">
      <c r="B299" s="173" t="str">
        <f t="shared" si="51"/>
        <v>0-304L/2B-1.45X643</v>
      </c>
      <c r="C299" s="201" t="s">
        <v>4974</v>
      </c>
      <c r="D299" s="173" t="s">
        <v>4432</v>
      </c>
      <c r="E299" s="190" t="s">
        <v>4298</v>
      </c>
      <c r="F299" s="201" t="s">
        <v>4299</v>
      </c>
      <c r="G299" s="173" t="s">
        <v>182</v>
      </c>
      <c r="H299" s="173" t="s">
        <v>114</v>
      </c>
      <c r="I299" s="174">
        <v>3.63</v>
      </c>
      <c r="J299" s="174">
        <v>1.45</v>
      </c>
      <c r="K299" s="203">
        <v>1.42</v>
      </c>
      <c r="L299" s="203">
        <v>1.45</v>
      </c>
      <c r="M299" s="191">
        <v>643</v>
      </c>
      <c r="N299" s="176">
        <v>10.55</v>
      </c>
      <c r="O299" s="176">
        <v>10.515000000000001</v>
      </c>
      <c r="P299" s="176"/>
      <c r="Q299" s="176">
        <v>3.5000000000000003E-2</v>
      </c>
      <c r="R299" s="176" t="s">
        <v>114</v>
      </c>
      <c r="S299" s="209" t="s">
        <v>4936</v>
      </c>
      <c r="T299" s="178" t="s">
        <v>1210</v>
      </c>
      <c r="U299" s="178"/>
      <c r="V299" s="179"/>
      <c r="W299" s="177">
        <v>44955</v>
      </c>
      <c r="X299" s="177"/>
      <c r="Y299" s="177">
        <v>44955</v>
      </c>
      <c r="Z299" s="177"/>
      <c r="AA299" s="177"/>
      <c r="AB299" s="177"/>
      <c r="AC299" s="177"/>
      <c r="AD299" s="177"/>
      <c r="AE299" s="177"/>
      <c r="AF299" s="177"/>
      <c r="AG299" s="180" t="s">
        <v>1593</v>
      </c>
      <c r="AH299" s="173" t="s">
        <v>69</v>
      </c>
      <c r="AI299" s="181" t="s">
        <v>142</v>
      </c>
      <c r="AJ299" s="181" t="s">
        <v>1594</v>
      </c>
      <c r="AK299" s="181"/>
      <c r="AL299" s="181">
        <v>44849</v>
      </c>
      <c r="AM299" s="181"/>
      <c r="AN299" s="181">
        <f t="shared" ca="1" si="52"/>
        <v>44958</v>
      </c>
      <c r="AO299" s="173">
        <f t="shared" ca="1" si="56"/>
        <v>109</v>
      </c>
      <c r="AP299" s="173" t="str">
        <f t="shared" si="54"/>
        <v/>
      </c>
      <c r="AQ299" s="181"/>
      <c r="AR299" s="190" t="s">
        <v>1615</v>
      </c>
      <c r="AS299" s="176">
        <v>10.595000000000001</v>
      </c>
      <c r="AT299" s="176">
        <v>10.605</v>
      </c>
      <c r="AU299" s="176">
        <v>10.629999999999999</v>
      </c>
      <c r="AV299" s="176">
        <v>10.635</v>
      </c>
      <c r="AW299" s="173" t="str">
        <f t="shared" si="57"/>
        <v/>
      </c>
      <c r="AX299" s="142">
        <v>456</v>
      </c>
      <c r="AZ299" s="142" t="s">
        <v>123</v>
      </c>
    </row>
    <row r="300" spans="1:60" s="142" customFormat="1" ht="21" customHeight="1" x14ac:dyDescent="0.25">
      <c r="B300" s="173" t="str">
        <f t="shared" si="51"/>
        <v>0-304L/2B-2.00X645</v>
      </c>
      <c r="C300" s="201" t="s">
        <v>4974</v>
      </c>
      <c r="D300" s="173" t="s">
        <v>4432</v>
      </c>
      <c r="E300" s="190" t="s">
        <v>4289</v>
      </c>
      <c r="F300" s="201" t="s">
        <v>4290</v>
      </c>
      <c r="G300" s="173" t="s">
        <v>182</v>
      </c>
      <c r="H300" s="173" t="s">
        <v>114</v>
      </c>
      <c r="I300" s="174">
        <v>3.9</v>
      </c>
      <c r="J300" s="174">
        <v>2</v>
      </c>
      <c r="K300" s="203">
        <v>2</v>
      </c>
      <c r="L300" s="203">
        <v>2.02</v>
      </c>
      <c r="M300" s="191">
        <v>645</v>
      </c>
      <c r="N300" s="176">
        <v>10.63</v>
      </c>
      <c r="O300" s="176">
        <v>10.574999999999999</v>
      </c>
      <c r="P300" s="176"/>
      <c r="Q300" s="176">
        <v>5.5E-2</v>
      </c>
      <c r="R300" s="176" t="s">
        <v>114</v>
      </c>
      <c r="S300" s="209" t="s">
        <v>4936</v>
      </c>
      <c r="T300" s="178" t="s">
        <v>1210</v>
      </c>
      <c r="U300" s="178"/>
      <c r="V300" s="179"/>
      <c r="W300" s="177">
        <v>44954</v>
      </c>
      <c r="X300" s="177"/>
      <c r="Y300" s="177">
        <v>44954</v>
      </c>
      <c r="Z300" s="177"/>
      <c r="AA300" s="177"/>
      <c r="AB300" s="177"/>
      <c r="AC300" s="177"/>
      <c r="AD300" s="177"/>
      <c r="AE300" s="177"/>
      <c r="AF300" s="177"/>
      <c r="AG300" s="180" t="s">
        <v>1643</v>
      </c>
      <c r="AH300" s="173" t="s">
        <v>69</v>
      </c>
      <c r="AI300" s="181" t="s">
        <v>142</v>
      </c>
      <c r="AJ300" s="181" t="s">
        <v>1657</v>
      </c>
      <c r="AK300" s="181"/>
      <c r="AL300" s="181">
        <v>44849</v>
      </c>
      <c r="AM300" s="181"/>
      <c r="AN300" s="181">
        <f t="shared" ca="1" si="52"/>
        <v>44958</v>
      </c>
      <c r="AO300" s="173">
        <f t="shared" ca="1" si="56"/>
        <v>109</v>
      </c>
      <c r="AP300" s="173" t="str">
        <f t="shared" si="54"/>
        <v/>
      </c>
      <c r="AQ300" s="181"/>
      <c r="AR300" s="190" t="s">
        <v>1792</v>
      </c>
      <c r="AS300" s="176">
        <v>10.65</v>
      </c>
      <c r="AT300" s="176">
        <v>10.66</v>
      </c>
      <c r="AU300" s="176">
        <v>10.684999999999999</v>
      </c>
      <c r="AV300" s="176">
        <v>10.69</v>
      </c>
      <c r="AW300" s="173" t="str">
        <f t="shared" si="57"/>
        <v/>
      </c>
      <c r="AX300" s="142">
        <v>456</v>
      </c>
      <c r="AZ300" s="142" t="s">
        <v>123</v>
      </c>
    </row>
    <row r="301" spans="1:60" s="142" customFormat="1" ht="21" customHeight="1" x14ac:dyDescent="0.25">
      <c r="B301" s="173" t="str">
        <f t="shared" si="51"/>
        <v>0-304L/2B-1.45X643</v>
      </c>
      <c r="C301" s="201" t="s">
        <v>4974</v>
      </c>
      <c r="D301" s="173" t="s">
        <v>4432</v>
      </c>
      <c r="E301" s="190" t="s">
        <v>4281</v>
      </c>
      <c r="F301" s="201" t="s">
        <v>4282</v>
      </c>
      <c r="G301" s="173" t="s">
        <v>182</v>
      </c>
      <c r="H301" s="173" t="s">
        <v>114</v>
      </c>
      <c r="I301" s="174">
        <v>3.79</v>
      </c>
      <c r="J301" s="174">
        <v>1.45</v>
      </c>
      <c r="K301" s="203">
        <v>1.43</v>
      </c>
      <c r="L301" s="203">
        <v>1.45</v>
      </c>
      <c r="M301" s="191">
        <v>643</v>
      </c>
      <c r="N301" s="176">
        <v>10.48</v>
      </c>
      <c r="O301" s="176">
        <v>10.46</v>
      </c>
      <c r="P301" s="176"/>
      <c r="Q301" s="176">
        <v>0.02</v>
      </c>
      <c r="R301" s="176" t="s">
        <v>114</v>
      </c>
      <c r="S301" s="209" t="s">
        <v>4936</v>
      </c>
      <c r="T301" s="178" t="s">
        <v>1210</v>
      </c>
      <c r="U301" s="178"/>
      <c r="V301" s="179"/>
      <c r="W301" s="177">
        <v>44953</v>
      </c>
      <c r="X301" s="177"/>
      <c r="Y301" s="177">
        <v>44954</v>
      </c>
      <c r="Z301" s="177"/>
      <c r="AA301" s="177"/>
      <c r="AB301" s="177"/>
      <c r="AC301" s="177"/>
      <c r="AD301" s="177"/>
      <c r="AE301" s="177"/>
      <c r="AF301" s="177"/>
      <c r="AG301" s="180" t="s">
        <v>1609</v>
      </c>
      <c r="AH301" s="173" t="s">
        <v>69</v>
      </c>
      <c r="AI301" s="181" t="s">
        <v>142</v>
      </c>
      <c r="AJ301" s="181" t="s">
        <v>1657</v>
      </c>
      <c r="AK301" s="181"/>
      <c r="AL301" s="181">
        <v>44849</v>
      </c>
      <c r="AM301" s="181"/>
      <c r="AN301" s="181">
        <f t="shared" ca="1" si="52"/>
        <v>44958</v>
      </c>
      <c r="AO301" s="173">
        <f t="shared" ca="1" si="56"/>
        <v>109</v>
      </c>
      <c r="AP301" s="173" t="str">
        <f t="shared" si="54"/>
        <v/>
      </c>
      <c r="AQ301" s="181"/>
      <c r="AR301" s="190" t="s">
        <v>4283</v>
      </c>
      <c r="AS301" s="176">
        <v>10.53</v>
      </c>
      <c r="AT301" s="176">
        <v>10.54</v>
      </c>
      <c r="AU301" s="176">
        <v>10.564999999999998</v>
      </c>
      <c r="AV301" s="176">
        <v>10.569999999999999</v>
      </c>
      <c r="AW301" s="173" t="str">
        <f t="shared" si="57"/>
        <v/>
      </c>
      <c r="AX301" s="142">
        <v>456</v>
      </c>
      <c r="AZ301" s="142" t="s">
        <v>123</v>
      </c>
    </row>
    <row r="302" spans="1:60" ht="17.25" customHeight="1" x14ac:dyDescent="0.25">
      <c r="N302" s="215"/>
    </row>
    <row r="303" spans="1:60" ht="17.25" customHeight="1" x14ac:dyDescent="0.25">
      <c r="N303" s="215"/>
    </row>
    <row r="304" spans="1:60" s="351" customFormat="1" x14ac:dyDescent="0.25">
      <c r="A304" s="336"/>
      <c r="B304" s="336"/>
      <c r="C304" s="336"/>
      <c r="D304" s="336"/>
      <c r="E304" s="359" t="s">
        <v>3774</v>
      </c>
      <c r="F304" s="336"/>
      <c r="G304" s="336"/>
      <c r="H304" s="336"/>
      <c r="J304" s="352"/>
      <c r="K304" s="353"/>
      <c r="L304" s="353"/>
      <c r="N304" s="368">
        <f>SUBTOTAL(9,N4:N303)</f>
        <v>2641.3950000000009</v>
      </c>
      <c r="O304" s="368">
        <f>SUBTOTAL(9,O4:O303)</f>
        <v>2631.5900000000011</v>
      </c>
      <c r="P304" s="368">
        <f>SUBTOTAL(9,P4:P303)</f>
        <v>0.33500000000000002</v>
      </c>
      <c r="Q304" s="368">
        <f>SUBTOTAL(9,Q4:Q303)</f>
        <v>9.2949999999999875</v>
      </c>
      <c r="R304" s="336"/>
      <c r="T304" s="355"/>
      <c r="U304" s="355"/>
      <c r="V304" s="336"/>
      <c r="W304" s="336"/>
      <c r="X304" s="336"/>
      <c r="Y304" s="336"/>
      <c r="Z304" s="336"/>
      <c r="AA304" s="336"/>
      <c r="AB304" s="336"/>
      <c r="AC304" s="336"/>
      <c r="AD304" s="336"/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336"/>
      <c r="AS304" s="336"/>
      <c r="AT304" s="336"/>
      <c r="AU304" s="336"/>
      <c r="AV304" s="336"/>
      <c r="AW304" s="336"/>
      <c r="AX304" s="336"/>
      <c r="AY304" s="336"/>
      <c r="AZ304" s="336"/>
      <c r="BA304" s="336"/>
      <c r="BB304" s="336"/>
      <c r="BC304" s="336"/>
      <c r="BD304" s="336"/>
      <c r="BE304" s="336"/>
      <c r="BF304" s="336"/>
      <c r="BG304" s="336"/>
      <c r="BH304" s="336"/>
    </row>
    <row r="306" spans="9:21" ht="17.25" customHeight="1" x14ac:dyDescent="0.25">
      <c r="N306" s="215"/>
    </row>
    <row r="307" spans="9:21" x14ac:dyDescent="0.25">
      <c r="I307" s="336"/>
      <c r="J307" s="336"/>
      <c r="K307" s="336"/>
      <c r="L307" s="336"/>
      <c r="M307" s="336"/>
      <c r="N307" s="336"/>
      <c r="O307" s="336"/>
      <c r="P307" s="336"/>
      <c r="Q307" s="336"/>
      <c r="R307" s="336"/>
      <c r="S307" s="353"/>
      <c r="T307" s="336"/>
      <c r="U307" s="336"/>
    </row>
    <row r="308" spans="9:21" x14ac:dyDescent="0.25">
      <c r="O308" s="369"/>
    </row>
    <row r="309" spans="9:21" x14ac:dyDescent="0.25">
      <c r="O309" s="369"/>
    </row>
    <row r="380" spans="1:60" s="351" customFormat="1" x14ac:dyDescent="0.25">
      <c r="A380" s="336"/>
      <c r="B380" s="336"/>
      <c r="C380" s="336"/>
      <c r="D380" s="336"/>
      <c r="E380" s="336"/>
      <c r="F380" s="336"/>
      <c r="G380" s="336"/>
      <c r="H380" s="336"/>
      <c r="J380" s="352"/>
      <c r="K380" s="353"/>
      <c r="L380" s="353"/>
      <c r="T380" s="355"/>
      <c r="U380" s="355"/>
      <c r="V380" s="336"/>
      <c r="W380" s="336"/>
      <c r="X380" s="336"/>
      <c r="Y380" s="336"/>
      <c r="Z380" s="336"/>
      <c r="AA380" s="336"/>
      <c r="AB380" s="336"/>
      <c r="AC380" s="336"/>
      <c r="AD380" s="336"/>
      <c r="AE380" s="336"/>
      <c r="AF380" s="336"/>
      <c r="AG380" s="336"/>
      <c r="AH380" s="336"/>
      <c r="AI380" s="336"/>
      <c r="AJ380" s="336"/>
      <c r="AK380" s="336"/>
      <c r="AL380" s="336"/>
      <c r="AM380" s="336"/>
      <c r="AN380" s="336"/>
      <c r="AO380" s="336"/>
      <c r="AP380" s="336"/>
      <c r="AQ380" s="336"/>
      <c r="AR380" s="336"/>
      <c r="AS380" s="336"/>
      <c r="AT380" s="336"/>
      <c r="AU380" s="336"/>
      <c r="AV380" s="336"/>
      <c r="AW380" s="336"/>
      <c r="AX380" s="336"/>
      <c r="AY380" s="336"/>
      <c r="AZ380" s="336"/>
      <c r="BA380" s="336"/>
      <c r="BB380" s="336"/>
      <c r="BC380" s="336"/>
      <c r="BD380" s="336"/>
      <c r="BE380" s="336"/>
      <c r="BF380" s="336"/>
      <c r="BG380" s="336"/>
      <c r="BH380" s="336"/>
    </row>
  </sheetData>
  <autoFilter ref="A3:AS171" xr:uid="{00000000-0009-0000-0000-000002000000}"/>
  <mergeCells count="30">
    <mergeCell ref="N231:N232"/>
    <mergeCell ref="N235:N236"/>
    <mergeCell ref="N237:N238"/>
    <mergeCell ref="N281:N282"/>
    <mergeCell ref="N293:N294"/>
    <mergeCell ref="N296:N297"/>
    <mergeCell ref="N195:N196"/>
    <mergeCell ref="N206:N207"/>
    <mergeCell ref="N213:N214"/>
    <mergeCell ref="N218:N219"/>
    <mergeCell ref="N222:N223"/>
    <mergeCell ref="N225:N226"/>
    <mergeCell ref="N104:N105"/>
    <mergeCell ref="N111:N112"/>
    <mergeCell ref="N127:N128"/>
    <mergeCell ref="N142:N143"/>
    <mergeCell ref="N163:N164"/>
    <mergeCell ref="N190:N191"/>
    <mergeCell ref="N75:N76"/>
    <mergeCell ref="N79:N80"/>
    <mergeCell ref="N82:N83"/>
    <mergeCell ref="N84:N85"/>
    <mergeCell ref="N98:N99"/>
    <mergeCell ref="N102:N103"/>
    <mergeCell ref="N6:N7"/>
    <mergeCell ref="N22:N23"/>
    <mergeCell ref="N28:N29"/>
    <mergeCell ref="N35:N36"/>
    <mergeCell ref="N37:N38"/>
    <mergeCell ref="N57:N58"/>
  </mergeCells>
  <pageMargins left="0.7" right="0.7" top="0.75" bottom="0.75" header="0.3" footer="0.3"/>
  <pageSetup paperSize="9" scale="7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E9CE-6082-40B1-8314-95C0229A48C9}">
  <dimension ref="A1:BH192"/>
  <sheetViews>
    <sheetView zoomScale="70" zoomScaleNormal="70" zoomScaleSheetLayoutView="70" workbookViewId="0">
      <pane ySplit="3" topLeftCell="A103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2" width="5.28515625" style="336" customWidth="1"/>
    <col min="3" max="4" width="26.42578125" style="336" customWidth="1"/>
    <col min="5" max="5" width="20.42578125" style="336" bestFit="1" customWidth="1"/>
    <col min="6" max="6" width="18.140625" style="336" customWidth="1"/>
    <col min="7" max="7" width="9.7109375" style="336" customWidth="1"/>
    <col min="8" max="8" width="9.140625" style="336"/>
    <col min="9" max="9" width="12.42578125" style="351" customWidth="1"/>
    <col min="10" max="10" width="9.7109375" style="352" customWidth="1"/>
    <col min="11" max="12" width="12.85546875" style="353" customWidth="1"/>
    <col min="13" max="13" width="12.42578125" style="351" customWidth="1"/>
    <col min="14" max="17" width="14.28515625" style="351" customWidth="1"/>
    <col min="18" max="19" width="12.42578125" style="351" customWidth="1"/>
    <col min="20" max="20" width="35" style="355" customWidth="1"/>
    <col min="21" max="21" width="14" style="355" customWidth="1"/>
    <col min="22" max="22" width="23.28515625" style="336" customWidth="1"/>
    <col min="23" max="23" width="12.5703125" style="336" customWidth="1"/>
    <col min="24" max="26" width="15" style="336" customWidth="1"/>
    <col min="27" max="28" width="13" style="336" customWidth="1"/>
    <col min="29" max="31" width="13.85546875" style="336" customWidth="1"/>
    <col min="32" max="32" width="14.140625" style="336" customWidth="1"/>
    <col min="33" max="33" width="14.5703125" style="336" customWidth="1"/>
    <col min="34" max="34" width="9.140625" style="336" customWidth="1"/>
    <col min="35" max="35" width="45.7109375" style="336" customWidth="1"/>
    <col min="36" max="36" width="22.85546875" style="336" customWidth="1"/>
    <col min="37" max="37" width="21.5703125" style="336" customWidth="1"/>
    <col min="38" max="38" width="13" style="336" customWidth="1"/>
    <col min="39" max="39" width="13.42578125" style="336" customWidth="1"/>
    <col min="40" max="40" width="13.85546875" style="336" customWidth="1"/>
    <col min="41" max="42" width="9.140625" style="336" customWidth="1"/>
    <col min="43" max="43" width="18" style="336" customWidth="1"/>
    <col min="44" max="48" width="12.42578125" style="336" customWidth="1"/>
    <col min="49" max="62" width="9.140625" style="336" customWidth="1"/>
    <col min="63" max="16384" width="9.140625" style="336"/>
  </cols>
  <sheetData>
    <row r="1" spans="1:52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5"/>
      <c r="U1" s="335"/>
      <c r="W1" s="334"/>
      <c r="X1" s="334"/>
      <c r="Y1" s="334"/>
      <c r="Z1" s="334"/>
    </row>
    <row r="3" spans="1:52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3796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38" t="s">
        <v>3799</v>
      </c>
      <c r="P3" s="366" t="s">
        <v>4190</v>
      </c>
      <c r="Q3" s="366" t="s">
        <v>9</v>
      </c>
      <c r="R3" s="338"/>
      <c r="S3" s="338" t="s">
        <v>4430</v>
      </c>
      <c r="T3" s="338" t="s">
        <v>88</v>
      </c>
      <c r="U3" s="338"/>
      <c r="V3" s="338"/>
      <c r="W3" s="342" t="s">
        <v>3801</v>
      </c>
      <c r="X3" s="343" t="s">
        <v>3802</v>
      </c>
      <c r="Y3" s="161" t="s">
        <v>3803</v>
      </c>
      <c r="Z3" s="162" t="s">
        <v>3804</v>
      </c>
      <c r="AA3" s="344" t="s">
        <v>3805</v>
      </c>
      <c r="AB3" s="164" t="s">
        <v>3806</v>
      </c>
      <c r="AC3" s="345" t="s">
        <v>3807</v>
      </c>
      <c r="AD3" s="346" t="s">
        <v>3808</v>
      </c>
      <c r="AE3" s="167" t="s">
        <v>3809</v>
      </c>
      <c r="AF3" s="343" t="s">
        <v>3810</v>
      </c>
      <c r="AG3" s="338" t="s">
        <v>91</v>
      </c>
      <c r="AH3" s="338"/>
      <c r="AI3" s="337" t="s">
        <v>93</v>
      </c>
      <c r="AJ3" s="337" t="s">
        <v>94</v>
      </c>
      <c r="AK3" s="347" t="s">
        <v>95</v>
      </c>
      <c r="AL3" s="347" t="s">
        <v>96</v>
      </c>
      <c r="AM3" s="347" t="s">
        <v>3811</v>
      </c>
      <c r="AN3" s="347" t="s">
        <v>3812</v>
      </c>
      <c r="AO3" s="347" t="s">
        <v>3813</v>
      </c>
      <c r="AP3" s="347" t="s">
        <v>98</v>
      </c>
      <c r="AQ3" s="337" t="s">
        <v>100</v>
      </c>
      <c r="AR3" s="337" t="s">
        <v>101</v>
      </c>
      <c r="AS3" s="348" t="s">
        <v>3814</v>
      </c>
      <c r="AT3" s="348" t="s">
        <v>3815</v>
      </c>
      <c r="AU3" s="348" t="s">
        <v>4351</v>
      </c>
      <c r="AV3" s="348" t="s">
        <v>3817</v>
      </c>
    </row>
    <row r="4" spans="1:52" s="142" customFormat="1" ht="21" customHeight="1" x14ac:dyDescent="0.25">
      <c r="B4" s="173" t="str">
        <f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0-J3/2B-0.95X620</v>
      </c>
      <c r="C4" s="201" t="s">
        <v>4984</v>
      </c>
      <c r="D4" s="173" t="s">
        <v>836</v>
      </c>
      <c r="E4" s="190" t="s">
        <v>4985</v>
      </c>
      <c r="F4" s="201" t="s">
        <v>4986</v>
      </c>
      <c r="G4" s="173" t="s">
        <v>34</v>
      </c>
      <c r="H4" s="173" t="s">
        <v>114</v>
      </c>
      <c r="I4" s="174">
        <v>2.4</v>
      </c>
      <c r="J4" s="174">
        <v>0.95</v>
      </c>
      <c r="K4" s="203">
        <v>0.94</v>
      </c>
      <c r="L4" s="203">
        <v>0.96</v>
      </c>
      <c r="M4" s="191">
        <v>620</v>
      </c>
      <c r="N4" s="176">
        <v>10</v>
      </c>
      <c r="O4" s="176">
        <v>9.9600000000000009</v>
      </c>
      <c r="P4" s="176"/>
      <c r="Q4" s="176">
        <v>0.04</v>
      </c>
      <c r="R4" s="176" t="s">
        <v>114</v>
      </c>
      <c r="S4" s="209"/>
      <c r="T4" s="178" t="s">
        <v>295</v>
      </c>
      <c r="U4" s="178"/>
      <c r="V4" s="179"/>
      <c r="W4" s="177">
        <v>44849</v>
      </c>
      <c r="X4" s="177"/>
      <c r="Y4" s="177">
        <v>44849</v>
      </c>
      <c r="Z4" s="177"/>
      <c r="AA4" s="177"/>
      <c r="AB4" s="177">
        <v>44944</v>
      </c>
      <c r="AC4" s="177"/>
      <c r="AD4" s="177"/>
      <c r="AE4" s="177"/>
      <c r="AF4" s="177"/>
      <c r="AG4" s="180"/>
      <c r="AH4" s="173" t="s">
        <v>69</v>
      </c>
      <c r="AI4" s="181" t="s">
        <v>248</v>
      </c>
      <c r="AJ4" s="181" t="s">
        <v>1145</v>
      </c>
      <c r="AK4" s="181">
        <v>44752</v>
      </c>
      <c r="AL4" s="181">
        <v>44778</v>
      </c>
      <c r="AM4" s="181"/>
      <c r="AN4" s="181">
        <f ca="1">TODAY()</f>
        <v>44958</v>
      </c>
      <c r="AO4" s="173">
        <f ca="1">IF(AL4&lt;&gt;0,AN4-AL4,0)</f>
        <v>180</v>
      </c>
      <c r="AP4" s="173" t="str">
        <f>IF(ISNUMBER(AA4)=TRUE,AN4-AA4,IF(AA4="","",(AN4)-(MID(RIGHT(AA4,10),4,2)&amp;"/"&amp;LEFT((RIGHT(AA4,10)),2)&amp;"/"&amp;RIGHT(AA4,4))))</f>
        <v/>
      </c>
      <c r="AQ4" s="181"/>
      <c r="AR4" s="190" t="s">
        <v>4987</v>
      </c>
      <c r="AS4" s="176">
        <v>10.005000000000001</v>
      </c>
      <c r="AT4" s="176">
        <f>AS4+0.04</f>
        <v>10.045</v>
      </c>
      <c r="AU4" s="176">
        <v>10.069999999999999</v>
      </c>
      <c r="AV4" s="176">
        <v>10.074999999999999</v>
      </c>
      <c r="AW4" s="173">
        <f t="shared" ref="AW4:AW67" ca="1" si="0">IF(ISNUMBER(Y4)=TRUE,AN4-Y4,IF(Y4="","",(AN4)-(MID(RIGHT(Y4,10),4,2)&amp;"/"&amp;LEFT((RIGHT(Y4,10)),2)&amp;"/"&amp;RIGHT(Y4,4))))</f>
        <v>109</v>
      </c>
      <c r="AX4" s="142">
        <v>445</v>
      </c>
      <c r="AZ4" s="142" t="s">
        <v>123</v>
      </c>
    </row>
    <row r="5" spans="1:52" s="142" customFormat="1" ht="21" customHeight="1" x14ac:dyDescent="0.25">
      <c r="B5" s="173" t="str">
        <f>IF(C5="HOLD RM","HOLD RM",IF(C5="BAL","WIP",IF(C5="HOLD SLT","HOLD SLT",IF(C5="MILL","RM",IF(C5="RE SLT","WIP",IF(C5="RM","RM",IF(C5="RM BAL","RM",IF(C5="RM SLT","RM",IF(C5="RR","WIP",IF(C5="SKP","WIP",IF(C5="SLT","WIP",IF(C5="CTL","WIP",IF(C5="RM SLT RUST","RM SLT RUST",0)))))))))))))&amp;"-"&amp;G5&amp;"/"&amp;IF(H5="2B","2B",IF(H5="NO.1","1D",IF(H5="FH","FH",0)))&amp;"-"&amp;IF(J5="",(TEXT(I5,"0.00")),TEXT(J5,"0.00"))&amp;"X"&amp;M5</f>
        <v>0-J3/2B-1.11X620</v>
      </c>
      <c r="C5" s="201" t="s">
        <v>4984</v>
      </c>
      <c r="D5" s="173" t="s">
        <v>836</v>
      </c>
      <c r="E5" s="190" t="s">
        <v>1163</v>
      </c>
      <c r="F5" s="201" t="s">
        <v>1164</v>
      </c>
      <c r="G5" s="173" t="s">
        <v>34</v>
      </c>
      <c r="H5" s="173" t="s">
        <v>114</v>
      </c>
      <c r="I5" s="174">
        <v>2.4</v>
      </c>
      <c r="J5" s="174">
        <v>1.1100000000000001</v>
      </c>
      <c r="K5" s="203"/>
      <c r="L5" s="203"/>
      <c r="M5" s="191">
        <v>620</v>
      </c>
      <c r="N5" s="176">
        <v>9.9250000000000007</v>
      </c>
      <c r="O5" s="176">
        <v>9.93</v>
      </c>
      <c r="P5" s="176"/>
      <c r="Q5" s="176"/>
      <c r="R5" s="176" t="s">
        <v>114</v>
      </c>
      <c r="S5" s="209"/>
      <c r="T5" s="178" t="s">
        <v>361</v>
      </c>
      <c r="U5" s="178"/>
      <c r="V5" s="179"/>
      <c r="W5" s="177">
        <v>44829</v>
      </c>
      <c r="X5" s="177"/>
      <c r="Y5" s="177">
        <v>44830</v>
      </c>
      <c r="Z5" s="177"/>
      <c r="AA5" s="177"/>
      <c r="AB5" s="177">
        <v>44944</v>
      </c>
      <c r="AC5" s="177"/>
      <c r="AD5" s="177"/>
      <c r="AE5" s="177"/>
      <c r="AF5" s="177"/>
      <c r="AG5" s="180"/>
      <c r="AH5" s="173" t="s">
        <v>69</v>
      </c>
      <c r="AI5" s="181" t="s">
        <v>248</v>
      </c>
      <c r="AJ5" s="181" t="s">
        <v>1145</v>
      </c>
      <c r="AK5" s="181">
        <v>44752</v>
      </c>
      <c r="AL5" s="181">
        <v>44778</v>
      </c>
      <c r="AM5" s="181"/>
      <c r="AN5" s="181">
        <f ca="1">TODAY()</f>
        <v>44958</v>
      </c>
      <c r="AO5" s="173">
        <f ca="1">IF(AL5&lt;&gt;0,AN5-AL5,0)</f>
        <v>180</v>
      </c>
      <c r="AP5" s="173" t="str">
        <f>IF(ISNUMBER(AA5)=TRUE,AN5-AA5,IF(AA5="","",(AN5)-(MID(RIGHT(AA5,10),4,2)&amp;"/"&amp;LEFT((RIGHT(AA5,10)),2)&amp;"/"&amp;RIGHT(AA5,4))))</f>
        <v/>
      </c>
      <c r="AQ5" s="181"/>
      <c r="AR5" s="190" t="s">
        <v>1165</v>
      </c>
      <c r="AS5" s="176">
        <v>9.9710000000000001</v>
      </c>
      <c r="AT5" s="176">
        <f>AS5+0.04</f>
        <v>10.010999999999999</v>
      </c>
      <c r="AU5" s="176">
        <v>10.035999999999998</v>
      </c>
      <c r="AV5" s="176">
        <v>10.040999999999999</v>
      </c>
      <c r="AW5" s="173">
        <f t="shared" ca="1" si="0"/>
        <v>128</v>
      </c>
      <c r="AX5" s="142">
        <v>445</v>
      </c>
      <c r="AZ5" s="142" t="s">
        <v>123</v>
      </c>
    </row>
    <row r="6" spans="1:52" s="142" customFormat="1" ht="21" customHeight="1" x14ac:dyDescent="0.25">
      <c r="B6" s="173" t="str">
        <f t="shared" ref="B6:B69" si="1">IF(C6="HOLD RM","HOLD RM",IF(C6="BAL","WIP",IF(C6="HOLD SLT","HOLD SLT",IF(C6="MILL","RM",IF(C6="RE SLT","WIP",IF(C6="RM","RM",IF(C6="RM BAL","RM",IF(C6="RM SLT","RM",IF(C6="RR","WIP",IF(C6="SKP","WIP",IF(C6="SLT","WIP",IF(C6="CTL","WIP",IF(C6="RM SLT RUST","RM SLT RUST",0)))))))))))))&amp;"-"&amp;G6&amp;"/"&amp;IF(H6="2B","2B",IF(H6="NO.1","1D",IF(H6="FH","FH",0)))&amp;"-"&amp;IF(J6="",(TEXT(I6,"0.00")),TEXT(J6,"0.00"))&amp;"X"&amp;M6</f>
        <v>0-J3/2B-0.73X620</v>
      </c>
      <c r="C6" s="201" t="s">
        <v>4988</v>
      </c>
      <c r="D6" s="173" t="s">
        <v>836</v>
      </c>
      <c r="E6" s="190" t="s">
        <v>4989</v>
      </c>
      <c r="F6" s="201" t="s">
        <v>4990</v>
      </c>
      <c r="G6" s="173" t="s">
        <v>34</v>
      </c>
      <c r="H6" s="173" t="s">
        <v>114</v>
      </c>
      <c r="I6" s="174">
        <v>2.2000000000000002</v>
      </c>
      <c r="J6" s="174">
        <v>0.73</v>
      </c>
      <c r="K6" s="203"/>
      <c r="L6" s="203"/>
      <c r="M6" s="191">
        <v>620</v>
      </c>
      <c r="N6" s="176">
        <v>10.045</v>
      </c>
      <c r="O6" s="176">
        <v>10.005000000000001</v>
      </c>
      <c r="P6" s="176"/>
      <c r="Q6" s="176">
        <v>0.04</v>
      </c>
      <c r="R6" s="176" t="s">
        <v>114</v>
      </c>
      <c r="S6" s="209"/>
      <c r="T6" s="178" t="s">
        <v>361</v>
      </c>
      <c r="U6" s="178"/>
      <c r="V6" s="179"/>
      <c r="W6" s="177">
        <v>44829</v>
      </c>
      <c r="X6" s="177"/>
      <c r="Y6" s="177">
        <v>44829</v>
      </c>
      <c r="Z6" s="177"/>
      <c r="AA6" s="177"/>
      <c r="AB6" s="177">
        <v>44945</v>
      </c>
      <c r="AC6" s="177"/>
      <c r="AD6" s="177"/>
      <c r="AE6" s="177"/>
      <c r="AF6" s="177"/>
      <c r="AG6" s="180"/>
      <c r="AH6" s="173" t="s">
        <v>69</v>
      </c>
      <c r="AI6" s="181" t="s">
        <v>119</v>
      </c>
      <c r="AJ6" s="181" t="s">
        <v>994</v>
      </c>
      <c r="AK6" s="181">
        <v>44713</v>
      </c>
      <c r="AL6" s="181">
        <v>44747</v>
      </c>
      <c r="AM6" s="181"/>
      <c r="AN6" s="181">
        <f t="shared" ref="AN6:AN69" ca="1" si="2">TODAY()</f>
        <v>44958</v>
      </c>
      <c r="AO6" s="173">
        <f t="shared" ref="AO6:AO34" ca="1" si="3">IF(AL6&lt;&gt;0,AN6-AL6,0)</f>
        <v>211</v>
      </c>
      <c r="AP6" s="173" t="str">
        <f t="shared" ref="AP6:AP69" si="4">IF(ISNUMBER(AA6)=TRUE,AN6-AA6,IF(AA6="","",(AN6)-(MID(RIGHT(AA6,10),4,2)&amp;"/"&amp;LEFT((RIGHT(AA6,10)),2)&amp;"/"&amp;RIGHT(AA6,4))))</f>
        <v/>
      </c>
      <c r="AQ6" s="181" t="s">
        <v>1030</v>
      </c>
      <c r="AR6" s="190" t="s">
        <v>4673</v>
      </c>
      <c r="AS6" s="176">
        <v>10.057</v>
      </c>
      <c r="AT6" s="176">
        <v>10.077</v>
      </c>
      <c r="AU6" s="176">
        <v>10.101999999999999</v>
      </c>
      <c r="AV6" s="176">
        <v>10.106999999999999</v>
      </c>
      <c r="AW6" s="173">
        <f t="shared" ca="1" si="0"/>
        <v>129</v>
      </c>
      <c r="AX6" s="142">
        <v>442</v>
      </c>
      <c r="AZ6" s="142" t="s">
        <v>123</v>
      </c>
    </row>
    <row r="7" spans="1:52" s="142" customFormat="1" ht="21" customHeight="1" x14ac:dyDescent="0.25">
      <c r="B7" s="173" t="str">
        <f t="shared" si="1"/>
        <v>0-J3/2B-0.90X620</v>
      </c>
      <c r="C7" s="201" t="s">
        <v>4988</v>
      </c>
      <c r="D7" s="173" t="s">
        <v>836</v>
      </c>
      <c r="E7" s="190" t="s">
        <v>1490</v>
      </c>
      <c r="F7" s="201" t="s">
        <v>1491</v>
      </c>
      <c r="G7" s="173" t="s">
        <v>34</v>
      </c>
      <c r="H7" s="173" t="s">
        <v>114</v>
      </c>
      <c r="I7" s="174">
        <v>2.2000000000000002</v>
      </c>
      <c r="J7" s="174">
        <v>0.9</v>
      </c>
      <c r="K7" s="203">
        <v>0.9</v>
      </c>
      <c r="L7" s="203">
        <v>0.91</v>
      </c>
      <c r="M7" s="191">
        <v>620</v>
      </c>
      <c r="N7" s="176">
        <v>10.135</v>
      </c>
      <c r="O7" s="176">
        <v>10.015000000000001</v>
      </c>
      <c r="P7" s="176"/>
      <c r="Q7" s="176">
        <v>0.12</v>
      </c>
      <c r="R7" s="176" t="s">
        <v>114</v>
      </c>
      <c r="S7" s="209"/>
      <c r="T7" s="178" t="s">
        <v>294</v>
      </c>
      <c r="U7" s="178"/>
      <c r="V7" s="179"/>
      <c r="W7" s="177">
        <v>44883</v>
      </c>
      <c r="X7" s="177"/>
      <c r="Y7" s="177"/>
      <c r="Z7" s="177">
        <v>44883</v>
      </c>
      <c r="AA7" s="177"/>
      <c r="AB7" s="177">
        <v>44945</v>
      </c>
      <c r="AC7" s="177"/>
      <c r="AD7" s="177"/>
      <c r="AE7" s="177"/>
      <c r="AF7" s="177"/>
      <c r="AG7" s="180"/>
      <c r="AH7" s="173" t="s">
        <v>69</v>
      </c>
      <c r="AI7" s="181" t="s">
        <v>1065</v>
      </c>
      <c r="AJ7" s="181" t="s">
        <v>1401</v>
      </c>
      <c r="AK7" s="181">
        <v>44819</v>
      </c>
      <c r="AL7" s="181">
        <v>44835</v>
      </c>
      <c r="AM7" s="181"/>
      <c r="AN7" s="181">
        <f t="shared" ca="1" si="2"/>
        <v>44958</v>
      </c>
      <c r="AO7" s="173">
        <f t="shared" ca="1" si="3"/>
        <v>123</v>
      </c>
      <c r="AP7" s="173" t="str">
        <f t="shared" si="4"/>
        <v/>
      </c>
      <c r="AQ7" s="181" t="s">
        <v>1445</v>
      </c>
      <c r="AR7" s="190" t="s">
        <v>1492</v>
      </c>
      <c r="AS7" s="176">
        <v>10.071999999999999</v>
      </c>
      <c r="AT7" s="176">
        <v>10.111999999999998</v>
      </c>
      <c r="AU7" s="176">
        <v>10.136999999999997</v>
      </c>
      <c r="AV7" s="176">
        <v>10.141999999999998</v>
      </c>
      <c r="AW7" s="173" t="str">
        <f t="shared" si="0"/>
        <v/>
      </c>
      <c r="AX7" s="142">
        <v>454</v>
      </c>
      <c r="AZ7" s="142" t="s">
        <v>123</v>
      </c>
    </row>
    <row r="8" spans="1:52" s="142" customFormat="1" ht="21" customHeight="1" x14ac:dyDescent="0.25">
      <c r="B8" s="173" t="str">
        <f t="shared" si="1"/>
        <v>0-304/2B-1.20X642</v>
      </c>
      <c r="C8" s="201" t="s">
        <v>4988</v>
      </c>
      <c r="D8" s="173" t="s">
        <v>836</v>
      </c>
      <c r="E8" s="190" t="s">
        <v>4030</v>
      </c>
      <c r="F8" s="201" t="s">
        <v>4031</v>
      </c>
      <c r="G8" s="173">
        <v>304</v>
      </c>
      <c r="H8" s="173" t="s">
        <v>114</v>
      </c>
      <c r="I8" s="174">
        <v>2.93</v>
      </c>
      <c r="J8" s="174">
        <v>1.2</v>
      </c>
      <c r="K8" s="203">
        <v>1.17</v>
      </c>
      <c r="L8" s="203">
        <v>1.19</v>
      </c>
      <c r="M8" s="191">
        <v>642</v>
      </c>
      <c r="N8" s="176">
        <v>10.58</v>
      </c>
      <c r="O8" s="176">
        <v>10.53</v>
      </c>
      <c r="P8" s="176"/>
      <c r="Q8" s="176">
        <v>0.05</v>
      </c>
      <c r="R8" s="176" t="s">
        <v>114</v>
      </c>
      <c r="S8" s="209"/>
      <c r="T8" s="178" t="s">
        <v>4326</v>
      </c>
      <c r="U8" s="178"/>
      <c r="V8" s="179"/>
      <c r="W8" s="177">
        <v>44937</v>
      </c>
      <c r="X8" s="177"/>
      <c r="Y8" s="177"/>
      <c r="Z8" s="177">
        <v>44937</v>
      </c>
      <c r="AA8" s="177"/>
      <c r="AB8" s="177">
        <v>44945</v>
      </c>
      <c r="AC8" s="177"/>
      <c r="AD8" s="177"/>
      <c r="AE8" s="177"/>
      <c r="AF8" s="177"/>
      <c r="AG8" s="180" t="s">
        <v>1619</v>
      </c>
      <c r="AH8" s="173" t="s">
        <v>69</v>
      </c>
      <c r="AI8" s="181" t="s">
        <v>142</v>
      </c>
      <c r="AJ8" s="181" t="s">
        <v>1594</v>
      </c>
      <c r="AK8" s="181"/>
      <c r="AL8" s="181">
        <v>44849</v>
      </c>
      <c r="AM8" s="181"/>
      <c r="AN8" s="181">
        <f t="shared" ca="1" si="2"/>
        <v>44958</v>
      </c>
      <c r="AO8" s="173">
        <f t="shared" ca="1" si="3"/>
        <v>109</v>
      </c>
      <c r="AP8" s="173" t="str">
        <f t="shared" si="4"/>
        <v/>
      </c>
      <c r="AQ8" s="181"/>
      <c r="AR8" s="190" t="s">
        <v>4032</v>
      </c>
      <c r="AS8" s="176">
        <v>10.58</v>
      </c>
      <c r="AT8" s="176">
        <v>10.59</v>
      </c>
      <c r="AU8" s="176">
        <v>10.614999999999998</v>
      </c>
      <c r="AV8" s="176">
        <v>10.62</v>
      </c>
      <c r="AW8" s="173" t="str">
        <f t="shared" si="0"/>
        <v/>
      </c>
      <c r="AX8" s="142">
        <v>456</v>
      </c>
      <c r="AZ8" s="142" t="s">
        <v>123</v>
      </c>
    </row>
    <row r="9" spans="1:52" s="142" customFormat="1" ht="21" customHeight="1" x14ac:dyDescent="0.25">
      <c r="B9" s="173" t="str">
        <f t="shared" si="1"/>
        <v>0-304/2B-1.20X642</v>
      </c>
      <c r="C9" s="201" t="s">
        <v>4988</v>
      </c>
      <c r="D9" s="173" t="s">
        <v>836</v>
      </c>
      <c r="E9" s="190" t="s">
        <v>4059</v>
      </c>
      <c r="F9" s="201" t="s">
        <v>4060</v>
      </c>
      <c r="G9" s="173">
        <v>304</v>
      </c>
      <c r="H9" s="173" t="s">
        <v>114</v>
      </c>
      <c r="I9" s="174">
        <v>2.99</v>
      </c>
      <c r="J9" s="174">
        <v>1.2</v>
      </c>
      <c r="K9" s="203">
        <v>1.17</v>
      </c>
      <c r="L9" s="203">
        <v>1.2</v>
      </c>
      <c r="M9" s="191">
        <v>642</v>
      </c>
      <c r="N9" s="176">
        <v>10.4</v>
      </c>
      <c r="O9" s="176">
        <v>10.36</v>
      </c>
      <c r="P9" s="176"/>
      <c r="Q9" s="176">
        <v>0.04</v>
      </c>
      <c r="R9" s="176" t="s">
        <v>114</v>
      </c>
      <c r="S9" s="209"/>
      <c r="T9" s="178" t="s">
        <v>4326</v>
      </c>
      <c r="U9" s="178"/>
      <c r="V9" s="179"/>
      <c r="W9" s="177">
        <v>44938</v>
      </c>
      <c r="X9" s="177"/>
      <c r="Y9" s="177"/>
      <c r="Z9" s="177">
        <v>44939</v>
      </c>
      <c r="AA9" s="177"/>
      <c r="AB9" s="177">
        <v>44945</v>
      </c>
      <c r="AC9" s="177">
        <v>44944</v>
      </c>
      <c r="AD9" s="177"/>
      <c r="AE9" s="177"/>
      <c r="AF9" s="177"/>
      <c r="AG9" s="180" t="s">
        <v>2479</v>
      </c>
      <c r="AH9" s="173" t="s">
        <v>69</v>
      </c>
      <c r="AI9" s="181" t="s">
        <v>142</v>
      </c>
      <c r="AJ9" s="181" t="s">
        <v>1657</v>
      </c>
      <c r="AK9" s="181"/>
      <c r="AL9" s="181">
        <v>44849</v>
      </c>
      <c r="AM9" s="181"/>
      <c r="AN9" s="181">
        <f t="shared" ca="1" si="2"/>
        <v>44958</v>
      </c>
      <c r="AO9" s="173">
        <f t="shared" ca="1" si="3"/>
        <v>109</v>
      </c>
      <c r="AP9" s="173" t="str">
        <f t="shared" si="4"/>
        <v/>
      </c>
      <c r="AQ9" s="181"/>
      <c r="AR9" s="190" t="s">
        <v>4061</v>
      </c>
      <c r="AS9" s="176">
        <v>10.635</v>
      </c>
      <c r="AT9" s="176">
        <v>10.645</v>
      </c>
      <c r="AU9" s="176">
        <v>10.669999999999998</v>
      </c>
      <c r="AV9" s="176">
        <v>10.674999999999999</v>
      </c>
      <c r="AW9" s="173" t="str">
        <f t="shared" si="0"/>
        <v/>
      </c>
      <c r="AX9" s="142">
        <v>456</v>
      </c>
      <c r="AZ9" s="142" t="s">
        <v>123</v>
      </c>
    </row>
    <row r="10" spans="1:52" s="142" customFormat="1" ht="21" customHeight="1" x14ac:dyDescent="0.25">
      <c r="B10" s="173" t="str">
        <f t="shared" si="1"/>
        <v>0-304/2B-1.50X635</v>
      </c>
      <c r="C10" s="201" t="s">
        <v>4988</v>
      </c>
      <c r="D10" s="173" t="s">
        <v>836</v>
      </c>
      <c r="E10" s="190" t="s">
        <v>4073</v>
      </c>
      <c r="F10" s="201" t="s">
        <v>4074</v>
      </c>
      <c r="G10" s="173">
        <v>304</v>
      </c>
      <c r="H10" s="173" t="s">
        <v>114</v>
      </c>
      <c r="I10" s="174">
        <v>3.9</v>
      </c>
      <c r="J10" s="174">
        <v>1.5</v>
      </c>
      <c r="K10" s="203">
        <v>1.44</v>
      </c>
      <c r="L10" s="203">
        <v>1.46</v>
      </c>
      <c r="M10" s="191">
        <v>635</v>
      </c>
      <c r="N10" s="176">
        <v>10.25</v>
      </c>
      <c r="O10" s="176">
        <v>10.185</v>
      </c>
      <c r="P10" s="176"/>
      <c r="Q10" s="176"/>
      <c r="R10" s="176" t="s">
        <v>114</v>
      </c>
      <c r="S10" s="209"/>
      <c r="T10" s="178" t="s">
        <v>4326</v>
      </c>
      <c r="U10" s="178"/>
      <c r="V10" s="179"/>
      <c r="W10" s="177">
        <v>44939</v>
      </c>
      <c r="X10" s="177"/>
      <c r="Y10" s="177"/>
      <c r="Z10" s="177">
        <v>44939</v>
      </c>
      <c r="AA10" s="177"/>
      <c r="AB10" s="177">
        <v>44945</v>
      </c>
      <c r="AC10" s="177">
        <v>44940</v>
      </c>
      <c r="AD10" s="177"/>
      <c r="AE10" s="177"/>
      <c r="AF10" s="177"/>
      <c r="AG10" s="180" t="s">
        <v>2479</v>
      </c>
      <c r="AH10" s="173" t="s">
        <v>69</v>
      </c>
      <c r="AI10" s="181" t="s">
        <v>142</v>
      </c>
      <c r="AJ10" s="181" t="s">
        <v>1594</v>
      </c>
      <c r="AK10" s="181"/>
      <c r="AL10" s="181">
        <v>44849</v>
      </c>
      <c r="AM10" s="181"/>
      <c r="AN10" s="181">
        <f t="shared" ca="1" si="2"/>
        <v>44958</v>
      </c>
      <c r="AO10" s="173">
        <f t="shared" ca="1" si="3"/>
        <v>109</v>
      </c>
      <c r="AP10" s="173" t="str">
        <f t="shared" si="4"/>
        <v/>
      </c>
      <c r="AQ10" s="181"/>
      <c r="AR10" s="190" t="s">
        <v>4075</v>
      </c>
      <c r="AS10" s="176">
        <v>10.25</v>
      </c>
      <c r="AT10" s="176">
        <v>10.26</v>
      </c>
      <c r="AU10" s="176">
        <v>10.284999999999998</v>
      </c>
      <c r="AV10" s="176">
        <v>10.29</v>
      </c>
      <c r="AW10" s="173" t="str">
        <f t="shared" si="0"/>
        <v/>
      </c>
      <c r="AX10" s="142">
        <v>456</v>
      </c>
      <c r="AZ10" s="142" t="s">
        <v>123</v>
      </c>
    </row>
    <row r="11" spans="1:52" s="142" customFormat="1" ht="21" customHeight="1" x14ac:dyDescent="0.25">
      <c r="B11" s="173" t="str">
        <f t="shared" si="1"/>
        <v>0-J3/2B-0.91X620</v>
      </c>
      <c r="C11" s="201" t="s">
        <v>4988</v>
      </c>
      <c r="D11" s="173" t="s">
        <v>836</v>
      </c>
      <c r="E11" s="190" t="s">
        <v>4991</v>
      </c>
      <c r="F11" s="201" t="s">
        <v>4992</v>
      </c>
      <c r="G11" s="173" t="s">
        <v>34</v>
      </c>
      <c r="H11" s="173" t="s">
        <v>114</v>
      </c>
      <c r="I11" s="174">
        <v>2.4</v>
      </c>
      <c r="J11" s="174">
        <v>0.91</v>
      </c>
      <c r="K11" s="203">
        <v>0.89</v>
      </c>
      <c r="L11" s="203">
        <v>0.9</v>
      </c>
      <c r="M11" s="191">
        <v>620</v>
      </c>
      <c r="N11" s="176">
        <v>9.9149999999999991</v>
      </c>
      <c r="O11" s="176">
        <v>9.8550000000000004</v>
      </c>
      <c r="P11" s="176"/>
      <c r="Q11" s="176">
        <v>0.06</v>
      </c>
      <c r="R11" s="176" t="s">
        <v>114</v>
      </c>
      <c r="S11" s="209"/>
      <c r="T11" s="178" t="s">
        <v>361</v>
      </c>
      <c r="U11" s="178"/>
      <c r="V11" s="179"/>
      <c r="W11" s="177">
        <v>44784</v>
      </c>
      <c r="X11" s="177"/>
      <c r="Y11" s="177">
        <v>44784</v>
      </c>
      <c r="Z11" s="177"/>
      <c r="AA11" s="177"/>
      <c r="AB11" s="177">
        <v>44945</v>
      </c>
      <c r="AC11" s="177"/>
      <c r="AD11" s="177"/>
      <c r="AE11" s="177"/>
      <c r="AF11" s="177"/>
      <c r="AG11" s="180"/>
      <c r="AH11" s="173" t="s">
        <v>69</v>
      </c>
      <c r="AI11" s="181" t="s">
        <v>119</v>
      </c>
      <c r="AJ11" s="181" t="s">
        <v>994</v>
      </c>
      <c r="AK11" s="181">
        <v>44713</v>
      </c>
      <c r="AL11" s="181">
        <v>44747</v>
      </c>
      <c r="AM11" s="181"/>
      <c r="AN11" s="181">
        <f t="shared" ca="1" si="2"/>
        <v>44958</v>
      </c>
      <c r="AO11" s="173">
        <f t="shared" ca="1" si="3"/>
        <v>211</v>
      </c>
      <c r="AP11" s="173" t="str">
        <f t="shared" si="4"/>
        <v/>
      </c>
      <c r="AQ11" s="181" t="s">
        <v>4993</v>
      </c>
      <c r="AR11" s="190" t="s">
        <v>974</v>
      </c>
      <c r="AS11" s="176">
        <v>9.9139999999999997</v>
      </c>
      <c r="AT11" s="176">
        <v>9.9339999999999993</v>
      </c>
      <c r="AU11" s="176">
        <v>9.9589999999999979</v>
      </c>
      <c r="AV11" s="176">
        <v>9.9639999999999986</v>
      </c>
      <c r="AW11" s="173">
        <f t="shared" ca="1" si="0"/>
        <v>174</v>
      </c>
      <c r="AX11" s="142">
        <v>442</v>
      </c>
      <c r="AZ11" s="142" t="s">
        <v>123</v>
      </c>
    </row>
    <row r="12" spans="1:52" s="142" customFormat="1" ht="21" customHeight="1" x14ac:dyDescent="0.25">
      <c r="B12" s="173" t="str">
        <f t="shared" si="1"/>
        <v>0-J3/2B-0.73X620</v>
      </c>
      <c r="C12" s="201" t="s">
        <v>4988</v>
      </c>
      <c r="D12" s="173" t="s">
        <v>836</v>
      </c>
      <c r="E12" s="190" t="s">
        <v>4994</v>
      </c>
      <c r="F12" s="201" t="s">
        <v>4995</v>
      </c>
      <c r="G12" s="173" t="s">
        <v>34</v>
      </c>
      <c r="H12" s="173" t="s">
        <v>114</v>
      </c>
      <c r="I12" s="174">
        <v>2.2000000000000002</v>
      </c>
      <c r="J12" s="174">
        <v>0.73</v>
      </c>
      <c r="K12" s="203">
        <v>0.71</v>
      </c>
      <c r="L12" s="203">
        <v>0.73</v>
      </c>
      <c r="M12" s="191">
        <v>620</v>
      </c>
      <c r="N12" s="176">
        <v>9.9849999999999994</v>
      </c>
      <c r="O12" s="176">
        <v>9.91</v>
      </c>
      <c r="P12" s="176"/>
      <c r="Q12" s="176">
        <v>7.4999999999999997E-2</v>
      </c>
      <c r="R12" s="176" t="s">
        <v>114</v>
      </c>
      <c r="S12" s="209"/>
      <c r="T12" s="178" t="s">
        <v>361</v>
      </c>
      <c r="U12" s="178"/>
      <c r="V12" s="179"/>
      <c r="W12" s="177">
        <v>44829</v>
      </c>
      <c r="X12" s="177"/>
      <c r="Y12" s="177">
        <v>44829</v>
      </c>
      <c r="Z12" s="177"/>
      <c r="AA12" s="177"/>
      <c r="AB12" s="177">
        <v>44945</v>
      </c>
      <c r="AC12" s="177"/>
      <c r="AD12" s="177"/>
      <c r="AE12" s="177"/>
      <c r="AF12" s="177"/>
      <c r="AG12" s="180"/>
      <c r="AH12" s="173" t="s">
        <v>69</v>
      </c>
      <c r="AI12" s="181" t="s">
        <v>119</v>
      </c>
      <c r="AJ12" s="181" t="s">
        <v>994</v>
      </c>
      <c r="AK12" s="181">
        <v>44713</v>
      </c>
      <c r="AL12" s="181">
        <v>44747</v>
      </c>
      <c r="AM12" s="181"/>
      <c r="AN12" s="181">
        <f t="shared" ca="1" si="2"/>
        <v>44958</v>
      </c>
      <c r="AO12" s="173">
        <f t="shared" ca="1" si="3"/>
        <v>211</v>
      </c>
      <c r="AP12" s="173" t="str">
        <f t="shared" si="4"/>
        <v/>
      </c>
      <c r="AQ12" s="181" t="s">
        <v>1003</v>
      </c>
      <c r="AR12" s="190" t="s">
        <v>1020</v>
      </c>
      <c r="AS12" s="176">
        <v>9.98</v>
      </c>
      <c r="AT12" s="176">
        <v>10</v>
      </c>
      <c r="AU12" s="176">
        <v>10.024999999999999</v>
      </c>
      <c r="AV12" s="176">
        <v>10.029999999999999</v>
      </c>
      <c r="AW12" s="173">
        <f t="shared" ca="1" si="0"/>
        <v>129</v>
      </c>
      <c r="AX12" s="142">
        <v>442</v>
      </c>
      <c r="AZ12" s="142" t="s">
        <v>123</v>
      </c>
    </row>
    <row r="13" spans="1:52" s="142" customFormat="1" ht="21" customHeight="1" x14ac:dyDescent="0.25">
      <c r="B13" s="173" t="str">
        <f t="shared" si="1"/>
        <v>0-J3/2B-0.91X620</v>
      </c>
      <c r="C13" s="201" t="s">
        <v>4996</v>
      </c>
      <c r="D13" s="173" t="s">
        <v>836</v>
      </c>
      <c r="E13" s="190" t="s">
        <v>4997</v>
      </c>
      <c r="F13" s="201" t="s">
        <v>4998</v>
      </c>
      <c r="G13" s="173" t="s">
        <v>34</v>
      </c>
      <c r="H13" s="173" t="s">
        <v>114</v>
      </c>
      <c r="I13" s="174">
        <v>2.4</v>
      </c>
      <c r="J13" s="174">
        <v>0.91</v>
      </c>
      <c r="K13" s="203"/>
      <c r="L13" s="203"/>
      <c r="M13" s="191">
        <v>620</v>
      </c>
      <c r="N13" s="176">
        <v>9.94</v>
      </c>
      <c r="O13" s="176">
        <v>9.93</v>
      </c>
      <c r="P13" s="176"/>
      <c r="Q13" s="176">
        <v>0.01</v>
      </c>
      <c r="R13" s="176" t="s">
        <v>114</v>
      </c>
      <c r="S13" s="209"/>
      <c r="T13" s="178" t="s">
        <v>361</v>
      </c>
      <c r="U13" s="178"/>
      <c r="V13" s="179"/>
      <c r="W13" s="177">
        <v>44784</v>
      </c>
      <c r="X13" s="177"/>
      <c r="Y13" s="177">
        <v>44785</v>
      </c>
      <c r="Z13" s="177"/>
      <c r="AA13" s="177"/>
      <c r="AB13" s="177">
        <v>44946</v>
      </c>
      <c r="AC13" s="177"/>
      <c r="AD13" s="177"/>
      <c r="AE13" s="177"/>
      <c r="AF13" s="177"/>
      <c r="AG13" s="180"/>
      <c r="AH13" s="173" t="s">
        <v>69</v>
      </c>
      <c r="AI13" s="181" t="s">
        <v>119</v>
      </c>
      <c r="AJ13" s="181" t="s">
        <v>994</v>
      </c>
      <c r="AK13" s="181">
        <v>44713</v>
      </c>
      <c r="AL13" s="181">
        <v>44747</v>
      </c>
      <c r="AM13" s="181"/>
      <c r="AN13" s="181">
        <f t="shared" ca="1" si="2"/>
        <v>44958</v>
      </c>
      <c r="AO13" s="173">
        <f t="shared" ca="1" si="3"/>
        <v>211</v>
      </c>
      <c r="AP13" s="173" t="str">
        <f t="shared" si="4"/>
        <v/>
      </c>
      <c r="AQ13" s="181" t="s">
        <v>4999</v>
      </c>
      <c r="AR13" s="190" t="s">
        <v>1116</v>
      </c>
      <c r="AS13" s="176">
        <v>9.9529999999999994</v>
      </c>
      <c r="AT13" s="176">
        <v>9.972999999999999</v>
      </c>
      <c r="AU13" s="176">
        <v>9.9979999999999976</v>
      </c>
      <c r="AV13" s="176">
        <v>10.002999999999998</v>
      </c>
      <c r="AW13" s="173">
        <f t="shared" ca="1" si="0"/>
        <v>173</v>
      </c>
      <c r="AX13" s="142">
        <v>442</v>
      </c>
      <c r="AZ13" s="142" t="s">
        <v>123</v>
      </c>
    </row>
    <row r="14" spans="1:52" s="142" customFormat="1" ht="21" customHeight="1" x14ac:dyDescent="0.25">
      <c r="B14" s="173" t="str">
        <f t="shared" si="1"/>
        <v>0-J3/2B-0.73X620</v>
      </c>
      <c r="C14" s="201" t="s">
        <v>4996</v>
      </c>
      <c r="D14" s="173" t="s">
        <v>836</v>
      </c>
      <c r="E14" s="190" t="s">
        <v>5000</v>
      </c>
      <c r="F14" s="201" t="s">
        <v>5001</v>
      </c>
      <c r="G14" s="173" t="s">
        <v>34</v>
      </c>
      <c r="H14" s="173" t="s">
        <v>114</v>
      </c>
      <c r="I14" s="174">
        <v>2.2000000000000002</v>
      </c>
      <c r="J14" s="174">
        <v>0.73</v>
      </c>
      <c r="K14" s="203"/>
      <c r="L14" s="203"/>
      <c r="M14" s="191">
        <v>620</v>
      </c>
      <c r="N14" s="176">
        <v>9.9499999999999993</v>
      </c>
      <c r="O14" s="176">
        <v>9.9350000000000005</v>
      </c>
      <c r="P14" s="176"/>
      <c r="Q14" s="176">
        <v>1.4999999999999999E-2</v>
      </c>
      <c r="R14" s="176" t="s">
        <v>114</v>
      </c>
      <c r="S14" s="209"/>
      <c r="T14" s="178" t="s">
        <v>361</v>
      </c>
      <c r="U14" s="178"/>
      <c r="V14" s="179"/>
      <c r="W14" s="177">
        <v>44783</v>
      </c>
      <c r="X14" s="177"/>
      <c r="Y14" s="177">
        <v>44784</v>
      </c>
      <c r="Z14" s="177"/>
      <c r="AA14" s="177"/>
      <c r="AB14" s="177">
        <v>44946</v>
      </c>
      <c r="AC14" s="177"/>
      <c r="AD14" s="177"/>
      <c r="AE14" s="177"/>
      <c r="AF14" s="177"/>
      <c r="AG14" s="180"/>
      <c r="AH14" s="173" t="s">
        <v>69</v>
      </c>
      <c r="AI14" s="181" t="s">
        <v>119</v>
      </c>
      <c r="AJ14" s="181" t="s">
        <v>994</v>
      </c>
      <c r="AK14" s="181">
        <v>44713</v>
      </c>
      <c r="AL14" s="181">
        <v>44747</v>
      </c>
      <c r="AM14" s="181"/>
      <c r="AN14" s="181">
        <f t="shared" ca="1" si="2"/>
        <v>44958</v>
      </c>
      <c r="AO14" s="173">
        <f t="shared" ca="1" si="3"/>
        <v>211</v>
      </c>
      <c r="AP14" s="173" t="str">
        <f t="shared" si="4"/>
        <v/>
      </c>
      <c r="AQ14" s="181" t="s">
        <v>4912</v>
      </c>
      <c r="AR14" s="190" t="s">
        <v>1044</v>
      </c>
      <c r="AS14" s="176">
        <v>9.9670000000000005</v>
      </c>
      <c r="AT14" s="176">
        <v>9.9870000000000001</v>
      </c>
      <c r="AU14" s="176">
        <v>10.011999999999999</v>
      </c>
      <c r="AV14" s="176">
        <v>10.016999999999999</v>
      </c>
      <c r="AW14" s="173">
        <f t="shared" ca="1" si="0"/>
        <v>174</v>
      </c>
      <c r="AX14" s="142">
        <v>442</v>
      </c>
      <c r="AZ14" s="142" t="s">
        <v>123</v>
      </c>
    </row>
    <row r="15" spans="1:52" s="142" customFormat="1" ht="21" customHeight="1" x14ac:dyDescent="0.25">
      <c r="B15" s="173" t="str">
        <f t="shared" si="1"/>
        <v>0-304L/2B-1.15X770</v>
      </c>
      <c r="C15" s="201" t="s">
        <v>4996</v>
      </c>
      <c r="D15" s="173" t="s">
        <v>836</v>
      </c>
      <c r="E15" s="190" t="s">
        <v>5002</v>
      </c>
      <c r="F15" s="201" t="s">
        <v>5003</v>
      </c>
      <c r="G15" s="173" t="s">
        <v>182</v>
      </c>
      <c r="H15" s="173" t="s">
        <v>114</v>
      </c>
      <c r="I15" s="174">
        <v>3.48</v>
      </c>
      <c r="J15" s="174">
        <v>1.1499999999999999</v>
      </c>
      <c r="K15" s="203"/>
      <c r="L15" s="203"/>
      <c r="M15" s="191">
        <v>770</v>
      </c>
      <c r="N15" s="176">
        <v>10.484999999999999</v>
      </c>
      <c r="O15" s="176">
        <v>10.16</v>
      </c>
      <c r="P15" s="176">
        <v>0.3</v>
      </c>
      <c r="Q15" s="176">
        <v>2.5000000000000001E-2</v>
      </c>
      <c r="R15" s="176" t="s">
        <v>114</v>
      </c>
      <c r="S15" s="209"/>
      <c r="T15" s="178" t="s">
        <v>361</v>
      </c>
      <c r="U15" s="178"/>
      <c r="V15" s="179"/>
      <c r="W15" s="177">
        <v>44921</v>
      </c>
      <c r="X15" s="177"/>
      <c r="Y15" s="177">
        <v>44922</v>
      </c>
      <c r="Z15" s="177"/>
      <c r="AA15" s="177"/>
      <c r="AB15" s="177">
        <v>44946</v>
      </c>
      <c r="AC15" s="177"/>
      <c r="AD15" s="177"/>
      <c r="AE15" s="177"/>
      <c r="AF15" s="177"/>
      <c r="AG15" s="180" t="s">
        <v>2479</v>
      </c>
      <c r="AH15" s="173" t="s">
        <v>69</v>
      </c>
      <c r="AI15" s="181" t="s">
        <v>142</v>
      </c>
      <c r="AJ15" s="181" t="s">
        <v>1584</v>
      </c>
      <c r="AK15" s="181"/>
      <c r="AL15" s="181">
        <v>44914</v>
      </c>
      <c r="AM15" s="181"/>
      <c r="AN15" s="181">
        <f t="shared" ca="1" si="2"/>
        <v>44958</v>
      </c>
      <c r="AO15" s="173">
        <f t="shared" ca="1" si="3"/>
        <v>44</v>
      </c>
      <c r="AP15" s="173" t="str">
        <f t="shared" si="4"/>
        <v/>
      </c>
      <c r="AQ15" s="181"/>
      <c r="AR15" s="190" t="s">
        <v>2534</v>
      </c>
      <c r="AS15" s="176">
        <v>10.475</v>
      </c>
      <c r="AT15" s="176">
        <v>10.484999999999999</v>
      </c>
      <c r="AU15" s="176">
        <v>10.509999999999998</v>
      </c>
      <c r="AV15" s="176">
        <v>10.514999999999999</v>
      </c>
      <c r="AW15" s="173">
        <f t="shared" ca="1" si="0"/>
        <v>36</v>
      </c>
      <c r="AX15" s="142">
        <v>462</v>
      </c>
      <c r="AZ15" s="142" t="s">
        <v>123</v>
      </c>
    </row>
    <row r="16" spans="1:52" s="142" customFormat="1" ht="21" customHeight="1" x14ac:dyDescent="0.25">
      <c r="B16" s="173" t="str">
        <f t="shared" si="1"/>
        <v>0-304L/2B-1.15X772</v>
      </c>
      <c r="C16" s="201" t="s">
        <v>4996</v>
      </c>
      <c r="D16" s="173" t="s">
        <v>836</v>
      </c>
      <c r="E16" s="190" t="s">
        <v>2531</v>
      </c>
      <c r="F16" s="201" t="s">
        <v>2532</v>
      </c>
      <c r="G16" s="173" t="s">
        <v>182</v>
      </c>
      <c r="H16" s="173" t="s">
        <v>114</v>
      </c>
      <c r="I16" s="174">
        <v>3.47</v>
      </c>
      <c r="J16" s="174">
        <v>1.1499999999999999</v>
      </c>
      <c r="K16" s="203"/>
      <c r="L16" s="203"/>
      <c r="M16" s="191">
        <v>772</v>
      </c>
      <c r="N16" s="349">
        <v>10.48</v>
      </c>
      <c r="O16" s="176">
        <v>5.7249999999999996</v>
      </c>
      <c r="P16" s="176"/>
      <c r="Q16" s="176"/>
      <c r="R16" s="176" t="s">
        <v>114</v>
      </c>
      <c r="S16" s="209"/>
      <c r="T16" s="178" t="s">
        <v>361</v>
      </c>
      <c r="U16" s="178"/>
      <c r="V16" s="179"/>
      <c r="W16" s="177">
        <v>44921</v>
      </c>
      <c r="X16" s="177"/>
      <c r="Y16" s="177">
        <v>44921</v>
      </c>
      <c r="Z16" s="177"/>
      <c r="AA16" s="177"/>
      <c r="AB16" s="177">
        <v>44946</v>
      </c>
      <c r="AC16" s="177"/>
      <c r="AD16" s="177"/>
      <c r="AE16" s="177"/>
      <c r="AF16" s="177"/>
      <c r="AG16" s="180" t="s">
        <v>2479</v>
      </c>
      <c r="AH16" s="173" t="s">
        <v>69</v>
      </c>
      <c r="AI16" s="181" t="s">
        <v>142</v>
      </c>
      <c r="AJ16" s="181" t="s">
        <v>1584</v>
      </c>
      <c r="AK16" s="181"/>
      <c r="AL16" s="181">
        <v>44914</v>
      </c>
      <c r="AM16" s="181"/>
      <c r="AN16" s="181">
        <f t="shared" ca="1" si="2"/>
        <v>44958</v>
      </c>
      <c r="AO16" s="173">
        <f t="shared" ca="1" si="3"/>
        <v>44</v>
      </c>
      <c r="AP16" s="173" t="str">
        <f t="shared" si="4"/>
        <v/>
      </c>
      <c r="AQ16" s="181"/>
      <c r="AR16" s="190" t="s">
        <v>2534</v>
      </c>
      <c r="AS16" s="176">
        <v>10.5</v>
      </c>
      <c r="AT16" s="176">
        <v>10.51</v>
      </c>
      <c r="AU16" s="176">
        <v>10.534999999999998</v>
      </c>
      <c r="AV16" s="176">
        <v>10.54</v>
      </c>
      <c r="AW16" s="173">
        <f t="shared" ca="1" si="0"/>
        <v>37</v>
      </c>
      <c r="AX16" s="142">
        <v>462</v>
      </c>
      <c r="AZ16" s="142" t="s">
        <v>123</v>
      </c>
    </row>
    <row r="17" spans="2:52" s="142" customFormat="1" ht="21" customHeight="1" x14ac:dyDescent="0.25">
      <c r="B17" s="173" t="str">
        <f t="shared" si="1"/>
        <v>0-304L/2B-1.15X772</v>
      </c>
      <c r="C17" s="201" t="s">
        <v>4996</v>
      </c>
      <c r="D17" s="173" t="s">
        <v>836</v>
      </c>
      <c r="E17" s="190" t="s">
        <v>2531</v>
      </c>
      <c r="F17" s="201" t="s">
        <v>5004</v>
      </c>
      <c r="G17" s="173" t="s">
        <v>182</v>
      </c>
      <c r="H17" s="173" t="s">
        <v>114</v>
      </c>
      <c r="I17" s="174">
        <v>3.47</v>
      </c>
      <c r="J17" s="174">
        <v>1.1499999999999999</v>
      </c>
      <c r="K17" s="203"/>
      <c r="L17" s="203"/>
      <c r="M17" s="191">
        <v>772</v>
      </c>
      <c r="N17" s="350"/>
      <c r="O17" s="176">
        <v>4.4450000000000003</v>
      </c>
      <c r="P17" s="176">
        <v>0.28000000000000003</v>
      </c>
      <c r="Q17" s="176">
        <v>0.03</v>
      </c>
      <c r="R17" s="176" t="s">
        <v>114</v>
      </c>
      <c r="S17" s="209"/>
      <c r="T17" s="178" t="s">
        <v>361</v>
      </c>
      <c r="U17" s="178"/>
      <c r="V17" s="179"/>
      <c r="W17" s="177">
        <v>44921</v>
      </c>
      <c r="X17" s="177"/>
      <c r="Y17" s="177">
        <v>44921</v>
      </c>
      <c r="Z17" s="177"/>
      <c r="AA17" s="177"/>
      <c r="AB17" s="177">
        <v>44946</v>
      </c>
      <c r="AC17" s="177"/>
      <c r="AD17" s="177"/>
      <c r="AE17" s="177"/>
      <c r="AF17" s="177"/>
      <c r="AG17" s="180" t="s">
        <v>2479</v>
      </c>
      <c r="AH17" s="173" t="s">
        <v>69</v>
      </c>
      <c r="AI17" s="181" t="s">
        <v>142</v>
      </c>
      <c r="AJ17" s="181" t="s">
        <v>1584</v>
      </c>
      <c r="AK17" s="181"/>
      <c r="AL17" s="181">
        <v>44914</v>
      </c>
      <c r="AM17" s="181"/>
      <c r="AN17" s="181">
        <f t="shared" ca="1" si="2"/>
        <v>44958</v>
      </c>
      <c r="AO17" s="173">
        <f t="shared" ca="1" si="3"/>
        <v>44</v>
      </c>
      <c r="AP17" s="173" t="str">
        <f t="shared" si="4"/>
        <v/>
      </c>
      <c r="AQ17" s="181"/>
      <c r="AR17" s="190" t="s">
        <v>2534</v>
      </c>
      <c r="AS17" s="176">
        <v>10.5</v>
      </c>
      <c r="AT17" s="176">
        <v>10.51</v>
      </c>
      <c r="AU17" s="176">
        <v>10.534999999999998</v>
      </c>
      <c r="AV17" s="176">
        <v>10.54</v>
      </c>
      <c r="AW17" s="173">
        <f t="shared" ca="1" si="0"/>
        <v>37</v>
      </c>
      <c r="AX17" s="142">
        <v>462</v>
      </c>
      <c r="AZ17" s="142" t="s">
        <v>123</v>
      </c>
    </row>
    <row r="18" spans="2:52" s="142" customFormat="1" ht="21" customHeight="1" x14ac:dyDescent="0.25">
      <c r="B18" s="173" t="str">
        <f t="shared" si="1"/>
        <v>0-304L/2B-1.20X766</v>
      </c>
      <c r="C18" s="201" t="s">
        <v>4996</v>
      </c>
      <c r="D18" s="173" t="s">
        <v>836</v>
      </c>
      <c r="E18" s="190" t="s">
        <v>1586</v>
      </c>
      <c r="F18" s="201" t="s">
        <v>1587</v>
      </c>
      <c r="G18" s="173" t="s">
        <v>182</v>
      </c>
      <c r="H18" s="173" t="s">
        <v>114</v>
      </c>
      <c r="I18" s="174">
        <v>3.57</v>
      </c>
      <c r="J18" s="174">
        <v>1.2</v>
      </c>
      <c r="K18" s="203"/>
      <c r="L18" s="203"/>
      <c r="M18" s="191">
        <v>766</v>
      </c>
      <c r="N18" s="349">
        <v>10.465</v>
      </c>
      <c r="O18" s="176">
        <v>5.3550000000000004</v>
      </c>
      <c r="P18" s="176"/>
      <c r="Q18" s="176"/>
      <c r="R18" s="176" t="s">
        <v>114</v>
      </c>
      <c r="S18" s="209"/>
      <c r="T18" s="178" t="s">
        <v>1540</v>
      </c>
      <c r="U18" s="178"/>
      <c r="V18" s="179"/>
      <c r="W18" s="177">
        <v>44930</v>
      </c>
      <c r="X18" s="177"/>
      <c r="Y18" s="177">
        <v>44930</v>
      </c>
      <c r="Z18" s="177"/>
      <c r="AA18" s="177"/>
      <c r="AB18" s="177">
        <v>44946</v>
      </c>
      <c r="AC18" s="177"/>
      <c r="AD18" s="177">
        <v>44929</v>
      </c>
      <c r="AE18" s="177"/>
      <c r="AF18" s="177"/>
      <c r="AG18" s="180" t="s">
        <v>1345</v>
      </c>
      <c r="AH18" s="173" t="s">
        <v>69</v>
      </c>
      <c r="AI18" s="181" t="s">
        <v>142</v>
      </c>
      <c r="AJ18" s="181" t="s">
        <v>1508</v>
      </c>
      <c r="AK18" s="181"/>
      <c r="AL18" s="181">
        <v>44849</v>
      </c>
      <c r="AM18" s="181"/>
      <c r="AN18" s="181">
        <f t="shared" ca="1" si="2"/>
        <v>44958</v>
      </c>
      <c r="AO18" s="173">
        <f t="shared" ca="1" si="3"/>
        <v>109</v>
      </c>
      <c r="AP18" s="173" t="str">
        <f t="shared" si="4"/>
        <v/>
      </c>
      <c r="AQ18" s="181"/>
      <c r="AR18" s="190" t="s">
        <v>1588</v>
      </c>
      <c r="AS18" s="176">
        <v>20.92</v>
      </c>
      <c r="AT18" s="176">
        <v>20.98</v>
      </c>
      <c r="AU18" s="176">
        <v>21.005000000000003</v>
      </c>
      <c r="AV18" s="176">
        <v>21.01</v>
      </c>
      <c r="AW18" s="173">
        <f t="shared" ca="1" si="0"/>
        <v>28</v>
      </c>
      <c r="AX18" s="142">
        <v>456</v>
      </c>
      <c r="AZ18" s="142" t="s">
        <v>123</v>
      </c>
    </row>
    <row r="19" spans="2:52" s="142" customFormat="1" ht="20.25" customHeight="1" x14ac:dyDescent="0.25">
      <c r="B19" s="173" t="str">
        <f t="shared" si="1"/>
        <v>0-304L/2B-1.20X766</v>
      </c>
      <c r="C19" s="201" t="s">
        <v>4996</v>
      </c>
      <c r="D19" s="173" t="s">
        <v>836</v>
      </c>
      <c r="E19" s="190" t="s">
        <v>1586</v>
      </c>
      <c r="F19" s="201" t="s">
        <v>1589</v>
      </c>
      <c r="G19" s="173" t="s">
        <v>182</v>
      </c>
      <c r="H19" s="173" t="s">
        <v>114</v>
      </c>
      <c r="I19" s="174">
        <v>3.57</v>
      </c>
      <c r="J19" s="174">
        <v>1.2</v>
      </c>
      <c r="K19" s="203"/>
      <c r="L19" s="203"/>
      <c r="M19" s="191">
        <v>766</v>
      </c>
      <c r="N19" s="350"/>
      <c r="O19" s="176">
        <v>5.0449999999999999</v>
      </c>
      <c r="P19" s="176"/>
      <c r="Q19" s="176"/>
      <c r="R19" s="176" t="s">
        <v>114</v>
      </c>
      <c r="S19" s="209"/>
      <c r="T19" s="178" t="s">
        <v>1540</v>
      </c>
      <c r="U19" s="178"/>
      <c r="V19" s="179"/>
      <c r="W19" s="177">
        <v>44930</v>
      </c>
      <c r="X19" s="177"/>
      <c r="Y19" s="177">
        <v>44930</v>
      </c>
      <c r="Z19" s="177"/>
      <c r="AA19" s="177"/>
      <c r="AB19" s="177">
        <v>44946</v>
      </c>
      <c r="AC19" s="177"/>
      <c r="AD19" s="177">
        <v>44929</v>
      </c>
      <c r="AE19" s="177"/>
      <c r="AF19" s="177"/>
      <c r="AG19" s="180" t="s">
        <v>1345</v>
      </c>
      <c r="AH19" s="173" t="s">
        <v>69</v>
      </c>
      <c r="AI19" s="181" t="s">
        <v>142</v>
      </c>
      <c r="AJ19" s="181" t="s">
        <v>1508</v>
      </c>
      <c r="AK19" s="181"/>
      <c r="AL19" s="181">
        <v>44849</v>
      </c>
      <c r="AM19" s="181"/>
      <c r="AN19" s="181">
        <f t="shared" ca="1" si="2"/>
        <v>44958</v>
      </c>
      <c r="AO19" s="173">
        <f t="shared" ca="1" si="3"/>
        <v>109</v>
      </c>
      <c r="AP19" s="173" t="str">
        <f t="shared" si="4"/>
        <v/>
      </c>
      <c r="AQ19" s="181"/>
      <c r="AR19" s="190" t="s">
        <v>1588</v>
      </c>
      <c r="AS19" s="176">
        <v>20.92</v>
      </c>
      <c r="AT19" s="176">
        <v>20.98</v>
      </c>
      <c r="AU19" s="176">
        <v>21.005000000000003</v>
      </c>
      <c r="AV19" s="176">
        <v>21.01</v>
      </c>
      <c r="AW19" s="173">
        <f t="shared" ca="1" si="0"/>
        <v>28</v>
      </c>
      <c r="AX19" s="142">
        <v>456</v>
      </c>
      <c r="AZ19" s="142" t="s">
        <v>123</v>
      </c>
    </row>
    <row r="20" spans="2:52" s="142" customFormat="1" ht="21" customHeight="1" x14ac:dyDescent="0.25">
      <c r="B20" s="173" t="str">
        <f t="shared" si="1"/>
        <v>0-304/2B-1.50X765</v>
      </c>
      <c r="C20" s="201" t="s">
        <v>4996</v>
      </c>
      <c r="D20" s="173" t="s">
        <v>836</v>
      </c>
      <c r="E20" s="190" t="s">
        <v>2346</v>
      </c>
      <c r="F20" s="201" t="s">
        <v>2347</v>
      </c>
      <c r="G20" s="173">
        <v>304</v>
      </c>
      <c r="H20" s="173" t="s">
        <v>114</v>
      </c>
      <c r="I20" s="174">
        <v>3.89</v>
      </c>
      <c r="J20" s="174">
        <v>1.5</v>
      </c>
      <c r="K20" s="203"/>
      <c r="L20" s="203"/>
      <c r="M20" s="191">
        <v>765</v>
      </c>
      <c r="N20" s="176">
        <v>10.46</v>
      </c>
      <c r="O20" s="176">
        <v>10.44</v>
      </c>
      <c r="P20" s="176"/>
      <c r="Q20" s="176"/>
      <c r="R20" s="176" t="s">
        <v>114</v>
      </c>
      <c r="S20" s="209"/>
      <c r="T20" s="178" t="s">
        <v>1540</v>
      </c>
      <c r="U20" s="178"/>
      <c r="V20" s="179"/>
      <c r="W20" s="177">
        <v>44931</v>
      </c>
      <c r="X20" s="177"/>
      <c r="Y20" s="177">
        <v>44931</v>
      </c>
      <c r="Z20" s="177"/>
      <c r="AA20" s="177"/>
      <c r="AB20" s="177">
        <v>44946</v>
      </c>
      <c r="AC20" s="177"/>
      <c r="AD20" s="177"/>
      <c r="AE20" s="177"/>
      <c r="AF20" s="177"/>
      <c r="AG20" s="180" t="s">
        <v>1345</v>
      </c>
      <c r="AH20" s="173" t="s">
        <v>69</v>
      </c>
      <c r="AI20" s="181" t="s">
        <v>142</v>
      </c>
      <c r="AJ20" s="181" t="s">
        <v>2283</v>
      </c>
      <c r="AK20" s="181"/>
      <c r="AL20" s="181">
        <v>44880</v>
      </c>
      <c r="AM20" s="181"/>
      <c r="AN20" s="181">
        <f t="shared" ca="1" si="2"/>
        <v>44958</v>
      </c>
      <c r="AO20" s="173">
        <f t="shared" ca="1" si="3"/>
        <v>78</v>
      </c>
      <c r="AP20" s="173" t="str">
        <f t="shared" si="4"/>
        <v/>
      </c>
      <c r="AQ20" s="181"/>
      <c r="AR20" s="190" t="s">
        <v>2348</v>
      </c>
      <c r="AS20" s="176">
        <v>10.455</v>
      </c>
      <c r="AT20" s="176">
        <v>10.465</v>
      </c>
      <c r="AU20" s="176">
        <v>10.489999999999998</v>
      </c>
      <c r="AV20" s="176">
        <v>10.494999999999999</v>
      </c>
      <c r="AW20" s="173">
        <f t="shared" ca="1" si="0"/>
        <v>27</v>
      </c>
      <c r="AX20" s="142">
        <v>459</v>
      </c>
      <c r="AZ20" s="142" t="s">
        <v>123</v>
      </c>
    </row>
    <row r="21" spans="2:52" s="142" customFormat="1" ht="21" customHeight="1" x14ac:dyDescent="0.25">
      <c r="B21" s="173" t="str">
        <f t="shared" si="1"/>
        <v>0-304/2B-0.90X769</v>
      </c>
      <c r="C21" s="201" t="s">
        <v>5005</v>
      </c>
      <c r="D21" s="173" t="s">
        <v>836</v>
      </c>
      <c r="E21" s="190" t="s">
        <v>3895</v>
      </c>
      <c r="F21" s="201" t="s">
        <v>3896</v>
      </c>
      <c r="G21" s="173">
        <v>304</v>
      </c>
      <c r="H21" s="173" t="s">
        <v>114</v>
      </c>
      <c r="I21" s="174">
        <v>2.89</v>
      </c>
      <c r="J21" s="174">
        <v>0.9</v>
      </c>
      <c r="K21" s="203"/>
      <c r="L21" s="203"/>
      <c r="M21" s="191">
        <v>769</v>
      </c>
      <c r="N21" s="176">
        <v>10.52</v>
      </c>
      <c r="O21" s="176">
        <v>10.48</v>
      </c>
      <c r="P21" s="176"/>
      <c r="Q21" s="176">
        <v>0.04</v>
      </c>
      <c r="R21" s="176" t="s">
        <v>114</v>
      </c>
      <c r="S21" s="209"/>
      <c r="T21" s="178" t="s">
        <v>1540</v>
      </c>
      <c r="U21" s="178"/>
      <c r="V21" s="179"/>
      <c r="W21" s="177">
        <v>44930</v>
      </c>
      <c r="X21" s="177"/>
      <c r="Y21" s="177">
        <v>44931</v>
      </c>
      <c r="Z21" s="177"/>
      <c r="AA21" s="177"/>
      <c r="AB21" s="177">
        <v>44947</v>
      </c>
      <c r="AC21" s="177"/>
      <c r="AD21" s="177">
        <v>44926</v>
      </c>
      <c r="AE21" s="177"/>
      <c r="AF21" s="177"/>
      <c r="AG21" s="180" t="s">
        <v>1345</v>
      </c>
      <c r="AH21" s="173" t="s">
        <v>69</v>
      </c>
      <c r="AI21" s="181" t="s">
        <v>142</v>
      </c>
      <c r="AJ21" s="181" t="s">
        <v>1508</v>
      </c>
      <c r="AK21" s="181"/>
      <c r="AL21" s="181">
        <v>44849</v>
      </c>
      <c r="AM21" s="181"/>
      <c r="AN21" s="181">
        <f t="shared" ca="1" si="2"/>
        <v>44958</v>
      </c>
      <c r="AO21" s="173">
        <f t="shared" ca="1" si="3"/>
        <v>109</v>
      </c>
      <c r="AP21" s="173" t="str">
        <f t="shared" si="4"/>
        <v/>
      </c>
      <c r="AQ21" s="181"/>
      <c r="AR21" s="190" t="s">
        <v>3897</v>
      </c>
      <c r="AS21" s="176">
        <v>20.984999999999999</v>
      </c>
      <c r="AT21" s="176">
        <v>21.045000000000002</v>
      </c>
      <c r="AU21" s="176">
        <v>21.070000000000004</v>
      </c>
      <c r="AV21" s="176">
        <v>21.075000000000003</v>
      </c>
      <c r="AW21" s="173">
        <f t="shared" ca="1" si="0"/>
        <v>27</v>
      </c>
      <c r="AX21" s="142">
        <v>456</v>
      </c>
      <c r="AZ21" s="142" t="s">
        <v>123</v>
      </c>
    </row>
    <row r="22" spans="2:52" s="142" customFormat="1" ht="21" customHeight="1" x14ac:dyDescent="0.25">
      <c r="B22" s="173" t="str">
        <f t="shared" si="1"/>
        <v>0-304/2B-1.00X778</v>
      </c>
      <c r="C22" s="201" t="s">
        <v>5005</v>
      </c>
      <c r="D22" s="173" t="s">
        <v>836</v>
      </c>
      <c r="E22" s="190" t="s">
        <v>3911</v>
      </c>
      <c r="F22" s="201" t="s">
        <v>3927</v>
      </c>
      <c r="G22" s="173">
        <v>304</v>
      </c>
      <c r="H22" s="173" t="s">
        <v>114</v>
      </c>
      <c r="I22" s="174">
        <v>2.9</v>
      </c>
      <c r="J22" s="174">
        <v>1</v>
      </c>
      <c r="K22" s="203"/>
      <c r="L22" s="203"/>
      <c r="M22" s="191">
        <v>778</v>
      </c>
      <c r="N22" s="176">
        <v>10.395</v>
      </c>
      <c r="O22" s="176">
        <v>10.36</v>
      </c>
      <c r="P22" s="176"/>
      <c r="Q22" s="176">
        <v>3.5000000000000003E-2</v>
      </c>
      <c r="R22" s="176" t="s">
        <v>114</v>
      </c>
      <c r="S22" s="209"/>
      <c r="T22" s="178" t="s">
        <v>1540</v>
      </c>
      <c r="U22" s="178"/>
      <c r="V22" s="179"/>
      <c r="W22" s="177">
        <v>44931</v>
      </c>
      <c r="X22" s="177"/>
      <c r="Y22" s="177">
        <v>44932</v>
      </c>
      <c r="Z22" s="177"/>
      <c r="AA22" s="177"/>
      <c r="AB22" s="177">
        <v>44947</v>
      </c>
      <c r="AC22" s="177"/>
      <c r="AD22" s="177">
        <v>44926</v>
      </c>
      <c r="AE22" s="177"/>
      <c r="AF22" s="177"/>
      <c r="AG22" s="180" t="s">
        <v>1345</v>
      </c>
      <c r="AH22" s="173" t="s">
        <v>69</v>
      </c>
      <c r="AI22" s="181" t="s">
        <v>142</v>
      </c>
      <c r="AJ22" s="181" t="s">
        <v>1346</v>
      </c>
      <c r="AK22" s="181"/>
      <c r="AL22" s="181">
        <v>44813</v>
      </c>
      <c r="AM22" s="181"/>
      <c r="AN22" s="181">
        <f t="shared" ca="1" si="2"/>
        <v>44958</v>
      </c>
      <c r="AO22" s="173">
        <f t="shared" ca="1" si="3"/>
        <v>145</v>
      </c>
      <c r="AP22" s="173" t="str">
        <f t="shared" si="4"/>
        <v/>
      </c>
      <c r="AQ22" s="181"/>
      <c r="AR22" s="190" t="s">
        <v>3913</v>
      </c>
      <c r="AS22" s="176">
        <v>20.73</v>
      </c>
      <c r="AT22" s="176">
        <v>20.79</v>
      </c>
      <c r="AU22" s="176">
        <v>20.815000000000001</v>
      </c>
      <c r="AV22" s="176">
        <v>20.82</v>
      </c>
      <c r="AW22" s="173">
        <f t="shared" ca="1" si="0"/>
        <v>26</v>
      </c>
      <c r="AX22" s="142">
        <v>451</v>
      </c>
      <c r="AZ22" s="142" t="s">
        <v>123</v>
      </c>
    </row>
    <row r="23" spans="2:52" s="142" customFormat="1" ht="21" customHeight="1" x14ac:dyDescent="0.25">
      <c r="B23" s="173" t="str">
        <f t="shared" si="1"/>
        <v>0-304L/2B-0.95X770</v>
      </c>
      <c r="C23" s="201" t="s">
        <v>5006</v>
      </c>
      <c r="D23" s="173" t="s">
        <v>4432</v>
      </c>
      <c r="E23" s="190" t="s">
        <v>5007</v>
      </c>
      <c r="F23" s="201" t="s">
        <v>5008</v>
      </c>
      <c r="G23" s="173" t="s">
        <v>182</v>
      </c>
      <c r="H23" s="173" t="s">
        <v>114</v>
      </c>
      <c r="I23" s="174">
        <v>3</v>
      </c>
      <c r="J23" s="174">
        <v>0.95</v>
      </c>
      <c r="K23" s="203"/>
      <c r="L23" s="203"/>
      <c r="M23" s="191">
        <v>770</v>
      </c>
      <c r="N23" s="176">
        <v>10.46</v>
      </c>
      <c r="O23" s="176">
        <f>4.51+5.99</f>
        <v>10.5</v>
      </c>
      <c r="P23" s="176"/>
      <c r="Q23" s="176"/>
      <c r="R23" s="176" t="s">
        <v>114</v>
      </c>
      <c r="S23" s="209" t="s">
        <v>4654</v>
      </c>
      <c r="T23" s="178" t="s">
        <v>1344</v>
      </c>
      <c r="U23" s="178"/>
      <c r="V23" s="179"/>
      <c r="W23" s="177">
        <v>44924</v>
      </c>
      <c r="X23" s="177"/>
      <c r="Y23" s="177">
        <v>44925</v>
      </c>
      <c r="Z23" s="177"/>
      <c r="AA23" s="177"/>
      <c r="AB23" s="177"/>
      <c r="AC23" s="177"/>
      <c r="AD23" s="177"/>
      <c r="AE23" s="177"/>
      <c r="AF23" s="177"/>
      <c r="AG23" s="180" t="s">
        <v>2479</v>
      </c>
      <c r="AH23" s="173" t="s">
        <v>69</v>
      </c>
      <c r="AI23" s="181" t="s">
        <v>142</v>
      </c>
      <c r="AJ23" s="181" t="s">
        <v>1584</v>
      </c>
      <c r="AK23" s="181"/>
      <c r="AL23" s="181">
        <v>44914</v>
      </c>
      <c r="AM23" s="181"/>
      <c r="AN23" s="181">
        <f t="shared" ca="1" si="2"/>
        <v>44958</v>
      </c>
      <c r="AO23" s="173">
        <f t="shared" ca="1" si="3"/>
        <v>44</v>
      </c>
      <c r="AP23" s="173" t="str">
        <f t="shared" si="4"/>
        <v/>
      </c>
      <c r="AQ23" s="181"/>
      <c r="AR23" s="190" t="s">
        <v>4774</v>
      </c>
      <c r="AS23" s="176">
        <v>10.57</v>
      </c>
      <c r="AT23" s="176">
        <v>10.58</v>
      </c>
      <c r="AU23" s="176">
        <v>10.604999999999999</v>
      </c>
      <c r="AV23" s="176">
        <v>10.61</v>
      </c>
      <c r="AW23" s="173">
        <f t="shared" ca="1" si="0"/>
        <v>33</v>
      </c>
      <c r="AX23" s="142">
        <v>462</v>
      </c>
      <c r="AZ23" s="142" t="s">
        <v>123</v>
      </c>
    </row>
    <row r="24" spans="2:52" s="142" customFormat="1" ht="21" customHeight="1" x14ac:dyDescent="0.25">
      <c r="B24" s="173" t="str">
        <f t="shared" si="1"/>
        <v>0-304/2B-1.20X768</v>
      </c>
      <c r="C24" s="201" t="s">
        <v>5006</v>
      </c>
      <c r="D24" s="173" t="s">
        <v>4432</v>
      </c>
      <c r="E24" s="190" t="s">
        <v>2477</v>
      </c>
      <c r="F24" s="201" t="s">
        <v>5009</v>
      </c>
      <c r="G24" s="173">
        <v>304</v>
      </c>
      <c r="H24" s="173" t="s">
        <v>114</v>
      </c>
      <c r="I24" s="174">
        <v>3.48</v>
      </c>
      <c r="J24" s="174">
        <v>1.2</v>
      </c>
      <c r="K24" s="203"/>
      <c r="L24" s="203"/>
      <c r="M24" s="191">
        <v>768</v>
      </c>
      <c r="N24" s="349">
        <v>9.92</v>
      </c>
      <c r="O24" s="176">
        <v>4.4249999999999998</v>
      </c>
      <c r="P24" s="176"/>
      <c r="Q24" s="176"/>
      <c r="R24" s="176" t="s">
        <v>114</v>
      </c>
      <c r="S24" s="209" t="s">
        <v>4654</v>
      </c>
      <c r="T24" s="178" t="s">
        <v>1344</v>
      </c>
      <c r="U24" s="178"/>
      <c r="V24" s="179"/>
      <c r="W24" s="177">
        <v>44922</v>
      </c>
      <c r="X24" s="177"/>
      <c r="Y24" s="177">
        <v>44923</v>
      </c>
      <c r="Z24" s="177"/>
      <c r="AA24" s="177"/>
      <c r="AB24" s="177"/>
      <c r="AC24" s="177"/>
      <c r="AD24" s="177"/>
      <c r="AE24" s="177"/>
      <c r="AF24" s="177"/>
      <c r="AG24" s="180" t="s">
        <v>2479</v>
      </c>
      <c r="AH24" s="173" t="s">
        <v>69</v>
      </c>
      <c r="AI24" s="181" t="s">
        <v>142</v>
      </c>
      <c r="AJ24" s="181" t="s">
        <v>1584</v>
      </c>
      <c r="AK24" s="181"/>
      <c r="AL24" s="181">
        <v>44914</v>
      </c>
      <c r="AM24" s="181"/>
      <c r="AN24" s="181">
        <f t="shared" ca="1" si="2"/>
        <v>44958</v>
      </c>
      <c r="AO24" s="173">
        <f t="shared" ca="1" si="3"/>
        <v>44</v>
      </c>
      <c r="AP24" s="173" t="str">
        <f t="shared" si="4"/>
        <v/>
      </c>
      <c r="AQ24" s="181"/>
      <c r="AR24" s="190" t="s">
        <v>2480</v>
      </c>
      <c r="AS24" s="176">
        <v>9.92</v>
      </c>
      <c r="AT24" s="176">
        <v>9.93</v>
      </c>
      <c r="AU24" s="176">
        <v>9.9549999999999983</v>
      </c>
      <c r="AV24" s="176">
        <v>9.9599999999999991</v>
      </c>
      <c r="AW24" s="173">
        <f t="shared" ca="1" si="0"/>
        <v>35</v>
      </c>
      <c r="AX24" s="142">
        <v>462</v>
      </c>
      <c r="AZ24" s="142" t="s">
        <v>123</v>
      </c>
    </row>
    <row r="25" spans="2:52" s="142" customFormat="1" ht="21" customHeight="1" x14ac:dyDescent="0.25">
      <c r="B25" s="173" t="str">
        <f t="shared" si="1"/>
        <v>0-304/2B-1.20X768</v>
      </c>
      <c r="C25" s="201" t="s">
        <v>5005</v>
      </c>
      <c r="D25" s="173" t="s">
        <v>836</v>
      </c>
      <c r="E25" s="190" t="s">
        <v>2477</v>
      </c>
      <c r="F25" s="201" t="s">
        <v>2478</v>
      </c>
      <c r="G25" s="173">
        <v>304</v>
      </c>
      <c r="H25" s="173" t="s">
        <v>114</v>
      </c>
      <c r="I25" s="174">
        <v>3.48</v>
      </c>
      <c r="J25" s="174">
        <v>1.2</v>
      </c>
      <c r="K25" s="203"/>
      <c r="L25" s="203"/>
      <c r="M25" s="191">
        <v>768</v>
      </c>
      <c r="N25" s="350"/>
      <c r="O25" s="176">
        <v>5.44</v>
      </c>
      <c r="P25" s="176"/>
      <c r="Q25" s="176">
        <v>5.5E-2</v>
      </c>
      <c r="R25" s="176" t="s">
        <v>114</v>
      </c>
      <c r="S25" s="209"/>
      <c r="T25" s="178" t="s">
        <v>1344</v>
      </c>
      <c r="U25" s="178"/>
      <c r="V25" s="179"/>
      <c r="W25" s="177">
        <v>44922</v>
      </c>
      <c r="X25" s="177"/>
      <c r="Y25" s="177">
        <v>44923</v>
      </c>
      <c r="Z25" s="177"/>
      <c r="AA25" s="177"/>
      <c r="AB25" s="177">
        <v>44947</v>
      </c>
      <c r="AC25" s="177"/>
      <c r="AD25" s="177"/>
      <c r="AE25" s="177"/>
      <c r="AF25" s="177"/>
      <c r="AG25" s="180" t="s">
        <v>2479</v>
      </c>
      <c r="AH25" s="173" t="s">
        <v>69</v>
      </c>
      <c r="AI25" s="181" t="s">
        <v>142</v>
      </c>
      <c r="AJ25" s="181" t="s">
        <v>1584</v>
      </c>
      <c r="AK25" s="181"/>
      <c r="AL25" s="181">
        <v>44914</v>
      </c>
      <c r="AM25" s="181"/>
      <c r="AN25" s="181">
        <f t="shared" ca="1" si="2"/>
        <v>44958</v>
      </c>
      <c r="AO25" s="173">
        <f t="shared" ca="1" si="3"/>
        <v>44</v>
      </c>
      <c r="AP25" s="173" t="str">
        <f t="shared" si="4"/>
        <v/>
      </c>
      <c r="AQ25" s="181"/>
      <c r="AR25" s="190" t="s">
        <v>2480</v>
      </c>
      <c r="AS25" s="176">
        <v>9.92</v>
      </c>
      <c r="AT25" s="176">
        <v>9.93</v>
      </c>
      <c r="AU25" s="176">
        <v>9.9549999999999983</v>
      </c>
      <c r="AV25" s="176">
        <v>9.9599999999999991</v>
      </c>
      <c r="AW25" s="173">
        <f t="shared" ca="1" si="0"/>
        <v>35</v>
      </c>
      <c r="AX25" s="142">
        <v>462</v>
      </c>
      <c r="AZ25" s="142" t="s">
        <v>123</v>
      </c>
    </row>
    <row r="26" spans="2:52" s="142" customFormat="1" ht="21" customHeight="1" x14ac:dyDescent="0.25">
      <c r="B26" s="173" t="str">
        <f t="shared" si="1"/>
        <v>0-304/2B-0.95X772</v>
      </c>
      <c r="C26" s="201" t="s">
        <v>5006</v>
      </c>
      <c r="D26" s="173" t="s">
        <v>4432</v>
      </c>
      <c r="E26" s="190" t="s">
        <v>5010</v>
      </c>
      <c r="F26" s="201" t="s">
        <v>5011</v>
      </c>
      <c r="G26" s="173">
        <v>304</v>
      </c>
      <c r="H26" s="173" t="s">
        <v>114</v>
      </c>
      <c r="I26" s="174">
        <v>2.91</v>
      </c>
      <c r="J26" s="174">
        <v>0.95</v>
      </c>
      <c r="K26" s="203"/>
      <c r="L26" s="203"/>
      <c r="M26" s="191">
        <v>772</v>
      </c>
      <c r="N26" s="176">
        <v>10.605</v>
      </c>
      <c r="O26" s="176">
        <f>4.835+5.695</f>
        <v>10.530000000000001</v>
      </c>
      <c r="P26" s="176"/>
      <c r="Q26" s="176">
        <v>7.4999999999999997E-2</v>
      </c>
      <c r="R26" s="176" t="s">
        <v>114</v>
      </c>
      <c r="S26" s="209" t="s">
        <v>4654</v>
      </c>
      <c r="T26" s="178" t="s">
        <v>1344</v>
      </c>
      <c r="U26" s="178"/>
      <c r="V26" s="179"/>
      <c r="W26" s="177">
        <v>44922</v>
      </c>
      <c r="X26" s="177"/>
      <c r="Y26" s="177">
        <v>44923</v>
      </c>
      <c r="Z26" s="177"/>
      <c r="AA26" s="177"/>
      <c r="AB26" s="177"/>
      <c r="AC26" s="177"/>
      <c r="AD26" s="177"/>
      <c r="AE26" s="177"/>
      <c r="AF26" s="177"/>
      <c r="AG26" s="180" t="s">
        <v>2479</v>
      </c>
      <c r="AH26" s="173" t="s">
        <v>69</v>
      </c>
      <c r="AI26" s="181" t="s">
        <v>142</v>
      </c>
      <c r="AJ26" s="181" t="s">
        <v>1584</v>
      </c>
      <c r="AK26" s="181"/>
      <c r="AL26" s="181">
        <v>44914</v>
      </c>
      <c r="AM26" s="181"/>
      <c r="AN26" s="181">
        <f t="shared" ca="1" si="2"/>
        <v>44958</v>
      </c>
      <c r="AO26" s="173">
        <f t="shared" ca="1" si="3"/>
        <v>44</v>
      </c>
      <c r="AP26" s="173" t="str">
        <f t="shared" si="4"/>
        <v/>
      </c>
      <c r="AQ26" s="181"/>
      <c r="AR26" s="190" t="s">
        <v>2634</v>
      </c>
      <c r="AS26" s="176">
        <v>10.595000000000001</v>
      </c>
      <c r="AT26" s="176">
        <v>10.605</v>
      </c>
      <c r="AU26" s="176">
        <v>10.629999999999999</v>
      </c>
      <c r="AV26" s="176">
        <v>10.635</v>
      </c>
      <c r="AW26" s="173">
        <f t="shared" ca="1" si="0"/>
        <v>35</v>
      </c>
      <c r="AX26" s="142">
        <v>462</v>
      </c>
      <c r="AZ26" s="142" t="s">
        <v>123</v>
      </c>
    </row>
    <row r="27" spans="2:52" s="142" customFormat="1" ht="21" customHeight="1" x14ac:dyDescent="0.25">
      <c r="B27" s="173" t="str">
        <f t="shared" si="1"/>
        <v>0-304L/2B-1.20X770</v>
      </c>
      <c r="C27" s="201" t="s">
        <v>5005</v>
      </c>
      <c r="D27" s="173" t="s">
        <v>836</v>
      </c>
      <c r="E27" s="190" t="s">
        <v>5012</v>
      </c>
      <c r="F27" s="201" t="s">
        <v>5013</v>
      </c>
      <c r="G27" s="173" t="s">
        <v>182</v>
      </c>
      <c r="H27" s="173" t="s">
        <v>114</v>
      </c>
      <c r="I27" s="174">
        <v>3.49</v>
      </c>
      <c r="J27" s="174">
        <v>1.2</v>
      </c>
      <c r="K27" s="203"/>
      <c r="L27" s="203"/>
      <c r="M27" s="191">
        <v>770</v>
      </c>
      <c r="N27" s="349">
        <v>10.51</v>
      </c>
      <c r="O27" s="176">
        <v>5.585</v>
      </c>
      <c r="P27" s="176"/>
      <c r="Q27" s="176"/>
      <c r="R27" s="176" t="s">
        <v>114</v>
      </c>
      <c r="S27" s="209"/>
      <c r="T27" s="178" t="s">
        <v>1344</v>
      </c>
      <c r="U27" s="178"/>
      <c r="V27" s="179"/>
      <c r="W27" s="177">
        <v>44922</v>
      </c>
      <c r="X27" s="177"/>
      <c r="Y27" s="177">
        <v>44922</v>
      </c>
      <c r="Z27" s="177"/>
      <c r="AA27" s="177"/>
      <c r="AB27" s="177">
        <v>44947</v>
      </c>
      <c r="AC27" s="177"/>
      <c r="AD27" s="177"/>
      <c r="AE27" s="177"/>
      <c r="AF27" s="177"/>
      <c r="AG27" s="180" t="s">
        <v>2470</v>
      </c>
      <c r="AH27" s="173" t="s">
        <v>69</v>
      </c>
      <c r="AI27" s="181" t="s">
        <v>142</v>
      </c>
      <c r="AJ27" s="181" t="s">
        <v>1584</v>
      </c>
      <c r="AK27" s="181"/>
      <c r="AL27" s="181">
        <v>44914</v>
      </c>
      <c r="AM27" s="181"/>
      <c r="AN27" s="181">
        <f t="shared" ca="1" si="2"/>
        <v>44958</v>
      </c>
      <c r="AO27" s="173">
        <f t="shared" ca="1" si="3"/>
        <v>44</v>
      </c>
      <c r="AP27" s="173" t="str">
        <f t="shared" si="4"/>
        <v/>
      </c>
      <c r="AQ27" s="181"/>
      <c r="AR27" s="190" t="s">
        <v>2577</v>
      </c>
      <c r="AS27" s="176">
        <v>10.52</v>
      </c>
      <c r="AT27" s="176">
        <v>10.53</v>
      </c>
      <c r="AU27" s="176">
        <v>10.554999999999998</v>
      </c>
      <c r="AV27" s="176">
        <v>10.559999999999999</v>
      </c>
      <c r="AW27" s="173">
        <f t="shared" ca="1" si="0"/>
        <v>36</v>
      </c>
      <c r="AX27" s="142">
        <v>462</v>
      </c>
      <c r="AZ27" s="142" t="s">
        <v>123</v>
      </c>
    </row>
    <row r="28" spans="2:52" s="142" customFormat="1" ht="21" customHeight="1" x14ac:dyDescent="0.25">
      <c r="B28" s="173" t="str">
        <f t="shared" si="1"/>
        <v>0-304L/2B-1.20X770</v>
      </c>
      <c r="C28" s="201" t="s">
        <v>5005</v>
      </c>
      <c r="D28" s="173" t="s">
        <v>836</v>
      </c>
      <c r="E28" s="190" t="s">
        <v>5012</v>
      </c>
      <c r="F28" s="201" t="s">
        <v>5014</v>
      </c>
      <c r="G28" s="173" t="s">
        <v>182</v>
      </c>
      <c r="H28" s="173" t="s">
        <v>114</v>
      </c>
      <c r="I28" s="174">
        <v>3.49</v>
      </c>
      <c r="J28" s="174">
        <v>1.2</v>
      </c>
      <c r="K28" s="203"/>
      <c r="L28" s="203"/>
      <c r="M28" s="191">
        <v>770</v>
      </c>
      <c r="N28" s="350"/>
      <c r="O28" s="176">
        <v>4.8849999999999998</v>
      </c>
      <c r="P28" s="176"/>
      <c r="Q28" s="176">
        <v>0.04</v>
      </c>
      <c r="R28" s="176" t="s">
        <v>114</v>
      </c>
      <c r="S28" s="209"/>
      <c r="T28" s="178" t="s">
        <v>1344</v>
      </c>
      <c r="U28" s="178"/>
      <c r="V28" s="179"/>
      <c r="W28" s="177">
        <v>44922</v>
      </c>
      <c r="X28" s="177"/>
      <c r="Y28" s="177">
        <v>44922</v>
      </c>
      <c r="Z28" s="177"/>
      <c r="AA28" s="177"/>
      <c r="AB28" s="177">
        <v>44947</v>
      </c>
      <c r="AC28" s="177"/>
      <c r="AD28" s="177"/>
      <c r="AE28" s="177"/>
      <c r="AF28" s="177"/>
      <c r="AG28" s="180" t="s">
        <v>2470</v>
      </c>
      <c r="AH28" s="173" t="s">
        <v>69</v>
      </c>
      <c r="AI28" s="181" t="s">
        <v>142</v>
      </c>
      <c r="AJ28" s="181" t="s">
        <v>1584</v>
      </c>
      <c r="AK28" s="181"/>
      <c r="AL28" s="181">
        <v>44914</v>
      </c>
      <c r="AM28" s="181"/>
      <c r="AN28" s="181">
        <f t="shared" ca="1" si="2"/>
        <v>44958</v>
      </c>
      <c r="AO28" s="173">
        <f t="shared" ca="1" si="3"/>
        <v>44</v>
      </c>
      <c r="AP28" s="173" t="str">
        <f t="shared" si="4"/>
        <v/>
      </c>
      <c r="AQ28" s="181"/>
      <c r="AR28" s="190" t="s">
        <v>2577</v>
      </c>
      <c r="AS28" s="176">
        <v>10.52</v>
      </c>
      <c r="AT28" s="176">
        <v>10.53</v>
      </c>
      <c r="AU28" s="176">
        <v>10.554999999999998</v>
      </c>
      <c r="AV28" s="176">
        <v>10.559999999999999</v>
      </c>
      <c r="AW28" s="173">
        <f t="shared" ca="1" si="0"/>
        <v>36</v>
      </c>
      <c r="AX28" s="142">
        <v>462</v>
      </c>
      <c r="AZ28" s="142" t="s">
        <v>123</v>
      </c>
    </row>
    <row r="29" spans="2:52" s="142" customFormat="1" ht="21" customHeight="1" x14ac:dyDescent="0.25">
      <c r="B29" s="173" t="str">
        <f t="shared" si="1"/>
        <v>0-304/2B-1.20X767</v>
      </c>
      <c r="C29" s="201" t="s">
        <v>5005</v>
      </c>
      <c r="D29" s="173" t="s">
        <v>836</v>
      </c>
      <c r="E29" s="190" t="s">
        <v>2481</v>
      </c>
      <c r="F29" s="201" t="s">
        <v>2482</v>
      </c>
      <c r="G29" s="173">
        <v>304</v>
      </c>
      <c r="H29" s="173" t="s">
        <v>114</v>
      </c>
      <c r="I29" s="174">
        <v>3.49</v>
      </c>
      <c r="J29" s="174">
        <v>1.2</v>
      </c>
      <c r="K29" s="203"/>
      <c r="L29" s="203"/>
      <c r="M29" s="191">
        <v>767</v>
      </c>
      <c r="N29" s="176">
        <v>9.6649999999999991</v>
      </c>
      <c r="O29" s="176">
        <v>9.66</v>
      </c>
      <c r="P29" s="176"/>
      <c r="Q29" s="176">
        <v>5.0000000000000001E-3</v>
      </c>
      <c r="R29" s="176" t="s">
        <v>114</v>
      </c>
      <c r="S29" s="209"/>
      <c r="T29" s="178" t="s">
        <v>1344</v>
      </c>
      <c r="U29" s="178"/>
      <c r="V29" s="179"/>
      <c r="W29" s="177">
        <v>44924</v>
      </c>
      <c r="X29" s="177"/>
      <c r="Y29" s="177">
        <v>44924</v>
      </c>
      <c r="Z29" s="177"/>
      <c r="AA29" s="177"/>
      <c r="AB29" s="177">
        <v>44947</v>
      </c>
      <c r="AC29" s="177"/>
      <c r="AD29" s="177"/>
      <c r="AE29" s="177"/>
      <c r="AF29" s="177"/>
      <c r="AG29" s="180" t="s">
        <v>2470</v>
      </c>
      <c r="AH29" s="173" t="s">
        <v>69</v>
      </c>
      <c r="AI29" s="181" t="s">
        <v>142</v>
      </c>
      <c r="AJ29" s="181" t="s">
        <v>1584</v>
      </c>
      <c r="AK29" s="181"/>
      <c r="AL29" s="181">
        <v>44914</v>
      </c>
      <c r="AM29" s="181"/>
      <c r="AN29" s="181">
        <f t="shared" ca="1" si="2"/>
        <v>44958</v>
      </c>
      <c r="AO29" s="173">
        <f t="shared" ca="1" si="3"/>
        <v>44</v>
      </c>
      <c r="AP29" s="173" t="str">
        <f t="shared" si="4"/>
        <v/>
      </c>
      <c r="AQ29" s="181"/>
      <c r="AR29" s="190" t="s">
        <v>2480</v>
      </c>
      <c r="AS29" s="176">
        <v>9.9250000000000007</v>
      </c>
      <c r="AT29" s="176">
        <v>9.9350000000000005</v>
      </c>
      <c r="AU29" s="176">
        <v>9.9599999999999991</v>
      </c>
      <c r="AV29" s="176">
        <v>9.9649999999999999</v>
      </c>
      <c r="AW29" s="173">
        <f t="shared" ca="1" si="0"/>
        <v>34</v>
      </c>
      <c r="AX29" s="142">
        <v>462</v>
      </c>
      <c r="AZ29" s="142" t="s">
        <v>123</v>
      </c>
    </row>
    <row r="30" spans="2:52" s="142" customFormat="1" ht="21" customHeight="1" x14ac:dyDescent="0.25">
      <c r="B30" s="173" t="str">
        <f t="shared" si="1"/>
        <v>0-304L/2B-1.20X771</v>
      </c>
      <c r="C30" s="201" t="s">
        <v>5006</v>
      </c>
      <c r="D30" s="173" t="s">
        <v>4432</v>
      </c>
      <c r="E30" s="190" t="s">
        <v>5015</v>
      </c>
      <c r="F30" s="201" t="s">
        <v>5016</v>
      </c>
      <c r="G30" s="173" t="s">
        <v>182</v>
      </c>
      <c r="H30" s="173" t="s">
        <v>114</v>
      </c>
      <c r="I30" s="174">
        <v>3.51</v>
      </c>
      <c r="J30" s="174">
        <v>1.2</v>
      </c>
      <c r="K30" s="203"/>
      <c r="L30" s="203"/>
      <c r="M30" s="191">
        <v>771</v>
      </c>
      <c r="N30" s="176">
        <v>10.324999999999999</v>
      </c>
      <c r="O30" s="176">
        <f>5.15+5.15</f>
        <v>10.3</v>
      </c>
      <c r="P30" s="176"/>
      <c r="Q30" s="176">
        <v>1.4999999999999999E-2</v>
      </c>
      <c r="R30" s="176" t="s">
        <v>114</v>
      </c>
      <c r="S30" s="209" t="s">
        <v>4654</v>
      </c>
      <c r="T30" s="178" t="s">
        <v>1344</v>
      </c>
      <c r="U30" s="178"/>
      <c r="V30" s="179"/>
      <c r="W30" s="177">
        <v>44923</v>
      </c>
      <c r="X30" s="177"/>
      <c r="Y30" s="177">
        <v>44923</v>
      </c>
      <c r="Z30" s="177"/>
      <c r="AA30" s="177"/>
      <c r="AB30" s="177"/>
      <c r="AC30" s="177"/>
      <c r="AD30" s="177"/>
      <c r="AE30" s="177"/>
      <c r="AF30" s="177"/>
      <c r="AG30" s="180" t="s">
        <v>2470</v>
      </c>
      <c r="AH30" s="173" t="s">
        <v>69</v>
      </c>
      <c r="AI30" s="181" t="s">
        <v>142</v>
      </c>
      <c r="AJ30" s="181" t="s">
        <v>1584</v>
      </c>
      <c r="AK30" s="181"/>
      <c r="AL30" s="181">
        <v>44914</v>
      </c>
      <c r="AM30" s="181"/>
      <c r="AN30" s="181">
        <f t="shared" ca="1" si="2"/>
        <v>44958</v>
      </c>
      <c r="AO30" s="173">
        <f t="shared" ca="1" si="3"/>
        <v>44</v>
      </c>
      <c r="AP30" s="173" t="str">
        <f t="shared" si="4"/>
        <v/>
      </c>
      <c r="AQ30" s="181"/>
      <c r="AR30" s="190" t="s">
        <v>4740</v>
      </c>
      <c r="AS30" s="176">
        <v>10.324999999999999</v>
      </c>
      <c r="AT30" s="176">
        <v>10.335000000000001</v>
      </c>
      <c r="AU30" s="176">
        <v>10.36</v>
      </c>
      <c r="AV30" s="176">
        <v>10.365</v>
      </c>
      <c r="AW30" s="173">
        <f t="shared" ca="1" si="0"/>
        <v>35</v>
      </c>
      <c r="AX30" s="142">
        <v>462</v>
      </c>
      <c r="AZ30" s="142" t="s">
        <v>123</v>
      </c>
    </row>
    <row r="31" spans="2:52" s="142" customFormat="1" ht="21" customHeight="1" x14ac:dyDescent="0.25">
      <c r="B31" s="173" t="str">
        <f t="shared" si="1"/>
        <v>0-304L/2B-1.20X767</v>
      </c>
      <c r="C31" s="201" t="s">
        <v>5005</v>
      </c>
      <c r="D31" s="173" t="s">
        <v>836</v>
      </c>
      <c r="E31" s="190" t="s">
        <v>2468</v>
      </c>
      <c r="F31" s="201" t="s">
        <v>2469</v>
      </c>
      <c r="G31" s="173" t="s">
        <v>182</v>
      </c>
      <c r="H31" s="173" t="s">
        <v>114</v>
      </c>
      <c r="I31" s="174">
        <v>3.58</v>
      </c>
      <c r="J31" s="174">
        <v>1.2</v>
      </c>
      <c r="K31" s="203"/>
      <c r="L31" s="203"/>
      <c r="M31" s="191">
        <v>767</v>
      </c>
      <c r="N31" s="176">
        <v>5.0650000000000004</v>
      </c>
      <c r="O31" s="176">
        <v>5.0650000000000004</v>
      </c>
      <c r="P31" s="176"/>
      <c r="Q31" s="176"/>
      <c r="R31" s="176" t="s">
        <v>114</v>
      </c>
      <c r="S31" s="209"/>
      <c r="T31" s="178" t="s">
        <v>1344</v>
      </c>
      <c r="U31" s="178"/>
      <c r="V31" s="179"/>
      <c r="W31" s="177">
        <v>44923</v>
      </c>
      <c r="X31" s="177"/>
      <c r="Y31" s="177">
        <v>44924</v>
      </c>
      <c r="Z31" s="177"/>
      <c r="AA31" s="177"/>
      <c r="AB31" s="177">
        <v>44947</v>
      </c>
      <c r="AC31" s="177"/>
      <c r="AD31" s="177"/>
      <c r="AE31" s="177"/>
      <c r="AF31" s="177"/>
      <c r="AG31" s="180" t="s">
        <v>2470</v>
      </c>
      <c r="AH31" s="173" t="s">
        <v>69</v>
      </c>
      <c r="AI31" s="181" t="s">
        <v>142</v>
      </c>
      <c r="AJ31" s="181" t="s">
        <v>1584</v>
      </c>
      <c r="AK31" s="181"/>
      <c r="AL31" s="181">
        <v>44914</v>
      </c>
      <c r="AM31" s="181"/>
      <c r="AN31" s="181">
        <f t="shared" ca="1" si="2"/>
        <v>44958</v>
      </c>
      <c r="AO31" s="173">
        <f t="shared" ca="1" si="3"/>
        <v>44</v>
      </c>
      <c r="AP31" s="173" t="str">
        <f t="shared" si="4"/>
        <v/>
      </c>
      <c r="AQ31" s="181"/>
      <c r="AR31" s="190" t="s">
        <v>2471</v>
      </c>
      <c r="AS31" s="176">
        <v>10.305</v>
      </c>
      <c r="AT31" s="176">
        <v>10.315</v>
      </c>
      <c r="AU31" s="176">
        <v>10.339999999999998</v>
      </c>
      <c r="AV31" s="176">
        <v>10.344999999999999</v>
      </c>
      <c r="AW31" s="173">
        <f t="shared" ca="1" si="0"/>
        <v>34</v>
      </c>
      <c r="AX31" s="142">
        <v>462</v>
      </c>
      <c r="AZ31" s="142" t="s">
        <v>123</v>
      </c>
    </row>
    <row r="32" spans="2:52" s="142" customFormat="1" ht="21" customHeight="1" x14ac:dyDescent="0.25">
      <c r="B32" s="173" t="str">
        <f t="shared" si="1"/>
        <v>0-304L/2B-1.20X767</v>
      </c>
      <c r="C32" s="201" t="s">
        <v>5017</v>
      </c>
      <c r="D32" s="173" t="s">
        <v>836</v>
      </c>
      <c r="E32" s="190" t="s">
        <v>2468</v>
      </c>
      <c r="F32" s="201" t="s">
        <v>5018</v>
      </c>
      <c r="G32" s="173" t="s">
        <v>182</v>
      </c>
      <c r="H32" s="173" t="s">
        <v>114</v>
      </c>
      <c r="I32" s="174">
        <v>3.58</v>
      </c>
      <c r="J32" s="174">
        <v>1.2</v>
      </c>
      <c r="K32" s="203">
        <v>1.18</v>
      </c>
      <c r="L32" s="203">
        <v>1.2</v>
      </c>
      <c r="M32" s="191">
        <v>767</v>
      </c>
      <c r="N32" s="176">
        <f>10.215-5.065</f>
        <v>5.1499999999999995</v>
      </c>
      <c r="O32" s="176">
        <v>5.18</v>
      </c>
      <c r="P32" s="176"/>
      <c r="Q32" s="176"/>
      <c r="R32" s="176" t="s">
        <v>114</v>
      </c>
      <c r="S32" s="209"/>
      <c r="T32" s="178" t="s">
        <v>1344</v>
      </c>
      <c r="U32" s="178"/>
      <c r="V32" s="179"/>
      <c r="W32" s="177">
        <v>44923</v>
      </c>
      <c r="X32" s="177"/>
      <c r="Y32" s="177">
        <v>44924</v>
      </c>
      <c r="Z32" s="177"/>
      <c r="AA32" s="177"/>
      <c r="AB32" s="177">
        <v>44948</v>
      </c>
      <c r="AC32" s="177"/>
      <c r="AD32" s="177"/>
      <c r="AE32" s="177"/>
      <c r="AF32" s="177"/>
      <c r="AG32" s="180" t="s">
        <v>2470</v>
      </c>
      <c r="AH32" s="173" t="s">
        <v>69</v>
      </c>
      <c r="AI32" s="181" t="s">
        <v>142</v>
      </c>
      <c r="AJ32" s="181" t="s">
        <v>1584</v>
      </c>
      <c r="AK32" s="181"/>
      <c r="AL32" s="181">
        <v>44914</v>
      </c>
      <c r="AM32" s="181"/>
      <c r="AN32" s="181">
        <f t="shared" ca="1" si="2"/>
        <v>44958</v>
      </c>
      <c r="AO32" s="173">
        <f t="shared" ca="1" si="3"/>
        <v>44</v>
      </c>
      <c r="AP32" s="173" t="str">
        <f t="shared" si="4"/>
        <v/>
      </c>
      <c r="AQ32" s="181"/>
      <c r="AR32" s="190" t="s">
        <v>2471</v>
      </c>
      <c r="AS32" s="176">
        <v>10.305</v>
      </c>
      <c r="AT32" s="176">
        <v>10.315</v>
      </c>
      <c r="AU32" s="176">
        <v>10.339999999999998</v>
      </c>
      <c r="AV32" s="176">
        <v>10.344999999999999</v>
      </c>
      <c r="AW32" s="173">
        <f t="shared" ca="1" si="0"/>
        <v>34</v>
      </c>
      <c r="AX32" s="142">
        <v>462</v>
      </c>
      <c r="AZ32" s="142" t="s">
        <v>123</v>
      </c>
    </row>
    <row r="33" spans="2:52" s="142" customFormat="1" ht="21" customHeight="1" x14ac:dyDescent="0.25">
      <c r="B33" s="173" t="str">
        <f t="shared" si="1"/>
        <v>0-304/2B-1.20X767</v>
      </c>
      <c r="C33" s="201" t="s">
        <v>5019</v>
      </c>
      <c r="D33" s="173" t="s">
        <v>4432</v>
      </c>
      <c r="E33" s="190" t="s">
        <v>5020</v>
      </c>
      <c r="F33" s="201" t="s">
        <v>5021</v>
      </c>
      <c r="G33" s="173">
        <v>304</v>
      </c>
      <c r="H33" s="173" t="s">
        <v>114</v>
      </c>
      <c r="I33" s="174">
        <v>3.47</v>
      </c>
      <c r="J33" s="174">
        <v>1.2</v>
      </c>
      <c r="K33" s="203">
        <v>1.1599999999999999</v>
      </c>
      <c r="L33" s="203">
        <v>1.17</v>
      </c>
      <c r="M33" s="191">
        <v>767</v>
      </c>
      <c r="N33" s="349">
        <v>7.49</v>
      </c>
      <c r="O33" s="176">
        <v>3.7149999999999999</v>
      </c>
      <c r="P33" s="176"/>
      <c r="Q33" s="176"/>
      <c r="R33" s="176" t="s">
        <v>114</v>
      </c>
      <c r="S33" s="209" t="s">
        <v>4654</v>
      </c>
      <c r="T33" s="178" t="s">
        <v>1344</v>
      </c>
      <c r="U33" s="178"/>
      <c r="V33" s="179"/>
      <c r="W33" s="177">
        <v>44923</v>
      </c>
      <c r="X33" s="177"/>
      <c r="Y33" s="177">
        <v>44924</v>
      </c>
      <c r="Z33" s="177"/>
      <c r="AA33" s="177"/>
      <c r="AB33" s="177"/>
      <c r="AC33" s="177"/>
      <c r="AD33" s="177"/>
      <c r="AE33" s="177"/>
      <c r="AF33" s="177"/>
      <c r="AG33" s="180" t="s">
        <v>2479</v>
      </c>
      <c r="AH33" s="173" t="s">
        <v>69</v>
      </c>
      <c r="AI33" s="181" t="s">
        <v>142</v>
      </c>
      <c r="AJ33" s="181" t="s">
        <v>1584</v>
      </c>
      <c r="AK33" s="181"/>
      <c r="AL33" s="181">
        <v>44914</v>
      </c>
      <c r="AM33" s="181"/>
      <c r="AN33" s="181">
        <f t="shared" ca="1" si="2"/>
        <v>44958</v>
      </c>
      <c r="AO33" s="173">
        <f t="shared" ca="1" si="3"/>
        <v>44</v>
      </c>
      <c r="AP33" s="173" t="str">
        <f t="shared" si="4"/>
        <v/>
      </c>
      <c r="AQ33" s="181"/>
      <c r="AR33" s="190" t="s">
        <v>4050</v>
      </c>
      <c r="AS33" s="176">
        <v>7.5049999999999999</v>
      </c>
      <c r="AT33" s="176">
        <v>7.5149999999999997</v>
      </c>
      <c r="AU33" s="176">
        <v>7.54</v>
      </c>
      <c r="AV33" s="176">
        <v>7.5449999999999999</v>
      </c>
      <c r="AW33" s="173">
        <f t="shared" ca="1" si="0"/>
        <v>34</v>
      </c>
      <c r="AX33" s="142">
        <v>462</v>
      </c>
      <c r="AZ33" s="142" t="s">
        <v>123</v>
      </c>
    </row>
    <row r="34" spans="2:52" s="142" customFormat="1" ht="21" customHeight="1" x14ac:dyDescent="0.25">
      <c r="B34" s="173" t="str">
        <f t="shared" si="1"/>
        <v>0-304/2B-1.20X767</v>
      </c>
      <c r="C34" s="201" t="s">
        <v>5017</v>
      </c>
      <c r="D34" s="173" t="s">
        <v>836</v>
      </c>
      <c r="E34" s="190" t="s">
        <v>5020</v>
      </c>
      <c r="F34" s="201" t="s">
        <v>5022</v>
      </c>
      <c r="G34" s="173">
        <v>304</v>
      </c>
      <c r="H34" s="173" t="s">
        <v>114</v>
      </c>
      <c r="I34" s="174">
        <v>3.47</v>
      </c>
      <c r="J34" s="174">
        <v>1.2</v>
      </c>
      <c r="K34" s="203">
        <v>1.1599999999999999</v>
      </c>
      <c r="L34" s="203">
        <v>1.17</v>
      </c>
      <c r="M34" s="191">
        <v>767</v>
      </c>
      <c r="N34" s="350"/>
      <c r="O34" s="176">
        <v>3.74</v>
      </c>
      <c r="P34" s="176"/>
      <c r="Q34" s="176">
        <v>3.5000000000000003E-2</v>
      </c>
      <c r="R34" s="176" t="s">
        <v>114</v>
      </c>
      <c r="S34" s="209"/>
      <c r="T34" s="178" t="s">
        <v>1344</v>
      </c>
      <c r="U34" s="178"/>
      <c r="V34" s="179"/>
      <c r="W34" s="177">
        <v>44923</v>
      </c>
      <c r="X34" s="177"/>
      <c r="Y34" s="177">
        <v>44924</v>
      </c>
      <c r="Z34" s="177"/>
      <c r="AA34" s="177"/>
      <c r="AB34" s="177">
        <v>44948</v>
      </c>
      <c r="AC34" s="177"/>
      <c r="AD34" s="177"/>
      <c r="AE34" s="177"/>
      <c r="AF34" s="177"/>
      <c r="AG34" s="180" t="s">
        <v>2479</v>
      </c>
      <c r="AH34" s="173" t="s">
        <v>69</v>
      </c>
      <c r="AI34" s="181" t="s">
        <v>142</v>
      </c>
      <c r="AJ34" s="181" t="s">
        <v>1584</v>
      </c>
      <c r="AK34" s="181"/>
      <c r="AL34" s="181">
        <v>44914</v>
      </c>
      <c r="AM34" s="181"/>
      <c r="AN34" s="181">
        <f t="shared" ca="1" si="2"/>
        <v>44958</v>
      </c>
      <c r="AO34" s="173">
        <f t="shared" ca="1" si="3"/>
        <v>44</v>
      </c>
      <c r="AP34" s="173" t="str">
        <f t="shared" si="4"/>
        <v/>
      </c>
      <c r="AQ34" s="181"/>
      <c r="AR34" s="190" t="s">
        <v>4050</v>
      </c>
      <c r="AS34" s="176">
        <v>7.5049999999999999</v>
      </c>
      <c r="AT34" s="176">
        <v>7.5149999999999997</v>
      </c>
      <c r="AU34" s="176">
        <v>7.54</v>
      </c>
      <c r="AV34" s="176">
        <v>7.5449999999999999</v>
      </c>
      <c r="AW34" s="173">
        <f t="shared" ca="1" si="0"/>
        <v>34</v>
      </c>
      <c r="AX34" s="142">
        <v>462</v>
      </c>
      <c r="AZ34" s="142" t="s">
        <v>123</v>
      </c>
    </row>
    <row r="35" spans="2:52" s="142" customFormat="1" ht="21" customHeight="1" x14ac:dyDescent="0.25">
      <c r="B35" s="173" t="str">
        <f t="shared" si="1"/>
        <v>0-304/2B-1.15X777</v>
      </c>
      <c r="C35" s="201" t="s">
        <v>5019</v>
      </c>
      <c r="D35" s="173" t="s">
        <v>4432</v>
      </c>
      <c r="E35" s="190" t="s">
        <v>3945</v>
      </c>
      <c r="F35" s="201" t="s">
        <v>5023</v>
      </c>
      <c r="G35" s="173">
        <v>304</v>
      </c>
      <c r="H35" s="173" t="s">
        <v>114</v>
      </c>
      <c r="I35" s="174">
        <v>3.49</v>
      </c>
      <c r="J35" s="174">
        <v>1.1499999999999999</v>
      </c>
      <c r="K35" s="203">
        <v>1.1399999999999999</v>
      </c>
      <c r="L35" s="203">
        <v>1.1499999999999999</v>
      </c>
      <c r="M35" s="191">
        <v>777</v>
      </c>
      <c r="N35" s="176">
        <v>10.765000000000001</v>
      </c>
      <c r="O35" s="176">
        <f>5.63+5.07</f>
        <v>10.7</v>
      </c>
      <c r="P35" s="176"/>
      <c r="Q35" s="176">
        <v>6.5000000000000002E-2</v>
      </c>
      <c r="R35" s="176" t="s">
        <v>114</v>
      </c>
      <c r="S35" s="209" t="s">
        <v>4873</v>
      </c>
      <c r="T35" s="178" t="s">
        <v>1210</v>
      </c>
      <c r="U35" s="178"/>
      <c r="V35" s="179"/>
      <c r="W35" s="177">
        <v>44933</v>
      </c>
      <c r="X35" s="177"/>
      <c r="Y35" s="177">
        <v>44934</v>
      </c>
      <c r="Z35" s="177"/>
      <c r="AA35" s="177"/>
      <c r="AB35" s="177"/>
      <c r="AC35" s="177"/>
      <c r="AD35" s="177">
        <v>44929</v>
      </c>
      <c r="AE35" s="177"/>
      <c r="AF35" s="177"/>
      <c r="AG35" s="180" t="s">
        <v>1345</v>
      </c>
      <c r="AH35" s="173" t="s">
        <v>69</v>
      </c>
      <c r="AI35" s="181" t="s">
        <v>142</v>
      </c>
      <c r="AJ35" s="181" t="s">
        <v>1346</v>
      </c>
      <c r="AK35" s="181"/>
      <c r="AL35" s="181">
        <v>44813</v>
      </c>
      <c r="AM35" s="181"/>
      <c r="AN35" s="181">
        <f t="shared" ca="1" si="2"/>
        <v>44958</v>
      </c>
      <c r="AO35" s="173">
        <f ca="1">IF(AL35&lt;&gt;0,AN35-AL35,0)</f>
        <v>145</v>
      </c>
      <c r="AP35" s="173" t="str">
        <f t="shared" si="4"/>
        <v/>
      </c>
      <c r="AQ35" s="181"/>
      <c r="AR35" s="190" t="s">
        <v>3947</v>
      </c>
      <c r="AS35" s="176">
        <v>21.434999999999999</v>
      </c>
      <c r="AT35" s="176">
        <v>21.495000000000001</v>
      </c>
      <c r="AU35" s="176">
        <v>21.520000000000003</v>
      </c>
      <c r="AV35" s="176">
        <v>21.525000000000002</v>
      </c>
      <c r="AW35" s="173">
        <f t="shared" ca="1" si="0"/>
        <v>24</v>
      </c>
      <c r="AX35" s="142">
        <v>451</v>
      </c>
      <c r="AZ35" s="142" t="s">
        <v>123</v>
      </c>
    </row>
    <row r="36" spans="2:52" s="142" customFormat="1" ht="21" customHeight="1" x14ac:dyDescent="0.25">
      <c r="B36" s="173" t="str">
        <f t="shared" si="1"/>
        <v>0-304L/2B-1.15X765</v>
      </c>
      <c r="C36" s="201" t="s">
        <v>5017</v>
      </c>
      <c r="D36" s="173" t="s">
        <v>836</v>
      </c>
      <c r="E36" s="190" t="s">
        <v>1579</v>
      </c>
      <c r="F36" s="201" t="s">
        <v>1580</v>
      </c>
      <c r="G36" s="173" t="s">
        <v>182</v>
      </c>
      <c r="H36" s="173" t="s">
        <v>114</v>
      </c>
      <c r="I36" s="174">
        <v>3.4</v>
      </c>
      <c r="J36" s="174">
        <v>1.1499999999999999</v>
      </c>
      <c r="K36" s="203">
        <v>1.1399999999999999</v>
      </c>
      <c r="L36" s="203">
        <v>1.1499999999999999</v>
      </c>
      <c r="M36" s="191">
        <v>765</v>
      </c>
      <c r="N36" s="176">
        <v>10.335000000000001</v>
      </c>
      <c r="O36" s="176">
        <v>10.265000000000001</v>
      </c>
      <c r="P36" s="176"/>
      <c r="Q36" s="176">
        <v>7.0000000000000007E-2</v>
      </c>
      <c r="R36" s="176" t="s">
        <v>114</v>
      </c>
      <c r="S36" s="209"/>
      <c r="T36" s="178" t="s">
        <v>1210</v>
      </c>
      <c r="U36" s="178"/>
      <c r="V36" s="179"/>
      <c r="W36" s="177">
        <v>44932</v>
      </c>
      <c r="X36" s="177"/>
      <c r="Y36" s="177">
        <v>44933</v>
      </c>
      <c r="Z36" s="177"/>
      <c r="AA36" s="177"/>
      <c r="AB36" s="177">
        <v>44948</v>
      </c>
      <c r="AC36" s="177"/>
      <c r="AD36" s="177">
        <v>44930</v>
      </c>
      <c r="AE36" s="177"/>
      <c r="AF36" s="177"/>
      <c r="AG36" s="180" t="s">
        <v>1345</v>
      </c>
      <c r="AH36" s="173" t="s">
        <v>69</v>
      </c>
      <c r="AI36" s="181" t="s">
        <v>142</v>
      </c>
      <c r="AJ36" s="181" t="s">
        <v>1508</v>
      </c>
      <c r="AK36" s="181"/>
      <c r="AL36" s="181">
        <v>44849</v>
      </c>
      <c r="AM36" s="181"/>
      <c r="AN36" s="181">
        <f t="shared" ca="1" si="2"/>
        <v>44958</v>
      </c>
      <c r="AO36" s="173">
        <f ca="1">IF(AL36&lt;&gt;0,AN36-AL36,0)</f>
        <v>109</v>
      </c>
      <c r="AP36" s="173" t="str">
        <f t="shared" si="4"/>
        <v/>
      </c>
      <c r="AQ36" s="181"/>
      <c r="AR36" s="190" t="s">
        <v>1581</v>
      </c>
      <c r="AS36" s="176">
        <v>20.74</v>
      </c>
      <c r="AT36" s="176">
        <v>20.8</v>
      </c>
      <c r="AU36" s="176">
        <v>20.825000000000003</v>
      </c>
      <c r="AV36" s="176">
        <v>20.830000000000002</v>
      </c>
      <c r="AW36" s="173">
        <f t="shared" ca="1" si="0"/>
        <v>25</v>
      </c>
      <c r="AX36" s="142">
        <v>456</v>
      </c>
      <c r="AZ36" s="142" t="s">
        <v>123</v>
      </c>
    </row>
    <row r="37" spans="2:52" s="142" customFormat="1" ht="21" customHeight="1" x14ac:dyDescent="0.25">
      <c r="B37" s="173" t="str">
        <f t="shared" si="1"/>
        <v>0-304/2B-1.15X777</v>
      </c>
      <c r="C37" s="201" t="s">
        <v>5017</v>
      </c>
      <c r="D37" s="173" t="s">
        <v>836</v>
      </c>
      <c r="E37" s="190" t="s">
        <v>3914</v>
      </c>
      <c r="F37" s="201" t="s">
        <v>3920</v>
      </c>
      <c r="G37" s="173">
        <v>304</v>
      </c>
      <c r="H37" s="173" t="s">
        <v>114</v>
      </c>
      <c r="I37" s="174">
        <v>2.96</v>
      </c>
      <c r="J37" s="174">
        <v>1.1499999999999999</v>
      </c>
      <c r="K37" s="203">
        <v>1.1299999999999999</v>
      </c>
      <c r="L37" s="203">
        <v>1.1499999999999999</v>
      </c>
      <c r="M37" s="191">
        <v>777</v>
      </c>
      <c r="N37" s="176">
        <v>10.19</v>
      </c>
      <c r="O37" s="176">
        <v>10.135</v>
      </c>
      <c r="P37" s="176"/>
      <c r="Q37" s="176">
        <v>5.5E-2</v>
      </c>
      <c r="R37" s="176" t="s">
        <v>114</v>
      </c>
      <c r="S37" s="209"/>
      <c r="T37" s="178" t="s">
        <v>1210</v>
      </c>
      <c r="U37" s="178"/>
      <c r="V37" s="179"/>
      <c r="W37" s="177">
        <v>44931</v>
      </c>
      <c r="X37" s="177"/>
      <c r="Y37" s="177">
        <v>44932</v>
      </c>
      <c r="Z37" s="177"/>
      <c r="AA37" s="177"/>
      <c r="AB37" s="177">
        <v>44948</v>
      </c>
      <c r="AC37" s="177"/>
      <c r="AD37" s="177">
        <v>44928</v>
      </c>
      <c r="AE37" s="177"/>
      <c r="AF37" s="177"/>
      <c r="AG37" s="180" t="s">
        <v>1345</v>
      </c>
      <c r="AH37" s="173" t="s">
        <v>69</v>
      </c>
      <c r="AI37" s="181" t="s">
        <v>142</v>
      </c>
      <c r="AJ37" s="181" t="s">
        <v>1346</v>
      </c>
      <c r="AK37" s="181"/>
      <c r="AL37" s="181">
        <v>44813</v>
      </c>
      <c r="AM37" s="181"/>
      <c r="AN37" s="181">
        <f t="shared" ca="1" si="2"/>
        <v>44958</v>
      </c>
      <c r="AO37" s="173">
        <f ca="1">IF(AL37&lt;&gt;0,AN37-AL37,0)</f>
        <v>145</v>
      </c>
      <c r="AP37" s="173" t="str">
        <f t="shared" si="4"/>
        <v/>
      </c>
      <c r="AQ37" s="181"/>
      <c r="AR37" s="190" t="s">
        <v>3916</v>
      </c>
      <c r="AS37" s="176">
        <v>21.39</v>
      </c>
      <c r="AT37" s="176">
        <v>21.45</v>
      </c>
      <c r="AU37" s="176">
        <v>21.475000000000001</v>
      </c>
      <c r="AV37" s="176">
        <v>21.48</v>
      </c>
      <c r="AW37" s="173">
        <f t="shared" ca="1" si="0"/>
        <v>26</v>
      </c>
      <c r="AX37" s="142">
        <v>451</v>
      </c>
      <c r="AZ37" s="142" t="s">
        <v>123</v>
      </c>
    </row>
    <row r="38" spans="2:52" s="142" customFormat="1" ht="21" customHeight="1" x14ac:dyDescent="0.25">
      <c r="B38" s="173" t="str">
        <f t="shared" si="1"/>
        <v>0-304/2B-1.00X777</v>
      </c>
      <c r="C38" s="201" t="s">
        <v>5017</v>
      </c>
      <c r="D38" s="173" t="s">
        <v>836</v>
      </c>
      <c r="E38" s="190" t="s">
        <v>3914</v>
      </c>
      <c r="F38" s="201" t="s">
        <v>3915</v>
      </c>
      <c r="G38" s="173">
        <v>304</v>
      </c>
      <c r="H38" s="173" t="s">
        <v>114</v>
      </c>
      <c r="I38" s="174">
        <v>2.96</v>
      </c>
      <c r="J38" s="174">
        <v>1</v>
      </c>
      <c r="K38" s="203"/>
      <c r="L38" s="203"/>
      <c r="M38" s="191">
        <v>777</v>
      </c>
      <c r="N38" s="176">
        <v>10.725</v>
      </c>
      <c r="O38" s="176">
        <v>10.68</v>
      </c>
      <c r="P38" s="176"/>
      <c r="Q38" s="176">
        <v>4.4999999999999998E-2</v>
      </c>
      <c r="R38" s="176" t="s">
        <v>114</v>
      </c>
      <c r="S38" s="209"/>
      <c r="T38" s="178" t="s">
        <v>1210</v>
      </c>
      <c r="U38" s="178"/>
      <c r="V38" s="179"/>
      <c r="W38" s="177">
        <v>44931</v>
      </c>
      <c r="X38" s="177"/>
      <c r="Y38" s="177">
        <v>44931</v>
      </c>
      <c r="Z38" s="177"/>
      <c r="AA38" s="177"/>
      <c r="AB38" s="177">
        <v>44948</v>
      </c>
      <c r="AC38" s="177"/>
      <c r="AD38" s="177">
        <v>44928</v>
      </c>
      <c r="AE38" s="177"/>
      <c r="AF38" s="177"/>
      <c r="AG38" s="180" t="s">
        <v>1345</v>
      </c>
      <c r="AH38" s="173" t="s">
        <v>69</v>
      </c>
      <c r="AI38" s="181" t="s">
        <v>142</v>
      </c>
      <c r="AJ38" s="181" t="s">
        <v>1346</v>
      </c>
      <c r="AK38" s="181"/>
      <c r="AL38" s="181">
        <v>44813</v>
      </c>
      <c r="AM38" s="181"/>
      <c r="AN38" s="181">
        <f t="shared" ca="1" si="2"/>
        <v>44958</v>
      </c>
      <c r="AO38" s="173">
        <f ca="1">IF(AL38&lt;&gt;0,AN38-AL38,0)</f>
        <v>145</v>
      </c>
      <c r="AP38" s="173" t="str">
        <f t="shared" si="4"/>
        <v/>
      </c>
      <c r="AQ38" s="181"/>
      <c r="AR38" s="190" t="s">
        <v>3916</v>
      </c>
      <c r="AS38" s="176">
        <v>21.39</v>
      </c>
      <c r="AT38" s="176">
        <v>21.45</v>
      </c>
      <c r="AU38" s="176">
        <v>21.475000000000001</v>
      </c>
      <c r="AV38" s="176">
        <v>21.48</v>
      </c>
      <c r="AW38" s="173">
        <f t="shared" ca="1" si="0"/>
        <v>27</v>
      </c>
      <c r="AX38" s="142">
        <v>451</v>
      </c>
      <c r="AZ38" s="142" t="s">
        <v>123</v>
      </c>
    </row>
    <row r="39" spans="2:52" s="142" customFormat="1" ht="21" customHeight="1" x14ac:dyDescent="0.25">
      <c r="B39" s="173" t="str">
        <f t="shared" si="1"/>
        <v>0-304/2B-1.15X777</v>
      </c>
      <c r="C39" s="201" t="s">
        <v>5017</v>
      </c>
      <c r="D39" s="173" t="s">
        <v>836</v>
      </c>
      <c r="E39" s="190" t="s">
        <v>3949</v>
      </c>
      <c r="F39" s="201" t="s">
        <v>5024</v>
      </c>
      <c r="G39" s="173">
        <v>304</v>
      </c>
      <c r="H39" s="173" t="s">
        <v>114</v>
      </c>
      <c r="I39" s="174">
        <v>3.51</v>
      </c>
      <c r="J39" s="174">
        <v>1.1499999999999999</v>
      </c>
      <c r="K39" s="203">
        <v>1.1299999999999999</v>
      </c>
      <c r="L39" s="203">
        <v>1.1499999999999999</v>
      </c>
      <c r="M39" s="191">
        <v>777</v>
      </c>
      <c r="N39" s="349">
        <v>10.725</v>
      </c>
      <c r="O39" s="176">
        <v>5.88</v>
      </c>
      <c r="P39" s="176"/>
      <c r="Q39" s="176"/>
      <c r="R39" s="176" t="s">
        <v>114</v>
      </c>
      <c r="S39" s="209"/>
      <c r="T39" s="178" t="s">
        <v>1210</v>
      </c>
      <c r="U39" s="178"/>
      <c r="V39" s="179"/>
      <c r="W39" s="177">
        <v>44933</v>
      </c>
      <c r="X39" s="177"/>
      <c r="Y39" s="177">
        <v>44933</v>
      </c>
      <c r="Z39" s="177"/>
      <c r="AA39" s="177"/>
      <c r="AB39" s="177">
        <v>44948</v>
      </c>
      <c r="AC39" s="177"/>
      <c r="AD39" s="177">
        <v>44930</v>
      </c>
      <c r="AE39" s="177"/>
      <c r="AF39" s="177"/>
      <c r="AG39" s="180" t="s">
        <v>1345</v>
      </c>
      <c r="AH39" s="173" t="s">
        <v>69</v>
      </c>
      <c r="AI39" s="181" t="s">
        <v>142</v>
      </c>
      <c r="AJ39" s="181" t="s">
        <v>1346</v>
      </c>
      <c r="AK39" s="181"/>
      <c r="AL39" s="181">
        <v>44813</v>
      </c>
      <c r="AM39" s="181"/>
      <c r="AN39" s="181">
        <f t="shared" ca="1" si="2"/>
        <v>44958</v>
      </c>
      <c r="AO39" s="173">
        <f ca="1">IF(AL39&lt;&gt;0,AN39-AL39,0)</f>
        <v>145</v>
      </c>
      <c r="AP39" s="173" t="str">
        <f t="shared" si="4"/>
        <v/>
      </c>
      <c r="AQ39" s="181"/>
      <c r="AR39" s="190" t="s">
        <v>3951</v>
      </c>
      <c r="AS39" s="176">
        <v>21.465</v>
      </c>
      <c r="AT39" s="176">
        <v>21.524999999999999</v>
      </c>
      <c r="AU39" s="176">
        <v>21.55</v>
      </c>
      <c r="AV39" s="176">
        <v>21.555</v>
      </c>
      <c r="AW39" s="173">
        <f t="shared" ca="1" si="0"/>
        <v>25</v>
      </c>
      <c r="AX39" s="142">
        <v>451</v>
      </c>
      <c r="AZ39" s="142" t="s">
        <v>123</v>
      </c>
    </row>
    <row r="40" spans="2:52" s="142" customFormat="1" ht="21" customHeight="1" x14ac:dyDescent="0.25">
      <c r="B40" s="173" t="str">
        <f t="shared" si="1"/>
        <v>0-304/2B-1.15X777</v>
      </c>
      <c r="C40" s="201" t="s">
        <v>5025</v>
      </c>
      <c r="D40" s="173" t="s">
        <v>5026</v>
      </c>
      <c r="E40" s="190" t="s">
        <v>3949</v>
      </c>
      <c r="F40" s="201" t="s">
        <v>5027</v>
      </c>
      <c r="G40" s="173">
        <v>304</v>
      </c>
      <c r="H40" s="173" t="s">
        <v>114</v>
      </c>
      <c r="I40" s="174">
        <v>3.51</v>
      </c>
      <c r="J40" s="174">
        <v>1.1499999999999999</v>
      </c>
      <c r="K40" s="203">
        <v>1.1299999999999999</v>
      </c>
      <c r="L40" s="203">
        <v>1.1499999999999999</v>
      </c>
      <c r="M40" s="191">
        <v>777</v>
      </c>
      <c r="N40" s="370"/>
      <c r="O40" s="176">
        <v>0.54</v>
      </c>
      <c r="P40" s="176"/>
      <c r="Q40" s="176"/>
      <c r="R40" s="176" t="s">
        <v>114</v>
      </c>
      <c r="S40" s="209"/>
      <c r="T40" s="178" t="s">
        <v>390</v>
      </c>
      <c r="U40" s="178"/>
      <c r="V40" s="179"/>
      <c r="W40" s="177">
        <v>44933</v>
      </c>
      <c r="X40" s="177"/>
      <c r="Y40" s="177">
        <v>44933</v>
      </c>
      <c r="Z40" s="177"/>
      <c r="AA40" s="177"/>
      <c r="AB40" s="177">
        <v>44948</v>
      </c>
      <c r="AC40" s="177"/>
      <c r="AD40" s="177">
        <v>44930</v>
      </c>
      <c r="AE40" s="177"/>
      <c r="AF40" s="177"/>
      <c r="AG40" s="180" t="s">
        <v>1345</v>
      </c>
      <c r="AH40" s="173" t="s">
        <v>69</v>
      </c>
      <c r="AI40" s="181" t="s">
        <v>142</v>
      </c>
      <c r="AJ40" s="181" t="s">
        <v>1346</v>
      </c>
      <c r="AK40" s="181"/>
      <c r="AL40" s="181">
        <v>44813</v>
      </c>
      <c r="AM40" s="181"/>
      <c r="AN40" s="181">
        <f t="shared" ca="1" si="2"/>
        <v>44958</v>
      </c>
      <c r="AO40" s="173">
        <f t="shared" ref="AO40:AO43" ca="1" si="5">IF(AL40&lt;&gt;0,AN40-AL40,0)</f>
        <v>145</v>
      </c>
      <c r="AP40" s="173" t="str">
        <f t="shared" si="4"/>
        <v/>
      </c>
      <c r="AQ40" s="181"/>
      <c r="AR40" s="190" t="s">
        <v>3951</v>
      </c>
      <c r="AS40" s="176">
        <v>21.465</v>
      </c>
      <c r="AT40" s="176">
        <v>21.524999999999999</v>
      </c>
      <c r="AU40" s="176">
        <v>21.55</v>
      </c>
      <c r="AV40" s="176">
        <v>21.555</v>
      </c>
      <c r="AW40" s="173">
        <f t="shared" ca="1" si="0"/>
        <v>25</v>
      </c>
      <c r="AX40" s="142">
        <v>451</v>
      </c>
      <c r="AZ40" s="142" t="s">
        <v>123</v>
      </c>
    </row>
    <row r="41" spans="2:52" s="142" customFormat="1" ht="21" customHeight="1" x14ac:dyDescent="0.25">
      <c r="B41" s="173" t="str">
        <f t="shared" si="1"/>
        <v>0-304/2B-1.15X777</v>
      </c>
      <c r="C41" s="201" t="s">
        <v>5017</v>
      </c>
      <c r="D41" s="173" t="s">
        <v>836</v>
      </c>
      <c r="E41" s="190" t="s">
        <v>3949</v>
      </c>
      <c r="F41" s="201" t="s">
        <v>5028</v>
      </c>
      <c r="G41" s="173">
        <v>304</v>
      </c>
      <c r="H41" s="173" t="s">
        <v>114</v>
      </c>
      <c r="I41" s="174">
        <v>3.51</v>
      </c>
      <c r="J41" s="174">
        <v>1.1499999999999999</v>
      </c>
      <c r="K41" s="203">
        <v>1.1299999999999999</v>
      </c>
      <c r="L41" s="203">
        <v>1.1499999999999999</v>
      </c>
      <c r="M41" s="191">
        <v>777</v>
      </c>
      <c r="N41" s="350"/>
      <c r="O41" s="176">
        <v>4.21</v>
      </c>
      <c r="P41" s="176"/>
      <c r="Q41" s="176"/>
      <c r="R41" s="176" t="s">
        <v>114</v>
      </c>
      <c r="S41" s="209"/>
      <c r="T41" s="178" t="s">
        <v>1210</v>
      </c>
      <c r="U41" s="178"/>
      <c r="V41" s="179"/>
      <c r="W41" s="177">
        <v>44933</v>
      </c>
      <c r="X41" s="177"/>
      <c r="Y41" s="177">
        <v>44933</v>
      </c>
      <c r="Z41" s="177"/>
      <c r="AA41" s="177"/>
      <c r="AB41" s="177">
        <v>44948</v>
      </c>
      <c r="AC41" s="177"/>
      <c r="AD41" s="177">
        <v>44930</v>
      </c>
      <c r="AE41" s="177"/>
      <c r="AF41" s="177"/>
      <c r="AG41" s="180" t="s">
        <v>1345</v>
      </c>
      <c r="AH41" s="173" t="s">
        <v>69</v>
      </c>
      <c r="AI41" s="181" t="s">
        <v>142</v>
      </c>
      <c r="AJ41" s="181" t="s">
        <v>1346</v>
      </c>
      <c r="AK41" s="181"/>
      <c r="AL41" s="181">
        <v>44813</v>
      </c>
      <c r="AM41" s="181"/>
      <c r="AN41" s="181">
        <f t="shared" ca="1" si="2"/>
        <v>44958</v>
      </c>
      <c r="AO41" s="173">
        <f t="shared" ca="1" si="5"/>
        <v>145</v>
      </c>
      <c r="AP41" s="173" t="str">
        <f t="shared" si="4"/>
        <v/>
      </c>
      <c r="AQ41" s="181"/>
      <c r="AR41" s="190" t="s">
        <v>3951</v>
      </c>
      <c r="AS41" s="176">
        <v>21.465</v>
      </c>
      <c r="AT41" s="176">
        <v>21.524999999999999</v>
      </c>
      <c r="AU41" s="176">
        <v>21.55</v>
      </c>
      <c r="AV41" s="176">
        <v>21.555</v>
      </c>
      <c r="AW41" s="173">
        <f t="shared" ca="1" si="0"/>
        <v>25</v>
      </c>
      <c r="AX41" s="142">
        <v>451</v>
      </c>
      <c r="AZ41" s="142" t="s">
        <v>123</v>
      </c>
    </row>
    <row r="42" spans="2:52" s="142" customFormat="1" ht="21" customHeight="1" x14ac:dyDescent="0.25">
      <c r="B42" s="173" t="str">
        <f t="shared" si="1"/>
        <v>0-304/2B-1.20X763</v>
      </c>
      <c r="C42" s="201" t="s">
        <v>5017</v>
      </c>
      <c r="D42" s="173" t="s">
        <v>836</v>
      </c>
      <c r="E42" s="190" t="s">
        <v>4039</v>
      </c>
      <c r="F42" s="201" t="s">
        <v>4040</v>
      </c>
      <c r="G42" s="173">
        <v>304</v>
      </c>
      <c r="H42" s="173" t="s">
        <v>114</v>
      </c>
      <c r="I42" s="174">
        <v>3.77</v>
      </c>
      <c r="J42" s="174">
        <v>1.2</v>
      </c>
      <c r="K42" s="203">
        <v>1.18</v>
      </c>
      <c r="L42" s="203">
        <v>1.2</v>
      </c>
      <c r="M42" s="191">
        <v>763</v>
      </c>
      <c r="N42" s="176">
        <v>10.32</v>
      </c>
      <c r="O42" s="176">
        <v>10.28</v>
      </c>
      <c r="P42" s="176"/>
      <c r="Q42" s="176">
        <v>0.04</v>
      </c>
      <c r="R42" s="176" t="s">
        <v>114</v>
      </c>
      <c r="S42" s="209"/>
      <c r="T42" s="178" t="s">
        <v>1546</v>
      </c>
      <c r="U42" s="178"/>
      <c r="V42" s="179"/>
      <c r="W42" s="177">
        <v>44937</v>
      </c>
      <c r="X42" s="177"/>
      <c r="Y42" s="177">
        <v>44937</v>
      </c>
      <c r="Z42" s="177"/>
      <c r="AA42" s="177"/>
      <c r="AB42" s="177">
        <v>44948</v>
      </c>
      <c r="AC42" s="177"/>
      <c r="AD42" s="177"/>
      <c r="AE42" s="177"/>
      <c r="AF42" s="177"/>
      <c r="AG42" s="180" t="s">
        <v>1507</v>
      </c>
      <c r="AH42" s="173" t="s">
        <v>69</v>
      </c>
      <c r="AI42" s="181" t="s">
        <v>142</v>
      </c>
      <c r="AJ42" s="181" t="s">
        <v>1584</v>
      </c>
      <c r="AK42" s="181"/>
      <c r="AL42" s="181">
        <v>44914</v>
      </c>
      <c r="AM42" s="181"/>
      <c r="AN42" s="181">
        <f t="shared" ca="1" si="2"/>
        <v>44958</v>
      </c>
      <c r="AO42" s="173">
        <f t="shared" ca="1" si="5"/>
        <v>44</v>
      </c>
      <c r="AP42" s="173" t="str">
        <f t="shared" si="4"/>
        <v/>
      </c>
      <c r="AQ42" s="181"/>
      <c r="AR42" s="190" t="s">
        <v>4041</v>
      </c>
      <c r="AS42" s="176">
        <v>10.31</v>
      </c>
      <c r="AT42" s="176">
        <v>10.32</v>
      </c>
      <c r="AU42" s="176">
        <v>10.344999999999999</v>
      </c>
      <c r="AV42" s="176">
        <v>10.35</v>
      </c>
      <c r="AW42" s="173">
        <f t="shared" ca="1" si="0"/>
        <v>21</v>
      </c>
      <c r="AX42" s="142">
        <v>462</v>
      </c>
      <c r="AZ42" s="142" t="s">
        <v>123</v>
      </c>
    </row>
    <row r="43" spans="2:52" s="142" customFormat="1" ht="21" customHeight="1" x14ac:dyDescent="0.25">
      <c r="B43" s="173" t="str">
        <f t="shared" si="1"/>
        <v>0-304/2B-1.00X770</v>
      </c>
      <c r="C43" s="201" t="s">
        <v>5029</v>
      </c>
      <c r="D43" s="173" t="s">
        <v>836</v>
      </c>
      <c r="E43" s="190" t="s">
        <v>2665</v>
      </c>
      <c r="F43" s="201" t="s">
        <v>4145</v>
      </c>
      <c r="G43" s="173">
        <v>304</v>
      </c>
      <c r="H43" s="173" t="s">
        <v>114</v>
      </c>
      <c r="I43" s="174">
        <v>2.89</v>
      </c>
      <c r="J43" s="174">
        <v>1</v>
      </c>
      <c r="K43" s="203">
        <v>0.99</v>
      </c>
      <c r="L43" s="203">
        <v>1.01</v>
      </c>
      <c r="M43" s="191">
        <v>770</v>
      </c>
      <c r="N43" s="176">
        <v>10.465</v>
      </c>
      <c r="O43" s="176">
        <v>10.44</v>
      </c>
      <c r="P43" s="176"/>
      <c r="Q43" s="176">
        <v>2.5000000000000001E-2</v>
      </c>
      <c r="R43" s="176" t="s">
        <v>114</v>
      </c>
      <c r="S43" s="209"/>
      <c r="T43" s="178" t="s">
        <v>511</v>
      </c>
      <c r="U43" s="178"/>
      <c r="V43" s="179"/>
      <c r="W43" s="177">
        <v>44944</v>
      </c>
      <c r="X43" s="177"/>
      <c r="Y43" s="177">
        <v>44945</v>
      </c>
      <c r="Z43" s="177"/>
      <c r="AA43" s="177"/>
      <c r="AB43" s="177">
        <v>44949</v>
      </c>
      <c r="AC43" s="177"/>
      <c r="AD43" s="177"/>
      <c r="AE43" s="177"/>
      <c r="AF43" s="177"/>
      <c r="AG43" s="180" t="s">
        <v>2448</v>
      </c>
      <c r="AH43" s="173" t="s">
        <v>69</v>
      </c>
      <c r="AI43" s="181" t="s">
        <v>142</v>
      </c>
      <c r="AJ43" s="181" t="s">
        <v>1584</v>
      </c>
      <c r="AK43" s="181"/>
      <c r="AL43" s="181">
        <v>44914</v>
      </c>
      <c r="AM43" s="181"/>
      <c r="AN43" s="181">
        <f t="shared" ca="1" si="2"/>
        <v>44958</v>
      </c>
      <c r="AO43" s="173">
        <f t="shared" ca="1" si="5"/>
        <v>44</v>
      </c>
      <c r="AP43" s="173" t="str">
        <f t="shared" si="4"/>
        <v/>
      </c>
      <c r="AQ43" s="181"/>
      <c r="AR43" s="190" t="s">
        <v>2667</v>
      </c>
      <c r="AS43" s="176">
        <v>10.525</v>
      </c>
      <c r="AT43" s="176">
        <v>10.535</v>
      </c>
      <c r="AU43" s="176">
        <v>10.559999999999999</v>
      </c>
      <c r="AV43" s="176">
        <v>10.565</v>
      </c>
      <c r="AW43" s="173">
        <f t="shared" ca="1" si="0"/>
        <v>13</v>
      </c>
      <c r="AX43" s="142">
        <v>462</v>
      </c>
      <c r="AZ43" s="142" t="s">
        <v>123</v>
      </c>
    </row>
    <row r="44" spans="2:52" s="142" customFormat="1" ht="21" customHeight="1" x14ac:dyDescent="0.25">
      <c r="B44" s="173" t="str">
        <f t="shared" si="1"/>
        <v>0-304/2B-1.00X769</v>
      </c>
      <c r="C44" s="201" t="s">
        <v>5029</v>
      </c>
      <c r="D44" s="173" t="s">
        <v>836</v>
      </c>
      <c r="E44" s="190" t="s">
        <v>4138</v>
      </c>
      <c r="F44" s="201" t="s">
        <v>5030</v>
      </c>
      <c r="G44" s="173">
        <v>304</v>
      </c>
      <c r="H44" s="173" t="s">
        <v>114</v>
      </c>
      <c r="I44" s="174">
        <v>2.9</v>
      </c>
      <c r="J44" s="174">
        <v>1</v>
      </c>
      <c r="K44" s="203">
        <v>0.97</v>
      </c>
      <c r="L44" s="203">
        <v>0.98</v>
      </c>
      <c r="M44" s="191">
        <v>769</v>
      </c>
      <c r="N44" s="349">
        <v>10.56</v>
      </c>
      <c r="O44" s="176">
        <f>2.625+2.635</f>
        <v>5.26</v>
      </c>
      <c r="P44" s="176"/>
      <c r="Q44" s="176"/>
      <c r="R44" s="176" t="s">
        <v>114</v>
      </c>
      <c r="S44" s="209"/>
      <c r="T44" s="178" t="s">
        <v>511</v>
      </c>
      <c r="U44" s="178"/>
      <c r="V44" s="179"/>
      <c r="W44" s="177">
        <v>44944</v>
      </c>
      <c r="X44" s="177"/>
      <c r="Y44" s="177">
        <v>44944</v>
      </c>
      <c r="Z44" s="177"/>
      <c r="AA44" s="177"/>
      <c r="AB44" s="177">
        <v>44949</v>
      </c>
      <c r="AC44" s="177"/>
      <c r="AD44" s="177"/>
      <c r="AE44" s="177"/>
      <c r="AF44" s="177"/>
      <c r="AG44" s="180" t="s">
        <v>2448</v>
      </c>
      <c r="AH44" s="173" t="s">
        <v>69</v>
      </c>
      <c r="AI44" s="181" t="s">
        <v>142</v>
      </c>
      <c r="AJ44" s="181" t="s">
        <v>1584</v>
      </c>
      <c r="AK44" s="181"/>
      <c r="AL44" s="181">
        <v>44914</v>
      </c>
      <c r="AM44" s="181"/>
      <c r="AN44" s="181">
        <f t="shared" ca="1" si="2"/>
        <v>44958</v>
      </c>
      <c r="AO44" s="173">
        <f ca="1">IF(AL44&lt;&gt;0,AN44-AL44,0)</f>
        <v>44</v>
      </c>
      <c r="AP44" s="173" t="str">
        <f t="shared" si="4"/>
        <v/>
      </c>
      <c r="AQ44" s="181"/>
      <c r="AR44" s="190" t="s">
        <v>4140</v>
      </c>
      <c r="AS44" s="176">
        <v>10.545</v>
      </c>
      <c r="AT44" s="176">
        <v>10.555</v>
      </c>
      <c r="AU44" s="176">
        <v>10.579999999999998</v>
      </c>
      <c r="AV44" s="176">
        <v>10.584999999999999</v>
      </c>
      <c r="AW44" s="173">
        <f t="shared" ca="1" si="0"/>
        <v>14</v>
      </c>
      <c r="AX44" s="142">
        <v>462</v>
      </c>
      <c r="AZ44" s="142" t="s">
        <v>123</v>
      </c>
    </row>
    <row r="45" spans="2:52" s="142" customFormat="1" ht="21" customHeight="1" x14ac:dyDescent="0.25">
      <c r="B45" s="173" t="str">
        <f t="shared" si="1"/>
        <v>0-304/2B-1.00X769</v>
      </c>
      <c r="C45" s="201" t="s">
        <v>5031</v>
      </c>
      <c r="D45" s="173" t="s">
        <v>4432</v>
      </c>
      <c r="E45" s="190" t="s">
        <v>4138</v>
      </c>
      <c r="F45" s="201" t="s">
        <v>5032</v>
      </c>
      <c r="G45" s="173">
        <v>304</v>
      </c>
      <c r="H45" s="173" t="s">
        <v>114</v>
      </c>
      <c r="I45" s="174">
        <v>2.9</v>
      </c>
      <c r="J45" s="174">
        <v>1</v>
      </c>
      <c r="K45" s="203">
        <v>0.97</v>
      </c>
      <c r="L45" s="203">
        <v>0.98</v>
      </c>
      <c r="M45" s="191">
        <v>769</v>
      </c>
      <c r="N45" s="350"/>
      <c r="O45" s="176">
        <f>2.65+2.61</f>
        <v>5.26</v>
      </c>
      <c r="P45" s="176"/>
      <c r="Q45" s="176">
        <v>0.04</v>
      </c>
      <c r="R45" s="176" t="s">
        <v>114</v>
      </c>
      <c r="S45" s="209" t="s">
        <v>4890</v>
      </c>
      <c r="T45" s="178" t="s">
        <v>511</v>
      </c>
      <c r="U45" s="178"/>
      <c r="V45" s="179"/>
      <c r="W45" s="177">
        <v>44944</v>
      </c>
      <c r="X45" s="177"/>
      <c r="Y45" s="177">
        <v>44944</v>
      </c>
      <c r="Z45" s="177"/>
      <c r="AA45" s="177"/>
      <c r="AB45" s="177"/>
      <c r="AC45" s="177"/>
      <c r="AD45" s="177"/>
      <c r="AE45" s="177"/>
      <c r="AF45" s="177"/>
      <c r="AG45" s="180" t="s">
        <v>2448</v>
      </c>
      <c r="AH45" s="173" t="s">
        <v>69</v>
      </c>
      <c r="AI45" s="181" t="s">
        <v>142</v>
      </c>
      <c r="AJ45" s="181" t="s">
        <v>1584</v>
      </c>
      <c r="AK45" s="181"/>
      <c r="AL45" s="181">
        <v>44914</v>
      </c>
      <c r="AM45" s="181"/>
      <c r="AN45" s="181">
        <f t="shared" ca="1" si="2"/>
        <v>44958</v>
      </c>
      <c r="AO45" s="173">
        <f ca="1">IF(AL45&lt;&gt;0,AN45-AL45,0)</f>
        <v>44</v>
      </c>
      <c r="AP45" s="173" t="str">
        <f t="shared" si="4"/>
        <v/>
      </c>
      <c r="AQ45" s="181"/>
      <c r="AR45" s="190" t="s">
        <v>4140</v>
      </c>
      <c r="AS45" s="176">
        <v>10.545</v>
      </c>
      <c r="AT45" s="176">
        <v>10.555</v>
      </c>
      <c r="AU45" s="176">
        <v>10.579999999999998</v>
      </c>
      <c r="AV45" s="176">
        <v>10.584999999999999</v>
      </c>
      <c r="AW45" s="173">
        <f t="shared" ca="1" si="0"/>
        <v>14</v>
      </c>
      <c r="AX45" s="142">
        <v>462</v>
      </c>
      <c r="AZ45" s="142" t="s">
        <v>123</v>
      </c>
    </row>
    <row r="46" spans="2:52" s="142" customFormat="1" ht="21" customHeight="1" x14ac:dyDescent="0.25">
      <c r="B46" s="173" t="str">
        <f t="shared" si="1"/>
        <v>0-304/2B-0.90X773</v>
      </c>
      <c r="C46" s="201" t="s">
        <v>5031</v>
      </c>
      <c r="D46" s="173" t="s">
        <v>4432</v>
      </c>
      <c r="E46" s="190" t="s">
        <v>3987</v>
      </c>
      <c r="F46" s="201" t="s">
        <v>5033</v>
      </c>
      <c r="G46" s="173">
        <v>304</v>
      </c>
      <c r="H46" s="173" t="s">
        <v>114</v>
      </c>
      <c r="I46" s="174">
        <v>2.84</v>
      </c>
      <c r="J46" s="174">
        <v>0.9</v>
      </c>
      <c r="K46" s="203">
        <v>0.88</v>
      </c>
      <c r="L46" s="203">
        <v>0.9</v>
      </c>
      <c r="M46" s="191">
        <v>773</v>
      </c>
      <c r="N46" s="349">
        <v>9.8000000000000007</v>
      </c>
      <c r="O46" s="176">
        <v>4.12</v>
      </c>
      <c r="P46" s="176"/>
      <c r="Q46" s="176"/>
      <c r="R46" s="176" t="s">
        <v>114</v>
      </c>
      <c r="S46" s="371" t="s">
        <v>4926</v>
      </c>
      <c r="T46" s="206" t="s">
        <v>1210</v>
      </c>
      <c r="U46" s="178"/>
      <c r="V46" s="179"/>
      <c r="W46" s="177">
        <v>44935</v>
      </c>
      <c r="X46" s="177"/>
      <c r="Y46" s="177">
        <v>44935</v>
      </c>
      <c r="Z46" s="177"/>
      <c r="AA46" s="177"/>
      <c r="AB46" s="177"/>
      <c r="AC46" s="177"/>
      <c r="AD46" s="177"/>
      <c r="AE46" s="177"/>
      <c r="AF46" s="177"/>
      <c r="AG46" s="180" t="s">
        <v>1507</v>
      </c>
      <c r="AH46" s="173" t="s">
        <v>69</v>
      </c>
      <c r="AI46" s="181" t="s">
        <v>142</v>
      </c>
      <c r="AJ46" s="181" t="s">
        <v>1584</v>
      </c>
      <c r="AK46" s="181"/>
      <c r="AL46" s="181">
        <v>44914</v>
      </c>
      <c r="AM46" s="181"/>
      <c r="AN46" s="181">
        <f t="shared" ca="1" si="2"/>
        <v>44958</v>
      </c>
      <c r="AO46" s="173">
        <f t="shared" ref="AO46:AO47" ca="1" si="6">IF(AL46&lt;&gt;0,AN46-AL46,0)</f>
        <v>44</v>
      </c>
      <c r="AP46" s="173" t="str">
        <f t="shared" si="4"/>
        <v/>
      </c>
      <c r="AQ46" s="181"/>
      <c r="AR46" s="190" t="s">
        <v>3989</v>
      </c>
      <c r="AS46" s="176">
        <v>9.8249999999999993</v>
      </c>
      <c r="AT46" s="176">
        <v>9.8350000000000009</v>
      </c>
      <c r="AU46" s="176">
        <v>9.86</v>
      </c>
      <c r="AV46" s="176">
        <v>9.8650000000000002</v>
      </c>
      <c r="AW46" s="173">
        <f t="shared" ca="1" si="0"/>
        <v>23</v>
      </c>
      <c r="AX46" s="142">
        <v>462</v>
      </c>
      <c r="AZ46" s="142" t="s">
        <v>123</v>
      </c>
    </row>
    <row r="47" spans="2:52" s="142" customFormat="1" ht="21" customHeight="1" x14ac:dyDescent="0.25">
      <c r="B47" s="173" t="str">
        <f t="shared" si="1"/>
        <v>0-304/2B-0.90X773</v>
      </c>
      <c r="C47" s="201" t="s">
        <v>5029</v>
      </c>
      <c r="D47" s="173" t="s">
        <v>836</v>
      </c>
      <c r="E47" s="190" t="s">
        <v>3987</v>
      </c>
      <c r="F47" s="201" t="s">
        <v>5034</v>
      </c>
      <c r="G47" s="173">
        <v>304</v>
      </c>
      <c r="H47" s="173" t="s">
        <v>114</v>
      </c>
      <c r="I47" s="174">
        <v>2.84</v>
      </c>
      <c r="J47" s="174">
        <v>0.9</v>
      </c>
      <c r="K47" s="203">
        <v>0.88</v>
      </c>
      <c r="L47" s="203">
        <v>0.9</v>
      </c>
      <c r="M47" s="191">
        <v>773</v>
      </c>
      <c r="N47" s="350"/>
      <c r="O47" s="176">
        <v>5.54</v>
      </c>
      <c r="P47" s="176"/>
      <c r="Q47" s="176">
        <v>0.14000000000000001</v>
      </c>
      <c r="R47" s="176" t="s">
        <v>114</v>
      </c>
      <c r="S47" s="209"/>
      <c r="T47" s="178" t="s">
        <v>1546</v>
      </c>
      <c r="U47" s="178"/>
      <c r="V47" s="179"/>
      <c r="W47" s="177">
        <v>44935</v>
      </c>
      <c r="X47" s="177"/>
      <c r="Y47" s="177">
        <v>44935</v>
      </c>
      <c r="Z47" s="177"/>
      <c r="AA47" s="177"/>
      <c r="AB47" s="177">
        <v>44949</v>
      </c>
      <c r="AC47" s="177"/>
      <c r="AD47" s="177"/>
      <c r="AE47" s="177"/>
      <c r="AF47" s="177"/>
      <c r="AG47" s="180" t="s">
        <v>1507</v>
      </c>
      <c r="AH47" s="173" t="s">
        <v>69</v>
      </c>
      <c r="AI47" s="181" t="s">
        <v>142</v>
      </c>
      <c r="AJ47" s="181" t="s">
        <v>1584</v>
      </c>
      <c r="AK47" s="181"/>
      <c r="AL47" s="181">
        <v>44914</v>
      </c>
      <c r="AM47" s="181"/>
      <c r="AN47" s="181">
        <f t="shared" ca="1" si="2"/>
        <v>44958</v>
      </c>
      <c r="AO47" s="173">
        <f t="shared" ca="1" si="6"/>
        <v>44</v>
      </c>
      <c r="AP47" s="173" t="str">
        <f t="shared" si="4"/>
        <v/>
      </c>
      <c r="AQ47" s="181"/>
      <c r="AR47" s="190" t="s">
        <v>3989</v>
      </c>
      <c r="AS47" s="176">
        <v>9.8249999999999993</v>
      </c>
      <c r="AT47" s="176">
        <v>9.8350000000000009</v>
      </c>
      <c r="AU47" s="176">
        <v>9.86</v>
      </c>
      <c r="AV47" s="176">
        <v>9.8650000000000002</v>
      </c>
      <c r="AW47" s="173">
        <f t="shared" ca="1" si="0"/>
        <v>23</v>
      </c>
      <c r="AX47" s="142">
        <v>462</v>
      </c>
      <c r="AZ47" s="142" t="s">
        <v>123</v>
      </c>
    </row>
    <row r="48" spans="2:52" s="142" customFormat="1" ht="21" customHeight="1" x14ac:dyDescent="0.25">
      <c r="B48" s="173" t="str">
        <f t="shared" si="1"/>
        <v>0-304L/2B-0.90X768</v>
      </c>
      <c r="C48" s="201" t="s">
        <v>5031</v>
      </c>
      <c r="D48" s="173" t="s">
        <v>4432</v>
      </c>
      <c r="E48" s="190" t="s">
        <v>3906</v>
      </c>
      <c r="F48" s="201" t="s">
        <v>5035</v>
      </c>
      <c r="G48" s="173" t="s">
        <v>182</v>
      </c>
      <c r="H48" s="173" t="s">
        <v>114</v>
      </c>
      <c r="I48" s="174">
        <v>2.92</v>
      </c>
      <c r="J48" s="174">
        <v>0.9</v>
      </c>
      <c r="K48" s="203">
        <v>0.88</v>
      </c>
      <c r="L48" s="203">
        <v>0.9</v>
      </c>
      <c r="M48" s="191">
        <v>768</v>
      </c>
      <c r="N48" s="176">
        <v>12.275</v>
      </c>
      <c r="O48" s="176">
        <f>4.17+4.155+3.865</f>
        <v>12.19</v>
      </c>
      <c r="P48" s="176"/>
      <c r="Q48" s="176">
        <v>8.5000000000000006E-2</v>
      </c>
      <c r="R48" s="176" t="s">
        <v>114</v>
      </c>
      <c r="S48" s="209" t="s">
        <v>5036</v>
      </c>
      <c r="T48" s="178" t="s">
        <v>5037</v>
      </c>
      <c r="U48" s="178"/>
      <c r="V48" s="179"/>
      <c r="W48" s="177">
        <v>44934</v>
      </c>
      <c r="X48" s="177"/>
      <c r="Y48" s="177">
        <v>44934</v>
      </c>
      <c r="Z48" s="177"/>
      <c r="AA48" s="177"/>
      <c r="AB48" s="177"/>
      <c r="AC48" s="177"/>
      <c r="AD48" s="177">
        <v>44930</v>
      </c>
      <c r="AE48" s="177"/>
      <c r="AF48" s="177"/>
      <c r="AG48" s="180" t="s">
        <v>1345</v>
      </c>
      <c r="AH48" s="173" t="s">
        <v>69</v>
      </c>
      <c r="AI48" s="181" t="s">
        <v>142</v>
      </c>
      <c r="AJ48" s="181" t="s">
        <v>1508</v>
      </c>
      <c r="AK48" s="181"/>
      <c r="AL48" s="181">
        <v>44849</v>
      </c>
      <c r="AM48" s="181"/>
      <c r="AN48" s="181">
        <f t="shared" ca="1" si="2"/>
        <v>44958</v>
      </c>
      <c r="AO48" s="173">
        <f ca="1">IF(AL48&lt;&gt;0,AN48-AL48,0)</f>
        <v>109</v>
      </c>
      <c r="AP48" s="173" t="str">
        <f t="shared" si="4"/>
        <v/>
      </c>
      <c r="AQ48" s="181"/>
      <c r="AR48" s="190" t="s">
        <v>3908</v>
      </c>
      <c r="AS48" s="176">
        <v>24.495000000000001</v>
      </c>
      <c r="AT48" s="176">
        <v>24.555</v>
      </c>
      <c r="AU48" s="176">
        <v>24.580000000000002</v>
      </c>
      <c r="AV48" s="176">
        <v>24.585000000000001</v>
      </c>
      <c r="AW48" s="173">
        <f t="shared" ca="1" si="0"/>
        <v>24</v>
      </c>
      <c r="AX48" s="142">
        <v>456</v>
      </c>
      <c r="AZ48" s="142" t="s">
        <v>123</v>
      </c>
    </row>
    <row r="49" spans="2:52" s="142" customFormat="1" ht="21" customHeight="1" x14ac:dyDescent="0.25">
      <c r="B49" s="173" t="str">
        <f t="shared" si="1"/>
        <v>0-304/2B-1.20X767</v>
      </c>
      <c r="C49" s="201" t="s">
        <v>5031</v>
      </c>
      <c r="D49" s="173" t="s">
        <v>4432</v>
      </c>
      <c r="E49" s="190" t="s">
        <v>1582</v>
      </c>
      <c r="F49" s="201" t="s">
        <v>5038</v>
      </c>
      <c r="G49" s="173">
        <v>304</v>
      </c>
      <c r="H49" s="173" t="s">
        <v>114</v>
      </c>
      <c r="I49" s="174">
        <v>3.76</v>
      </c>
      <c r="J49" s="174">
        <v>1.2</v>
      </c>
      <c r="K49" s="203">
        <v>1.1599999999999999</v>
      </c>
      <c r="L49" s="203">
        <v>1.18</v>
      </c>
      <c r="M49" s="191">
        <v>767</v>
      </c>
      <c r="N49" s="176">
        <v>10.32</v>
      </c>
      <c r="O49" s="176">
        <f>5.74+4.505</f>
        <v>10.245000000000001</v>
      </c>
      <c r="P49" s="176"/>
      <c r="Q49" s="176">
        <v>7.4999999999999997E-2</v>
      </c>
      <c r="R49" s="176" t="s">
        <v>114</v>
      </c>
      <c r="S49" s="209" t="s">
        <v>4884</v>
      </c>
      <c r="T49" s="178" t="s">
        <v>5039</v>
      </c>
      <c r="U49" s="178"/>
      <c r="V49" s="179"/>
      <c r="W49" s="177">
        <v>44936</v>
      </c>
      <c r="X49" s="177"/>
      <c r="Y49" s="177">
        <v>44937</v>
      </c>
      <c r="Z49" s="177"/>
      <c r="AA49" s="177"/>
      <c r="AB49" s="177"/>
      <c r="AC49" s="177"/>
      <c r="AD49" s="177"/>
      <c r="AE49" s="177"/>
      <c r="AF49" s="177"/>
      <c r="AG49" s="180" t="s">
        <v>1507</v>
      </c>
      <c r="AH49" s="173" t="s">
        <v>69</v>
      </c>
      <c r="AI49" s="181" t="s">
        <v>142</v>
      </c>
      <c r="AJ49" s="181" t="s">
        <v>1584</v>
      </c>
      <c r="AK49" s="181"/>
      <c r="AL49" s="181">
        <v>44914</v>
      </c>
      <c r="AM49" s="181"/>
      <c r="AN49" s="181">
        <f t="shared" ca="1" si="2"/>
        <v>44958</v>
      </c>
      <c r="AO49" s="173">
        <f ca="1">IF(AL49&lt;&gt;0,AN49-AL49,0)</f>
        <v>44</v>
      </c>
      <c r="AP49" s="173" t="str">
        <f t="shared" si="4"/>
        <v/>
      </c>
      <c r="AQ49" s="181"/>
      <c r="AR49" s="190" t="s">
        <v>1585</v>
      </c>
      <c r="AS49" s="176">
        <v>10.305</v>
      </c>
      <c r="AT49" s="176">
        <v>10.315</v>
      </c>
      <c r="AU49" s="176">
        <v>10.339999999999998</v>
      </c>
      <c r="AV49" s="176">
        <v>10.344999999999999</v>
      </c>
      <c r="AW49" s="173">
        <f t="shared" ca="1" si="0"/>
        <v>21</v>
      </c>
      <c r="AX49" s="142">
        <v>462</v>
      </c>
      <c r="AZ49" s="142" t="s">
        <v>123</v>
      </c>
    </row>
    <row r="50" spans="2:52" s="142" customFormat="1" ht="21" customHeight="1" x14ac:dyDescent="0.25">
      <c r="B50" s="173" t="str">
        <f t="shared" si="1"/>
        <v>0-304L/2B-1.00X779</v>
      </c>
      <c r="C50" s="201" t="s">
        <v>5029</v>
      </c>
      <c r="D50" s="173" t="s">
        <v>836</v>
      </c>
      <c r="E50" s="190" t="s">
        <v>4180</v>
      </c>
      <c r="F50" s="201" t="s">
        <v>5040</v>
      </c>
      <c r="G50" s="173" t="s">
        <v>182</v>
      </c>
      <c r="H50" s="173" t="s">
        <v>114</v>
      </c>
      <c r="I50" s="174">
        <v>2.82</v>
      </c>
      <c r="J50" s="174">
        <v>1</v>
      </c>
      <c r="K50" s="203">
        <v>0.99</v>
      </c>
      <c r="L50" s="203">
        <v>1</v>
      </c>
      <c r="M50" s="191">
        <v>779</v>
      </c>
      <c r="N50" s="349">
        <v>9.0150000000000006</v>
      </c>
      <c r="O50" s="176">
        <v>5.0199999999999996</v>
      </c>
      <c r="P50" s="176"/>
      <c r="Q50" s="176"/>
      <c r="R50" s="176" t="s">
        <v>114</v>
      </c>
      <c r="S50" s="209"/>
      <c r="T50" s="178" t="s">
        <v>4580</v>
      </c>
      <c r="U50" s="178"/>
      <c r="V50" s="179"/>
      <c r="W50" s="177">
        <v>44946</v>
      </c>
      <c r="X50" s="177"/>
      <c r="Y50" s="177">
        <v>44947</v>
      </c>
      <c r="Z50" s="177"/>
      <c r="AA50" s="177"/>
      <c r="AB50" s="177">
        <v>44949</v>
      </c>
      <c r="AC50" s="177"/>
      <c r="AD50" s="177"/>
      <c r="AE50" s="177"/>
      <c r="AF50" s="177"/>
      <c r="AG50" s="180" t="s">
        <v>1605</v>
      </c>
      <c r="AH50" s="173" t="s">
        <v>69</v>
      </c>
      <c r="AI50" s="181" t="s">
        <v>142</v>
      </c>
      <c r="AJ50" s="181" t="s">
        <v>1584</v>
      </c>
      <c r="AK50" s="181"/>
      <c r="AL50" s="181">
        <v>44914</v>
      </c>
      <c r="AM50" s="181"/>
      <c r="AN50" s="181">
        <f t="shared" ca="1" si="2"/>
        <v>44958</v>
      </c>
      <c r="AO50" s="173">
        <f t="shared" ref="AO50:AO113" ca="1" si="7">IF(AL50&lt;&gt;0,AN50-AL50,0)</f>
        <v>44</v>
      </c>
      <c r="AP50" s="173" t="str">
        <f t="shared" si="4"/>
        <v/>
      </c>
      <c r="AQ50" s="181"/>
      <c r="AR50" s="190" t="s">
        <v>4107</v>
      </c>
      <c r="AS50" s="176">
        <v>9</v>
      </c>
      <c r="AT50" s="176">
        <v>9.01</v>
      </c>
      <c r="AU50" s="176">
        <v>9.0349999999999984</v>
      </c>
      <c r="AV50" s="176">
        <v>9.0399999999999991</v>
      </c>
      <c r="AW50" s="173">
        <f t="shared" ca="1" si="0"/>
        <v>11</v>
      </c>
      <c r="AX50" s="142">
        <v>462</v>
      </c>
      <c r="AZ50" s="142" t="s">
        <v>123</v>
      </c>
    </row>
    <row r="51" spans="2:52" s="142" customFormat="1" ht="21" customHeight="1" x14ac:dyDescent="0.25">
      <c r="B51" s="173" t="str">
        <f t="shared" si="1"/>
        <v>0-304L/2B-1.00X779</v>
      </c>
      <c r="C51" s="201" t="s">
        <v>5031</v>
      </c>
      <c r="D51" s="173" t="s">
        <v>4432</v>
      </c>
      <c r="E51" s="190" t="s">
        <v>4180</v>
      </c>
      <c r="F51" s="201" t="s">
        <v>5041</v>
      </c>
      <c r="G51" s="173" t="s">
        <v>182</v>
      </c>
      <c r="H51" s="173" t="s">
        <v>114</v>
      </c>
      <c r="I51" s="174">
        <v>2.82</v>
      </c>
      <c r="J51" s="174">
        <v>1</v>
      </c>
      <c r="K51" s="203">
        <v>0.99</v>
      </c>
      <c r="L51" s="203">
        <v>1</v>
      </c>
      <c r="M51" s="191">
        <v>779</v>
      </c>
      <c r="N51" s="350"/>
      <c r="O51" s="176">
        <v>3.92</v>
      </c>
      <c r="P51" s="176"/>
      <c r="Q51" s="176">
        <v>7.4999999999999997E-2</v>
      </c>
      <c r="R51" s="176" t="s">
        <v>114</v>
      </c>
      <c r="S51" s="209" t="s">
        <v>4873</v>
      </c>
      <c r="T51" s="178" t="s">
        <v>1210</v>
      </c>
      <c r="U51" s="178"/>
      <c r="V51" s="179"/>
      <c r="W51" s="177">
        <v>44946</v>
      </c>
      <c r="X51" s="177"/>
      <c r="Y51" s="177">
        <v>44947</v>
      </c>
      <c r="Z51" s="177"/>
      <c r="AA51" s="177"/>
      <c r="AB51" s="177"/>
      <c r="AC51" s="177"/>
      <c r="AD51" s="177"/>
      <c r="AE51" s="177"/>
      <c r="AF51" s="177"/>
      <c r="AG51" s="180" t="s">
        <v>1605</v>
      </c>
      <c r="AH51" s="173" t="s">
        <v>69</v>
      </c>
      <c r="AI51" s="181" t="s">
        <v>142</v>
      </c>
      <c r="AJ51" s="181" t="s">
        <v>1584</v>
      </c>
      <c r="AK51" s="181"/>
      <c r="AL51" s="181">
        <v>44914</v>
      </c>
      <c r="AM51" s="181"/>
      <c r="AN51" s="181">
        <f t="shared" ca="1" si="2"/>
        <v>44958</v>
      </c>
      <c r="AO51" s="173">
        <f t="shared" ca="1" si="7"/>
        <v>44</v>
      </c>
      <c r="AP51" s="173" t="str">
        <f t="shared" si="4"/>
        <v/>
      </c>
      <c r="AQ51" s="181"/>
      <c r="AR51" s="190" t="s">
        <v>4107</v>
      </c>
      <c r="AS51" s="176">
        <v>9</v>
      </c>
      <c r="AT51" s="176">
        <v>9.01</v>
      </c>
      <c r="AU51" s="176">
        <v>9.0349999999999984</v>
      </c>
      <c r="AV51" s="176">
        <v>9.0399999999999991</v>
      </c>
      <c r="AW51" s="173">
        <f t="shared" ca="1" si="0"/>
        <v>11</v>
      </c>
      <c r="AX51" s="142">
        <v>462</v>
      </c>
      <c r="AZ51" s="142" t="s">
        <v>123</v>
      </c>
    </row>
    <row r="52" spans="2:52" s="142" customFormat="1" ht="21" customHeight="1" x14ac:dyDescent="0.25">
      <c r="B52" s="173" t="str">
        <f t="shared" si="1"/>
        <v>0-304L/2B-0.80X770</v>
      </c>
      <c r="C52" s="201" t="s">
        <v>5029</v>
      </c>
      <c r="D52" s="173" t="s">
        <v>836</v>
      </c>
      <c r="E52" s="190" t="s">
        <v>4168</v>
      </c>
      <c r="F52" s="201" t="s">
        <v>5042</v>
      </c>
      <c r="G52" s="173" t="s">
        <v>182</v>
      </c>
      <c r="H52" s="173" t="s">
        <v>114</v>
      </c>
      <c r="I52" s="174">
        <v>2.8</v>
      </c>
      <c r="J52" s="174">
        <v>0.8</v>
      </c>
      <c r="K52" s="203">
        <v>0.75</v>
      </c>
      <c r="L52" s="203">
        <v>0.78</v>
      </c>
      <c r="M52" s="191">
        <v>770</v>
      </c>
      <c r="N52" s="349">
        <v>10.545</v>
      </c>
      <c r="O52" s="176">
        <v>5.08</v>
      </c>
      <c r="P52" s="176"/>
      <c r="Q52" s="176"/>
      <c r="R52" s="176" t="s">
        <v>114</v>
      </c>
      <c r="S52" s="209"/>
      <c r="T52" s="178" t="s">
        <v>511</v>
      </c>
      <c r="U52" s="178"/>
      <c r="V52" s="179"/>
      <c r="W52" s="177">
        <v>44945</v>
      </c>
      <c r="X52" s="177"/>
      <c r="Y52" s="177">
        <v>44946</v>
      </c>
      <c r="Z52" s="177"/>
      <c r="AA52" s="177"/>
      <c r="AB52" s="177">
        <v>44949</v>
      </c>
      <c r="AC52" s="177"/>
      <c r="AD52" s="177"/>
      <c r="AE52" s="177"/>
      <c r="AF52" s="177"/>
      <c r="AG52" s="180" t="s">
        <v>1507</v>
      </c>
      <c r="AH52" s="173" t="s">
        <v>69</v>
      </c>
      <c r="AI52" s="181" t="s">
        <v>142</v>
      </c>
      <c r="AJ52" s="181" t="s">
        <v>1584</v>
      </c>
      <c r="AK52" s="181"/>
      <c r="AL52" s="181">
        <v>44914</v>
      </c>
      <c r="AM52" s="181"/>
      <c r="AN52" s="181">
        <f t="shared" ca="1" si="2"/>
        <v>44958</v>
      </c>
      <c r="AO52" s="173">
        <f t="shared" ca="1" si="7"/>
        <v>44</v>
      </c>
      <c r="AP52" s="173" t="str">
        <f t="shared" si="4"/>
        <v/>
      </c>
      <c r="AQ52" s="181"/>
      <c r="AR52" s="190" t="s">
        <v>4001</v>
      </c>
      <c r="AS52" s="176">
        <v>10.535</v>
      </c>
      <c r="AT52" s="176">
        <v>10.545</v>
      </c>
      <c r="AU52" s="176">
        <v>10.569999999999999</v>
      </c>
      <c r="AV52" s="176">
        <v>10.574999999999999</v>
      </c>
      <c r="AW52" s="173">
        <f t="shared" ca="1" si="0"/>
        <v>12</v>
      </c>
      <c r="AX52" s="142">
        <v>462</v>
      </c>
      <c r="AZ52" s="142" t="s">
        <v>123</v>
      </c>
    </row>
    <row r="53" spans="2:52" s="142" customFormat="1" ht="21" customHeight="1" x14ac:dyDescent="0.25">
      <c r="B53" s="173" t="str">
        <f t="shared" si="1"/>
        <v>0-304L/2B-0.80X770</v>
      </c>
      <c r="C53" s="201" t="s">
        <v>5031</v>
      </c>
      <c r="D53" s="173" t="s">
        <v>4432</v>
      </c>
      <c r="E53" s="190" t="s">
        <v>4168</v>
      </c>
      <c r="F53" s="201" t="s">
        <v>5043</v>
      </c>
      <c r="G53" s="173" t="s">
        <v>182</v>
      </c>
      <c r="H53" s="173" t="s">
        <v>114</v>
      </c>
      <c r="I53" s="174">
        <v>2.8</v>
      </c>
      <c r="J53" s="174">
        <v>0.8</v>
      </c>
      <c r="K53" s="203">
        <v>0.75</v>
      </c>
      <c r="L53" s="203">
        <v>0.78</v>
      </c>
      <c r="M53" s="191">
        <v>770</v>
      </c>
      <c r="N53" s="350"/>
      <c r="O53" s="176">
        <f>2.54+2.855</f>
        <v>5.3949999999999996</v>
      </c>
      <c r="P53" s="176"/>
      <c r="Q53" s="176">
        <v>7.0000000000000007E-2</v>
      </c>
      <c r="R53" s="176" t="s">
        <v>114</v>
      </c>
      <c r="S53" s="209" t="s">
        <v>4890</v>
      </c>
      <c r="T53" s="178" t="s">
        <v>511</v>
      </c>
      <c r="U53" s="178"/>
      <c r="V53" s="179"/>
      <c r="W53" s="177">
        <v>44945</v>
      </c>
      <c r="X53" s="177"/>
      <c r="Y53" s="177">
        <v>44946</v>
      </c>
      <c r="Z53" s="177"/>
      <c r="AA53" s="177"/>
      <c r="AB53" s="177"/>
      <c r="AC53" s="177"/>
      <c r="AD53" s="177"/>
      <c r="AE53" s="177"/>
      <c r="AF53" s="177"/>
      <c r="AG53" s="180" t="s">
        <v>1507</v>
      </c>
      <c r="AH53" s="173" t="s">
        <v>69</v>
      </c>
      <c r="AI53" s="181" t="s">
        <v>142</v>
      </c>
      <c r="AJ53" s="181" t="s">
        <v>1584</v>
      </c>
      <c r="AK53" s="181"/>
      <c r="AL53" s="181">
        <v>44914</v>
      </c>
      <c r="AM53" s="181"/>
      <c r="AN53" s="181">
        <f t="shared" ca="1" si="2"/>
        <v>44958</v>
      </c>
      <c r="AO53" s="173">
        <f t="shared" ca="1" si="7"/>
        <v>44</v>
      </c>
      <c r="AP53" s="173" t="str">
        <f t="shared" si="4"/>
        <v/>
      </c>
      <c r="AQ53" s="181"/>
      <c r="AR53" s="190" t="s">
        <v>4001</v>
      </c>
      <c r="AS53" s="176">
        <v>10.535</v>
      </c>
      <c r="AT53" s="176">
        <v>10.545</v>
      </c>
      <c r="AU53" s="176">
        <v>10.569999999999999</v>
      </c>
      <c r="AV53" s="176">
        <v>10.574999999999999</v>
      </c>
      <c r="AW53" s="173">
        <f t="shared" ca="1" si="0"/>
        <v>12</v>
      </c>
      <c r="AX53" s="142">
        <v>462</v>
      </c>
      <c r="AZ53" s="142" t="s">
        <v>123</v>
      </c>
    </row>
    <row r="54" spans="2:52" s="142" customFormat="1" ht="21" customHeight="1" x14ac:dyDescent="0.25">
      <c r="B54" s="173" t="str">
        <f t="shared" si="1"/>
        <v>0-304L/2B-0.88X771</v>
      </c>
      <c r="C54" s="201" t="s">
        <v>5031</v>
      </c>
      <c r="D54" s="173" t="s">
        <v>4432</v>
      </c>
      <c r="E54" s="190" t="s">
        <v>4211</v>
      </c>
      <c r="F54" s="201" t="s">
        <v>5044</v>
      </c>
      <c r="G54" s="173" t="s">
        <v>182</v>
      </c>
      <c r="H54" s="173" t="s">
        <v>114</v>
      </c>
      <c r="I54" s="174">
        <v>2.78</v>
      </c>
      <c r="J54" s="174">
        <v>0.88</v>
      </c>
      <c r="K54" s="203">
        <v>0.85</v>
      </c>
      <c r="L54" s="203">
        <v>0.86</v>
      </c>
      <c r="M54" s="191">
        <v>771</v>
      </c>
      <c r="N54" s="176">
        <v>5.0449999999999999</v>
      </c>
      <c r="O54" s="176">
        <v>5.0449999999999999</v>
      </c>
      <c r="P54" s="176"/>
      <c r="Q54" s="176"/>
      <c r="R54" s="176" t="s">
        <v>114</v>
      </c>
      <c r="S54" s="209" t="s">
        <v>5045</v>
      </c>
      <c r="T54" s="178" t="s">
        <v>2444</v>
      </c>
      <c r="U54" s="178"/>
      <c r="V54" s="179"/>
      <c r="W54" s="177">
        <v>44948</v>
      </c>
      <c r="X54" s="177"/>
      <c r="Y54" s="177">
        <v>44948</v>
      </c>
      <c r="Z54" s="177"/>
      <c r="AA54" s="177"/>
      <c r="AB54" s="177"/>
      <c r="AC54" s="177"/>
      <c r="AD54" s="177"/>
      <c r="AE54" s="177"/>
      <c r="AF54" s="177"/>
      <c r="AG54" s="180" t="s">
        <v>1605</v>
      </c>
      <c r="AH54" s="173" t="s">
        <v>69</v>
      </c>
      <c r="AI54" s="181" t="s">
        <v>142</v>
      </c>
      <c r="AJ54" s="181" t="s">
        <v>1584</v>
      </c>
      <c r="AK54" s="181"/>
      <c r="AL54" s="181">
        <v>44914</v>
      </c>
      <c r="AM54" s="181"/>
      <c r="AN54" s="181">
        <f t="shared" ca="1" si="2"/>
        <v>44958</v>
      </c>
      <c r="AO54" s="173">
        <f t="shared" ca="1" si="7"/>
        <v>44</v>
      </c>
      <c r="AP54" s="173" t="str">
        <f t="shared" si="4"/>
        <v/>
      </c>
      <c r="AQ54" s="181"/>
      <c r="AR54" s="190" t="s">
        <v>4213</v>
      </c>
      <c r="AS54" s="176">
        <v>10.57</v>
      </c>
      <c r="AT54" s="176">
        <v>10.58</v>
      </c>
      <c r="AU54" s="176">
        <v>10.604999999999999</v>
      </c>
      <c r="AV54" s="176">
        <v>10.61</v>
      </c>
      <c r="AW54" s="173">
        <f t="shared" ca="1" si="0"/>
        <v>10</v>
      </c>
      <c r="AX54" s="142">
        <v>462</v>
      </c>
      <c r="AZ54" s="142" t="s">
        <v>123</v>
      </c>
    </row>
    <row r="55" spans="2:52" s="142" customFormat="1" ht="21" customHeight="1" x14ac:dyDescent="0.25">
      <c r="B55" s="173" t="str">
        <f t="shared" si="1"/>
        <v>0-304L/2B-0.88X771</v>
      </c>
      <c r="C55" s="201" t="s">
        <v>5046</v>
      </c>
      <c r="D55" s="173" t="s">
        <v>4432</v>
      </c>
      <c r="E55" s="190" t="s">
        <v>4211</v>
      </c>
      <c r="F55" s="201" t="s">
        <v>5047</v>
      </c>
      <c r="G55" s="173" t="s">
        <v>182</v>
      </c>
      <c r="H55" s="173" t="s">
        <v>114</v>
      </c>
      <c r="I55" s="174">
        <v>2.78</v>
      </c>
      <c r="J55" s="174">
        <v>0.88</v>
      </c>
      <c r="K55" s="203">
        <v>0.85</v>
      </c>
      <c r="L55" s="203">
        <v>0.86</v>
      </c>
      <c r="M55" s="191">
        <v>771</v>
      </c>
      <c r="N55" s="176">
        <f>10.585-5.045</f>
        <v>5.5400000000000009</v>
      </c>
      <c r="O55" s="176">
        <v>5.4649999999999999</v>
      </c>
      <c r="P55" s="176"/>
      <c r="Q55" s="176">
        <v>7.4999999999999997E-2</v>
      </c>
      <c r="R55" s="176" t="s">
        <v>114</v>
      </c>
      <c r="S55" s="209" t="s">
        <v>5045</v>
      </c>
      <c r="T55" s="178" t="s">
        <v>2444</v>
      </c>
      <c r="U55" s="178"/>
      <c r="V55" s="179"/>
      <c r="W55" s="177">
        <v>44948</v>
      </c>
      <c r="X55" s="177"/>
      <c r="Y55" s="177">
        <v>44948</v>
      </c>
      <c r="Z55" s="177"/>
      <c r="AA55" s="177"/>
      <c r="AB55" s="177"/>
      <c r="AC55" s="177"/>
      <c r="AD55" s="177"/>
      <c r="AE55" s="177"/>
      <c r="AF55" s="177"/>
      <c r="AG55" s="180" t="s">
        <v>1605</v>
      </c>
      <c r="AH55" s="173" t="s">
        <v>69</v>
      </c>
      <c r="AI55" s="181" t="s">
        <v>142</v>
      </c>
      <c r="AJ55" s="181" t="s">
        <v>1584</v>
      </c>
      <c r="AK55" s="181"/>
      <c r="AL55" s="181">
        <v>44914</v>
      </c>
      <c r="AM55" s="181"/>
      <c r="AN55" s="181">
        <f t="shared" ca="1" si="2"/>
        <v>44958</v>
      </c>
      <c r="AO55" s="173">
        <f t="shared" ca="1" si="7"/>
        <v>44</v>
      </c>
      <c r="AP55" s="173" t="str">
        <f t="shared" si="4"/>
        <v/>
      </c>
      <c r="AQ55" s="181"/>
      <c r="AR55" s="190" t="s">
        <v>4213</v>
      </c>
      <c r="AS55" s="176">
        <v>10.57</v>
      </c>
      <c r="AT55" s="176">
        <v>10.58</v>
      </c>
      <c r="AU55" s="176">
        <v>10.604999999999999</v>
      </c>
      <c r="AV55" s="176">
        <v>10.61</v>
      </c>
      <c r="AW55" s="173">
        <f t="shared" ca="1" si="0"/>
        <v>10</v>
      </c>
      <c r="AX55" s="142">
        <v>462</v>
      </c>
      <c r="AZ55" s="142" t="s">
        <v>123</v>
      </c>
    </row>
    <row r="56" spans="2:52" s="142" customFormat="1" ht="21" customHeight="1" x14ac:dyDescent="0.25">
      <c r="B56" s="173" t="str">
        <f t="shared" si="1"/>
        <v>0-304/2B-1.15X769</v>
      </c>
      <c r="C56" s="201" t="s">
        <v>5046</v>
      </c>
      <c r="D56" s="173" t="s">
        <v>4432</v>
      </c>
      <c r="E56" s="190" t="s">
        <v>4194</v>
      </c>
      <c r="F56" s="201" t="s">
        <v>5048</v>
      </c>
      <c r="G56" s="173">
        <v>304</v>
      </c>
      <c r="H56" s="173" t="s">
        <v>114</v>
      </c>
      <c r="I56" s="174">
        <v>3.77</v>
      </c>
      <c r="J56" s="174">
        <v>1.1499999999999999</v>
      </c>
      <c r="K56" s="203">
        <v>1.1299999999999999</v>
      </c>
      <c r="L56" s="203">
        <v>1.1399999999999999</v>
      </c>
      <c r="M56" s="191">
        <v>769</v>
      </c>
      <c r="N56" s="176">
        <v>10.385</v>
      </c>
      <c r="O56" s="176">
        <f>5.32+5.03</f>
        <v>10.350000000000001</v>
      </c>
      <c r="P56" s="176"/>
      <c r="Q56" s="176">
        <v>0.03</v>
      </c>
      <c r="R56" s="176" t="s">
        <v>114</v>
      </c>
      <c r="S56" s="209" t="s">
        <v>5049</v>
      </c>
      <c r="T56" s="178" t="s">
        <v>1540</v>
      </c>
      <c r="U56" s="178"/>
      <c r="V56" s="179"/>
      <c r="W56" s="177">
        <v>44947</v>
      </c>
      <c r="X56" s="177"/>
      <c r="Y56" s="177">
        <v>44949</v>
      </c>
      <c r="Z56" s="177"/>
      <c r="AA56" s="177"/>
      <c r="AB56" s="177"/>
      <c r="AC56" s="177"/>
      <c r="AD56" s="177"/>
      <c r="AE56" s="177"/>
      <c r="AF56" s="177"/>
      <c r="AG56" s="180" t="s">
        <v>2448</v>
      </c>
      <c r="AH56" s="173" t="s">
        <v>69</v>
      </c>
      <c r="AI56" s="181" t="s">
        <v>142</v>
      </c>
      <c r="AJ56" s="181" t="s">
        <v>1584</v>
      </c>
      <c r="AK56" s="181"/>
      <c r="AL56" s="181">
        <v>44914</v>
      </c>
      <c r="AM56" s="181"/>
      <c r="AN56" s="181">
        <f t="shared" ca="1" si="2"/>
        <v>44958</v>
      </c>
      <c r="AO56" s="173">
        <f t="shared" ca="1" si="7"/>
        <v>44</v>
      </c>
      <c r="AP56" s="173" t="str">
        <f t="shared" si="4"/>
        <v/>
      </c>
      <c r="AQ56" s="181"/>
      <c r="AR56" s="190" t="s">
        <v>4041</v>
      </c>
      <c r="AS56" s="176">
        <v>10.4</v>
      </c>
      <c r="AT56" s="176">
        <v>10.41</v>
      </c>
      <c r="AU56" s="176">
        <v>10.434999999999999</v>
      </c>
      <c r="AV56" s="176">
        <v>10.44</v>
      </c>
      <c r="AW56" s="173">
        <f t="shared" ca="1" si="0"/>
        <v>9</v>
      </c>
      <c r="AX56" s="142">
        <v>462</v>
      </c>
      <c r="AZ56" s="142" t="s">
        <v>123</v>
      </c>
    </row>
    <row r="57" spans="2:52" s="142" customFormat="1" ht="21" customHeight="1" x14ac:dyDescent="0.25">
      <c r="B57" s="173" t="str">
        <f t="shared" si="1"/>
        <v>0-304L/2B-1.00X769</v>
      </c>
      <c r="C57" s="201" t="s">
        <v>5050</v>
      </c>
      <c r="D57" s="173" t="s">
        <v>836</v>
      </c>
      <c r="E57" s="190" t="s">
        <v>4134</v>
      </c>
      <c r="F57" s="201" t="s">
        <v>5051</v>
      </c>
      <c r="G57" s="173" t="s">
        <v>182</v>
      </c>
      <c r="H57" s="173" t="s">
        <v>114</v>
      </c>
      <c r="I57" s="174">
        <v>2.99</v>
      </c>
      <c r="J57" s="174">
        <v>1</v>
      </c>
      <c r="K57" s="203">
        <v>0.95</v>
      </c>
      <c r="L57" s="203">
        <v>0.98</v>
      </c>
      <c r="M57" s="191">
        <v>769</v>
      </c>
      <c r="N57" s="349">
        <v>7.96</v>
      </c>
      <c r="O57" s="176">
        <v>3.0249999999999999</v>
      </c>
      <c r="P57" s="176"/>
      <c r="Q57" s="176"/>
      <c r="R57" s="176" t="s">
        <v>114</v>
      </c>
      <c r="S57" s="209"/>
      <c r="T57" s="178" t="s">
        <v>511</v>
      </c>
      <c r="U57" s="178"/>
      <c r="V57" s="179"/>
      <c r="W57" s="177">
        <v>44944</v>
      </c>
      <c r="X57" s="177"/>
      <c r="Y57" s="177">
        <v>44944</v>
      </c>
      <c r="Z57" s="177"/>
      <c r="AA57" s="177"/>
      <c r="AB57" s="177">
        <v>44950</v>
      </c>
      <c r="AC57" s="177"/>
      <c r="AD57" s="177"/>
      <c r="AE57" s="177"/>
      <c r="AF57" s="177"/>
      <c r="AG57" s="180" t="s">
        <v>2448</v>
      </c>
      <c r="AH57" s="173" t="s">
        <v>69</v>
      </c>
      <c r="AI57" s="181" t="s">
        <v>142</v>
      </c>
      <c r="AJ57" s="181" t="s">
        <v>1584</v>
      </c>
      <c r="AK57" s="181"/>
      <c r="AL57" s="181">
        <v>44914</v>
      </c>
      <c r="AM57" s="181"/>
      <c r="AN57" s="181">
        <f t="shared" ca="1" si="2"/>
        <v>44958</v>
      </c>
      <c r="AO57" s="173">
        <f t="shared" ca="1" si="7"/>
        <v>44</v>
      </c>
      <c r="AP57" s="173" t="str">
        <f t="shared" si="4"/>
        <v/>
      </c>
      <c r="AQ57" s="181"/>
      <c r="AR57" s="190" t="s">
        <v>4136</v>
      </c>
      <c r="AS57" s="176">
        <v>7.98</v>
      </c>
      <c r="AT57" s="176">
        <v>7.99</v>
      </c>
      <c r="AU57" s="176">
        <v>8.0149999999999988</v>
      </c>
      <c r="AV57" s="176">
        <v>8.02</v>
      </c>
      <c r="AW57" s="173">
        <f t="shared" ca="1" si="0"/>
        <v>14</v>
      </c>
      <c r="AX57" s="142">
        <v>462</v>
      </c>
      <c r="AZ57" s="142" t="s">
        <v>123</v>
      </c>
    </row>
    <row r="58" spans="2:52" s="142" customFormat="1" ht="21" customHeight="1" x14ac:dyDescent="0.25">
      <c r="B58" s="173" t="str">
        <f t="shared" si="1"/>
        <v>0-304L/2B-1.00X769</v>
      </c>
      <c r="C58" s="201" t="s">
        <v>5046</v>
      </c>
      <c r="D58" s="173" t="s">
        <v>4432</v>
      </c>
      <c r="E58" s="190" t="s">
        <v>4134</v>
      </c>
      <c r="F58" s="201" t="s">
        <v>5052</v>
      </c>
      <c r="G58" s="173" t="s">
        <v>182</v>
      </c>
      <c r="H58" s="173" t="s">
        <v>114</v>
      </c>
      <c r="I58" s="174">
        <v>2.99</v>
      </c>
      <c r="J58" s="174">
        <v>1</v>
      </c>
      <c r="K58" s="203">
        <v>0.95</v>
      </c>
      <c r="L58" s="203">
        <v>0.98</v>
      </c>
      <c r="M58" s="191">
        <v>769</v>
      </c>
      <c r="N58" s="350"/>
      <c r="O58" s="176">
        <v>4.9000000000000004</v>
      </c>
      <c r="P58" s="176"/>
      <c r="Q58" s="176">
        <v>3.5000000000000003E-2</v>
      </c>
      <c r="R58" s="176" t="s">
        <v>114</v>
      </c>
      <c r="S58" s="209" t="s">
        <v>5053</v>
      </c>
      <c r="T58" s="178" t="s">
        <v>1540</v>
      </c>
      <c r="U58" s="178"/>
      <c r="V58" s="179"/>
      <c r="W58" s="177">
        <v>44944</v>
      </c>
      <c r="X58" s="177"/>
      <c r="Y58" s="177">
        <v>44944</v>
      </c>
      <c r="Z58" s="177"/>
      <c r="AA58" s="177"/>
      <c r="AB58" s="177"/>
      <c r="AC58" s="177"/>
      <c r="AD58" s="177"/>
      <c r="AE58" s="177"/>
      <c r="AF58" s="177"/>
      <c r="AG58" s="180" t="s">
        <v>2448</v>
      </c>
      <c r="AH58" s="173" t="s">
        <v>69</v>
      </c>
      <c r="AI58" s="181" t="s">
        <v>142</v>
      </c>
      <c r="AJ58" s="181" t="s">
        <v>1584</v>
      </c>
      <c r="AK58" s="181"/>
      <c r="AL58" s="181">
        <v>44914</v>
      </c>
      <c r="AM58" s="181"/>
      <c r="AN58" s="181">
        <f t="shared" ca="1" si="2"/>
        <v>44958</v>
      </c>
      <c r="AO58" s="173">
        <f t="shared" ca="1" si="7"/>
        <v>44</v>
      </c>
      <c r="AP58" s="173" t="str">
        <f t="shared" si="4"/>
        <v/>
      </c>
      <c r="AQ58" s="181"/>
      <c r="AR58" s="190" t="s">
        <v>4136</v>
      </c>
      <c r="AS58" s="176">
        <v>7.98</v>
      </c>
      <c r="AT58" s="176">
        <v>7.99</v>
      </c>
      <c r="AU58" s="176">
        <v>8.0149999999999988</v>
      </c>
      <c r="AV58" s="176">
        <v>8.02</v>
      </c>
      <c r="AW58" s="173">
        <f t="shared" ca="1" si="0"/>
        <v>14</v>
      </c>
      <c r="AX58" s="142">
        <v>462</v>
      </c>
      <c r="AZ58" s="142" t="s">
        <v>123</v>
      </c>
    </row>
    <row r="59" spans="2:52" s="142" customFormat="1" ht="21" customHeight="1" x14ac:dyDescent="0.25">
      <c r="B59" s="173" t="str">
        <f t="shared" si="1"/>
        <v>0-304L/2B-1.20X768</v>
      </c>
      <c r="C59" s="201" t="s">
        <v>5050</v>
      </c>
      <c r="D59" s="173" t="s">
        <v>836</v>
      </c>
      <c r="E59" s="190" t="s">
        <v>1558</v>
      </c>
      <c r="F59" s="201" t="s">
        <v>5054</v>
      </c>
      <c r="G59" s="173" t="s">
        <v>182</v>
      </c>
      <c r="H59" s="173" t="s">
        <v>114</v>
      </c>
      <c r="I59" s="174">
        <v>3.78</v>
      </c>
      <c r="J59" s="174">
        <v>1.2</v>
      </c>
      <c r="K59" s="203">
        <v>1.18</v>
      </c>
      <c r="L59" s="203">
        <v>1.2</v>
      </c>
      <c r="M59" s="191">
        <v>768</v>
      </c>
      <c r="N59" s="349">
        <v>12.29</v>
      </c>
      <c r="O59" s="176">
        <v>6.15</v>
      </c>
      <c r="P59" s="176"/>
      <c r="Q59" s="176"/>
      <c r="R59" s="176" t="s">
        <v>114</v>
      </c>
      <c r="S59" s="209"/>
      <c r="T59" s="178" t="s">
        <v>1386</v>
      </c>
      <c r="U59" s="178"/>
      <c r="V59" s="179"/>
      <c r="W59" s="177">
        <v>44940</v>
      </c>
      <c r="X59" s="177"/>
      <c r="Y59" s="177">
        <v>44940</v>
      </c>
      <c r="Z59" s="177"/>
      <c r="AA59" s="177"/>
      <c r="AB59" s="177">
        <v>44950</v>
      </c>
      <c r="AC59" s="177">
        <v>44940</v>
      </c>
      <c r="AD59" s="177">
        <v>44934</v>
      </c>
      <c r="AE59" s="177"/>
      <c r="AF59" s="177"/>
      <c r="AG59" s="180" t="s">
        <v>1507</v>
      </c>
      <c r="AH59" s="173" t="s">
        <v>69</v>
      </c>
      <c r="AI59" s="181" t="s">
        <v>142</v>
      </c>
      <c r="AJ59" s="181" t="s">
        <v>1508</v>
      </c>
      <c r="AK59" s="181"/>
      <c r="AL59" s="181">
        <v>44849</v>
      </c>
      <c r="AM59" s="181"/>
      <c r="AN59" s="181">
        <f t="shared" ca="1" si="2"/>
        <v>44958</v>
      </c>
      <c r="AO59" s="173">
        <f t="shared" ca="1" si="7"/>
        <v>109</v>
      </c>
      <c r="AP59" s="173" t="str">
        <f t="shared" si="4"/>
        <v/>
      </c>
      <c r="AQ59" s="181"/>
      <c r="AR59" s="190" t="s">
        <v>1560</v>
      </c>
      <c r="AS59" s="176">
        <v>24.535</v>
      </c>
      <c r="AT59" s="176">
        <v>24.594999999999999</v>
      </c>
      <c r="AU59" s="176">
        <v>24.62</v>
      </c>
      <c r="AV59" s="176">
        <v>24.625</v>
      </c>
      <c r="AW59" s="173">
        <f t="shared" ca="1" si="0"/>
        <v>18</v>
      </c>
      <c r="AX59" s="142">
        <v>456</v>
      </c>
      <c r="AZ59" s="142" t="s">
        <v>123</v>
      </c>
    </row>
    <row r="60" spans="2:52" s="142" customFormat="1" ht="21" customHeight="1" x14ac:dyDescent="0.25">
      <c r="B60" s="173" t="str">
        <f t="shared" si="1"/>
        <v>0-304L/2B-1.20X768</v>
      </c>
      <c r="C60" s="201" t="s">
        <v>5050</v>
      </c>
      <c r="D60" s="173" t="s">
        <v>836</v>
      </c>
      <c r="E60" s="190" t="s">
        <v>1558</v>
      </c>
      <c r="F60" s="201" t="s">
        <v>5055</v>
      </c>
      <c r="G60" s="173" t="s">
        <v>182</v>
      </c>
      <c r="H60" s="173" t="s">
        <v>114</v>
      </c>
      <c r="I60" s="174">
        <v>3.78</v>
      </c>
      <c r="J60" s="174">
        <v>1.2</v>
      </c>
      <c r="K60" s="203">
        <v>1.18</v>
      </c>
      <c r="L60" s="203">
        <v>1.2</v>
      </c>
      <c r="M60" s="191">
        <v>768</v>
      </c>
      <c r="N60" s="350"/>
      <c r="O60" s="176">
        <v>6.08</v>
      </c>
      <c r="P60" s="176"/>
      <c r="Q60" s="176">
        <v>0.06</v>
      </c>
      <c r="R60" s="176" t="s">
        <v>114</v>
      </c>
      <c r="S60" s="209"/>
      <c r="T60" s="178" t="s">
        <v>1386</v>
      </c>
      <c r="U60" s="178"/>
      <c r="V60" s="179"/>
      <c r="W60" s="177">
        <v>44940</v>
      </c>
      <c r="X60" s="177"/>
      <c r="Y60" s="177">
        <v>44940</v>
      </c>
      <c r="Z60" s="177"/>
      <c r="AA60" s="177"/>
      <c r="AB60" s="177">
        <v>44950</v>
      </c>
      <c r="AC60" s="177">
        <v>44940</v>
      </c>
      <c r="AD60" s="177">
        <v>44934</v>
      </c>
      <c r="AE60" s="177"/>
      <c r="AF60" s="177"/>
      <c r="AG60" s="180" t="s">
        <v>1507</v>
      </c>
      <c r="AH60" s="173" t="s">
        <v>69</v>
      </c>
      <c r="AI60" s="181" t="s">
        <v>142</v>
      </c>
      <c r="AJ60" s="181" t="s">
        <v>1508</v>
      </c>
      <c r="AK60" s="181"/>
      <c r="AL60" s="181">
        <v>44849</v>
      </c>
      <c r="AM60" s="181"/>
      <c r="AN60" s="181">
        <f t="shared" ca="1" si="2"/>
        <v>44958</v>
      </c>
      <c r="AO60" s="173">
        <f t="shared" ca="1" si="7"/>
        <v>109</v>
      </c>
      <c r="AP60" s="173" t="str">
        <f t="shared" si="4"/>
        <v/>
      </c>
      <c r="AQ60" s="181"/>
      <c r="AR60" s="190" t="s">
        <v>1560</v>
      </c>
      <c r="AS60" s="176">
        <v>24.535</v>
      </c>
      <c r="AT60" s="176">
        <v>24.594999999999999</v>
      </c>
      <c r="AU60" s="176">
        <v>24.62</v>
      </c>
      <c r="AV60" s="176">
        <v>24.625</v>
      </c>
      <c r="AW60" s="173">
        <f t="shared" ca="1" si="0"/>
        <v>18</v>
      </c>
      <c r="AX60" s="142">
        <v>456</v>
      </c>
      <c r="AZ60" s="142" t="s">
        <v>123</v>
      </c>
    </row>
    <row r="61" spans="2:52" s="142" customFormat="1" ht="21" customHeight="1" x14ac:dyDescent="0.25">
      <c r="B61" s="173" t="str">
        <f t="shared" si="1"/>
        <v>0-304L/2B-1.20X768</v>
      </c>
      <c r="C61" s="201" t="s">
        <v>5050</v>
      </c>
      <c r="D61" s="173" t="s">
        <v>836</v>
      </c>
      <c r="E61" s="190" t="s">
        <v>1573</v>
      </c>
      <c r="F61" s="201" t="s">
        <v>5056</v>
      </c>
      <c r="G61" s="173" t="s">
        <v>182</v>
      </c>
      <c r="H61" s="173" t="s">
        <v>114</v>
      </c>
      <c r="I61" s="174">
        <v>3.79</v>
      </c>
      <c r="J61" s="174">
        <v>1.2</v>
      </c>
      <c r="K61" s="203">
        <v>1.18</v>
      </c>
      <c r="L61" s="203">
        <v>1.19</v>
      </c>
      <c r="M61" s="191">
        <v>768</v>
      </c>
      <c r="N61" s="349">
        <v>12.31</v>
      </c>
      <c r="O61" s="176">
        <v>4.1500000000000004</v>
      </c>
      <c r="P61" s="176"/>
      <c r="Q61" s="176"/>
      <c r="R61" s="176" t="s">
        <v>114</v>
      </c>
      <c r="S61" s="209"/>
      <c r="T61" s="178" t="s">
        <v>1386</v>
      </c>
      <c r="U61" s="178"/>
      <c r="V61" s="179"/>
      <c r="W61" s="177">
        <v>44939</v>
      </c>
      <c r="X61" s="177"/>
      <c r="Y61" s="177">
        <v>44939</v>
      </c>
      <c r="Z61" s="177"/>
      <c r="AA61" s="177"/>
      <c r="AB61" s="177">
        <v>44950</v>
      </c>
      <c r="AC61" s="177"/>
      <c r="AD61" s="177">
        <v>44934</v>
      </c>
      <c r="AE61" s="177"/>
      <c r="AF61" s="177"/>
      <c r="AG61" s="180" t="s">
        <v>1507</v>
      </c>
      <c r="AH61" s="173" t="s">
        <v>69</v>
      </c>
      <c r="AI61" s="181" t="s">
        <v>142</v>
      </c>
      <c r="AJ61" s="181" t="s">
        <v>1508</v>
      </c>
      <c r="AK61" s="181"/>
      <c r="AL61" s="181">
        <v>44849</v>
      </c>
      <c r="AM61" s="181"/>
      <c r="AN61" s="181">
        <f t="shared" ca="1" si="2"/>
        <v>44958</v>
      </c>
      <c r="AO61" s="173">
        <f t="shared" ca="1" si="7"/>
        <v>109</v>
      </c>
      <c r="AP61" s="173" t="str">
        <f t="shared" si="4"/>
        <v/>
      </c>
      <c r="AQ61" s="181"/>
      <c r="AR61" s="190" t="s">
        <v>1575</v>
      </c>
      <c r="AS61" s="176">
        <v>24.63</v>
      </c>
      <c r="AT61" s="176">
        <v>24.69</v>
      </c>
      <c r="AU61" s="176">
        <v>24.715000000000003</v>
      </c>
      <c r="AV61" s="176">
        <v>24.720000000000002</v>
      </c>
      <c r="AW61" s="173">
        <f t="shared" ca="1" si="0"/>
        <v>19</v>
      </c>
      <c r="AX61" s="142">
        <v>456</v>
      </c>
      <c r="AZ61" s="142" t="s">
        <v>123</v>
      </c>
    </row>
    <row r="62" spans="2:52" s="142" customFormat="1" ht="21" customHeight="1" x14ac:dyDescent="0.25">
      <c r="B62" s="173" t="str">
        <f t="shared" si="1"/>
        <v>0-304L/2B-1.20X768</v>
      </c>
      <c r="C62" s="201" t="s">
        <v>5050</v>
      </c>
      <c r="D62" s="173" t="s">
        <v>836</v>
      </c>
      <c r="E62" s="190" t="s">
        <v>1573</v>
      </c>
      <c r="F62" s="201" t="s">
        <v>5057</v>
      </c>
      <c r="G62" s="173" t="s">
        <v>182</v>
      </c>
      <c r="H62" s="173" t="s">
        <v>114</v>
      </c>
      <c r="I62" s="174">
        <v>3.79</v>
      </c>
      <c r="J62" s="174">
        <v>1.2</v>
      </c>
      <c r="K62" s="203">
        <v>1.18</v>
      </c>
      <c r="L62" s="203">
        <v>1.19</v>
      </c>
      <c r="M62" s="191">
        <v>768</v>
      </c>
      <c r="N62" s="370"/>
      <c r="O62" s="176">
        <v>3.95</v>
      </c>
      <c r="P62" s="176"/>
      <c r="Q62" s="176"/>
      <c r="R62" s="176" t="s">
        <v>114</v>
      </c>
      <c r="S62" s="209"/>
      <c r="T62" s="178" t="s">
        <v>1386</v>
      </c>
      <c r="U62" s="178"/>
      <c r="V62" s="179"/>
      <c r="W62" s="177">
        <v>44939</v>
      </c>
      <c r="X62" s="177"/>
      <c r="Y62" s="177">
        <v>44939</v>
      </c>
      <c r="Z62" s="177"/>
      <c r="AA62" s="177"/>
      <c r="AB62" s="177">
        <v>44950</v>
      </c>
      <c r="AC62" s="177"/>
      <c r="AD62" s="177">
        <v>44934</v>
      </c>
      <c r="AE62" s="177"/>
      <c r="AF62" s="177"/>
      <c r="AG62" s="180" t="s">
        <v>1507</v>
      </c>
      <c r="AH62" s="173" t="s">
        <v>69</v>
      </c>
      <c r="AI62" s="181" t="s">
        <v>142</v>
      </c>
      <c r="AJ62" s="181" t="s">
        <v>1508</v>
      </c>
      <c r="AK62" s="181"/>
      <c r="AL62" s="181">
        <v>44849</v>
      </c>
      <c r="AM62" s="181"/>
      <c r="AN62" s="181">
        <f t="shared" ca="1" si="2"/>
        <v>44958</v>
      </c>
      <c r="AO62" s="173">
        <f t="shared" ca="1" si="7"/>
        <v>109</v>
      </c>
      <c r="AP62" s="173" t="str">
        <f t="shared" si="4"/>
        <v/>
      </c>
      <c r="AQ62" s="181"/>
      <c r="AR62" s="190" t="s">
        <v>1575</v>
      </c>
      <c r="AS62" s="176">
        <v>24.63</v>
      </c>
      <c r="AT62" s="176">
        <v>24.69</v>
      </c>
      <c r="AU62" s="176">
        <v>24.715000000000003</v>
      </c>
      <c r="AV62" s="176">
        <v>24.720000000000002</v>
      </c>
      <c r="AW62" s="173">
        <f t="shared" ca="1" si="0"/>
        <v>19</v>
      </c>
      <c r="AX62" s="142">
        <v>456</v>
      </c>
      <c r="AZ62" s="142" t="s">
        <v>123</v>
      </c>
    </row>
    <row r="63" spans="2:52" s="142" customFormat="1" ht="21" customHeight="1" x14ac:dyDescent="0.25">
      <c r="B63" s="173" t="str">
        <f t="shared" si="1"/>
        <v>0-304L/2B-1.20X768</v>
      </c>
      <c r="C63" s="201" t="s">
        <v>5050</v>
      </c>
      <c r="D63" s="173" t="s">
        <v>836</v>
      </c>
      <c r="E63" s="190" t="s">
        <v>1573</v>
      </c>
      <c r="F63" s="201" t="s">
        <v>5058</v>
      </c>
      <c r="G63" s="173" t="s">
        <v>182</v>
      </c>
      <c r="H63" s="173" t="s">
        <v>114</v>
      </c>
      <c r="I63" s="174">
        <v>3.79</v>
      </c>
      <c r="J63" s="174">
        <v>1.2</v>
      </c>
      <c r="K63" s="203">
        <v>1.18</v>
      </c>
      <c r="L63" s="203">
        <v>1.19</v>
      </c>
      <c r="M63" s="191">
        <v>768</v>
      </c>
      <c r="N63" s="350"/>
      <c r="O63" s="176">
        <v>4.13</v>
      </c>
      <c r="P63" s="176"/>
      <c r="Q63" s="176">
        <v>0.08</v>
      </c>
      <c r="R63" s="176" t="s">
        <v>114</v>
      </c>
      <c r="S63" s="209"/>
      <c r="T63" s="178" t="s">
        <v>1386</v>
      </c>
      <c r="U63" s="178"/>
      <c r="V63" s="179"/>
      <c r="W63" s="177">
        <v>44939</v>
      </c>
      <c r="X63" s="177"/>
      <c r="Y63" s="177">
        <v>44939</v>
      </c>
      <c r="Z63" s="177"/>
      <c r="AA63" s="177"/>
      <c r="AB63" s="177">
        <v>44950</v>
      </c>
      <c r="AC63" s="177"/>
      <c r="AD63" s="177">
        <v>44934</v>
      </c>
      <c r="AE63" s="177"/>
      <c r="AF63" s="177"/>
      <c r="AG63" s="180" t="s">
        <v>1507</v>
      </c>
      <c r="AH63" s="173" t="s">
        <v>69</v>
      </c>
      <c r="AI63" s="181" t="s">
        <v>142</v>
      </c>
      <c r="AJ63" s="181" t="s">
        <v>1508</v>
      </c>
      <c r="AK63" s="181"/>
      <c r="AL63" s="181">
        <v>44849</v>
      </c>
      <c r="AM63" s="181"/>
      <c r="AN63" s="181">
        <f t="shared" ca="1" si="2"/>
        <v>44958</v>
      </c>
      <c r="AO63" s="173">
        <f t="shared" ca="1" si="7"/>
        <v>109</v>
      </c>
      <c r="AP63" s="173" t="str">
        <f t="shared" si="4"/>
        <v/>
      </c>
      <c r="AQ63" s="181"/>
      <c r="AR63" s="190" t="s">
        <v>1575</v>
      </c>
      <c r="AS63" s="176">
        <v>24.63</v>
      </c>
      <c r="AT63" s="176">
        <v>24.69</v>
      </c>
      <c r="AU63" s="176">
        <v>24.715000000000003</v>
      </c>
      <c r="AV63" s="176">
        <v>24.720000000000002</v>
      </c>
      <c r="AW63" s="173">
        <f t="shared" ca="1" si="0"/>
        <v>19</v>
      </c>
      <c r="AX63" s="142">
        <v>456</v>
      </c>
      <c r="AZ63" s="142" t="s">
        <v>123</v>
      </c>
    </row>
    <row r="64" spans="2:52" s="142" customFormat="1" ht="21" customHeight="1" x14ac:dyDescent="0.25">
      <c r="B64" s="173" t="str">
        <f t="shared" si="1"/>
        <v>0-304/2B-0.90X780</v>
      </c>
      <c r="C64" s="201" t="s">
        <v>5050</v>
      </c>
      <c r="D64" s="173" t="s">
        <v>836</v>
      </c>
      <c r="E64" s="190" t="s">
        <v>3902</v>
      </c>
      <c r="F64" s="201" t="s">
        <v>5059</v>
      </c>
      <c r="G64" s="173">
        <v>304</v>
      </c>
      <c r="H64" s="173" t="s">
        <v>114</v>
      </c>
      <c r="I64" s="174">
        <v>2.92</v>
      </c>
      <c r="J64" s="174">
        <v>0.9</v>
      </c>
      <c r="K64" s="203">
        <v>0.9</v>
      </c>
      <c r="L64" s="203">
        <v>0.92</v>
      </c>
      <c r="M64" s="191">
        <v>780</v>
      </c>
      <c r="N64" s="349">
        <v>10.715</v>
      </c>
      <c r="O64" s="176">
        <v>4.1500000000000004</v>
      </c>
      <c r="P64" s="176"/>
      <c r="Q64" s="176"/>
      <c r="R64" s="176" t="s">
        <v>114</v>
      </c>
      <c r="S64" s="209"/>
      <c r="T64" s="178" t="s">
        <v>1210</v>
      </c>
      <c r="U64" s="178"/>
      <c r="V64" s="179"/>
      <c r="W64" s="177">
        <v>44934</v>
      </c>
      <c r="X64" s="177"/>
      <c r="Y64" s="177">
        <v>44935</v>
      </c>
      <c r="Z64" s="177"/>
      <c r="AA64" s="177"/>
      <c r="AB64" s="177">
        <v>44950</v>
      </c>
      <c r="AC64" s="177"/>
      <c r="AD64" s="177">
        <v>44929</v>
      </c>
      <c r="AE64" s="177"/>
      <c r="AF64" s="177"/>
      <c r="AG64" s="180" t="s">
        <v>1345</v>
      </c>
      <c r="AH64" s="173" t="s">
        <v>69</v>
      </c>
      <c r="AI64" s="181" t="s">
        <v>142</v>
      </c>
      <c r="AJ64" s="181" t="s">
        <v>1346</v>
      </c>
      <c r="AK64" s="181"/>
      <c r="AL64" s="181">
        <v>44813</v>
      </c>
      <c r="AM64" s="181"/>
      <c r="AN64" s="181">
        <f t="shared" ca="1" si="2"/>
        <v>44958</v>
      </c>
      <c r="AO64" s="173">
        <f t="shared" ca="1" si="7"/>
        <v>145</v>
      </c>
      <c r="AP64" s="173" t="str">
        <f t="shared" si="4"/>
        <v/>
      </c>
      <c r="AQ64" s="181"/>
      <c r="AR64" s="190" t="s">
        <v>3904</v>
      </c>
      <c r="AS64" s="176">
        <v>21.43</v>
      </c>
      <c r="AT64" s="176">
        <v>21.49</v>
      </c>
      <c r="AU64" s="176">
        <v>21.515000000000001</v>
      </c>
      <c r="AV64" s="176">
        <v>21.52</v>
      </c>
      <c r="AW64" s="173">
        <f t="shared" ca="1" si="0"/>
        <v>23</v>
      </c>
      <c r="AX64" s="142">
        <v>451</v>
      </c>
      <c r="AZ64" s="142" t="s">
        <v>123</v>
      </c>
    </row>
    <row r="65" spans="2:52" s="142" customFormat="1" ht="21" customHeight="1" x14ac:dyDescent="0.25">
      <c r="B65" s="173" t="str">
        <f t="shared" si="1"/>
        <v>0-304/2B-0.90X780</v>
      </c>
      <c r="C65" s="201" t="s">
        <v>5050</v>
      </c>
      <c r="D65" s="173" t="s">
        <v>836</v>
      </c>
      <c r="E65" s="190" t="s">
        <v>3902</v>
      </c>
      <c r="F65" s="201" t="s">
        <v>5060</v>
      </c>
      <c r="G65" s="173">
        <v>304</v>
      </c>
      <c r="H65" s="173" t="s">
        <v>114</v>
      </c>
      <c r="I65" s="174">
        <v>2.92</v>
      </c>
      <c r="J65" s="174">
        <v>0.9</v>
      </c>
      <c r="K65" s="203">
        <v>0.9</v>
      </c>
      <c r="L65" s="203">
        <v>0.92</v>
      </c>
      <c r="M65" s="191">
        <v>780</v>
      </c>
      <c r="N65" s="350"/>
      <c r="O65" s="176">
        <v>6.5049999999999999</v>
      </c>
      <c r="P65" s="176"/>
      <c r="Q65" s="176">
        <v>0.06</v>
      </c>
      <c r="R65" s="176" t="s">
        <v>114</v>
      </c>
      <c r="S65" s="209"/>
      <c r="T65" s="178" t="s">
        <v>1210</v>
      </c>
      <c r="U65" s="178"/>
      <c r="V65" s="179"/>
      <c r="W65" s="177">
        <v>44934</v>
      </c>
      <c r="X65" s="177"/>
      <c r="Y65" s="177">
        <v>44935</v>
      </c>
      <c r="Z65" s="177"/>
      <c r="AA65" s="177"/>
      <c r="AB65" s="177">
        <v>44950</v>
      </c>
      <c r="AC65" s="177"/>
      <c r="AD65" s="177">
        <v>44929</v>
      </c>
      <c r="AE65" s="177"/>
      <c r="AF65" s="177"/>
      <c r="AG65" s="180" t="s">
        <v>1345</v>
      </c>
      <c r="AH65" s="173" t="s">
        <v>69</v>
      </c>
      <c r="AI65" s="181" t="s">
        <v>142</v>
      </c>
      <c r="AJ65" s="181" t="s">
        <v>1346</v>
      </c>
      <c r="AK65" s="181"/>
      <c r="AL65" s="181">
        <v>44813</v>
      </c>
      <c r="AM65" s="181"/>
      <c r="AN65" s="181">
        <f t="shared" ca="1" si="2"/>
        <v>44958</v>
      </c>
      <c r="AO65" s="173">
        <f t="shared" ca="1" si="7"/>
        <v>145</v>
      </c>
      <c r="AP65" s="173" t="str">
        <f t="shared" si="4"/>
        <v/>
      </c>
      <c r="AQ65" s="181"/>
      <c r="AR65" s="190" t="s">
        <v>3904</v>
      </c>
      <c r="AS65" s="176">
        <v>21.43</v>
      </c>
      <c r="AT65" s="176">
        <v>21.49</v>
      </c>
      <c r="AU65" s="176">
        <v>21.515000000000001</v>
      </c>
      <c r="AV65" s="176">
        <v>21.52</v>
      </c>
      <c r="AW65" s="173">
        <f t="shared" ca="1" si="0"/>
        <v>23</v>
      </c>
      <c r="AX65" s="142">
        <v>451</v>
      </c>
      <c r="AZ65" s="142" t="s">
        <v>123</v>
      </c>
    </row>
    <row r="66" spans="2:52" s="142" customFormat="1" ht="21" customHeight="1" x14ac:dyDescent="0.25">
      <c r="B66" s="173" t="str">
        <f t="shared" si="1"/>
        <v>0-304/2B-0.95X770</v>
      </c>
      <c r="C66" s="201" t="s">
        <v>5050</v>
      </c>
      <c r="D66" s="173" t="s">
        <v>836</v>
      </c>
      <c r="E66" s="190" t="s">
        <v>4048</v>
      </c>
      <c r="F66" s="201" t="s">
        <v>4049</v>
      </c>
      <c r="G66" s="173">
        <v>304</v>
      </c>
      <c r="H66" s="173" t="s">
        <v>114</v>
      </c>
      <c r="I66" s="174">
        <v>3.46</v>
      </c>
      <c r="J66" s="174">
        <v>0.95</v>
      </c>
      <c r="K66" s="203">
        <v>0.92</v>
      </c>
      <c r="L66" s="203">
        <v>0.93</v>
      </c>
      <c r="M66" s="191">
        <v>770</v>
      </c>
      <c r="N66" s="176">
        <v>7.58</v>
      </c>
      <c r="O66" s="176">
        <v>7.57</v>
      </c>
      <c r="P66" s="176"/>
      <c r="Q66" s="176">
        <v>0.01</v>
      </c>
      <c r="R66" s="176" t="s">
        <v>114</v>
      </c>
      <c r="S66" s="209"/>
      <c r="T66" s="178" t="s">
        <v>361</v>
      </c>
      <c r="U66" s="178"/>
      <c r="V66" s="179"/>
      <c r="W66" s="177">
        <v>44937</v>
      </c>
      <c r="X66" s="177"/>
      <c r="Y66" s="177"/>
      <c r="Z66" s="177">
        <v>44938</v>
      </c>
      <c r="AA66" s="177"/>
      <c r="AB66" s="177">
        <v>44950</v>
      </c>
      <c r="AC66" s="177">
        <v>44940</v>
      </c>
      <c r="AD66" s="177"/>
      <c r="AE66" s="177"/>
      <c r="AF66" s="177"/>
      <c r="AG66" s="180" t="s">
        <v>1507</v>
      </c>
      <c r="AH66" s="173" t="s">
        <v>69</v>
      </c>
      <c r="AI66" s="181" t="s">
        <v>142</v>
      </c>
      <c r="AJ66" s="181" t="s">
        <v>1584</v>
      </c>
      <c r="AK66" s="181"/>
      <c r="AL66" s="181">
        <v>44914</v>
      </c>
      <c r="AM66" s="181"/>
      <c r="AN66" s="181">
        <f t="shared" ca="1" si="2"/>
        <v>44958</v>
      </c>
      <c r="AO66" s="173">
        <f t="shared" ca="1" si="7"/>
        <v>44</v>
      </c>
      <c r="AP66" s="173" t="str">
        <f t="shared" si="4"/>
        <v/>
      </c>
      <c r="AQ66" s="181"/>
      <c r="AR66" s="190" t="s">
        <v>4050</v>
      </c>
      <c r="AS66" s="176">
        <v>7.53</v>
      </c>
      <c r="AT66" s="176">
        <v>7.54</v>
      </c>
      <c r="AU66" s="176">
        <v>7.5650000000000004</v>
      </c>
      <c r="AV66" s="176">
        <v>7.57</v>
      </c>
      <c r="AW66" s="173" t="str">
        <f t="shared" si="0"/>
        <v/>
      </c>
      <c r="AX66" s="142">
        <v>462</v>
      </c>
      <c r="AZ66" s="142" t="s">
        <v>123</v>
      </c>
    </row>
    <row r="67" spans="2:52" s="142" customFormat="1" ht="21" customHeight="1" x14ac:dyDescent="0.25">
      <c r="B67" s="173" t="str">
        <f t="shared" si="1"/>
        <v>0-J3/2B-0.91X620</v>
      </c>
      <c r="C67" s="201" t="s">
        <v>5050</v>
      </c>
      <c r="D67" s="173" t="s">
        <v>836</v>
      </c>
      <c r="E67" s="190" t="s">
        <v>5061</v>
      </c>
      <c r="F67" s="201" t="s">
        <v>5062</v>
      </c>
      <c r="G67" s="173" t="s">
        <v>34</v>
      </c>
      <c r="H67" s="173" t="s">
        <v>114</v>
      </c>
      <c r="I67" s="174">
        <v>2.4</v>
      </c>
      <c r="J67" s="174">
        <v>0.91</v>
      </c>
      <c r="K67" s="203">
        <v>0.89</v>
      </c>
      <c r="L67" s="203">
        <v>0.91</v>
      </c>
      <c r="M67" s="191">
        <v>620</v>
      </c>
      <c r="N67" s="176">
        <v>9.9499999999999993</v>
      </c>
      <c r="O67" s="176">
        <v>9.85</v>
      </c>
      <c r="P67" s="176">
        <v>6.5000000000000002E-2</v>
      </c>
      <c r="Q67" s="176"/>
      <c r="R67" s="176" t="s">
        <v>114</v>
      </c>
      <c r="S67" s="209"/>
      <c r="T67" s="178" t="s">
        <v>361</v>
      </c>
      <c r="U67" s="178"/>
      <c r="V67" s="179"/>
      <c r="W67" s="177">
        <v>44830</v>
      </c>
      <c r="X67" s="177"/>
      <c r="Y67" s="177">
        <v>44830</v>
      </c>
      <c r="Z67" s="177"/>
      <c r="AA67" s="177"/>
      <c r="AB67" s="177">
        <v>44950</v>
      </c>
      <c r="AC67" s="177"/>
      <c r="AD67" s="177"/>
      <c r="AE67" s="177"/>
      <c r="AF67" s="177"/>
      <c r="AG67" s="180"/>
      <c r="AH67" s="173" t="s">
        <v>69</v>
      </c>
      <c r="AI67" s="181" t="s">
        <v>248</v>
      </c>
      <c r="AJ67" s="181" t="s">
        <v>1145</v>
      </c>
      <c r="AK67" s="181">
        <v>44752</v>
      </c>
      <c r="AL67" s="181">
        <v>44778</v>
      </c>
      <c r="AM67" s="181"/>
      <c r="AN67" s="181">
        <f t="shared" ca="1" si="2"/>
        <v>44958</v>
      </c>
      <c r="AO67" s="173">
        <f t="shared" ca="1" si="7"/>
        <v>180</v>
      </c>
      <c r="AP67" s="173" t="str">
        <f t="shared" si="4"/>
        <v/>
      </c>
      <c r="AQ67" s="181"/>
      <c r="AR67" s="190" t="s">
        <v>1165</v>
      </c>
      <c r="AS67" s="176">
        <v>9.9489999999999998</v>
      </c>
      <c r="AT67" s="176">
        <f>AS67+0.04</f>
        <v>9.988999999999999</v>
      </c>
      <c r="AU67" s="176">
        <v>10.013999999999998</v>
      </c>
      <c r="AV67" s="176">
        <v>10.018999999999998</v>
      </c>
      <c r="AW67" s="173">
        <f t="shared" ca="1" si="0"/>
        <v>128</v>
      </c>
      <c r="AX67" s="142">
        <v>445</v>
      </c>
      <c r="AZ67" s="142" t="s">
        <v>123</v>
      </c>
    </row>
    <row r="68" spans="2:52" s="142" customFormat="1" ht="21" customHeight="1" x14ac:dyDescent="0.25">
      <c r="B68" s="173" t="str">
        <f t="shared" si="1"/>
        <v>0-J3/2B-0.91X620</v>
      </c>
      <c r="C68" s="201" t="s">
        <v>5063</v>
      </c>
      <c r="D68" s="173" t="s">
        <v>836</v>
      </c>
      <c r="E68" s="190" t="s">
        <v>5064</v>
      </c>
      <c r="F68" s="201" t="s">
        <v>5065</v>
      </c>
      <c r="G68" s="173" t="s">
        <v>34</v>
      </c>
      <c r="H68" s="173" t="s">
        <v>114</v>
      </c>
      <c r="I68" s="174">
        <v>2.4</v>
      </c>
      <c r="J68" s="174">
        <v>0.91</v>
      </c>
      <c r="K68" s="203">
        <v>0.89</v>
      </c>
      <c r="L68" s="203">
        <v>0.91</v>
      </c>
      <c r="M68" s="191">
        <v>620</v>
      </c>
      <c r="N68" s="176">
        <v>9.9749999999999996</v>
      </c>
      <c r="O68" s="176">
        <v>9.94</v>
      </c>
      <c r="P68" s="176"/>
      <c r="Q68" s="176">
        <v>3.5000000000000003E-2</v>
      </c>
      <c r="R68" s="176" t="s">
        <v>114</v>
      </c>
      <c r="S68" s="209"/>
      <c r="T68" s="178" t="s">
        <v>361</v>
      </c>
      <c r="U68" s="178"/>
      <c r="V68" s="179"/>
      <c r="W68" s="177">
        <v>44829</v>
      </c>
      <c r="X68" s="177"/>
      <c r="Y68" s="177">
        <v>44829</v>
      </c>
      <c r="Z68" s="177"/>
      <c r="AA68" s="177"/>
      <c r="AB68" s="177">
        <v>44951</v>
      </c>
      <c r="AC68" s="177"/>
      <c r="AD68" s="177"/>
      <c r="AE68" s="177"/>
      <c r="AF68" s="177"/>
      <c r="AG68" s="180"/>
      <c r="AH68" s="173" t="s">
        <v>69</v>
      </c>
      <c r="AI68" s="181" t="s">
        <v>119</v>
      </c>
      <c r="AJ68" s="181" t="s">
        <v>994</v>
      </c>
      <c r="AK68" s="181">
        <v>44713</v>
      </c>
      <c r="AL68" s="181">
        <v>44747</v>
      </c>
      <c r="AM68" s="181"/>
      <c r="AN68" s="181">
        <f t="shared" ca="1" si="2"/>
        <v>44958</v>
      </c>
      <c r="AO68" s="173">
        <f t="shared" ca="1" si="7"/>
        <v>211</v>
      </c>
      <c r="AP68" s="173" t="str">
        <f t="shared" si="4"/>
        <v/>
      </c>
      <c r="AQ68" s="181" t="s">
        <v>5066</v>
      </c>
      <c r="AR68" s="190" t="s">
        <v>974</v>
      </c>
      <c r="AS68" s="176">
        <v>9.9860000000000007</v>
      </c>
      <c r="AT68" s="176">
        <v>10.006</v>
      </c>
      <c r="AU68" s="176">
        <v>10.030999999999999</v>
      </c>
      <c r="AV68" s="176">
        <v>10.036</v>
      </c>
      <c r="AW68" s="173">
        <f t="shared" ref="AW68:AW106" ca="1" si="8">IF(ISNUMBER(Y68)=TRUE,AN68-Y68,IF(Y68="","",(AN68)-(MID(RIGHT(Y68,10),4,2)&amp;"/"&amp;LEFT((RIGHT(Y68,10)),2)&amp;"/"&amp;RIGHT(Y68,4))))</f>
        <v>129</v>
      </c>
      <c r="AX68" s="142">
        <v>442</v>
      </c>
      <c r="AZ68" s="142" t="s">
        <v>123</v>
      </c>
    </row>
    <row r="69" spans="2:52" s="142" customFormat="1" ht="21" customHeight="1" x14ac:dyDescent="0.25">
      <c r="B69" s="173" t="str">
        <f t="shared" si="1"/>
        <v>0-304L/2B-1.20X769</v>
      </c>
      <c r="C69" s="201" t="s">
        <v>5063</v>
      </c>
      <c r="D69" s="173" t="s">
        <v>836</v>
      </c>
      <c r="E69" s="190" t="s">
        <v>1573</v>
      </c>
      <c r="F69" s="201" t="s">
        <v>1574</v>
      </c>
      <c r="G69" s="173" t="s">
        <v>182</v>
      </c>
      <c r="H69" s="173" t="s">
        <v>114</v>
      </c>
      <c r="I69" s="174">
        <v>3.79</v>
      </c>
      <c r="J69" s="174">
        <v>1.2</v>
      </c>
      <c r="K69" s="203">
        <v>1.18</v>
      </c>
      <c r="L69" s="203">
        <v>1.19</v>
      </c>
      <c r="M69" s="191">
        <v>769</v>
      </c>
      <c r="N69" s="349">
        <v>12.375</v>
      </c>
      <c r="O69" s="176">
        <v>4.09</v>
      </c>
      <c r="P69" s="176"/>
      <c r="Q69" s="176"/>
      <c r="R69" s="176" t="s">
        <v>114</v>
      </c>
      <c r="S69" s="209"/>
      <c r="T69" s="178" t="s">
        <v>986</v>
      </c>
      <c r="U69" s="178"/>
      <c r="V69" s="179"/>
      <c r="W69" s="177">
        <v>44939</v>
      </c>
      <c r="X69" s="177"/>
      <c r="Y69" s="177">
        <v>44939</v>
      </c>
      <c r="Z69" s="177"/>
      <c r="AA69" s="177"/>
      <c r="AB69" s="177">
        <v>44951</v>
      </c>
      <c r="AC69" s="177"/>
      <c r="AD69" s="177">
        <v>44934</v>
      </c>
      <c r="AE69" s="177"/>
      <c r="AF69" s="177"/>
      <c r="AG69" s="180" t="s">
        <v>1507</v>
      </c>
      <c r="AH69" s="173" t="s">
        <v>69</v>
      </c>
      <c r="AI69" s="181" t="s">
        <v>142</v>
      </c>
      <c r="AJ69" s="181" t="s">
        <v>1508</v>
      </c>
      <c r="AK69" s="181"/>
      <c r="AL69" s="181">
        <v>44849</v>
      </c>
      <c r="AM69" s="181"/>
      <c r="AN69" s="181">
        <f t="shared" ca="1" si="2"/>
        <v>44958</v>
      </c>
      <c r="AO69" s="173">
        <f t="shared" ca="1" si="7"/>
        <v>109</v>
      </c>
      <c r="AP69" s="173" t="str">
        <f t="shared" si="4"/>
        <v/>
      </c>
      <c r="AQ69" s="181"/>
      <c r="AR69" s="190" t="s">
        <v>1575</v>
      </c>
      <c r="AS69" s="176">
        <v>24.63</v>
      </c>
      <c r="AT69" s="176">
        <v>24.69</v>
      </c>
      <c r="AU69" s="176">
        <v>24.715000000000003</v>
      </c>
      <c r="AV69" s="176">
        <v>24.720000000000002</v>
      </c>
      <c r="AW69" s="173">
        <f t="shared" ca="1" si="8"/>
        <v>19</v>
      </c>
      <c r="AX69" s="142">
        <v>456</v>
      </c>
      <c r="AZ69" s="142" t="s">
        <v>123</v>
      </c>
    </row>
    <row r="70" spans="2:52" s="142" customFormat="1" ht="21" customHeight="1" x14ac:dyDescent="0.25">
      <c r="B70" s="173" t="str">
        <f t="shared" ref="B70:B113" si="9">IF(C70="HOLD RM","HOLD RM",IF(C70="BAL","WIP",IF(C70="HOLD SLT","HOLD SLT",IF(C70="MILL","RM",IF(C70="RE SLT","WIP",IF(C70="RM","RM",IF(C70="RM BAL","RM",IF(C70="RM SLT","RM",IF(C70="RR","WIP",IF(C70="SKP","WIP",IF(C70="SLT","WIP",IF(C70="CTL","WIP",IF(C70="RM SLT RUST","RM SLT RUST",0)))))))))))))&amp;"-"&amp;G70&amp;"/"&amp;IF(H70="2B","2B",IF(H70="NO.1","1D",IF(H70="FH","FH",0)))&amp;"-"&amp;IF(J70="",(TEXT(I70,"0.00")),TEXT(J70,"0.00"))&amp;"X"&amp;M70</f>
        <v>0-304L/2B-1.20X769</v>
      </c>
      <c r="C70" s="201" t="s">
        <v>5063</v>
      </c>
      <c r="D70" s="173" t="s">
        <v>836</v>
      </c>
      <c r="E70" s="190" t="s">
        <v>1573</v>
      </c>
      <c r="F70" s="201" t="s">
        <v>5067</v>
      </c>
      <c r="G70" s="173" t="s">
        <v>182</v>
      </c>
      <c r="H70" s="173" t="s">
        <v>114</v>
      </c>
      <c r="I70" s="174">
        <v>3.79</v>
      </c>
      <c r="J70" s="174">
        <v>1.2</v>
      </c>
      <c r="K70" s="203">
        <v>1.18</v>
      </c>
      <c r="L70" s="203">
        <v>1.19</v>
      </c>
      <c r="M70" s="191">
        <v>769</v>
      </c>
      <c r="N70" s="370"/>
      <c r="O70" s="176">
        <v>4.1150000000000002</v>
      </c>
      <c r="P70" s="176"/>
      <c r="Q70" s="176"/>
      <c r="R70" s="176" t="s">
        <v>114</v>
      </c>
      <c r="S70" s="209"/>
      <c r="T70" s="178" t="s">
        <v>986</v>
      </c>
      <c r="U70" s="178"/>
      <c r="V70" s="179"/>
      <c r="W70" s="177">
        <v>44939</v>
      </c>
      <c r="X70" s="177"/>
      <c r="Y70" s="177">
        <v>44939</v>
      </c>
      <c r="Z70" s="177"/>
      <c r="AA70" s="177"/>
      <c r="AB70" s="177">
        <v>44951</v>
      </c>
      <c r="AC70" s="177"/>
      <c r="AD70" s="177">
        <v>44934</v>
      </c>
      <c r="AE70" s="177"/>
      <c r="AF70" s="177"/>
      <c r="AG70" s="180" t="s">
        <v>1507</v>
      </c>
      <c r="AH70" s="173" t="s">
        <v>69</v>
      </c>
      <c r="AI70" s="181" t="s">
        <v>142</v>
      </c>
      <c r="AJ70" s="181" t="s">
        <v>1508</v>
      </c>
      <c r="AK70" s="181"/>
      <c r="AL70" s="181">
        <v>44849</v>
      </c>
      <c r="AM70" s="181"/>
      <c r="AN70" s="181">
        <f t="shared" ref="AN70:AN113" ca="1" si="10">TODAY()</f>
        <v>44958</v>
      </c>
      <c r="AO70" s="173">
        <f t="shared" ca="1" si="7"/>
        <v>109</v>
      </c>
      <c r="AP70" s="173" t="str">
        <f t="shared" ref="AP70:AP113" si="11">IF(ISNUMBER(AA70)=TRUE,AN70-AA70,IF(AA70="","",(AN70)-(MID(RIGHT(AA70,10),4,2)&amp;"/"&amp;LEFT((RIGHT(AA70,10)),2)&amp;"/"&amp;RIGHT(AA70,4))))</f>
        <v/>
      </c>
      <c r="AQ70" s="181"/>
      <c r="AR70" s="190" t="s">
        <v>1575</v>
      </c>
      <c r="AS70" s="176">
        <v>24.63</v>
      </c>
      <c r="AT70" s="176">
        <v>24.69</v>
      </c>
      <c r="AU70" s="176">
        <v>24.715000000000003</v>
      </c>
      <c r="AV70" s="176">
        <v>24.720000000000002</v>
      </c>
      <c r="AW70" s="173">
        <f t="shared" ca="1" si="8"/>
        <v>19</v>
      </c>
      <c r="AX70" s="142">
        <v>456</v>
      </c>
      <c r="AZ70" s="142" t="s">
        <v>123</v>
      </c>
    </row>
    <row r="71" spans="2:52" s="142" customFormat="1" ht="21" customHeight="1" x14ac:dyDescent="0.25">
      <c r="B71" s="173" t="str">
        <f t="shared" si="9"/>
        <v>0-304L/2B-1.20X769</v>
      </c>
      <c r="C71" s="201" t="s">
        <v>5063</v>
      </c>
      <c r="D71" s="173" t="s">
        <v>836</v>
      </c>
      <c r="E71" s="190" t="s">
        <v>1573</v>
      </c>
      <c r="F71" s="201" t="s">
        <v>5068</v>
      </c>
      <c r="G71" s="173" t="s">
        <v>182</v>
      </c>
      <c r="H71" s="173" t="s">
        <v>114</v>
      </c>
      <c r="I71" s="174">
        <v>3.79</v>
      </c>
      <c r="J71" s="174">
        <v>1.2</v>
      </c>
      <c r="K71" s="203">
        <v>1.18</v>
      </c>
      <c r="L71" s="203">
        <v>1.19</v>
      </c>
      <c r="M71" s="191">
        <v>769</v>
      </c>
      <c r="N71" s="350"/>
      <c r="O71" s="176">
        <v>4.0650000000000004</v>
      </c>
      <c r="P71" s="176"/>
      <c r="Q71" s="176"/>
      <c r="R71" s="176" t="s">
        <v>114</v>
      </c>
      <c r="S71" s="209"/>
      <c r="T71" s="178" t="s">
        <v>986</v>
      </c>
      <c r="U71" s="178"/>
      <c r="V71" s="179"/>
      <c r="W71" s="177">
        <v>44939</v>
      </c>
      <c r="X71" s="177"/>
      <c r="Y71" s="177">
        <v>44939</v>
      </c>
      <c r="Z71" s="177"/>
      <c r="AA71" s="177"/>
      <c r="AB71" s="177">
        <v>44951</v>
      </c>
      <c r="AC71" s="177"/>
      <c r="AD71" s="177">
        <v>44934</v>
      </c>
      <c r="AE71" s="177"/>
      <c r="AF71" s="177"/>
      <c r="AG71" s="180" t="s">
        <v>1507</v>
      </c>
      <c r="AH71" s="173" t="s">
        <v>69</v>
      </c>
      <c r="AI71" s="181" t="s">
        <v>142</v>
      </c>
      <c r="AJ71" s="181" t="s">
        <v>1508</v>
      </c>
      <c r="AK71" s="181"/>
      <c r="AL71" s="181">
        <v>44849</v>
      </c>
      <c r="AM71" s="181"/>
      <c r="AN71" s="181">
        <f t="shared" ca="1" si="10"/>
        <v>44958</v>
      </c>
      <c r="AO71" s="173">
        <f t="shared" ca="1" si="7"/>
        <v>109</v>
      </c>
      <c r="AP71" s="173" t="str">
        <f t="shared" si="11"/>
        <v/>
      </c>
      <c r="AQ71" s="181"/>
      <c r="AR71" s="190" t="s">
        <v>1575</v>
      </c>
      <c r="AS71" s="176">
        <v>24.63</v>
      </c>
      <c r="AT71" s="176">
        <v>24.69</v>
      </c>
      <c r="AU71" s="176">
        <v>24.715000000000003</v>
      </c>
      <c r="AV71" s="176">
        <v>24.720000000000002</v>
      </c>
      <c r="AW71" s="173">
        <f t="shared" ca="1" si="8"/>
        <v>19</v>
      </c>
      <c r="AX71" s="142">
        <v>456</v>
      </c>
      <c r="AZ71" s="142" t="s">
        <v>123</v>
      </c>
    </row>
    <row r="72" spans="2:52" s="142" customFormat="1" ht="21" customHeight="1" x14ac:dyDescent="0.25">
      <c r="B72" s="173" t="str">
        <f t="shared" si="9"/>
        <v>0-304/2B-1.20X765</v>
      </c>
      <c r="C72" s="201" t="s">
        <v>5063</v>
      </c>
      <c r="D72" s="173" t="s">
        <v>836</v>
      </c>
      <c r="E72" s="190" t="s">
        <v>4051</v>
      </c>
      <c r="F72" s="201" t="s">
        <v>5069</v>
      </c>
      <c r="G72" s="173">
        <v>304</v>
      </c>
      <c r="H72" s="173" t="s">
        <v>114</v>
      </c>
      <c r="I72" s="174">
        <v>3.78</v>
      </c>
      <c r="J72" s="174">
        <v>1.2</v>
      </c>
      <c r="K72" s="203">
        <v>1.18</v>
      </c>
      <c r="L72" s="203">
        <v>1.2</v>
      </c>
      <c r="M72" s="191">
        <v>765</v>
      </c>
      <c r="N72" s="349">
        <v>10.47</v>
      </c>
      <c r="O72" s="176">
        <v>4.74</v>
      </c>
      <c r="P72" s="176"/>
      <c r="Q72" s="176"/>
      <c r="R72" s="176" t="s">
        <v>114</v>
      </c>
      <c r="S72" s="209"/>
      <c r="T72" s="178" t="s">
        <v>986</v>
      </c>
      <c r="U72" s="178"/>
      <c r="V72" s="179"/>
      <c r="W72" s="177">
        <v>44937</v>
      </c>
      <c r="X72" s="177"/>
      <c r="Y72" s="177">
        <v>44938</v>
      </c>
      <c r="Z72" s="177"/>
      <c r="AA72" s="177"/>
      <c r="AB72" s="177">
        <v>44951</v>
      </c>
      <c r="AC72" s="177"/>
      <c r="AD72" s="177"/>
      <c r="AE72" s="177"/>
      <c r="AF72" s="177"/>
      <c r="AG72" s="180" t="s">
        <v>1345</v>
      </c>
      <c r="AH72" s="173" t="s">
        <v>69</v>
      </c>
      <c r="AI72" s="181" t="s">
        <v>142</v>
      </c>
      <c r="AJ72" s="181" t="s">
        <v>2283</v>
      </c>
      <c r="AK72" s="181"/>
      <c r="AL72" s="181">
        <v>44880</v>
      </c>
      <c r="AM72" s="181"/>
      <c r="AN72" s="181">
        <f t="shared" ca="1" si="10"/>
        <v>44958</v>
      </c>
      <c r="AO72" s="173">
        <f t="shared" ca="1" si="7"/>
        <v>78</v>
      </c>
      <c r="AP72" s="173" t="str">
        <f t="shared" si="11"/>
        <v/>
      </c>
      <c r="AQ72" s="181"/>
      <c r="AR72" s="190" t="s">
        <v>3942</v>
      </c>
      <c r="AS72" s="176">
        <v>10.475</v>
      </c>
      <c r="AT72" s="176">
        <v>10.484999999999999</v>
      </c>
      <c r="AU72" s="176">
        <v>10.509999999999998</v>
      </c>
      <c r="AV72" s="176">
        <v>10.514999999999999</v>
      </c>
      <c r="AW72" s="173">
        <f t="shared" ca="1" si="8"/>
        <v>20</v>
      </c>
      <c r="AX72" s="142">
        <v>459</v>
      </c>
      <c r="AZ72" s="142" t="s">
        <v>123</v>
      </c>
    </row>
    <row r="73" spans="2:52" s="142" customFormat="1" ht="21" customHeight="1" x14ac:dyDescent="0.25">
      <c r="B73" s="173" t="str">
        <f t="shared" si="9"/>
        <v>0-304/2B-1.20X765</v>
      </c>
      <c r="C73" s="201" t="s">
        <v>5070</v>
      </c>
      <c r="D73" s="173" t="s">
        <v>4432</v>
      </c>
      <c r="E73" s="190" t="s">
        <v>4051</v>
      </c>
      <c r="F73" s="201" t="s">
        <v>5071</v>
      </c>
      <c r="G73" s="173">
        <v>304</v>
      </c>
      <c r="H73" s="173" t="s">
        <v>114</v>
      </c>
      <c r="I73" s="174">
        <v>3.78</v>
      </c>
      <c r="J73" s="174">
        <v>1.2</v>
      </c>
      <c r="K73" s="203">
        <v>1.18</v>
      </c>
      <c r="L73" s="203">
        <v>1.2</v>
      </c>
      <c r="M73" s="191">
        <v>765</v>
      </c>
      <c r="N73" s="350"/>
      <c r="O73" s="176">
        <v>5.63</v>
      </c>
      <c r="P73" s="176"/>
      <c r="Q73" s="176">
        <v>0.1</v>
      </c>
      <c r="R73" s="176" t="s">
        <v>114</v>
      </c>
      <c r="S73" s="209" t="s">
        <v>5072</v>
      </c>
      <c r="T73" s="178" t="s">
        <v>986</v>
      </c>
      <c r="U73" s="178"/>
      <c r="V73" s="179"/>
      <c r="W73" s="177">
        <v>44937</v>
      </c>
      <c r="X73" s="177"/>
      <c r="Y73" s="177">
        <v>44938</v>
      </c>
      <c r="Z73" s="177"/>
      <c r="AA73" s="177"/>
      <c r="AB73" s="177"/>
      <c r="AC73" s="177"/>
      <c r="AD73" s="177"/>
      <c r="AE73" s="177"/>
      <c r="AF73" s="177"/>
      <c r="AG73" s="180" t="s">
        <v>1345</v>
      </c>
      <c r="AH73" s="173" t="s">
        <v>69</v>
      </c>
      <c r="AI73" s="181" t="s">
        <v>142</v>
      </c>
      <c r="AJ73" s="181" t="s">
        <v>2283</v>
      </c>
      <c r="AK73" s="181"/>
      <c r="AL73" s="181">
        <v>44880</v>
      </c>
      <c r="AM73" s="181"/>
      <c r="AN73" s="181">
        <f t="shared" ca="1" si="10"/>
        <v>44958</v>
      </c>
      <c r="AO73" s="173">
        <f t="shared" ca="1" si="7"/>
        <v>78</v>
      </c>
      <c r="AP73" s="173" t="str">
        <f t="shared" si="11"/>
        <v/>
      </c>
      <c r="AQ73" s="181"/>
      <c r="AR73" s="190" t="s">
        <v>3942</v>
      </c>
      <c r="AS73" s="176">
        <v>10.475</v>
      </c>
      <c r="AT73" s="176">
        <v>10.484999999999999</v>
      </c>
      <c r="AU73" s="176">
        <v>10.509999999999998</v>
      </c>
      <c r="AV73" s="176">
        <v>10.514999999999999</v>
      </c>
      <c r="AW73" s="173">
        <f t="shared" ca="1" si="8"/>
        <v>20</v>
      </c>
      <c r="AX73" s="142">
        <v>459</v>
      </c>
      <c r="AZ73" s="142" t="s">
        <v>123</v>
      </c>
    </row>
    <row r="74" spans="2:52" s="142" customFormat="1" ht="21" customHeight="1" x14ac:dyDescent="0.25">
      <c r="B74" s="173" t="str">
        <f t="shared" si="9"/>
        <v>0-304/2B-1.00X777</v>
      </c>
      <c r="C74" s="201" t="s">
        <v>5070</v>
      </c>
      <c r="D74" s="173" t="s">
        <v>4432</v>
      </c>
      <c r="E74" s="190" t="s">
        <v>3880</v>
      </c>
      <c r="F74" s="201" t="s">
        <v>5073</v>
      </c>
      <c r="G74" s="173">
        <v>304</v>
      </c>
      <c r="H74" s="173" t="s">
        <v>114</v>
      </c>
      <c r="I74" s="174">
        <v>2.96</v>
      </c>
      <c r="J74" s="174">
        <v>1</v>
      </c>
      <c r="K74" s="203">
        <v>0.99</v>
      </c>
      <c r="L74" s="203">
        <v>1</v>
      </c>
      <c r="M74" s="191">
        <v>777</v>
      </c>
      <c r="N74" s="176">
        <v>10.675000000000001</v>
      </c>
      <c r="O74" s="176">
        <f>5.14+5.475</f>
        <v>10.614999999999998</v>
      </c>
      <c r="P74" s="176"/>
      <c r="Q74" s="176">
        <v>6.5000000000000002E-2</v>
      </c>
      <c r="R74" s="176" t="s">
        <v>114</v>
      </c>
      <c r="S74" s="209" t="s">
        <v>4926</v>
      </c>
      <c r="T74" s="178" t="s">
        <v>1210</v>
      </c>
      <c r="U74" s="178"/>
      <c r="V74" s="179"/>
      <c r="W74" s="177">
        <v>44934</v>
      </c>
      <c r="X74" s="177"/>
      <c r="Y74" s="177">
        <v>44934</v>
      </c>
      <c r="Z74" s="177"/>
      <c r="AA74" s="177"/>
      <c r="AB74" s="177"/>
      <c r="AC74" s="177"/>
      <c r="AD74" s="177">
        <v>44926</v>
      </c>
      <c r="AE74" s="177"/>
      <c r="AF74" s="177"/>
      <c r="AG74" s="180" t="s">
        <v>1345</v>
      </c>
      <c r="AH74" s="173" t="s">
        <v>69</v>
      </c>
      <c r="AI74" s="181" t="s">
        <v>142</v>
      </c>
      <c r="AJ74" s="181" t="s">
        <v>1346</v>
      </c>
      <c r="AK74" s="181"/>
      <c r="AL74" s="181">
        <v>44813</v>
      </c>
      <c r="AM74" s="181"/>
      <c r="AN74" s="181">
        <f t="shared" ca="1" si="10"/>
        <v>44958</v>
      </c>
      <c r="AO74" s="173">
        <f t="shared" ca="1" si="7"/>
        <v>145</v>
      </c>
      <c r="AP74" s="173" t="str">
        <f t="shared" si="11"/>
        <v/>
      </c>
      <c r="AQ74" s="181"/>
      <c r="AR74" s="190" t="s">
        <v>3882</v>
      </c>
      <c r="AS74" s="176">
        <v>21.445</v>
      </c>
      <c r="AT74" s="176">
        <v>21.504999999999999</v>
      </c>
      <c r="AU74" s="176">
        <v>21.53</v>
      </c>
      <c r="AV74" s="176">
        <v>21.535</v>
      </c>
      <c r="AW74" s="173">
        <f t="shared" ca="1" si="8"/>
        <v>24</v>
      </c>
      <c r="AX74" s="142">
        <v>451</v>
      </c>
      <c r="AZ74" s="142" t="s">
        <v>123</v>
      </c>
    </row>
    <row r="75" spans="2:52" s="142" customFormat="1" ht="21" customHeight="1" x14ac:dyDescent="0.25">
      <c r="B75" s="173" t="str">
        <f t="shared" si="9"/>
        <v>0-304/2B-1.50X770</v>
      </c>
      <c r="C75" s="201" t="s">
        <v>5070</v>
      </c>
      <c r="D75" s="173" t="s">
        <v>4432</v>
      </c>
      <c r="E75" s="190" t="s">
        <v>4207</v>
      </c>
      <c r="F75" s="201" t="s">
        <v>5074</v>
      </c>
      <c r="G75" s="173">
        <v>304</v>
      </c>
      <c r="H75" s="173" t="s">
        <v>114</v>
      </c>
      <c r="I75" s="174">
        <v>3.88</v>
      </c>
      <c r="J75" s="174">
        <v>1.5</v>
      </c>
      <c r="K75" s="203">
        <v>1.47</v>
      </c>
      <c r="L75" s="203">
        <v>1.48</v>
      </c>
      <c r="M75" s="191">
        <v>770</v>
      </c>
      <c r="N75" s="176">
        <v>9.3249999999999993</v>
      </c>
      <c r="O75" s="176">
        <f>4.645+4.645</f>
        <v>9.2899999999999991</v>
      </c>
      <c r="P75" s="176"/>
      <c r="Q75" s="176">
        <v>3.5000000000000003E-2</v>
      </c>
      <c r="R75" s="176" t="s">
        <v>114</v>
      </c>
      <c r="S75" s="209" t="s">
        <v>5075</v>
      </c>
      <c r="T75" s="178" t="s">
        <v>1540</v>
      </c>
      <c r="U75" s="178"/>
      <c r="V75" s="179"/>
      <c r="W75" s="177">
        <v>44948</v>
      </c>
      <c r="X75" s="177"/>
      <c r="Y75" s="177">
        <v>44948</v>
      </c>
      <c r="Z75" s="177"/>
      <c r="AA75" s="177"/>
      <c r="AB75" s="177"/>
      <c r="AC75" s="177"/>
      <c r="AD75" s="177"/>
      <c r="AE75" s="177"/>
      <c r="AF75" s="177"/>
      <c r="AG75" s="180" t="s">
        <v>1643</v>
      </c>
      <c r="AH75" s="173" t="s">
        <v>69</v>
      </c>
      <c r="AI75" s="181" t="s">
        <v>142</v>
      </c>
      <c r="AJ75" s="181" t="s">
        <v>1584</v>
      </c>
      <c r="AK75" s="181"/>
      <c r="AL75" s="181">
        <v>44914</v>
      </c>
      <c r="AM75" s="181"/>
      <c r="AN75" s="181">
        <f t="shared" ca="1" si="10"/>
        <v>44958</v>
      </c>
      <c r="AO75" s="173">
        <f t="shared" ca="1" si="7"/>
        <v>44</v>
      </c>
      <c r="AP75" s="173" t="str">
        <f t="shared" si="11"/>
        <v/>
      </c>
      <c r="AQ75" s="181"/>
      <c r="AR75" s="190" t="s">
        <v>2646</v>
      </c>
      <c r="AS75" s="176">
        <v>9.3650000000000002</v>
      </c>
      <c r="AT75" s="176">
        <v>9.375</v>
      </c>
      <c r="AU75" s="176">
        <v>9.3999999999999986</v>
      </c>
      <c r="AV75" s="176">
        <v>9.4049999999999994</v>
      </c>
      <c r="AW75" s="173">
        <f t="shared" ca="1" si="8"/>
        <v>10</v>
      </c>
      <c r="AX75" s="142">
        <v>462</v>
      </c>
      <c r="AZ75" s="142" t="s">
        <v>123</v>
      </c>
    </row>
    <row r="76" spans="2:52" s="142" customFormat="1" ht="21" customHeight="1" x14ac:dyDescent="0.25">
      <c r="B76" s="173" t="str">
        <f t="shared" si="9"/>
        <v>0-304/2B-1.15X767</v>
      </c>
      <c r="C76" s="201" t="s">
        <v>5070</v>
      </c>
      <c r="D76" s="173" t="s">
        <v>4432</v>
      </c>
      <c r="E76" s="190" t="s">
        <v>3924</v>
      </c>
      <c r="F76" s="201" t="s">
        <v>5076</v>
      </c>
      <c r="G76" s="173">
        <v>304</v>
      </c>
      <c r="H76" s="173" t="s">
        <v>114</v>
      </c>
      <c r="I76" s="174">
        <v>3.45</v>
      </c>
      <c r="J76" s="174">
        <v>1.1499999999999999</v>
      </c>
      <c r="K76" s="203">
        <v>1.1299999999999999</v>
      </c>
      <c r="L76" s="203">
        <v>1.1499999999999999</v>
      </c>
      <c r="M76" s="191">
        <v>767</v>
      </c>
      <c r="N76" s="176">
        <v>12.175000000000001</v>
      </c>
      <c r="O76" s="176">
        <f>4.065+4.04+4.02</f>
        <v>12.125</v>
      </c>
      <c r="P76" s="176"/>
      <c r="Q76" s="176">
        <v>0.05</v>
      </c>
      <c r="R76" s="176" t="s">
        <v>114</v>
      </c>
      <c r="S76" s="209" t="s">
        <v>4926</v>
      </c>
      <c r="T76" s="178" t="s">
        <v>1210</v>
      </c>
      <c r="U76" s="178"/>
      <c r="V76" s="179"/>
      <c r="W76" s="177">
        <v>44934</v>
      </c>
      <c r="X76" s="177"/>
      <c r="Y76" s="177">
        <v>44935</v>
      </c>
      <c r="Z76" s="177"/>
      <c r="AA76" s="177"/>
      <c r="AB76" s="177"/>
      <c r="AC76" s="177"/>
      <c r="AD76" s="177">
        <v>44931</v>
      </c>
      <c r="AE76" s="177"/>
      <c r="AF76" s="177"/>
      <c r="AG76" s="180" t="s">
        <v>1345</v>
      </c>
      <c r="AH76" s="173" t="s">
        <v>69</v>
      </c>
      <c r="AI76" s="181" t="s">
        <v>142</v>
      </c>
      <c r="AJ76" s="181" t="s">
        <v>1508</v>
      </c>
      <c r="AK76" s="181"/>
      <c r="AL76" s="181">
        <v>44849</v>
      </c>
      <c r="AM76" s="181"/>
      <c r="AN76" s="181">
        <f t="shared" ca="1" si="10"/>
        <v>44958</v>
      </c>
      <c r="AO76" s="173">
        <f t="shared" ca="1" si="7"/>
        <v>109</v>
      </c>
      <c r="AP76" s="173" t="str">
        <f t="shared" si="11"/>
        <v/>
      </c>
      <c r="AQ76" s="181"/>
      <c r="AR76" s="190" t="s">
        <v>3926</v>
      </c>
      <c r="AS76" s="176">
        <v>24.335000000000001</v>
      </c>
      <c r="AT76" s="176">
        <v>24.395</v>
      </c>
      <c r="AU76" s="176">
        <v>24.42</v>
      </c>
      <c r="AV76" s="176">
        <v>24.425000000000001</v>
      </c>
      <c r="AW76" s="173">
        <f t="shared" ca="1" si="8"/>
        <v>23</v>
      </c>
      <c r="AX76" s="142">
        <v>456</v>
      </c>
      <c r="AZ76" s="142" t="s">
        <v>123</v>
      </c>
    </row>
    <row r="77" spans="2:52" s="142" customFormat="1" ht="21" customHeight="1" x14ac:dyDescent="0.25">
      <c r="B77" s="173" t="str">
        <f t="shared" si="9"/>
        <v>0-304/2B-0.90X777</v>
      </c>
      <c r="C77" s="201" t="s">
        <v>4906</v>
      </c>
      <c r="D77" s="173" t="s">
        <v>776</v>
      </c>
      <c r="E77" s="190" t="s">
        <v>1342</v>
      </c>
      <c r="F77" s="201" t="s">
        <v>1349</v>
      </c>
      <c r="G77" s="173">
        <v>304</v>
      </c>
      <c r="H77" s="173" t="s">
        <v>114</v>
      </c>
      <c r="I77" s="174">
        <v>2.94</v>
      </c>
      <c r="J77" s="174">
        <v>0.9</v>
      </c>
      <c r="K77" s="203">
        <v>0.88</v>
      </c>
      <c r="L77" s="203">
        <v>0.91</v>
      </c>
      <c r="M77" s="191">
        <v>777</v>
      </c>
      <c r="N77" s="176">
        <v>10.64</v>
      </c>
      <c r="O77" s="176">
        <v>10.63</v>
      </c>
      <c r="P77" s="176"/>
      <c r="Q77" s="176">
        <v>0.01</v>
      </c>
      <c r="R77" s="176" t="s">
        <v>114</v>
      </c>
      <c r="S77" s="209"/>
      <c r="T77" s="178" t="s">
        <v>314</v>
      </c>
      <c r="U77" s="178" t="s">
        <v>1210</v>
      </c>
      <c r="V77" s="179" t="s">
        <v>1350</v>
      </c>
      <c r="W77" s="177">
        <v>44933</v>
      </c>
      <c r="X77" s="177"/>
      <c r="Y77" s="177">
        <v>44934</v>
      </c>
      <c r="Z77" s="177"/>
      <c r="AA77" s="177"/>
      <c r="AB77" s="177">
        <v>44951</v>
      </c>
      <c r="AC77" s="177"/>
      <c r="AD77" s="177">
        <v>44928</v>
      </c>
      <c r="AE77" s="177"/>
      <c r="AF77" s="177"/>
      <c r="AG77" s="180" t="s">
        <v>1345</v>
      </c>
      <c r="AH77" s="173" t="s">
        <v>69</v>
      </c>
      <c r="AI77" s="181" t="s">
        <v>142</v>
      </c>
      <c r="AJ77" s="181" t="s">
        <v>1346</v>
      </c>
      <c r="AK77" s="181"/>
      <c r="AL77" s="181">
        <v>44813</v>
      </c>
      <c r="AM77" s="181"/>
      <c r="AN77" s="181">
        <f t="shared" ca="1" si="10"/>
        <v>44958</v>
      </c>
      <c r="AO77" s="173">
        <f t="shared" ca="1" si="7"/>
        <v>145</v>
      </c>
      <c r="AP77" s="173" t="str">
        <f t="shared" si="11"/>
        <v/>
      </c>
      <c r="AQ77" s="181"/>
      <c r="AR77" s="190" t="s">
        <v>1347</v>
      </c>
      <c r="AS77" s="176">
        <v>21.414999999999999</v>
      </c>
      <c r="AT77" s="176">
        <v>21.475000000000001</v>
      </c>
      <c r="AU77" s="176">
        <v>21.500000000000004</v>
      </c>
      <c r="AV77" s="176">
        <v>21.505000000000003</v>
      </c>
      <c r="AW77" s="173">
        <f t="shared" ca="1" si="8"/>
        <v>24</v>
      </c>
      <c r="AX77" s="142">
        <v>451</v>
      </c>
      <c r="AZ77" s="142" t="s">
        <v>123</v>
      </c>
    </row>
    <row r="78" spans="2:52" s="142" customFormat="1" ht="21" customHeight="1" x14ac:dyDescent="0.25">
      <c r="B78" s="173" t="str">
        <f t="shared" si="9"/>
        <v>0-304L/2B-1.15X765</v>
      </c>
      <c r="C78" s="201" t="s">
        <v>5070</v>
      </c>
      <c r="D78" s="173" t="s">
        <v>4432</v>
      </c>
      <c r="E78" s="190" t="s">
        <v>1586</v>
      </c>
      <c r="F78" s="201" t="s">
        <v>5077</v>
      </c>
      <c r="G78" s="173" t="s">
        <v>182</v>
      </c>
      <c r="H78" s="173" t="s">
        <v>114</v>
      </c>
      <c r="I78" s="174">
        <v>3.57</v>
      </c>
      <c r="J78" s="174">
        <v>1.1499999999999999</v>
      </c>
      <c r="K78" s="203">
        <v>1.1299999999999999</v>
      </c>
      <c r="L78" s="203">
        <v>1.1499999999999999</v>
      </c>
      <c r="M78" s="191">
        <v>765</v>
      </c>
      <c r="N78" s="176">
        <v>5.2350000000000003</v>
      </c>
      <c r="O78" s="176">
        <v>5.2350000000000003</v>
      </c>
      <c r="P78" s="176"/>
      <c r="Q78" s="176"/>
      <c r="R78" s="176" t="s">
        <v>114</v>
      </c>
      <c r="S78" s="209" t="s">
        <v>4926</v>
      </c>
      <c r="T78" s="178" t="s">
        <v>1210</v>
      </c>
      <c r="U78" s="178"/>
      <c r="V78" s="179"/>
      <c r="W78" s="177">
        <v>44934</v>
      </c>
      <c r="X78" s="177"/>
      <c r="Y78" s="177">
        <v>44934</v>
      </c>
      <c r="Z78" s="177"/>
      <c r="AA78" s="177"/>
      <c r="AB78" s="177"/>
      <c r="AC78" s="177"/>
      <c r="AD78" s="177">
        <v>44929</v>
      </c>
      <c r="AE78" s="177"/>
      <c r="AF78" s="177"/>
      <c r="AG78" s="180" t="s">
        <v>1345</v>
      </c>
      <c r="AH78" s="173" t="s">
        <v>69</v>
      </c>
      <c r="AI78" s="181" t="s">
        <v>142</v>
      </c>
      <c r="AJ78" s="181" t="s">
        <v>1508</v>
      </c>
      <c r="AK78" s="181"/>
      <c r="AL78" s="181">
        <v>44849</v>
      </c>
      <c r="AM78" s="181"/>
      <c r="AN78" s="181">
        <f t="shared" ca="1" si="10"/>
        <v>44958</v>
      </c>
      <c r="AO78" s="173">
        <f t="shared" ca="1" si="7"/>
        <v>109</v>
      </c>
      <c r="AP78" s="173" t="str">
        <f t="shared" si="11"/>
        <v/>
      </c>
      <c r="AQ78" s="181"/>
      <c r="AR78" s="190" t="s">
        <v>1588</v>
      </c>
      <c r="AS78" s="176">
        <v>20.92</v>
      </c>
      <c r="AT78" s="176">
        <v>20.98</v>
      </c>
      <c r="AU78" s="176">
        <v>21.005000000000003</v>
      </c>
      <c r="AV78" s="176">
        <v>21.01</v>
      </c>
      <c r="AW78" s="173">
        <f t="shared" ca="1" si="8"/>
        <v>24</v>
      </c>
      <c r="AX78" s="142">
        <v>456</v>
      </c>
      <c r="AZ78" s="142" t="s">
        <v>123</v>
      </c>
    </row>
    <row r="79" spans="2:52" s="142" customFormat="1" ht="21" customHeight="1" x14ac:dyDescent="0.25">
      <c r="B79" s="173" t="str">
        <f t="shared" si="9"/>
        <v>0-304L/2B-1.15X765</v>
      </c>
      <c r="C79" s="201" t="s">
        <v>5078</v>
      </c>
      <c r="D79" s="173" t="s">
        <v>4432</v>
      </c>
      <c r="E79" s="190" t="s">
        <v>1586</v>
      </c>
      <c r="F79" s="201" t="s">
        <v>5079</v>
      </c>
      <c r="G79" s="173" t="s">
        <v>182</v>
      </c>
      <c r="H79" s="173" t="s">
        <v>114</v>
      </c>
      <c r="I79" s="174">
        <v>3.57</v>
      </c>
      <c r="J79" s="174">
        <v>1.1499999999999999</v>
      </c>
      <c r="K79" s="203">
        <v>1.1299999999999999</v>
      </c>
      <c r="L79" s="203">
        <v>1.1499999999999999</v>
      </c>
      <c r="M79" s="191">
        <v>765</v>
      </c>
      <c r="N79" s="176">
        <f>10.5-5.235</f>
        <v>5.2649999999999997</v>
      </c>
      <c r="O79" s="176">
        <v>5.18</v>
      </c>
      <c r="P79" s="176"/>
      <c r="Q79" s="176">
        <v>8.5000000000000006E-2</v>
      </c>
      <c r="R79" s="176" t="s">
        <v>114</v>
      </c>
      <c r="S79" s="209" t="s">
        <v>4926</v>
      </c>
      <c r="T79" s="178" t="s">
        <v>1210</v>
      </c>
      <c r="U79" s="178"/>
      <c r="V79" s="179"/>
      <c r="W79" s="177">
        <v>44934</v>
      </c>
      <c r="X79" s="177"/>
      <c r="Y79" s="177">
        <v>44934</v>
      </c>
      <c r="Z79" s="177"/>
      <c r="AA79" s="177"/>
      <c r="AB79" s="177"/>
      <c r="AC79" s="177"/>
      <c r="AD79" s="177">
        <v>44929</v>
      </c>
      <c r="AE79" s="177"/>
      <c r="AF79" s="177"/>
      <c r="AG79" s="180" t="s">
        <v>1345</v>
      </c>
      <c r="AH79" s="173" t="s">
        <v>69</v>
      </c>
      <c r="AI79" s="181" t="s">
        <v>142</v>
      </c>
      <c r="AJ79" s="181" t="s">
        <v>1508</v>
      </c>
      <c r="AK79" s="181"/>
      <c r="AL79" s="181">
        <v>44849</v>
      </c>
      <c r="AM79" s="181"/>
      <c r="AN79" s="181">
        <f t="shared" ca="1" si="10"/>
        <v>44958</v>
      </c>
      <c r="AO79" s="173">
        <f t="shared" ca="1" si="7"/>
        <v>109</v>
      </c>
      <c r="AP79" s="173" t="str">
        <f t="shared" si="11"/>
        <v/>
      </c>
      <c r="AQ79" s="181"/>
      <c r="AR79" s="190" t="s">
        <v>1588</v>
      </c>
      <c r="AS79" s="176">
        <v>20.92</v>
      </c>
      <c r="AT79" s="176">
        <v>20.98</v>
      </c>
      <c r="AU79" s="176">
        <v>21.005000000000003</v>
      </c>
      <c r="AV79" s="176">
        <v>21.01</v>
      </c>
      <c r="AW79" s="173">
        <f t="shared" ca="1" si="8"/>
        <v>24</v>
      </c>
      <c r="AX79" s="142">
        <v>456</v>
      </c>
      <c r="AZ79" s="142" t="s">
        <v>123</v>
      </c>
    </row>
    <row r="80" spans="2:52" s="142" customFormat="1" ht="21" customHeight="1" x14ac:dyDescent="0.25">
      <c r="B80" s="173" t="str">
        <f t="shared" si="9"/>
        <v>0-304/2B-1.15X770</v>
      </c>
      <c r="C80" s="201" t="s">
        <v>5080</v>
      </c>
      <c r="D80" s="173" t="s">
        <v>836</v>
      </c>
      <c r="E80" s="190" t="s">
        <v>2545</v>
      </c>
      <c r="F80" s="201" t="s">
        <v>5081</v>
      </c>
      <c r="G80" s="173">
        <v>304</v>
      </c>
      <c r="H80" s="173" t="s">
        <v>114</v>
      </c>
      <c r="I80" s="174">
        <v>3.39</v>
      </c>
      <c r="J80" s="174">
        <v>1.1499999999999999</v>
      </c>
      <c r="K80" s="203">
        <v>1.1299999999999999</v>
      </c>
      <c r="L80" s="203">
        <v>1.1499999999999999</v>
      </c>
      <c r="M80" s="191">
        <v>770</v>
      </c>
      <c r="N80" s="349">
        <v>10.535</v>
      </c>
      <c r="O80" s="176">
        <v>4.4749999999999996</v>
      </c>
      <c r="P80" s="176"/>
      <c r="Q80" s="176"/>
      <c r="R80" s="176" t="s">
        <v>114</v>
      </c>
      <c r="S80" s="209"/>
      <c r="T80" s="178" t="s">
        <v>1210</v>
      </c>
      <c r="U80" s="178"/>
      <c r="V80" s="179"/>
      <c r="W80" s="177">
        <v>44935</v>
      </c>
      <c r="X80" s="177"/>
      <c r="Y80" s="177">
        <v>44935</v>
      </c>
      <c r="Z80" s="177"/>
      <c r="AA80" s="177"/>
      <c r="AB80" s="177">
        <v>44952</v>
      </c>
      <c r="AC80" s="177"/>
      <c r="AD80" s="177"/>
      <c r="AE80" s="177"/>
      <c r="AF80" s="177"/>
      <c r="AG80" s="180" t="s">
        <v>1507</v>
      </c>
      <c r="AH80" s="173" t="s">
        <v>69</v>
      </c>
      <c r="AI80" s="181" t="s">
        <v>142</v>
      </c>
      <c r="AJ80" s="181" t="s">
        <v>1584</v>
      </c>
      <c r="AK80" s="181"/>
      <c r="AL80" s="181">
        <v>44914</v>
      </c>
      <c r="AM80" s="181"/>
      <c r="AN80" s="181">
        <f t="shared" ca="1" si="10"/>
        <v>44958</v>
      </c>
      <c r="AO80" s="173">
        <f t="shared" ca="1" si="7"/>
        <v>44</v>
      </c>
      <c r="AP80" s="173" t="str">
        <f t="shared" si="11"/>
        <v/>
      </c>
      <c r="AQ80" s="181"/>
      <c r="AR80" s="190" t="s">
        <v>2548</v>
      </c>
      <c r="AS80" s="176">
        <v>10.555</v>
      </c>
      <c r="AT80" s="176">
        <v>10.565</v>
      </c>
      <c r="AU80" s="176">
        <v>10.589999999999998</v>
      </c>
      <c r="AV80" s="176">
        <v>10.594999999999999</v>
      </c>
      <c r="AW80" s="173">
        <f t="shared" ca="1" si="8"/>
        <v>23</v>
      </c>
      <c r="AX80" s="142">
        <v>462</v>
      </c>
      <c r="AZ80" s="142" t="s">
        <v>123</v>
      </c>
    </row>
    <row r="81" spans="2:52" s="142" customFormat="1" ht="21" customHeight="1" x14ac:dyDescent="0.25">
      <c r="B81" s="173" t="str">
        <f t="shared" si="9"/>
        <v>0-304/2B-1.15X770</v>
      </c>
      <c r="C81" s="201" t="s">
        <v>5080</v>
      </c>
      <c r="D81" s="173" t="s">
        <v>836</v>
      </c>
      <c r="E81" s="190" t="s">
        <v>2545</v>
      </c>
      <c r="F81" s="201" t="s">
        <v>2546</v>
      </c>
      <c r="G81" s="173">
        <v>304</v>
      </c>
      <c r="H81" s="173" t="s">
        <v>114</v>
      </c>
      <c r="I81" s="174">
        <v>3.39</v>
      </c>
      <c r="J81" s="174">
        <v>1.1499999999999999</v>
      </c>
      <c r="K81" s="203">
        <v>1.1299999999999999</v>
      </c>
      <c r="L81" s="203">
        <v>1.1499999999999999</v>
      </c>
      <c r="M81" s="191">
        <v>770</v>
      </c>
      <c r="N81" s="350"/>
      <c r="O81" s="176">
        <v>6.0149999999999997</v>
      </c>
      <c r="P81" s="176"/>
      <c r="Q81" s="176">
        <v>4.4999999999999998E-2</v>
      </c>
      <c r="R81" s="176" t="s">
        <v>114</v>
      </c>
      <c r="S81" s="209"/>
      <c r="T81" s="178" t="s">
        <v>1210</v>
      </c>
      <c r="U81" s="178"/>
      <c r="V81" s="179"/>
      <c r="W81" s="177">
        <v>44935</v>
      </c>
      <c r="X81" s="177"/>
      <c r="Y81" s="177">
        <v>44935</v>
      </c>
      <c r="Z81" s="177"/>
      <c r="AA81" s="177"/>
      <c r="AB81" s="177">
        <v>44952</v>
      </c>
      <c r="AC81" s="177"/>
      <c r="AD81" s="177"/>
      <c r="AE81" s="177"/>
      <c r="AF81" s="177"/>
      <c r="AG81" s="180" t="s">
        <v>1507</v>
      </c>
      <c r="AH81" s="173" t="s">
        <v>69</v>
      </c>
      <c r="AI81" s="181" t="s">
        <v>142</v>
      </c>
      <c r="AJ81" s="181" t="s">
        <v>1584</v>
      </c>
      <c r="AK81" s="181"/>
      <c r="AL81" s="181">
        <v>44914</v>
      </c>
      <c r="AM81" s="181"/>
      <c r="AN81" s="181">
        <f t="shared" ca="1" si="10"/>
        <v>44958</v>
      </c>
      <c r="AO81" s="173">
        <f t="shared" ca="1" si="7"/>
        <v>44</v>
      </c>
      <c r="AP81" s="173" t="str">
        <f t="shared" si="11"/>
        <v/>
      </c>
      <c r="AQ81" s="181"/>
      <c r="AR81" s="190" t="s">
        <v>2548</v>
      </c>
      <c r="AS81" s="176">
        <v>10.555</v>
      </c>
      <c r="AT81" s="176">
        <v>10.565</v>
      </c>
      <c r="AU81" s="176">
        <v>10.589999999999998</v>
      </c>
      <c r="AV81" s="176">
        <v>10.594999999999999</v>
      </c>
      <c r="AW81" s="173">
        <f t="shared" ca="1" si="8"/>
        <v>23</v>
      </c>
      <c r="AX81" s="142">
        <v>462</v>
      </c>
      <c r="AZ81" s="142" t="s">
        <v>123</v>
      </c>
    </row>
    <row r="82" spans="2:52" s="142" customFormat="1" ht="21" customHeight="1" x14ac:dyDescent="0.25">
      <c r="B82" s="173" t="str">
        <f t="shared" si="9"/>
        <v>0-304L/2B-1.15X768</v>
      </c>
      <c r="C82" s="201" t="s">
        <v>5078</v>
      </c>
      <c r="D82" s="173" t="s">
        <v>4432</v>
      </c>
      <c r="E82" s="190" t="s">
        <v>4002</v>
      </c>
      <c r="F82" s="201" t="s">
        <v>5082</v>
      </c>
      <c r="G82" s="173" t="s">
        <v>182</v>
      </c>
      <c r="H82" s="173" t="s">
        <v>114</v>
      </c>
      <c r="I82" s="174">
        <v>3.44</v>
      </c>
      <c r="J82" s="174">
        <v>1.1499999999999999</v>
      </c>
      <c r="K82" s="203">
        <v>1.1299999999999999</v>
      </c>
      <c r="L82" s="203">
        <v>1.1499999999999999</v>
      </c>
      <c r="M82" s="191">
        <v>768</v>
      </c>
      <c r="N82" s="176">
        <v>10.38</v>
      </c>
      <c r="O82" s="176">
        <f>4.795+5.52</f>
        <v>10.315</v>
      </c>
      <c r="P82" s="176"/>
      <c r="Q82" s="176">
        <v>6.5000000000000002E-2</v>
      </c>
      <c r="R82" s="176" t="s">
        <v>114</v>
      </c>
      <c r="S82" s="209" t="s">
        <v>4926</v>
      </c>
      <c r="T82" s="178" t="s">
        <v>1210</v>
      </c>
      <c r="U82" s="178"/>
      <c r="V82" s="179"/>
      <c r="W82" s="177">
        <v>44935</v>
      </c>
      <c r="X82" s="177"/>
      <c r="Y82" s="177">
        <v>44935</v>
      </c>
      <c r="Z82" s="177"/>
      <c r="AA82" s="177"/>
      <c r="AB82" s="177"/>
      <c r="AC82" s="177"/>
      <c r="AD82" s="177"/>
      <c r="AE82" s="177"/>
      <c r="AF82" s="177"/>
      <c r="AG82" s="180" t="s">
        <v>1507</v>
      </c>
      <c r="AH82" s="173" t="s">
        <v>69</v>
      </c>
      <c r="AI82" s="181" t="s">
        <v>142</v>
      </c>
      <c r="AJ82" s="181" t="s">
        <v>1584</v>
      </c>
      <c r="AK82" s="181"/>
      <c r="AL82" s="181">
        <v>44914</v>
      </c>
      <c r="AM82" s="181"/>
      <c r="AN82" s="181">
        <f t="shared" ca="1" si="10"/>
        <v>44958</v>
      </c>
      <c r="AO82" s="173">
        <f t="shared" ca="1" si="7"/>
        <v>44</v>
      </c>
      <c r="AP82" s="173" t="str">
        <f t="shared" si="11"/>
        <v/>
      </c>
      <c r="AQ82" s="181"/>
      <c r="AR82" s="190" t="s">
        <v>4004</v>
      </c>
      <c r="AS82" s="176">
        <v>10.39</v>
      </c>
      <c r="AT82" s="176">
        <v>10.4</v>
      </c>
      <c r="AU82" s="176">
        <v>10.424999999999999</v>
      </c>
      <c r="AV82" s="176">
        <v>10.43</v>
      </c>
      <c r="AW82" s="173">
        <f t="shared" ca="1" si="8"/>
        <v>23</v>
      </c>
      <c r="AX82" s="142">
        <v>462</v>
      </c>
      <c r="AZ82" s="142" t="s">
        <v>123</v>
      </c>
    </row>
    <row r="83" spans="2:52" s="142" customFormat="1" ht="21" customHeight="1" x14ac:dyDescent="0.25">
      <c r="B83" s="173" t="str">
        <f t="shared" si="9"/>
        <v>0-304L/2B-1.15X770</v>
      </c>
      <c r="C83" s="201" t="s">
        <v>5078</v>
      </c>
      <c r="D83" s="173" t="s">
        <v>4432</v>
      </c>
      <c r="E83" s="190" t="s">
        <v>4209</v>
      </c>
      <c r="F83" s="201" t="s">
        <v>5083</v>
      </c>
      <c r="G83" s="173" t="s">
        <v>182</v>
      </c>
      <c r="H83" s="173" t="s">
        <v>114</v>
      </c>
      <c r="I83" s="174">
        <v>3.8</v>
      </c>
      <c r="J83" s="174">
        <v>1.1499999999999999</v>
      </c>
      <c r="K83" s="203">
        <v>1.1299999999999999</v>
      </c>
      <c r="L83" s="203">
        <v>1.1499999999999999</v>
      </c>
      <c r="M83" s="191">
        <v>770</v>
      </c>
      <c r="N83" s="176">
        <v>10.44</v>
      </c>
      <c r="O83" s="176">
        <f>4.53+5.83</f>
        <v>10.36</v>
      </c>
      <c r="Q83" s="176">
        <v>0.01</v>
      </c>
      <c r="R83" s="176" t="s">
        <v>114</v>
      </c>
      <c r="S83" s="209" t="s">
        <v>4873</v>
      </c>
      <c r="T83" s="178" t="s">
        <v>1210</v>
      </c>
      <c r="U83" s="178" t="s">
        <v>2444</v>
      </c>
      <c r="V83" s="179"/>
      <c r="W83" s="177">
        <v>44948</v>
      </c>
      <c r="X83" s="177"/>
      <c r="Y83" s="177">
        <v>44948</v>
      </c>
      <c r="Z83" s="177"/>
      <c r="AA83" s="177"/>
      <c r="AB83" s="177"/>
      <c r="AC83" s="177"/>
      <c r="AD83" s="177"/>
      <c r="AE83" s="177"/>
      <c r="AF83" s="177"/>
      <c r="AG83" s="180" t="s">
        <v>1643</v>
      </c>
      <c r="AH83" s="173" t="s">
        <v>69</v>
      </c>
      <c r="AI83" s="181" t="s">
        <v>142</v>
      </c>
      <c r="AJ83" s="181" t="s">
        <v>1584</v>
      </c>
      <c r="AK83" s="181"/>
      <c r="AL83" s="181">
        <v>44914</v>
      </c>
      <c r="AM83" s="181"/>
      <c r="AN83" s="181">
        <f t="shared" ca="1" si="10"/>
        <v>44958</v>
      </c>
      <c r="AO83" s="173">
        <f t="shared" ca="1" si="7"/>
        <v>44</v>
      </c>
      <c r="AP83" s="173" t="str">
        <f t="shared" si="11"/>
        <v/>
      </c>
      <c r="AQ83" s="181"/>
      <c r="AR83" s="190" t="s">
        <v>2619</v>
      </c>
      <c r="AS83" s="176">
        <v>10.44</v>
      </c>
      <c r="AT83" s="176">
        <v>10.45</v>
      </c>
      <c r="AU83" s="176">
        <v>10.474999999999998</v>
      </c>
      <c r="AV83" s="176">
        <v>10.479999999999999</v>
      </c>
      <c r="AW83" s="173">
        <f t="shared" ca="1" si="8"/>
        <v>10</v>
      </c>
      <c r="AX83" s="142">
        <v>462</v>
      </c>
      <c r="AZ83" s="142" t="s">
        <v>123</v>
      </c>
    </row>
    <row r="84" spans="2:52" s="142" customFormat="1" ht="21" customHeight="1" x14ac:dyDescent="0.25">
      <c r="B84" s="173" t="str">
        <f t="shared" si="9"/>
        <v>0-304/2B-1.15X772</v>
      </c>
      <c r="C84" s="173" t="s">
        <v>5080</v>
      </c>
      <c r="D84" s="173" t="s">
        <v>68</v>
      </c>
      <c r="E84" s="190" t="s">
        <v>2549</v>
      </c>
      <c r="F84" s="190" t="s">
        <v>4005</v>
      </c>
      <c r="G84" s="173">
        <v>304</v>
      </c>
      <c r="H84" s="173" t="s">
        <v>114</v>
      </c>
      <c r="I84" s="174">
        <v>3.39</v>
      </c>
      <c r="J84" s="174">
        <v>1.1499999999999999</v>
      </c>
      <c r="K84" s="174">
        <v>0.95</v>
      </c>
      <c r="L84" s="174">
        <v>1.01</v>
      </c>
      <c r="M84" s="191">
        <v>772</v>
      </c>
      <c r="N84" s="176">
        <v>10.64</v>
      </c>
      <c r="O84" s="173">
        <v>10.295</v>
      </c>
      <c r="P84" s="372"/>
      <c r="R84" s="176" t="s">
        <v>114</v>
      </c>
      <c r="S84" s="176"/>
      <c r="T84" s="178" t="s">
        <v>1210</v>
      </c>
      <c r="U84" s="179"/>
      <c r="V84" s="179" t="s">
        <v>2551</v>
      </c>
      <c r="W84" s="177">
        <v>44935</v>
      </c>
      <c r="X84" s="177"/>
      <c r="Y84" s="177">
        <v>44936</v>
      </c>
      <c r="Z84" s="177"/>
      <c r="AA84" s="177"/>
      <c r="AB84" s="177">
        <v>44952</v>
      </c>
      <c r="AC84" s="177"/>
      <c r="AD84" s="177"/>
      <c r="AE84" s="177"/>
      <c r="AF84" s="177"/>
      <c r="AG84" s="180" t="s">
        <v>1507</v>
      </c>
      <c r="AH84" s="173" t="s">
        <v>69</v>
      </c>
      <c r="AI84" s="181" t="s">
        <v>142</v>
      </c>
      <c r="AJ84" s="192" t="s">
        <v>1584</v>
      </c>
      <c r="AK84" s="198"/>
      <c r="AL84" s="181">
        <v>44914</v>
      </c>
      <c r="AM84" s="181"/>
      <c r="AN84" s="181">
        <f t="shared" ca="1" si="10"/>
        <v>44958</v>
      </c>
      <c r="AO84" s="173">
        <f t="shared" ca="1" si="7"/>
        <v>44</v>
      </c>
      <c r="AP84" s="173" t="str">
        <f t="shared" si="11"/>
        <v/>
      </c>
      <c r="AQ84" s="181"/>
      <c r="AR84" s="190" t="s">
        <v>2548</v>
      </c>
      <c r="AS84" s="176">
        <v>10.62</v>
      </c>
      <c r="AT84" s="176">
        <v>10.63</v>
      </c>
      <c r="AU84" s="176">
        <v>10.654999999999999</v>
      </c>
      <c r="AV84" s="176">
        <v>10.66</v>
      </c>
      <c r="AW84" s="173">
        <f t="shared" ca="1" si="8"/>
        <v>22</v>
      </c>
      <c r="AX84" s="173">
        <v>462</v>
      </c>
      <c r="AZ84" s="142" t="s">
        <v>123</v>
      </c>
    </row>
    <row r="85" spans="2:52" s="142" customFormat="1" ht="21" customHeight="1" x14ac:dyDescent="0.25">
      <c r="B85" s="173" t="str">
        <f t="shared" si="9"/>
        <v>0-304/2B-1.15X778</v>
      </c>
      <c r="C85" s="201" t="s">
        <v>5078</v>
      </c>
      <c r="D85" s="173" t="s">
        <v>4432</v>
      </c>
      <c r="E85" s="190" t="s">
        <v>3949</v>
      </c>
      <c r="F85" s="201" t="s">
        <v>5084</v>
      </c>
      <c r="G85" s="173">
        <v>304</v>
      </c>
      <c r="H85" s="173" t="s">
        <v>114</v>
      </c>
      <c r="I85" s="174">
        <v>3.51</v>
      </c>
      <c r="J85" s="174">
        <v>1.1499999999999999</v>
      </c>
      <c r="K85" s="203">
        <v>1.1399999999999999</v>
      </c>
      <c r="L85" s="203">
        <v>1.1499999999999999</v>
      </c>
      <c r="M85" s="191">
        <v>778</v>
      </c>
      <c r="N85" s="176">
        <v>10.725</v>
      </c>
      <c r="O85" s="176">
        <f>4.71+5.965</f>
        <v>10.675000000000001</v>
      </c>
      <c r="P85" s="176"/>
      <c r="Q85" s="176">
        <v>0.05</v>
      </c>
      <c r="R85" s="176" t="s">
        <v>114</v>
      </c>
      <c r="S85" s="209" t="s">
        <v>4926</v>
      </c>
      <c r="T85" s="178" t="s">
        <v>1210</v>
      </c>
      <c r="U85" s="178"/>
      <c r="V85" s="179"/>
      <c r="W85" s="177">
        <v>44934</v>
      </c>
      <c r="X85" s="177"/>
      <c r="Y85" s="177">
        <v>44934</v>
      </c>
      <c r="Z85" s="177"/>
      <c r="AA85" s="177"/>
      <c r="AB85" s="177"/>
      <c r="AC85" s="177"/>
      <c r="AD85" s="177">
        <v>44930</v>
      </c>
      <c r="AE85" s="177"/>
      <c r="AF85" s="177"/>
      <c r="AG85" s="180" t="s">
        <v>1345</v>
      </c>
      <c r="AH85" s="173" t="s">
        <v>69</v>
      </c>
      <c r="AI85" s="181" t="s">
        <v>142</v>
      </c>
      <c r="AJ85" s="181" t="s">
        <v>1346</v>
      </c>
      <c r="AK85" s="181"/>
      <c r="AL85" s="181">
        <v>44813</v>
      </c>
      <c r="AM85" s="181"/>
      <c r="AN85" s="181">
        <f t="shared" ca="1" si="10"/>
        <v>44958</v>
      </c>
      <c r="AO85" s="173">
        <f t="shared" ca="1" si="7"/>
        <v>145</v>
      </c>
      <c r="AP85" s="173" t="str">
        <f t="shared" si="11"/>
        <v/>
      </c>
      <c r="AQ85" s="181"/>
      <c r="AR85" s="190" t="s">
        <v>3951</v>
      </c>
      <c r="AS85" s="176">
        <v>21.465</v>
      </c>
      <c r="AT85" s="176">
        <v>21.524999999999999</v>
      </c>
      <c r="AU85" s="176">
        <v>21.55</v>
      </c>
      <c r="AV85" s="176">
        <v>21.555</v>
      </c>
      <c r="AW85" s="173">
        <f t="shared" ca="1" si="8"/>
        <v>24</v>
      </c>
      <c r="AX85" s="142">
        <v>451</v>
      </c>
      <c r="AZ85" s="142" t="s">
        <v>123</v>
      </c>
    </row>
    <row r="86" spans="2:52" s="142" customFormat="1" ht="21" customHeight="1" x14ac:dyDescent="0.25">
      <c r="B86" s="173" t="str">
        <f t="shared" si="9"/>
        <v>0-304L/2B-1.45X770</v>
      </c>
      <c r="C86" s="201" t="s">
        <v>5080</v>
      </c>
      <c r="D86" s="173" t="s">
        <v>836</v>
      </c>
      <c r="E86" s="190" t="s">
        <v>3975</v>
      </c>
      <c r="F86" s="201" t="s">
        <v>5085</v>
      </c>
      <c r="G86" s="173" t="s">
        <v>182</v>
      </c>
      <c r="H86" s="173" t="s">
        <v>114</v>
      </c>
      <c r="I86" s="174">
        <v>3.8</v>
      </c>
      <c r="J86" s="174">
        <v>1.45</v>
      </c>
      <c r="K86" s="203">
        <v>1.4</v>
      </c>
      <c r="L86" s="203">
        <v>1.45</v>
      </c>
      <c r="M86" s="191">
        <v>770</v>
      </c>
      <c r="N86" s="349">
        <v>12.234999999999999</v>
      </c>
      <c r="O86" s="176">
        <f>4.055+4.095</f>
        <v>8.1499999999999986</v>
      </c>
      <c r="P86" s="176"/>
      <c r="Q86" s="176"/>
      <c r="R86" s="176" t="s">
        <v>114</v>
      </c>
      <c r="S86" s="209"/>
      <c r="T86" s="178" t="s">
        <v>1210</v>
      </c>
      <c r="U86" s="178"/>
      <c r="V86" s="179"/>
      <c r="W86" s="177">
        <v>44936</v>
      </c>
      <c r="X86" s="177"/>
      <c r="Y86" s="177">
        <v>44936</v>
      </c>
      <c r="Z86" s="177"/>
      <c r="AA86" s="177"/>
      <c r="AB86" s="177">
        <v>44952</v>
      </c>
      <c r="AC86" s="177"/>
      <c r="AD86" s="177">
        <v>44933</v>
      </c>
      <c r="AE86" s="177"/>
      <c r="AF86" s="177"/>
      <c r="AG86" s="180" t="s">
        <v>1507</v>
      </c>
      <c r="AH86" s="173" t="s">
        <v>69</v>
      </c>
      <c r="AI86" s="181" t="s">
        <v>142</v>
      </c>
      <c r="AJ86" s="181" t="s">
        <v>1508</v>
      </c>
      <c r="AK86" s="181"/>
      <c r="AL86" s="181">
        <v>44849</v>
      </c>
      <c r="AM86" s="181"/>
      <c r="AN86" s="181">
        <f t="shared" ca="1" si="10"/>
        <v>44958</v>
      </c>
      <c r="AO86" s="173">
        <f t="shared" ca="1" si="7"/>
        <v>109</v>
      </c>
      <c r="AP86" s="173" t="str">
        <f t="shared" si="11"/>
        <v/>
      </c>
      <c r="AQ86" s="181"/>
      <c r="AR86" s="190" t="s">
        <v>3977</v>
      </c>
      <c r="AS86" s="176">
        <v>24.56</v>
      </c>
      <c r="AT86" s="176">
        <v>24.62</v>
      </c>
      <c r="AU86" s="176">
        <v>24.645000000000003</v>
      </c>
      <c r="AV86" s="176">
        <v>24.650000000000002</v>
      </c>
      <c r="AW86" s="173">
        <f t="shared" ca="1" si="8"/>
        <v>22</v>
      </c>
      <c r="AX86" s="142">
        <v>456</v>
      </c>
      <c r="AZ86" s="142" t="s">
        <v>123</v>
      </c>
    </row>
    <row r="87" spans="2:52" s="142" customFormat="1" ht="21" customHeight="1" x14ac:dyDescent="0.25">
      <c r="B87" s="173" t="str">
        <f t="shared" si="9"/>
        <v>0-304L/2B-1.45X770</v>
      </c>
      <c r="C87" s="201" t="s">
        <v>5078</v>
      </c>
      <c r="D87" s="173" t="s">
        <v>4432</v>
      </c>
      <c r="E87" s="190" t="s">
        <v>3975</v>
      </c>
      <c r="F87" s="201" t="s">
        <v>5086</v>
      </c>
      <c r="G87" s="173" t="s">
        <v>182</v>
      </c>
      <c r="H87" s="173" t="s">
        <v>114</v>
      </c>
      <c r="I87" s="174">
        <v>3.8</v>
      </c>
      <c r="J87" s="174">
        <v>1.45</v>
      </c>
      <c r="K87" s="203">
        <v>1.4</v>
      </c>
      <c r="L87" s="203">
        <v>1.45</v>
      </c>
      <c r="M87" s="191">
        <v>770</v>
      </c>
      <c r="N87" s="350"/>
      <c r="O87" s="176">
        <v>4.0449999999999999</v>
      </c>
      <c r="P87" s="176"/>
      <c r="Q87" s="176">
        <v>0.04</v>
      </c>
      <c r="R87" s="176" t="s">
        <v>114</v>
      </c>
      <c r="S87" s="209" t="s">
        <v>4926</v>
      </c>
      <c r="T87" s="178" t="s">
        <v>1210</v>
      </c>
      <c r="U87" s="178"/>
      <c r="V87" s="179"/>
      <c r="W87" s="177">
        <v>44936</v>
      </c>
      <c r="X87" s="177"/>
      <c r="Y87" s="177">
        <v>44936</v>
      </c>
      <c r="Z87" s="177"/>
      <c r="AA87" s="177"/>
      <c r="AB87" s="177"/>
      <c r="AC87" s="177"/>
      <c r="AD87" s="177">
        <v>44933</v>
      </c>
      <c r="AE87" s="177"/>
      <c r="AF87" s="177"/>
      <c r="AG87" s="180" t="s">
        <v>1507</v>
      </c>
      <c r="AH87" s="173" t="s">
        <v>69</v>
      </c>
      <c r="AI87" s="181" t="s">
        <v>142</v>
      </c>
      <c r="AJ87" s="181" t="s">
        <v>1508</v>
      </c>
      <c r="AK87" s="181"/>
      <c r="AL87" s="181">
        <v>44849</v>
      </c>
      <c r="AM87" s="181"/>
      <c r="AN87" s="181">
        <f t="shared" ca="1" si="10"/>
        <v>44958</v>
      </c>
      <c r="AO87" s="173">
        <f t="shared" ca="1" si="7"/>
        <v>109</v>
      </c>
      <c r="AP87" s="173" t="str">
        <f t="shared" si="11"/>
        <v/>
      </c>
      <c r="AQ87" s="181"/>
      <c r="AR87" s="190" t="s">
        <v>3977</v>
      </c>
      <c r="AS87" s="176">
        <v>24.56</v>
      </c>
      <c r="AT87" s="176">
        <v>24.62</v>
      </c>
      <c r="AU87" s="176">
        <v>24.645000000000003</v>
      </c>
      <c r="AV87" s="176">
        <v>24.650000000000002</v>
      </c>
      <c r="AW87" s="173">
        <f t="shared" ca="1" si="8"/>
        <v>22</v>
      </c>
      <c r="AX87" s="142">
        <v>456</v>
      </c>
      <c r="AZ87" s="142" t="s">
        <v>123</v>
      </c>
    </row>
    <row r="88" spans="2:52" s="142" customFormat="1" ht="21" customHeight="1" x14ac:dyDescent="0.25">
      <c r="B88" s="173" t="str">
        <f t="shared" si="9"/>
        <v>0-304L/2B-0.90X770</v>
      </c>
      <c r="C88" s="201" t="s">
        <v>5078</v>
      </c>
      <c r="D88" s="173" t="s">
        <v>4432</v>
      </c>
      <c r="E88" s="190" t="s">
        <v>4196</v>
      </c>
      <c r="F88" s="201" t="s">
        <v>5087</v>
      </c>
      <c r="G88" s="173" t="s">
        <v>182</v>
      </c>
      <c r="H88" s="173" t="s">
        <v>114</v>
      </c>
      <c r="I88" s="174">
        <v>2.77</v>
      </c>
      <c r="J88" s="174">
        <v>0.9</v>
      </c>
      <c r="K88" s="203"/>
      <c r="L88" s="203"/>
      <c r="M88" s="191">
        <v>770</v>
      </c>
      <c r="N88" s="176">
        <v>5.69</v>
      </c>
      <c r="O88" s="176">
        <v>5.69</v>
      </c>
      <c r="P88" s="176"/>
      <c r="Q88" s="176"/>
      <c r="R88" s="176" t="s">
        <v>114</v>
      </c>
      <c r="S88" s="209" t="s">
        <v>4926</v>
      </c>
      <c r="T88" s="178" t="s">
        <v>1210</v>
      </c>
      <c r="U88" s="178" t="s">
        <v>1540</v>
      </c>
      <c r="V88" s="179"/>
      <c r="W88" s="177">
        <v>44947</v>
      </c>
      <c r="X88" s="177"/>
      <c r="Y88" s="177">
        <v>44948</v>
      </c>
      <c r="Z88" s="177"/>
      <c r="AA88" s="177"/>
      <c r="AB88" s="177"/>
      <c r="AC88" s="177"/>
      <c r="AD88" s="177"/>
      <c r="AE88" s="177"/>
      <c r="AF88" s="177"/>
      <c r="AG88" s="180" t="s">
        <v>1643</v>
      </c>
      <c r="AH88" s="173" t="s">
        <v>69</v>
      </c>
      <c r="AI88" s="181" t="s">
        <v>142</v>
      </c>
      <c r="AJ88" s="181" t="s">
        <v>1584</v>
      </c>
      <c r="AK88" s="181"/>
      <c r="AL88" s="181">
        <v>44914</v>
      </c>
      <c r="AM88" s="181"/>
      <c r="AN88" s="181">
        <f t="shared" ca="1" si="10"/>
        <v>44958</v>
      </c>
      <c r="AO88" s="173">
        <f t="shared" ca="1" si="7"/>
        <v>44</v>
      </c>
      <c r="AP88" s="173" t="str">
        <f t="shared" si="11"/>
        <v/>
      </c>
      <c r="AQ88" s="181"/>
      <c r="AR88" s="190" t="s">
        <v>2695</v>
      </c>
      <c r="AS88" s="176">
        <v>10.54</v>
      </c>
      <c r="AT88" s="176">
        <v>10.55</v>
      </c>
      <c r="AU88" s="176">
        <v>10.574999999999999</v>
      </c>
      <c r="AV88" s="176">
        <v>10.58</v>
      </c>
      <c r="AW88" s="173">
        <f t="shared" ca="1" si="8"/>
        <v>10</v>
      </c>
      <c r="AX88" s="142">
        <v>462</v>
      </c>
      <c r="AZ88" s="142" t="s">
        <v>123</v>
      </c>
    </row>
    <row r="89" spans="2:52" s="142" customFormat="1" ht="21" customHeight="1" x14ac:dyDescent="0.25">
      <c r="B89" s="173" t="str">
        <f t="shared" si="9"/>
        <v>0-304L/2B-0.90X770</v>
      </c>
      <c r="C89" s="201" t="s">
        <v>5088</v>
      </c>
      <c r="D89" s="173" t="s">
        <v>4432</v>
      </c>
      <c r="E89" s="190" t="s">
        <v>4196</v>
      </c>
      <c r="F89" s="201" t="s">
        <v>5089</v>
      </c>
      <c r="G89" s="173" t="s">
        <v>182</v>
      </c>
      <c r="H89" s="173" t="s">
        <v>114</v>
      </c>
      <c r="I89" s="174">
        <v>2.77</v>
      </c>
      <c r="J89" s="174">
        <v>0.9</v>
      </c>
      <c r="K89" s="203"/>
      <c r="L89" s="203"/>
      <c r="M89" s="191">
        <v>770</v>
      </c>
      <c r="N89" s="176">
        <f>10.53-5.69</f>
        <v>4.839999999999999</v>
      </c>
      <c r="O89" s="176">
        <v>4.7699999999999996</v>
      </c>
      <c r="P89" s="176"/>
      <c r="Q89" s="176">
        <v>7.0000000000000007E-2</v>
      </c>
      <c r="R89" s="176" t="s">
        <v>114</v>
      </c>
      <c r="S89" s="209" t="s">
        <v>4926</v>
      </c>
      <c r="T89" s="178" t="s">
        <v>1210</v>
      </c>
      <c r="U89" s="178"/>
      <c r="V89" s="179"/>
      <c r="W89" s="177">
        <v>44947</v>
      </c>
      <c r="X89" s="177"/>
      <c r="Y89" s="177">
        <v>44948</v>
      </c>
      <c r="Z89" s="177"/>
      <c r="AA89" s="177"/>
      <c r="AB89" s="177"/>
      <c r="AC89" s="177"/>
      <c r="AD89" s="177"/>
      <c r="AE89" s="177"/>
      <c r="AF89" s="177"/>
      <c r="AG89" s="180" t="s">
        <v>1643</v>
      </c>
      <c r="AH89" s="173" t="s">
        <v>69</v>
      </c>
      <c r="AI89" s="181" t="s">
        <v>142</v>
      </c>
      <c r="AJ89" s="181" t="s">
        <v>1584</v>
      </c>
      <c r="AK89" s="181"/>
      <c r="AL89" s="181">
        <v>44914</v>
      </c>
      <c r="AM89" s="181"/>
      <c r="AN89" s="181">
        <f t="shared" ca="1" si="10"/>
        <v>44958</v>
      </c>
      <c r="AO89" s="173">
        <f t="shared" ca="1" si="7"/>
        <v>44</v>
      </c>
      <c r="AP89" s="173" t="str">
        <f t="shared" si="11"/>
        <v/>
      </c>
      <c r="AQ89" s="181"/>
      <c r="AR89" s="190" t="s">
        <v>2695</v>
      </c>
      <c r="AS89" s="176">
        <v>10.54</v>
      </c>
      <c r="AT89" s="176">
        <v>10.55</v>
      </c>
      <c r="AU89" s="176">
        <v>10.574999999999999</v>
      </c>
      <c r="AV89" s="176">
        <v>10.58</v>
      </c>
      <c r="AW89" s="173">
        <f t="shared" ca="1" si="8"/>
        <v>10</v>
      </c>
      <c r="AX89" s="142">
        <v>462</v>
      </c>
      <c r="AZ89" s="142" t="s">
        <v>123</v>
      </c>
    </row>
    <row r="90" spans="2:52" s="142" customFormat="1" ht="21" customHeight="1" x14ac:dyDescent="0.25">
      <c r="B90" s="173" t="str">
        <f t="shared" si="9"/>
        <v>0-304L/2B-1.45X767</v>
      </c>
      <c r="C90" s="201" t="s">
        <v>5090</v>
      </c>
      <c r="D90" s="173" t="s">
        <v>836</v>
      </c>
      <c r="E90" s="190" t="s">
        <v>3975</v>
      </c>
      <c r="F90" s="201" t="s">
        <v>4009</v>
      </c>
      <c r="G90" s="173" t="s">
        <v>182</v>
      </c>
      <c r="H90" s="173" t="s">
        <v>114</v>
      </c>
      <c r="I90" s="174">
        <v>3.8</v>
      </c>
      <c r="J90" s="174">
        <v>1.45</v>
      </c>
      <c r="K90" s="203"/>
      <c r="L90" s="203"/>
      <c r="M90" s="191">
        <v>767</v>
      </c>
      <c r="N90" s="176">
        <v>7.2850000000000001</v>
      </c>
      <c r="O90" s="176">
        <v>7.2549999999999999</v>
      </c>
      <c r="P90" s="176"/>
      <c r="Q90" s="176">
        <v>0.03</v>
      </c>
      <c r="R90" s="176" t="s">
        <v>114</v>
      </c>
      <c r="S90" s="209"/>
      <c r="T90" s="178" t="s">
        <v>1210</v>
      </c>
      <c r="U90" s="178"/>
      <c r="V90" s="179"/>
      <c r="W90" s="177">
        <v>44934</v>
      </c>
      <c r="X90" s="177"/>
      <c r="Y90" s="177">
        <v>44935</v>
      </c>
      <c r="Z90" s="177"/>
      <c r="AA90" s="177"/>
      <c r="AB90" s="177">
        <v>44953</v>
      </c>
      <c r="AC90" s="177"/>
      <c r="AD90" s="177">
        <v>44933</v>
      </c>
      <c r="AE90" s="177"/>
      <c r="AF90" s="177"/>
      <c r="AG90" s="180" t="s">
        <v>1507</v>
      </c>
      <c r="AH90" s="173" t="s">
        <v>69</v>
      </c>
      <c r="AI90" s="181" t="s">
        <v>142</v>
      </c>
      <c r="AJ90" s="181" t="s">
        <v>1508</v>
      </c>
      <c r="AK90" s="181"/>
      <c r="AL90" s="181">
        <v>44849</v>
      </c>
      <c r="AM90" s="181"/>
      <c r="AN90" s="181">
        <f t="shared" ca="1" si="10"/>
        <v>44958</v>
      </c>
      <c r="AO90" s="173">
        <f t="shared" ca="1" si="7"/>
        <v>109</v>
      </c>
      <c r="AP90" s="173" t="str">
        <f t="shared" si="11"/>
        <v/>
      </c>
      <c r="AQ90" s="181"/>
      <c r="AR90" s="190" t="s">
        <v>3977</v>
      </c>
      <c r="AS90" s="176">
        <v>24.56</v>
      </c>
      <c r="AT90" s="176">
        <v>24.62</v>
      </c>
      <c r="AU90" s="176">
        <v>24.645000000000003</v>
      </c>
      <c r="AV90" s="176">
        <v>24.650000000000002</v>
      </c>
      <c r="AW90" s="173">
        <f t="shared" ca="1" si="8"/>
        <v>23</v>
      </c>
      <c r="AX90" s="142">
        <v>456</v>
      </c>
      <c r="AZ90" s="142" t="s">
        <v>123</v>
      </c>
    </row>
    <row r="91" spans="2:52" s="142" customFormat="1" ht="21" customHeight="1" x14ac:dyDescent="0.25">
      <c r="B91" s="173" t="str">
        <f t="shared" si="9"/>
        <v>0-304L/2B-1.50X768</v>
      </c>
      <c r="C91" s="201" t="s">
        <v>5090</v>
      </c>
      <c r="D91" s="173" t="s">
        <v>836</v>
      </c>
      <c r="E91" s="190" t="s">
        <v>1569</v>
      </c>
      <c r="F91" s="201" t="s">
        <v>4112</v>
      </c>
      <c r="G91" s="173" t="s">
        <v>182</v>
      </c>
      <c r="H91" s="173" t="s">
        <v>114</v>
      </c>
      <c r="I91" s="174">
        <v>3.81</v>
      </c>
      <c r="J91" s="174">
        <v>1.5</v>
      </c>
      <c r="K91" s="203"/>
      <c r="L91" s="203"/>
      <c r="M91" s="191">
        <v>768</v>
      </c>
      <c r="N91" s="176">
        <v>12.315</v>
      </c>
      <c r="O91" s="176">
        <v>12.3</v>
      </c>
      <c r="P91" s="176"/>
      <c r="Q91" s="176"/>
      <c r="R91" s="176" t="s">
        <v>114</v>
      </c>
      <c r="S91" s="209"/>
      <c r="T91" s="178" t="s">
        <v>1546</v>
      </c>
      <c r="U91" s="178"/>
      <c r="V91" s="179"/>
      <c r="W91" s="177">
        <v>44941</v>
      </c>
      <c r="X91" s="177"/>
      <c r="Y91" s="177">
        <v>44941</v>
      </c>
      <c r="Z91" s="177"/>
      <c r="AA91" s="177"/>
      <c r="AB91" s="177">
        <v>44953</v>
      </c>
      <c r="AC91" s="177"/>
      <c r="AD91" s="177">
        <v>44934</v>
      </c>
      <c r="AE91" s="177"/>
      <c r="AF91" s="177"/>
      <c r="AG91" s="180" t="s">
        <v>1507</v>
      </c>
      <c r="AH91" s="173" t="s">
        <v>69</v>
      </c>
      <c r="AI91" s="181" t="s">
        <v>142</v>
      </c>
      <c r="AJ91" s="181" t="s">
        <v>1508</v>
      </c>
      <c r="AK91" s="181"/>
      <c r="AL91" s="181">
        <v>44849</v>
      </c>
      <c r="AM91" s="181"/>
      <c r="AN91" s="181">
        <f t="shared" ca="1" si="10"/>
        <v>44958</v>
      </c>
      <c r="AO91" s="173">
        <f t="shared" ca="1" si="7"/>
        <v>109</v>
      </c>
      <c r="AP91" s="173" t="str">
        <f t="shared" si="11"/>
        <v/>
      </c>
      <c r="AQ91" s="181"/>
      <c r="AR91" s="190" t="s">
        <v>1572</v>
      </c>
      <c r="AS91" s="176">
        <v>24.53</v>
      </c>
      <c r="AT91" s="176">
        <v>24.59</v>
      </c>
      <c r="AU91" s="176">
        <v>24.615000000000002</v>
      </c>
      <c r="AV91" s="176">
        <v>24.62</v>
      </c>
      <c r="AW91" s="173">
        <f t="shared" ca="1" si="8"/>
        <v>17</v>
      </c>
      <c r="AX91" s="142">
        <v>456</v>
      </c>
      <c r="AZ91" s="142" t="s">
        <v>123</v>
      </c>
    </row>
    <row r="92" spans="2:52" s="142" customFormat="1" ht="21" customHeight="1" x14ac:dyDescent="0.25">
      <c r="B92" s="173" t="str">
        <f t="shared" si="9"/>
        <v>0-304L/2B-1.95X767</v>
      </c>
      <c r="C92" s="201" t="s">
        <v>5090</v>
      </c>
      <c r="D92" s="173" t="s">
        <v>836</v>
      </c>
      <c r="E92" s="190" t="s">
        <v>1519</v>
      </c>
      <c r="F92" s="201" t="s">
        <v>5091</v>
      </c>
      <c r="G92" s="173" t="s">
        <v>182</v>
      </c>
      <c r="H92" s="173" t="s">
        <v>114</v>
      </c>
      <c r="I92" s="174">
        <v>3.8</v>
      </c>
      <c r="J92" s="174">
        <v>1.95</v>
      </c>
      <c r="K92" s="203"/>
      <c r="L92" s="203"/>
      <c r="M92" s="191">
        <v>767</v>
      </c>
      <c r="N92" s="349">
        <v>12.225</v>
      </c>
      <c r="O92" s="176">
        <v>8.2200000000000006</v>
      </c>
      <c r="P92" s="176"/>
      <c r="Q92" s="176"/>
      <c r="R92" s="176" t="s">
        <v>114</v>
      </c>
      <c r="S92" s="209"/>
      <c r="T92" s="178" t="s">
        <v>1210</v>
      </c>
      <c r="U92" s="178"/>
      <c r="V92" s="179"/>
      <c r="W92" s="177">
        <v>44935</v>
      </c>
      <c r="X92" s="177"/>
      <c r="Y92" s="177">
        <v>44935</v>
      </c>
      <c r="Z92" s="177"/>
      <c r="AA92" s="177"/>
      <c r="AB92" s="177">
        <v>44953</v>
      </c>
      <c r="AC92" s="177"/>
      <c r="AD92" s="177">
        <v>44934</v>
      </c>
      <c r="AE92" s="177"/>
      <c r="AF92" s="177"/>
      <c r="AG92" s="180" t="s">
        <v>1507</v>
      </c>
      <c r="AH92" s="173" t="s">
        <v>69</v>
      </c>
      <c r="AI92" s="181" t="s">
        <v>142</v>
      </c>
      <c r="AJ92" s="181" t="s">
        <v>1508</v>
      </c>
      <c r="AK92" s="181"/>
      <c r="AL92" s="181">
        <v>44849</v>
      </c>
      <c r="AM92" s="181"/>
      <c r="AN92" s="181">
        <f t="shared" ca="1" si="10"/>
        <v>44958</v>
      </c>
      <c r="AO92" s="173">
        <f t="shared" ca="1" si="7"/>
        <v>109</v>
      </c>
      <c r="AP92" s="173" t="str">
        <f t="shared" si="11"/>
        <v/>
      </c>
      <c r="AQ92" s="181"/>
      <c r="AR92" s="190" t="s">
        <v>1521</v>
      </c>
      <c r="AS92" s="176">
        <v>24.605</v>
      </c>
      <c r="AT92" s="176">
        <v>24.664999999999999</v>
      </c>
      <c r="AU92" s="176">
        <v>24.69</v>
      </c>
      <c r="AV92" s="176">
        <v>24.695</v>
      </c>
      <c r="AW92" s="173">
        <f t="shared" ca="1" si="8"/>
        <v>23</v>
      </c>
      <c r="AX92" s="142">
        <v>456</v>
      </c>
      <c r="AZ92" s="142" t="s">
        <v>123</v>
      </c>
    </row>
    <row r="93" spans="2:52" s="142" customFormat="1" ht="21" customHeight="1" x14ac:dyDescent="0.25">
      <c r="B93" s="173" t="str">
        <f t="shared" si="9"/>
        <v>0-304L/2B-1.95X767</v>
      </c>
      <c r="C93" s="201" t="s">
        <v>5088</v>
      </c>
      <c r="D93" s="173" t="s">
        <v>4432</v>
      </c>
      <c r="E93" s="190" t="s">
        <v>1519</v>
      </c>
      <c r="F93" s="201" t="s">
        <v>5092</v>
      </c>
      <c r="G93" s="173" t="s">
        <v>182</v>
      </c>
      <c r="H93" s="173" t="s">
        <v>114</v>
      </c>
      <c r="I93" s="174">
        <v>3.8</v>
      </c>
      <c r="J93" s="174">
        <v>1.95</v>
      </c>
      <c r="K93" s="203"/>
      <c r="L93" s="203"/>
      <c r="M93" s="191">
        <v>767</v>
      </c>
      <c r="N93" s="350"/>
      <c r="O93" s="176">
        <v>4.0199999999999996</v>
      </c>
      <c r="P93" s="176"/>
      <c r="Q93" s="176">
        <v>1.4999999999999999E-2</v>
      </c>
      <c r="R93" s="176" t="s">
        <v>114</v>
      </c>
      <c r="S93" s="209"/>
      <c r="T93" s="178" t="s">
        <v>115</v>
      </c>
      <c r="U93" s="178"/>
      <c r="V93" s="179"/>
      <c r="W93" s="177">
        <v>44935</v>
      </c>
      <c r="X93" s="177"/>
      <c r="Y93" s="177">
        <v>44935</v>
      </c>
      <c r="Z93" s="177"/>
      <c r="AA93" s="177"/>
      <c r="AB93" s="177"/>
      <c r="AC93" s="177"/>
      <c r="AD93" s="177">
        <v>44934</v>
      </c>
      <c r="AE93" s="177"/>
      <c r="AF93" s="177"/>
      <c r="AG93" s="180" t="s">
        <v>1507</v>
      </c>
      <c r="AH93" s="173" t="s">
        <v>69</v>
      </c>
      <c r="AI93" s="181" t="s">
        <v>142</v>
      </c>
      <c r="AJ93" s="181" t="s">
        <v>1508</v>
      </c>
      <c r="AK93" s="181"/>
      <c r="AL93" s="181">
        <v>44849</v>
      </c>
      <c r="AM93" s="181"/>
      <c r="AN93" s="181">
        <f t="shared" ca="1" si="10"/>
        <v>44958</v>
      </c>
      <c r="AO93" s="173">
        <f t="shared" ca="1" si="7"/>
        <v>109</v>
      </c>
      <c r="AP93" s="173" t="str">
        <f t="shared" si="11"/>
        <v/>
      </c>
      <c r="AQ93" s="181"/>
      <c r="AR93" s="190" t="s">
        <v>1521</v>
      </c>
      <c r="AS93" s="176">
        <v>24.605</v>
      </c>
      <c r="AT93" s="176">
        <v>24.664999999999999</v>
      </c>
      <c r="AU93" s="176">
        <v>24.69</v>
      </c>
      <c r="AV93" s="176">
        <v>24.695</v>
      </c>
      <c r="AW93" s="173">
        <f t="shared" ca="1" si="8"/>
        <v>23</v>
      </c>
      <c r="AX93" s="142">
        <v>456</v>
      </c>
      <c r="AZ93" s="142" t="s">
        <v>123</v>
      </c>
    </row>
    <row r="94" spans="2:52" s="142" customFormat="1" ht="21" customHeight="1" x14ac:dyDescent="0.25">
      <c r="B94" s="173" t="str">
        <f t="shared" si="9"/>
        <v>0-304L/2B-1.20X768</v>
      </c>
      <c r="C94" s="201" t="s">
        <v>5088</v>
      </c>
      <c r="D94" s="173" t="s">
        <v>4432</v>
      </c>
      <c r="E94" s="190" t="s">
        <v>1544</v>
      </c>
      <c r="F94" s="201" t="s">
        <v>5093</v>
      </c>
      <c r="G94" s="173" t="s">
        <v>182</v>
      </c>
      <c r="H94" s="173" t="s">
        <v>114</v>
      </c>
      <c r="I94" s="174">
        <v>3.79</v>
      </c>
      <c r="J94" s="174">
        <v>1.2</v>
      </c>
      <c r="K94" s="203"/>
      <c r="L94" s="203"/>
      <c r="M94" s="191">
        <v>768</v>
      </c>
      <c r="N94" s="349">
        <v>12.23</v>
      </c>
      <c r="O94" s="176">
        <v>6.1550000000000002</v>
      </c>
      <c r="P94" s="176"/>
      <c r="Q94" s="176"/>
      <c r="R94" s="176" t="s">
        <v>114</v>
      </c>
      <c r="S94" s="209" t="s">
        <v>4938</v>
      </c>
      <c r="T94" s="178" t="s">
        <v>1546</v>
      </c>
      <c r="U94" s="178"/>
      <c r="V94" s="179"/>
      <c r="W94" s="177">
        <v>44941</v>
      </c>
      <c r="X94" s="177"/>
      <c r="Y94" s="177">
        <v>44941</v>
      </c>
      <c r="Z94" s="177"/>
      <c r="AA94" s="177"/>
      <c r="AB94" s="177"/>
      <c r="AC94" s="177">
        <v>44935</v>
      </c>
      <c r="AD94" s="177">
        <v>44934</v>
      </c>
      <c r="AE94" s="177"/>
      <c r="AF94" s="177"/>
      <c r="AG94" s="180" t="s">
        <v>1507</v>
      </c>
      <c r="AH94" s="173" t="s">
        <v>69</v>
      </c>
      <c r="AI94" s="181" t="s">
        <v>142</v>
      </c>
      <c r="AJ94" s="181" t="s">
        <v>1508</v>
      </c>
      <c r="AK94" s="181"/>
      <c r="AL94" s="181">
        <v>44849</v>
      </c>
      <c r="AM94" s="181"/>
      <c r="AN94" s="181">
        <f t="shared" ca="1" si="10"/>
        <v>44958</v>
      </c>
      <c r="AO94" s="173">
        <f t="shared" ca="1" si="7"/>
        <v>109</v>
      </c>
      <c r="AP94" s="173" t="str">
        <f t="shared" si="11"/>
        <v/>
      </c>
      <c r="AQ94" s="181"/>
      <c r="AR94" s="190" t="s">
        <v>1548</v>
      </c>
      <c r="AS94" s="176">
        <v>24.535</v>
      </c>
      <c r="AT94" s="176">
        <v>24.594999999999999</v>
      </c>
      <c r="AU94" s="176">
        <v>24.62</v>
      </c>
      <c r="AV94" s="176">
        <v>24.625</v>
      </c>
      <c r="AW94" s="173">
        <f t="shared" ca="1" si="8"/>
        <v>17</v>
      </c>
      <c r="AX94" s="142">
        <v>456</v>
      </c>
      <c r="AZ94" s="142" t="s">
        <v>123</v>
      </c>
    </row>
    <row r="95" spans="2:52" s="142" customFormat="1" ht="21" customHeight="1" x14ac:dyDescent="0.25">
      <c r="B95" s="173" t="str">
        <f t="shared" si="9"/>
        <v>0-304L/2B-1.20X768</v>
      </c>
      <c r="C95" s="201" t="s">
        <v>5090</v>
      </c>
      <c r="D95" s="173" t="s">
        <v>836</v>
      </c>
      <c r="E95" s="190" t="s">
        <v>1544</v>
      </c>
      <c r="F95" s="201" t="s">
        <v>1545</v>
      </c>
      <c r="G95" s="173" t="s">
        <v>182</v>
      </c>
      <c r="H95" s="173" t="s">
        <v>114</v>
      </c>
      <c r="I95" s="174">
        <v>3.79</v>
      </c>
      <c r="J95" s="174">
        <v>1.2</v>
      </c>
      <c r="K95" s="203"/>
      <c r="L95" s="203"/>
      <c r="M95" s="191">
        <v>768</v>
      </c>
      <c r="N95" s="350"/>
      <c r="O95" s="176">
        <v>5.99</v>
      </c>
      <c r="P95" s="176"/>
      <c r="Q95" s="176"/>
      <c r="R95" s="176" t="s">
        <v>114</v>
      </c>
      <c r="S95" s="209"/>
      <c r="T95" s="178" t="s">
        <v>1546</v>
      </c>
      <c r="U95" s="178"/>
      <c r="V95" s="179"/>
      <c r="W95" s="177">
        <v>44941</v>
      </c>
      <c r="X95" s="177"/>
      <c r="Y95" s="177">
        <v>44941</v>
      </c>
      <c r="Z95" s="177"/>
      <c r="AA95" s="177"/>
      <c r="AB95" s="177">
        <v>44953</v>
      </c>
      <c r="AC95" s="177">
        <v>44935</v>
      </c>
      <c r="AD95" s="177">
        <v>44934</v>
      </c>
      <c r="AE95" s="177"/>
      <c r="AF95" s="177"/>
      <c r="AG95" s="180" t="s">
        <v>1507</v>
      </c>
      <c r="AH95" s="173" t="s">
        <v>69</v>
      </c>
      <c r="AI95" s="181" t="s">
        <v>142</v>
      </c>
      <c r="AJ95" s="181" t="s">
        <v>1508</v>
      </c>
      <c r="AK95" s="181"/>
      <c r="AL95" s="181">
        <v>44849</v>
      </c>
      <c r="AM95" s="181"/>
      <c r="AN95" s="181">
        <f t="shared" ca="1" si="10"/>
        <v>44958</v>
      </c>
      <c r="AO95" s="173">
        <f t="shared" ca="1" si="7"/>
        <v>109</v>
      </c>
      <c r="AP95" s="173" t="str">
        <f t="shared" si="11"/>
        <v/>
      </c>
      <c r="AQ95" s="181"/>
      <c r="AR95" s="190" t="s">
        <v>1548</v>
      </c>
      <c r="AS95" s="176">
        <v>24.535</v>
      </c>
      <c r="AT95" s="176">
        <v>24.594999999999999</v>
      </c>
      <c r="AU95" s="176">
        <v>24.62</v>
      </c>
      <c r="AV95" s="176">
        <v>24.625</v>
      </c>
      <c r="AW95" s="173">
        <f t="shared" ca="1" si="8"/>
        <v>17</v>
      </c>
      <c r="AX95" s="142">
        <v>456</v>
      </c>
      <c r="AZ95" s="142" t="s">
        <v>123</v>
      </c>
    </row>
    <row r="96" spans="2:52" s="142" customFormat="1" ht="21" customHeight="1" x14ac:dyDescent="0.25">
      <c r="B96" s="173" t="str">
        <f t="shared" si="9"/>
        <v>0-J3/2B-0.91X620</v>
      </c>
      <c r="C96" s="201" t="s">
        <v>5094</v>
      </c>
      <c r="D96" s="173" t="s">
        <v>776</v>
      </c>
      <c r="E96" s="190" t="s">
        <v>854</v>
      </c>
      <c r="F96" s="201" t="s">
        <v>855</v>
      </c>
      <c r="G96" s="173" t="s">
        <v>34</v>
      </c>
      <c r="H96" s="173" t="s">
        <v>114</v>
      </c>
      <c r="I96" s="174">
        <v>2.4</v>
      </c>
      <c r="J96" s="174">
        <v>0.91</v>
      </c>
      <c r="K96" s="203"/>
      <c r="L96" s="203"/>
      <c r="M96" s="191">
        <v>620</v>
      </c>
      <c r="N96" s="176">
        <v>9.875</v>
      </c>
      <c r="O96" s="176">
        <v>9.875</v>
      </c>
      <c r="P96" s="176"/>
      <c r="Q96" s="176"/>
      <c r="R96" s="176" t="s">
        <v>114</v>
      </c>
      <c r="S96" s="209"/>
      <c r="T96" s="178" t="s">
        <v>314</v>
      </c>
      <c r="U96" s="178" t="s">
        <v>361</v>
      </c>
      <c r="V96" s="179"/>
      <c r="W96" s="177">
        <v>44887</v>
      </c>
      <c r="X96" s="177"/>
      <c r="Y96" s="177"/>
      <c r="Z96" s="177">
        <v>44888</v>
      </c>
      <c r="AA96" s="177"/>
      <c r="AB96" s="177">
        <v>44955</v>
      </c>
      <c r="AC96" s="177"/>
      <c r="AD96" s="177"/>
      <c r="AE96" s="177"/>
      <c r="AF96" s="177"/>
      <c r="AG96" s="180"/>
      <c r="AH96" s="173" t="s">
        <v>69</v>
      </c>
      <c r="AI96" s="181" t="s">
        <v>119</v>
      </c>
      <c r="AJ96" s="181" t="s">
        <v>856</v>
      </c>
      <c r="AK96" s="181">
        <v>44675</v>
      </c>
      <c r="AL96" s="181">
        <v>44699</v>
      </c>
      <c r="AM96" s="181"/>
      <c r="AN96" s="181">
        <f t="shared" ca="1" si="10"/>
        <v>44958</v>
      </c>
      <c r="AO96" s="173">
        <f t="shared" ca="1" si="7"/>
        <v>259</v>
      </c>
      <c r="AP96" s="173" t="str">
        <f t="shared" si="11"/>
        <v/>
      </c>
      <c r="AQ96" s="181" t="s">
        <v>857</v>
      </c>
      <c r="AR96" s="190" t="s">
        <v>858</v>
      </c>
      <c r="AS96" s="176">
        <v>9.9580000000000002</v>
      </c>
      <c r="AT96" s="176">
        <v>9.9779999999999998</v>
      </c>
      <c r="AU96" s="176">
        <v>10.002999999999998</v>
      </c>
      <c r="AV96" s="176">
        <v>10.007999999999999</v>
      </c>
      <c r="AW96" s="173" t="str">
        <f t="shared" si="8"/>
        <v/>
      </c>
      <c r="AX96" s="142">
        <v>436</v>
      </c>
      <c r="AZ96" s="142" t="s">
        <v>123</v>
      </c>
    </row>
    <row r="97" spans="2:52" s="142" customFormat="1" ht="21" customHeight="1" x14ac:dyDescent="0.25">
      <c r="B97" s="173" t="str">
        <f t="shared" si="9"/>
        <v>0-304L/2B-1.15X773</v>
      </c>
      <c r="C97" s="201" t="s">
        <v>5095</v>
      </c>
      <c r="D97" s="173" t="s">
        <v>836</v>
      </c>
      <c r="E97" s="190" t="s">
        <v>2575</v>
      </c>
      <c r="F97" s="201" t="s">
        <v>2576</v>
      </c>
      <c r="G97" s="173" t="s">
        <v>182</v>
      </c>
      <c r="H97" s="173" t="s">
        <v>114</v>
      </c>
      <c r="I97" s="174">
        <v>3.49</v>
      </c>
      <c r="J97" s="174">
        <v>1.1499999999999999</v>
      </c>
      <c r="K97" s="203"/>
      <c r="L97" s="203"/>
      <c r="M97" s="191">
        <v>773</v>
      </c>
      <c r="N97" s="176">
        <v>10.59</v>
      </c>
      <c r="O97" s="176">
        <v>10.505000000000001</v>
      </c>
      <c r="P97" s="176"/>
      <c r="Q97" s="176">
        <v>8.5000000000000006E-2</v>
      </c>
      <c r="R97" s="176" t="s">
        <v>114</v>
      </c>
      <c r="S97" s="209"/>
      <c r="T97" s="178" t="s">
        <v>361</v>
      </c>
      <c r="U97" s="178"/>
      <c r="V97" s="179"/>
      <c r="W97" s="177">
        <v>44922</v>
      </c>
      <c r="X97" s="177"/>
      <c r="Y97" s="177">
        <v>44922</v>
      </c>
      <c r="Z97" s="177"/>
      <c r="AA97" s="177"/>
      <c r="AB97" s="177">
        <v>44955</v>
      </c>
      <c r="AC97" s="177"/>
      <c r="AD97" s="177"/>
      <c r="AE97" s="177"/>
      <c r="AF97" s="177"/>
      <c r="AG97" s="180" t="s">
        <v>2479</v>
      </c>
      <c r="AH97" s="173" t="s">
        <v>69</v>
      </c>
      <c r="AI97" s="181" t="s">
        <v>142</v>
      </c>
      <c r="AJ97" s="181" t="s">
        <v>1584</v>
      </c>
      <c r="AK97" s="181"/>
      <c r="AL97" s="181">
        <v>44914</v>
      </c>
      <c r="AM97" s="181"/>
      <c r="AN97" s="181">
        <f t="shared" ca="1" si="10"/>
        <v>44958</v>
      </c>
      <c r="AO97" s="173">
        <f t="shared" ca="1" si="7"/>
        <v>44</v>
      </c>
      <c r="AP97" s="173" t="str">
        <f t="shared" si="11"/>
        <v/>
      </c>
      <c r="AQ97" s="181"/>
      <c r="AR97" s="190" t="s">
        <v>2577</v>
      </c>
      <c r="AS97" s="176">
        <v>10.585000000000001</v>
      </c>
      <c r="AT97" s="176">
        <v>10.595000000000001</v>
      </c>
      <c r="AU97" s="176">
        <v>10.62</v>
      </c>
      <c r="AV97" s="176">
        <v>10.625</v>
      </c>
      <c r="AW97" s="173">
        <f t="shared" ca="1" si="8"/>
        <v>36</v>
      </c>
      <c r="AX97" s="142">
        <v>462</v>
      </c>
      <c r="AZ97" s="142" t="s">
        <v>123</v>
      </c>
    </row>
    <row r="98" spans="2:52" s="142" customFormat="1" ht="21" customHeight="1" x14ac:dyDescent="0.25">
      <c r="B98" s="173" t="str">
        <f t="shared" si="9"/>
        <v>0-304/2B-1.00X770</v>
      </c>
      <c r="C98" s="201" t="s">
        <v>5095</v>
      </c>
      <c r="D98" s="173" t="s">
        <v>836</v>
      </c>
      <c r="E98" s="190" t="s">
        <v>4170</v>
      </c>
      <c r="F98" s="201" t="s">
        <v>5096</v>
      </c>
      <c r="G98" s="173">
        <v>304</v>
      </c>
      <c r="H98" s="173" t="s">
        <v>114</v>
      </c>
      <c r="I98" s="174">
        <v>2.9</v>
      </c>
      <c r="J98" s="174">
        <v>1</v>
      </c>
      <c r="K98" s="203"/>
      <c r="L98" s="203"/>
      <c r="M98" s="191">
        <v>770</v>
      </c>
      <c r="N98" s="349">
        <v>10.225</v>
      </c>
      <c r="O98" s="176">
        <v>4.71</v>
      </c>
      <c r="P98" s="176"/>
      <c r="Q98" s="176"/>
      <c r="R98" s="176" t="s">
        <v>114</v>
      </c>
      <c r="S98" s="209"/>
      <c r="T98" s="178" t="s">
        <v>1540</v>
      </c>
      <c r="U98" s="178"/>
      <c r="V98" s="179"/>
      <c r="W98" s="177">
        <v>44945</v>
      </c>
      <c r="X98" s="177"/>
      <c r="Y98" s="177">
        <v>44945</v>
      </c>
      <c r="Z98" s="177"/>
      <c r="AA98" s="177"/>
      <c r="AB98" s="177">
        <v>44955</v>
      </c>
      <c r="AC98" s="177"/>
      <c r="AD98" s="177"/>
      <c r="AE98" s="177"/>
      <c r="AF98" s="177"/>
      <c r="AG98" s="180" t="s">
        <v>2448</v>
      </c>
      <c r="AH98" s="173" t="s">
        <v>69</v>
      </c>
      <c r="AI98" s="181" t="s">
        <v>142</v>
      </c>
      <c r="AJ98" s="181" t="s">
        <v>1584</v>
      </c>
      <c r="AK98" s="181"/>
      <c r="AL98" s="181">
        <v>44914</v>
      </c>
      <c r="AM98" s="181"/>
      <c r="AN98" s="181">
        <f t="shared" ca="1" si="10"/>
        <v>44958</v>
      </c>
      <c r="AO98" s="173">
        <f t="shared" ca="1" si="7"/>
        <v>44</v>
      </c>
      <c r="AP98" s="173" t="str">
        <f t="shared" si="11"/>
        <v/>
      </c>
      <c r="AQ98" s="181"/>
      <c r="AR98" s="190" t="s">
        <v>2637</v>
      </c>
      <c r="AS98" s="176">
        <v>10.220000000000001</v>
      </c>
      <c r="AT98" s="176">
        <v>10.23</v>
      </c>
      <c r="AU98" s="176">
        <v>10.254999999999999</v>
      </c>
      <c r="AV98" s="176">
        <v>10.26</v>
      </c>
      <c r="AW98" s="173">
        <f t="shared" ca="1" si="8"/>
        <v>13</v>
      </c>
      <c r="AX98" s="142">
        <v>462</v>
      </c>
      <c r="AZ98" s="142" t="s">
        <v>123</v>
      </c>
    </row>
    <row r="99" spans="2:52" s="142" customFormat="1" ht="21" customHeight="1" x14ac:dyDescent="0.25">
      <c r="B99" s="173" t="str">
        <f t="shared" si="9"/>
        <v>0-304/2B-1.00X770</v>
      </c>
      <c r="C99" s="201" t="s">
        <v>5097</v>
      </c>
      <c r="D99" s="173" t="s">
        <v>4432</v>
      </c>
      <c r="E99" s="190" t="s">
        <v>4170</v>
      </c>
      <c r="F99" s="201" t="s">
        <v>5098</v>
      </c>
      <c r="G99" s="173">
        <v>304</v>
      </c>
      <c r="H99" s="173" t="s">
        <v>114</v>
      </c>
      <c r="I99" s="174">
        <v>2.9</v>
      </c>
      <c r="J99" s="174">
        <v>1</v>
      </c>
      <c r="K99" s="203"/>
      <c r="L99" s="203"/>
      <c r="M99" s="191">
        <v>770</v>
      </c>
      <c r="N99" s="350"/>
      <c r="O99" s="176">
        <v>5.4450000000000003</v>
      </c>
      <c r="P99" s="176"/>
      <c r="Q99" s="176">
        <v>7.0000000000000007E-2</v>
      </c>
      <c r="R99" s="176" t="s">
        <v>114</v>
      </c>
      <c r="S99" s="209" t="s">
        <v>4961</v>
      </c>
      <c r="T99" s="178" t="s">
        <v>1540</v>
      </c>
      <c r="U99" s="178"/>
      <c r="V99" s="179"/>
      <c r="W99" s="177">
        <v>44945</v>
      </c>
      <c r="X99" s="177"/>
      <c r="Y99" s="177">
        <v>44945</v>
      </c>
      <c r="Z99" s="177"/>
      <c r="AA99" s="177"/>
      <c r="AB99" s="177"/>
      <c r="AC99" s="177"/>
      <c r="AD99" s="177"/>
      <c r="AE99" s="177"/>
      <c r="AF99" s="177"/>
      <c r="AG99" s="180" t="s">
        <v>2448</v>
      </c>
      <c r="AH99" s="173" t="s">
        <v>69</v>
      </c>
      <c r="AI99" s="181" t="s">
        <v>142</v>
      </c>
      <c r="AJ99" s="181" t="s">
        <v>1584</v>
      </c>
      <c r="AK99" s="181"/>
      <c r="AL99" s="181">
        <v>44914</v>
      </c>
      <c r="AM99" s="181"/>
      <c r="AN99" s="181">
        <f t="shared" ca="1" si="10"/>
        <v>44958</v>
      </c>
      <c r="AO99" s="173">
        <f t="shared" ca="1" si="7"/>
        <v>44</v>
      </c>
      <c r="AP99" s="173" t="str">
        <f t="shared" si="11"/>
        <v/>
      </c>
      <c r="AQ99" s="181"/>
      <c r="AR99" s="190" t="s">
        <v>2637</v>
      </c>
      <c r="AS99" s="176">
        <v>10.220000000000001</v>
      </c>
      <c r="AT99" s="176">
        <v>10.23</v>
      </c>
      <c r="AU99" s="176">
        <v>10.254999999999999</v>
      </c>
      <c r="AV99" s="176">
        <v>10.26</v>
      </c>
      <c r="AW99" s="173">
        <f t="shared" ca="1" si="8"/>
        <v>13</v>
      </c>
      <c r="AX99" s="142">
        <v>462</v>
      </c>
      <c r="AZ99" s="142" t="s">
        <v>123</v>
      </c>
    </row>
    <row r="100" spans="2:52" s="142" customFormat="1" ht="21" customHeight="1" x14ac:dyDescent="0.25">
      <c r="B100" s="173" t="str">
        <f t="shared" si="9"/>
        <v>0-304L/2B-0.98X765</v>
      </c>
      <c r="C100" s="201" t="s">
        <v>5094</v>
      </c>
      <c r="D100" s="173" t="s">
        <v>1237</v>
      </c>
      <c r="E100" s="190" t="s">
        <v>2352</v>
      </c>
      <c r="F100" s="201" t="s">
        <v>2353</v>
      </c>
      <c r="G100" s="173" t="s">
        <v>182</v>
      </c>
      <c r="H100" s="173" t="s">
        <v>114</v>
      </c>
      <c r="I100" s="174">
        <v>2</v>
      </c>
      <c r="J100" s="174">
        <v>0.98</v>
      </c>
      <c r="K100" s="203"/>
      <c r="L100" s="203"/>
      <c r="M100" s="191">
        <v>765</v>
      </c>
      <c r="N100" s="176">
        <v>10.52</v>
      </c>
      <c r="O100" s="176">
        <v>10.46</v>
      </c>
      <c r="P100" s="176"/>
      <c r="Q100" s="176">
        <v>0.06</v>
      </c>
      <c r="R100" s="176" t="s">
        <v>114</v>
      </c>
      <c r="S100" s="209"/>
      <c r="T100" s="178" t="s">
        <v>1386</v>
      </c>
      <c r="U100" s="178"/>
      <c r="V100" s="179"/>
      <c r="W100" s="177" t="s">
        <v>2354</v>
      </c>
      <c r="X100" s="177"/>
      <c r="Y100" s="177">
        <v>44940</v>
      </c>
      <c r="Z100" s="177">
        <v>44955</v>
      </c>
      <c r="AA100" s="177">
        <v>44950</v>
      </c>
      <c r="AB100" s="177">
        <v>44955</v>
      </c>
      <c r="AC100" s="177"/>
      <c r="AD100" s="177"/>
      <c r="AE100" s="177"/>
      <c r="AF100" s="177"/>
      <c r="AG100" s="180" t="s">
        <v>1345</v>
      </c>
      <c r="AH100" s="173" t="s">
        <v>69</v>
      </c>
      <c r="AI100" s="181" t="s">
        <v>142</v>
      </c>
      <c r="AJ100" s="181" t="s">
        <v>1653</v>
      </c>
      <c r="AK100" s="181"/>
      <c r="AL100" s="181">
        <v>44880</v>
      </c>
      <c r="AM100" s="181"/>
      <c r="AN100" s="181">
        <f t="shared" ca="1" si="10"/>
        <v>44958</v>
      </c>
      <c r="AO100" s="173">
        <f t="shared" ca="1" si="7"/>
        <v>78</v>
      </c>
      <c r="AP100" s="173">
        <f t="shared" ca="1" si="11"/>
        <v>8</v>
      </c>
      <c r="AQ100" s="181"/>
      <c r="AR100" s="190" t="s">
        <v>2355</v>
      </c>
      <c r="AS100" s="176">
        <v>10.61</v>
      </c>
      <c r="AT100" s="176">
        <v>10.62</v>
      </c>
      <c r="AU100" s="176">
        <v>10.644999999999998</v>
      </c>
      <c r="AV100" s="176">
        <v>10.649999999999999</v>
      </c>
      <c r="AW100" s="173">
        <f t="shared" ca="1" si="8"/>
        <v>18</v>
      </c>
      <c r="AX100" s="142">
        <v>459</v>
      </c>
      <c r="AZ100" s="142" t="s">
        <v>123</v>
      </c>
    </row>
    <row r="101" spans="2:52" s="142" customFormat="1" ht="21" customHeight="1" x14ac:dyDescent="0.25">
      <c r="B101" s="173" t="str">
        <f t="shared" si="9"/>
        <v>0-304/2B-1.10X776</v>
      </c>
      <c r="C101" s="201" t="s">
        <v>5099</v>
      </c>
      <c r="D101" s="173" t="s">
        <v>836</v>
      </c>
      <c r="E101" s="190" t="s">
        <v>5100</v>
      </c>
      <c r="F101" s="201" t="s">
        <v>5101</v>
      </c>
      <c r="G101" s="173">
        <v>304</v>
      </c>
      <c r="H101" s="173" t="s">
        <v>114</v>
      </c>
      <c r="I101" s="174">
        <v>2.89</v>
      </c>
      <c r="J101" s="174">
        <v>1.1000000000000001</v>
      </c>
      <c r="K101" s="203">
        <v>1.07</v>
      </c>
      <c r="L101" s="203">
        <v>1.0900000000000001</v>
      </c>
      <c r="M101" s="191">
        <v>776</v>
      </c>
      <c r="N101" s="176">
        <v>12.12</v>
      </c>
      <c r="O101" s="176">
        <f>4.02+4.085+3.965</f>
        <v>12.07</v>
      </c>
      <c r="P101" s="176"/>
      <c r="Q101" s="176"/>
      <c r="R101" s="176" t="s">
        <v>114</v>
      </c>
      <c r="S101" s="209"/>
      <c r="T101" s="178" t="s">
        <v>4358</v>
      </c>
      <c r="U101" s="178"/>
      <c r="V101" s="179"/>
      <c r="W101" s="177">
        <v>44899</v>
      </c>
      <c r="X101" s="177"/>
      <c r="Y101" s="177">
        <v>44899</v>
      </c>
      <c r="Z101" s="177"/>
      <c r="AA101" s="177"/>
      <c r="AB101" s="177">
        <v>44956</v>
      </c>
      <c r="AC101" s="177"/>
      <c r="AD101" s="177"/>
      <c r="AE101" s="177"/>
      <c r="AF101" s="177"/>
      <c r="AG101" s="180" t="s">
        <v>1609</v>
      </c>
      <c r="AH101" s="173" t="s">
        <v>69</v>
      </c>
      <c r="AI101" s="181" t="s">
        <v>142</v>
      </c>
      <c r="AJ101" s="181" t="s">
        <v>2283</v>
      </c>
      <c r="AK101" s="181"/>
      <c r="AL101" s="181">
        <v>44880</v>
      </c>
      <c r="AM101" s="181"/>
      <c r="AN101" s="181">
        <f t="shared" ca="1" si="10"/>
        <v>44958</v>
      </c>
      <c r="AO101" s="173">
        <f t="shared" ca="1" si="7"/>
        <v>78</v>
      </c>
      <c r="AP101" s="173" t="str">
        <f t="shared" si="11"/>
        <v/>
      </c>
      <c r="AQ101" s="181"/>
      <c r="AR101" s="190" t="s">
        <v>4778</v>
      </c>
      <c r="AS101" s="176">
        <v>12.1</v>
      </c>
      <c r="AT101" s="176">
        <v>12.11</v>
      </c>
      <c r="AU101" s="176">
        <v>12.134999999999998</v>
      </c>
      <c r="AV101" s="176">
        <v>12.139999999999999</v>
      </c>
      <c r="AW101" s="173">
        <f t="shared" ca="1" si="8"/>
        <v>59</v>
      </c>
      <c r="AX101" s="142">
        <v>459</v>
      </c>
      <c r="AZ101" s="142" t="s">
        <v>123</v>
      </c>
    </row>
    <row r="102" spans="2:52" s="142" customFormat="1" ht="21" customHeight="1" x14ac:dyDescent="0.25">
      <c r="B102" s="173" t="str">
        <f t="shared" si="9"/>
        <v>0-304L/2B-0.90X771</v>
      </c>
      <c r="C102" s="201" t="s">
        <v>5099</v>
      </c>
      <c r="D102" s="173" t="s">
        <v>836</v>
      </c>
      <c r="E102" s="190" t="s">
        <v>4228</v>
      </c>
      <c r="F102" s="201" t="s">
        <v>5102</v>
      </c>
      <c r="G102" s="173" t="s">
        <v>182</v>
      </c>
      <c r="H102" s="173" t="s">
        <v>114</v>
      </c>
      <c r="I102" s="174">
        <v>2.77</v>
      </c>
      <c r="J102" s="174">
        <v>0.9</v>
      </c>
      <c r="K102" s="203">
        <v>0.88</v>
      </c>
      <c r="L102" s="203">
        <v>0.91</v>
      </c>
      <c r="M102" s="191">
        <v>771</v>
      </c>
      <c r="N102" s="176">
        <v>10.52</v>
      </c>
      <c r="O102" s="176">
        <f>4.84+5.62</f>
        <v>10.46</v>
      </c>
      <c r="P102" s="176"/>
      <c r="Q102" s="176"/>
      <c r="R102" s="176" t="s">
        <v>114</v>
      </c>
      <c r="S102" s="209"/>
      <c r="T102" s="178" t="s">
        <v>1540</v>
      </c>
      <c r="U102" s="178"/>
      <c r="V102" s="179"/>
      <c r="W102" s="177">
        <v>44950</v>
      </c>
      <c r="X102" s="177"/>
      <c r="Y102" s="177">
        <v>44950</v>
      </c>
      <c r="Z102" s="177"/>
      <c r="AA102" s="177"/>
      <c r="AB102" s="177">
        <v>44956</v>
      </c>
      <c r="AC102" s="177"/>
      <c r="AD102" s="177"/>
      <c r="AE102" s="177"/>
      <c r="AF102" s="177"/>
      <c r="AG102" s="180" t="s">
        <v>1643</v>
      </c>
      <c r="AH102" s="173" t="s">
        <v>69</v>
      </c>
      <c r="AI102" s="181" t="s">
        <v>142</v>
      </c>
      <c r="AJ102" s="181" t="s">
        <v>1584</v>
      </c>
      <c r="AK102" s="181"/>
      <c r="AL102" s="181">
        <v>44914</v>
      </c>
      <c r="AM102" s="181"/>
      <c r="AN102" s="181">
        <f t="shared" ca="1" si="10"/>
        <v>44958</v>
      </c>
      <c r="AO102" s="173">
        <f t="shared" ca="1" si="7"/>
        <v>44</v>
      </c>
      <c r="AP102" s="173" t="str">
        <f t="shared" si="11"/>
        <v/>
      </c>
      <c r="AQ102" s="181"/>
      <c r="AR102" s="190" t="s">
        <v>4213</v>
      </c>
      <c r="AS102" s="176">
        <v>10.55</v>
      </c>
      <c r="AT102" s="176">
        <v>10.56</v>
      </c>
      <c r="AU102" s="176">
        <v>10.584999999999999</v>
      </c>
      <c r="AV102" s="176">
        <v>10.59</v>
      </c>
      <c r="AW102" s="173">
        <f t="shared" ca="1" si="8"/>
        <v>8</v>
      </c>
      <c r="AX102" s="142">
        <v>462</v>
      </c>
      <c r="AZ102" s="142" t="s">
        <v>123</v>
      </c>
    </row>
    <row r="103" spans="2:52" s="142" customFormat="1" ht="21" customHeight="1" x14ac:dyDescent="0.25">
      <c r="B103" s="173" t="str">
        <f t="shared" si="9"/>
        <v>0-304L/2B-1.10X767</v>
      </c>
      <c r="C103" s="201" t="s">
        <v>5099</v>
      </c>
      <c r="D103" s="173" t="s">
        <v>836</v>
      </c>
      <c r="E103" s="190" t="s">
        <v>5103</v>
      </c>
      <c r="F103" s="201" t="s">
        <v>5104</v>
      </c>
      <c r="G103" s="173" t="s">
        <v>182</v>
      </c>
      <c r="H103" s="173" t="s">
        <v>114</v>
      </c>
      <c r="I103" s="174">
        <v>2.89</v>
      </c>
      <c r="J103" s="174">
        <v>1.1000000000000001</v>
      </c>
      <c r="K103" s="203">
        <v>1.06</v>
      </c>
      <c r="L103" s="203">
        <v>1.1000000000000001</v>
      </c>
      <c r="M103" s="191">
        <v>767</v>
      </c>
      <c r="N103" s="176">
        <v>10.27</v>
      </c>
      <c r="O103" s="176">
        <v>10.244999999999999</v>
      </c>
      <c r="P103" s="176"/>
      <c r="Q103" s="176">
        <v>2.5000000000000001E-2</v>
      </c>
      <c r="R103" s="176" t="s">
        <v>114</v>
      </c>
      <c r="S103" s="209"/>
      <c r="T103" s="178" t="s">
        <v>4358</v>
      </c>
      <c r="U103" s="178"/>
      <c r="V103" s="179"/>
      <c r="W103" s="177">
        <v>44900</v>
      </c>
      <c r="X103" s="177"/>
      <c r="Y103" s="177">
        <v>44900</v>
      </c>
      <c r="Z103" s="177"/>
      <c r="AA103" s="177"/>
      <c r="AB103" s="177">
        <v>44956</v>
      </c>
      <c r="AC103" s="177"/>
      <c r="AD103" s="177"/>
      <c r="AE103" s="177"/>
      <c r="AF103" s="177"/>
      <c r="AG103" s="180" t="s">
        <v>4789</v>
      </c>
      <c r="AH103" s="173" t="s">
        <v>69</v>
      </c>
      <c r="AI103" s="181" t="s">
        <v>142</v>
      </c>
      <c r="AJ103" s="181" t="s">
        <v>1594</v>
      </c>
      <c r="AK103" s="181"/>
      <c r="AL103" s="181">
        <v>44849</v>
      </c>
      <c r="AM103" s="181"/>
      <c r="AN103" s="181">
        <f t="shared" ca="1" si="10"/>
        <v>44958</v>
      </c>
      <c r="AO103" s="173">
        <f t="shared" ca="1" si="7"/>
        <v>109</v>
      </c>
      <c r="AP103" s="173" t="str">
        <f t="shared" si="11"/>
        <v/>
      </c>
      <c r="AQ103" s="181"/>
      <c r="AR103" s="190" t="s">
        <v>5105</v>
      </c>
      <c r="AS103" s="176">
        <v>10.335000000000001</v>
      </c>
      <c r="AT103" s="176">
        <v>10.345000000000001</v>
      </c>
      <c r="AU103" s="176">
        <v>10.37</v>
      </c>
      <c r="AV103" s="176">
        <v>10.375</v>
      </c>
      <c r="AW103" s="173">
        <f t="shared" ca="1" si="8"/>
        <v>58</v>
      </c>
      <c r="AX103" s="142">
        <v>456</v>
      </c>
      <c r="AZ103" s="142" t="s">
        <v>123</v>
      </c>
    </row>
    <row r="104" spans="2:52" s="142" customFormat="1" ht="21" customHeight="1" x14ac:dyDescent="0.25">
      <c r="B104" s="173" t="str">
        <f t="shared" si="9"/>
        <v>0-J3/2B-0.73X620</v>
      </c>
      <c r="C104" s="201" t="s">
        <v>5099</v>
      </c>
      <c r="D104" s="173" t="s">
        <v>836</v>
      </c>
      <c r="E104" s="190" t="s">
        <v>5106</v>
      </c>
      <c r="F104" s="201" t="s">
        <v>5107</v>
      </c>
      <c r="G104" s="173" t="s">
        <v>34</v>
      </c>
      <c r="H104" s="173" t="s">
        <v>114</v>
      </c>
      <c r="I104" s="174">
        <v>2.2000000000000002</v>
      </c>
      <c r="J104" s="174">
        <v>0.73</v>
      </c>
      <c r="K104" s="203">
        <v>0.71</v>
      </c>
      <c r="L104" s="203">
        <v>0.73</v>
      </c>
      <c r="M104" s="191">
        <v>620</v>
      </c>
      <c r="N104" s="176">
        <v>10.015000000000001</v>
      </c>
      <c r="O104" s="176">
        <v>9.9149999999999991</v>
      </c>
      <c r="P104" s="176"/>
      <c r="Q104" s="176">
        <v>0.08</v>
      </c>
      <c r="R104" s="176" t="s">
        <v>114</v>
      </c>
      <c r="S104" s="209"/>
      <c r="T104" s="178" t="s">
        <v>361</v>
      </c>
      <c r="U104" s="178"/>
      <c r="V104" s="179"/>
      <c r="W104" s="177">
        <v>44829</v>
      </c>
      <c r="X104" s="177"/>
      <c r="Y104" s="177">
        <v>44832</v>
      </c>
      <c r="Z104" s="177"/>
      <c r="AA104" s="177"/>
      <c r="AB104" s="177">
        <v>44956</v>
      </c>
      <c r="AC104" s="177"/>
      <c r="AD104" s="177"/>
      <c r="AE104" s="177"/>
      <c r="AF104" s="177"/>
      <c r="AG104" s="180"/>
      <c r="AH104" s="173" t="s">
        <v>69</v>
      </c>
      <c r="AI104" s="181" t="s">
        <v>248</v>
      </c>
      <c r="AJ104" s="181" t="s">
        <v>1145</v>
      </c>
      <c r="AK104" s="181">
        <v>44752</v>
      </c>
      <c r="AL104" s="181">
        <v>44778</v>
      </c>
      <c r="AM104" s="181"/>
      <c r="AN104" s="181">
        <f t="shared" ca="1" si="10"/>
        <v>44958</v>
      </c>
      <c r="AO104" s="173">
        <f t="shared" ca="1" si="7"/>
        <v>180</v>
      </c>
      <c r="AP104" s="173" t="str">
        <f t="shared" si="11"/>
        <v/>
      </c>
      <c r="AQ104" s="181"/>
      <c r="AR104" s="190" t="s">
        <v>5108</v>
      </c>
      <c r="AS104" s="176">
        <v>10.028</v>
      </c>
      <c r="AT104" s="176">
        <f>AS104+0.04</f>
        <v>10.068</v>
      </c>
      <c r="AU104" s="176">
        <v>10.092999999999998</v>
      </c>
      <c r="AV104" s="176">
        <v>10.097999999999999</v>
      </c>
      <c r="AW104" s="173">
        <f t="shared" ca="1" si="8"/>
        <v>126</v>
      </c>
      <c r="AX104" s="142">
        <v>445</v>
      </c>
      <c r="AZ104" s="142" t="s">
        <v>123</v>
      </c>
    </row>
    <row r="105" spans="2:52" s="142" customFormat="1" ht="21" customHeight="1" x14ac:dyDescent="0.25">
      <c r="B105" s="173" t="str">
        <f t="shared" si="9"/>
        <v>0-J3/2B-0.91X620</v>
      </c>
      <c r="C105" s="201" t="s">
        <v>5099</v>
      </c>
      <c r="D105" s="173" t="s">
        <v>836</v>
      </c>
      <c r="E105" s="190" t="s">
        <v>5109</v>
      </c>
      <c r="F105" s="201" t="s">
        <v>5110</v>
      </c>
      <c r="G105" s="173" t="s">
        <v>34</v>
      </c>
      <c r="H105" s="173" t="s">
        <v>114</v>
      </c>
      <c r="I105" s="174">
        <v>2.4</v>
      </c>
      <c r="J105" s="174">
        <v>0.91</v>
      </c>
      <c r="K105" s="203">
        <v>0.88</v>
      </c>
      <c r="L105" s="203">
        <v>0.91</v>
      </c>
      <c r="M105" s="191">
        <v>620</v>
      </c>
      <c r="N105" s="176">
        <v>9.8949999999999996</v>
      </c>
      <c r="O105" s="176">
        <v>9.8699999999999992</v>
      </c>
      <c r="P105" s="176"/>
      <c r="Q105" s="176">
        <v>2.5000000000000001E-2</v>
      </c>
      <c r="R105" s="176" t="s">
        <v>114</v>
      </c>
      <c r="S105" s="209"/>
      <c r="T105" s="178" t="s">
        <v>361</v>
      </c>
      <c r="U105" s="178"/>
      <c r="V105" s="179"/>
      <c r="W105" s="177">
        <v>44887</v>
      </c>
      <c r="X105" s="177"/>
      <c r="Y105" s="177"/>
      <c r="Z105" s="177">
        <v>44888</v>
      </c>
      <c r="AA105" s="177"/>
      <c r="AB105" s="177">
        <v>44956</v>
      </c>
      <c r="AC105" s="177"/>
      <c r="AD105" s="177"/>
      <c r="AE105" s="177"/>
      <c r="AF105" s="177"/>
      <c r="AG105" s="180"/>
      <c r="AH105" s="173" t="s">
        <v>69</v>
      </c>
      <c r="AI105" s="181" t="s">
        <v>119</v>
      </c>
      <c r="AJ105" s="181" t="s">
        <v>2387</v>
      </c>
      <c r="AK105" s="181">
        <v>44848</v>
      </c>
      <c r="AL105" s="181">
        <v>44880</v>
      </c>
      <c r="AM105" s="181"/>
      <c r="AN105" s="181">
        <f t="shared" ca="1" si="10"/>
        <v>44958</v>
      </c>
      <c r="AO105" s="173">
        <f t="shared" ca="1" si="7"/>
        <v>78</v>
      </c>
      <c r="AP105" s="173" t="str">
        <f t="shared" si="11"/>
        <v/>
      </c>
      <c r="AQ105" s="181" t="s">
        <v>2413</v>
      </c>
      <c r="AR105" s="190" t="s">
        <v>2424</v>
      </c>
      <c r="AS105" s="176">
        <v>10.119999999999999</v>
      </c>
      <c r="AT105" s="176">
        <v>10.139999999999999</v>
      </c>
      <c r="AU105" s="176">
        <v>10.164999999999997</v>
      </c>
      <c r="AV105" s="176">
        <v>10.169999999999998</v>
      </c>
      <c r="AW105" s="173" t="str">
        <f t="shared" si="8"/>
        <v/>
      </c>
      <c r="AX105" s="142">
        <v>461</v>
      </c>
      <c r="AZ105" s="142" t="s">
        <v>123</v>
      </c>
    </row>
    <row r="106" spans="2:52" s="142" customFormat="1" ht="21" customHeight="1" x14ac:dyDescent="0.25">
      <c r="B106" s="173" t="str">
        <f t="shared" si="9"/>
        <v>0-J3/2B-0.91X620</v>
      </c>
      <c r="C106" s="201" t="s">
        <v>5099</v>
      </c>
      <c r="D106" s="173" t="s">
        <v>836</v>
      </c>
      <c r="E106" s="190" t="s">
        <v>875</v>
      </c>
      <c r="F106" s="201" t="s">
        <v>876</v>
      </c>
      <c r="G106" s="173" t="s">
        <v>34</v>
      </c>
      <c r="H106" s="173" t="s">
        <v>114</v>
      </c>
      <c r="I106" s="174">
        <v>2.4</v>
      </c>
      <c r="J106" s="174">
        <v>0.91</v>
      </c>
      <c r="K106" s="203">
        <v>0.88</v>
      </c>
      <c r="L106" s="203">
        <v>0.91</v>
      </c>
      <c r="M106" s="191">
        <v>620</v>
      </c>
      <c r="N106" s="176">
        <v>9.85</v>
      </c>
      <c r="O106" s="176">
        <v>9.83</v>
      </c>
      <c r="P106" s="176"/>
      <c r="Q106" s="176">
        <v>0.02</v>
      </c>
      <c r="R106" s="176" t="s">
        <v>114</v>
      </c>
      <c r="S106" s="209"/>
      <c r="T106" s="178" t="s">
        <v>361</v>
      </c>
      <c r="U106" s="178"/>
      <c r="V106" s="179"/>
      <c r="W106" s="177">
        <v>44888</v>
      </c>
      <c r="X106" s="177"/>
      <c r="Y106" s="177"/>
      <c r="Z106" s="177">
        <v>44889</v>
      </c>
      <c r="AA106" s="177"/>
      <c r="AB106" s="177">
        <v>44956</v>
      </c>
      <c r="AC106" s="177"/>
      <c r="AD106" s="177"/>
      <c r="AE106" s="177"/>
      <c r="AF106" s="177"/>
      <c r="AG106" s="180"/>
      <c r="AH106" s="173" t="s">
        <v>69</v>
      </c>
      <c r="AI106" s="181" t="s">
        <v>119</v>
      </c>
      <c r="AJ106" s="181" t="s">
        <v>856</v>
      </c>
      <c r="AK106" s="181">
        <v>44675</v>
      </c>
      <c r="AL106" s="181">
        <v>44699</v>
      </c>
      <c r="AM106" s="181"/>
      <c r="AN106" s="181">
        <f t="shared" ca="1" si="10"/>
        <v>44958</v>
      </c>
      <c r="AO106" s="173">
        <f t="shared" ca="1" si="7"/>
        <v>259</v>
      </c>
      <c r="AP106" s="173" t="str">
        <f t="shared" si="11"/>
        <v/>
      </c>
      <c r="AQ106" s="181" t="s">
        <v>877</v>
      </c>
      <c r="AR106" s="190" t="s">
        <v>814</v>
      </c>
      <c r="AS106" s="176">
        <v>10.130000000000001</v>
      </c>
      <c r="AT106" s="176">
        <v>10.15</v>
      </c>
      <c r="AU106" s="176">
        <v>10.174999999999999</v>
      </c>
      <c r="AV106" s="176">
        <v>10.18</v>
      </c>
      <c r="AW106" s="173" t="str">
        <f t="shared" si="8"/>
        <v/>
      </c>
      <c r="AX106" s="142">
        <v>436</v>
      </c>
      <c r="AZ106" s="142" t="s">
        <v>123</v>
      </c>
    </row>
    <row r="107" spans="2:52" s="142" customFormat="1" ht="21" customHeight="1" x14ac:dyDescent="0.25">
      <c r="B107" s="173" t="str">
        <f t="shared" si="9"/>
        <v>0-304L/2B-0.90X643</v>
      </c>
      <c r="C107" s="201" t="s">
        <v>5111</v>
      </c>
      <c r="D107" s="173" t="s">
        <v>836</v>
      </c>
      <c r="E107" s="190" t="s">
        <v>4291</v>
      </c>
      <c r="F107" s="201" t="s">
        <v>4292</v>
      </c>
      <c r="G107" s="173" t="s">
        <v>182</v>
      </c>
      <c r="H107" s="173" t="s">
        <v>114</v>
      </c>
      <c r="I107" s="174">
        <v>2.87</v>
      </c>
      <c r="J107" s="174">
        <v>0.9</v>
      </c>
      <c r="K107" s="203">
        <v>0.87</v>
      </c>
      <c r="L107" s="203">
        <v>0.9</v>
      </c>
      <c r="M107" s="191">
        <v>643</v>
      </c>
      <c r="N107" s="176">
        <v>10.76</v>
      </c>
      <c r="O107" s="176">
        <v>10.705</v>
      </c>
      <c r="P107" s="176"/>
      <c r="Q107" s="176"/>
      <c r="R107" s="176" t="s">
        <v>114</v>
      </c>
      <c r="S107" s="209"/>
      <c r="T107" s="178" t="s">
        <v>1210</v>
      </c>
      <c r="U107" s="178"/>
      <c r="V107" s="179"/>
      <c r="W107" s="177">
        <v>44954</v>
      </c>
      <c r="X107" s="177"/>
      <c r="Y107" s="177">
        <v>44954</v>
      </c>
      <c r="Z107" s="177"/>
      <c r="AA107" s="177"/>
      <c r="AB107" s="177">
        <v>44957</v>
      </c>
      <c r="AC107" s="177"/>
      <c r="AD107" s="177"/>
      <c r="AE107" s="177"/>
      <c r="AF107" s="177"/>
      <c r="AG107" s="180" t="s">
        <v>1593</v>
      </c>
      <c r="AH107" s="173" t="s">
        <v>69</v>
      </c>
      <c r="AI107" s="181" t="s">
        <v>142</v>
      </c>
      <c r="AJ107" s="181" t="s">
        <v>1594</v>
      </c>
      <c r="AK107" s="181"/>
      <c r="AL107" s="181">
        <v>44849</v>
      </c>
      <c r="AM107" s="181"/>
      <c r="AN107" s="181">
        <f t="shared" ca="1" si="10"/>
        <v>44958</v>
      </c>
      <c r="AO107" s="173">
        <f t="shared" ca="1" si="7"/>
        <v>109</v>
      </c>
      <c r="AP107" s="173" t="str">
        <f t="shared" si="11"/>
        <v/>
      </c>
      <c r="AQ107" s="181"/>
      <c r="AR107" s="190" t="s">
        <v>1628</v>
      </c>
      <c r="AS107" s="176">
        <v>10.74</v>
      </c>
      <c r="AT107" s="176">
        <v>10.75</v>
      </c>
      <c r="AU107" s="176">
        <v>10.774999999999999</v>
      </c>
      <c r="AV107" s="176">
        <v>10.78</v>
      </c>
      <c r="AW107" s="173" t="str">
        <f t="shared" ref="AW107:AW113" si="12">IF(ISNUMBER(X107)=TRUE,AN107-X107,IF(X107="","",(AN107)-(MID(RIGHT(X107,10),4,2)&amp;"/"&amp;LEFT((RIGHT(X107,10)),2)&amp;"/"&amp;RIGHT(X107,4))))</f>
        <v/>
      </c>
      <c r="AX107" s="142">
        <v>456</v>
      </c>
      <c r="AZ107" s="142" t="s">
        <v>123</v>
      </c>
    </row>
    <row r="108" spans="2:52" s="142" customFormat="1" ht="21" customHeight="1" x14ac:dyDescent="0.25">
      <c r="B108" s="173" t="str">
        <f t="shared" si="9"/>
        <v>0-304/2B-1.00X643</v>
      </c>
      <c r="C108" s="201" t="s">
        <v>5112</v>
      </c>
      <c r="D108" s="173" t="s">
        <v>4432</v>
      </c>
      <c r="E108" s="190" t="s">
        <v>4293</v>
      </c>
      <c r="F108" s="201" t="s">
        <v>5113</v>
      </c>
      <c r="G108" s="173">
        <v>304</v>
      </c>
      <c r="H108" s="173" t="s">
        <v>114</v>
      </c>
      <c r="I108" s="174">
        <v>3.01</v>
      </c>
      <c r="J108" s="174">
        <v>1</v>
      </c>
      <c r="K108" s="203">
        <v>0.95</v>
      </c>
      <c r="L108" s="203">
        <v>0.96</v>
      </c>
      <c r="M108" s="191">
        <v>643</v>
      </c>
      <c r="N108" s="176">
        <v>10.664999999999999</v>
      </c>
      <c r="O108" s="176">
        <f>5.1+5.51</f>
        <v>10.61</v>
      </c>
      <c r="P108" s="176"/>
      <c r="Q108" s="176"/>
      <c r="R108" s="176" t="s">
        <v>114</v>
      </c>
      <c r="S108" s="209" t="s">
        <v>5114</v>
      </c>
      <c r="T108" s="178" t="s">
        <v>5115</v>
      </c>
      <c r="U108" s="178"/>
      <c r="V108" s="179"/>
      <c r="W108" s="177">
        <v>44954</v>
      </c>
      <c r="X108" s="177"/>
      <c r="Y108" s="177">
        <v>44955</v>
      </c>
      <c r="Z108" s="177"/>
      <c r="AA108" s="177"/>
      <c r="AB108" s="177"/>
      <c r="AC108" s="177"/>
      <c r="AD108" s="177"/>
      <c r="AE108" s="177"/>
      <c r="AF108" s="177"/>
      <c r="AG108" s="180" t="s">
        <v>1643</v>
      </c>
      <c r="AH108" s="173" t="s">
        <v>69</v>
      </c>
      <c r="AI108" s="181" t="s">
        <v>142</v>
      </c>
      <c r="AJ108" s="181" t="s">
        <v>1657</v>
      </c>
      <c r="AK108" s="181"/>
      <c r="AL108" s="181">
        <v>44849</v>
      </c>
      <c r="AM108" s="181"/>
      <c r="AN108" s="181">
        <f t="shared" ca="1" si="10"/>
        <v>44958</v>
      </c>
      <c r="AO108" s="173">
        <f t="shared" ca="1" si="7"/>
        <v>109</v>
      </c>
      <c r="AP108" s="173" t="str">
        <f t="shared" si="11"/>
        <v/>
      </c>
      <c r="AQ108" s="181"/>
      <c r="AR108" s="190" t="s">
        <v>4244</v>
      </c>
      <c r="AS108" s="176">
        <v>10.664999999999999</v>
      </c>
      <c r="AT108" s="176">
        <v>10.675000000000001</v>
      </c>
      <c r="AU108" s="176">
        <v>10.7</v>
      </c>
      <c r="AV108" s="176">
        <v>10.705</v>
      </c>
      <c r="AW108" s="173" t="str">
        <f t="shared" si="12"/>
        <v/>
      </c>
      <c r="AX108" s="142">
        <v>456</v>
      </c>
      <c r="AZ108" s="142" t="s">
        <v>123</v>
      </c>
    </row>
    <row r="109" spans="2:52" s="142" customFormat="1" ht="21" customHeight="1" x14ac:dyDescent="0.25">
      <c r="B109" s="173" t="str">
        <f t="shared" si="9"/>
        <v>0-304/2B-1.15X641</v>
      </c>
      <c r="C109" s="201" t="s">
        <v>5111</v>
      </c>
      <c r="D109" s="173" t="s">
        <v>836</v>
      </c>
      <c r="E109" s="190" t="s">
        <v>4300</v>
      </c>
      <c r="F109" s="201" t="s">
        <v>4301</v>
      </c>
      <c r="G109" s="173">
        <v>304</v>
      </c>
      <c r="H109" s="173" t="s">
        <v>114</v>
      </c>
      <c r="I109" s="174">
        <v>2.93</v>
      </c>
      <c r="J109" s="174">
        <v>1.1499999999999999</v>
      </c>
      <c r="K109" s="203">
        <v>1.1299999999999999</v>
      </c>
      <c r="L109" s="203">
        <v>1.1499999999999999</v>
      </c>
      <c r="M109" s="191">
        <v>641</v>
      </c>
      <c r="N109" s="176">
        <v>10.574999999999999</v>
      </c>
      <c r="O109" s="176">
        <v>10.52</v>
      </c>
      <c r="P109" s="176"/>
      <c r="Q109" s="176"/>
      <c r="R109" s="176" t="s">
        <v>114</v>
      </c>
      <c r="S109" s="209"/>
      <c r="T109" s="178" t="s">
        <v>1210</v>
      </c>
      <c r="U109" s="178"/>
      <c r="V109" s="179"/>
      <c r="W109" s="177">
        <v>44955</v>
      </c>
      <c r="X109" s="177"/>
      <c r="Y109" s="177">
        <v>44955</v>
      </c>
      <c r="Z109" s="177"/>
      <c r="AA109" s="177"/>
      <c r="AB109" s="177">
        <v>44957</v>
      </c>
      <c r="AC109" s="177"/>
      <c r="AD109" s="177"/>
      <c r="AE109" s="177"/>
      <c r="AF109" s="177"/>
      <c r="AG109" s="180" t="s">
        <v>1593</v>
      </c>
      <c r="AH109" s="173" t="s">
        <v>69</v>
      </c>
      <c r="AI109" s="181" t="s">
        <v>142</v>
      </c>
      <c r="AJ109" s="181" t="s">
        <v>1594</v>
      </c>
      <c r="AK109" s="181"/>
      <c r="AL109" s="181">
        <v>44849</v>
      </c>
      <c r="AM109" s="181"/>
      <c r="AN109" s="181">
        <f t="shared" ca="1" si="10"/>
        <v>44958</v>
      </c>
      <c r="AO109" s="173">
        <f t="shared" ca="1" si="7"/>
        <v>109</v>
      </c>
      <c r="AP109" s="173" t="str">
        <f t="shared" si="11"/>
        <v/>
      </c>
      <c r="AQ109" s="181"/>
      <c r="AR109" s="190" t="s">
        <v>4032</v>
      </c>
      <c r="AS109" s="176">
        <v>10.58</v>
      </c>
      <c r="AT109" s="176">
        <v>10.59</v>
      </c>
      <c r="AU109" s="176">
        <v>10.614999999999998</v>
      </c>
      <c r="AV109" s="176">
        <v>10.62</v>
      </c>
      <c r="AW109" s="173" t="str">
        <f t="shared" si="12"/>
        <v/>
      </c>
      <c r="AX109" s="142">
        <v>456</v>
      </c>
      <c r="AZ109" s="142" t="s">
        <v>123</v>
      </c>
    </row>
    <row r="110" spans="2:52" s="142" customFormat="1" ht="21" customHeight="1" x14ac:dyDescent="0.25">
      <c r="B110" s="173" t="str">
        <f t="shared" si="9"/>
        <v>0-304L/2B-1.15X643</v>
      </c>
      <c r="C110" s="201" t="s">
        <v>5112</v>
      </c>
      <c r="D110" s="173" t="s">
        <v>4432</v>
      </c>
      <c r="E110" s="190" t="s">
        <v>4277</v>
      </c>
      <c r="F110" s="201" t="s">
        <v>4278</v>
      </c>
      <c r="G110" s="173" t="s">
        <v>182</v>
      </c>
      <c r="H110" s="173" t="s">
        <v>114</v>
      </c>
      <c r="I110" s="174">
        <v>2.99</v>
      </c>
      <c r="J110" s="174">
        <v>1.1499999999999999</v>
      </c>
      <c r="K110" s="203">
        <v>1.1399999999999999</v>
      </c>
      <c r="L110" s="203">
        <v>1.1599999999999999</v>
      </c>
      <c r="M110" s="191">
        <v>643</v>
      </c>
      <c r="N110" s="176">
        <v>10.715</v>
      </c>
      <c r="O110" s="176">
        <v>10.625</v>
      </c>
      <c r="P110" s="176"/>
      <c r="Q110" s="176">
        <v>0.09</v>
      </c>
      <c r="R110" s="176" t="s">
        <v>114</v>
      </c>
      <c r="S110" s="209" t="s">
        <v>4936</v>
      </c>
      <c r="T110" s="178" t="s">
        <v>1210</v>
      </c>
      <c r="U110" s="178"/>
      <c r="V110" s="179"/>
      <c r="W110" s="177">
        <v>44953</v>
      </c>
      <c r="X110" s="177"/>
      <c r="Y110" s="177">
        <v>44953</v>
      </c>
      <c r="Z110" s="177"/>
      <c r="AA110" s="177"/>
      <c r="AB110" s="177"/>
      <c r="AC110" s="177"/>
      <c r="AD110" s="177"/>
      <c r="AE110" s="177"/>
      <c r="AF110" s="177"/>
      <c r="AG110" s="180" t="s">
        <v>1593</v>
      </c>
      <c r="AH110" s="173" t="s">
        <v>69</v>
      </c>
      <c r="AI110" s="181" t="s">
        <v>142</v>
      </c>
      <c r="AJ110" s="181" t="s">
        <v>1657</v>
      </c>
      <c r="AK110" s="181"/>
      <c r="AL110" s="181">
        <v>44849</v>
      </c>
      <c r="AM110" s="181"/>
      <c r="AN110" s="181">
        <f t="shared" ca="1" si="10"/>
        <v>44958</v>
      </c>
      <c r="AO110" s="173">
        <f t="shared" ca="1" si="7"/>
        <v>109</v>
      </c>
      <c r="AP110" s="173" t="str">
        <f t="shared" si="11"/>
        <v/>
      </c>
      <c r="AQ110" s="181"/>
      <c r="AR110" s="190" t="s">
        <v>1716</v>
      </c>
      <c r="AS110" s="176">
        <v>10.695</v>
      </c>
      <c r="AT110" s="176">
        <v>10.705</v>
      </c>
      <c r="AU110" s="176">
        <v>10.729999999999999</v>
      </c>
      <c r="AV110" s="176">
        <v>10.734999999999999</v>
      </c>
      <c r="AW110" s="173" t="str">
        <f t="shared" si="12"/>
        <v/>
      </c>
      <c r="AX110" s="142">
        <v>456</v>
      </c>
      <c r="AZ110" s="142" t="s">
        <v>123</v>
      </c>
    </row>
    <row r="111" spans="2:52" s="142" customFormat="1" ht="21" customHeight="1" x14ac:dyDescent="0.25">
      <c r="B111" s="173" t="str">
        <f t="shared" si="9"/>
        <v>0-304L/2B-0.90X643</v>
      </c>
      <c r="C111" s="201" t="s">
        <v>5112</v>
      </c>
      <c r="D111" s="173" t="s">
        <v>4432</v>
      </c>
      <c r="E111" s="190" t="s">
        <v>4273</v>
      </c>
      <c r="F111" s="201" t="s">
        <v>4274</v>
      </c>
      <c r="G111" s="173" t="s">
        <v>182</v>
      </c>
      <c r="H111" s="173" t="s">
        <v>114</v>
      </c>
      <c r="I111" s="174">
        <v>2.88</v>
      </c>
      <c r="J111" s="174">
        <v>0.9</v>
      </c>
      <c r="K111" s="203">
        <v>0.87</v>
      </c>
      <c r="L111" s="203">
        <v>0.89</v>
      </c>
      <c r="M111" s="191">
        <v>643</v>
      </c>
      <c r="N111" s="176">
        <v>10.775</v>
      </c>
      <c r="O111" s="176">
        <v>10.734999999999999</v>
      </c>
      <c r="P111" s="176"/>
      <c r="Q111" s="176">
        <v>0.04</v>
      </c>
      <c r="R111" s="176" t="s">
        <v>114</v>
      </c>
      <c r="S111" s="209" t="s">
        <v>4936</v>
      </c>
      <c r="T111" s="178" t="s">
        <v>1210</v>
      </c>
      <c r="U111" s="178"/>
      <c r="V111" s="179"/>
      <c r="W111" s="177">
        <v>44953</v>
      </c>
      <c r="X111" s="177"/>
      <c r="Y111" s="177">
        <v>44953</v>
      </c>
      <c r="Z111" s="177"/>
      <c r="AA111" s="177"/>
      <c r="AB111" s="177"/>
      <c r="AC111" s="177"/>
      <c r="AD111" s="177"/>
      <c r="AE111" s="177"/>
      <c r="AF111" s="177"/>
      <c r="AG111" s="180" t="s">
        <v>1643</v>
      </c>
      <c r="AH111" s="173" t="s">
        <v>69</v>
      </c>
      <c r="AI111" s="181" t="s">
        <v>142</v>
      </c>
      <c r="AJ111" s="181" t="s">
        <v>1657</v>
      </c>
      <c r="AK111" s="181"/>
      <c r="AL111" s="181">
        <v>44849</v>
      </c>
      <c r="AM111" s="181"/>
      <c r="AN111" s="181">
        <f t="shared" ca="1" si="10"/>
        <v>44958</v>
      </c>
      <c r="AO111" s="173">
        <f t="shared" ca="1" si="7"/>
        <v>109</v>
      </c>
      <c r="AP111" s="173" t="str">
        <f t="shared" si="11"/>
        <v/>
      </c>
      <c r="AQ111" s="181"/>
      <c r="AR111" s="190" t="s">
        <v>1784</v>
      </c>
      <c r="AS111" s="176">
        <v>10.755000000000001</v>
      </c>
      <c r="AT111" s="176">
        <v>10.765000000000001</v>
      </c>
      <c r="AU111" s="176">
        <v>10.79</v>
      </c>
      <c r="AV111" s="176">
        <v>10.795</v>
      </c>
      <c r="AW111" s="173" t="str">
        <f t="shared" si="12"/>
        <v/>
      </c>
      <c r="AX111" s="142">
        <v>456</v>
      </c>
      <c r="AZ111" s="142" t="s">
        <v>123</v>
      </c>
    </row>
    <row r="112" spans="2:52" s="142" customFormat="1" ht="21" customHeight="1" x14ac:dyDescent="0.25">
      <c r="B112" s="173" t="str">
        <f t="shared" si="9"/>
        <v>0-304L/2B-1.15X643</v>
      </c>
      <c r="C112" s="201" t="s">
        <v>5112</v>
      </c>
      <c r="D112" s="173" t="s">
        <v>4432</v>
      </c>
      <c r="E112" s="190" t="s">
        <v>4310</v>
      </c>
      <c r="F112" s="201" t="s">
        <v>4311</v>
      </c>
      <c r="G112" s="173" t="s">
        <v>182</v>
      </c>
      <c r="H112" s="173" t="s">
        <v>114</v>
      </c>
      <c r="I112" s="174">
        <v>2.9</v>
      </c>
      <c r="J112" s="174">
        <v>1.1499999999999999</v>
      </c>
      <c r="K112" s="203">
        <v>1.1299999999999999</v>
      </c>
      <c r="L112" s="203">
        <v>1.1499999999999999</v>
      </c>
      <c r="M112" s="191">
        <v>643</v>
      </c>
      <c r="N112" s="176">
        <v>10.324999999999999</v>
      </c>
      <c r="O112" s="176">
        <v>10.275</v>
      </c>
      <c r="P112" s="176"/>
      <c r="Q112" s="176">
        <v>0.05</v>
      </c>
      <c r="R112" s="176" t="s">
        <v>114</v>
      </c>
      <c r="S112" s="209" t="s">
        <v>4936</v>
      </c>
      <c r="T112" s="178" t="s">
        <v>1210</v>
      </c>
      <c r="U112" s="178"/>
      <c r="V112" s="179"/>
      <c r="W112" s="177">
        <v>44956</v>
      </c>
      <c r="X112" s="177"/>
      <c r="Y112" s="177">
        <v>44956</v>
      </c>
      <c r="Z112" s="177"/>
      <c r="AA112" s="177"/>
      <c r="AB112" s="177"/>
      <c r="AC112" s="177"/>
      <c r="AD112" s="177"/>
      <c r="AE112" s="177"/>
      <c r="AF112" s="177"/>
      <c r="AG112" s="180" t="s">
        <v>1593</v>
      </c>
      <c r="AH112" s="173" t="s">
        <v>69</v>
      </c>
      <c r="AI112" s="181" t="s">
        <v>142</v>
      </c>
      <c r="AJ112" s="181" t="s">
        <v>1594</v>
      </c>
      <c r="AK112" s="181"/>
      <c r="AL112" s="181">
        <v>44849</v>
      </c>
      <c r="AM112" s="181"/>
      <c r="AN112" s="181">
        <f t="shared" ca="1" si="10"/>
        <v>44958</v>
      </c>
      <c r="AO112" s="173">
        <f t="shared" ca="1" si="7"/>
        <v>109</v>
      </c>
      <c r="AP112" s="173" t="str">
        <f t="shared" si="11"/>
        <v/>
      </c>
      <c r="AQ112" s="181"/>
      <c r="AR112" s="190" t="s">
        <v>1632</v>
      </c>
      <c r="AS112" s="176">
        <v>10.315</v>
      </c>
      <c r="AT112" s="176">
        <v>10.324999999999999</v>
      </c>
      <c r="AU112" s="176">
        <v>10.349999999999998</v>
      </c>
      <c r="AV112" s="176">
        <v>10.354999999999999</v>
      </c>
      <c r="AW112" s="173" t="str">
        <f t="shared" si="12"/>
        <v/>
      </c>
      <c r="AX112" s="142">
        <v>456</v>
      </c>
      <c r="AZ112" s="142" t="s">
        <v>123</v>
      </c>
    </row>
    <row r="113" spans="1:60" s="142" customFormat="1" ht="21" customHeight="1" x14ac:dyDescent="0.25">
      <c r="B113" s="173" t="str">
        <f t="shared" si="9"/>
        <v>0-304/2B-1.15X642</v>
      </c>
      <c r="C113" s="201" t="s">
        <v>5112</v>
      </c>
      <c r="D113" s="173" t="s">
        <v>4432</v>
      </c>
      <c r="E113" s="190" t="s">
        <v>4271</v>
      </c>
      <c r="F113" s="201" t="s">
        <v>4272</v>
      </c>
      <c r="G113" s="173">
        <v>304</v>
      </c>
      <c r="H113" s="173" t="s">
        <v>114</v>
      </c>
      <c r="I113" s="174">
        <v>3.51</v>
      </c>
      <c r="J113" s="174">
        <v>1.1499999999999999</v>
      </c>
      <c r="K113" s="203">
        <v>1.1299999999999999</v>
      </c>
      <c r="L113" s="203">
        <v>1.1499999999999999</v>
      </c>
      <c r="M113" s="191">
        <v>642</v>
      </c>
      <c r="N113" s="176">
        <v>10.595000000000001</v>
      </c>
      <c r="O113" s="176">
        <v>10.55</v>
      </c>
      <c r="P113" s="176"/>
      <c r="Q113" s="176">
        <v>4.4999999999999998E-2</v>
      </c>
      <c r="R113" s="176" t="s">
        <v>114</v>
      </c>
      <c r="S113" s="209" t="s">
        <v>4936</v>
      </c>
      <c r="T113" s="178" t="s">
        <v>1210</v>
      </c>
      <c r="U113" s="178"/>
      <c r="V113" s="179"/>
      <c r="W113" s="177">
        <v>44953</v>
      </c>
      <c r="X113" s="177"/>
      <c r="Y113" s="177">
        <v>44953</v>
      </c>
      <c r="Z113" s="177"/>
      <c r="AA113" s="177"/>
      <c r="AB113" s="177"/>
      <c r="AC113" s="177"/>
      <c r="AD113" s="177"/>
      <c r="AE113" s="177"/>
      <c r="AF113" s="177"/>
      <c r="AG113" s="180" t="s">
        <v>1643</v>
      </c>
      <c r="AH113" s="173" t="s">
        <v>69</v>
      </c>
      <c r="AI113" s="181" t="s">
        <v>142</v>
      </c>
      <c r="AJ113" s="181" t="s">
        <v>1657</v>
      </c>
      <c r="AK113" s="181"/>
      <c r="AL113" s="181">
        <v>44849</v>
      </c>
      <c r="AM113" s="181"/>
      <c r="AN113" s="181">
        <f t="shared" ca="1" si="10"/>
        <v>44958</v>
      </c>
      <c r="AO113" s="173">
        <f t="shared" ca="1" si="7"/>
        <v>109</v>
      </c>
      <c r="AP113" s="173" t="str">
        <f t="shared" si="11"/>
        <v/>
      </c>
      <c r="AQ113" s="181"/>
      <c r="AR113" s="190" t="s">
        <v>1667</v>
      </c>
      <c r="AS113" s="176">
        <v>10.58</v>
      </c>
      <c r="AT113" s="176">
        <v>10.59</v>
      </c>
      <c r="AU113" s="176">
        <v>10.614999999999998</v>
      </c>
      <c r="AV113" s="176">
        <v>10.62</v>
      </c>
      <c r="AW113" s="173" t="str">
        <f t="shared" si="12"/>
        <v/>
      </c>
      <c r="AX113" s="142">
        <v>456</v>
      </c>
      <c r="AZ113" s="142" t="s">
        <v>123</v>
      </c>
    </row>
    <row r="114" spans="1:60" s="142" customFormat="1" ht="18" customHeight="1" x14ac:dyDescent="0.25">
      <c r="E114" s="196"/>
      <c r="F114" s="196"/>
      <c r="I114" s="187"/>
      <c r="J114" s="187"/>
      <c r="K114" s="187"/>
      <c r="L114" s="187"/>
      <c r="M114" s="213"/>
      <c r="N114" s="149"/>
      <c r="O114" s="149"/>
      <c r="P114" s="149"/>
      <c r="Q114" s="214"/>
      <c r="R114" s="215"/>
      <c r="S114" s="215"/>
      <c r="T114" s="216"/>
      <c r="U114" s="216"/>
      <c r="V114" s="216"/>
      <c r="W114" s="216"/>
      <c r="X114" s="216"/>
      <c r="Y114" s="216"/>
      <c r="Z114" s="216"/>
      <c r="AA114" s="216"/>
      <c r="AB114" s="216"/>
      <c r="AC114" s="217"/>
      <c r="AF114" s="218"/>
      <c r="AG114" s="218"/>
      <c r="AH114" s="218"/>
      <c r="AI114" s="218"/>
      <c r="AJ114" s="218"/>
      <c r="AK114" s="218"/>
      <c r="AN114" s="218"/>
      <c r="AO114" s="196"/>
      <c r="AP114" s="149"/>
      <c r="AQ114" s="149"/>
      <c r="AR114" s="149"/>
      <c r="AS114" s="149"/>
      <c r="BB114" s="187"/>
    </row>
    <row r="115" spans="1:60" ht="17.25" customHeight="1" x14ac:dyDescent="0.25">
      <c r="N115" s="215"/>
    </row>
    <row r="116" spans="1:60" s="351" customFormat="1" x14ac:dyDescent="0.25">
      <c r="A116" s="336"/>
      <c r="B116" s="336"/>
      <c r="C116" s="336"/>
      <c r="D116" s="336"/>
      <c r="E116" s="359" t="s">
        <v>3774</v>
      </c>
      <c r="F116" s="336"/>
      <c r="G116" s="336"/>
      <c r="H116" s="336"/>
      <c r="J116" s="352"/>
      <c r="K116" s="353"/>
      <c r="L116" s="353"/>
      <c r="N116" s="368">
        <f>SUBTOTAL(9,N4:N115)</f>
        <v>854.9000000000002</v>
      </c>
      <c r="O116" s="368">
        <f>SUBTOTAL(9,O4:O115)</f>
        <v>849.91999999999985</v>
      </c>
      <c r="P116" s="368">
        <f>SUBTOTAL(9,P4:P115)</f>
        <v>0.64500000000000002</v>
      </c>
      <c r="Q116" s="368">
        <f>SUBTOTAL(9,Q4:Q115)</f>
        <v>3.2349999999999985</v>
      </c>
      <c r="R116" s="336"/>
      <c r="T116" s="355"/>
      <c r="U116" s="355"/>
      <c r="V116" s="336"/>
      <c r="W116" s="336"/>
      <c r="X116" s="336"/>
      <c r="Y116" s="336"/>
      <c r="Z116" s="336"/>
      <c r="AA116" s="336"/>
      <c r="AB116" s="336"/>
      <c r="AC116" s="336"/>
      <c r="AD116" s="336"/>
      <c r="AE116" s="336"/>
      <c r="AF116" s="336"/>
      <c r="AG116" s="336"/>
      <c r="AH116" s="336"/>
      <c r="AI116" s="336"/>
      <c r="AJ116" s="336"/>
      <c r="AK116" s="336"/>
      <c r="AL116" s="336"/>
      <c r="AM116" s="336"/>
      <c r="AN116" s="336"/>
      <c r="AO116" s="336"/>
      <c r="AP116" s="336"/>
      <c r="AQ116" s="336"/>
      <c r="AR116" s="336"/>
      <c r="AS116" s="336"/>
      <c r="AT116" s="336"/>
      <c r="AU116" s="336"/>
      <c r="AV116" s="336"/>
      <c r="AW116" s="336"/>
      <c r="AX116" s="336"/>
      <c r="AY116" s="336"/>
      <c r="AZ116" s="336"/>
      <c r="BA116" s="336"/>
      <c r="BB116" s="336"/>
      <c r="BC116" s="336"/>
      <c r="BD116" s="336"/>
      <c r="BE116" s="336"/>
      <c r="BF116" s="336"/>
      <c r="BG116" s="336"/>
      <c r="BH116" s="336"/>
    </row>
    <row r="118" spans="1:60" ht="17.25" customHeight="1" x14ac:dyDescent="0.25">
      <c r="N118" s="215"/>
    </row>
    <row r="119" spans="1:60" x14ac:dyDescent="0.25">
      <c r="I119" s="336"/>
      <c r="J119" s="336"/>
      <c r="K119" s="336"/>
      <c r="L119" s="336"/>
      <c r="M119" s="336"/>
      <c r="N119" s="336"/>
      <c r="O119" s="336"/>
      <c r="P119" s="336"/>
      <c r="Q119" s="336"/>
      <c r="R119" s="336"/>
      <c r="S119" s="353"/>
      <c r="T119" s="336"/>
      <c r="U119" s="336"/>
    </row>
    <row r="120" spans="1:60" x14ac:dyDescent="0.25">
      <c r="O120" s="369"/>
    </row>
    <row r="121" spans="1:60" x14ac:dyDescent="0.25">
      <c r="O121" s="369"/>
    </row>
    <row r="192" spans="1:60" s="351" customFormat="1" x14ac:dyDescent="0.25">
      <c r="A192" s="336"/>
      <c r="B192" s="336"/>
      <c r="C192" s="336"/>
      <c r="D192" s="336"/>
      <c r="E192" s="336"/>
      <c r="F192" s="336"/>
      <c r="G192" s="336"/>
      <c r="H192" s="336"/>
      <c r="J192" s="352"/>
      <c r="K192" s="353"/>
      <c r="L192" s="353"/>
      <c r="T192" s="355"/>
      <c r="U192" s="355"/>
      <c r="V192" s="336"/>
      <c r="W192" s="336"/>
      <c r="X192" s="336"/>
      <c r="Y192" s="336"/>
      <c r="Z192" s="336"/>
      <c r="AA192" s="336"/>
      <c r="AB192" s="336"/>
      <c r="AC192" s="336"/>
      <c r="AD192" s="336"/>
      <c r="AE192" s="336"/>
      <c r="AF192" s="336"/>
      <c r="AG192" s="336"/>
      <c r="AH192" s="336"/>
      <c r="AI192" s="336"/>
      <c r="AJ192" s="336"/>
      <c r="AK192" s="336"/>
      <c r="AL192" s="336"/>
      <c r="AM192" s="336"/>
      <c r="AN192" s="336"/>
      <c r="AO192" s="336"/>
      <c r="AP192" s="336"/>
      <c r="AQ192" s="336"/>
      <c r="AR192" s="336"/>
      <c r="AS192" s="336"/>
      <c r="AT192" s="336"/>
      <c r="AU192" s="336"/>
      <c r="AV192" s="336"/>
      <c r="AW192" s="336"/>
      <c r="AX192" s="336"/>
      <c r="AY192" s="336"/>
      <c r="AZ192" s="336"/>
      <c r="BA192" s="336"/>
      <c r="BB192" s="336"/>
      <c r="BC192" s="336"/>
      <c r="BD192" s="336"/>
      <c r="BE192" s="336"/>
      <c r="BF192" s="336"/>
      <c r="BG192" s="336"/>
      <c r="BH192" s="336"/>
    </row>
  </sheetData>
  <autoFilter ref="A3:AS3" xr:uid="{00000000-0009-0000-0000-000002000000}"/>
  <mergeCells count="21">
    <mergeCell ref="N92:N93"/>
    <mergeCell ref="N94:N95"/>
    <mergeCell ref="N98:N99"/>
    <mergeCell ref="N61:N63"/>
    <mergeCell ref="N64:N65"/>
    <mergeCell ref="N69:N71"/>
    <mergeCell ref="N72:N73"/>
    <mergeCell ref="N80:N81"/>
    <mergeCell ref="N86:N87"/>
    <mergeCell ref="N44:N45"/>
    <mergeCell ref="N46:N47"/>
    <mergeCell ref="N50:N51"/>
    <mergeCell ref="N52:N53"/>
    <mergeCell ref="N57:N58"/>
    <mergeCell ref="N59:N60"/>
    <mergeCell ref="N16:N17"/>
    <mergeCell ref="N18:N19"/>
    <mergeCell ref="N24:N25"/>
    <mergeCell ref="N27:N28"/>
    <mergeCell ref="N33:N34"/>
    <mergeCell ref="N39:N41"/>
  </mergeCells>
  <pageMargins left="0.7" right="0.7" top="0.75" bottom="0.75" header="0.3" footer="0.3"/>
  <pageSetup paperSize="9" scale="7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EA051-F89F-4C3A-80F7-48D41CBC9227}">
  <dimension ref="A1:BF623"/>
  <sheetViews>
    <sheetView topLeftCell="D1" zoomScale="70" zoomScaleNormal="70" zoomScaleSheetLayoutView="70" workbookViewId="0">
      <pane ySplit="3" topLeftCell="A277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1" width="8.5703125" style="336" customWidth="1"/>
    <col min="2" max="2" width="20.42578125" style="336" customWidth="1"/>
    <col min="3" max="3" width="30" style="336" customWidth="1"/>
    <col min="4" max="4" width="20.42578125" style="336" customWidth="1"/>
    <col min="5" max="5" width="21.42578125" style="336" customWidth="1"/>
    <col min="6" max="6" width="23.85546875" style="336" customWidth="1"/>
    <col min="7" max="7" width="9.7109375" style="336" customWidth="1"/>
    <col min="8" max="8" width="9.140625" style="336"/>
    <col min="9" max="12" width="12.42578125" style="351" customWidth="1"/>
    <col min="13" max="13" width="9.7109375" style="352" customWidth="1"/>
    <col min="14" max="14" width="15.140625" style="353" customWidth="1"/>
    <col min="15" max="15" width="14.42578125" style="351" customWidth="1"/>
    <col min="16" max="16" width="14.28515625" style="351" customWidth="1"/>
    <col min="17" max="19" width="10.42578125" style="351" customWidth="1"/>
    <col min="20" max="20" width="12.7109375" style="377" customWidth="1"/>
    <col min="21" max="22" width="11.7109375" style="352" customWidth="1"/>
    <col min="23" max="23" width="18.140625" style="352" customWidth="1"/>
    <col min="24" max="24" width="36" style="375" customWidth="1"/>
    <col min="25" max="25" width="19.140625" style="375" customWidth="1"/>
    <col min="26" max="26" width="29.85546875" style="336" customWidth="1"/>
    <col min="27" max="27" width="12.140625" style="353" customWidth="1"/>
    <col min="28" max="32" width="11.5703125" style="336" customWidth="1"/>
    <col min="33" max="35" width="12.5703125" style="336" customWidth="1"/>
    <col min="36" max="36" width="14.140625" style="336" customWidth="1"/>
    <col min="37" max="37" width="14.7109375" style="336" customWidth="1"/>
    <col min="38" max="38" width="11.140625" style="336" customWidth="1"/>
    <col min="39" max="39" width="19" style="336" customWidth="1"/>
    <col min="40" max="40" width="14.5703125" style="336" customWidth="1"/>
    <col min="41" max="41" width="14" style="336" customWidth="1"/>
    <col min="42" max="42" width="11.28515625" style="336" customWidth="1"/>
    <col min="43" max="46" width="13.42578125" style="336" customWidth="1"/>
    <col min="47" max="47" width="17.140625" style="336" customWidth="1"/>
    <col min="48" max="48" width="9.140625" style="336" customWidth="1"/>
    <col min="49" max="51" width="12" style="336" customWidth="1"/>
    <col min="52" max="52" width="11.28515625" style="336" customWidth="1"/>
    <col min="53" max="66" width="9.140625" style="336" customWidth="1"/>
    <col min="67" max="16384" width="9.140625" style="336"/>
  </cols>
  <sheetData>
    <row r="1" spans="1:56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73"/>
      <c r="R1" s="334" t="s">
        <v>18</v>
      </c>
      <c r="S1" s="334" t="s">
        <v>5116</v>
      </c>
      <c r="T1" s="374"/>
      <c r="U1" s="334"/>
      <c r="V1" s="334"/>
      <c r="W1" s="334"/>
      <c r="AA1" s="334"/>
      <c r="AB1" s="334"/>
      <c r="AC1" s="334"/>
      <c r="AD1" s="334"/>
      <c r="AE1" s="334"/>
      <c r="AF1" s="334"/>
      <c r="AQ1" s="334"/>
      <c r="AR1" s="334"/>
      <c r="AS1" s="334"/>
      <c r="AT1" s="334"/>
    </row>
    <row r="2" spans="1:56" ht="20.25" x14ac:dyDescent="0.25">
      <c r="Q2" s="376"/>
      <c r="R2" s="334" t="s">
        <v>13</v>
      </c>
      <c r="S2" s="334" t="s">
        <v>5117</v>
      </c>
    </row>
    <row r="3" spans="1:56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5118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78" t="s">
        <v>5119</v>
      </c>
      <c r="P3" s="338" t="s">
        <v>5120</v>
      </c>
      <c r="Q3" s="366" t="s">
        <v>4190</v>
      </c>
      <c r="R3" s="366" t="s">
        <v>9</v>
      </c>
      <c r="S3" s="366" t="s">
        <v>10</v>
      </c>
      <c r="T3" s="379"/>
      <c r="U3" s="338" t="s">
        <v>5121</v>
      </c>
      <c r="V3" s="338"/>
      <c r="W3" s="338"/>
      <c r="X3" s="338" t="s">
        <v>88</v>
      </c>
      <c r="Y3" s="338"/>
      <c r="Z3" s="338"/>
      <c r="AA3" s="342" t="s">
        <v>3801</v>
      </c>
      <c r="AB3" s="343" t="s">
        <v>3802</v>
      </c>
      <c r="AC3" s="161" t="s">
        <v>3803</v>
      </c>
      <c r="AD3" s="162" t="s">
        <v>3804</v>
      </c>
      <c r="AE3" s="344" t="s">
        <v>3805</v>
      </c>
      <c r="AF3" s="164" t="s">
        <v>3806</v>
      </c>
      <c r="AG3" s="345" t="s">
        <v>3807</v>
      </c>
      <c r="AH3" s="346" t="s">
        <v>3808</v>
      </c>
      <c r="AI3" s="167" t="s">
        <v>3809</v>
      </c>
      <c r="AJ3" s="343" t="s">
        <v>3810</v>
      </c>
      <c r="AK3" s="338" t="s">
        <v>91</v>
      </c>
      <c r="AL3" s="338" t="s">
        <v>92</v>
      </c>
      <c r="AM3" s="337" t="s">
        <v>93</v>
      </c>
      <c r="AN3" s="337" t="s">
        <v>94</v>
      </c>
      <c r="AO3" s="347" t="s">
        <v>95</v>
      </c>
      <c r="AP3" s="347" t="s">
        <v>96</v>
      </c>
      <c r="AU3" s="337" t="s">
        <v>100</v>
      </c>
      <c r="AV3" s="337" t="s">
        <v>101</v>
      </c>
      <c r="AW3" s="348" t="s">
        <v>3814</v>
      </c>
      <c r="AX3" s="348" t="s">
        <v>3815</v>
      </c>
      <c r="AY3" s="348" t="s">
        <v>4351</v>
      </c>
      <c r="AZ3" s="348" t="s">
        <v>3817</v>
      </c>
    </row>
    <row r="4" spans="1:56" s="142" customFormat="1" ht="21" customHeight="1" x14ac:dyDescent="0.25">
      <c r="B4" s="173" t="str">
        <f t="shared" ref="B4:B21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0-J3/2B-1.07X620</v>
      </c>
      <c r="C4" s="201" t="s">
        <v>5122</v>
      </c>
      <c r="D4" s="173" t="s">
        <v>4432</v>
      </c>
      <c r="E4" s="173" t="s">
        <v>4463</v>
      </c>
      <c r="F4" s="201" t="s">
        <v>5123</v>
      </c>
      <c r="G4" s="173" t="s">
        <v>34</v>
      </c>
      <c r="H4" s="173" t="s">
        <v>114</v>
      </c>
      <c r="I4" s="174">
        <v>2.4</v>
      </c>
      <c r="J4" s="174">
        <v>1.07</v>
      </c>
      <c r="K4" s="174">
        <v>1.04</v>
      </c>
      <c r="L4" s="174">
        <v>1.06</v>
      </c>
      <c r="M4" s="380">
        <v>620</v>
      </c>
      <c r="N4" s="176">
        <v>4.9249999999999998</v>
      </c>
      <c r="O4" s="381">
        <f>2.38+2.35</f>
        <v>4.7300000000000004</v>
      </c>
      <c r="P4" s="382"/>
      <c r="Q4" s="176">
        <v>6.5000000000000002E-2</v>
      </c>
      <c r="R4" s="176"/>
      <c r="S4" s="176">
        <v>0.13</v>
      </c>
      <c r="T4" s="383"/>
      <c r="U4" s="380" t="s">
        <v>5124</v>
      </c>
      <c r="V4" s="371" t="s">
        <v>114</v>
      </c>
      <c r="W4" s="384" t="s">
        <v>5125</v>
      </c>
      <c r="X4" s="178" t="s">
        <v>4457</v>
      </c>
      <c r="Y4" s="385"/>
      <c r="Z4" s="385"/>
      <c r="AA4" s="177">
        <v>44925</v>
      </c>
      <c r="AB4" s="177"/>
      <c r="AC4" s="177">
        <v>44925</v>
      </c>
      <c r="AD4" s="177"/>
      <c r="AE4" s="177">
        <v>44927</v>
      </c>
      <c r="AF4" s="177"/>
      <c r="AG4" s="177"/>
      <c r="AH4" s="177"/>
      <c r="AI4" s="180"/>
      <c r="AJ4" s="173"/>
      <c r="AK4" s="173"/>
      <c r="AL4" s="181" t="s">
        <v>69</v>
      </c>
      <c r="AM4" s="181" t="s">
        <v>248</v>
      </c>
      <c r="AN4" s="181" t="s">
        <v>1145</v>
      </c>
      <c r="AO4" s="181">
        <v>44752</v>
      </c>
      <c r="AP4" s="181">
        <v>44778</v>
      </c>
      <c r="AQ4" s="173"/>
      <c r="AR4" s="181">
        <f t="shared" ref="AR4:AR21" ca="1" si="1">TODAY()</f>
        <v>44958</v>
      </c>
      <c r="AS4" s="176">
        <f t="shared" ref="AS4:AS21" ca="1" si="2">IF(AP4&lt;&gt;0,AR4-AP4,0)</f>
        <v>180</v>
      </c>
      <c r="AT4" s="176">
        <f t="shared" ref="AT4:AT21" ca="1" si="3">IF(ISNUMBER(AE4)=TRUE,AR4-AE4,IF(AE4="","",(AR4)-(MID(RIGHT(AE4,10),4,2)&amp;"/"&amp;LEFT((RIGHT(AE4,10)),2)&amp;"/"&amp;RIGHT(AE4,4))))</f>
        <v>31</v>
      </c>
      <c r="AU4" s="176"/>
      <c r="AV4" s="176" t="s">
        <v>1132</v>
      </c>
      <c r="AW4" s="176">
        <v>4.96</v>
      </c>
      <c r="AX4" s="176">
        <f>AW4+0.04</f>
        <v>5</v>
      </c>
      <c r="AY4" s="173">
        <v>5.0250000000000004</v>
      </c>
      <c r="AZ4" s="142">
        <v>5.03</v>
      </c>
      <c r="BA4" s="142">
        <f t="shared" ref="BA4:BA13" ca="1" si="4">IF(ISNUMBER(AC4)=TRUE,AR4-AC4,IF(AC4="","",(AR4)-(MID(RIGHT(AC4,10),4,2)&amp;"/"&amp;LEFT((RIGHT(AC4,10)),2)&amp;"/"&amp;RIGHT(AC4,4))))</f>
        <v>33</v>
      </c>
      <c r="BB4" s="142">
        <v>445</v>
      </c>
      <c r="BD4" s="142" t="s">
        <v>123</v>
      </c>
    </row>
    <row r="5" spans="1:56" s="142" customFormat="1" ht="21" customHeight="1" x14ac:dyDescent="0.25">
      <c r="B5" s="173" t="str">
        <f t="shared" si="0"/>
        <v>0-J3/2B-1.07X615</v>
      </c>
      <c r="C5" s="201" t="s">
        <v>5122</v>
      </c>
      <c r="D5" s="173" t="s">
        <v>4432</v>
      </c>
      <c r="E5" s="173" t="s">
        <v>4455</v>
      </c>
      <c r="F5" s="201" t="s">
        <v>5126</v>
      </c>
      <c r="G5" s="173" t="s">
        <v>34</v>
      </c>
      <c r="H5" s="173" t="s">
        <v>114</v>
      </c>
      <c r="I5" s="174">
        <v>2.2000000000000002</v>
      </c>
      <c r="J5" s="174">
        <v>1.07</v>
      </c>
      <c r="K5" s="174">
        <v>1.07</v>
      </c>
      <c r="L5" s="174">
        <v>1.0900000000000001</v>
      </c>
      <c r="M5" s="380">
        <v>615</v>
      </c>
      <c r="N5" s="176">
        <v>5.0449999999999999</v>
      </c>
      <c r="O5" s="381">
        <f>2.43+2.445</f>
        <v>4.875</v>
      </c>
      <c r="P5" s="382"/>
      <c r="Q5" s="176">
        <v>0.05</v>
      </c>
      <c r="R5" s="176"/>
      <c r="S5" s="176"/>
      <c r="T5" s="383"/>
      <c r="U5" s="380" t="s">
        <v>5124</v>
      </c>
      <c r="V5" s="371" t="s">
        <v>114</v>
      </c>
      <c r="W5" s="384" t="s">
        <v>5125</v>
      </c>
      <c r="X5" s="178" t="s">
        <v>4457</v>
      </c>
      <c r="Y5" s="385"/>
      <c r="Z5" s="385"/>
      <c r="AA5" s="177">
        <v>44925</v>
      </c>
      <c r="AB5" s="177"/>
      <c r="AC5" s="177">
        <v>44925</v>
      </c>
      <c r="AD5" s="177"/>
      <c r="AE5" s="177">
        <v>44927</v>
      </c>
      <c r="AF5" s="177"/>
      <c r="AG5" s="177"/>
      <c r="AH5" s="177"/>
      <c r="AI5" s="180"/>
      <c r="AJ5" s="173"/>
      <c r="AK5" s="173"/>
      <c r="AL5" s="181" t="s">
        <v>69</v>
      </c>
      <c r="AM5" s="181" t="s">
        <v>1065</v>
      </c>
      <c r="AN5" s="181" t="s">
        <v>1066</v>
      </c>
      <c r="AO5" s="181">
        <v>44729</v>
      </c>
      <c r="AP5" s="181">
        <v>44767</v>
      </c>
      <c r="AQ5" s="173"/>
      <c r="AR5" s="181">
        <f t="shared" ca="1" si="1"/>
        <v>44958</v>
      </c>
      <c r="AS5" s="176">
        <f t="shared" ca="1" si="2"/>
        <v>191</v>
      </c>
      <c r="AT5" s="176">
        <f t="shared" ca="1" si="3"/>
        <v>31</v>
      </c>
      <c r="AU5" s="176"/>
      <c r="AV5" s="176" t="s">
        <v>1125</v>
      </c>
      <c r="AW5" s="176">
        <v>5.0519999999999996</v>
      </c>
      <c r="AX5" s="176">
        <v>5.0919999999999996</v>
      </c>
      <c r="AY5" s="173">
        <v>5.117</v>
      </c>
      <c r="AZ5" s="142">
        <v>5.1219999999999999</v>
      </c>
      <c r="BA5" s="142">
        <f t="shared" ca="1" si="4"/>
        <v>33</v>
      </c>
      <c r="BB5" s="142">
        <v>444</v>
      </c>
      <c r="BD5" s="142" t="s">
        <v>123</v>
      </c>
    </row>
    <row r="6" spans="1:56" s="142" customFormat="1" ht="21" customHeight="1" x14ac:dyDescent="0.25">
      <c r="B6" s="173" t="str">
        <f t="shared" si="0"/>
        <v>0-J3/2B-0.90X635</v>
      </c>
      <c r="C6" s="201" t="s">
        <v>5122</v>
      </c>
      <c r="D6" s="173" t="s">
        <v>4432</v>
      </c>
      <c r="E6" s="173" t="s">
        <v>4460</v>
      </c>
      <c r="F6" s="201" t="s">
        <v>5127</v>
      </c>
      <c r="G6" s="173" t="s">
        <v>34</v>
      </c>
      <c r="H6" s="173" t="s">
        <v>114</v>
      </c>
      <c r="I6" s="174">
        <v>2.4</v>
      </c>
      <c r="J6" s="174">
        <v>0.9</v>
      </c>
      <c r="K6" s="174">
        <v>0.9</v>
      </c>
      <c r="L6" s="174">
        <v>0.92</v>
      </c>
      <c r="M6" s="380">
        <v>635</v>
      </c>
      <c r="N6" s="176">
        <v>10.365</v>
      </c>
      <c r="O6" s="381">
        <f>4.99+2.62+2.44</f>
        <v>10.050000000000001</v>
      </c>
      <c r="P6" s="382"/>
      <c r="Q6" s="176"/>
      <c r="R6" s="176"/>
      <c r="S6" s="176"/>
      <c r="T6" s="383"/>
      <c r="U6" s="380" t="s">
        <v>5124</v>
      </c>
      <c r="V6" s="371" t="s">
        <v>114</v>
      </c>
      <c r="W6" s="384" t="s">
        <v>5125</v>
      </c>
      <c r="X6" s="178" t="s">
        <v>4457</v>
      </c>
      <c r="Y6" s="385"/>
      <c r="Z6" s="385"/>
      <c r="AA6" s="177">
        <v>44925</v>
      </c>
      <c r="AB6" s="177"/>
      <c r="AC6" s="177">
        <v>44925</v>
      </c>
      <c r="AD6" s="177"/>
      <c r="AE6" s="177">
        <v>44927</v>
      </c>
      <c r="AF6" s="177"/>
      <c r="AG6" s="177"/>
      <c r="AH6" s="177"/>
      <c r="AI6" s="180"/>
      <c r="AJ6" s="173"/>
      <c r="AK6" s="173"/>
      <c r="AL6" s="181" t="s">
        <v>69</v>
      </c>
      <c r="AM6" s="181" t="s">
        <v>1065</v>
      </c>
      <c r="AN6" s="181" t="s">
        <v>1401</v>
      </c>
      <c r="AO6" s="181">
        <v>44819</v>
      </c>
      <c r="AP6" s="181">
        <v>44835</v>
      </c>
      <c r="AQ6" s="173"/>
      <c r="AR6" s="181">
        <f t="shared" ca="1" si="1"/>
        <v>44958</v>
      </c>
      <c r="AS6" s="176">
        <f t="shared" ca="1" si="2"/>
        <v>123</v>
      </c>
      <c r="AT6" s="176">
        <f t="shared" ca="1" si="3"/>
        <v>31</v>
      </c>
      <c r="AU6" s="176" t="s">
        <v>1442</v>
      </c>
      <c r="AV6" s="176" t="s">
        <v>4462</v>
      </c>
      <c r="AW6" s="176">
        <v>10.346</v>
      </c>
      <c r="AX6" s="176">
        <v>10.385999999999999</v>
      </c>
      <c r="AY6" s="173">
        <v>10.410999999999998</v>
      </c>
      <c r="AZ6" s="142">
        <v>10.415999999999999</v>
      </c>
      <c r="BA6" s="142">
        <f t="shared" ca="1" si="4"/>
        <v>33</v>
      </c>
      <c r="BB6" s="142">
        <v>454</v>
      </c>
      <c r="BD6" s="142" t="s">
        <v>123</v>
      </c>
    </row>
    <row r="7" spans="1:56" s="142" customFormat="1" ht="21" customHeight="1" x14ac:dyDescent="0.25">
      <c r="B7" s="173" t="str">
        <f t="shared" si="0"/>
        <v>0-304L/FH-0.58X641</v>
      </c>
      <c r="C7" s="201" t="s">
        <v>5128</v>
      </c>
      <c r="D7" s="173" t="s">
        <v>16</v>
      </c>
      <c r="E7" s="173" t="s">
        <v>3992</v>
      </c>
      <c r="F7" s="201" t="s">
        <v>3993</v>
      </c>
      <c r="G7" s="173" t="s">
        <v>182</v>
      </c>
      <c r="H7" s="173" t="s">
        <v>70</v>
      </c>
      <c r="I7" s="174">
        <v>2.88</v>
      </c>
      <c r="J7" s="174">
        <v>0.57999999999999996</v>
      </c>
      <c r="K7" s="174"/>
      <c r="L7" s="174"/>
      <c r="M7" s="380">
        <v>641</v>
      </c>
      <c r="N7" s="176">
        <v>10.705</v>
      </c>
      <c r="O7" s="381">
        <v>10.705</v>
      </c>
      <c r="P7" s="382"/>
      <c r="Q7" s="176"/>
      <c r="R7" s="176"/>
      <c r="S7" s="176"/>
      <c r="T7" s="383"/>
      <c r="U7" s="380">
        <v>641</v>
      </c>
      <c r="V7" s="371" t="s">
        <v>114</v>
      </c>
      <c r="W7" s="384"/>
      <c r="X7" s="178" t="s">
        <v>1344</v>
      </c>
      <c r="Y7" s="385" t="s">
        <v>5129</v>
      </c>
      <c r="Z7" s="385"/>
      <c r="AA7" s="177">
        <v>44921</v>
      </c>
      <c r="AB7" s="177"/>
      <c r="AC7" s="177"/>
      <c r="AD7" s="177">
        <v>44923</v>
      </c>
      <c r="AE7" s="177"/>
      <c r="AF7" s="177"/>
      <c r="AG7" s="177">
        <v>44928</v>
      </c>
      <c r="AH7" s="177"/>
      <c r="AI7" s="180"/>
      <c r="AJ7" s="173"/>
      <c r="AK7" s="173" t="s">
        <v>2479</v>
      </c>
      <c r="AL7" s="181" t="s">
        <v>69</v>
      </c>
      <c r="AM7" s="181" t="s">
        <v>142</v>
      </c>
      <c r="AN7" s="181" t="s">
        <v>1594</v>
      </c>
      <c r="AO7" s="181"/>
      <c r="AP7" s="181">
        <v>44849</v>
      </c>
      <c r="AQ7" s="173"/>
      <c r="AR7" s="181">
        <f t="shared" ca="1" si="1"/>
        <v>44958</v>
      </c>
      <c r="AS7" s="176">
        <f t="shared" ca="1" si="2"/>
        <v>109</v>
      </c>
      <c r="AT7" s="176" t="str">
        <f t="shared" si="3"/>
        <v/>
      </c>
      <c r="AU7" s="176"/>
      <c r="AV7" s="176" t="s">
        <v>3995</v>
      </c>
      <c r="AW7" s="176">
        <v>10.705</v>
      </c>
      <c r="AX7" s="176">
        <v>10.715</v>
      </c>
      <c r="AY7" s="173">
        <v>10.739999999999998</v>
      </c>
      <c r="AZ7" s="142">
        <v>10.744999999999999</v>
      </c>
      <c r="BA7" s="142" t="str">
        <f t="shared" si="4"/>
        <v/>
      </c>
      <c r="BB7" s="142">
        <v>456</v>
      </c>
      <c r="BD7" s="142" t="s">
        <v>123</v>
      </c>
    </row>
    <row r="8" spans="1:56" s="142" customFormat="1" ht="21" customHeight="1" x14ac:dyDescent="0.25">
      <c r="B8" s="173" t="str">
        <f t="shared" si="0"/>
        <v>0-304L/FH-0.58X641</v>
      </c>
      <c r="C8" s="201" t="s">
        <v>5128</v>
      </c>
      <c r="D8" s="173" t="s">
        <v>16</v>
      </c>
      <c r="E8" s="173" t="s">
        <v>3966</v>
      </c>
      <c r="F8" s="201" t="s">
        <v>3967</v>
      </c>
      <c r="G8" s="173" t="s">
        <v>182</v>
      </c>
      <c r="H8" s="173" t="s">
        <v>70</v>
      </c>
      <c r="I8" s="174">
        <v>2.88</v>
      </c>
      <c r="J8" s="174">
        <v>0.57999999999999996</v>
      </c>
      <c r="K8" s="174"/>
      <c r="L8" s="174"/>
      <c r="M8" s="380">
        <v>641</v>
      </c>
      <c r="N8" s="176">
        <v>10.715</v>
      </c>
      <c r="O8" s="381">
        <v>10.715</v>
      </c>
      <c r="P8" s="382"/>
      <c r="Q8" s="176"/>
      <c r="R8" s="176"/>
      <c r="S8" s="176"/>
      <c r="T8" s="383"/>
      <c r="U8" s="380">
        <v>641</v>
      </c>
      <c r="V8" s="371" t="s">
        <v>114</v>
      </c>
      <c r="W8" s="384"/>
      <c r="X8" s="178" t="s">
        <v>1344</v>
      </c>
      <c r="Y8" s="385" t="s">
        <v>5129</v>
      </c>
      <c r="Z8" s="385"/>
      <c r="AA8" s="177">
        <v>44918</v>
      </c>
      <c r="AB8" s="177"/>
      <c r="AC8" s="177"/>
      <c r="AD8" s="177">
        <v>44922</v>
      </c>
      <c r="AE8" s="177"/>
      <c r="AF8" s="177"/>
      <c r="AG8" s="177">
        <v>44928</v>
      </c>
      <c r="AH8" s="177"/>
      <c r="AI8" s="180"/>
      <c r="AJ8" s="173"/>
      <c r="AK8" s="173" t="s">
        <v>2479</v>
      </c>
      <c r="AL8" s="181" t="s">
        <v>69</v>
      </c>
      <c r="AM8" s="181" t="s">
        <v>142</v>
      </c>
      <c r="AN8" s="181" t="s">
        <v>1594</v>
      </c>
      <c r="AO8" s="181"/>
      <c r="AP8" s="181">
        <v>44849</v>
      </c>
      <c r="AQ8" s="173"/>
      <c r="AR8" s="181">
        <f t="shared" ca="1" si="1"/>
        <v>44958</v>
      </c>
      <c r="AS8" s="176">
        <f t="shared" ca="1" si="2"/>
        <v>109</v>
      </c>
      <c r="AT8" s="176" t="str">
        <f t="shared" si="3"/>
        <v/>
      </c>
      <c r="AU8" s="176"/>
      <c r="AV8" s="176" t="s">
        <v>3970</v>
      </c>
      <c r="AW8" s="176">
        <v>10.715</v>
      </c>
      <c r="AX8" s="176">
        <v>10.725</v>
      </c>
      <c r="AY8" s="173">
        <v>10.749999999999998</v>
      </c>
      <c r="AZ8" s="142">
        <v>10.754999999999999</v>
      </c>
      <c r="BA8" s="142" t="str">
        <f t="shared" si="4"/>
        <v/>
      </c>
      <c r="BB8" s="142">
        <v>456</v>
      </c>
      <c r="BD8" s="142" t="s">
        <v>123</v>
      </c>
    </row>
    <row r="9" spans="1:56" s="142" customFormat="1" ht="21" customHeight="1" x14ac:dyDescent="0.25">
      <c r="B9" s="173" t="str">
        <f t="shared" si="0"/>
        <v>0-304/2B-1.50X768</v>
      </c>
      <c r="C9" s="201" t="s">
        <v>5130</v>
      </c>
      <c r="D9" s="173" t="s">
        <v>4432</v>
      </c>
      <c r="E9" s="173" t="s">
        <v>4480</v>
      </c>
      <c r="F9" s="201" t="s">
        <v>5131</v>
      </c>
      <c r="G9" s="173">
        <v>304</v>
      </c>
      <c r="H9" s="173" t="s">
        <v>114</v>
      </c>
      <c r="I9" s="174">
        <v>3.85</v>
      </c>
      <c r="J9" s="174">
        <v>1.5</v>
      </c>
      <c r="K9" s="174">
        <v>1.5</v>
      </c>
      <c r="L9" s="174">
        <v>1.51</v>
      </c>
      <c r="M9" s="380">
        <v>768</v>
      </c>
      <c r="N9" s="176">
        <v>10.395</v>
      </c>
      <c r="O9" s="381">
        <f>5.155+5.145</f>
        <v>10.3</v>
      </c>
      <c r="P9" s="382"/>
      <c r="Q9" s="176">
        <v>0.115</v>
      </c>
      <c r="R9" s="176"/>
      <c r="S9" s="176"/>
      <c r="T9" s="383"/>
      <c r="U9" s="380">
        <v>760</v>
      </c>
      <c r="V9" s="371" t="s">
        <v>114</v>
      </c>
      <c r="W9" s="384" t="s">
        <v>4486</v>
      </c>
      <c r="X9" s="178" t="s">
        <v>4378</v>
      </c>
      <c r="Y9" s="385"/>
      <c r="Z9" s="385"/>
      <c r="AA9" s="177">
        <v>44904</v>
      </c>
      <c r="AB9" s="177"/>
      <c r="AC9" s="177">
        <v>44904</v>
      </c>
      <c r="AD9" s="177"/>
      <c r="AE9" s="177">
        <v>44928</v>
      </c>
      <c r="AF9" s="177"/>
      <c r="AG9" s="177"/>
      <c r="AH9" s="177"/>
      <c r="AI9" s="180"/>
      <c r="AJ9" s="173"/>
      <c r="AK9" s="173" t="s">
        <v>4482</v>
      </c>
      <c r="AL9" s="181" t="s">
        <v>69</v>
      </c>
      <c r="AM9" s="181" t="s">
        <v>142</v>
      </c>
      <c r="AN9" s="181" t="s">
        <v>2283</v>
      </c>
      <c r="AO9" s="181"/>
      <c r="AP9" s="181">
        <v>44880</v>
      </c>
      <c r="AQ9" s="173"/>
      <c r="AR9" s="181">
        <f t="shared" ca="1" si="1"/>
        <v>44958</v>
      </c>
      <c r="AS9" s="176">
        <f t="shared" ca="1" si="2"/>
        <v>78</v>
      </c>
      <c r="AT9" s="176">
        <f t="shared" ca="1" si="3"/>
        <v>30</v>
      </c>
      <c r="AU9" s="176"/>
      <c r="AV9" s="176" t="s">
        <v>4483</v>
      </c>
      <c r="AW9" s="176">
        <v>10.48</v>
      </c>
      <c r="AX9" s="176">
        <v>10.49</v>
      </c>
      <c r="AY9" s="173">
        <v>10.514999999999999</v>
      </c>
      <c r="AZ9" s="142">
        <v>10.52</v>
      </c>
      <c r="BA9" s="142">
        <f t="shared" ca="1" si="4"/>
        <v>54</v>
      </c>
      <c r="BB9" s="142">
        <v>459</v>
      </c>
      <c r="BD9" s="142" t="s">
        <v>123</v>
      </c>
    </row>
    <row r="10" spans="1:56" s="142" customFormat="1" ht="21" customHeight="1" x14ac:dyDescent="0.25">
      <c r="B10" s="173" t="str">
        <f t="shared" si="0"/>
        <v>0-304/2B-1.50X773</v>
      </c>
      <c r="C10" s="201" t="s">
        <v>5130</v>
      </c>
      <c r="D10" s="173" t="s">
        <v>4432</v>
      </c>
      <c r="E10" s="173" t="s">
        <v>4440</v>
      </c>
      <c r="F10" s="201" t="s">
        <v>5132</v>
      </c>
      <c r="G10" s="173">
        <v>304</v>
      </c>
      <c r="H10" s="173" t="s">
        <v>114</v>
      </c>
      <c r="I10" s="174">
        <v>3.78</v>
      </c>
      <c r="J10" s="174">
        <v>1.5</v>
      </c>
      <c r="K10" s="174">
        <v>1.48</v>
      </c>
      <c r="L10" s="174">
        <v>1.5</v>
      </c>
      <c r="M10" s="380">
        <v>773</v>
      </c>
      <c r="N10" s="176">
        <v>10.565</v>
      </c>
      <c r="O10" s="381">
        <f>6.07+4.46</f>
        <v>10.530000000000001</v>
      </c>
      <c r="P10" s="382"/>
      <c r="Q10" s="176"/>
      <c r="R10" s="176"/>
      <c r="S10" s="176"/>
      <c r="T10" s="383"/>
      <c r="U10" s="380">
        <v>760</v>
      </c>
      <c r="V10" s="371" t="s">
        <v>114</v>
      </c>
      <c r="W10" s="384" t="s">
        <v>4435</v>
      </c>
      <c r="X10" s="178" t="s">
        <v>4436</v>
      </c>
      <c r="Y10" s="385"/>
      <c r="Z10" s="385"/>
      <c r="AA10" s="177">
        <v>44917</v>
      </c>
      <c r="AB10" s="177"/>
      <c r="AC10" s="177">
        <v>44917</v>
      </c>
      <c r="AD10" s="177"/>
      <c r="AE10" s="177">
        <v>44927</v>
      </c>
      <c r="AF10" s="177"/>
      <c r="AG10" s="177"/>
      <c r="AH10" s="177"/>
      <c r="AI10" s="180"/>
      <c r="AJ10" s="173"/>
      <c r="AK10" s="173" t="s">
        <v>4437</v>
      </c>
      <c r="AL10" s="181" t="s">
        <v>69</v>
      </c>
      <c r="AM10" s="181" t="s">
        <v>142</v>
      </c>
      <c r="AN10" s="181" t="s">
        <v>2283</v>
      </c>
      <c r="AO10" s="181"/>
      <c r="AP10" s="181">
        <v>44880</v>
      </c>
      <c r="AQ10" s="173"/>
      <c r="AR10" s="181">
        <f t="shared" ca="1" si="1"/>
        <v>44958</v>
      </c>
      <c r="AS10" s="176">
        <f t="shared" ca="1" si="2"/>
        <v>78</v>
      </c>
      <c r="AT10" s="176">
        <f t="shared" ca="1" si="3"/>
        <v>31</v>
      </c>
      <c r="AU10" s="176"/>
      <c r="AV10" s="176" t="s">
        <v>4442</v>
      </c>
      <c r="AW10" s="176">
        <v>10.6</v>
      </c>
      <c r="AX10" s="176">
        <v>10.61</v>
      </c>
      <c r="AY10" s="173">
        <v>10.634999999999998</v>
      </c>
      <c r="AZ10" s="142">
        <v>10.639999999999999</v>
      </c>
      <c r="BA10" s="142">
        <f t="shared" ca="1" si="4"/>
        <v>41</v>
      </c>
      <c r="BB10" s="142">
        <v>459</v>
      </c>
      <c r="BD10" s="142" t="s">
        <v>123</v>
      </c>
    </row>
    <row r="11" spans="1:56" s="142" customFormat="1" ht="21" customHeight="1" x14ac:dyDescent="0.25">
      <c r="B11" s="173" t="str">
        <f t="shared" si="0"/>
        <v>0-304L/2B-1.20X765</v>
      </c>
      <c r="C11" s="201" t="s">
        <v>5130</v>
      </c>
      <c r="D11" s="173" t="s">
        <v>4432</v>
      </c>
      <c r="E11" s="173" t="s">
        <v>4488</v>
      </c>
      <c r="F11" s="201" t="s">
        <v>5133</v>
      </c>
      <c r="G11" s="173" t="s">
        <v>182</v>
      </c>
      <c r="H11" s="173" t="s">
        <v>114</v>
      </c>
      <c r="I11" s="174">
        <v>3.61</v>
      </c>
      <c r="J11" s="174">
        <v>1.2</v>
      </c>
      <c r="K11" s="174">
        <v>1.18</v>
      </c>
      <c r="L11" s="174">
        <v>1.2</v>
      </c>
      <c r="M11" s="380">
        <v>765</v>
      </c>
      <c r="N11" s="176">
        <v>11.72</v>
      </c>
      <c r="O11" s="381">
        <f>5.515+6.17</f>
        <v>11.684999999999999</v>
      </c>
      <c r="P11" s="382"/>
      <c r="Q11" s="176">
        <v>3.5000000000000003E-2</v>
      </c>
      <c r="R11" s="176"/>
      <c r="S11" s="176"/>
      <c r="T11" s="383"/>
      <c r="U11" s="380">
        <v>760</v>
      </c>
      <c r="V11" s="371" t="s">
        <v>114</v>
      </c>
      <c r="W11" s="384" t="s">
        <v>4486</v>
      </c>
      <c r="X11" s="178" t="s">
        <v>4490</v>
      </c>
      <c r="Y11" s="385"/>
      <c r="Z11" s="385"/>
      <c r="AA11" s="177">
        <v>44904</v>
      </c>
      <c r="AB11" s="177"/>
      <c r="AC11" s="177">
        <v>44904</v>
      </c>
      <c r="AD11" s="177"/>
      <c r="AE11" s="177">
        <v>44928</v>
      </c>
      <c r="AF11" s="177"/>
      <c r="AG11" s="177"/>
      <c r="AH11" s="177"/>
      <c r="AI11" s="180"/>
      <c r="AJ11" s="173"/>
      <c r="AK11" s="173" t="s">
        <v>1609</v>
      </c>
      <c r="AL11" s="181" t="s">
        <v>69</v>
      </c>
      <c r="AM11" s="181" t="s">
        <v>142</v>
      </c>
      <c r="AN11" s="181" t="s">
        <v>1653</v>
      </c>
      <c r="AO11" s="181"/>
      <c r="AP11" s="181">
        <v>44880</v>
      </c>
      <c r="AQ11" s="173"/>
      <c r="AR11" s="181">
        <f t="shared" ca="1" si="1"/>
        <v>44958</v>
      </c>
      <c r="AS11" s="176">
        <f t="shared" ca="1" si="2"/>
        <v>78</v>
      </c>
      <c r="AT11" s="176">
        <f t="shared" ca="1" si="3"/>
        <v>30</v>
      </c>
      <c r="AU11" s="176"/>
      <c r="AV11" s="176" t="s">
        <v>4491</v>
      </c>
      <c r="AW11" s="176">
        <v>11.805</v>
      </c>
      <c r="AX11" s="176">
        <v>11.815</v>
      </c>
      <c r="AY11" s="173">
        <v>11.839999999999998</v>
      </c>
      <c r="AZ11" s="142">
        <v>11.844999999999999</v>
      </c>
      <c r="BA11" s="142">
        <f t="shared" ca="1" si="4"/>
        <v>54</v>
      </c>
      <c r="BB11" s="142">
        <v>459</v>
      </c>
      <c r="BD11" s="142" t="s">
        <v>123</v>
      </c>
    </row>
    <row r="12" spans="1:56" s="142" customFormat="1" ht="21" customHeight="1" x14ac:dyDescent="0.25">
      <c r="B12" s="173" t="str">
        <f t="shared" si="0"/>
        <v>0-304L/2B-1.15X772</v>
      </c>
      <c r="C12" s="201" t="s">
        <v>5134</v>
      </c>
      <c r="D12" s="173" t="s">
        <v>776</v>
      </c>
      <c r="E12" s="173" t="s">
        <v>2517</v>
      </c>
      <c r="F12" s="201" t="s">
        <v>2518</v>
      </c>
      <c r="G12" s="173" t="s">
        <v>182</v>
      </c>
      <c r="H12" s="173" t="s">
        <v>114</v>
      </c>
      <c r="I12" s="174">
        <v>3.51</v>
      </c>
      <c r="J12" s="174">
        <v>1.1499999999999999</v>
      </c>
      <c r="K12" s="174">
        <v>1.1399999999999999</v>
      </c>
      <c r="L12" s="174">
        <v>1.1499999999999999</v>
      </c>
      <c r="M12" s="380">
        <v>772</v>
      </c>
      <c r="N12" s="176">
        <v>4.9000000000000004</v>
      </c>
      <c r="O12" s="381">
        <v>4.9000000000000004</v>
      </c>
      <c r="P12" s="382"/>
      <c r="Q12" s="176"/>
      <c r="R12" s="176"/>
      <c r="S12" s="176"/>
      <c r="T12" s="383"/>
      <c r="U12" s="380">
        <v>772</v>
      </c>
      <c r="V12" s="371" t="s">
        <v>114</v>
      </c>
      <c r="W12" s="384"/>
      <c r="X12" s="178" t="s">
        <v>314</v>
      </c>
      <c r="Y12" s="385" t="s">
        <v>1540</v>
      </c>
      <c r="Z12" s="385"/>
      <c r="AA12" s="177">
        <v>44916</v>
      </c>
      <c r="AB12" s="177"/>
      <c r="AC12" s="177">
        <v>44916</v>
      </c>
      <c r="AD12" s="177"/>
      <c r="AE12" s="177">
        <v>44926</v>
      </c>
      <c r="AF12" s="177"/>
      <c r="AG12" s="177">
        <v>44929</v>
      </c>
      <c r="AH12" s="177"/>
      <c r="AI12" s="180"/>
      <c r="AJ12" s="173"/>
      <c r="AK12" s="173" t="s">
        <v>2470</v>
      </c>
      <c r="AL12" s="181" t="s">
        <v>69</v>
      </c>
      <c r="AM12" s="181" t="s">
        <v>142</v>
      </c>
      <c r="AN12" s="181" t="s">
        <v>1584</v>
      </c>
      <c r="AO12" s="181"/>
      <c r="AP12" s="181">
        <v>44914</v>
      </c>
      <c r="AQ12" s="173"/>
      <c r="AR12" s="181">
        <f t="shared" ca="1" si="1"/>
        <v>44958</v>
      </c>
      <c r="AS12" s="176">
        <f t="shared" ca="1" si="2"/>
        <v>44</v>
      </c>
      <c r="AT12" s="176">
        <f t="shared" ca="1" si="3"/>
        <v>32</v>
      </c>
      <c r="AU12" s="176"/>
      <c r="AV12" s="176" t="s">
        <v>2519</v>
      </c>
      <c r="AW12" s="176">
        <v>10.55</v>
      </c>
      <c r="AX12" s="176">
        <v>10.56</v>
      </c>
      <c r="AY12" s="173">
        <v>10.584999999999999</v>
      </c>
      <c r="AZ12" s="142">
        <v>10.59</v>
      </c>
      <c r="BA12" s="142">
        <f t="shared" ca="1" si="4"/>
        <v>42</v>
      </c>
      <c r="BB12" s="142">
        <v>462</v>
      </c>
      <c r="BD12" s="142" t="s">
        <v>123</v>
      </c>
    </row>
    <row r="13" spans="1:56" s="142" customFormat="1" ht="21" customHeight="1" x14ac:dyDescent="0.25">
      <c r="B13" s="173" t="str">
        <f t="shared" si="0"/>
        <v>0-304L/2B-1.50X772</v>
      </c>
      <c r="C13" s="201" t="s">
        <v>5130</v>
      </c>
      <c r="D13" s="173" t="s">
        <v>4432</v>
      </c>
      <c r="E13" s="173" t="s">
        <v>4443</v>
      </c>
      <c r="F13" s="201" t="s">
        <v>4448</v>
      </c>
      <c r="G13" s="173" t="s">
        <v>182</v>
      </c>
      <c r="H13" s="173" t="s">
        <v>114</v>
      </c>
      <c r="I13" s="174">
        <v>3.79</v>
      </c>
      <c r="J13" s="174">
        <v>1.5</v>
      </c>
      <c r="K13" s="174">
        <v>1.5</v>
      </c>
      <c r="L13" s="174">
        <v>1.52</v>
      </c>
      <c r="M13" s="380">
        <v>772</v>
      </c>
      <c r="N13" s="176">
        <v>4.0149999999999997</v>
      </c>
      <c r="O13" s="381">
        <v>3.98</v>
      </c>
      <c r="P13" s="382"/>
      <c r="Q13" s="176"/>
      <c r="R13" s="176"/>
      <c r="S13" s="176"/>
      <c r="T13" s="383"/>
      <c r="U13" s="380">
        <v>760</v>
      </c>
      <c r="V13" s="371" t="s">
        <v>114</v>
      </c>
      <c r="W13" s="384" t="s">
        <v>4435</v>
      </c>
      <c r="X13" s="178" t="s">
        <v>4436</v>
      </c>
      <c r="Y13" s="385"/>
      <c r="Z13" s="385"/>
      <c r="AA13" s="177">
        <v>44916</v>
      </c>
      <c r="AB13" s="177"/>
      <c r="AC13" s="177">
        <v>44917</v>
      </c>
      <c r="AD13" s="177"/>
      <c r="AE13" s="177">
        <v>44927</v>
      </c>
      <c r="AF13" s="177"/>
      <c r="AG13" s="177"/>
      <c r="AH13" s="177"/>
      <c r="AI13" s="180"/>
      <c r="AJ13" s="173"/>
      <c r="AK13" s="173" t="s">
        <v>4437</v>
      </c>
      <c r="AL13" s="181" t="s">
        <v>69</v>
      </c>
      <c r="AM13" s="181" t="s">
        <v>142</v>
      </c>
      <c r="AN13" s="181" t="s">
        <v>1653</v>
      </c>
      <c r="AO13" s="181"/>
      <c r="AP13" s="181">
        <v>44880</v>
      </c>
      <c r="AQ13" s="173"/>
      <c r="AR13" s="181">
        <f t="shared" ca="1" si="1"/>
        <v>44958</v>
      </c>
      <c r="AS13" s="176">
        <f t="shared" ca="1" si="2"/>
        <v>78</v>
      </c>
      <c r="AT13" s="176">
        <f t="shared" ca="1" si="3"/>
        <v>31</v>
      </c>
      <c r="AU13" s="176"/>
      <c r="AV13" s="176" t="s">
        <v>4447</v>
      </c>
      <c r="AW13" s="176">
        <v>12.095000000000001</v>
      </c>
      <c r="AX13" s="176">
        <v>12.105</v>
      </c>
      <c r="AY13" s="173">
        <v>12.129999999999999</v>
      </c>
      <c r="AZ13" s="142">
        <v>12.135</v>
      </c>
      <c r="BA13" s="142">
        <f t="shared" ca="1" si="4"/>
        <v>41</v>
      </c>
      <c r="BB13" s="142">
        <v>459</v>
      </c>
      <c r="BD13" s="142" t="s">
        <v>123</v>
      </c>
    </row>
    <row r="14" spans="1:56" s="142" customFormat="1" ht="21" customHeight="1" x14ac:dyDescent="0.25">
      <c r="B14" s="173" t="str">
        <f t="shared" si="0"/>
        <v>0-J3/2B-0.72X620</v>
      </c>
      <c r="C14" s="201" t="s">
        <v>5130</v>
      </c>
      <c r="D14" s="173" t="s">
        <v>4432</v>
      </c>
      <c r="E14" s="173" t="s">
        <v>4458</v>
      </c>
      <c r="F14" s="201" t="s">
        <v>5135</v>
      </c>
      <c r="G14" s="173" t="s">
        <v>34</v>
      </c>
      <c r="H14" s="173" t="s">
        <v>114</v>
      </c>
      <c r="I14" s="174">
        <v>2.2000000000000002</v>
      </c>
      <c r="J14" s="174">
        <v>0.72</v>
      </c>
      <c r="K14" s="174">
        <v>0.73</v>
      </c>
      <c r="L14" s="174">
        <v>0.75</v>
      </c>
      <c r="M14" s="380">
        <v>620</v>
      </c>
      <c r="N14" s="176">
        <v>9.98</v>
      </c>
      <c r="O14" s="381">
        <f>3.26+3.475+2.915</f>
        <v>9.6499999999999986</v>
      </c>
      <c r="P14" s="382"/>
      <c r="Q14" s="176">
        <v>6.5000000000000002E-2</v>
      </c>
      <c r="R14" s="176"/>
      <c r="S14" s="176"/>
      <c r="T14" s="383"/>
      <c r="U14" s="380" t="s">
        <v>5124</v>
      </c>
      <c r="V14" s="371" t="s">
        <v>114</v>
      </c>
      <c r="W14" s="384" t="s">
        <v>5125</v>
      </c>
      <c r="X14" s="178" t="s">
        <v>4457</v>
      </c>
      <c r="Y14" s="385"/>
      <c r="Z14" s="385"/>
      <c r="AA14" s="177">
        <v>44924</v>
      </c>
      <c r="AB14" s="177"/>
      <c r="AC14" s="177">
        <v>44925</v>
      </c>
      <c r="AD14" s="177"/>
      <c r="AE14" s="177">
        <v>44927</v>
      </c>
      <c r="AF14" s="177"/>
      <c r="AG14" s="177"/>
      <c r="AH14" s="177"/>
      <c r="AI14" s="180"/>
      <c r="AJ14" s="173"/>
      <c r="AK14" s="173"/>
      <c r="AL14" s="181" t="s">
        <v>69</v>
      </c>
      <c r="AM14" s="181" t="s">
        <v>248</v>
      </c>
      <c r="AN14" s="181" t="s">
        <v>2781</v>
      </c>
      <c r="AO14" s="181">
        <v>44902</v>
      </c>
      <c r="AP14" s="181">
        <v>44922</v>
      </c>
      <c r="AQ14" s="173"/>
      <c r="AR14" s="181">
        <f t="shared" ca="1" si="1"/>
        <v>44958</v>
      </c>
      <c r="AS14" s="176">
        <f t="shared" ca="1" si="2"/>
        <v>36</v>
      </c>
      <c r="AT14" s="176">
        <f t="shared" ca="1" si="3"/>
        <v>31</v>
      </c>
      <c r="AU14" s="176" t="s">
        <v>2782</v>
      </c>
      <c r="AV14" s="176" t="s">
        <v>2810</v>
      </c>
      <c r="AW14" s="176">
        <v>9.9949999999999992</v>
      </c>
      <c r="AX14" s="176">
        <v>10.034999999999998</v>
      </c>
      <c r="AY14" s="173">
        <v>9.98</v>
      </c>
      <c r="AZ14" s="142">
        <v>9.98</v>
      </c>
      <c r="BB14" s="142">
        <v>463</v>
      </c>
      <c r="BD14" s="142" t="s">
        <v>123</v>
      </c>
    </row>
    <row r="15" spans="1:56" s="142" customFormat="1" ht="21" customHeight="1" x14ac:dyDescent="0.25">
      <c r="B15" s="173" t="str">
        <f t="shared" si="0"/>
        <v>0-304L/2B-1.20X772</v>
      </c>
      <c r="C15" s="201" t="s">
        <v>5136</v>
      </c>
      <c r="D15" s="173" t="s">
        <v>4432</v>
      </c>
      <c r="E15" s="173" t="s">
        <v>4496</v>
      </c>
      <c r="F15" s="201" t="s">
        <v>4500</v>
      </c>
      <c r="G15" s="173" t="s">
        <v>182</v>
      </c>
      <c r="H15" s="173" t="s">
        <v>114</v>
      </c>
      <c r="I15" s="174">
        <v>3.57</v>
      </c>
      <c r="J15" s="174">
        <v>1.2</v>
      </c>
      <c r="K15" s="174">
        <v>1.17</v>
      </c>
      <c r="L15" s="174">
        <v>1.2</v>
      </c>
      <c r="M15" s="380">
        <v>772</v>
      </c>
      <c r="N15" s="176">
        <v>5.8650000000000002</v>
      </c>
      <c r="O15" s="381">
        <v>5.82</v>
      </c>
      <c r="P15" s="382"/>
      <c r="Q15" s="176">
        <v>4.4999999999999998E-2</v>
      </c>
      <c r="R15" s="176"/>
      <c r="S15" s="176"/>
      <c r="T15" s="383"/>
      <c r="U15" s="380">
        <v>760</v>
      </c>
      <c r="V15" s="371" t="s">
        <v>114</v>
      </c>
      <c r="W15" s="384" t="s">
        <v>4486</v>
      </c>
      <c r="X15" s="178" t="s">
        <v>4378</v>
      </c>
      <c r="Y15" s="385"/>
      <c r="Z15" s="385"/>
      <c r="AA15" s="177">
        <v>44906</v>
      </c>
      <c r="AB15" s="177"/>
      <c r="AC15" s="177">
        <v>44906</v>
      </c>
      <c r="AD15" s="177"/>
      <c r="AE15" s="177">
        <v>44929</v>
      </c>
      <c r="AF15" s="177"/>
      <c r="AG15" s="177"/>
      <c r="AH15" s="177"/>
      <c r="AI15" s="180"/>
      <c r="AJ15" s="173"/>
      <c r="AK15" s="173" t="s">
        <v>1609</v>
      </c>
      <c r="AL15" s="181" t="s">
        <v>69</v>
      </c>
      <c r="AM15" s="181" t="s">
        <v>142</v>
      </c>
      <c r="AN15" s="181" t="s">
        <v>2283</v>
      </c>
      <c r="AO15" s="181"/>
      <c r="AP15" s="181">
        <v>44880</v>
      </c>
      <c r="AQ15" s="173"/>
      <c r="AR15" s="181">
        <f t="shared" ca="1" si="1"/>
        <v>44958</v>
      </c>
      <c r="AS15" s="176">
        <f t="shared" ca="1" si="2"/>
        <v>78</v>
      </c>
      <c r="AT15" s="176">
        <f t="shared" ca="1" si="3"/>
        <v>29</v>
      </c>
      <c r="AU15" s="176"/>
      <c r="AV15" s="176" t="s">
        <v>4498</v>
      </c>
      <c r="AW15" s="176">
        <v>11.765000000000001</v>
      </c>
      <c r="AX15" s="176">
        <v>11.775</v>
      </c>
      <c r="AY15" s="173">
        <v>11.799999999999999</v>
      </c>
      <c r="AZ15" s="142">
        <v>11.805</v>
      </c>
      <c r="BA15" s="142">
        <f t="shared" ref="BA15:BA31" ca="1" si="5">IF(ISNUMBER(AC15)=TRUE,AR15-AC15,IF(AC15="","",(AR15)-(MID(RIGHT(AC15,10),4,2)&amp;"/"&amp;LEFT((RIGHT(AC15,10)),2)&amp;"/"&amp;RIGHT(AC15,4))))</f>
        <v>52</v>
      </c>
      <c r="BB15" s="142">
        <v>459</v>
      </c>
      <c r="BD15" s="142" t="s">
        <v>123</v>
      </c>
    </row>
    <row r="16" spans="1:56" s="142" customFormat="1" ht="21" customHeight="1" x14ac:dyDescent="0.25">
      <c r="B16" s="173" t="str">
        <f t="shared" si="0"/>
        <v>0-304L/2B-0.58X641</v>
      </c>
      <c r="C16" s="201" t="s">
        <v>5137</v>
      </c>
      <c r="D16" s="173" t="s">
        <v>1237</v>
      </c>
      <c r="E16" s="173" t="s">
        <v>3992</v>
      </c>
      <c r="F16" s="201" t="s">
        <v>3993</v>
      </c>
      <c r="G16" s="173" t="s">
        <v>182</v>
      </c>
      <c r="H16" s="173" t="s">
        <v>114</v>
      </c>
      <c r="I16" s="174">
        <v>2.88</v>
      </c>
      <c r="J16" s="174">
        <v>0.57999999999999996</v>
      </c>
      <c r="K16" s="174">
        <v>0.56999999999999995</v>
      </c>
      <c r="L16" s="174">
        <v>0.59</v>
      </c>
      <c r="M16" s="380">
        <v>641</v>
      </c>
      <c r="N16" s="176">
        <v>10.484999999999999</v>
      </c>
      <c r="O16" s="381">
        <v>10.58</v>
      </c>
      <c r="P16" s="382"/>
      <c r="Q16" s="176"/>
      <c r="R16" s="176"/>
      <c r="S16" s="176"/>
      <c r="T16" s="383"/>
      <c r="U16" s="380">
        <v>630</v>
      </c>
      <c r="V16" s="371" t="s">
        <v>114</v>
      </c>
      <c r="W16" s="384"/>
      <c r="X16" s="178" t="s">
        <v>1344</v>
      </c>
      <c r="Y16" s="385"/>
      <c r="Z16" s="385" t="s">
        <v>230</v>
      </c>
      <c r="AA16" s="177">
        <v>44921</v>
      </c>
      <c r="AB16" s="177"/>
      <c r="AC16" s="177"/>
      <c r="AD16" s="177">
        <v>44923</v>
      </c>
      <c r="AE16" s="177">
        <v>44929</v>
      </c>
      <c r="AF16" s="177"/>
      <c r="AG16" s="177" t="s">
        <v>3969</v>
      </c>
      <c r="AH16" s="177"/>
      <c r="AI16" s="180"/>
      <c r="AJ16" s="173"/>
      <c r="AK16" s="173" t="s">
        <v>2479</v>
      </c>
      <c r="AL16" s="181" t="s">
        <v>69</v>
      </c>
      <c r="AM16" s="181" t="s">
        <v>142</v>
      </c>
      <c r="AN16" s="181" t="s">
        <v>1594</v>
      </c>
      <c r="AO16" s="181"/>
      <c r="AP16" s="181">
        <v>44849</v>
      </c>
      <c r="AQ16" s="173"/>
      <c r="AR16" s="181">
        <f t="shared" ca="1" si="1"/>
        <v>44958</v>
      </c>
      <c r="AS16" s="176">
        <f t="shared" ca="1" si="2"/>
        <v>109</v>
      </c>
      <c r="AT16" s="176">
        <f t="shared" ca="1" si="3"/>
        <v>29</v>
      </c>
      <c r="AU16" s="176"/>
      <c r="AV16" s="176" t="s">
        <v>3995</v>
      </c>
      <c r="AW16" s="176">
        <v>10.705</v>
      </c>
      <c r="AX16" s="176">
        <v>10.715</v>
      </c>
      <c r="AY16" s="173">
        <v>10.739999999999998</v>
      </c>
      <c r="AZ16" s="142">
        <v>10.744999999999999</v>
      </c>
      <c r="BA16" s="142" t="str">
        <f t="shared" si="5"/>
        <v/>
      </c>
      <c r="BB16" s="142">
        <v>456</v>
      </c>
      <c r="BD16" s="142" t="s">
        <v>123</v>
      </c>
    </row>
    <row r="17" spans="2:56" s="142" customFormat="1" ht="21" customHeight="1" x14ac:dyDescent="0.25">
      <c r="B17" s="173" t="str">
        <f t="shared" si="0"/>
        <v>0-304L/2B-1.15X770</v>
      </c>
      <c r="C17" s="201" t="s">
        <v>5136</v>
      </c>
      <c r="D17" s="173" t="s">
        <v>4432</v>
      </c>
      <c r="E17" s="173" t="s">
        <v>4510</v>
      </c>
      <c r="F17" s="201" t="s">
        <v>5138</v>
      </c>
      <c r="G17" s="173" t="s">
        <v>182</v>
      </c>
      <c r="H17" s="173" t="s">
        <v>114</v>
      </c>
      <c r="I17" s="174">
        <v>3.44</v>
      </c>
      <c r="J17" s="174">
        <v>1.1499999999999999</v>
      </c>
      <c r="K17" s="174">
        <v>1.1299999999999999</v>
      </c>
      <c r="L17" s="174">
        <v>1.1499999999999999</v>
      </c>
      <c r="M17" s="380">
        <v>770</v>
      </c>
      <c r="N17" s="176">
        <v>5.14</v>
      </c>
      <c r="O17" s="381">
        <v>5.0449999999999999</v>
      </c>
      <c r="P17" s="382"/>
      <c r="Q17" s="176"/>
      <c r="R17" s="176"/>
      <c r="S17" s="176"/>
      <c r="T17" s="383"/>
      <c r="U17" s="380" t="s">
        <v>5124</v>
      </c>
      <c r="V17" s="371" t="s">
        <v>114</v>
      </c>
      <c r="W17" s="384" t="s">
        <v>5139</v>
      </c>
      <c r="X17" s="178" t="s">
        <v>361</v>
      </c>
      <c r="Y17" s="385"/>
      <c r="Z17" s="385"/>
      <c r="AA17" s="177">
        <v>44923</v>
      </c>
      <c r="AB17" s="177"/>
      <c r="AC17" s="177">
        <v>44923</v>
      </c>
      <c r="AD17" s="177"/>
      <c r="AE17" s="177">
        <v>44929</v>
      </c>
      <c r="AF17" s="177"/>
      <c r="AG17" s="177"/>
      <c r="AH17" s="177"/>
      <c r="AI17" s="180"/>
      <c r="AJ17" s="173"/>
      <c r="AK17" s="173" t="s">
        <v>2479</v>
      </c>
      <c r="AL17" s="181" t="s">
        <v>69</v>
      </c>
      <c r="AM17" s="181" t="s">
        <v>142</v>
      </c>
      <c r="AN17" s="181" t="s">
        <v>1584</v>
      </c>
      <c r="AO17" s="181"/>
      <c r="AP17" s="181">
        <v>44914</v>
      </c>
      <c r="AQ17" s="173"/>
      <c r="AR17" s="181">
        <f t="shared" ca="1" si="1"/>
        <v>44958</v>
      </c>
      <c r="AS17" s="176">
        <f t="shared" ca="1" si="2"/>
        <v>44</v>
      </c>
      <c r="AT17" s="176">
        <f t="shared" ca="1" si="3"/>
        <v>29</v>
      </c>
      <c r="AU17" s="176"/>
      <c r="AV17" s="176" t="s">
        <v>4004</v>
      </c>
      <c r="AW17" s="176">
        <v>10.375</v>
      </c>
      <c r="AX17" s="176">
        <v>10.385</v>
      </c>
      <c r="AY17" s="173">
        <v>10.409999999999998</v>
      </c>
      <c r="AZ17" s="142">
        <v>10.414999999999999</v>
      </c>
      <c r="BA17" s="142">
        <f t="shared" ca="1" si="5"/>
        <v>35</v>
      </c>
      <c r="BB17" s="142">
        <v>462</v>
      </c>
      <c r="BD17" s="142" t="s">
        <v>123</v>
      </c>
    </row>
    <row r="18" spans="2:56" s="142" customFormat="1" ht="21" customHeight="1" x14ac:dyDescent="0.25">
      <c r="B18" s="173" t="str">
        <f t="shared" si="0"/>
        <v>0-304L/2B-1.20X772</v>
      </c>
      <c r="C18" s="201" t="s">
        <v>5136</v>
      </c>
      <c r="D18" s="173" t="s">
        <v>4432</v>
      </c>
      <c r="E18" s="173" t="s">
        <v>4533</v>
      </c>
      <c r="F18" s="201" t="s">
        <v>4536</v>
      </c>
      <c r="G18" s="173" t="s">
        <v>182</v>
      </c>
      <c r="H18" s="173" t="s">
        <v>114</v>
      </c>
      <c r="I18" s="174">
        <v>3.58</v>
      </c>
      <c r="J18" s="174">
        <v>1.2</v>
      </c>
      <c r="K18" s="174">
        <v>1.18</v>
      </c>
      <c r="L18" s="174">
        <v>1.2</v>
      </c>
      <c r="M18" s="380">
        <v>772</v>
      </c>
      <c r="N18" s="176">
        <v>6.04</v>
      </c>
      <c r="O18" s="381">
        <v>6</v>
      </c>
      <c r="P18" s="382"/>
      <c r="Q18" s="176"/>
      <c r="R18" s="176"/>
      <c r="S18" s="176"/>
      <c r="T18" s="383"/>
      <c r="U18" s="380">
        <v>760</v>
      </c>
      <c r="V18" s="371" t="s">
        <v>114</v>
      </c>
      <c r="W18" s="384" t="s">
        <v>4486</v>
      </c>
      <c r="X18" s="178" t="s">
        <v>4378</v>
      </c>
      <c r="Y18" s="385"/>
      <c r="Z18" s="385"/>
      <c r="AA18" s="177">
        <v>44906</v>
      </c>
      <c r="AB18" s="177"/>
      <c r="AC18" s="177">
        <v>44906</v>
      </c>
      <c r="AD18" s="177"/>
      <c r="AE18" s="177">
        <v>44930</v>
      </c>
      <c r="AF18" s="177"/>
      <c r="AG18" s="177"/>
      <c r="AH18" s="177"/>
      <c r="AI18" s="180"/>
      <c r="AJ18" s="173"/>
      <c r="AK18" s="173" t="s">
        <v>1609</v>
      </c>
      <c r="AL18" s="181" t="s">
        <v>69</v>
      </c>
      <c r="AM18" s="181" t="s">
        <v>142</v>
      </c>
      <c r="AN18" s="181" t="s">
        <v>1653</v>
      </c>
      <c r="AO18" s="181"/>
      <c r="AP18" s="181">
        <v>44880</v>
      </c>
      <c r="AQ18" s="173"/>
      <c r="AR18" s="181">
        <f t="shared" ca="1" si="1"/>
        <v>44958</v>
      </c>
      <c r="AS18" s="176">
        <f t="shared" ca="1" si="2"/>
        <v>78</v>
      </c>
      <c r="AT18" s="176">
        <f t="shared" ca="1" si="3"/>
        <v>28</v>
      </c>
      <c r="AU18" s="176"/>
      <c r="AV18" s="176" t="s">
        <v>4535</v>
      </c>
      <c r="AW18" s="176">
        <v>11.98</v>
      </c>
      <c r="AX18" s="176">
        <v>11.99</v>
      </c>
      <c r="AY18" s="173">
        <v>12.014999999999999</v>
      </c>
      <c r="AZ18" s="142">
        <v>12.02</v>
      </c>
      <c r="BA18" s="142">
        <f t="shared" ca="1" si="5"/>
        <v>52</v>
      </c>
      <c r="BB18" s="142">
        <v>459</v>
      </c>
      <c r="BD18" s="142" t="s">
        <v>123</v>
      </c>
    </row>
    <row r="19" spans="2:56" s="142" customFormat="1" ht="21" customHeight="1" x14ac:dyDescent="0.25">
      <c r="B19" s="173" t="str">
        <f t="shared" si="0"/>
        <v>0-304L/2B-0.58X641</v>
      </c>
      <c r="C19" s="201" t="s">
        <v>5137</v>
      </c>
      <c r="D19" s="173" t="s">
        <v>1237</v>
      </c>
      <c r="E19" s="173" t="s">
        <v>3966</v>
      </c>
      <c r="F19" s="201" t="s">
        <v>3967</v>
      </c>
      <c r="G19" s="173" t="s">
        <v>182</v>
      </c>
      <c r="H19" s="173" t="s">
        <v>114</v>
      </c>
      <c r="I19" s="174">
        <v>2.88</v>
      </c>
      <c r="J19" s="174">
        <v>0.57999999999999996</v>
      </c>
      <c r="K19" s="174">
        <v>0.56000000000000005</v>
      </c>
      <c r="L19" s="174">
        <v>0.56999999999999995</v>
      </c>
      <c r="M19" s="380">
        <v>641</v>
      </c>
      <c r="N19" s="176">
        <v>10.66</v>
      </c>
      <c r="O19" s="381">
        <v>10.555</v>
      </c>
      <c r="P19" s="382"/>
      <c r="Q19" s="176"/>
      <c r="R19" s="176"/>
      <c r="S19" s="176"/>
      <c r="T19" s="383"/>
      <c r="U19" s="380">
        <v>630</v>
      </c>
      <c r="V19" s="371" t="s">
        <v>114</v>
      </c>
      <c r="W19" s="384"/>
      <c r="X19" s="178" t="s">
        <v>1344</v>
      </c>
      <c r="Y19" s="385"/>
      <c r="Z19" s="385" t="s">
        <v>230</v>
      </c>
      <c r="AA19" s="177">
        <v>44918</v>
      </c>
      <c r="AB19" s="177"/>
      <c r="AC19" s="177"/>
      <c r="AD19" s="177">
        <v>44922</v>
      </c>
      <c r="AE19" s="177">
        <v>44930</v>
      </c>
      <c r="AF19" s="177"/>
      <c r="AG19" s="177" t="s">
        <v>3969</v>
      </c>
      <c r="AH19" s="177"/>
      <c r="AI19" s="180"/>
      <c r="AJ19" s="173"/>
      <c r="AK19" s="173" t="s">
        <v>2479</v>
      </c>
      <c r="AL19" s="181" t="s">
        <v>69</v>
      </c>
      <c r="AM19" s="181" t="s">
        <v>142</v>
      </c>
      <c r="AN19" s="181" t="s">
        <v>1594</v>
      </c>
      <c r="AO19" s="181"/>
      <c r="AP19" s="181">
        <v>44849</v>
      </c>
      <c r="AQ19" s="173"/>
      <c r="AR19" s="181">
        <f t="shared" ca="1" si="1"/>
        <v>44958</v>
      </c>
      <c r="AS19" s="176">
        <f t="shared" ca="1" si="2"/>
        <v>109</v>
      </c>
      <c r="AT19" s="176">
        <f t="shared" ca="1" si="3"/>
        <v>28</v>
      </c>
      <c r="AU19" s="176"/>
      <c r="AV19" s="176" t="s">
        <v>3970</v>
      </c>
      <c r="AW19" s="176">
        <v>10.715</v>
      </c>
      <c r="AX19" s="176">
        <v>10.725</v>
      </c>
      <c r="AY19" s="173">
        <v>10.749999999999998</v>
      </c>
      <c r="AZ19" s="142">
        <v>10.754999999999999</v>
      </c>
      <c r="BA19" s="142" t="str">
        <f t="shared" si="5"/>
        <v/>
      </c>
      <c r="BB19" s="142">
        <v>456</v>
      </c>
      <c r="BD19" s="142" t="s">
        <v>123</v>
      </c>
    </row>
    <row r="20" spans="2:56" s="142" customFormat="1" ht="21" customHeight="1" x14ac:dyDescent="0.25">
      <c r="B20" s="173" t="str">
        <f t="shared" si="0"/>
        <v>0-304/2B-2.00X769</v>
      </c>
      <c r="C20" s="201" t="s">
        <v>5140</v>
      </c>
      <c r="D20" s="173" t="s">
        <v>4432</v>
      </c>
      <c r="E20" s="173" t="s">
        <v>4528</v>
      </c>
      <c r="F20" s="201" t="s">
        <v>4532</v>
      </c>
      <c r="G20" s="173">
        <v>304</v>
      </c>
      <c r="H20" s="173" t="s">
        <v>114</v>
      </c>
      <c r="I20" s="174">
        <v>3.87</v>
      </c>
      <c r="J20" s="174">
        <v>2</v>
      </c>
      <c r="K20" s="174">
        <v>1.97</v>
      </c>
      <c r="L20" s="174">
        <v>1.98</v>
      </c>
      <c r="M20" s="380">
        <v>769</v>
      </c>
      <c r="N20" s="176">
        <v>5.12</v>
      </c>
      <c r="O20" s="381">
        <v>5.1100000000000003</v>
      </c>
      <c r="P20" s="382"/>
      <c r="Q20" s="176"/>
      <c r="R20" s="176">
        <v>0.01</v>
      </c>
      <c r="S20" s="176"/>
      <c r="T20" s="383"/>
      <c r="U20" s="380">
        <v>760</v>
      </c>
      <c r="V20" s="371" t="s">
        <v>114</v>
      </c>
      <c r="W20" s="384" t="s">
        <v>4486</v>
      </c>
      <c r="X20" s="178" t="s">
        <v>4378</v>
      </c>
      <c r="Y20" s="385"/>
      <c r="Z20" s="385"/>
      <c r="AA20" s="177">
        <v>44904</v>
      </c>
      <c r="AB20" s="177"/>
      <c r="AC20" s="177">
        <v>44905</v>
      </c>
      <c r="AD20" s="177"/>
      <c r="AE20" s="177">
        <v>44930</v>
      </c>
      <c r="AF20" s="177"/>
      <c r="AG20" s="177"/>
      <c r="AH20" s="177"/>
      <c r="AI20" s="180"/>
      <c r="AJ20" s="173"/>
      <c r="AK20" s="173" t="s">
        <v>4482</v>
      </c>
      <c r="AL20" s="181" t="s">
        <v>69</v>
      </c>
      <c r="AM20" s="181" t="s">
        <v>142</v>
      </c>
      <c r="AN20" s="181" t="s">
        <v>1653</v>
      </c>
      <c r="AO20" s="181"/>
      <c r="AP20" s="181">
        <v>44880</v>
      </c>
      <c r="AQ20" s="173"/>
      <c r="AR20" s="181">
        <f t="shared" ca="1" si="1"/>
        <v>44958</v>
      </c>
      <c r="AS20" s="176">
        <f t="shared" ca="1" si="2"/>
        <v>78</v>
      </c>
      <c r="AT20" s="176">
        <f t="shared" ca="1" si="3"/>
        <v>28</v>
      </c>
      <c r="AU20" s="176"/>
      <c r="AV20" s="176" t="s">
        <v>4530</v>
      </c>
      <c r="AW20" s="176">
        <v>10.210000000000001</v>
      </c>
      <c r="AX20" s="176">
        <v>10.220000000000001</v>
      </c>
      <c r="AY20" s="173">
        <v>10.244999999999999</v>
      </c>
      <c r="AZ20" s="142">
        <v>10.25</v>
      </c>
      <c r="BA20" s="142">
        <f t="shared" ca="1" si="5"/>
        <v>53</v>
      </c>
      <c r="BB20" s="142">
        <v>459</v>
      </c>
      <c r="BD20" s="142" t="s">
        <v>123</v>
      </c>
    </row>
    <row r="21" spans="2:56" s="142" customFormat="1" ht="21" customHeight="1" x14ac:dyDescent="0.25">
      <c r="B21" s="173" t="str">
        <f t="shared" si="0"/>
        <v>0-J3/2B-0.75X620</v>
      </c>
      <c r="C21" s="201" t="s">
        <v>5140</v>
      </c>
      <c r="D21" s="173" t="s">
        <v>4432</v>
      </c>
      <c r="E21" s="173" t="s">
        <v>5141</v>
      </c>
      <c r="F21" s="201" t="s">
        <v>5142</v>
      </c>
      <c r="G21" s="173" t="s">
        <v>34</v>
      </c>
      <c r="H21" s="173" t="s">
        <v>114</v>
      </c>
      <c r="I21" s="174">
        <v>2.2000000000000002</v>
      </c>
      <c r="J21" s="174">
        <v>0.75</v>
      </c>
      <c r="K21" s="174">
        <v>0.75</v>
      </c>
      <c r="L21" s="174">
        <v>0.77</v>
      </c>
      <c r="M21" s="380">
        <v>620</v>
      </c>
      <c r="N21" s="176">
        <v>5.03</v>
      </c>
      <c r="O21" s="381">
        <v>4.9349999999999996</v>
      </c>
      <c r="P21" s="382"/>
      <c r="Q21" s="176">
        <v>0.03</v>
      </c>
      <c r="R21" s="176"/>
      <c r="S21" s="176"/>
      <c r="T21" s="383"/>
      <c r="U21" s="380" t="s">
        <v>5124</v>
      </c>
      <c r="V21" s="371" t="s">
        <v>114</v>
      </c>
      <c r="W21" s="384" t="s">
        <v>5143</v>
      </c>
      <c r="X21" s="178" t="s">
        <v>361</v>
      </c>
      <c r="Y21" s="385" t="s">
        <v>295</v>
      </c>
      <c r="Z21" s="385"/>
      <c r="AA21" s="177">
        <v>44758</v>
      </c>
      <c r="AB21" s="177"/>
      <c r="AC21" s="177">
        <v>44758</v>
      </c>
      <c r="AD21" s="177"/>
      <c r="AE21" s="177">
        <v>44667</v>
      </c>
      <c r="AF21" s="177"/>
      <c r="AG21" s="177"/>
      <c r="AH21" s="177"/>
      <c r="AI21" s="180"/>
      <c r="AJ21" s="173"/>
      <c r="AK21" s="173"/>
      <c r="AL21" s="181" t="s">
        <v>69</v>
      </c>
      <c r="AM21" s="181" t="s">
        <v>248</v>
      </c>
      <c r="AN21" s="181" t="s">
        <v>924</v>
      </c>
      <c r="AO21" s="181">
        <v>44697</v>
      </c>
      <c r="AP21" s="181">
        <v>44721</v>
      </c>
      <c r="AQ21" s="173"/>
      <c r="AR21" s="181">
        <f t="shared" ca="1" si="1"/>
        <v>44958</v>
      </c>
      <c r="AS21" s="176">
        <f t="shared" ca="1" si="2"/>
        <v>237</v>
      </c>
      <c r="AT21" s="176">
        <f t="shared" ca="1" si="3"/>
        <v>291</v>
      </c>
      <c r="AU21" s="176" t="s">
        <v>948</v>
      </c>
      <c r="AV21" s="176" t="s">
        <v>949</v>
      </c>
      <c r="AW21" s="176">
        <v>5.0670000000000002</v>
      </c>
      <c r="AX21" s="176">
        <v>5.1070000000000002</v>
      </c>
      <c r="AY21" s="173">
        <v>5.1320000000000006</v>
      </c>
      <c r="AZ21" s="142">
        <v>5.1370000000000005</v>
      </c>
      <c r="BA21" s="142">
        <f t="shared" ca="1" si="5"/>
        <v>200</v>
      </c>
      <c r="BB21" s="142">
        <v>440</v>
      </c>
      <c r="BD21" s="142" t="s">
        <v>123</v>
      </c>
    </row>
    <row r="22" spans="2:56" s="142" customFormat="1" ht="21" customHeight="1" x14ac:dyDescent="0.25">
      <c r="B22" s="173" t="str">
        <f>IF(C22="HOLD RM","HOLD RM",IF(C22="BAL","WIP",IF(C22="HOLD SLT","HOLD SLT",IF(C22="MILL","RM",IF(C22="RE SLT","WIP",IF(C22="RM","RM",IF(C22="RM BAL","RM",IF(C22="RM SLT","RM",IF(C22="RR","WIP",IF(C22="SKP","WIP",IF(C22="SLT","WIP",IF(C22="CTL","WIP",IF(C22="RM SLT RUST","RM SLT RUST",0)))))))))))))&amp;"-"&amp;G22&amp;"/"&amp;IF(H22="2B","2B",IF(H22="NO.1","1D",IF(H22="FH","FH",0)))&amp;"-"&amp;IF(J22="",(TEXT(I22,"0.00")),TEXT(J22,"0.00"))&amp;"X"&amp;M22</f>
        <v>0-304/2B-1.50X767</v>
      </c>
      <c r="C22" s="201" t="s">
        <v>5144</v>
      </c>
      <c r="D22" s="173" t="s">
        <v>4432</v>
      </c>
      <c r="E22" s="173" t="s">
        <v>4570</v>
      </c>
      <c r="F22" s="201" t="s">
        <v>5145</v>
      </c>
      <c r="G22" s="173">
        <v>304</v>
      </c>
      <c r="H22" s="173" t="s">
        <v>114</v>
      </c>
      <c r="I22" s="174">
        <v>3.84</v>
      </c>
      <c r="J22" s="174">
        <v>1.5</v>
      </c>
      <c r="K22" s="174">
        <v>1.48</v>
      </c>
      <c r="L22" s="174">
        <v>1.5</v>
      </c>
      <c r="M22" s="380">
        <v>767</v>
      </c>
      <c r="N22" s="176">
        <v>10.44</v>
      </c>
      <c r="O22" s="381">
        <f>4.645+5.745</f>
        <v>10.39</v>
      </c>
      <c r="P22" s="382"/>
      <c r="Q22" s="176"/>
      <c r="R22" s="176"/>
      <c r="S22" s="176"/>
      <c r="T22" s="383"/>
      <c r="U22" s="380">
        <v>760</v>
      </c>
      <c r="V22" s="371" t="s">
        <v>114</v>
      </c>
      <c r="W22" s="384" t="s">
        <v>4486</v>
      </c>
      <c r="X22" s="178" t="s">
        <v>4378</v>
      </c>
      <c r="Y22" s="385"/>
      <c r="Z22" s="385"/>
      <c r="AA22" s="177">
        <v>44909</v>
      </c>
      <c r="AB22" s="177"/>
      <c r="AC22" s="177">
        <v>44909</v>
      </c>
      <c r="AD22" s="177"/>
      <c r="AE22" s="177">
        <v>44931</v>
      </c>
      <c r="AF22" s="177"/>
      <c r="AG22" s="177"/>
      <c r="AH22" s="177"/>
      <c r="AI22" s="180"/>
      <c r="AJ22" s="173"/>
      <c r="AK22" s="173" t="s">
        <v>4482</v>
      </c>
      <c r="AL22" s="181" t="s">
        <v>69</v>
      </c>
      <c r="AM22" s="181" t="s">
        <v>142</v>
      </c>
      <c r="AN22" s="181" t="s">
        <v>2283</v>
      </c>
      <c r="AO22" s="181"/>
      <c r="AP22" s="181">
        <v>44880</v>
      </c>
      <c r="AQ22" s="173"/>
      <c r="AR22" s="181">
        <f ca="1">TODAY()</f>
        <v>44958</v>
      </c>
      <c r="AS22" s="176">
        <f ca="1">IF(AP22&lt;&gt;0,AR22-AP22,0)</f>
        <v>78</v>
      </c>
      <c r="AT22" s="176">
        <f ca="1">IF(ISNUMBER(AE22)=TRUE,AR22-AE22,IF(AE22="","",(AR22)-(MID(RIGHT(AE22,10),4,2)&amp;"/"&amp;LEFT((RIGHT(AE22,10)),2)&amp;"/"&amp;RIGHT(AE22,4))))</f>
        <v>27</v>
      </c>
      <c r="AU22" s="176"/>
      <c r="AV22" s="176" t="s">
        <v>4483</v>
      </c>
      <c r="AW22" s="176">
        <v>10.455</v>
      </c>
      <c r="AX22" s="176">
        <v>10.465</v>
      </c>
      <c r="AY22" s="173">
        <v>10.489999999999998</v>
      </c>
      <c r="AZ22" s="142">
        <v>10.494999999999999</v>
      </c>
      <c r="BA22" s="142">
        <f t="shared" ca="1" si="5"/>
        <v>49</v>
      </c>
      <c r="BB22" s="142">
        <v>459</v>
      </c>
      <c r="BD22" s="142" t="s">
        <v>123</v>
      </c>
    </row>
    <row r="23" spans="2:56" s="142" customFormat="1" ht="21" customHeight="1" x14ac:dyDescent="0.25">
      <c r="B23" s="173" t="str">
        <f>IF(C23="HOLD RM","HOLD RM",IF(C23="BAL","WIP",IF(C23="HOLD SLT","HOLD SLT",IF(C23="MILL","RM",IF(C23="RE SLT","WIP",IF(C23="RM","RM",IF(C23="RM BAL","RM",IF(C23="RM SLT","RM",IF(C23="RR","WIP",IF(C23="SKP","WIP",IF(C23="SLT","WIP",IF(C23="CTL","WIP",IF(C23="RM SLT RUST","RM SLT RUST",0)))))))))))))&amp;"-"&amp;G23&amp;"/"&amp;IF(H23="2B","2B",IF(H23="NO.1","1D",IF(H23="FH","FH",0)))&amp;"-"&amp;IF(J23="",(TEXT(I23,"0.00")),TEXT(J23,"0.00"))&amp;"X"&amp;M23</f>
        <v>0-304/2B-1.50X768</v>
      </c>
      <c r="C23" s="201" t="s">
        <v>5144</v>
      </c>
      <c r="D23" s="173" t="s">
        <v>4432</v>
      </c>
      <c r="E23" s="173" t="s">
        <v>4581</v>
      </c>
      <c r="F23" s="201" t="s">
        <v>4584</v>
      </c>
      <c r="G23" s="173">
        <v>304</v>
      </c>
      <c r="H23" s="173" t="s">
        <v>114</v>
      </c>
      <c r="I23" s="174">
        <v>3.85</v>
      </c>
      <c r="J23" s="174">
        <v>1.5</v>
      </c>
      <c r="K23" s="174">
        <v>1.48</v>
      </c>
      <c r="L23" s="174">
        <v>1.51</v>
      </c>
      <c r="M23" s="380">
        <v>768</v>
      </c>
      <c r="N23" s="176">
        <v>3.24</v>
      </c>
      <c r="O23" s="381">
        <v>3.125</v>
      </c>
      <c r="P23" s="382"/>
      <c r="Q23" s="176">
        <v>0.115</v>
      </c>
      <c r="R23" s="176"/>
      <c r="S23" s="176"/>
      <c r="T23" s="383"/>
      <c r="U23" s="380">
        <v>760</v>
      </c>
      <c r="V23" s="371" t="s">
        <v>114</v>
      </c>
      <c r="W23" s="384" t="s">
        <v>4486</v>
      </c>
      <c r="X23" s="178" t="s">
        <v>4378</v>
      </c>
      <c r="Y23" s="385"/>
      <c r="Z23" s="385"/>
      <c r="AA23" s="177">
        <v>44906</v>
      </c>
      <c r="AB23" s="177"/>
      <c r="AC23" s="177">
        <v>44907</v>
      </c>
      <c r="AD23" s="177"/>
      <c r="AE23" s="177">
        <v>44932</v>
      </c>
      <c r="AF23" s="177"/>
      <c r="AG23" s="177"/>
      <c r="AH23" s="177"/>
      <c r="AI23" s="180"/>
      <c r="AJ23" s="173"/>
      <c r="AK23" s="173" t="s">
        <v>4482</v>
      </c>
      <c r="AL23" s="181" t="s">
        <v>69</v>
      </c>
      <c r="AM23" s="181" t="s">
        <v>142</v>
      </c>
      <c r="AN23" s="181" t="s">
        <v>1653</v>
      </c>
      <c r="AO23" s="181"/>
      <c r="AP23" s="181">
        <v>44880</v>
      </c>
      <c r="AQ23" s="173"/>
      <c r="AR23" s="181">
        <f ca="1">TODAY()</f>
        <v>44958</v>
      </c>
      <c r="AS23" s="176">
        <f ca="1">IF(AP23&lt;&gt;0,AR23-AP23,0)</f>
        <v>78</v>
      </c>
      <c r="AT23" s="176">
        <f ca="1">IF(ISNUMBER(AE23)=TRUE,AR23-AE23,IF(AE23="","",(AR23)-(MID(RIGHT(AE23,10),4,2)&amp;"/"&amp;LEFT((RIGHT(AE23,10)),2)&amp;"/"&amp;RIGHT(AE23,4))))</f>
        <v>26</v>
      </c>
      <c r="AU23" s="176"/>
      <c r="AV23" s="176" t="s">
        <v>4563</v>
      </c>
      <c r="AW23" s="176">
        <v>10.51</v>
      </c>
      <c r="AX23" s="176">
        <v>10.52</v>
      </c>
      <c r="AY23" s="173">
        <v>10.544999999999998</v>
      </c>
      <c r="AZ23" s="142">
        <v>10.549999999999999</v>
      </c>
      <c r="BA23" s="142">
        <f t="shared" ca="1" si="5"/>
        <v>51</v>
      </c>
      <c r="BB23" s="142">
        <v>459</v>
      </c>
      <c r="BD23" s="142" t="s">
        <v>123</v>
      </c>
    </row>
    <row r="24" spans="2:56" s="142" customFormat="1" ht="21" customHeight="1" x14ac:dyDescent="0.25">
      <c r="B24" s="173" t="str">
        <f>IF(C24="HOLD RM","HOLD RM",IF(C24="BAL","WIP",IF(C24="HOLD SLT","HOLD SLT",IF(C24="MILL","RM",IF(C24="RE SLT","WIP",IF(C24="RM","RM",IF(C24="RM BAL","RM",IF(C24="RM SLT","RM",IF(C24="RR","WIP",IF(C24="SKP","WIP",IF(C24="SLT","WIP",IF(C24="CTL","WIP",IF(C24="RM SLT RUST","RM SLT RUST",0)))))))))))))&amp;"-"&amp;G24&amp;"/"&amp;IF(H24="2B","2B",IF(H24="NO.1","1D",IF(H24="FH","FH",0)))&amp;"-"&amp;IF(J24="",(TEXT(I24,"0.00")),TEXT(J24,"0.00"))&amp;"X"&amp;M24</f>
        <v>0-304L/2B-1.00X84</v>
      </c>
      <c r="C24" s="201" t="s">
        <v>5144</v>
      </c>
      <c r="D24" s="173" t="s">
        <v>4432</v>
      </c>
      <c r="E24" s="173" t="s">
        <v>5146</v>
      </c>
      <c r="F24" s="201" t="s">
        <v>5147</v>
      </c>
      <c r="G24" s="173" t="s">
        <v>182</v>
      </c>
      <c r="H24" s="173" t="s">
        <v>114</v>
      </c>
      <c r="I24" s="174">
        <v>2.89</v>
      </c>
      <c r="J24" s="174">
        <v>1</v>
      </c>
      <c r="K24" s="174">
        <v>1</v>
      </c>
      <c r="L24" s="174">
        <v>1.01</v>
      </c>
      <c r="M24" s="380">
        <v>84</v>
      </c>
      <c r="N24" s="176">
        <v>0.48099999999999998</v>
      </c>
      <c r="O24" s="381">
        <v>0.44500000000000001</v>
      </c>
      <c r="P24" s="382"/>
      <c r="Q24" s="176"/>
      <c r="R24" s="176"/>
      <c r="S24" s="176"/>
      <c r="T24" s="383"/>
      <c r="U24" s="380">
        <v>78</v>
      </c>
      <c r="V24" s="371" t="s">
        <v>114</v>
      </c>
      <c r="W24" s="384"/>
      <c r="X24" s="178" t="s">
        <v>5148</v>
      </c>
      <c r="Y24" s="385" t="s">
        <v>5149</v>
      </c>
      <c r="Z24" s="385"/>
      <c r="AA24" s="177">
        <v>44897</v>
      </c>
      <c r="AB24" s="177"/>
      <c r="AC24" s="177">
        <v>44897</v>
      </c>
      <c r="AD24" s="177"/>
      <c r="AE24" s="177">
        <v>44912</v>
      </c>
      <c r="AF24" s="177">
        <v>44914</v>
      </c>
      <c r="AG24" s="177"/>
      <c r="AH24" s="177"/>
      <c r="AK24" s="180" t="s">
        <v>4789</v>
      </c>
      <c r="AL24" s="173" t="s">
        <v>69</v>
      </c>
      <c r="AM24" s="173" t="s">
        <v>142</v>
      </c>
      <c r="AN24" s="181" t="s">
        <v>1594</v>
      </c>
      <c r="AO24" s="181"/>
      <c r="AP24" s="181">
        <v>44849</v>
      </c>
      <c r="AQ24" s="181"/>
      <c r="AR24" s="181">
        <f ca="1">TODAY()</f>
        <v>44958</v>
      </c>
      <c r="AS24" s="173">
        <f ca="1">IF(AP24&lt;&gt;0,AR24-AP24,0)</f>
        <v>109</v>
      </c>
      <c r="AT24" s="181">
        <f ca="1">IF(ISNUMBER(AE24)=TRUE,AR24-AE24,IF(AE24="","",(AR24)-(MID(RIGHT(AE24,10),4,2)&amp;"/"&amp;LEFT((RIGHT(AE24,10)),2)&amp;"/"&amp;RIGHT(AE24,4))))</f>
        <v>46</v>
      </c>
      <c r="AU24" s="176"/>
      <c r="AV24" s="176" t="s">
        <v>5105</v>
      </c>
      <c r="AW24" s="176">
        <v>10.465</v>
      </c>
      <c r="AX24" s="176">
        <v>10.475</v>
      </c>
      <c r="AY24" s="176">
        <v>10.499999999999998</v>
      </c>
      <c r="AZ24" s="176">
        <v>10.504999999999999</v>
      </c>
      <c r="BA24" s="173">
        <f t="shared" ca="1" si="5"/>
        <v>61</v>
      </c>
      <c r="BB24" s="142">
        <v>456</v>
      </c>
      <c r="BD24" s="142" t="s">
        <v>123</v>
      </c>
    </row>
    <row r="25" spans="2:56" s="142" customFormat="1" ht="21" customHeight="1" x14ac:dyDescent="0.25">
      <c r="B25" s="173" t="str">
        <f t="shared" ref="B25:B53" si="6">IF(C25="HOLD RM","HOLD RM",IF(C25="BAL","WIP",IF(C25="HOLD SLT","HOLD SLT",IF(C25="MILL","RM",IF(C25="RE SLT","WIP",IF(C25="RM","RM",IF(C25="RM BAL","RM",IF(C25="RM SLT","RM",IF(C25="RR","WIP",IF(C25="SKP","WIP",IF(C25="SLT","WIP",IF(C25="CTL","WIP",IF(C25="RM SLT RUST","RM SLT RUST",0)))))))))))))&amp;"-"&amp;G25&amp;"/"&amp;IF(H25="2B","2B",IF(H25="NO.1","1D",IF(H25="FH","FH",0)))&amp;"-"&amp;IF(J25="",(TEXT(I25,"0.00")),TEXT(J25,"0.00"))&amp;"X"&amp;M25</f>
        <v>0-304L/FH-1.00X644</v>
      </c>
      <c r="C25" s="201" t="s">
        <v>5150</v>
      </c>
      <c r="D25" s="173" t="s">
        <v>16</v>
      </c>
      <c r="E25" s="173" t="s">
        <v>3918</v>
      </c>
      <c r="F25" s="201" t="s">
        <v>3919</v>
      </c>
      <c r="G25" s="173" t="s">
        <v>182</v>
      </c>
      <c r="H25" s="173" t="s">
        <v>70</v>
      </c>
      <c r="I25" s="174">
        <v>2.81</v>
      </c>
      <c r="J25" s="174">
        <v>1</v>
      </c>
      <c r="K25" s="174"/>
      <c r="L25" s="174"/>
      <c r="M25" s="380">
        <v>644</v>
      </c>
      <c r="N25" s="176">
        <v>10.654999999999999</v>
      </c>
      <c r="O25" s="381">
        <v>10.654999999999999</v>
      </c>
      <c r="P25" s="382"/>
      <c r="Q25" s="176"/>
      <c r="R25" s="176"/>
      <c r="S25" s="176"/>
      <c r="T25" s="383"/>
      <c r="U25" s="380">
        <v>644</v>
      </c>
      <c r="V25" s="371" t="s">
        <v>114</v>
      </c>
      <c r="W25" s="384" t="s">
        <v>4326</v>
      </c>
      <c r="X25" s="178"/>
      <c r="Y25" s="385" t="s">
        <v>5129</v>
      </c>
      <c r="Z25" s="385"/>
      <c r="AA25" s="177">
        <v>44931</v>
      </c>
      <c r="AB25" s="177"/>
      <c r="AC25" s="177"/>
      <c r="AD25" s="177">
        <v>44932</v>
      </c>
      <c r="AE25" s="177"/>
      <c r="AF25" s="177"/>
      <c r="AG25" s="177">
        <v>44932</v>
      </c>
      <c r="AH25" s="177"/>
      <c r="AI25" s="180"/>
      <c r="AJ25" s="173"/>
      <c r="AK25" s="173" t="s">
        <v>2479</v>
      </c>
      <c r="AL25" s="181" t="s">
        <v>69</v>
      </c>
      <c r="AM25" s="181" t="s">
        <v>142</v>
      </c>
      <c r="AN25" s="181" t="s">
        <v>1653</v>
      </c>
      <c r="AO25" s="181"/>
      <c r="AP25" s="181">
        <v>44880</v>
      </c>
      <c r="AQ25" s="173"/>
      <c r="AR25" s="181">
        <f t="shared" ref="AR25:AR88" ca="1" si="7">TODAY()</f>
        <v>44958</v>
      </c>
      <c r="AS25" s="176">
        <f t="shared" ref="AS25:AS53" ca="1" si="8">IF(AP25&lt;&gt;0,AR25-AP25,0)</f>
        <v>78</v>
      </c>
      <c r="AT25" s="176" t="str">
        <f t="shared" ref="AT25:AT31" si="9">IF(ISNUMBER(AE25)=TRUE,AR25-AE25,IF(AE25="","",(AR25)-(MID(RIGHT(AE25,10),4,2)&amp;"/"&amp;LEFT((RIGHT(AE25,10)),2)&amp;"/"&amp;RIGHT(AE25,4))))</f>
        <v/>
      </c>
      <c r="AU25" s="176"/>
      <c r="AV25" s="176" t="s">
        <v>1939</v>
      </c>
      <c r="AW25" s="176">
        <v>10.654999999999999</v>
      </c>
      <c r="AX25" s="176">
        <v>10.664999999999999</v>
      </c>
      <c r="AY25" s="173">
        <v>10.689999999999998</v>
      </c>
      <c r="AZ25" s="142">
        <v>10.694999999999999</v>
      </c>
      <c r="BA25" s="142" t="str">
        <f t="shared" si="5"/>
        <v/>
      </c>
      <c r="BB25" s="142">
        <v>459</v>
      </c>
      <c r="BD25" s="142" t="s">
        <v>123</v>
      </c>
    </row>
    <row r="26" spans="2:56" s="142" customFormat="1" ht="21" customHeight="1" x14ac:dyDescent="0.25">
      <c r="B26" s="173" t="str">
        <f t="shared" si="6"/>
        <v>0-316L/2B-1.50X775</v>
      </c>
      <c r="C26" s="201" t="s">
        <v>5151</v>
      </c>
      <c r="D26" s="173" t="s">
        <v>4432</v>
      </c>
      <c r="E26" s="173" t="s">
        <v>3823</v>
      </c>
      <c r="F26" s="201" t="s">
        <v>4589</v>
      </c>
      <c r="G26" s="173" t="s">
        <v>135</v>
      </c>
      <c r="H26" s="173" t="s">
        <v>114</v>
      </c>
      <c r="I26" s="174">
        <v>3.77</v>
      </c>
      <c r="J26" s="174">
        <v>1.5</v>
      </c>
      <c r="K26" s="174">
        <v>1.49</v>
      </c>
      <c r="L26" s="174">
        <v>1.51</v>
      </c>
      <c r="M26" s="380">
        <v>775</v>
      </c>
      <c r="N26" s="176">
        <v>4.9850000000000003</v>
      </c>
      <c r="O26" s="381">
        <v>4.9349999999999996</v>
      </c>
      <c r="P26" s="382"/>
      <c r="Q26" s="176"/>
      <c r="R26" s="176"/>
      <c r="S26" s="176"/>
      <c r="T26" s="383"/>
      <c r="U26" s="380">
        <v>760</v>
      </c>
      <c r="V26" s="371" t="s">
        <v>114</v>
      </c>
      <c r="W26" s="384" t="s">
        <v>4588</v>
      </c>
      <c r="X26" s="178" t="s">
        <v>761</v>
      </c>
      <c r="Y26" s="385"/>
      <c r="Z26" s="385"/>
      <c r="AA26" s="177">
        <v>44926</v>
      </c>
      <c r="AB26" s="177"/>
      <c r="AC26" s="177">
        <v>44926</v>
      </c>
      <c r="AD26" s="177"/>
      <c r="AE26" s="177">
        <v>44932</v>
      </c>
      <c r="AF26" s="177"/>
      <c r="AG26" s="177"/>
      <c r="AH26" s="177">
        <v>44910</v>
      </c>
      <c r="AI26" s="180"/>
      <c r="AJ26" s="173"/>
      <c r="AK26" s="173" t="s">
        <v>2374</v>
      </c>
      <c r="AL26" s="181" t="s">
        <v>69</v>
      </c>
      <c r="AM26" s="181" t="s">
        <v>142</v>
      </c>
      <c r="AN26" s="181" t="s">
        <v>1887</v>
      </c>
      <c r="AO26" s="181"/>
      <c r="AP26" s="181">
        <v>44880</v>
      </c>
      <c r="AQ26" s="173"/>
      <c r="AR26" s="181">
        <f t="shared" ca="1" si="7"/>
        <v>44958</v>
      </c>
      <c r="AS26" s="176">
        <f t="shared" ca="1" si="8"/>
        <v>78</v>
      </c>
      <c r="AT26" s="176">
        <f t="shared" ca="1" si="9"/>
        <v>26</v>
      </c>
      <c r="AU26" s="176"/>
      <c r="AV26" s="176" t="s">
        <v>3825</v>
      </c>
      <c r="AW26" s="176">
        <v>21.65</v>
      </c>
      <c r="AX26" s="176">
        <v>21.709999999999997</v>
      </c>
      <c r="AY26" s="173">
        <v>21.734999999999999</v>
      </c>
      <c r="AZ26" s="142">
        <v>21.74</v>
      </c>
      <c r="BA26" s="142">
        <f t="shared" ca="1" si="5"/>
        <v>32</v>
      </c>
      <c r="BB26" s="142">
        <v>460</v>
      </c>
      <c r="BD26" s="142" t="s">
        <v>123</v>
      </c>
    </row>
    <row r="27" spans="2:56" s="142" customFormat="1" ht="21" customHeight="1" x14ac:dyDescent="0.25">
      <c r="B27" s="173" t="str">
        <f t="shared" si="6"/>
        <v>0-304L/2B-1.00X644</v>
      </c>
      <c r="C27" s="201" t="s">
        <v>5152</v>
      </c>
      <c r="D27" s="173" t="s">
        <v>68</v>
      </c>
      <c r="E27" s="173" t="s">
        <v>3918</v>
      </c>
      <c r="F27" s="201" t="s">
        <v>3919</v>
      </c>
      <c r="G27" s="173" t="s">
        <v>182</v>
      </c>
      <c r="H27" s="173" t="s">
        <v>114</v>
      </c>
      <c r="I27" s="174">
        <v>2.81</v>
      </c>
      <c r="J27" s="174">
        <v>1</v>
      </c>
      <c r="K27" s="174">
        <v>0.98</v>
      </c>
      <c r="L27" s="174">
        <v>1.02</v>
      </c>
      <c r="M27" s="380">
        <v>644</v>
      </c>
      <c r="N27" s="176">
        <v>10.61</v>
      </c>
      <c r="O27" s="381">
        <v>10.61</v>
      </c>
      <c r="P27" s="382"/>
      <c r="Q27" s="176"/>
      <c r="R27" s="176"/>
      <c r="S27" s="176"/>
      <c r="T27" s="383"/>
      <c r="U27" s="380">
        <v>644</v>
      </c>
      <c r="V27" s="371" t="s">
        <v>114</v>
      </c>
      <c r="W27" s="384"/>
      <c r="X27" s="178" t="s">
        <v>4326</v>
      </c>
      <c r="Y27" s="385" t="s">
        <v>294</v>
      </c>
      <c r="Z27" s="385"/>
      <c r="AA27" s="177">
        <v>44931</v>
      </c>
      <c r="AB27" s="177"/>
      <c r="AC27" s="177"/>
      <c r="AD27" s="177">
        <v>44932</v>
      </c>
      <c r="AE27" s="177">
        <v>44932</v>
      </c>
      <c r="AF27" s="177"/>
      <c r="AG27" s="177" t="s">
        <v>5153</v>
      </c>
      <c r="AH27" s="177"/>
      <c r="AI27" s="180"/>
      <c r="AJ27" s="173"/>
      <c r="AK27" s="173" t="s">
        <v>2479</v>
      </c>
      <c r="AL27" s="181" t="s">
        <v>69</v>
      </c>
      <c r="AM27" s="181" t="s">
        <v>142</v>
      </c>
      <c r="AN27" s="181" t="s">
        <v>1653</v>
      </c>
      <c r="AO27" s="181"/>
      <c r="AP27" s="181">
        <v>44880</v>
      </c>
      <c r="AQ27" s="173"/>
      <c r="AR27" s="181">
        <f t="shared" ca="1" si="7"/>
        <v>44958</v>
      </c>
      <c r="AS27" s="176">
        <f t="shared" ca="1" si="8"/>
        <v>78</v>
      </c>
      <c r="AT27" s="176">
        <f t="shared" ca="1" si="9"/>
        <v>26</v>
      </c>
      <c r="AU27" s="176"/>
      <c r="AV27" s="176" t="s">
        <v>1939</v>
      </c>
      <c r="AW27" s="176">
        <v>10.654999999999999</v>
      </c>
      <c r="AX27" s="176">
        <v>10.664999999999999</v>
      </c>
      <c r="AY27" s="173">
        <v>10.689999999999998</v>
      </c>
      <c r="AZ27" s="142">
        <v>10.694999999999999</v>
      </c>
      <c r="BA27" s="142" t="str">
        <f t="shared" si="5"/>
        <v/>
      </c>
      <c r="BB27" s="142">
        <v>459</v>
      </c>
      <c r="BD27" s="142" t="s">
        <v>123</v>
      </c>
    </row>
    <row r="28" spans="2:56" s="142" customFormat="1" ht="21" customHeight="1" x14ac:dyDescent="0.25">
      <c r="B28" s="173" t="str">
        <f t="shared" si="6"/>
        <v>0-316L/2B-2.00X775</v>
      </c>
      <c r="C28" s="201" t="s">
        <v>5154</v>
      </c>
      <c r="D28" s="173" t="s">
        <v>4432</v>
      </c>
      <c r="E28" s="173" t="s">
        <v>3851</v>
      </c>
      <c r="F28" s="201" t="s">
        <v>5155</v>
      </c>
      <c r="G28" s="173" t="s">
        <v>135</v>
      </c>
      <c r="H28" s="173" t="s">
        <v>114</v>
      </c>
      <c r="I28" s="174">
        <v>3.92</v>
      </c>
      <c r="J28" s="174">
        <v>2</v>
      </c>
      <c r="K28" s="174">
        <v>2</v>
      </c>
      <c r="L28" s="174">
        <v>2.0299999999999998</v>
      </c>
      <c r="M28" s="380">
        <v>775</v>
      </c>
      <c r="N28" s="349">
        <v>10.79</v>
      </c>
      <c r="O28" s="381">
        <v>4.7249999999999996</v>
      </c>
      <c r="P28" s="382"/>
      <c r="Q28" s="176"/>
      <c r="R28" s="176"/>
      <c r="S28" s="176"/>
      <c r="T28" s="383"/>
      <c r="U28" s="380">
        <v>760</v>
      </c>
      <c r="V28" s="371" t="s">
        <v>114</v>
      </c>
      <c r="W28" s="384" t="s">
        <v>4588</v>
      </c>
      <c r="X28" s="178" t="s">
        <v>761</v>
      </c>
      <c r="Y28" s="385"/>
      <c r="Z28" s="385"/>
      <c r="AA28" s="177">
        <v>44925</v>
      </c>
      <c r="AB28" s="177"/>
      <c r="AC28" s="177">
        <v>44926</v>
      </c>
      <c r="AD28" s="177"/>
      <c r="AE28" s="177">
        <v>44934</v>
      </c>
      <c r="AF28" s="177"/>
      <c r="AG28" s="177"/>
      <c r="AH28" s="177">
        <v>44909</v>
      </c>
      <c r="AI28" s="180"/>
      <c r="AJ28" s="173"/>
      <c r="AK28" s="173" t="s">
        <v>2374</v>
      </c>
      <c r="AL28" s="181" t="s">
        <v>69</v>
      </c>
      <c r="AM28" s="181" t="s">
        <v>142</v>
      </c>
      <c r="AN28" s="181" t="s">
        <v>1887</v>
      </c>
      <c r="AO28" s="181"/>
      <c r="AP28" s="181">
        <v>44880</v>
      </c>
      <c r="AQ28" s="173"/>
      <c r="AR28" s="181">
        <f t="shared" ca="1" si="7"/>
        <v>44958</v>
      </c>
      <c r="AS28" s="176">
        <f t="shared" ca="1" si="8"/>
        <v>78</v>
      </c>
      <c r="AT28" s="176">
        <f t="shared" ca="1" si="9"/>
        <v>24</v>
      </c>
      <c r="AU28" s="176"/>
      <c r="AV28" s="176" t="s">
        <v>3853</v>
      </c>
      <c r="AW28" s="176">
        <v>21.605</v>
      </c>
      <c r="AX28" s="176">
        <v>21.664999999999999</v>
      </c>
      <c r="AY28" s="173">
        <v>21.69</v>
      </c>
      <c r="AZ28" s="142">
        <v>21.695</v>
      </c>
      <c r="BA28" s="142">
        <f t="shared" ca="1" si="5"/>
        <v>32</v>
      </c>
      <c r="BB28" s="142">
        <v>460</v>
      </c>
      <c r="BD28" s="142" t="s">
        <v>123</v>
      </c>
    </row>
    <row r="29" spans="2:56" s="142" customFormat="1" ht="21" customHeight="1" x14ac:dyDescent="0.25">
      <c r="B29" s="173" t="str">
        <f t="shared" si="6"/>
        <v>0-316L/2B-2.00X775</v>
      </c>
      <c r="C29" s="201" t="s">
        <v>5156</v>
      </c>
      <c r="D29" s="173" t="s">
        <v>836</v>
      </c>
      <c r="E29" s="173" t="s">
        <v>3851</v>
      </c>
      <c r="F29" s="201" t="s">
        <v>5157</v>
      </c>
      <c r="G29" s="173" t="s">
        <v>135</v>
      </c>
      <c r="H29" s="173" t="s">
        <v>114</v>
      </c>
      <c r="I29" s="174">
        <v>3.92</v>
      </c>
      <c r="J29" s="174">
        <v>2</v>
      </c>
      <c r="K29" s="174">
        <v>2</v>
      </c>
      <c r="L29" s="174">
        <v>2.0299999999999998</v>
      </c>
      <c r="M29" s="380">
        <v>775</v>
      </c>
      <c r="N29" s="350"/>
      <c r="O29" s="381">
        <v>5.99</v>
      </c>
      <c r="P29" s="382"/>
      <c r="Q29" s="176"/>
      <c r="R29" s="176"/>
      <c r="S29" s="176"/>
      <c r="T29" s="383"/>
      <c r="U29" s="380">
        <v>775</v>
      </c>
      <c r="V29" s="371" t="s">
        <v>114</v>
      </c>
      <c r="W29" s="384"/>
      <c r="X29" s="178" t="s">
        <v>761</v>
      </c>
      <c r="Y29" s="385"/>
      <c r="Z29" s="385"/>
      <c r="AA29" s="177">
        <v>44925</v>
      </c>
      <c r="AB29" s="177"/>
      <c r="AC29" s="177">
        <v>44926</v>
      </c>
      <c r="AD29" s="177"/>
      <c r="AE29" s="177">
        <v>44934</v>
      </c>
      <c r="AF29" s="177"/>
      <c r="AG29" s="177">
        <v>44934</v>
      </c>
      <c r="AH29" s="177">
        <v>44909</v>
      </c>
      <c r="AI29" s="180"/>
      <c r="AJ29" s="173"/>
      <c r="AK29" s="173" t="s">
        <v>2374</v>
      </c>
      <c r="AL29" s="181" t="s">
        <v>69</v>
      </c>
      <c r="AM29" s="181" t="s">
        <v>142</v>
      </c>
      <c r="AN29" s="181" t="s">
        <v>1887</v>
      </c>
      <c r="AO29" s="181"/>
      <c r="AP29" s="181">
        <v>44880</v>
      </c>
      <c r="AQ29" s="173"/>
      <c r="AR29" s="181">
        <f t="shared" ca="1" si="7"/>
        <v>44958</v>
      </c>
      <c r="AS29" s="176">
        <f t="shared" ca="1" si="8"/>
        <v>78</v>
      </c>
      <c r="AT29" s="176">
        <f t="shared" ca="1" si="9"/>
        <v>24</v>
      </c>
      <c r="AU29" s="176"/>
      <c r="AV29" s="176" t="s">
        <v>3853</v>
      </c>
      <c r="AW29" s="176">
        <v>21.605</v>
      </c>
      <c r="AX29" s="176">
        <v>21.664999999999999</v>
      </c>
      <c r="AY29" s="173">
        <v>21.69</v>
      </c>
      <c r="AZ29" s="142">
        <v>21.695</v>
      </c>
      <c r="BA29" s="142">
        <f t="shared" ca="1" si="5"/>
        <v>32</v>
      </c>
      <c r="BB29" s="142">
        <v>460</v>
      </c>
      <c r="BD29" s="142" t="s">
        <v>123</v>
      </c>
    </row>
    <row r="30" spans="2:56" s="142" customFormat="1" ht="21" customHeight="1" x14ac:dyDescent="0.25">
      <c r="B30" s="173" t="str">
        <f t="shared" si="6"/>
        <v>0-316L/2B-1.50X777</v>
      </c>
      <c r="C30" s="201" t="s">
        <v>5154</v>
      </c>
      <c r="D30" s="173" t="s">
        <v>4432</v>
      </c>
      <c r="E30" s="173" t="s">
        <v>3829</v>
      </c>
      <c r="F30" s="201" t="s">
        <v>4614</v>
      </c>
      <c r="G30" s="173" t="s">
        <v>135</v>
      </c>
      <c r="H30" s="173" t="s">
        <v>114</v>
      </c>
      <c r="I30" s="174">
        <v>3.73</v>
      </c>
      <c r="J30" s="174">
        <v>1.5</v>
      </c>
      <c r="K30" s="174">
        <v>1.5</v>
      </c>
      <c r="L30" s="174">
        <v>1.53</v>
      </c>
      <c r="M30" s="380">
        <v>777</v>
      </c>
      <c r="N30" s="176">
        <v>5.75</v>
      </c>
      <c r="O30" s="381">
        <v>5.71</v>
      </c>
      <c r="P30" s="382"/>
      <c r="Q30" s="176"/>
      <c r="R30" s="176"/>
      <c r="S30" s="176"/>
      <c r="T30" s="383"/>
      <c r="U30" s="380">
        <v>760</v>
      </c>
      <c r="V30" s="371" t="s">
        <v>114</v>
      </c>
      <c r="W30" s="384" t="s">
        <v>4588</v>
      </c>
      <c r="X30" s="178" t="s">
        <v>761</v>
      </c>
      <c r="Y30" s="385"/>
      <c r="Z30" s="385"/>
      <c r="AA30" s="177">
        <v>44926</v>
      </c>
      <c r="AB30" s="177"/>
      <c r="AC30" s="177">
        <v>44926</v>
      </c>
      <c r="AD30" s="177"/>
      <c r="AE30" s="177">
        <v>44934</v>
      </c>
      <c r="AF30" s="177"/>
      <c r="AG30" s="177"/>
      <c r="AH30" s="177">
        <v>44910</v>
      </c>
      <c r="AI30" s="180"/>
      <c r="AJ30" s="173"/>
      <c r="AK30" s="173" t="s">
        <v>2374</v>
      </c>
      <c r="AL30" s="181" t="s">
        <v>69</v>
      </c>
      <c r="AM30" s="181" t="s">
        <v>142</v>
      </c>
      <c r="AN30" s="181" t="s">
        <v>1887</v>
      </c>
      <c r="AO30" s="181"/>
      <c r="AP30" s="181">
        <v>44880</v>
      </c>
      <c r="AQ30" s="173"/>
      <c r="AR30" s="181">
        <f t="shared" ca="1" si="7"/>
        <v>44958</v>
      </c>
      <c r="AS30" s="176">
        <f t="shared" ca="1" si="8"/>
        <v>78</v>
      </c>
      <c r="AT30" s="176">
        <f t="shared" ca="1" si="9"/>
        <v>24</v>
      </c>
      <c r="AU30" s="176"/>
      <c r="AV30" s="176" t="s">
        <v>3831</v>
      </c>
      <c r="AW30" s="176">
        <v>21.63</v>
      </c>
      <c r="AX30" s="176">
        <v>21.689999999999998</v>
      </c>
      <c r="AY30" s="173">
        <v>21.715</v>
      </c>
      <c r="AZ30" s="142">
        <v>21.72</v>
      </c>
      <c r="BA30" s="142">
        <f t="shared" ca="1" si="5"/>
        <v>32</v>
      </c>
      <c r="BB30" s="142">
        <v>460</v>
      </c>
      <c r="BD30" s="142" t="s">
        <v>123</v>
      </c>
    </row>
    <row r="31" spans="2:56" s="142" customFormat="1" ht="21" customHeight="1" x14ac:dyDescent="0.25">
      <c r="B31" s="173" t="str">
        <f t="shared" si="6"/>
        <v>0-316L/2B-2.00X775</v>
      </c>
      <c r="C31" s="201" t="s">
        <v>5158</v>
      </c>
      <c r="D31" s="173" t="s">
        <v>4432</v>
      </c>
      <c r="E31" s="173" t="s">
        <v>3851</v>
      </c>
      <c r="F31" s="201" t="s">
        <v>5157</v>
      </c>
      <c r="G31" s="173" t="s">
        <v>135</v>
      </c>
      <c r="H31" s="173" t="s">
        <v>114</v>
      </c>
      <c r="I31" s="174">
        <v>3.92</v>
      </c>
      <c r="J31" s="174">
        <v>2</v>
      </c>
      <c r="K31" s="174">
        <v>2</v>
      </c>
      <c r="L31" s="174">
        <v>2.0299999999999998</v>
      </c>
      <c r="M31" s="380">
        <v>775</v>
      </c>
      <c r="N31" s="176">
        <v>5.99</v>
      </c>
      <c r="O31" s="381">
        <v>5.95</v>
      </c>
      <c r="P31" s="382"/>
      <c r="Q31" s="176"/>
      <c r="R31" s="176">
        <v>0.04</v>
      </c>
      <c r="S31" s="176"/>
      <c r="T31" s="383"/>
      <c r="U31" s="380">
        <v>760</v>
      </c>
      <c r="V31" s="371" t="s">
        <v>114</v>
      </c>
      <c r="W31" s="384" t="s">
        <v>4588</v>
      </c>
      <c r="X31" s="178" t="s">
        <v>761</v>
      </c>
      <c r="Y31" s="385"/>
      <c r="Z31" s="385"/>
      <c r="AA31" s="177">
        <v>44925</v>
      </c>
      <c r="AB31" s="177"/>
      <c r="AC31" s="177">
        <v>44926</v>
      </c>
      <c r="AD31" s="177"/>
      <c r="AE31" s="177">
        <v>44934</v>
      </c>
      <c r="AF31" s="177"/>
      <c r="AG31" s="177">
        <v>44934</v>
      </c>
      <c r="AH31" s="177">
        <v>44909</v>
      </c>
      <c r="AI31" s="180"/>
      <c r="AJ31" s="173"/>
      <c r="AK31" s="173" t="s">
        <v>2374</v>
      </c>
      <c r="AL31" s="181" t="s">
        <v>69</v>
      </c>
      <c r="AM31" s="181" t="s">
        <v>142</v>
      </c>
      <c r="AN31" s="181" t="s">
        <v>1887</v>
      </c>
      <c r="AO31" s="181"/>
      <c r="AP31" s="181">
        <v>44880</v>
      </c>
      <c r="AQ31" s="173"/>
      <c r="AR31" s="181">
        <f t="shared" ca="1" si="7"/>
        <v>44958</v>
      </c>
      <c r="AS31" s="176">
        <f t="shared" ca="1" si="8"/>
        <v>78</v>
      </c>
      <c r="AT31" s="176">
        <f t="shared" ca="1" si="9"/>
        <v>24</v>
      </c>
      <c r="AU31" s="176"/>
      <c r="AV31" s="176" t="s">
        <v>3853</v>
      </c>
      <c r="AW31" s="176">
        <v>21.605</v>
      </c>
      <c r="AX31" s="176">
        <v>21.664999999999999</v>
      </c>
      <c r="AY31" s="173">
        <v>21.69</v>
      </c>
      <c r="AZ31" s="142">
        <v>21.695</v>
      </c>
      <c r="BA31" s="142">
        <f t="shared" ca="1" si="5"/>
        <v>32</v>
      </c>
      <c r="BB31" s="142">
        <v>460</v>
      </c>
      <c r="BD31" s="142" t="s">
        <v>123</v>
      </c>
    </row>
    <row r="32" spans="2:56" s="142" customFormat="1" ht="21" customHeight="1" x14ac:dyDescent="0.25">
      <c r="B32" s="173" t="str">
        <f t="shared" si="6"/>
        <v>0-304L/1D-3.81X768</v>
      </c>
      <c r="C32" s="201" t="s">
        <v>5159</v>
      </c>
      <c r="D32" s="173" t="s">
        <v>48</v>
      </c>
      <c r="E32" s="173" t="s">
        <v>1569</v>
      </c>
      <c r="F32" s="201" t="s">
        <v>1570</v>
      </c>
      <c r="G32" s="173" t="s">
        <v>182</v>
      </c>
      <c r="H32" s="173" t="s">
        <v>127</v>
      </c>
      <c r="I32" s="174">
        <v>3.81</v>
      </c>
      <c r="J32" s="174"/>
      <c r="K32" s="174"/>
      <c r="L32" s="174"/>
      <c r="M32" s="380">
        <v>768</v>
      </c>
      <c r="N32" s="176">
        <v>12.3</v>
      </c>
      <c r="O32" s="381">
        <v>12.3</v>
      </c>
      <c r="P32" s="382"/>
      <c r="Q32" s="176"/>
      <c r="R32" s="176"/>
      <c r="S32" s="176"/>
      <c r="T32" s="383"/>
      <c r="U32" s="380">
        <v>768</v>
      </c>
      <c r="V32" s="371"/>
      <c r="W32" s="384"/>
      <c r="X32" s="178"/>
      <c r="Y32" s="385" t="s">
        <v>5160</v>
      </c>
      <c r="Z32" s="385"/>
      <c r="AA32" s="177"/>
      <c r="AB32" s="177"/>
      <c r="AC32" s="177"/>
      <c r="AD32" s="177"/>
      <c r="AE32" s="177"/>
      <c r="AF32" s="177"/>
      <c r="AG32" s="177">
        <v>44934</v>
      </c>
      <c r="AH32" s="177">
        <v>44934</v>
      </c>
      <c r="AI32" s="180"/>
      <c r="AJ32" s="173"/>
      <c r="AK32" s="173" t="s">
        <v>1507</v>
      </c>
      <c r="AL32" s="181" t="s">
        <v>69</v>
      </c>
      <c r="AM32" s="181" t="s">
        <v>142</v>
      </c>
      <c r="AN32" s="181" t="s">
        <v>1508</v>
      </c>
      <c r="AO32" s="181"/>
      <c r="AP32" s="181">
        <v>44849</v>
      </c>
      <c r="AQ32" s="173"/>
      <c r="AR32" s="181">
        <f t="shared" ca="1" si="7"/>
        <v>44958</v>
      </c>
      <c r="AS32" s="176">
        <f t="shared" ca="1" si="8"/>
        <v>109</v>
      </c>
      <c r="AT32" s="176" t="str">
        <f>IF(ISNUMBER(X32)=TRUE,AR32-X32,IF(X32="","",(AR32)-(MID(RIGHT(X32,10),4,2)&amp;"/"&amp;LEFT((RIGHT(X32,10)),2)&amp;"/"&amp;RIGHT(X32,4))))</f>
        <v/>
      </c>
      <c r="AU32" s="176"/>
      <c r="AV32" s="176" t="s">
        <v>1572</v>
      </c>
      <c r="AW32" s="176">
        <v>24.53</v>
      </c>
      <c r="AX32" s="176">
        <v>24.59</v>
      </c>
      <c r="AY32" s="173">
        <v>24.615000000000002</v>
      </c>
      <c r="AZ32" s="142">
        <v>24.62</v>
      </c>
      <c r="BA32" s="142">
        <f ca="1">IF(ISNUMBER(U32)=TRUE,AR32-U32,IF(U32="","",(AR32)-(MID(RIGHT(U32,10),4,2)&amp;"/"&amp;LEFT((RIGHT(U32,10)),2)&amp;"/"&amp;RIGHT(U32,4))))</f>
        <v>44190</v>
      </c>
      <c r="BB32" s="142">
        <v>456</v>
      </c>
      <c r="BD32" s="142" t="s">
        <v>123</v>
      </c>
    </row>
    <row r="33" spans="2:56" s="142" customFormat="1" ht="21" customHeight="1" x14ac:dyDescent="0.25">
      <c r="B33" s="173" t="str">
        <f t="shared" si="6"/>
        <v>0-316L/2B-2.00X777</v>
      </c>
      <c r="C33" s="201" t="s">
        <v>5161</v>
      </c>
      <c r="D33" s="173" t="s">
        <v>836</v>
      </c>
      <c r="E33" s="173" t="s">
        <v>3846</v>
      </c>
      <c r="F33" s="201" t="s">
        <v>4616</v>
      </c>
      <c r="G33" s="173" t="s">
        <v>135</v>
      </c>
      <c r="H33" s="173" t="s">
        <v>114</v>
      </c>
      <c r="I33" s="174">
        <v>3.94</v>
      </c>
      <c r="J33" s="174">
        <v>2</v>
      </c>
      <c r="K33" s="174">
        <v>2.02</v>
      </c>
      <c r="L33" s="174">
        <v>2.0499999999999998</v>
      </c>
      <c r="M33" s="380">
        <v>777</v>
      </c>
      <c r="N33" s="176">
        <v>6.17</v>
      </c>
      <c r="O33" s="381">
        <v>6.17</v>
      </c>
      <c r="P33" s="382"/>
      <c r="Q33" s="176"/>
      <c r="R33" s="176"/>
      <c r="S33" s="176"/>
      <c r="T33" s="383"/>
      <c r="U33" s="380">
        <v>777</v>
      </c>
      <c r="V33" s="371" t="s">
        <v>114</v>
      </c>
      <c r="W33" s="384"/>
      <c r="X33" s="178" t="s">
        <v>761</v>
      </c>
      <c r="Y33" s="385"/>
      <c r="Z33" s="385"/>
      <c r="AA33" s="177">
        <v>44928</v>
      </c>
      <c r="AB33" s="177"/>
      <c r="AC33" s="177">
        <v>44928</v>
      </c>
      <c r="AD33" s="177"/>
      <c r="AE33" s="177">
        <v>44934</v>
      </c>
      <c r="AF33" s="177"/>
      <c r="AG33" s="177" t="s">
        <v>5162</v>
      </c>
      <c r="AH33" s="177">
        <v>44911</v>
      </c>
      <c r="AI33" s="180"/>
      <c r="AJ33" s="173"/>
      <c r="AK33" s="173" t="s">
        <v>2374</v>
      </c>
      <c r="AL33" s="181" t="s">
        <v>69</v>
      </c>
      <c r="AM33" s="181" t="s">
        <v>142</v>
      </c>
      <c r="AN33" s="181" t="s">
        <v>1887</v>
      </c>
      <c r="AO33" s="181"/>
      <c r="AP33" s="181">
        <v>44880</v>
      </c>
      <c r="AQ33" s="173"/>
      <c r="AR33" s="181">
        <f t="shared" ca="1" si="7"/>
        <v>44958</v>
      </c>
      <c r="AS33" s="176">
        <f t="shared" ca="1" si="8"/>
        <v>78</v>
      </c>
      <c r="AT33" s="176">
        <f t="shared" ref="AT33:AT41" ca="1" si="10">IF(ISNUMBER(AE33)=TRUE,AR33-AE33,IF(AE33="","",(AR33)-(MID(RIGHT(AE33,10),4,2)&amp;"/"&amp;LEFT((RIGHT(AE33,10)),2)&amp;"/"&amp;RIGHT(AE33,4))))</f>
        <v>24</v>
      </c>
      <c r="AU33" s="176"/>
      <c r="AV33" s="176" t="s">
        <v>3848</v>
      </c>
      <c r="AW33" s="176">
        <v>21.585000000000001</v>
      </c>
      <c r="AX33" s="176">
        <v>21.645</v>
      </c>
      <c r="AY33" s="173">
        <v>21.67</v>
      </c>
      <c r="AZ33" s="142">
        <v>21.675000000000001</v>
      </c>
      <c r="BA33" s="142">
        <f t="shared" ref="BA33:BA41" ca="1" si="11">IF(ISNUMBER(AC33)=TRUE,AR33-AC33,IF(AC33="","",(AR33)-(MID(RIGHT(AC33,10),4,2)&amp;"/"&amp;LEFT((RIGHT(AC33,10)),2)&amp;"/"&amp;RIGHT(AC33,4))))</f>
        <v>30</v>
      </c>
      <c r="BB33" s="142">
        <v>460</v>
      </c>
      <c r="BD33" s="142" t="s">
        <v>123</v>
      </c>
    </row>
    <row r="34" spans="2:56" s="142" customFormat="1" ht="21" customHeight="1" x14ac:dyDescent="0.25">
      <c r="B34" s="173" t="str">
        <f t="shared" si="6"/>
        <v>0-316L/2B-1.50X777</v>
      </c>
      <c r="C34" s="201" t="s">
        <v>5163</v>
      </c>
      <c r="D34" s="173" t="s">
        <v>4432</v>
      </c>
      <c r="E34" s="173" t="s">
        <v>4599</v>
      </c>
      <c r="F34" s="201" t="s">
        <v>5164</v>
      </c>
      <c r="G34" s="173" t="s">
        <v>135</v>
      </c>
      <c r="H34" s="173" t="s">
        <v>114</v>
      </c>
      <c r="I34" s="174">
        <v>3.92</v>
      </c>
      <c r="J34" s="174">
        <v>1.5</v>
      </c>
      <c r="K34" s="174">
        <v>1.46</v>
      </c>
      <c r="L34" s="174">
        <v>1.48</v>
      </c>
      <c r="M34" s="380">
        <v>777</v>
      </c>
      <c r="N34" s="349">
        <v>10.795</v>
      </c>
      <c r="O34" s="381">
        <v>4.7149999999999999</v>
      </c>
      <c r="P34" s="382"/>
      <c r="Q34" s="176"/>
      <c r="R34" s="176"/>
      <c r="S34" s="176"/>
      <c r="T34" s="383"/>
      <c r="U34" s="380">
        <v>760</v>
      </c>
      <c r="V34" s="371" t="s">
        <v>114</v>
      </c>
      <c r="W34" s="384" t="s">
        <v>4588</v>
      </c>
      <c r="X34" s="178" t="s">
        <v>761</v>
      </c>
      <c r="Y34" s="385"/>
      <c r="Z34" s="385"/>
      <c r="AA34" s="177">
        <v>44925</v>
      </c>
      <c r="AB34" s="177"/>
      <c r="AC34" s="177">
        <v>44925</v>
      </c>
      <c r="AD34" s="177"/>
      <c r="AE34" s="177">
        <v>44933</v>
      </c>
      <c r="AF34" s="177"/>
      <c r="AG34" s="177"/>
      <c r="AH34" s="177">
        <v>44909</v>
      </c>
      <c r="AI34" s="180"/>
      <c r="AJ34" s="173"/>
      <c r="AK34" s="173" t="s">
        <v>2374</v>
      </c>
      <c r="AL34" s="181" t="s">
        <v>69</v>
      </c>
      <c r="AM34" s="181" t="s">
        <v>142</v>
      </c>
      <c r="AN34" s="181" t="s">
        <v>1887</v>
      </c>
      <c r="AO34" s="181"/>
      <c r="AP34" s="181">
        <v>44880</v>
      </c>
      <c r="AQ34" s="173"/>
      <c r="AR34" s="181">
        <f t="shared" ca="1" si="7"/>
        <v>44958</v>
      </c>
      <c r="AS34" s="176">
        <f t="shared" ca="1" si="8"/>
        <v>78</v>
      </c>
      <c r="AT34" s="176">
        <f t="shared" ca="1" si="10"/>
        <v>25</v>
      </c>
      <c r="AU34" s="176"/>
      <c r="AV34" s="176" t="s">
        <v>4601</v>
      </c>
      <c r="AW34" s="176">
        <v>21.6</v>
      </c>
      <c r="AX34" s="176">
        <v>21.66</v>
      </c>
      <c r="AY34" s="173">
        <v>21.685000000000002</v>
      </c>
      <c r="AZ34" s="142">
        <v>21.69</v>
      </c>
      <c r="BA34" s="142">
        <f t="shared" ca="1" si="11"/>
        <v>33</v>
      </c>
      <c r="BB34" s="142">
        <v>460</v>
      </c>
      <c r="BD34" s="142" t="s">
        <v>123</v>
      </c>
    </row>
    <row r="35" spans="2:56" s="142" customFormat="1" ht="21" customHeight="1" x14ac:dyDescent="0.25">
      <c r="B35" s="173" t="str">
        <f t="shared" si="6"/>
        <v>0-316L/2B-1.50X777</v>
      </c>
      <c r="C35" s="201" t="s">
        <v>5161</v>
      </c>
      <c r="D35" s="173" t="s">
        <v>836</v>
      </c>
      <c r="E35" s="173" t="s">
        <v>4599</v>
      </c>
      <c r="F35" s="201" t="s">
        <v>5165</v>
      </c>
      <c r="G35" s="173" t="s">
        <v>135</v>
      </c>
      <c r="H35" s="173" t="s">
        <v>114</v>
      </c>
      <c r="I35" s="174">
        <v>3.92</v>
      </c>
      <c r="J35" s="174">
        <v>1.5</v>
      </c>
      <c r="K35" s="174">
        <v>1.46</v>
      </c>
      <c r="L35" s="174">
        <v>1.48</v>
      </c>
      <c r="M35" s="380">
        <v>777</v>
      </c>
      <c r="N35" s="350"/>
      <c r="O35" s="381">
        <f>N34-O34</f>
        <v>6.08</v>
      </c>
      <c r="P35" s="382"/>
      <c r="Q35" s="176"/>
      <c r="R35" s="176"/>
      <c r="S35" s="176"/>
      <c r="T35" s="383"/>
      <c r="U35" s="380">
        <v>777</v>
      </c>
      <c r="V35" s="371" t="s">
        <v>114</v>
      </c>
      <c r="W35" s="384"/>
      <c r="X35" s="178" t="s">
        <v>761</v>
      </c>
      <c r="Y35" s="385"/>
      <c r="Z35" s="385"/>
      <c r="AA35" s="177">
        <v>44925</v>
      </c>
      <c r="AB35" s="177"/>
      <c r="AC35" s="177">
        <v>44925</v>
      </c>
      <c r="AD35" s="177"/>
      <c r="AE35" s="177">
        <v>44933</v>
      </c>
      <c r="AF35" s="177"/>
      <c r="AG35" s="177"/>
      <c r="AH35" s="177">
        <v>44909</v>
      </c>
      <c r="AI35" s="180"/>
      <c r="AJ35" s="173"/>
      <c r="AK35" s="173" t="s">
        <v>2374</v>
      </c>
      <c r="AL35" s="181" t="s">
        <v>69</v>
      </c>
      <c r="AM35" s="181" t="s">
        <v>142</v>
      </c>
      <c r="AN35" s="181" t="s">
        <v>1887</v>
      </c>
      <c r="AO35" s="181"/>
      <c r="AP35" s="181">
        <v>44880</v>
      </c>
      <c r="AQ35" s="173"/>
      <c r="AR35" s="181">
        <f t="shared" ca="1" si="7"/>
        <v>44958</v>
      </c>
      <c r="AS35" s="176">
        <f t="shared" ca="1" si="8"/>
        <v>78</v>
      </c>
      <c r="AT35" s="176">
        <f t="shared" ca="1" si="10"/>
        <v>25</v>
      </c>
      <c r="AU35" s="176"/>
      <c r="AV35" s="176" t="s">
        <v>4601</v>
      </c>
      <c r="AW35" s="176">
        <v>21.6</v>
      </c>
      <c r="AX35" s="176">
        <v>21.66</v>
      </c>
      <c r="AY35" s="173">
        <v>21.685000000000002</v>
      </c>
      <c r="AZ35" s="142">
        <v>21.69</v>
      </c>
      <c r="BA35" s="142">
        <f t="shared" ca="1" si="11"/>
        <v>33</v>
      </c>
      <c r="BB35" s="142">
        <v>460</v>
      </c>
      <c r="BD35" s="142" t="s">
        <v>123</v>
      </c>
    </row>
    <row r="36" spans="2:56" s="142" customFormat="1" ht="21" customHeight="1" x14ac:dyDescent="0.25">
      <c r="B36" s="173" t="str">
        <f t="shared" si="6"/>
        <v>0-316L/2B-2.00X777</v>
      </c>
      <c r="C36" s="201" t="s">
        <v>5166</v>
      </c>
      <c r="D36" s="173" t="s">
        <v>4432</v>
      </c>
      <c r="E36" s="173" t="s">
        <v>3846</v>
      </c>
      <c r="F36" s="201" t="s">
        <v>4616</v>
      </c>
      <c r="G36" s="173" t="s">
        <v>135</v>
      </c>
      <c r="H36" s="173" t="s">
        <v>114</v>
      </c>
      <c r="I36" s="174">
        <v>3.94</v>
      </c>
      <c r="J36" s="174">
        <v>2</v>
      </c>
      <c r="K36" s="174">
        <v>2.02</v>
      </c>
      <c r="L36" s="174">
        <v>2.0499999999999998</v>
      </c>
      <c r="M36" s="380">
        <v>777</v>
      </c>
      <c r="N36" s="176">
        <v>6.17</v>
      </c>
      <c r="O36" s="381">
        <v>6.1349999999999998</v>
      </c>
      <c r="P36" s="382"/>
      <c r="Q36" s="176"/>
      <c r="R36" s="176"/>
      <c r="S36" s="176"/>
      <c r="T36" s="383"/>
      <c r="U36" s="380">
        <v>760</v>
      </c>
      <c r="V36" s="371" t="s">
        <v>114</v>
      </c>
      <c r="W36" s="384" t="s">
        <v>4588</v>
      </c>
      <c r="X36" s="178" t="s">
        <v>761</v>
      </c>
      <c r="Y36" s="385"/>
      <c r="Z36" s="385"/>
      <c r="AA36" s="177">
        <v>44928</v>
      </c>
      <c r="AB36" s="177"/>
      <c r="AC36" s="177">
        <v>44928</v>
      </c>
      <c r="AD36" s="177"/>
      <c r="AE36" s="177">
        <v>44934</v>
      </c>
      <c r="AF36" s="177"/>
      <c r="AG36" s="177" t="s">
        <v>5162</v>
      </c>
      <c r="AH36" s="177">
        <v>44911</v>
      </c>
      <c r="AI36" s="180"/>
      <c r="AJ36" s="173"/>
      <c r="AK36" s="173" t="s">
        <v>2374</v>
      </c>
      <c r="AL36" s="181" t="s">
        <v>69</v>
      </c>
      <c r="AM36" s="181" t="s">
        <v>142</v>
      </c>
      <c r="AN36" s="181" t="s">
        <v>1887</v>
      </c>
      <c r="AO36" s="181"/>
      <c r="AP36" s="181">
        <v>44880</v>
      </c>
      <c r="AQ36" s="173"/>
      <c r="AR36" s="181">
        <f t="shared" ca="1" si="7"/>
        <v>44958</v>
      </c>
      <c r="AS36" s="176">
        <f t="shared" ca="1" si="8"/>
        <v>78</v>
      </c>
      <c r="AT36" s="176">
        <f t="shared" ca="1" si="10"/>
        <v>24</v>
      </c>
      <c r="AU36" s="176"/>
      <c r="AV36" s="176" t="s">
        <v>3848</v>
      </c>
      <c r="AW36" s="176">
        <v>21.585000000000001</v>
      </c>
      <c r="AX36" s="176">
        <v>21.645</v>
      </c>
      <c r="AY36" s="173">
        <v>21.67</v>
      </c>
      <c r="AZ36" s="142">
        <v>21.675000000000001</v>
      </c>
      <c r="BA36" s="142">
        <f t="shared" ca="1" si="11"/>
        <v>30</v>
      </c>
      <c r="BB36" s="142">
        <v>460</v>
      </c>
      <c r="BD36" s="142" t="s">
        <v>123</v>
      </c>
    </row>
    <row r="37" spans="2:56" s="142" customFormat="1" ht="21" customHeight="1" x14ac:dyDescent="0.25">
      <c r="B37" s="173" t="str">
        <f t="shared" si="6"/>
        <v>0-316L/2B-1.50X777</v>
      </c>
      <c r="C37" s="201" t="s">
        <v>5166</v>
      </c>
      <c r="D37" s="173" t="s">
        <v>4432</v>
      </c>
      <c r="E37" s="173" t="s">
        <v>4599</v>
      </c>
      <c r="F37" s="201" t="s">
        <v>5165</v>
      </c>
      <c r="G37" s="173" t="s">
        <v>135</v>
      </c>
      <c r="H37" s="173" t="s">
        <v>114</v>
      </c>
      <c r="I37" s="174">
        <v>3.92</v>
      </c>
      <c r="J37" s="174">
        <v>1.5</v>
      </c>
      <c r="K37" s="174">
        <v>1.46</v>
      </c>
      <c r="L37" s="174">
        <v>1.48</v>
      </c>
      <c r="M37" s="380">
        <v>777</v>
      </c>
      <c r="N37" s="176">
        <v>6.08</v>
      </c>
      <c r="O37" s="381">
        <v>6.0250000000000004</v>
      </c>
      <c r="P37" s="382"/>
      <c r="Q37" s="176"/>
      <c r="R37" s="176"/>
      <c r="S37" s="176"/>
      <c r="T37" s="383"/>
      <c r="U37" s="380">
        <v>760</v>
      </c>
      <c r="V37" s="371" t="s">
        <v>114</v>
      </c>
      <c r="W37" s="384" t="s">
        <v>4588</v>
      </c>
      <c r="X37" s="178" t="s">
        <v>761</v>
      </c>
      <c r="Y37" s="385"/>
      <c r="Z37" s="385"/>
      <c r="AA37" s="177">
        <v>44925</v>
      </c>
      <c r="AB37" s="177"/>
      <c r="AC37" s="177">
        <v>44925</v>
      </c>
      <c r="AD37" s="177"/>
      <c r="AE37" s="177">
        <v>44933</v>
      </c>
      <c r="AF37" s="177"/>
      <c r="AG37" s="177"/>
      <c r="AH37" s="177">
        <v>44909</v>
      </c>
      <c r="AI37" s="180"/>
      <c r="AJ37" s="173"/>
      <c r="AK37" s="173" t="s">
        <v>2374</v>
      </c>
      <c r="AL37" s="181" t="s">
        <v>69</v>
      </c>
      <c r="AM37" s="181" t="s">
        <v>142</v>
      </c>
      <c r="AN37" s="181" t="s">
        <v>1887</v>
      </c>
      <c r="AO37" s="181"/>
      <c r="AP37" s="181">
        <v>44880</v>
      </c>
      <c r="AQ37" s="173"/>
      <c r="AR37" s="181">
        <f t="shared" ca="1" si="7"/>
        <v>44958</v>
      </c>
      <c r="AS37" s="176">
        <f t="shared" ca="1" si="8"/>
        <v>78</v>
      </c>
      <c r="AT37" s="176">
        <f t="shared" ca="1" si="10"/>
        <v>25</v>
      </c>
      <c r="AU37" s="176"/>
      <c r="AV37" s="176" t="s">
        <v>4601</v>
      </c>
      <c r="AW37" s="176">
        <v>21.6</v>
      </c>
      <c r="AX37" s="176">
        <v>21.66</v>
      </c>
      <c r="AY37" s="173">
        <v>21.685000000000002</v>
      </c>
      <c r="AZ37" s="142">
        <v>21.69</v>
      </c>
      <c r="BA37" s="142">
        <f t="shared" ca="1" si="11"/>
        <v>33</v>
      </c>
      <c r="BB37" s="142">
        <v>460</v>
      </c>
      <c r="BD37" s="142" t="s">
        <v>123</v>
      </c>
    </row>
    <row r="38" spans="2:56" s="142" customFormat="1" ht="21" customHeight="1" x14ac:dyDescent="0.25">
      <c r="B38" s="173" t="str">
        <f t="shared" si="6"/>
        <v>0-316L/2B-2.00X777</v>
      </c>
      <c r="C38" s="201" t="s">
        <v>5163</v>
      </c>
      <c r="D38" s="173" t="s">
        <v>4432</v>
      </c>
      <c r="E38" s="173" t="s">
        <v>3851</v>
      </c>
      <c r="F38" s="201" t="s">
        <v>5167</v>
      </c>
      <c r="G38" s="173" t="s">
        <v>135</v>
      </c>
      <c r="H38" s="173" t="s">
        <v>114</v>
      </c>
      <c r="I38" s="174">
        <v>3.92</v>
      </c>
      <c r="J38" s="174">
        <v>2</v>
      </c>
      <c r="K38" s="174">
        <v>1.98</v>
      </c>
      <c r="L38" s="174">
        <v>2</v>
      </c>
      <c r="M38" s="380">
        <v>777</v>
      </c>
      <c r="N38" s="176">
        <v>10.79</v>
      </c>
      <c r="O38" s="381">
        <f>4.785+5.97</f>
        <v>10.754999999999999</v>
      </c>
      <c r="P38" s="382"/>
      <c r="Q38" s="176"/>
      <c r="R38" s="176"/>
      <c r="S38" s="176"/>
      <c r="T38" s="383"/>
      <c r="U38" s="380">
        <v>760</v>
      </c>
      <c r="V38" s="371" t="s">
        <v>114</v>
      </c>
      <c r="W38" s="384" t="s">
        <v>5168</v>
      </c>
      <c r="X38" s="178" t="s">
        <v>5169</v>
      </c>
      <c r="Y38" s="385"/>
      <c r="Z38" s="385"/>
      <c r="AA38" s="177">
        <v>44928</v>
      </c>
      <c r="AB38" s="177"/>
      <c r="AC38" s="177">
        <v>44929</v>
      </c>
      <c r="AD38" s="177"/>
      <c r="AE38" s="177">
        <v>44934</v>
      </c>
      <c r="AF38" s="177"/>
      <c r="AG38" s="177"/>
      <c r="AH38" s="177">
        <v>44909</v>
      </c>
      <c r="AI38" s="180"/>
      <c r="AJ38" s="173"/>
      <c r="AK38" s="173" t="s">
        <v>2374</v>
      </c>
      <c r="AL38" s="181" t="s">
        <v>69</v>
      </c>
      <c r="AM38" s="181" t="s">
        <v>142</v>
      </c>
      <c r="AN38" s="181" t="s">
        <v>1887</v>
      </c>
      <c r="AO38" s="181"/>
      <c r="AP38" s="181">
        <v>44880</v>
      </c>
      <c r="AQ38" s="173"/>
      <c r="AR38" s="181">
        <f t="shared" ca="1" si="7"/>
        <v>44958</v>
      </c>
      <c r="AS38" s="176">
        <f t="shared" ca="1" si="8"/>
        <v>78</v>
      </c>
      <c r="AT38" s="176">
        <f t="shared" ca="1" si="10"/>
        <v>24</v>
      </c>
      <c r="AU38" s="176"/>
      <c r="AV38" s="176" t="s">
        <v>3853</v>
      </c>
      <c r="AW38" s="176">
        <v>21.605</v>
      </c>
      <c r="AX38" s="176">
        <v>21.664999999999999</v>
      </c>
      <c r="AY38" s="173">
        <v>21.69</v>
      </c>
      <c r="AZ38" s="142">
        <v>21.695</v>
      </c>
      <c r="BA38" s="142">
        <f t="shared" ca="1" si="11"/>
        <v>29</v>
      </c>
      <c r="BB38" s="142">
        <v>460</v>
      </c>
      <c r="BD38" s="142" t="s">
        <v>123</v>
      </c>
    </row>
    <row r="39" spans="2:56" s="142" customFormat="1" ht="21" customHeight="1" x14ac:dyDescent="0.25">
      <c r="B39" s="173" t="str">
        <f t="shared" si="6"/>
        <v>0-316L/2B-1.50X777</v>
      </c>
      <c r="C39" s="201" t="s">
        <v>5163</v>
      </c>
      <c r="D39" s="173" t="s">
        <v>4432</v>
      </c>
      <c r="E39" s="173" t="s">
        <v>4599</v>
      </c>
      <c r="F39" s="201" t="s">
        <v>5170</v>
      </c>
      <c r="G39" s="173" t="s">
        <v>135</v>
      </c>
      <c r="H39" s="173" t="s">
        <v>114</v>
      </c>
      <c r="I39" s="174">
        <v>3.92</v>
      </c>
      <c r="J39" s="174">
        <v>1.5</v>
      </c>
      <c r="K39" s="174">
        <v>1.5</v>
      </c>
      <c r="L39" s="174">
        <v>1.53</v>
      </c>
      <c r="M39" s="380">
        <v>777</v>
      </c>
      <c r="N39" s="176">
        <v>10.785</v>
      </c>
      <c r="O39" s="381">
        <f>4.81+5.97</f>
        <v>10.78</v>
      </c>
      <c r="P39" s="382"/>
      <c r="Q39" s="176"/>
      <c r="R39" s="176"/>
      <c r="S39" s="176"/>
      <c r="T39" s="383"/>
      <c r="U39" s="380">
        <v>760</v>
      </c>
      <c r="V39" s="371" t="s">
        <v>114</v>
      </c>
      <c r="W39" s="384" t="s">
        <v>5168</v>
      </c>
      <c r="X39" s="178" t="s">
        <v>5169</v>
      </c>
      <c r="Y39" s="385"/>
      <c r="Z39" s="385"/>
      <c r="AA39" s="177">
        <v>44925</v>
      </c>
      <c r="AB39" s="177"/>
      <c r="AC39" s="177">
        <v>44925</v>
      </c>
      <c r="AD39" s="177"/>
      <c r="AE39" s="177">
        <v>44934</v>
      </c>
      <c r="AF39" s="177"/>
      <c r="AG39" s="177"/>
      <c r="AH39" s="177">
        <v>44909</v>
      </c>
      <c r="AI39" s="180"/>
      <c r="AJ39" s="173"/>
      <c r="AK39" s="173" t="s">
        <v>2374</v>
      </c>
      <c r="AL39" s="181" t="s">
        <v>69</v>
      </c>
      <c r="AM39" s="181" t="s">
        <v>142</v>
      </c>
      <c r="AN39" s="181" t="s">
        <v>1887</v>
      </c>
      <c r="AO39" s="181"/>
      <c r="AP39" s="181">
        <v>44880</v>
      </c>
      <c r="AQ39" s="173"/>
      <c r="AR39" s="181">
        <f t="shared" ca="1" si="7"/>
        <v>44958</v>
      </c>
      <c r="AS39" s="176">
        <f t="shared" ca="1" si="8"/>
        <v>78</v>
      </c>
      <c r="AT39" s="176">
        <f t="shared" ca="1" si="10"/>
        <v>24</v>
      </c>
      <c r="AU39" s="176"/>
      <c r="AV39" s="176" t="s">
        <v>4601</v>
      </c>
      <c r="AW39" s="176">
        <v>21.6</v>
      </c>
      <c r="AX39" s="176">
        <v>21.66</v>
      </c>
      <c r="AY39" s="173">
        <v>21.685000000000002</v>
      </c>
      <c r="AZ39" s="142">
        <v>21.69</v>
      </c>
      <c r="BA39" s="142">
        <f t="shared" ca="1" si="11"/>
        <v>33</v>
      </c>
      <c r="BB39" s="142">
        <v>460</v>
      </c>
      <c r="BD39" s="142" t="s">
        <v>123</v>
      </c>
    </row>
    <row r="40" spans="2:56" s="142" customFormat="1" ht="21" customHeight="1" x14ac:dyDescent="0.25">
      <c r="B40" s="173" t="str">
        <f t="shared" si="6"/>
        <v>0-304L/2B-1.00X644</v>
      </c>
      <c r="C40" s="201" t="s">
        <v>5171</v>
      </c>
      <c r="D40" s="173" t="s">
        <v>836</v>
      </c>
      <c r="E40" s="173" t="s">
        <v>3918</v>
      </c>
      <c r="F40" s="201" t="s">
        <v>3919</v>
      </c>
      <c r="G40" s="173" t="s">
        <v>182</v>
      </c>
      <c r="H40" s="173" t="s">
        <v>114</v>
      </c>
      <c r="I40" s="174">
        <v>2.81</v>
      </c>
      <c r="J40" s="174">
        <v>1</v>
      </c>
      <c r="K40" s="174">
        <v>0.98</v>
      </c>
      <c r="L40" s="174">
        <v>1.02</v>
      </c>
      <c r="M40" s="380">
        <v>644</v>
      </c>
      <c r="N40" s="176">
        <v>10.61</v>
      </c>
      <c r="O40" s="381">
        <v>10.61</v>
      </c>
      <c r="P40" s="382"/>
      <c r="Q40" s="176"/>
      <c r="R40" s="176"/>
      <c r="S40" s="176"/>
      <c r="T40" s="383"/>
      <c r="U40" s="380">
        <v>644</v>
      </c>
      <c r="V40" s="371" t="s">
        <v>114</v>
      </c>
      <c r="W40" s="384"/>
      <c r="X40" s="178" t="s">
        <v>4326</v>
      </c>
      <c r="Y40" s="385" t="s">
        <v>294</v>
      </c>
      <c r="Z40" s="385"/>
      <c r="AA40" s="177">
        <v>44931</v>
      </c>
      <c r="AB40" s="177"/>
      <c r="AC40" s="177"/>
      <c r="AD40" s="177">
        <v>44932</v>
      </c>
      <c r="AE40" s="177">
        <v>44932</v>
      </c>
      <c r="AF40" s="177"/>
      <c r="AG40" s="177" t="s">
        <v>5172</v>
      </c>
      <c r="AH40" s="177"/>
      <c r="AI40" s="180"/>
      <c r="AJ40" s="173"/>
      <c r="AK40" s="173" t="s">
        <v>2479</v>
      </c>
      <c r="AL40" s="181" t="s">
        <v>69</v>
      </c>
      <c r="AM40" s="181" t="s">
        <v>142</v>
      </c>
      <c r="AN40" s="181" t="s">
        <v>1653</v>
      </c>
      <c r="AO40" s="181"/>
      <c r="AP40" s="181">
        <v>44880</v>
      </c>
      <c r="AQ40" s="173"/>
      <c r="AR40" s="181">
        <f t="shared" ca="1" si="7"/>
        <v>44958</v>
      </c>
      <c r="AS40" s="176">
        <f t="shared" ca="1" si="8"/>
        <v>78</v>
      </c>
      <c r="AT40" s="176">
        <f t="shared" ca="1" si="10"/>
        <v>26</v>
      </c>
      <c r="AU40" s="176"/>
      <c r="AV40" s="176" t="s">
        <v>1939</v>
      </c>
      <c r="AW40" s="176">
        <v>10.654999999999999</v>
      </c>
      <c r="AX40" s="176">
        <v>10.664999999999999</v>
      </c>
      <c r="AY40" s="173">
        <v>10.689999999999998</v>
      </c>
      <c r="AZ40" s="142">
        <v>10.694999999999999</v>
      </c>
      <c r="BA40" s="142" t="str">
        <f t="shared" si="11"/>
        <v/>
      </c>
      <c r="BB40" s="142">
        <v>459</v>
      </c>
      <c r="BD40" s="142" t="s">
        <v>123</v>
      </c>
    </row>
    <row r="41" spans="2:56" s="142" customFormat="1" ht="21" customHeight="1" x14ac:dyDescent="0.25">
      <c r="B41" s="173" t="str">
        <f t="shared" si="6"/>
        <v>0-316L/2B-2.00X777</v>
      </c>
      <c r="C41" s="201" t="s">
        <v>5163</v>
      </c>
      <c r="D41" s="173" t="s">
        <v>4432</v>
      </c>
      <c r="E41" s="173" t="s">
        <v>3826</v>
      </c>
      <c r="F41" s="201" t="s">
        <v>4620</v>
      </c>
      <c r="G41" s="173" t="s">
        <v>135</v>
      </c>
      <c r="H41" s="173" t="s">
        <v>114</v>
      </c>
      <c r="I41" s="174">
        <v>3.94</v>
      </c>
      <c r="J41" s="174">
        <v>2</v>
      </c>
      <c r="K41" s="174">
        <v>1.98</v>
      </c>
      <c r="L41" s="174">
        <v>2</v>
      </c>
      <c r="M41" s="380">
        <v>777</v>
      </c>
      <c r="N41" s="176">
        <v>5.5049999999999999</v>
      </c>
      <c r="O41" s="381">
        <v>5.4850000000000003</v>
      </c>
      <c r="P41" s="382"/>
      <c r="Q41" s="176"/>
      <c r="R41" s="176"/>
      <c r="S41" s="176"/>
      <c r="T41" s="383"/>
      <c r="U41" s="380">
        <v>760</v>
      </c>
      <c r="V41" s="371" t="s">
        <v>114</v>
      </c>
      <c r="W41" s="384" t="s">
        <v>4588</v>
      </c>
      <c r="X41" s="178" t="s">
        <v>761</v>
      </c>
      <c r="Y41" s="385"/>
      <c r="Z41" s="385"/>
      <c r="AA41" s="177">
        <v>44928</v>
      </c>
      <c r="AB41" s="177"/>
      <c r="AC41" s="177">
        <v>44929</v>
      </c>
      <c r="AD41" s="177"/>
      <c r="AE41" s="177">
        <v>44934</v>
      </c>
      <c r="AF41" s="177"/>
      <c r="AG41" s="177"/>
      <c r="AH41" s="177">
        <v>44910</v>
      </c>
      <c r="AI41" s="180"/>
      <c r="AJ41" s="173"/>
      <c r="AK41" s="173" t="s">
        <v>2374</v>
      </c>
      <c r="AL41" s="181" t="s">
        <v>69</v>
      </c>
      <c r="AM41" s="181" t="s">
        <v>142</v>
      </c>
      <c r="AN41" s="181" t="s">
        <v>1887</v>
      </c>
      <c r="AO41" s="181"/>
      <c r="AP41" s="181">
        <v>44880</v>
      </c>
      <c r="AQ41" s="173"/>
      <c r="AR41" s="181">
        <f t="shared" ca="1" si="7"/>
        <v>44958</v>
      </c>
      <c r="AS41" s="176">
        <f t="shared" ca="1" si="8"/>
        <v>78</v>
      </c>
      <c r="AT41" s="176">
        <f t="shared" ca="1" si="10"/>
        <v>24</v>
      </c>
      <c r="AU41" s="176"/>
      <c r="AV41" s="176" t="s">
        <v>3828</v>
      </c>
      <c r="AW41" s="176">
        <v>21.56</v>
      </c>
      <c r="AX41" s="176">
        <v>21.619999999999997</v>
      </c>
      <c r="AY41" s="173">
        <v>21.645</v>
      </c>
      <c r="AZ41" s="142">
        <v>21.65</v>
      </c>
      <c r="BA41" s="142">
        <f t="shared" ca="1" si="11"/>
        <v>29</v>
      </c>
      <c r="BB41" s="142">
        <v>460</v>
      </c>
      <c r="BD41" s="142" t="s">
        <v>123</v>
      </c>
    </row>
    <row r="42" spans="2:56" s="142" customFormat="1" ht="21" customHeight="1" x14ac:dyDescent="0.25">
      <c r="B42" s="173" t="str">
        <f t="shared" si="6"/>
        <v>0-304L/1D-3.79X768</v>
      </c>
      <c r="C42" s="201" t="s">
        <v>5173</v>
      </c>
      <c r="D42" s="173" t="s">
        <v>48</v>
      </c>
      <c r="E42" s="173" t="s">
        <v>1544</v>
      </c>
      <c r="F42" s="201" t="s">
        <v>4101</v>
      </c>
      <c r="G42" s="173" t="s">
        <v>182</v>
      </c>
      <c r="H42" s="173" t="s">
        <v>127</v>
      </c>
      <c r="I42" s="174">
        <v>3.79</v>
      </c>
      <c r="J42" s="174"/>
      <c r="K42" s="174"/>
      <c r="L42" s="174"/>
      <c r="M42" s="380">
        <v>768</v>
      </c>
      <c r="N42" s="176">
        <v>12.27</v>
      </c>
      <c r="O42" s="381">
        <v>12.27</v>
      </c>
      <c r="P42" s="382"/>
      <c r="Q42" s="176"/>
      <c r="R42" s="176"/>
      <c r="S42" s="176"/>
      <c r="T42" s="383"/>
      <c r="U42" s="380">
        <v>768</v>
      </c>
      <c r="V42" s="371"/>
      <c r="W42" s="384"/>
      <c r="X42" s="178"/>
      <c r="Y42" s="385" t="s">
        <v>5160</v>
      </c>
      <c r="Z42" s="385"/>
      <c r="AA42" s="177"/>
      <c r="AB42" s="177"/>
      <c r="AC42" s="177"/>
      <c r="AD42" s="177"/>
      <c r="AE42" s="177"/>
      <c r="AF42" s="177"/>
      <c r="AG42" s="177">
        <v>44935</v>
      </c>
      <c r="AH42" s="177">
        <v>44934</v>
      </c>
      <c r="AI42" s="180"/>
      <c r="AJ42" s="173"/>
      <c r="AK42" s="173" t="s">
        <v>1507</v>
      </c>
      <c r="AL42" s="181" t="s">
        <v>69</v>
      </c>
      <c r="AM42" s="181" t="s">
        <v>142</v>
      </c>
      <c r="AN42" s="181" t="s">
        <v>1508</v>
      </c>
      <c r="AO42" s="181"/>
      <c r="AP42" s="181">
        <v>44849</v>
      </c>
      <c r="AQ42" s="173"/>
      <c r="AR42" s="181">
        <f t="shared" ca="1" si="7"/>
        <v>44958</v>
      </c>
      <c r="AS42" s="176">
        <f t="shared" ca="1" si="8"/>
        <v>109</v>
      </c>
      <c r="AT42" s="176" t="str">
        <f>IF(ISNUMBER(X42)=TRUE,AR42-X42,IF(X42="","",(AR42)-(MID(RIGHT(X42,10),4,2)&amp;"/"&amp;LEFT((RIGHT(X42,10)),2)&amp;"/"&amp;RIGHT(X42,4))))</f>
        <v/>
      </c>
      <c r="AU42" s="176"/>
      <c r="AV42" s="176" t="s">
        <v>1548</v>
      </c>
      <c r="AW42" s="176">
        <v>24.535</v>
      </c>
      <c r="AX42" s="176">
        <v>24.594999999999999</v>
      </c>
      <c r="AY42" s="173">
        <v>24.62</v>
      </c>
      <c r="AZ42" s="142">
        <v>24.625</v>
      </c>
      <c r="BA42" s="142">
        <f ca="1">IF(ISNUMBER(U42)=TRUE,AR42-U42,IF(U42="","",(AR42)-(MID(RIGHT(U42,10),4,2)&amp;"/"&amp;LEFT((RIGHT(U42,10)),2)&amp;"/"&amp;RIGHT(U42,4))))</f>
        <v>44190</v>
      </c>
      <c r="BB42" s="142">
        <v>456</v>
      </c>
      <c r="BD42" s="142" t="s">
        <v>123</v>
      </c>
    </row>
    <row r="43" spans="2:56" s="142" customFormat="1" ht="21" customHeight="1" x14ac:dyDescent="0.25">
      <c r="B43" s="173" t="str">
        <f t="shared" si="6"/>
        <v>0-304/2B-1.20X768</v>
      </c>
      <c r="C43" s="201" t="s">
        <v>5174</v>
      </c>
      <c r="D43" s="173" t="s">
        <v>4432</v>
      </c>
      <c r="E43" s="173" t="s">
        <v>3889</v>
      </c>
      <c r="F43" s="201" t="s">
        <v>5175</v>
      </c>
      <c r="G43" s="173">
        <v>304</v>
      </c>
      <c r="H43" s="173" t="s">
        <v>114</v>
      </c>
      <c r="I43" s="174">
        <v>3.46</v>
      </c>
      <c r="J43" s="174">
        <v>1.2</v>
      </c>
      <c r="K43" s="174">
        <v>1.18</v>
      </c>
      <c r="L43" s="174">
        <v>1.2</v>
      </c>
      <c r="M43" s="380">
        <v>768</v>
      </c>
      <c r="N43" s="176">
        <v>9.6300000000000008</v>
      </c>
      <c r="O43" s="381">
        <f>4.435+5.195</f>
        <v>9.629999999999999</v>
      </c>
      <c r="P43" s="382"/>
      <c r="Q43" s="176"/>
      <c r="R43" s="176"/>
      <c r="S43" s="176"/>
      <c r="T43" s="383"/>
      <c r="U43" s="380">
        <v>760</v>
      </c>
      <c r="V43" s="371" t="s">
        <v>114</v>
      </c>
      <c r="W43" s="384" t="s">
        <v>4624</v>
      </c>
      <c r="X43" s="178" t="s">
        <v>1344</v>
      </c>
      <c r="Y43" s="385"/>
      <c r="Z43" s="385"/>
      <c r="AA43" s="177">
        <v>44930</v>
      </c>
      <c r="AB43" s="177"/>
      <c r="AC43" s="177">
        <v>44930</v>
      </c>
      <c r="AD43" s="177"/>
      <c r="AE43" s="177">
        <v>44935</v>
      </c>
      <c r="AF43" s="177"/>
      <c r="AG43" s="177"/>
      <c r="AH43" s="177"/>
      <c r="AI43" s="180"/>
      <c r="AJ43" s="173"/>
      <c r="AK43" s="173" t="s">
        <v>2470</v>
      </c>
      <c r="AL43" s="181" t="s">
        <v>69</v>
      </c>
      <c r="AM43" s="181" t="s">
        <v>142</v>
      </c>
      <c r="AN43" s="181" t="s">
        <v>1584</v>
      </c>
      <c r="AO43" s="181"/>
      <c r="AP43" s="181">
        <v>44914</v>
      </c>
      <c r="AQ43" s="173"/>
      <c r="AR43" s="181">
        <f t="shared" ca="1" si="7"/>
        <v>44958</v>
      </c>
      <c r="AS43" s="176">
        <f t="shared" ca="1" si="8"/>
        <v>44</v>
      </c>
      <c r="AT43" s="176">
        <f t="shared" ref="AT43:AT53" ca="1" si="12">IF(ISNUMBER(AE43)=TRUE,AR43-AE43,IF(AE43="","",(AR43)-(MID(RIGHT(AE43,10),4,2)&amp;"/"&amp;LEFT((RIGHT(AE43,10)),2)&amp;"/"&amp;RIGHT(AE43,4))))</f>
        <v>23</v>
      </c>
      <c r="AU43" s="176"/>
      <c r="AV43" s="176" t="s">
        <v>3891</v>
      </c>
      <c r="AW43" s="176">
        <v>9.6850000000000005</v>
      </c>
      <c r="AX43" s="176">
        <v>9.6950000000000003</v>
      </c>
      <c r="AY43" s="173">
        <v>9.7199999999999989</v>
      </c>
      <c r="AZ43" s="142">
        <v>9.7249999999999996</v>
      </c>
      <c r="BA43" s="142">
        <f t="shared" ref="BA43:BA106" ca="1" si="13">IF(ISNUMBER(AC43)=TRUE,AR43-AC43,IF(AC43="","",(AR43)-(MID(RIGHT(AC43,10),4,2)&amp;"/"&amp;LEFT((RIGHT(AC43,10)),2)&amp;"/"&amp;RIGHT(AC43,4))))</f>
        <v>28</v>
      </c>
      <c r="BB43" s="142">
        <v>462</v>
      </c>
      <c r="BD43" s="142" t="s">
        <v>123</v>
      </c>
    </row>
    <row r="44" spans="2:56" s="142" customFormat="1" ht="21" customHeight="1" x14ac:dyDescent="0.25">
      <c r="B44" s="173" t="str">
        <f t="shared" si="6"/>
        <v>0-304/2B-2.00X767</v>
      </c>
      <c r="C44" s="201" t="s">
        <v>5176</v>
      </c>
      <c r="D44" s="173" t="s">
        <v>836</v>
      </c>
      <c r="E44" s="173" t="s">
        <v>2279</v>
      </c>
      <c r="F44" s="201" t="s">
        <v>3859</v>
      </c>
      <c r="G44" s="173">
        <v>304</v>
      </c>
      <c r="H44" s="173" t="s">
        <v>114</v>
      </c>
      <c r="I44" s="174">
        <v>3.94</v>
      </c>
      <c r="J44" s="174">
        <v>2</v>
      </c>
      <c r="K44" s="174">
        <v>1.94</v>
      </c>
      <c r="L44" s="174">
        <v>1.98</v>
      </c>
      <c r="M44" s="380">
        <v>767</v>
      </c>
      <c r="N44" s="176">
        <v>11.99</v>
      </c>
      <c r="O44" s="381">
        <v>11.99</v>
      </c>
      <c r="P44" s="382"/>
      <c r="Q44" s="176"/>
      <c r="R44" s="176"/>
      <c r="S44" s="176"/>
      <c r="T44" s="383"/>
      <c r="U44" s="380">
        <v>767</v>
      </c>
      <c r="V44" s="371" t="s">
        <v>114</v>
      </c>
      <c r="W44" s="384"/>
      <c r="X44" s="178" t="s">
        <v>2281</v>
      </c>
      <c r="Y44" s="385"/>
      <c r="Z44" s="385"/>
      <c r="AA44" s="177">
        <v>44929</v>
      </c>
      <c r="AB44" s="177"/>
      <c r="AC44" s="177">
        <v>44929</v>
      </c>
      <c r="AD44" s="177"/>
      <c r="AE44" s="177">
        <v>44935</v>
      </c>
      <c r="AF44" s="177"/>
      <c r="AG44" s="177">
        <v>44936</v>
      </c>
      <c r="AH44" s="177"/>
      <c r="AI44" s="180"/>
      <c r="AJ44" s="173"/>
      <c r="AK44" s="173" t="s">
        <v>1345</v>
      </c>
      <c r="AL44" s="181" t="s">
        <v>69</v>
      </c>
      <c r="AM44" s="181" t="s">
        <v>142</v>
      </c>
      <c r="AN44" s="181" t="s">
        <v>2283</v>
      </c>
      <c r="AO44" s="181"/>
      <c r="AP44" s="181">
        <v>44880</v>
      </c>
      <c r="AQ44" s="173"/>
      <c r="AR44" s="181">
        <f t="shared" ca="1" si="7"/>
        <v>44958</v>
      </c>
      <c r="AS44" s="176">
        <f t="shared" ca="1" si="8"/>
        <v>78</v>
      </c>
      <c r="AT44" s="176">
        <f t="shared" ca="1" si="12"/>
        <v>23</v>
      </c>
      <c r="AU44" s="176"/>
      <c r="AV44" s="176" t="s">
        <v>2284</v>
      </c>
      <c r="AW44" s="176">
        <v>12.03</v>
      </c>
      <c r="AX44" s="176">
        <v>12.04</v>
      </c>
      <c r="AY44" s="173">
        <v>12.064999999999998</v>
      </c>
      <c r="AZ44" s="142">
        <v>12.069999999999999</v>
      </c>
      <c r="BA44" s="142">
        <f t="shared" ca="1" si="13"/>
        <v>29</v>
      </c>
      <c r="BB44" s="142">
        <v>459</v>
      </c>
      <c r="BD44" s="142" t="s">
        <v>123</v>
      </c>
    </row>
    <row r="45" spans="2:56" s="142" customFormat="1" ht="21" customHeight="1" x14ac:dyDescent="0.25">
      <c r="B45" s="173" t="str">
        <f t="shared" si="6"/>
        <v>0-304/2B-2.00X767</v>
      </c>
      <c r="C45" s="201" t="s">
        <v>5177</v>
      </c>
      <c r="D45" s="173" t="s">
        <v>776</v>
      </c>
      <c r="E45" s="173" t="s">
        <v>2279</v>
      </c>
      <c r="F45" s="201" t="s">
        <v>2280</v>
      </c>
      <c r="G45" s="173">
        <v>304</v>
      </c>
      <c r="H45" s="173" t="s">
        <v>114</v>
      </c>
      <c r="I45" s="174">
        <v>3.94</v>
      </c>
      <c r="J45" s="174">
        <v>2</v>
      </c>
      <c r="K45" s="174">
        <v>1.94</v>
      </c>
      <c r="L45" s="174">
        <v>1.98</v>
      </c>
      <c r="M45" s="380">
        <v>767</v>
      </c>
      <c r="N45" s="349">
        <v>11.99</v>
      </c>
      <c r="O45" s="381">
        <v>4.0199999999999996</v>
      </c>
      <c r="P45" s="382"/>
      <c r="Q45" s="176"/>
      <c r="R45" s="176"/>
      <c r="S45" s="176"/>
      <c r="T45" s="383"/>
      <c r="U45" s="380">
        <v>767</v>
      </c>
      <c r="V45" s="371" t="s">
        <v>114</v>
      </c>
      <c r="W45" s="384"/>
      <c r="X45" s="178" t="s">
        <v>314</v>
      </c>
      <c r="Y45" s="385" t="s">
        <v>2281</v>
      </c>
      <c r="Z45" s="385"/>
      <c r="AA45" s="177">
        <v>44929</v>
      </c>
      <c r="AB45" s="177"/>
      <c r="AC45" s="177">
        <v>44929</v>
      </c>
      <c r="AD45" s="177"/>
      <c r="AE45" s="177">
        <v>44935</v>
      </c>
      <c r="AF45" s="177"/>
      <c r="AG45" s="177" t="s">
        <v>2282</v>
      </c>
      <c r="AH45" s="177"/>
      <c r="AI45" s="180"/>
      <c r="AJ45" s="173"/>
      <c r="AK45" s="173" t="s">
        <v>1345</v>
      </c>
      <c r="AL45" s="181" t="s">
        <v>69</v>
      </c>
      <c r="AM45" s="181" t="s">
        <v>142</v>
      </c>
      <c r="AN45" s="181" t="s">
        <v>2283</v>
      </c>
      <c r="AO45" s="181"/>
      <c r="AP45" s="181">
        <v>44880</v>
      </c>
      <c r="AQ45" s="173"/>
      <c r="AR45" s="181">
        <f t="shared" ca="1" si="7"/>
        <v>44958</v>
      </c>
      <c r="AS45" s="176">
        <f t="shared" ca="1" si="8"/>
        <v>78</v>
      </c>
      <c r="AT45" s="176">
        <f t="shared" ca="1" si="12"/>
        <v>23</v>
      </c>
      <c r="AU45" s="176"/>
      <c r="AV45" s="176" t="s">
        <v>2284</v>
      </c>
      <c r="AW45" s="176">
        <v>12.03</v>
      </c>
      <c r="AX45" s="176">
        <v>12.04</v>
      </c>
      <c r="AY45" s="173">
        <v>12.064999999999998</v>
      </c>
      <c r="AZ45" s="142">
        <v>12.069999999999999</v>
      </c>
      <c r="BA45" s="142">
        <f t="shared" ca="1" si="13"/>
        <v>29</v>
      </c>
      <c r="BB45" s="142">
        <v>459</v>
      </c>
      <c r="BD45" s="142" t="s">
        <v>123</v>
      </c>
    </row>
    <row r="46" spans="2:56" s="142" customFormat="1" ht="21" customHeight="1" x14ac:dyDescent="0.25">
      <c r="B46" s="173" t="str">
        <f t="shared" si="6"/>
        <v>0-304/2B-2.00X767</v>
      </c>
      <c r="C46" s="201" t="s">
        <v>5178</v>
      </c>
      <c r="D46" s="173" t="s">
        <v>4432</v>
      </c>
      <c r="E46" s="173" t="s">
        <v>2279</v>
      </c>
      <c r="F46" s="201" t="s">
        <v>5179</v>
      </c>
      <c r="G46" s="173">
        <v>304</v>
      </c>
      <c r="H46" s="173" t="s">
        <v>114</v>
      </c>
      <c r="I46" s="174">
        <v>3.94</v>
      </c>
      <c r="J46" s="174">
        <v>2</v>
      </c>
      <c r="K46" s="174">
        <v>1.94</v>
      </c>
      <c r="L46" s="174">
        <v>1.98</v>
      </c>
      <c r="M46" s="380">
        <v>767</v>
      </c>
      <c r="N46" s="350"/>
      <c r="O46" s="381">
        <f>3.95+3.995</f>
        <v>7.9450000000000003</v>
      </c>
      <c r="P46" s="382"/>
      <c r="Q46" s="176"/>
      <c r="R46" s="176"/>
      <c r="S46" s="176"/>
      <c r="T46" s="383"/>
      <c r="U46" s="380">
        <v>760</v>
      </c>
      <c r="V46" s="371" t="s">
        <v>114</v>
      </c>
      <c r="W46" s="384" t="s">
        <v>4624</v>
      </c>
      <c r="X46" s="178" t="s">
        <v>1344</v>
      </c>
      <c r="Y46" s="385"/>
      <c r="Z46" s="385"/>
      <c r="AA46" s="177">
        <v>44929</v>
      </c>
      <c r="AB46" s="177"/>
      <c r="AC46" s="177">
        <v>44929</v>
      </c>
      <c r="AD46" s="177"/>
      <c r="AE46" s="177">
        <v>44935</v>
      </c>
      <c r="AF46" s="177"/>
      <c r="AG46" s="177">
        <v>44936</v>
      </c>
      <c r="AH46" s="177"/>
      <c r="AI46" s="180"/>
      <c r="AJ46" s="173"/>
      <c r="AK46" s="173" t="s">
        <v>1345</v>
      </c>
      <c r="AL46" s="181" t="s">
        <v>69</v>
      </c>
      <c r="AM46" s="181" t="s">
        <v>142</v>
      </c>
      <c r="AN46" s="181" t="s">
        <v>2283</v>
      </c>
      <c r="AO46" s="181"/>
      <c r="AP46" s="181">
        <v>44880</v>
      </c>
      <c r="AQ46" s="173"/>
      <c r="AR46" s="181">
        <f t="shared" ca="1" si="7"/>
        <v>44958</v>
      </c>
      <c r="AS46" s="176">
        <f t="shared" ca="1" si="8"/>
        <v>78</v>
      </c>
      <c r="AT46" s="176">
        <f t="shared" ca="1" si="12"/>
        <v>23</v>
      </c>
      <c r="AU46" s="176"/>
      <c r="AV46" s="176" t="s">
        <v>2284</v>
      </c>
      <c r="AW46" s="176">
        <v>12.03</v>
      </c>
      <c r="AX46" s="176">
        <v>12.04</v>
      </c>
      <c r="AY46" s="173">
        <v>12.064999999999998</v>
      </c>
      <c r="AZ46" s="142">
        <v>12.069999999999999</v>
      </c>
      <c r="BA46" s="142">
        <f t="shared" ca="1" si="13"/>
        <v>29</v>
      </c>
      <c r="BB46" s="142">
        <v>459</v>
      </c>
      <c r="BD46" s="142" t="s">
        <v>123</v>
      </c>
    </row>
    <row r="47" spans="2:56" s="142" customFormat="1" ht="21" customHeight="1" x14ac:dyDescent="0.25">
      <c r="B47" s="173" t="str">
        <f t="shared" si="6"/>
        <v>0-304/2B-1.50X770</v>
      </c>
      <c r="C47" s="201" t="s">
        <v>5174</v>
      </c>
      <c r="D47" s="173" t="s">
        <v>4432</v>
      </c>
      <c r="E47" s="173" t="s">
        <v>3863</v>
      </c>
      <c r="F47" s="201" t="s">
        <v>5180</v>
      </c>
      <c r="G47" s="173">
        <v>304</v>
      </c>
      <c r="H47" s="173" t="s">
        <v>114</v>
      </c>
      <c r="I47" s="174">
        <v>3.79</v>
      </c>
      <c r="J47" s="174">
        <v>1.5</v>
      </c>
      <c r="K47" s="174">
        <v>1.5</v>
      </c>
      <c r="L47" s="174">
        <v>1.52</v>
      </c>
      <c r="M47" s="380">
        <v>770</v>
      </c>
      <c r="N47" s="176">
        <v>10.48</v>
      </c>
      <c r="O47" s="381">
        <f>5.18+5.165</f>
        <v>10.344999999999999</v>
      </c>
      <c r="P47" s="382"/>
      <c r="Q47" s="176">
        <v>0.11</v>
      </c>
      <c r="R47" s="176"/>
      <c r="S47" s="176"/>
      <c r="T47" s="383"/>
      <c r="U47" s="380">
        <v>760</v>
      </c>
      <c r="V47" s="371" t="s">
        <v>114</v>
      </c>
      <c r="W47" s="384" t="s">
        <v>4624</v>
      </c>
      <c r="X47" s="178" t="s">
        <v>1344</v>
      </c>
      <c r="Y47" s="385" t="s">
        <v>1344</v>
      </c>
      <c r="Z47" s="385" t="s">
        <v>4636</v>
      </c>
      <c r="AA47" s="177">
        <v>44929</v>
      </c>
      <c r="AB47" s="177"/>
      <c r="AC47" s="177">
        <v>44929</v>
      </c>
      <c r="AD47" s="177"/>
      <c r="AE47" s="177">
        <v>44935</v>
      </c>
      <c r="AF47" s="177"/>
      <c r="AG47" s="177"/>
      <c r="AH47" s="177"/>
      <c r="AI47" s="180"/>
      <c r="AJ47" s="173"/>
      <c r="AK47" s="173" t="s">
        <v>1345</v>
      </c>
      <c r="AL47" s="181" t="s">
        <v>69</v>
      </c>
      <c r="AM47" s="181" t="s">
        <v>142</v>
      </c>
      <c r="AN47" s="181" t="s">
        <v>2283</v>
      </c>
      <c r="AO47" s="181"/>
      <c r="AP47" s="181">
        <v>44880</v>
      </c>
      <c r="AQ47" s="173"/>
      <c r="AR47" s="181">
        <f t="shared" ca="1" si="7"/>
        <v>44958</v>
      </c>
      <c r="AS47" s="176">
        <f t="shared" ca="1" si="8"/>
        <v>78</v>
      </c>
      <c r="AT47" s="176">
        <f t="shared" ca="1" si="12"/>
        <v>23</v>
      </c>
      <c r="AU47" s="176"/>
      <c r="AV47" s="176" t="s">
        <v>3865</v>
      </c>
      <c r="AW47" s="176">
        <v>10.52</v>
      </c>
      <c r="AX47" s="176">
        <v>10.53</v>
      </c>
      <c r="AY47" s="173">
        <v>10.554999999999998</v>
      </c>
      <c r="AZ47" s="142">
        <v>10.559999999999999</v>
      </c>
      <c r="BA47" s="142">
        <f t="shared" ca="1" si="13"/>
        <v>29</v>
      </c>
      <c r="BB47" s="142">
        <v>459</v>
      </c>
      <c r="BD47" s="142" t="s">
        <v>123</v>
      </c>
    </row>
    <row r="48" spans="2:56" s="142" customFormat="1" ht="21" customHeight="1" x14ac:dyDescent="0.25">
      <c r="B48" s="173" t="str">
        <f t="shared" si="6"/>
        <v>0-304/2B-2.00X773</v>
      </c>
      <c r="C48" s="201" t="s">
        <v>5174</v>
      </c>
      <c r="D48" s="173" t="s">
        <v>4432</v>
      </c>
      <c r="E48" s="173" t="s">
        <v>4632</v>
      </c>
      <c r="F48" s="201" t="s">
        <v>5181</v>
      </c>
      <c r="G48" s="173">
        <v>304</v>
      </c>
      <c r="H48" s="173" t="s">
        <v>114</v>
      </c>
      <c r="I48" s="174">
        <v>4.38</v>
      </c>
      <c r="J48" s="174">
        <v>2</v>
      </c>
      <c r="K48" s="174">
        <v>1.97</v>
      </c>
      <c r="L48" s="174">
        <v>2</v>
      </c>
      <c r="M48" s="380">
        <v>773</v>
      </c>
      <c r="N48" s="349">
        <v>10.45</v>
      </c>
      <c r="O48" s="381">
        <v>5.0149999999999997</v>
      </c>
      <c r="P48" s="382"/>
      <c r="R48" s="176"/>
      <c r="S48" s="176"/>
      <c r="T48" s="383"/>
      <c r="U48" s="380">
        <v>760</v>
      </c>
      <c r="V48" s="371" t="s">
        <v>114</v>
      </c>
      <c r="W48" s="384" t="s">
        <v>4724</v>
      </c>
      <c r="X48" s="178" t="s">
        <v>1344</v>
      </c>
      <c r="Y48" s="385"/>
      <c r="Z48" s="385"/>
      <c r="AA48" s="177">
        <v>44914</v>
      </c>
      <c r="AB48" s="177"/>
      <c r="AC48" s="177">
        <v>44916</v>
      </c>
      <c r="AD48" s="177"/>
      <c r="AE48" s="177">
        <v>44935</v>
      </c>
      <c r="AF48" s="177"/>
      <c r="AG48" s="177"/>
      <c r="AH48" s="177"/>
      <c r="AI48" s="180"/>
      <c r="AJ48" s="173"/>
      <c r="AK48" s="173" t="s">
        <v>1619</v>
      </c>
      <c r="AL48" s="181" t="s">
        <v>69</v>
      </c>
      <c r="AM48" s="181" t="s">
        <v>142</v>
      </c>
      <c r="AN48" s="181" t="s">
        <v>1887</v>
      </c>
      <c r="AO48" s="181"/>
      <c r="AP48" s="181">
        <v>44880</v>
      </c>
      <c r="AQ48" s="173"/>
      <c r="AR48" s="181">
        <f t="shared" ca="1" si="7"/>
        <v>44958</v>
      </c>
      <c r="AS48" s="176">
        <f t="shared" ca="1" si="8"/>
        <v>78</v>
      </c>
      <c r="AT48" s="176">
        <f t="shared" ca="1" si="12"/>
        <v>23</v>
      </c>
      <c r="AU48" s="176"/>
      <c r="AV48" s="176" t="s">
        <v>4634</v>
      </c>
      <c r="AW48" s="176">
        <v>10.55</v>
      </c>
      <c r="AX48" s="176">
        <v>10.56</v>
      </c>
      <c r="AY48" s="173">
        <v>10.584999999999999</v>
      </c>
      <c r="AZ48" s="142">
        <v>10.59</v>
      </c>
      <c r="BA48" s="142">
        <f t="shared" ca="1" si="13"/>
        <v>42</v>
      </c>
      <c r="BB48" s="142">
        <v>459</v>
      </c>
      <c r="BD48" s="142" t="s">
        <v>123</v>
      </c>
    </row>
    <row r="49" spans="2:56" s="142" customFormat="1" ht="21" customHeight="1" x14ac:dyDescent="0.25">
      <c r="B49" s="173" t="str">
        <f t="shared" si="6"/>
        <v>0-304/2B-2.00X773</v>
      </c>
      <c r="C49" s="201" t="s">
        <v>5176</v>
      </c>
      <c r="D49" s="173" t="s">
        <v>836</v>
      </c>
      <c r="E49" s="173" t="s">
        <v>4632</v>
      </c>
      <c r="F49" s="201" t="s">
        <v>5182</v>
      </c>
      <c r="G49" s="173">
        <v>304</v>
      </c>
      <c r="H49" s="173" t="s">
        <v>114</v>
      </c>
      <c r="I49" s="174">
        <v>4.38</v>
      </c>
      <c r="J49" s="174">
        <v>2</v>
      </c>
      <c r="K49" s="174">
        <v>1.97</v>
      </c>
      <c r="L49" s="174">
        <v>2</v>
      </c>
      <c r="M49" s="380">
        <v>773</v>
      </c>
      <c r="N49" s="350"/>
      <c r="O49" s="381">
        <v>5.3449999999999998</v>
      </c>
      <c r="P49" s="382"/>
      <c r="Q49" s="176">
        <v>0.09</v>
      </c>
      <c r="R49" s="176"/>
      <c r="S49" s="176"/>
      <c r="T49" s="383"/>
      <c r="U49" s="380">
        <v>773</v>
      </c>
      <c r="V49" s="371" t="s">
        <v>114</v>
      </c>
      <c r="W49" s="384"/>
      <c r="X49" s="178" t="s">
        <v>1344</v>
      </c>
      <c r="Y49" s="385"/>
      <c r="Z49" s="385"/>
      <c r="AA49" s="177">
        <v>44914</v>
      </c>
      <c r="AB49" s="177"/>
      <c r="AC49" s="177">
        <v>44916</v>
      </c>
      <c r="AD49" s="177"/>
      <c r="AE49" s="177">
        <v>44935</v>
      </c>
      <c r="AF49" s="177"/>
      <c r="AG49" s="177">
        <v>44936</v>
      </c>
      <c r="AH49" s="177"/>
      <c r="AI49" s="180"/>
      <c r="AJ49" s="173"/>
      <c r="AK49" s="173" t="s">
        <v>1619</v>
      </c>
      <c r="AL49" s="181" t="s">
        <v>69</v>
      </c>
      <c r="AM49" s="181" t="s">
        <v>142</v>
      </c>
      <c r="AN49" s="181" t="s">
        <v>1887</v>
      </c>
      <c r="AO49" s="181"/>
      <c r="AP49" s="181">
        <v>44880</v>
      </c>
      <c r="AQ49" s="173"/>
      <c r="AR49" s="181">
        <f t="shared" ca="1" si="7"/>
        <v>44958</v>
      </c>
      <c r="AS49" s="176">
        <f t="shared" ca="1" si="8"/>
        <v>78</v>
      </c>
      <c r="AT49" s="176">
        <f t="shared" ca="1" si="12"/>
        <v>23</v>
      </c>
      <c r="AU49" s="176"/>
      <c r="AV49" s="176" t="s">
        <v>4634</v>
      </c>
      <c r="AW49" s="176">
        <v>10.55</v>
      </c>
      <c r="AX49" s="176">
        <v>10.56</v>
      </c>
      <c r="AY49" s="173">
        <v>10.584999999999999</v>
      </c>
      <c r="AZ49" s="142">
        <v>10.59</v>
      </c>
      <c r="BA49" s="142">
        <f t="shared" ca="1" si="13"/>
        <v>42</v>
      </c>
      <c r="BB49" s="142">
        <v>459</v>
      </c>
      <c r="BD49" s="142" t="s">
        <v>123</v>
      </c>
    </row>
    <row r="50" spans="2:56" s="142" customFormat="1" ht="21" customHeight="1" x14ac:dyDescent="0.25">
      <c r="B50" s="173" t="str">
        <f t="shared" si="6"/>
        <v>0-304/2B-2.00X773</v>
      </c>
      <c r="C50" s="201" t="s">
        <v>5178</v>
      </c>
      <c r="D50" s="173" t="s">
        <v>4432</v>
      </c>
      <c r="E50" s="173" t="s">
        <v>4632</v>
      </c>
      <c r="F50" s="201" t="s">
        <v>5182</v>
      </c>
      <c r="G50" s="173">
        <v>304</v>
      </c>
      <c r="H50" s="173" t="s">
        <v>114</v>
      </c>
      <c r="I50" s="174">
        <v>4.38</v>
      </c>
      <c r="J50" s="174">
        <v>2</v>
      </c>
      <c r="K50" s="174">
        <v>1.97</v>
      </c>
      <c r="L50" s="174">
        <v>2</v>
      </c>
      <c r="M50" s="380">
        <v>773</v>
      </c>
      <c r="N50" s="176">
        <f>10.45-5.015-0.09</f>
        <v>5.3449999999999998</v>
      </c>
      <c r="O50" s="381">
        <v>5.3449999999999998</v>
      </c>
      <c r="P50" s="382"/>
      <c r="Q50" s="176"/>
      <c r="R50" s="176"/>
      <c r="S50" s="176"/>
      <c r="T50" s="383"/>
      <c r="U50" s="380">
        <v>760</v>
      </c>
      <c r="V50" s="371" t="s">
        <v>114</v>
      </c>
      <c r="W50" s="384" t="s">
        <v>4624</v>
      </c>
      <c r="X50" s="178" t="s">
        <v>1344</v>
      </c>
      <c r="Y50" s="385"/>
      <c r="Z50" s="385"/>
      <c r="AA50" s="177">
        <v>44914</v>
      </c>
      <c r="AB50" s="177"/>
      <c r="AC50" s="177">
        <v>44916</v>
      </c>
      <c r="AD50" s="177"/>
      <c r="AE50" s="177">
        <v>44935</v>
      </c>
      <c r="AF50" s="177"/>
      <c r="AG50" s="177">
        <v>44936</v>
      </c>
      <c r="AH50" s="177"/>
      <c r="AI50" s="180"/>
      <c r="AJ50" s="173"/>
      <c r="AK50" s="173" t="s">
        <v>1619</v>
      </c>
      <c r="AL50" s="181" t="s">
        <v>69</v>
      </c>
      <c r="AM50" s="181" t="s">
        <v>142</v>
      </c>
      <c r="AN50" s="181" t="s">
        <v>1887</v>
      </c>
      <c r="AO50" s="181"/>
      <c r="AP50" s="181">
        <v>44880</v>
      </c>
      <c r="AQ50" s="173"/>
      <c r="AR50" s="181">
        <f t="shared" ca="1" si="7"/>
        <v>44958</v>
      </c>
      <c r="AS50" s="176">
        <f t="shared" ca="1" si="8"/>
        <v>78</v>
      </c>
      <c r="AT50" s="176">
        <f t="shared" ca="1" si="12"/>
        <v>23</v>
      </c>
      <c r="AU50" s="176"/>
      <c r="AV50" s="176" t="s">
        <v>4634</v>
      </c>
      <c r="AW50" s="176">
        <v>10.55</v>
      </c>
      <c r="AX50" s="176">
        <v>10.56</v>
      </c>
      <c r="AY50" s="173">
        <v>10.584999999999999</v>
      </c>
      <c r="AZ50" s="142">
        <v>10.59</v>
      </c>
      <c r="BA50" s="142">
        <f t="shared" ca="1" si="13"/>
        <v>42</v>
      </c>
      <c r="BB50" s="142">
        <v>459</v>
      </c>
      <c r="BD50" s="142" t="s">
        <v>123</v>
      </c>
    </row>
    <row r="51" spans="2:56" s="142" customFormat="1" ht="21" customHeight="1" x14ac:dyDescent="0.25">
      <c r="B51" s="173" t="str">
        <f t="shared" si="6"/>
        <v>0-304/2B-0.95X770</v>
      </c>
      <c r="C51" s="201" t="s">
        <v>5174</v>
      </c>
      <c r="D51" s="173" t="s">
        <v>4432</v>
      </c>
      <c r="E51" s="173" t="s">
        <v>3866</v>
      </c>
      <c r="F51" s="201" t="s">
        <v>5183</v>
      </c>
      <c r="G51" s="173">
        <v>304</v>
      </c>
      <c r="H51" s="173" t="s">
        <v>114</v>
      </c>
      <c r="I51" s="174">
        <v>2.88</v>
      </c>
      <c r="J51" s="174">
        <v>0.95</v>
      </c>
      <c r="K51" s="174">
        <v>0.94</v>
      </c>
      <c r="L51" s="174">
        <v>0.97</v>
      </c>
      <c r="M51" s="380">
        <v>770</v>
      </c>
      <c r="N51" s="176">
        <v>5.5750000000000002</v>
      </c>
      <c r="O51" s="381">
        <v>5.5149999999999997</v>
      </c>
      <c r="P51" s="382"/>
      <c r="Q51" s="176">
        <v>0.04</v>
      </c>
      <c r="R51" s="176"/>
      <c r="S51" s="176"/>
      <c r="T51" s="383"/>
      <c r="U51" s="380">
        <v>760</v>
      </c>
      <c r="V51" s="371" t="s">
        <v>114</v>
      </c>
      <c r="W51" s="384" t="s">
        <v>4624</v>
      </c>
      <c r="X51" s="178" t="s">
        <v>1344</v>
      </c>
      <c r="Y51" s="385"/>
      <c r="Z51" s="385"/>
      <c r="AA51" s="177">
        <v>44929</v>
      </c>
      <c r="AB51" s="177"/>
      <c r="AC51" s="177">
        <v>44929</v>
      </c>
      <c r="AD51" s="177"/>
      <c r="AE51" s="177">
        <v>44936</v>
      </c>
      <c r="AF51" s="177"/>
      <c r="AG51" s="177"/>
      <c r="AH51" s="177"/>
      <c r="AI51" s="180"/>
      <c r="AJ51" s="173"/>
      <c r="AK51" s="173" t="s">
        <v>2479</v>
      </c>
      <c r="AL51" s="181" t="s">
        <v>69</v>
      </c>
      <c r="AM51" s="181" t="s">
        <v>142</v>
      </c>
      <c r="AN51" s="181" t="s">
        <v>1584</v>
      </c>
      <c r="AO51" s="181"/>
      <c r="AP51" s="181">
        <v>44914</v>
      </c>
      <c r="AQ51" s="173"/>
      <c r="AR51" s="181">
        <f t="shared" ca="1" si="7"/>
        <v>44958</v>
      </c>
      <c r="AS51" s="176">
        <f t="shared" ca="1" si="8"/>
        <v>44</v>
      </c>
      <c r="AT51" s="176">
        <f t="shared" ca="1" si="12"/>
        <v>22</v>
      </c>
      <c r="AU51" s="176"/>
      <c r="AV51" s="176" t="s">
        <v>3868</v>
      </c>
      <c r="AW51" s="176">
        <v>10.55</v>
      </c>
      <c r="AX51" s="176">
        <v>10.56</v>
      </c>
      <c r="AY51" s="173">
        <v>10.584999999999999</v>
      </c>
      <c r="AZ51" s="142">
        <v>10.59</v>
      </c>
      <c r="BA51" s="142">
        <f t="shared" ca="1" si="13"/>
        <v>29</v>
      </c>
      <c r="BB51" s="142">
        <v>462</v>
      </c>
      <c r="BD51" s="142" t="s">
        <v>123</v>
      </c>
    </row>
    <row r="52" spans="2:56" s="142" customFormat="1" ht="21" customHeight="1" x14ac:dyDescent="0.25">
      <c r="B52" s="173" t="str">
        <f t="shared" si="6"/>
        <v>0-304/2B-0.50X641</v>
      </c>
      <c r="C52" s="201" t="s">
        <v>5174</v>
      </c>
      <c r="D52" s="173" t="s">
        <v>4432</v>
      </c>
      <c r="E52" s="173" t="s">
        <v>3933</v>
      </c>
      <c r="F52" s="201" t="s">
        <v>5184</v>
      </c>
      <c r="G52" s="173">
        <v>304</v>
      </c>
      <c r="H52" s="173" t="s">
        <v>114</v>
      </c>
      <c r="I52" s="174">
        <v>2.48</v>
      </c>
      <c r="J52" s="174">
        <v>0.5</v>
      </c>
      <c r="K52" s="174">
        <v>0.47</v>
      </c>
      <c r="L52" s="174">
        <v>0.51</v>
      </c>
      <c r="M52" s="380">
        <v>641</v>
      </c>
      <c r="N52" s="176">
        <v>10.065</v>
      </c>
      <c r="O52" s="381">
        <f>5.695+4.325</f>
        <v>10.02</v>
      </c>
      <c r="P52" s="382"/>
      <c r="Q52" s="176">
        <v>7.0000000000000007E-2</v>
      </c>
      <c r="R52" s="176"/>
      <c r="S52" s="176"/>
      <c r="T52" s="383"/>
      <c r="U52" s="380">
        <v>625</v>
      </c>
      <c r="V52" s="371" t="s">
        <v>114</v>
      </c>
      <c r="W52" s="384" t="s">
        <v>4624</v>
      </c>
      <c r="X52" s="178" t="s">
        <v>1344</v>
      </c>
      <c r="Y52" s="385"/>
      <c r="Z52" s="385"/>
      <c r="AA52" s="177">
        <v>44932</v>
      </c>
      <c r="AB52" s="177"/>
      <c r="AC52" s="177">
        <v>44932</v>
      </c>
      <c r="AD52" s="177"/>
      <c r="AE52" s="177">
        <v>44936</v>
      </c>
      <c r="AF52" s="177"/>
      <c r="AG52" s="177"/>
      <c r="AH52" s="177"/>
      <c r="AI52" s="180"/>
      <c r="AJ52" s="173"/>
      <c r="AK52" s="173" t="s">
        <v>2479</v>
      </c>
      <c r="AL52" s="181" t="s">
        <v>69</v>
      </c>
      <c r="AM52" s="181" t="s">
        <v>142</v>
      </c>
      <c r="AN52" s="181" t="s">
        <v>1594</v>
      </c>
      <c r="AO52" s="181"/>
      <c r="AP52" s="181">
        <v>44849</v>
      </c>
      <c r="AQ52" s="173"/>
      <c r="AR52" s="181">
        <f t="shared" ca="1" si="7"/>
        <v>44958</v>
      </c>
      <c r="AS52" s="176">
        <f t="shared" ca="1" si="8"/>
        <v>109</v>
      </c>
      <c r="AT52" s="176">
        <f t="shared" ca="1" si="12"/>
        <v>22</v>
      </c>
      <c r="AU52" s="176"/>
      <c r="AV52" s="176" t="s">
        <v>3935</v>
      </c>
      <c r="AW52" s="176">
        <v>10.135</v>
      </c>
      <c r="AX52" s="176">
        <v>10.145</v>
      </c>
      <c r="AY52" s="173">
        <v>10.169999999999998</v>
      </c>
      <c r="AZ52" s="142">
        <v>10.174999999999999</v>
      </c>
      <c r="BA52" s="142">
        <f t="shared" ca="1" si="13"/>
        <v>26</v>
      </c>
      <c r="BB52" s="142">
        <v>456</v>
      </c>
      <c r="BD52" s="142" t="s">
        <v>123</v>
      </c>
    </row>
    <row r="53" spans="2:56" s="142" customFormat="1" ht="21" customHeight="1" x14ac:dyDescent="0.25">
      <c r="B53" s="173" t="str">
        <f t="shared" si="6"/>
        <v>0-304L/2B-1.00X644</v>
      </c>
      <c r="C53" s="201" t="s">
        <v>5178</v>
      </c>
      <c r="D53" s="173" t="s">
        <v>4432</v>
      </c>
      <c r="E53" s="173" t="s">
        <v>3918</v>
      </c>
      <c r="F53" s="201" t="s">
        <v>5185</v>
      </c>
      <c r="G53" s="173" t="s">
        <v>182</v>
      </c>
      <c r="H53" s="173" t="s">
        <v>114</v>
      </c>
      <c r="I53" s="174">
        <v>2.81</v>
      </c>
      <c r="J53" s="174">
        <v>1</v>
      </c>
      <c r="K53" s="174">
        <v>0.98</v>
      </c>
      <c r="L53" s="174">
        <v>1.02</v>
      </c>
      <c r="M53" s="380">
        <v>644</v>
      </c>
      <c r="N53" s="176">
        <v>5.39</v>
      </c>
      <c r="O53" s="381">
        <v>5.2850000000000001</v>
      </c>
      <c r="P53" s="382"/>
      <c r="Q53" s="176">
        <v>0.06</v>
      </c>
      <c r="R53" s="176"/>
      <c r="S53" s="176"/>
      <c r="T53" s="383"/>
      <c r="U53" s="380" t="s">
        <v>5124</v>
      </c>
      <c r="V53" s="371" t="s">
        <v>114</v>
      </c>
      <c r="W53" s="384" t="s">
        <v>5186</v>
      </c>
      <c r="X53" s="178" t="s">
        <v>4326</v>
      </c>
      <c r="Y53" s="385" t="s">
        <v>294</v>
      </c>
      <c r="Z53" s="385"/>
      <c r="AA53" s="177">
        <v>44931</v>
      </c>
      <c r="AB53" s="177"/>
      <c r="AC53" s="177"/>
      <c r="AD53" s="177">
        <v>44932</v>
      </c>
      <c r="AE53" s="177">
        <v>44932</v>
      </c>
      <c r="AF53" s="177"/>
      <c r="AG53" s="177" t="s">
        <v>5172</v>
      </c>
      <c r="AH53" s="177"/>
      <c r="AI53" s="180"/>
      <c r="AJ53" s="173"/>
      <c r="AK53" s="173" t="s">
        <v>2479</v>
      </c>
      <c r="AL53" s="181" t="s">
        <v>69</v>
      </c>
      <c r="AM53" s="181" t="s">
        <v>142</v>
      </c>
      <c r="AN53" s="181" t="s">
        <v>1653</v>
      </c>
      <c r="AO53" s="181"/>
      <c r="AP53" s="181">
        <v>44880</v>
      </c>
      <c r="AQ53" s="173"/>
      <c r="AR53" s="181">
        <f t="shared" ca="1" si="7"/>
        <v>44958</v>
      </c>
      <c r="AS53" s="176">
        <f t="shared" ca="1" si="8"/>
        <v>78</v>
      </c>
      <c r="AT53" s="176">
        <f t="shared" ca="1" si="12"/>
        <v>26</v>
      </c>
      <c r="AU53" s="176"/>
      <c r="AV53" s="176" t="s">
        <v>1939</v>
      </c>
      <c r="AW53" s="176">
        <v>10.654999999999999</v>
      </c>
      <c r="AX53" s="176">
        <v>10.664999999999999</v>
      </c>
      <c r="AY53" s="173">
        <v>10.689999999999998</v>
      </c>
      <c r="AZ53" s="142">
        <v>10.694999999999999</v>
      </c>
      <c r="BA53" s="142" t="str">
        <f t="shared" si="13"/>
        <v/>
      </c>
      <c r="BB53" s="142">
        <v>459</v>
      </c>
      <c r="BD53" s="142" t="s">
        <v>123</v>
      </c>
    </row>
    <row r="54" spans="2:56" s="142" customFormat="1" ht="21" customHeight="1" x14ac:dyDescent="0.25">
      <c r="B54" s="173" t="str">
        <f>IF(C54="HOLD RM","HOLD RM",IF(C54="BAL","WIP",IF(C54="HOLD SLT","HOLD SLT",IF(C54="MILL","RM",IF(C54="RE SLT","WIP",IF(C54="RM","RM",IF(C54="RM BAL","RM",IF(C54="RM SLT","RM",IF(C54="RR","WIP",IF(C54="SKP","WIP",IF(C54="SLT","WIP",IF(C54="CTL","WIP",IF(C54="RM SLT RUST","RM SLT RUST",0)))))))))))))&amp;"-"&amp;G54&amp;"/"&amp;IF(H54="2B","2B",IF(H54="NO.1","1D",IF(H54="FH","FH",0)))&amp;"-"&amp;IF(J54="",(TEXT(I54,"0.00")),TEXT(J54,"0.00"))&amp;"X"&amp;M54</f>
        <v>0-304L/2B-1.00X644</v>
      </c>
      <c r="C54" s="201" t="s">
        <v>5187</v>
      </c>
      <c r="D54" s="173" t="s">
        <v>4432</v>
      </c>
      <c r="E54" s="173" t="s">
        <v>3918</v>
      </c>
      <c r="F54" s="201" t="s">
        <v>5188</v>
      </c>
      <c r="G54" s="173" t="s">
        <v>182</v>
      </c>
      <c r="H54" s="173" t="s">
        <v>114</v>
      </c>
      <c r="I54" s="174">
        <v>2.81</v>
      </c>
      <c r="J54" s="174">
        <v>1</v>
      </c>
      <c r="K54" s="174">
        <v>0.98</v>
      </c>
      <c r="L54" s="174">
        <v>1.02</v>
      </c>
      <c r="M54" s="380">
        <v>644</v>
      </c>
      <c r="N54" s="176">
        <v>5.25</v>
      </c>
      <c r="O54" s="381">
        <v>5.1349999999999998</v>
      </c>
      <c r="P54" s="382"/>
      <c r="Q54" s="176">
        <v>4.4999999999999998E-2</v>
      </c>
      <c r="R54" s="176"/>
      <c r="S54" s="176"/>
      <c r="T54" s="383"/>
      <c r="U54" s="380" t="s">
        <v>5124</v>
      </c>
      <c r="V54" s="371" t="s">
        <v>114</v>
      </c>
      <c r="W54" s="384" t="s">
        <v>5186</v>
      </c>
      <c r="X54" s="178" t="s">
        <v>4326</v>
      </c>
      <c r="Y54" s="385" t="s">
        <v>294</v>
      </c>
      <c r="Z54" s="385"/>
      <c r="AA54" s="177">
        <v>44931</v>
      </c>
      <c r="AB54" s="177"/>
      <c r="AC54" s="177"/>
      <c r="AD54" s="177">
        <v>44932</v>
      </c>
      <c r="AE54" s="177">
        <v>44932</v>
      </c>
      <c r="AF54" s="177"/>
      <c r="AG54" s="177" t="s">
        <v>5172</v>
      </c>
      <c r="AH54" s="177"/>
      <c r="AI54" s="180"/>
      <c r="AJ54" s="173"/>
      <c r="AK54" s="173" t="s">
        <v>2479</v>
      </c>
      <c r="AL54" s="181" t="s">
        <v>69</v>
      </c>
      <c r="AM54" s="181" t="s">
        <v>142</v>
      </c>
      <c r="AN54" s="181" t="s">
        <v>1653</v>
      </c>
      <c r="AO54" s="181"/>
      <c r="AP54" s="181">
        <v>44880</v>
      </c>
      <c r="AQ54" s="173"/>
      <c r="AR54" s="181">
        <f t="shared" ca="1" si="7"/>
        <v>44958</v>
      </c>
      <c r="AS54" s="176">
        <f ca="1">IF(AP54&lt;&gt;0,AR54-AP54,0)</f>
        <v>78</v>
      </c>
      <c r="AT54" s="176">
        <f ca="1">IF(ISNUMBER(AE54)=TRUE,AR54-AE54,IF(AE54="","",(AR54)-(MID(RIGHT(AE54,10),4,2)&amp;"/"&amp;LEFT((RIGHT(AE54,10)),2)&amp;"/"&amp;RIGHT(AE54,4))))</f>
        <v>26</v>
      </c>
      <c r="AU54" s="176"/>
      <c r="AV54" s="176" t="s">
        <v>1939</v>
      </c>
      <c r="AW54" s="176">
        <v>10.654999999999999</v>
      </c>
      <c r="AX54" s="176">
        <v>10.664999999999999</v>
      </c>
      <c r="AY54" s="173">
        <v>10.689999999999998</v>
      </c>
      <c r="AZ54" s="142">
        <v>10.694999999999999</v>
      </c>
      <c r="BA54" s="142" t="str">
        <f t="shared" si="13"/>
        <v/>
      </c>
      <c r="BB54" s="142">
        <v>459</v>
      </c>
      <c r="BD54" s="142" t="s">
        <v>123</v>
      </c>
    </row>
    <row r="55" spans="2:56" s="142" customFormat="1" ht="21" customHeight="1" x14ac:dyDescent="0.25">
      <c r="B55" s="173" t="str">
        <f>IF(C55="HOLD RM","HOLD RM",IF(C55="BAL","WIP",IF(C55="HOLD SLT","HOLD SLT",IF(C55="MILL","RM",IF(C55="RE SLT","WIP",IF(C55="RM","RM",IF(C55="RM BAL","RM",IF(C55="RM SLT","RM",IF(C55="RR","WIP",IF(C55="SKP","WIP",IF(C55="SLT","WIP",IF(C55="CTL","WIP",IF(C55="RM SLT RUST","RM SLT RUST",0)))))))))))))&amp;"-"&amp;G55&amp;"/"&amp;IF(H55="2B","2B",IF(H55="NO.1","1D",IF(H55="FH","FH",0)))&amp;"-"&amp;IF(J55="",(TEXT(I55,"0.00")),TEXT(J55,"0.00"))&amp;"X"&amp;M55</f>
        <v>0-304/2B-0.95X777</v>
      </c>
      <c r="C55" s="201" t="s">
        <v>5189</v>
      </c>
      <c r="D55" s="173" t="s">
        <v>4432</v>
      </c>
      <c r="E55" s="173" t="s">
        <v>3892</v>
      </c>
      <c r="F55" s="201" t="s">
        <v>4649</v>
      </c>
      <c r="G55" s="173">
        <v>304</v>
      </c>
      <c r="H55" s="173" t="s">
        <v>114</v>
      </c>
      <c r="I55" s="174">
        <v>2.95</v>
      </c>
      <c r="J55" s="174">
        <v>0.95</v>
      </c>
      <c r="K55" s="174">
        <v>0.92</v>
      </c>
      <c r="L55" s="174">
        <v>0.94</v>
      </c>
      <c r="M55" s="380">
        <v>777</v>
      </c>
      <c r="N55" s="176">
        <v>5.48</v>
      </c>
      <c r="O55" s="381">
        <v>5.4450000000000003</v>
      </c>
      <c r="P55" s="382"/>
      <c r="Q55" s="176"/>
      <c r="R55" s="176"/>
      <c r="S55" s="176"/>
      <c r="T55" s="383"/>
      <c r="U55" s="380">
        <v>760</v>
      </c>
      <c r="V55" s="371" t="s">
        <v>114</v>
      </c>
      <c r="W55" s="384" t="s">
        <v>4624</v>
      </c>
      <c r="X55" s="178" t="s">
        <v>1344</v>
      </c>
      <c r="Y55" s="385"/>
      <c r="Z55" s="385"/>
      <c r="AA55" s="177">
        <v>44930</v>
      </c>
      <c r="AB55" s="177"/>
      <c r="AC55" s="177">
        <v>44930</v>
      </c>
      <c r="AD55" s="177"/>
      <c r="AE55" s="177">
        <v>44936</v>
      </c>
      <c r="AF55" s="177"/>
      <c r="AG55" s="177"/>
      <c r="AH55" s="177">
        <v>44926</v>
      </c>
      <c r="AI55" s="180"/>
      <c r="AJ55" s="173"/>
      <c r="AK55" s="173" t="s">
        <v>1345</v>
      </c>
      <c r="AL55" s="181" t="s">
        <v>69</v>
      </c>
      <c r="AM55" s="181" t="s">
        <v>142</v>
      </c>
      <c r="AN55" s="181" t="s">
        <v>1346</v>
      </c>
      <c r="AO55" s="181"/>
      <c r="AP55" s="181">
        <v>44813</v>
      </c>
      <c r="AQ55" s="173"/>
      <c r="AR55" s="181">
        <f t="shared" ca="1" si="7"/>
        <v>44958</v>
      </c>
      <c r="AS55" s="176">
        <f ca="1">IF(AP55&lt;&gt;0,AR55-AP55,0)</f>
        <v>145</v>
      </c>
      <c r="AT55" s="176">
        <f ca="1">IF(ISNUMBER(AE55)=TRUE,AR55-AE55,IF(AE55="","",(AR55)-(MID(RIGHT(AE55,10),4,2)&amp;"/"&amp;LEFT((RIGHT(AE55,10)),2)&amp;"/"&amp;RIGHT(AE55,4))))</f>
        <v>22</v>
      </c>
      <c r="AU55" s="176"/>
      <c r="AV55" s="176" t="s">
        <v>3894</v>
      </c>
      <c r="AW55" s="176">
        <v>21.414999999999999</v>
      </c>
      <c r="AX55" s="176">
        <v>21.475000000000001</v>
      </c>
      <c r="AY55" s="173">
        <v>21.500000000000004</v>
      </c>
      <c r="AZ55" s="142">
        <v>21.505000000000003</v>
      </c>
      <c r="BA55" s="142">
        <f t="shared" ca="1" si="13"/>
        <v>28</v>
      </c>
      <c r="BB55" s="142">
        <v>451</v>
      </c>
      <c r="BD55" s="142" t="s">
        <v>123</v>
      </c>
    </row>
    <row r="56" spans="2:56" s="142" customFormat="1" ht="21" customHeight="1" x14ac:dyDescent="0.25">
      <c r="B56" s="173" t="str">
        <f t="shared" ref="B56" si="14">IF(C56="HOLD RM","HOLD RM",IF(C56="BAL","WIP",IF(C56="HOLD SLT","HOLD SLT",IF(C56="MILL","RM",IF(C56="RE SLT","WIP",IF(C56="RM","RM",IF(C56="RM BAL","RM",IF(C56="RM SLT","RM",IF(C56="RR","WIP",IF(C56="SKP","WIP",IF(C56="SLT","WIP",IF(C56="CTL","WIP",IF(C56="RM SLT RUST","RM SLT RUST",0)))))))))))))&amp;"-"&amp;G56&amp;"/"&amp;IF(H56="2B","2B",IF(H56="NO.1","1D",IF(H56="FH","FH",0)))&amp;"-"&amp;IF(J56="",(TEXT(I56,"0.00")),TEXT(J56,"0.00"))&amp;"X"&amp;M56</f>
        <v>0-304/2B-1.20X773</v>
      </c>
      <c r="C56" s="201" t="s">
        <v>5190</v>
      </c>
      <c r="D56" s="173" t="s">
        <v>836</v>
      </c>
      <c r="E56" s="173" t="s">
        <v>4650</v>
      </c>
      <c r="F56" s="201" t="s">
        <v>4651</v>
      </c>
      <c r="G56" s="173">
        <v>304</v>
      </c>
      <c r="H56" s="173" t="s">
        <v>114</v>
      </c>
      <c r="I56" s="174">
        <v>3.78</v>
      </c>
      <c r="J56" s="174">
        <v>1.2</v>
      </c>
      <c r="K56" s="174">
        <v>1.2</v>
      </c>
      <c r="L56" s="174">
        <v>1.22</v>
      </c>
      <c r="M56" s="380">
        <v>773</v>
      </c>
      <c r="N56" s="176">
        <v>4.6349999999999998</v>
      </c>
      <c r="O56" s="381">
        <v>4.6349999999999998</v>
      </c>
      <c r="P56" s="382"/>
      <c r="Q56" s="176"/>
      <c r="R56" s="176"/>
      <c r="S56" s="176"/>
      <c r="T56" s="383"/>
      <c r="U56" s="380">
        <v>773</v>
      </c>
      <c r="V56" s="371" t="s">
        <v>114</v>
      </c>
      <c r="W56" s="384"/>
      <c r="X56" s="178" t="s">
        <v>1344</v>
      </c>
      <c r="Y56" s="385"/>
      <c r="Z56" s="385"/>
      <c r="AA56" s="177">
        <v>44923</v>
      </c>
      <c r="AB56" s="177"/>
      <c r="AC56" s="177">
        <v>44923</v>
      </c>
      <c r="AD56" s="177"/>
      <c r="AE56" s="177">
        <v>44936</v>
      </c>
      <c r="AF56" s="177"/>
      <c r="AG56" s="177">
        <v>44937</v>
      </c>
      <c r="AH56" s="177"/>
      <c r="AI56" s="180"/>
      <c r="AJ56" s="173"/>
      <c r="AK56" s="173" t="s">
        <v>2479</v>
      </c>
      <c r="AL56" s="181" t="s">
        <v>69</v>
      </c>
      <c r="AM56" s="181" t="s">
        <v>142</v>
      </c>
      <c r="AN56" s="181" t="s">
        <v>2283</v>
      </c>
      <c r="AO56" s="181"/>
      <c r="AP56" s="181">
        <v>44880</v>
      </c>
      <c r="AQ56" s="173"/>
      <c r="AR56" s="181">
        <f t="shared" ca="1" si="7"/>
        <v>44958</v>
      </c>
      <c r="AS56" s="176">
        <f t="shared" ref="AS56" ca="1" si="15">IF(AP56&lt;&gt;0,AR56-AP56,0)</f>
        <v>78</v>
      </c>
      <c r="AT56" s="176">
        <f t="shared" ref="AT56" ca="1" si="16">IF(ISNUMBER(AE56)=TRUE,AR56-AE56,IF(AE56="","",(AR56)-(MID(RIGHT(AE56,10),4,2)&amp;"/"&amp;LEFT((RIGHT(AE56,10)),2)&amp;"/"&amp;RIGHT(AE56,4))))</f>
        <v>22</v>
      </c>
      <c r="AU56" s="176"/>
      <c r="AV56" s="176" t="s">
        <v>4652</v>
      </c>
      <c r="AW56" s="176">
        <v>10.52</v>
      </c>
      <c r="AX56" s="176">
        <v>10.53</v>
      </c>
      <c r="AY56" s="173">
        <v>10.554999999999998</v>
      </c>
      <c r="AZ56" s="142">
        <v>10.559999999999999</v>
      </c>
      <c r="BA56" s="142">
        <f t="shared" ca="1" si="13"/>
        <v>35</v>
      </c>
      <c r="BB56" s="142">
        <v>459</v>
      </c>
      <c r="BD56" s="142" t="s">
        <v>123</v>
      </c>
    </row>
    <row r="57" spans="2:56" s="142" customFormat="1" ht="21" customHeight="1" x14ac:dyDescent="0.25">
      <c r="B57" s="173" t="str">
        <f>IF(C57="HOLD RM","HOLD RM",IF(C57="BAL","WIP",IF(C57="HOLD SLT","HOLD SLT",IF(C57="MILL","RM",IF(C57="RE SLT","WIP",IF(C57="RM","RM",IF(C57="RM BAL","RM",IF(C57="RM SLT","RM",IF(C57="RR","WIP",IF(C57="SKP","WIP",IF(C57="SLT","WIP",IF(C57="CTL","WIP",IF(C57="RM SLT RUST","RM SLT RUST",0)))))))))))))&amp;"-"&amp;G57&amp;"/"&amp;IF(H57="2B","2B",IF(H57="NO.1","1D",IF(H57="FH","FH",0)))&amp;"-"&amp;IF(J57="",(TEXT(I57,"0.00")),TEXT(J57,"0.00"))&amp;"X"&amp;M57</f>
        <v>0-304/2B-0.80X777</v>
      </c>
      <c r="C57" s="201" t="s">
        <v>5191</v>
      </c>
      <c r="D57" s="173" t="s">
        <v>776</v>
      </c>
      <c r="E57" s="173" t="s">
        <v>1342</v>
      </c>
      <c r="F57" s="201" t="s">
        <v>1348</v>
      </c>
      <c r="G57" s="173">
        <v>304</v>
      </c>
      <c r="H57" s="173" t="s">
        <v>114</v>
      </c>
      <c r="I57" s="174">
        <v>2.94</v>
      </c>
      <c r="J57" s="174">
        <v>0.8</v>
      </c>
      <c r="K57" s="174">
        <v>0.8</v>
      </c>
      <c r="L57" s="174">
        <v>0.82</v>
      </c>
      <c r="M57" s="380">
        <v>777</v>
      </c>
      <c r="N57" s="176">
        <v>5.86</v>
      </c>
      <c r="O57" s="381">
        <v>5.86</v>
      </c>
      <c r="P57" s="382"/>
      <c r="Q57" s="176"/>
      <c r="R57" s="176"/>
      <c r="S57" s="176"/>
      <c r="T57" s="383"/>
      <c r="U57" s="380">
        <v>777</v>
      </c>
      <c r="V57" s="371" t="s">
        <v>114</v>
      </c>
      <c r="W57" s="384"/>
      <c r="X57" s="178" t="s">
        <v>314</v>
      </c>
      <c r="Y57" s="385" t="s">
        <v>1344</v>
      </c>
      <c r="Z57" s="385"/>
      <c r="AA57" s="177">
        <v>44929</v>
      </c>
      <c r="AB57" s="177"/>
      <c r="AC57" s="177">
        <v>44929</v>
      </c>
      <c r="AD57" s="177"/>
      <c r="AE57" s="177">
        <v>44937</v>
      </c>
      <c r="AF57" s="177"/>
      <c r="AG57" s="177">
        <v>44937</v>
      </c>
      <c r="AH57" s="177">
        <v>44928</v>
      </c>
      <c r="AI57" s="180"/>
      <c r="AJ57" s="173"/>
      <c r="AK57" s="173" t="s">
        <v>1345</v>
      </c>
      <c r="AL57" s="181" t="s">
        <v>69</v>
      </c>
      <c r="AM57" s="181" t="s">
        <v>142</v>
      </c>
      <c r="AN57" s="181" t="s">
        <v>1346</v>
      </c>
      <c r="AO57" s="181"/>
      <c r="AP57" s="181">
        <v>44813</v>
      </c>
      <c r="AQ57" s="173"/>
      <c r="AR57" s="181">
        <f t="shared" ca="1" si="7"/>
        <v>44958</v>
      </c>
      <c r="AS57" s="176">
        <f ca="1">IF(AP57&lt;&gt;0,AR57-AP57,0)</f>
        <v>145</v>
      </c>
      <c r="AT57" s="176">
        <f ca="1">IF(ISNUMBER(AE57)=TRUE,AR57-AE57,IF(AE57="","",(AR57)-(MID(RIGHT(AE57,10),4,2)&amp;"/"&amp;LEFT((RIGHT(AE57,10)),2)&amp;"/"&amp;RIGHT(AE57,4))))</f>
        <v>21</v>
      </c>
      <c r="AU57" s="176"/>
      <c r="AV57" s="176" t="s">
        <v>1347</v>
      </c>
      <c r="AW57" s="176">
        <v>21.414999999999999</v>
      </c>
      <c r="AX57" s="176">
        <v>21.475000000000001</v>
      </c>
      <c r="AY57" s="173">
        <v>21.500000000000004</v>
      </c>
      <c r="AZ57" s="142">
        <v>21.505000000000003</v>
      </c>
      <c r="BA57" s="142">
        <f t="shared" ca="1" si="13"/>
        <v>29</v>
      </c>
      <c r="BB57" s="142">
        <v>451</v>
      </c>
      <c r="BD57" s="142" t="s">
        <v>123</v>
      </c>
    </row>
    <row r="58" spans="2:56" s="142" customFormat="1" ht="21" customHeight="1" x14ac:dyDescent="0.25">
      <c r="B58" s="173" t="str">
        <f>IF(C58="HOLD RM","HOLD RM",IF(C58="BAL","WIP",IF(C58="HOLD SLT","HOLD SLT",IF(C58="MILL","RM",IF(C58="RE SLT","WIP",IF(C58="RM","RM",IF(C58="RM BAL","RM",IF(C58="RM SLT","RM",IF(C58="RR","WIP",IF(C58="SKP","WIP",IF(C58="SLT","WIP",IF(C58="CTL","WIP",IF(C58="RM SLT RUST","RM SLT RUST",0)))))))))))))&amp;"-"&amp;G58&amp;"/"&amp;IF(H58="2B","2B",IF(H58="NO.1","1D",IF(H58="FH","FH",0)))&amp;"-"&amp;IF(J58="",(TEXT(I58,"0.00")),TEXT(J58,"0.00"))&amp;"X"&amp;M58</f>
        <v>0-304/2B-1.20X773</v>
      </c>
      <c r="C58" s="201" t="s">
        <v>5187</v>
      </c>
      <c r="D58" s="173" t="s">
        <v>4432</v>
      </c>
      <c r="E58" s="173" t="s">
        <v>4650</v>
      </c>
      <c r="F58" s="201" t="s">
        <v>5192</v>
      </c>
      <c r="G58" s="173">
        <v>304</v>
      </c>
      <c r="H58" s="173" t="s">
        <v>114</v>
      </c>
      <c r="I58" s="174">
        <v>3.78</v>
      </c>
      <c r="J58" s="174">
        <v>1.2</v>
      </c>
      <c r="K58" s="174">
        <v>1.2</v>
      </c>
      <c r="L58" s="174">
        <v>1.22</v>
      </c>
      <c r="M58" s="380">
        <v>773</v>
      </c>
      <c r="N58" s="176">
        <v>4.6349999999999998</v>
      </c>
      <c r="O58" s="381">
        <v>4.55</v>
      </c>
      <c r="P58" s="382"/>
      <c r="Q58" s="176">
        <v>5.5E-2</v>
      </c>
      <c r="R58" s="176"/>
      <c r="S58" s="176"/>
      <c r="T58" s="383"/>
      <c r="U58" s="380">
        <v>760</v>
      </c>
      <c r="V58" s="371" t="s">
        <v>114</v>
      </c>
      <c r="W58" s="384" t="s">
        <v>4624</v>
      </c>
      <c r="X58" s="178" t="s">
        <v>1344</v>
      </c>
      <c r="Y58" s="385"/>
      <c r="Z58" s="385"/>
      <c r="AA58" s="177">
        <v>44923</v>
      </c>
      <c r="AB58" s="177"/>
      <c r="AC58" s="177">
        <v>44923</v>
      </c>
      <c r="AD58" s="177"/>
      <c r="AE58" s="177">
        <v>44936</v>
      </c>
      <c r="AF58" s="177"/>
      <c r="AG58" s="177">
        <v>44937</v>
      </c>
      <c r="AH58" s="177"/>
      <c r="AI58" s="180"/>
      <c r="AJ58" s="173"/>
      <c r="AK58" s="173" t="s">
        <v>2479</v>
      </c>
      <c r="AL58" s="181" t="s">
        <v>69</v>
      </c>
      <c r="AM58" s="181" t="s">
        <v>142</v>
      </c>
      <c r="AN58" s="181" t="s">
        <v>2283</v>
      </c>
      <c r="AO58" s="181"/>
      <c r="AP58" s="181">
        <v>44880</v>
      </c>
      <c r="AQ58" s="173"/>
      <c r="AR58" s="181">
        <f t="shared" ca="1" si="7"/>
        <v>44958</v>
      </c>
      <c r="AS58" s="176">
        <f ca="1">IF(AP58&lt;&gt;0,AR58-AP58,0)</f>
        <v>78</v>
      </c>
      <c r="AT58" s="176">
        <f ca="1">IF(ISNUMBER(AE58)=TRUE,AR58-AE58,IF(AE58="","",(AR58)-(MID(RIGHT(AE58,10),4,2)&amp;"/"&amp;LEFT((RIGHT(AE58,10)),2)&amp;"/"&amp;RIGHT(AE58,4))))</f>
        <v>22</v>
      </c>
      <c r="AU58" s="176"/>
      <c r="AV58" s="176" t="s">
        <v>4652</v>
      </c>
      <c r="AW58" s="176">
        <v>10.52</v>
      </c>
      <c r="AX58" s="176">
        <v>10.53</v>
      </c>
      <c r="AY58" s="173">
        <v>10.554999999999998</v>
      </c>
      <c r="AZ58" s="142">
        <v>10.559999999999999</v>
      </c>
      <c r="BA58" s="142">
        <f t="shared" ca="1" si="13"/>
        <v>35</v>
      </c>
      <c r="BB58" s="142">
        <v>459</v>
      </c>
      <c r="BD58" s="142" t="s">
        <v>123</v>
      </c>
    </row>
    <row r="59" spans="2:56" s="142" customFormat="1" ht="21" customHeight="1" x14ac:dyDescent="0.25">
      <c r="B59" s="173" t="str">
        <f>IF(C59="HOLD RM","HOLD RM",IF(C59="BAL","WIP",IF(C59="HOLD SLT","HOLD SLT",IF(C59="MILL","RM",IF(C59="RE SLT","WIP",IF(C59="RM","RM",IF(C59="RM BAL","RM",IF(C59="RM SLT","RM",IF(C59="RR","WIP",IF(C59="SKP","WIP",IF(C59="SLT","WIP",IF(C59="CTL","WIP",IF(C59="RM SLT RUST","RM SLT RUST",0)))))))))))))&amp;"-"&amp;G59&amp;"/"&amp;IF(H59="2B","2B",IF(H59="NO.1","1D",IF(H59="FH","FH",0)))&amp;"-"&amp;IF(J59="",(TEXT(I59,"0.00")),TEXT(J59,"0.00"))&amp;"X"&amp;M59</f>
        <v>0-J3/2B-0.91X620</v>
      </c>
      <c r="C59" s="201" t="s">
        <v>5189</v>
      </c>
      <c r="D59" s="173" t="s">
        <v>4432</v>
      </c>
      <c r="E59" s="173" t="s">
        <v>4660</v>
      </c>
      <c r="F59" s="201" t="s">
        <v>5193</v>
      </c>
      <c r="G59" s="173" t="s">
        <v>34</v>
      </c>
      <c r="H59" s="173" t="s">
        <v>114</v>
      </c>
      <c r="I59" s="174">
        <v>2.4</v>
      </c>
      <c r="J59" s="174">
        <v>0.91</v>
      </c>
      <c r="K59" s="174">
        <v>0.9</v>
      </c>
      <c r="L59" s="174">
        <v>0.93</v>
      </c>
      <c r="M59" s="380">
        <v>620</v>
      </c>
      <c r="N59" s="176">
        <v>5.4550000000000001</v>
      </c>
      <c r="O59" s="381">
        <v>5.3550000000000004</v>
      </c>
      <c r="P59" s="382"/>
      <c r="Q59" s="176"/>
      <c r="R59" s="176">
        <v>1.4999999999999999E-2</v>
      </c>
      <c r="S59" s="176">
        <v>8.5000000000000006E-2</v>
      </c>
      <c r="T59" s="383"/>
      <c r="U59" s="380" t="s">
        <v>5124</v>
      </c>
      <c r="V59" s="371" t="s">
        <v>114</v>
      </c>
      <c r="W59" s="384" t="s">
        <v>5143</v>
      </c>
      <c r="X59" s="178" t="s">
        <v>361</v>
      </c>
      <c r="Y59" s="385"/>
      <c r="Z59" s="385"/>
      <c r="AA59" s="177">
        <v>44784</v>
      </c>
      <c r="AB59" s="177"/>
      <c r="AC59" s="177">
        <v>44784</v>
      </c>
      <c r="AD59" s="177"/>
      <c r="AE59" s="177">
        <v>44937</v>
      </c>
      <c r="AF59" s="177"/>
      <c r="AG59" s="177"/>
      <c r="AH59" s="177"/>
      <c r="AI59" s="180"/>
      <c r="AJ59" s="173"/>
      <c r="AK59" s="173"/>
      <c r="AL59" s="181" t="s">
        <v>69</v>
      </c>
      <c r="AM59" s="181" t="s">
        <v>119</v>
      </c>
      <c r="AN59" s="181" t="s">
        <v>994</v>
      </c>
      <c r="AO59" s="181">
        <v>44713</v>
      </c>
      <c r="AP59" s="181">
        <v>44747</v>
      </c>
      <c r="AQ59" s="173"/>
      <c r="AR59" s="181">
        <f t="shared" ca="1" si="7"/>
        <v>44958</v>
      </c>
      <c r="AS59" s="176">
        <f ca="1">IF(AP59&lt;&gt;0,AR59-AP59,0)</f>
        <v>211</v>
      </c>
      <c r="AT59" s="176">
        <f ca="1">IF(ISNUMBER(AE59)=TRUE,AR59-AE59,IF(AE59="","",(AR59)-(MID(RIGHT(AE59,10),4,2)&amp;"/"&amp;LEFT((RIGHT(AE59,10)),2)&amp;"/"&amp;RIGHT(AE59,4))))</f>
        <v>21</v>
      </c>
      <c r="AU59" s="176" t="s">
        <v>4662</v>
      </c>
      <c r="AV59" s="176" t="s">
        <v>4663</v>
      </c>
      <c r="AW59" s="176">
        <v>10.116</v>
      </c>
      <c r="AX59" s="176">
        <v>10.135999999999999</v>
      </c>
      <c r="AY59" s="173">
        <v>10.160999999999998</v>
      </c>
      <c r="AZ59" s="142">
        <v>10.165999999999999</v>
      </c>
      <c r="BA59" s="142">
        <f t="shared" ca="1" si="13"/>
        <v>174</v>
      </c>
      <c r="BB59" s="142">
        <v>442</v>
      </c>
      <c r="BD59" s="142" t="s">
        <v>123</v>
      </c>
    </row>
    <row r="60" spans="2:56" s="142" customFormat="1" ht="21" customHeight="1" x14ac:dyDescent="0.25">
      <c r="B60" s="173" t="str">
        <f t="shared" ref="B60:B123" si="17">IF(C60="HOLD RM","HOLD RM",IF(C60="BAL","WIP",IF(C60="HOLD SLT","HOLD SLT",IF(C60="MILL","RM",IF(C60="RE SLT","WIP",IF(C60="RM","RM",IF(C60="RM BAL","RM",IF(C60="RM SLT","RM",IF(C60="RR","WIP",IF(C60="SKP","WIP",IF(C60="SLT","WIP",IF(C60="CTL","WIP",IF(C60="RM SLT RUST","RM SLT RUST",0)))))))))))))&amp;"-"&amp;G60&amp;"/"&amp;IF(H60="2B","2B",IF(H60="NO.1","1D",IF(H60="FH","FH",0)))&amp;"-"&amp;IF(J60="",(TEXT(I60,"0.00")),TEXT(J60,"0.00"))&amp;"X"&amp;M60</f>
        <v>0-J3/FH-1.12X620</v>
      </c>
      <c r="C60" s="201" t="s">
        <v>5194</v>
      </c>
      <c r="D60" s="173" t="s">
        <v>16</v>
      </c>
      <c r="E60" s="173" t="s">
        <v>4674</v>
      </c>
      <c r="F60" s="201" t="s">
        <v>5195</v>
      </c>
      <c r="G60" s="173" t="s">
        <v>34</v>
      </c>
      <c r="H60" s="173" t="s">
        <v>70</v>
      </c>
      <c r="I60" s="174">
        <v>2.4</v>
      </c>
      <c r="J60" s="174">
        <v>1.1200000000000001</v>
      </c>
      <c r="K60" s="174"/>
      <c r="L60" s="174"/>
      <c r="M60" s="380">
        <v>620</v>
      </c>
      <c r="N60" s="176">
        <v>10.055</v>
      </c>
      <c r="O60" s="381">
        <v>9.8350000000000009</v>
      </c>
      <c r="P60" s="382"/>
      <c r="Q60" s="176">
        <v>0.26</v>
      </c>
      <c r="R60" s="176"/>
      <c r="S60" s="176"/>
      <c r="T60" s="383"/>
      <c r="U60" s="380">
        <v>620</v>
      </c>
      <c r="V60" s="371" t="s">
        <v>114</v>
      </c>
      <c r="W60" s="384"/>
      <c r="X60" s="178" t="s">
        <v>361</v>
      </c>
      <c r="Y60" s="385" t="s">
        <v>5129</v>
      </c>
      <c r="Z60" s="385"/>
      <c r="AA60" s="177">
        <v>44904</v>
      </c>
      <c r="AB60" s="177"/>
      <c r="AC60" s="177"/>
      <c r="AD60" s="177">
        <v>44908</v>
      </c>
      <c r="AE60" s="177"/>
      <c r="AF60" s="177"/>
      <c r="AG60" s="177"/>
      <c r="AH60" s="177"/>
      <c r="AI60" s="180"/>
      <c r="AJ60" s="173"/>
      <c r="AK60" s="173"/>
      <c r="AL60" s="181" t="s">
        <v>69</v>
      </c>
      <c r="AM60" s="181" t="s">
        <v>119</v>
      </c>
      <c r="AN60" s="181" t="s">
        <v>2387</v>
      </c>
      <c r="AO60" s="181">
        <v>44848</v>
      </c>
      <c r="AP60" s="181">
        <v>44880</v>
      </c>
      <c r="AQ60" s="173"/>
      <c r="AR60" s="181">
        <f t="shared" ca="1" si="7"/>
        <v>44958</v>
      </c>
      <c r="AS60" s="176">
        <f t="shared" ref="AS60:AS123" ca="1" si="18">IF(AP60&lt;&gt;0,AR60-AP60,0)</f>
        <v>78</v>
      </c>
      <c r="AT60" s="176" t="str">
        <f t="shared" ref="AT60:AT123" si="19">IF(ISNUMBER(AE60)=TRUE,AR60-AE60,IF(AE60="","",(AR60)-(MID(RIGHT(AE60,10),4,2)&amp;"/"&amp;LEFT((RIGHT(AE60,10)),2)&amp;"/"&amp;RIGHT(AE60,4))))</f>
        <v/>
      </c>
      <c r="AU60" s="176" t="s">
        <v>2395</v>
      </c>
      <c r="AV60" s="176" t="s">
        <v>2416</v>
      </c>
      <c r="AW60" s="176">
        <v>10.055</v>
      </c>
      <c r="AX60" s="176">
        <v>10.074999999999999</v>
      </c>
      <c r="AY60" s="173">
        <v>10.099999999999998</v>
      </c>
      <c r="AZ60" s="142">
        <v>10.104999999999999</v>
      </c>
      <c r="BA60" s="142" t="str">
        <f t="shared" si="13"/>
        <v/>
      </c>
      <c r="BB60" s="142">
        <v>461</v>
      </c>
      <c r="BD60" s="142" t="s">
        <v>123</v>
      </c>
    </row>
    <row r="61" spans="2:56" s="142" customFormat="1" ht="21" customHeight="1" x14ac:dyDescent="0.25">
      <c r="B61" s="173" t="str">
        <f t="shared" si="17"/>
        <v>0-J3/2B-0.45X615</v>
      </c>
      <c r="C61" s="201" t="s">
        <v>5189</v>
      </c>
      <c r="D61" s="173" t="s">
        <v>4432</v>
      </c>
      <c r="E61" s="173" t="s">
        <v>4664</v>
      </c>
      <c r="F61" s="201" t="s">
        <v>5196</v>
      </c>
      <c r="G61" s="173" t="s">
        <v>34</v>
      </c>
      <c r="H61" s="173" t="s">
        <v>114</v>
      </c>
      <c r="I61" s="174">
        <v>0.75</v>
      </c>
      <c r="J61" s="174">
        <v>0.45</v>
      </c>
      <c r="K61" s="174">
        <v>0.43</v>
      </c>
      <c r="L61" s="174">
        <v>0.45</v>
      </c>
      <c r="M61" s="380">
        <v>615</v>
      </c>
      <c r="N61" s="176">
        <v>4.8449999999999998</v>
      </c>
      <c r="O61" s="381">
        <v>4.7450000000000001</v>
      </c>
      <c r="P61" s="382"/>
      <c r="Q61" s="176">
        <v>0.03</v>
      </c>
      <c r="R61" s="176"/>
      <c r="S61" s="176">
        <v>0.1</v>
      </c>
      <c r="T61" s="383"/>
      <c r="U61" s="380" t="s">
        <v>5124</v>
      </c>
      <c r="V61" s="371" t="s">
        <v>114</v>
      </c>
      <c r="W61" s="384" t="s">
        <v>5139</v>
      </c>
      <c r="X61" s="178" t="s">
        <v>361</v>
      </c>
      <c r="Y61" s="385" t="s">
        <v>295</v>
      </c>
      <c r="Z61" s="385"/>
      <c r="AA61" s="177" t="s">
        <v>4666</v>
      </c>
      <c r="AB61" s="177"/>
      <c r="AC61" s="177">
        <v>44747</v>
      </c>
      <c r="AD61" s="177">
        <v>44910</v>
      </c>
      <c r="AE61" s="177" t="s">
        <v>4667</v>
      </c>
      <c r="AF61" s="177"/>
      <c r="AG61" s="177">
        <v>44904</v>
      </c>
      <c r="AH61" s="177"/>
      <c r="AI61" s="180"/>
      <c r="AJ61" s="173"/>
      <c r="AK61" s="173"/>
      <c r="AL61" s="181" t="s">
        <v>69</v>
      </c>
      <c r="AM61" s="181" t="s">
        <v>248</v>
      </c>
      <c r="AN61" s="181" t="s">
        <v>924</v>
      </c>
      <c r="AO61" s="181">
        <v>44697</v>
      </c>
      <c r="AP61" s="181">
        <v>44721</v>
      </c>
      <c r="AQ61" s="173"/>
      <c r="AR61" s="181">
        <f t="shared" ca="1" si="7"/>
        <v>44958</v>
      </c>
      <c r="AS61" s="176">
        <f t="shared" ca="1" si="18"/>
        <v>237</v>
      </c>
      <c r="AT61" s="176">
        <f t="shared" ca="1" si="19"/>
        <v>21</v>
      </c>
      <c r="AU61" s="176" t="s">
        <v>4668</v>
      </c>
      <c r="AV61" s="176" t="s">
        <v>4669</v>
      </c>
      <c r="AW61" s="176">
        <v>10.002000000000001</v>
      </c>
      <c r="AX61" s="176">
        <v>10.042</v>
      </c>
      <c r="AY61" s="173">
        <v>10.066999999999998</v>
      </c>
      <c r="AZ61" s="142">
        <v>10.071999999999999</v>
      </c>
      <c r="BA61" s="142">
        <f t="shared" ca="1" si="13"/>
        <v>211</v>
      </c>
      <c r="BB61" s="142">
        <v>440</v>
      </c>
      <c r="BD61" s="142" t="s">
        <v>123</v>
      </c>
    </row>
    <row r="62" spans="2:56" s="142" customFormat="1" ht="21" customHeight="1" x14ac:dyDescent="0.25">
      <c r="B62" s="173" t="str">
        <f t="shared" si="17"/>
        <v>0-J3/2B-0.45X615</v>
      </c>
      <c r="C62" s="201" t="s">
        <v>5189</v>
      </c>
      <c r="D62" s="173" t="s">
        <v>4432</v>
      </c>
      <c r="E62" s="173" t="s">
        <v>4664</v>
      </c>
      <c r="F62" s="201" t="s">
        <v>5197</v>
      </c>
      <c r="G62" s="173" t="s">
        <v>34</v>
      </c>
      <c r="H62" s="173" t="s">
        <v>114</v>
      </c>
      <c r="I62" s="174">
        <v>0.75</v>
      </c>
      <c r="J62" s="174">
        <v>0.45</v>
      </c>
      <c r="K62" s="174">
        <v>0.43</v>
      </c>
      <c r="L62" s="174">
        <v>0.45</v>
      </c>
      <c r="M62" s="380">
        <v>615</v>
      </c>
      <c r="N62" s="176">
        <v>4.8449999999999998</v>
      </c>
      <c r="O62" s="381">
        <v>4.7149999999999999</v>
      </c>
      <c r="P62" s="382"/>
      <c r="Q62" s="176">
        <v>5.5E-2</v>
      </c>
      <c r="R62" s="176"/>
      <c r="S62" s="176">
        <v>0.105</v>
      </c>
      <c r="T62" s="383"/>
      <c r="U62" s="380" t="s">
        <v>5124</v>
      </c>
      <c r="V62" s="371" t="s">
        <v>114</v>
      </c>
      <c r="W62" s="384" t="s">
        <v>5139</v>
      </c>
      <c r="X62" s="178" t="s">
        <v>361</v>
      </c>
      <c r="Y62" s="385" t="s">
        <v>295</v>
      </c>
      <c r="Z62" s="385"/>
      <c r="AA62" s="177" t="s">
        <v>4666</v>
      </c>
      <c r="AB62" s="177"/>
      <c r="AC62" s="177">
        <v>44747</v>
      </c>
      <c r="AD62" s="177">
        <v>44910</v>
      </c>
      <c r="AE62" s="177" t="s">
        <v>4667</v>
      </c>
      <c r="AF62" s="177"/>
      <c r="AG62" s="177">
        <v>44904</v>
      </c>
      <c r="AH62" s="177"/>
      <c r="AI62" s="180"/>
      <c r="AJ62" s="173"/>
      <c r="AK62" s="173"/>
      <c r="AL62" s="181" t="s">
        <v>69</v>
      </c>
      <c r="AM62" s="181" t="s">
        <v>248</v>
      </c>
      <c r="AN62" s="181" t="s">
        <v>924</v>
      </c>
      <c r="AO62" s="181">
        <v>44697</v>
      </c>
      <c r="AP62" s="181">
        <v>44721</v>
      </c>
      <c r="AQ62" s="173"/>
      <c r="AR62" s="181">
        <f t="shared" ca="1" si="7"/>
        <v>44958</v>
      </c>
      <c r="AS62" s="176">
        <f t="shared" ca="1" si="18"/>
        <v>237</v>
      </c>
      <c r="AT62" s="176">
        <f t="shared" ca="1" si="19"/>
        <v>21</v>
      </c>
      <c r="AU62" s="176" t="s">
        <v>4668</v>
      </c>
      <c r="AV62" s="176" t="s">
        <v>4669</v>
      </c>
      <c r="AW62" s="176">
        <v>10.002000000000001</v>
      </c>
      <c r="AX62" s="176">
        <v>10.042</v>
      </c>
      <c r="AY62" s="173">
        <v>10.066999999999998</v>
      </c>
      <c r="AZ62" s="142">
        <v>10.071999999999999</v>
      </c>
      <c r="BA62" s="142">
        <f t="shared" ca="1" si="13"/>
        <v>211</v>
      </c>
      <c r="BB62" s="142">
        <v>440</v>
      </c>
      <c r="BD62" s="142" t="s">
        <v>123</v>
      </c>
    </row>
    <row r="63" spans="2:56" s="142" customFormat="1" ht="21" customHeight="1" x14ac:dyDescent="0.25">
      <c r="B63" s="173" t="str">
        <f t="shared" si="17"/>
        <v>0-J3/2B-0.73X620</v>
      </c>
      <c r="C63" s="201" t="s">
        <v>5189</v>
      </c>
      <c r="D63" s="173" t="s">
        <v>4432</v>
      </c>
      <c r="E63" s="173" t="s">
        <v>4671</v>
      </c>
      <c r="F63" s="201" t="s">
        <v>5198</v>
      </c>
      <c r="G63" s="173" t="s">
        <v>34</v>
      </c>
      <c r="H63" s="173" t="s">
        <v>114</v>
      </c>
      <c r="I63" s="174">
        <v>2.2000000000000002</v>
      </c>
      <c r="J63" s="174">
        <v>0.73</v>
      </c>
      <c r="K63" s="174">
        <v>0.7</v>
      </c>
      <c r="L63" s="174">
        <v>0.74</v>
      </c>
      <c r="M63" s="380">
        <v>620</v>
      </c>
      <c r="N63" s="176">
        <v>9.99</v>
      </c>
      <c r="O63" s="381">
        <f>4.605+5.11</f>
        <v>9.7149999999999999</v>
      </c>
      <c r="P63" s="382"/>
      <c r="Q63" s="176">
        <v>5.5E-2</v>
      </c>
      <c r="R63" s="176"/>
      <c r="S63" s="176">
        <v>0.22</v>
      </c>
      <c r="T63" s="383"/>
      <c r="U63" s="380" t="s">
        <v>5124</v>
      </c>
      <c r="V63" s="371" t="s">
        <v>114</v>
      </c>
      <c r="W63" s="384" t="s">
        <v>5143</v>
      </c>
      <c r="X63" s="178" t="s">
        <v>361</v>
      </c>
      <c r="Y63" s="385"/>
      <c r="Z63" s="385"/>
      <c r="AA63" s="177">
        <v>44784</v>
      </c>
      <c r="AB63" s="177"/>
      <c r="AC63" s="177">
        <v>44785</v>
      </c>
      <c r="AD63" s="177"/>
      <c r="AE63" s="177">
        <v>44937</v>
      </c>
      <c r="AF63" s="177"/>
      <c r="AG63" s="177"/>
      <c r="AH63" s="177"/>
      <c r="AI63" s="180"/>
      <c r="AJ63" s="173"/>
      <c r="AK63" s="173"/>
      <c r="AL63" s="181" t="s">
        <v>69</v>
      </c>
      <c r="AM63" s="181" t="s">
        <v>119</v>
      </c>
      <c r="AN63" s="181" t="s">
        <v>994</v>
      </c>
      <c r="AO63" s="181">
        <v>44713</v>
      </c>
      <c r="AP63" s="181">
        <v>44747</v>
      </c>
      <c r="AQ63" s="173"/>
      <c r="AR63" s="181">
        <f t="shared" ca="1" si="7"/>
        <v>44958</v>
      </c>
      <c r="AS63" s="176">
        <f t="shared" ca="1" si="18"/>
        <v>211</v>
      </c>
      <c r="AT63" s="176">
        <f t="shared" ca="1" si="19"/>
        <v>21</v>
      </c>
      <c r="AU63" s="176" t="s">
        <v>1010</v>
      </c>
      <c r="AV63" s="176" t="s">
        <v>4673</v>
      </c>
      <c r="AW63" s="176">
        <v>10.023</v>
      </c>
      <c r="AX63" s="176">
        <v>10.042999999999999</v>
      </c>
      <c r="AY63" s="173">
        <v>10.067999999999998</v>
      </c>
      <c r="AZ63" s="142">
        <v>10.072999999999999</v>
      </c>
      <c r="BA63" s="142">
        <f t="shared" ca="1" si="13"/>
        <v>173</v>
      </c>
      <c r="BB63" s="142">
        <v>442</v>
      </c>
      <c r="BD63" s="142" t="s">
        <v>123</v>
      </c>
    </row>
    <row r="64" spans="2:56" s="142" customFormat="1" ht="21" customHeight="1" x14ac:dyDescent="0.25">
      <c r="B64" s="173" t="str">
        <f t="shared" si="17"/>
        <v>0-J3/2B-1.12X620</v>
      </c>
      <c r="C64" s="201" t="s">
        <v>5199</v>
      </c>
      <c r="D64" s="173" t="s">
        <v>4432</v>
      </c>
      <c r="E64" s="173" t="s">
        <v>4674</v>
      </c>
      <c r="F64" s="201" t="s">
        <v>5200</v>
      </c>
      <c r="G64" s="173" t="s">
        <v>34</v>
      </c>
      <c r="H64" s="173" t="s">
        <v>114</v>
      </c>
      <c r="I64" s="174">
        <v>2.4</v>
      </c>
      <c r="J64" s="174">
        <v>1.1200000000000001</v>
      </c>
      <c r="K64" s="174">
        <v>1.1000000000000001</v>
      </c>
      <c r="L64" s="174">
        <v>1.1100000000000001</v>
      </c>
      <c r="M64" s="380">
        <v>620</v>
      </c>
      <c r="N64" s="176">
        <v>9.7550000000000008</v>
      </c>
      <c r="O64" s="381">
        <f>4.765+4.58</f>
        <v>9.3449999999999989</v>
      </c>
      <c r="P64" s="382"/>
      <c r="Q64" s="176">
        <v>7.4999999999999997E-2</v>
      </c>
      <c r="R64" s="176"/>
      <c r="S64" s="176">
        <v>0.33500000000000002</v>
      </c>
      <c r="T64" s="383"/>
      <c r="U64" s="380" t="s">
        <v>5124</v>
      </c>
      <c r="V64" s="371" t="s">
        <v>114</v>
      </c>
      <c r="W64" s="384" t="s">
        <v>5139</v>
      </c>
      <c r="X64" s="178" t="s">
        <v>361</v>
      </c>
      <c r="Y64" s="385"/>
      <c r="Z64" s="385"/>
      <c r="AA64" s="177">
        <v>44904</v>
      </c>
      <c r="AB64" s="177"/>
      <c r="AC64" s="177"/>
      <c r="AD64" s="177">
        <v>44908</v>
      </c>
      <c r="AE64" s="177">
        <v>44937</v>
      </c>
      <c r="AF64" s="177"/>
      <c r="AG64" s="177">
        <v>44937</v>
      </c>
      <c r="AH64" s="177"/>
      <c r="AI64" s="180"/>
      <c r="AJ64" s="173"/>
      <c r="AK64" s="173"/>
      <c r="AL64" s="181" t="s">
        <v>69</v>
      </c>
      <c r="AM64" s="181" t="s">
        <v>119</v>
      </c>
      <c r="AN64" s="181" t="s">
        <v>2387</v>
      </c>
      <c r="AO64" s="181">
        <v>44848</v>
      </c>
      <c r="AP64" s="181">
        <v>44880</v>
      </c>
      <c r="AQ64" s="173"/>
      <c r="AR64" s="181">
        <f t="shared" ca="1" si="7"/>
        <v>44958</v>
      </c>
      <c r="AS64" s="176">
        <f t="shared" ca="1" si="18"/>
        <v>78</v>
      </c>
      <c r="AT64" s="176">
        <f t="shared" ca="1" si="19"/>
        <v>21</v>
      </c>
      <c r="AU64" s="176" t="s">
        <v>2395</v>
      </c>
      <c r="AV64" s="176" t="s">
        <v>2416</v>
      </c>
      <c r="AW64" s="176">
        <v>10.055</v>
      </c>
      <c r="AX64" s="176">
        <v>10.074999999999999</v>
      </c>
      <c r="AY64" s="173">
        <v>10.099999999999998</v>
      </c>
      <c r="AZ64" s="142">
        <v>10.104999999999999</v>
      </c>
      <c r="BA64" s="142" t="str">
        <f t="shared" si="13"/>
        <v/>
      </c>
      <c r="BB64" s="142">
        <v>461</v>
      </c>
      <c r="BD64" s="142" t="s">
        <v>123</v>
      </c>
    </row>
    <row r="65" spans="2:56" s="142" customFormat="1" ht="21" customHeight="1" x14ac:dyDescent="0.25">
      <c r="B65" s="173" t="str">
        <f t="shared" si="17"/>
        <v>0-304L/2B-0.95X771</v>
      </c>
      <c r="C65" s="201" t="s">
        <v>5199</v>
      </c>
      <c r="D65" s="173" t="s">
        <v>4432</v>
      </c>
      <c r="E65" s="173" t="s">
        <v>3997</v>
      </c>
      <c r="F65" s="201" t="s">
        <v>5201</v>
      </c>
      <c r="G65" s="173" t="s">
        <v>182</v>
      </c>
      <c r="H65" s="173" t="s">
        <v>114</v>
      </c>
      <c r="I65" s="174">
        <v>2.8</v>
      </c>
      <c r="J65" s="174">
        <v>0.95</v>
      </c>
      <c r="K65" s="174">
        <v>0.95</v>
      </c>
      <c r="L65" s="174">
        <v>0.96</v>
      </c>
      <c r="M65" s="380">
        <v>771</v>
      </c>
      <c r="N65" s="176">
        <v>10.525</v>
      </c>
      <c r="O65" s="381">
        <f>5.195+5.085</f>
        <v>10.280000000000001</v>
      </c>
      <c r="P65" s="382"/>
      <c r="Q65" s="176">
        <v>7.4999999999999997E-2</v>
      </c>
      <c r="R65" s="176"/>
      <c r="S65" s="176">
        <v>0.17</v>
      </c>
      <c r="T65" s="383"/>
      <c r="U65" s="380" t="s">
        <v>5124</v>
      </c>
      <c r="V65" s="371" t="s">
        <v>114</v>
      </c>
      <c r="W65" s="384" t="s">
        <v>5202</v>
      </c>
      <c r="X65" s="178" t="s">
        <v>361</v>
      </c>
      <c r="Y65" s="385"/>
      <c r="Z65" s="385"/>
      <c r="AA65" s="177">
        <v>44935</v>
      </c>
      <c r="AB65" s="177"/>
      <c r="AC65" s="177">
        <v>44935</v>
      </c>
      <c r="AD65" s="177"/>
      <c r="AE65" s="177">
        <v>44937</v>
      </c>
      <c r="AF65" s="177"/>
      <c r="AG65" s="177"/>
      <c r="AH65" s="177"/>
      <c r="AI65" s="180"/>
      <c r="AJ65" s="173"/>
      <c r="AK65" s="173" t="s">
        <v>1507</v>
      </c>
      <c r="AL65" s="181" t="s">
        <v>69</v>
      </c>
      <c r="AM65" s="181" t="s">
        <v>142</v>
      </c>
      <c r="AN65" s="181" t="s">
        <v>1584</v>
      </c>
      <c r="AO65" s="181"/>
      <c r="AP65" s="181">
        <v>44914</v>
      </c>
      <c r="AQ65" s="173"/>
      <c r="AR65" s="181">
        <f t="shared" ca="1" si="7"/>
        <v>44958</v>
      </c>
      <c r="AS65" s="176">
        <f t="shared" ca="1" si="18"/>
        <v>44</v>
      </c>
      <c r="AT65" s="176">
        <f t="shared" ca="1" si="19"/>
        <v>21</v>
      </c>
      <c r="AU65" s="176"/>
      <c r="AV65" s="176" t="s">
        <v>2723</v>
      </c>
      <c r="AW65" s="176">
        <v>10.55</v>
      </c>
      <c r="AX65" s="176">
        <v>10.56</v>
      </c>
      <c r="AY65" s="173">
        <v>10.584999999999999</v>
      </c>
      <c r="AZ65" s="142">
        <v>10.59</v>
      </c>
      <c r="BA65" s="142">
        <f t="shared" ca="1" si="13"/>
        <v>23</v>
      </c>
      <c r="BB65" s="142">
        <v>462</v>
      </c>
      <c r="BD65" s="142" t="s">
        <v>123</v>
      </c>
    </row>
    <row r="66" spans="2:56" s="142" customFormat="1" ht="21" customHeight="1" x14ac:dyDescent="0.25">
      <c r="B66" s="173" t="str">
        <f t="shared" si="17"/>
        <v>0-J3/2B-0.45X88.5</v>
      </c>
      <c r="C66" s="201" t="s">
        <v>5203</v>
      </c>
      <c r="D66" s="173" t="s">
        <v>4432</v>
      </c>
      <c r="E66" s="173" t="s">
        <v>4664</v>
      </c>
      <c r="F66" s="201" t="s">
        <v>5204</v>
      </c>
      <c r="G66" s="173" t="s">
        <v>34</v>
      </c>
      <c r="H66" s="173" t="s">
        <v>114</v>
      </c>
      <c r="I66" s="174">
        <v>0.75</v>
      </c>
      <c r="J66" s="174">
        <v>0.45</v>
      </c>
      <c r="K66" s="174">
        <v>0.43</v>
      </c>
      <c r="L66" s="174">
        <v>0.45</v>
      </c>
      <c r="M66" s="380">
        <v>88.5</v>
      </c>
      <c r="N66" s="176">
        <v>0.69500000000000006</v>
      </c>
      <c r="O66" s="381">
        <v>0.66</v>
      </c>
      <c r="P66" s="382"/>
      <c r="Q66" s="176">
        <v>3.5000000000000003E-2</v>
      </c>
      <c r="R66" s="176"/>
      <c r="S66" s="176"/>
      <c r="T66" s="383"/>
      <c r="U66" s="380">
        <v>88.5</v>
      </c>
      <c r="V66" s="371" t="s">
        <v>114</v>
      </c>
      <c r="W66" s="384" t="s">
        <v>5139</v>
      </c>
      <c r="X66" s="178" t="s">
        <v>361</v>
      </c>
      <c r="Y66" s="385" t="s">
        <v>295</v>
      </c>
      <c r="Z66" s="385"/>
      <c r="AA66" s="177" t="s">
        <v>4666</v>
      </c>
      <c r="AB66" s="177"/>
      <c r="AC66" s="177">
        <v>44747</v>
      </c>
      <c r="AD66" s="177">
        <v>44910</v>
      </c>
      <c r="AE66" s="177" t="s">
        <v>4667</v>
      </c>
      <c r="AF66" s="177"/>
      <c r="AG66" s="177">
        <v>44904</v>
      </c>
      <c r="AH66" s="177"/>
      <c r="AI66" s="180"/>
      <c r="AJ66" s="173"/>
      <c r="AK66" s="173"/>
      <c r="AL66" s="181" t="s">
        <v>69</v>
      </c>
      <c r="AM66" s="181" t="s">
        <v>248</v>
      </c>
      <c r="AN66" s="181" t="s">
        <v>924</v>
      </c>
      <c r="AO66" s="181">
        <v>44697</v>
      </c>
      <c r="AP66" s="181">
        <v>44721</v>
      </c>
      <c r="AQ66" s="173"/>
      <c r="AR66" s="181">
        <f t="shared" ca="1" si="7"/>
        <v>44958</v>
      </c>
      <c r="AS66" s="176">
        <f t="shared" ca="1" si="18"/>
        <v>237</v>
      </c>
      <c r="AT66" s="176">
        <f t="shared" ca="1" si="19"/>
        <v>21</v>
      </c>
      <c r="AU66" s="176" t="s">
        <v>4668</v>
      </c>
      <c r="AV66" s="176" t="s">
        <v>4669</v>
      </c>
      <c r="AW66" s="176">
        <v>10.002000000000001</v>
      </c>
      <c r="AX66" s="176">
        <v>10.042</v>
      </c>
      <c r="AY66" s="173">
        <v>10.066999999999998</v>
      </c>
      <c r="AZ66" s="142">
        <v>10.071999999999999</v>
      </c>
      <c r="BA66" s="142">
        <f t="shared" ca="1" si="13"/>
        <v>211</v>
      </c>
      <c r="BB66" s="142">
        <v>440</v>
      </c>
      <c r="BD66" s="142" t="s">
        <v>123</v>
      </c>
    </row>
    <row r="67" spans="2:56" s="142" customFormat="1" ht="21" customHeight="1" x14ac:dyDescent="0.25">
      <c r="B67" s="173" t="str">
        <f t="shared" si="17"/>
        <v>0-304L/2B-0.50X642</v>
      </c>
      <c r="C67" s="201" t="s">
        <v>5199</v>
      </c>
      <c r="D67" s="173" t="s">
        <v>4432</v>
      </c>
      <c r="E67" s="173" t="s">
        <v>3921</v>
      </c>
      <c r="F67" s="201" t="s">
        <v>5205</v>
      </c>
      <c r="G67" s="173" t="s">
        <v>182</v>
      </c>
      <c r="H67" s="173" t="s">
        <v>114</v>
      </c>
      <c r="I67" s="174">
        <v>2.4900000000000002</v>
      </c>
      <c r="J67" s="174">
        <v>0.5</v>
      </c>
      <c r="K67" s="174">
        <v>0.5</v>
      </c>
      <c r="L67" s="174">
        <v>0.53</v>
      </c>
      <c r="M67" s="380">
        <v>642</v>
      </c>
      <c r="N67" s="176">
        <v>10.565</v>
      </c>
      <c r="O67" s="381">
        <f>6.255+4.245</f>
        <v>10.5</v>
      </c>
      <c r="P67" s="382"/>
      <c r="Q67" s="176">
        <v>0.05</v>
      </c>
      <c r="R67" s="176"/>
      <c r="S67" s="176"/>
      <c r="T67" s="383"/>
      <c r="U67" s="380">
        <v>625</v>
      </c>
      <c r="V67" s="371" t="s">
        <v>114</v>
      </c>
      <c r="W67" s="384" t="s">
        <v>4624</v>
      </c>
      <c r="X67" s="178" t="s">
        <v>1344</v>
      </c>
      <c r="Y67" s="385"/>
      <c r="Z67" s="385" t="s">
        <v>5206</v>
      </c>
      <c r="AA67" s="177">
        <v>44931</v>
      </c>
      <c r="AB67" s="177"/>
      <c r="AC67" s="177">
        <v>44932</v>
      </c>
      <c r="AD67" s="177"/>
      <c r="AE67" s="177">
        <v>44937</v>
      </c>
      <c r="AF67" s="177"/>
      <c r="AG67" s="177"/>
      <c r="AH67" s="177"/>
      <c r="AI67" s="180"/>
      <c r="AJ67" s="173"/>
      <c r="AK67" s="173" t="s">
        <v>2479</v>
      </c>
      <c r="AL67" s="181" t="s">
        <v>69</v>
      </c>
      <c r="AM67" s="181" t="s">
        <v>142</v>
      </c>
      <c r="AN67" s="181" t="s">
        <v>1657</v>
      </c>
      <c r="AO67" s="181"/>
      <c r="AP67" s="181">
        <v>44849</v>
      </c>
      <c r="AQ67" s="173"/>
      <c r="AR67" s="181">
        <f t="shared" ca="1" si="7"/>
        <v>44958</v>
      </c>
      <c r="AS67" s="176">
        <f t="shared" ca="1" si="18"/>
        <v>109</v>
      </c>
      <c r="AT67" s="176">
        <f t="shared" ca="1" si="19"/>
        <v>21</v>
      </c>
      <c r="AU67" s="176"/>
      <c r="AV67" s="176" t="s">
        <v>3923</v>
      </c>
      <c r="AW67" s="176">
        <v>10.62</v>
      </c>
      <c r="AX67" s="176">
        <v>10.63</v>
      </c>
      <c r="AY67" s="173">
        <v>10.654999999999999</v>
      </c>
      <c r="AZ67" s="142">
        <v>10.66</v>
      </c>
      <c r="BA67" s="142">
        <f t="shared" ca="1" si="13"/>
        <v>26</v>
      </c>
      <c r="BB67" s="142">
        <v>456</v>
      </c>
      <c r="BD67" s="142" t="s">
        <v>123</v>
      </c>
    </row>
    <row r="68" spans="2:56" s="142" customFormat="1" ht="21" customHeight="1" x14ac:dyDescent="0.25">
      <c r="B68" s="173" t="str">
        <f t="shared" si="17"/>
        <v>0-316L/FH-0.68X626</v>
      </c>
      <c r="C68" s="201" t="s">
        <v>5207</v>
      </c>
      <c r="D68" s="173" t="s">
        <v>16</v>
      </c>
      <c r="E68" s="173" t="s">
        <v>1368</v>
      </c>
      <c r="F68" s="201" t="s">
        <v>1369</v>
      </c>
      <c r="G68" s="173" t="s">
        <v>135</v>
      </c>
      <c r="H68" s="173" t="s">
        <v>70</v>
      </c>
      <c r="I68" s="174">
        <v>1.1499999999999999</v>
      </c>
      <c r="J68" s="174">
        <v>0.68</v>
      </c>
      <c r="K68" s="174"/>
      <c r="L68" s="174"/>
      <c r="M68" s="380">
        <v>626</v>
      </c>
      <c r="N68" s="176">
        <v>10.83</v>
      </c>
      <c r="O68" s="381">
        <v>10.83</v>
      </c>
      <c r="P68" s="382"/>
      <c r="Q68" s="176"/>
      <c r="R68" s="176"/>
      <c r="S68" s="176"/>
      <c r="T68" s="383"/>
      <c r="U68" s="380">
        <v>626</v>
      </c>
      <c r="V68" s="371" t="s">
        <v>114</v>
      </c>
      <c r="W68" s="384"/>
      <c r="X68" s="178" t="s">
        <v>5208</v>
      </c>
      <c r="Y68" s="385" t="s">
        <v>750</v>
      </c>
      <c r="Z68" s="385"/>
      <c r="AA68" s="177" t="s">
        <v>1371</v>
      </c>
      <c r="AB68" s="177"/>
      <c r="AC68" s="177">
        <v>44868</v>
      </c>
      <c r="AD68" s="177">
        <v>44903</v>
      </c>
      <c r="AE68" s="177">
        <v>44901</v>
      </c>
      <c r="AF68" s="177"/>
      <c r="AG68" s="177">
        <v>44868</v>
      </c>
      <c r="AH68" s="177">
        <v>44868</v>
      </c>
      <c r="AI68" s="180"/>
      <c r="AJ68" s="173"/>
      <c r="AK68" s="173" t="s">
        <v>1374</v>
      </c>
      <c r="AL68" s="181" t="s">
        <v>69</v>
      </c>
      <c r="AM68" s="181" t="s">
        <v>142</v>
      </c>
      <c r="AN68" s="181" t="s">
        <v>1346</v>
      </c>
      <c r="AO68" s="181"/>
      <c r="AP68" s="181">
        <v>44813</v>
      </c>
      <c r="AQ68" s="173"/>
      <c r="AR68" s="181">
        <f t="shared" ca="1" si="7"/>
        <v>44958</v>
      </c>
      <c r="AS68" s="176">
        <f t="shared" ca="1" si="18"/>
        <v>145</v>
      </c>
      <c r="AT68" s="176">
        <f t="shared" ca="1" si="19"/>
        <v>57</v>
      </c>
      <c r="AU68" s="176"/>
      <c r="AV68" s="176" t="s">
        <v>1375</v>
      </c>
      <c r="AW68" s="176">
        <v>21.664999999999999</v>
      </c>
      <c r="AX68" s="176">
        <v>21.72</v>
      </c>
      <c r="AY68" s="173">
        <v>21.745000000000001</v>
      </c>
      <c r="AZ68" s="142">
        <v>21.75</v>
      </c>
      <c r="BA68" s="142">
        <f t="shared" ca="1" si="13"/>
        <v>90</v>
      </c>
      <c r="BB68" s="142">
        <v>451</v>
      </c>
      <c r="BD68" s="142" t="s">
        <v>123</v>
      </c>
    </row>
    <row r="69" spans="2:56" s="142" customFormat="1" ht="21" customHeight="1" x14ac:dyDescent="0.25">
      <c r="B69" s="173" t="str">
        <f t="shared" si="17"/>
        <v>0-J3/FH-0.73X620</v>
      </c>
      <c r="C69" s="201" t="s">
        <v>5207</v>
      </c>
      <c r="D69" s="173" t="s">
        <v>16</v>
      </c>
      <c r="E69" s="173" t="s">
        <v>1493</v>
      </c>
      <c r="F69" s="201" t="s">
        <v>1494</v>
      </c>
      <c r="G69" s="173" t="s">
        <v>34</v>
      </c>
      <c r="H69" s="173" t="s">
        <v>70</v>
      </c>
      <c r="I69" s="174">
        <v>2.2000000000000002</v>
      </c>
      <c r="J69" s="174">
        <v>0.73</v>
      </c>
      <c r="K69" s="174"/>
      <c r="L69" s="174"/>
      <c r="M69" s="380">
        <v>620</v>
      </c>
      <c r="N69" s="176">
        <v>10.071999999999999</v>
      </c>
      <c r="O69" s="381">
        <v>10.071999999999999</v>
      </c>
      <c r="P69" s="382"/>
      <c r="Q69" s="176"/>
      <c r="R69" s="176"/>
      <c r="S69" s="176"/>
      <c r="T69" s="383"/>
      <c r="U69" s="380">
        <v>620</v>
      </c>
      <c r="V69" s="371" t="s">
        <v>114</v>
      </c>
      <c r="W69" s="384"/>
      <c r="X69" s="178" t="s">
        <v>5209</v>
      </c>
      <c r="Y69" s="385"/>
      <c r="Z69" s="385"/>
      <c r="AA69" s="177">
        <v>44884</v>
      </c>
      <c r="AB69" s="177"/>
      <c r="AC69" s="177"/>
      <c r="AD69" s="177">
        <v>44886</v>
      </c>
      <c r="AE69" s="177"/>
      <c r="AF69" s="177"/>
      <c r="AG69" s="177"/>
      <c r="AH69" s="177"/>
      <c r="AI69" s="180"/>
      <c r="AJ69" s="173"/>
      <c r="AK69" s="173"/>
      <c r="AL69" s="181" t="s">
        <v>69</v>
      </c>
      <c r="AM69" s="181" t="s">
        <v>1065</v>
      </c>
      <c r="AN69" s="181" t="s">
        <v>1401</v>
      </c>
      <c r="AO69" s="181">
        <v>44819</v>
      </c>
      <c r="AP69" s="181">
        <v>44835</v>
      </c>
      <c r="AQ69" s="173"/>
      <c r="AR69" s="181">
        <f t="shared" ca="1" si="7"/>
        <v>44958</v>
      </c>
      <c r="AS69" s="176">
        <f t="shared" ca="1" si="18"/>
        <v>123</v>
      </c>
      <c r="AT69" s="176" t="str">
        <f t="shared" si="19"/>
        <v/>
      </c>
      <c r="AU69" s="176" t="s">
        <v>1417</v>
      </c>
      <c r="AV69" s="176" t="s">
        <v>1492</v>
      </c>
      <c r="AW69" s="176">
        <v>10.071999999999999</v>
      </c>
      <c r="AX69" s="176">
        <v>10.111999999999998</v>
      </c>
      <c r="AY69" s="173">
        <v>10.136999999999997</v>
      </c>
      <c r="AZ69" s="142">
        <v>10.141999999999998</v>
      </c>
      <c r="BA69" s="142" t="str">
        <f t="shared" si="13"/>
        <v/>
      </c>
      <c r="BB69" s="142">
        <v>454</v>
      </c>
      <c r="BD69" s="142" t="s">
        <v>123</v>
      </c>
    </row>
    <row r="70" spans="2:56" s="142" customFormat="1" ht="21" customHeight="1" x14ac:dyDescent="0.25">
      <c r="B70" s="173" t="str">
        <f t="shared" si="17"/>
        <v>0-304L/FH-1.20X642</v>
      </c>
      <c r="C70" s="201" t="s">
        <v>5207</v>
      </c>
      <c r="D70" s="173" t="s">
        <v>16</v>
      </c>
      <c r="E70" s="173" t="s">
        <v>4035</v>
      </c>
      <c r="F70" s="201" t="s">
        <v>4036</v>
      </c>
      <c r="G70" s="173" t="s">
        <v>182</v>
      </c>
      <c r="H70" s="173" t="s">
        <v>70</v>
      </c>
      <c r="I70" s="174">
        <v>2.88</v>
      </c>
      <c r="J70" s="174">
        <v>1.2</v>
      </c>
      <c r="K70" s="174"/>
      <c r="L70" s="174"/>
      <c r="M70" s="380">
        <v>642</v>
      </c>
      <c r="N70" s="176">
        <v>8.81</v>
      </c>
      <c r="O70" s="381">
        <v>8.81</v>
      </c>
      <c r="P70" s="382"/>
      <c r="Q70" s="176"/>
      <c r="R70" s="176"/>
      <c r="S70" s="176"/>
      <c r="T70" s="383"/>
      <c r="U70" s="380">
        <v>642</v>
      </c>
      <c r="V70" s="371" t="s">
        <v>114</v>
      </c>
      <c r="W70" s="384"/>
      <c r="X70" s="178" t="s">
        <v>5210</v>
      </c>
      <c r="Y70" s="385"/>
      <c r="Z70" s="385"/>
      <c r="AA70" s="177">
        <v>44937</v>
      </c>
      <c r="AB70" s="177"/>
      <c r="AC70" s="177"/>
      <c r="AD70" s="177">
        <v>44937</v>
      </c>
      <c r="AE70" s="177"/>
      <c r="AF70" s="177"/>
      <c r="AG70" s="177">
        <v>44938</v>
      </c>
      <c r="AH70" s="177"/>
      <c r="AI70" s="180"/>
      <c r="AJ70" s="173"/>
      <c r="AK70" s="173" t="s">
        <v>2479</v>
      </c>
      <c r="AL70" s="181" t="s">
        <v>69</v>
      </c>
      <c r="AM70" s="181" t="s">
        <v>142</v>
      </c>
      <c r="AN70" s="181" t="s">
        <v>1657</v>
      </c>
      <c r="AO70" s="181"/>
      <c r="AP70" s="181">
        <v>44849</v>
      </c>
      <c r="AQ70" s="173"/>
      <c r="AR70" s="181">
        <f t="shared" ca="1" si="7"/>
        <v>44958</v>
      </c>
      <c r="AS70" s="176">
        <f t="shared" ca="1" si="18"/>
        <v>109</v>
      </c>
      <c r="AT70" s="176" t="str">
        <f t="shared" si="19"/>
        <v/>
      </c>
      <c r="AU70" s="176"/>
      <c r="AV70" s="176" t="s">
        <v>4037</v>
      </c>
      <c r="AW70" s="176">
        <v>8.81</v>
      </c>
      <c r="AX70" s="176">
        <v>8.82</v>
      </c>
      <c r="AY70" s="173">
        <v>8.8449999999999989</v>
      </c>
      <c r="AZ70" s="142">
        <v>8.85</v>
      </c>
      <c r="BA70" s="142" t="str">
        <f t="shared" si="13"/>
        <v/>
      </c>
      <c r="BB70" s="142">
        <v>456</v>
      </c>
      <c r="BD70" s="142" t="s">
        <v>123</v>
      </c>
    </row>
    <row r="71" spans="2:56" s="142" customFormat="1" ht="21" customHeight="1" x14ac:dyDescent="0.25">
      <c r="B71" s="173" t="str">
        <f t="shared" si="17"/>
        <v>0-304L/2B-0.30X630</v>
      </c>
      <c r="C71" s="201" t="s">
        <v>5211</v>
      </c>
      <c r="D71" s="173" t="s">
        <v>4432</v>
      </c>
      <c r="E71" s="173" t="s">
        <v>3966</v>
      </c>
      <c r="F71" s="201" t="s">
        <v>5212</v>
      </c>
      <c r="G71" s="173" t="s">
        <v>182</v>
      </c>
      <c r="H71" s="173" t="s">
        <v>114</v>
      </c>
      <c r="I71" s="174">
        <v>0.57999999999999996</v>
      </c>
      <c r="J71" s="174">
        <v>0.3</v>
      </c>
      <c r="K71" s="174">
        <v>0.28999999999999998</v>
      </c>
      <c r="L71" s="174">
        <v>0.3</v>
      </c>
      <c r="M71" s="380">
        <v>630</v>
      </c>
      <c r="N71" s="176">
        <v>10.48</v>
      </c>
      <c r="O71" s="381">
        <f>5.23+4.91</f>
        <v>10.14</v>
      </c>
      <c r="P71" s="382"/>
      <c r="Q71" s="176">
        <v>0.115</v>
      </c>
      <c r="R71" s="176"/>
      <c r="S71" s="176">
        <v>0.22500000000000001</v>
      </c>
      <c r="T71" s="383"/>
      <c r="U71" s="380">
        <v>615</v>
      </c>
      <c r="V71" s="371" t="s">
        <v>114</v>
      </c>
      <c r="W71" s="384" t="s">
        <v>4624</v>
      </c>
      <c r="X71" s="178" t="s">
        <v>1344</v>
      </c>
      <c r="Y71" s="385"/>
      <c r="Z71" s="385" t="s">
        <v>230</v>
      </c>
      <c r="AA71" s="177" t="s">
        <v>3968</v>
      </c>
      <c r="AB71" s="177"/>
      <c r="AC71" s="177">
        <v>44936</v>
      </c>
      <c r="AD71" s="177">
        <v>44922</v>
      </c>
      <c r="AE71" s="177" t="s">
        <v>4685</v>
      </c>
      <c r="AF71" s="177"/>
      <c r="AG71" s="177" t="s">
        <v>3969</v>
      </c>
      <c r="AH71" s="177"/>
      <c r="AI71" s="180"/>
      <c r="AJ71" s="173"/>
      <c r="AK71" s="173" t="s">
        <v>2479</v>
      </c>
      <c r="AL71" s="181" t="s">
        <v>69</v>
      </c>
      <c r="AM71" s="181" t="s">
        <v>142</v>
      </c>
      <c r="AN71" s="181" t="s">
        <v>1594</v>
      </c>
      <c r="AO71" s="181"/>
      <c r="AP71" s="181">
        <v>44849</v>
      </c>
      <c r="AQ71" s="173"/>
      <c r="AR71" s="181">
        <f t="shared" ca="1" si="7"/>
        <v>44958</v>
      </c>
      <c r="AS71" s="176">
        <f t="shared" ca="1" si="18"/>
        <v>109</v>
      </c>
      <c r="AT71" s="176">
        <f t="shared" ca="1" si="19"/>
        <v>20</v>
      </c>
      <c r="AU71" s="176"/>
      <c r="AV71" s="176" t="s">
        <v>3970</v>
      </c>
      <c r="AW71" s="176">
        <v>10.715</v>
      </c>
      <c r="AX71" s="176">
        <v>10.725</v>
      </c>
      <c r="AY71" s="173">
        <v>10.749999999999998</v>
      </c>
      <c r="AZ71" s="142">
        <v>10.754999999999999</v>
      </c>
      <c r="BA71" s="142">
        <f t="shared" ca="1" si="13"/>
        <v>22</v>
      </c>
      <c r="BB71" s="142">
        <v>456</v>
      </c>
      <c r="BD71" s="142" t="s">
        <v>123</v>
      </c>
    </row>
    <row r="72" spans="2:56" s="142" customFormat="1" ht="21" customHeight="1" x14ac:dyDescent="0.25">
      <c r="B72" s="173" t="str">
        <f t="shared" si="17"/>
        <v>0-304/2B-0.40X641</v>
      </c>
      <c r="C72" s="201" t="s">
        <v>5211</v>
      </c>
      <c r="D72" s="173" t="s">
        <v>4432</v>
      </c>
      <c r="E72" s="173" t="s">
        <v>3943</v>
      </c>
      <c r="F72" s="201" t="s">
        <v>5213</v>
      </c>
      <c r="G72" s="173">
        <v>304</v>
      </c>
      <c r="H72" s="173" t="s">
        <v>114</v>
      </c>
      <c r="I72" s="174">
        <v>2.48</v>
      </c>
      <c r="J72" s="174">
        <v>0.4</v>
      </c>
      <c r="K72" s="174">
        <v>0.4</v>
      </c>
      <c r="L72" s="174">
        <v>0.42</v>
      </c>
      <c r="M72" s="380">
        <v>641</v>
      </c>
      <c r="N72" s="349">
        <v>10.135</v>
      </c>
      <c r="O72" s="381">
        <v>5.95</v>
      </c>
      <c r="P72" s="382"/>
      <c r="Q72" s="176"/>
      <c r="R72" s="176"/>
      <c r="S72" s="176"/>
      <c r="T72" s="383"/>
      <c r="U72" s="380">
        <v>615</v>
      </c>
      <c r="V72" s="371" t="s">
        <v>114</v>
      </c>
      <c r="W72" s="384" t="s">
        <v>4624</v>
      </c>
      <c r="X72" s="178" t="s">
        <v>1344</v>
      </c>
      <c r="Y72" s="385"/>
      <c r="Z72" s="385" t="s">
        <v>4686</v>
      </c>
      <c r="AA72" s="177">
        <v>44932</v>
      </c>
      <c r="AB72" s="177"/>
      <c r="AC72" s="177">
        <v>44933</v>
      </c>
      <c r="AD72" s="177"/>
      <c r="AE72" s="177">
        <v>44938</v>
      </c>
      <c r="AF72" s="177"/>
      <c r="AG72" s="177"/>
      <c r="AH72" s="177"/>
      <c r="AI72" s="180"/>
      <c r="AJ72" s="173"/>
      <c r="AK72" s="173" t="s">
        <v>2479</v>
      </c>
      <c r="AL72" s="181" t="s">
        <v>69</v>
      </c>
      <c r="AM72" s="181" t="s">
        <v>142</v>
      </c>
      <c r="AN72" s="181" t="s">
        <v>1594</v>
      </c>
      <c r="AO72" s="181"/>
      <c r="AP72" s="181">
        <v>44849</v>
      </c>
      <c r="AQ72" s="173"/>
      <c r="AR72" s="181">
        <f t="shared" ca="1" si="7"/>
        <v>44958</v>
      </c>
      <c r="AS72" s="176">
        <f t="shared" ca="1" si="18"/>
        <v>109</v>
      </c>
      <c r="AT72" s="176">
        <f t="shared" ca="1" si="19"/>
        <v>20</v>
      </c>
      <c r="AU72" s="176"/>
      <c r="AV72" s="176" t="s">
        <v>3935</v>
      </c>
      <c r="AW72" s="176">
        <v>10.135</v>
      </c>
      <c r="AX72" s="176">
        <v>10.145</v>
      </c>
      <c r="AY72" s="173">
        <v>10.169999999999998</v>
      </c>
      <c r="AZ72" s="142">
        <v>10.174999999999999</v>
      </c>
      <c r="BA72" s="142">
        <f t="shared" ca="1" si="13"/>
        <v>25</v>
      </c>
      <c r="BB72" s="142">
        <v>456</v>
      </c>
      <c r="BD72" s="142" t="s">
        <v>123</v>
      </c>
    </row>
    <row r="73" spans="2:56" s="142" customFormat="1" ht="21" customHeight="1" x14ac:dyDescent="0.25">
      <c r="B73" s="173" t="str">
        <f t="shared" si="17"/>
        <v>0-304/2B-0.40X641</v>
      </c>
      <c r="C73" s="201" t="s">
        <v>5214</v>
      </c>
      <c r="D73" s="173" t="s">
        <v>836</v>
      </c>
      <c r="E73" s="173" t="s">
        <v>3943</v>
      </c>
      <c r="F73" s="201" t="s">
        <v>5215</v>
      </c>
      <c r="G73" s="173">
        <v>304</v>
      </c>
      <c r="H73" s="173" t="s">
        <v>114</v>
      </c>
      <c r="I73" s="174">
        <v>2.48</v>
      </c>
      <c r="J73" s="174">
        <v>0.4</v>
      </c>
      <c r="K73" s="174">
        <v>0.4</v>
      </c>
      <c r="L73" s="174">
        <v>0.42</v>
      </c>
      <c r="M73" s="380">
        <v>641</v>
      </c>
      <c r="N73" s="350"/>
      <c r="O73" s="381">
        <f>10.135-5.95</f>
        <v>4.1849999999999996</v>
      </c>
      <c r="P73" s="382"/>
      <c r="Q73" s="176"/>
      <c r="R73" s="176"/>
      <c r="S73" s="176"/>
      <c r="T73" s="383"/>
      <c r="U73" s="380">
        <v>641</v>
      </c>
      <c r="V73" s="371" t="s">
        <v>114</v>
      </c>
      <c r="W73" s="384"/>
      <c r="X73" s="178" t="s">
        <v>1344</v>
      </c>
      <c r="Y73" s="385"/>
      <c r="Z73" s="385" t="s">
        <v>4686</v>
      </c>
      <c r="AA73" s="177">
        <v>44932</v>
      </c>
      <c r="AB73" s="177"/>
      <c r="AC73" s="177">
        <v>44933</v>
      </c>
      <c r="AD73" s="177"/>
      <c r="AE73" s="177">
        <v>44938</v>
      </c>
      <c r="AF73" s="177"/>
      <c r="AG73" s="177">
        <v>44939</v>
      </c>
      <c r="AH73" s="177"/>
      <c r="AI73" s="180"/>
      <c r="AJ73" s="173"/>
      <c r="AK73" s="173" t="s">
        <v>2479</v>
      </c>
      <c r="AL73" s="181" t="s">
        <v>69</v>
      </c>
      <c r="AM73" s="181" t="s">
        <v>142</v>
      </c>
      <c r="AN73" s="181" t="s">
        <v>1594</v>
      </c>
      <c r="AO73" s="181"/>
      <c r="AP73" s="181">
        <v>44849</v>
      </c>
      <c r="AQ73" s="173"/>
      <c r="AR73" s="181">
        <f t="shared" ca="1" si="7"/>
        <v>44958</v>
      </c>
      <c r="AS73" s="176">
        <f t="shared" ca="1" si="18"/>
        <v>109</v>
      </c>
      <c r="AT73" s="176">
        <f t="shared" ca="1" si="19"/>
        <v>20</v>
      </c>
      <c r="AU73" s="176"/>
      <c r="AV73" s="176" t="s">
        <v>3935</v>
      </c>
      <c r="AW73" s="176">
        <v>10.135</v>
      </c>
      <c r="AX73" s="176">
        <v>10.145</v>
      </c>
      <c r="AY73" s="173">
        <v>10.169999999999998</v>
      </c>
      <c r="AZ73" s="142">
        <v>10.174999999999999</v>
      </c>
      <c r="BA73" s="142">
        <f t="shared" ca="1" si="13"/>
        <v>25</v>
      </c>
      <c r="BB73" s="142">
        <v>456</v>
      </c>
      <c r="BD73" s="142" t="s">
        <v>123</v>
      </c>
    </row>
    <row r="74" spans="2:56" s="142" customFormat="1" ht="21" customHeight="1" x14ac:dyDescent="0.25">
      <c r="B74" s="173" t="str">
        <f t="shared" si="17"/>
        <v>0-304L/2B-1.00X769</v>
      </c>
      <c r="C74" s="201" t="s">
        <v>5211</v>
      </c>
      <c r="D74" s="173" t="s">
        <v>4432</v>
      </c>
      <c r="E74" s="173" t="s">
        <v>3906</v>
      </c>
      <c r="F74" s="201" t="s">
        <v>4693</v>
      </c>
      <c r="G74" s="173" t="s">
        <v>182</v>
      </c>
      <c r="H74" s="173" t="s">
        <v>114</v>
      </c>
      <c r="I74" s="174">
        <v>2.92</v>
      </c>
      <c r="J74" s="174">
        <v>1</v>
      </c>
      <c r="K74" s="174"/>
      <c r="L74" s="174"/>
      <c r="M74" s="380">
        <v>769</v>
      </c>
      <c r="N74" s="176">
        <v>4.1100000000000003</v>
      </c>
      <c r="O74" s="381">
        <v>4.0999999999999996</v>
      </c>
      <c r="P74" s="382"/>
      <c r="Q74" s="176"/>
      <c r="R74" s="176"/>
      <c r="S74" s="176"/>
      <c r="T74" s="383"/>
      <c r="U74" s="380">
        <v>760</v>
      </c>
      <c r="V74" s="371" t="s">
        <v>114</v>
      </c>
      <c r="W74" s="209" t="s">
        <v>4687</v>
      </c>
      <c r="X74" s="178" t="s">
        <v>750</v>
      </c>
      <c r="Y74" s="385"/>
      <c r="Z74" s="385"/>
      <c r="AA74" s="177">
        <v>44930</v>
      </c>
      <c r="AB74" s="177"/>
      <c r="AC74" s="177">
        <v>44931</v>
      </c>
      <c r="AD74" s="177"/>
      <c r="AE74" s="177">
        <v>44939</v>
      </c>
      <c r="AF74" s="177"/>
      <c r="AG74" s="177"/>
      <c r="AH74" s="177">
        <v>44930</v>
      </c>
      <c r="AI74" s="180"/>
      <c r="AJ74" s="173"/>
      <c r="AK74" s="173" t="s">
        <v>1345</v>
      </c>
      <c r="AL74" s="181" t="s">
        <v>69</v>
      </c>
      <c r="AM74" s="181" t="s">
        <v>142</v>
      </c>
      <c r="AN74" s="181" t="s">
        <v>1508</v>
      </c>
      <c r="AO74" s="181"/>
      <c r="AP74" s="181">
        <v>44849</v>
      </c>
      <c r="AQ74" s="173"/>
      <c r="AR74" s="181">
        <f t="shared" ca="1" si="7"/>
        <v>44958</v>
      </c>
      <c r="AS74" s="176">
        <f t="shared" ca="1" si="18"/>
        <v>109</v>
      </c>
      <c r="AT74" s="176">
        <f t="shared" ca="1" si="19"/>
        <v>19</v>
      </c>
      <c r="AU74" s="176"/>
      <c r="AV74" s="176" t="s">
        <v>3908</v>
      </c>
      <c r="AW74" s="176">
        <v>24.495000000000001</v>
      </c>
      <c r="AX74" s="176">
        <v>24.555</v>
      </c>
      <c r="AY74" s="173">
        <v>24.580000000000002</v>
      </c>
      <c r="AZ74" s="142">
        <v>24.585000000000001</v>
      </c>
      <c r="BA74" s="142">
        <f t="shared" ca="1" si="13"/>
        <v>27</v>
      </c>
      <c r="BB74" s="142">
        <v>456</v>
      </c>
      <c r="BD74" s="142" t="s">
        <v>123</v>
      </c>
    </row>
    <row r="75" spans="2:56" s="142" customFormat="1" ht="21" customHeight="1" x14ac:dyDescent="0.25">
      <c r="B75" s="173" t="str">
        <f t="shared" si="17"/>
        <v>0-304L/2B-0.30X630</v>
      </c>
      <c r="C75" s="201" t="s">
        <v>5214</v>
      </c>
      <c r="D75" s="173" t="s">
        <v>836</v>
      </c>
      <c r="E75" s="173" t="s">
        <v>3992</v>
      </c>
      <c r="F75" s="201" t="s">
        <v>5216</v>
      </c>
      <c r="G75" s="173" t="s">
        <v>182</v>
      </c>
      <c r="H75" s="173" t="s">
        <v>114</v>
      </c>
      <c r="I75" s="174">
        <v>0.57999999999999996</v>
      </c>
      <c r="J75" s="174">
        <v>0.3</v>
      </c>
      <c r="K75" s="174"/>
      <c r="L75" s="174"/>
      <c r="M75" s="380">
        <v>630</v>
      </c>
      <c r="N75" s="349">
        <v>10.545</v>
      </c>
      <c r="O75" s="381">
        <v>1.9950000000000001</v>
      </c>
      <c r="P75" s="382"/>
      <c r="Q75" s="176">
        <v>0.02</v>
      </c>
      <c r="R75" s="176"/>
      <c r="S75" s="176"/>
      <c r="T75" s="383"/>
      <c r="U75" s="380">
        <v>615</v>
      </c>
      <c r="V75" s="371" t="s">
        <v>114</v>
      </c>
      <c r="W75" s="209"/>
      <c r="X75" s="178" t="s">
        <v>1344</v>
      </c>
      <c r="Y75" s="385"/>
      <c r="Z75" s="385" t="s">
        <v>230</v>
      </c>
      <c r="AA75" s="177" t="s">
        <v>3994</v>
      </c>
      <c r="AB75" s="177"/>
      <c r="AC75" s="177">
        <v>44936</v>
      </c>
      <c r="AD75" s="177">
        <v>44923</v>
      </c>
      <c r="AE75" s="177" t="s">
        <v>4694</v>
      </c>
      <c r="AF75" s="177"/>
      <c r="AG75" s="177" t="s">
        <v>5217</v>
      </c>
      <c r="AH75" s="177"/>
      <c r="AI75" s="180"/>
      <c r="AJ75" s="173"/>
      <c r="AK75" s="173" t="s">
        <v>2479</v>
      </c>
      <c r="AL75" s="181" t="s">
        <v>69</v>
      </c>
      <c r="AM75" s="181" t="s">
        <v>142</v>
      </c>
      <c r="AN75" s="181" t="s">
        <v>1594</v>
      </c>
      <c r="AO75" s="181"/>
      <c r="AP75" s="181">
        <v>44849</v>
      </c>
      <c r="AQ75" s="173"/>
      <c r="AR75" s="181">
        <f t="shared" ca="1" si="7"/>
        <v>44958</v>
      </c>
      <c r="AS75" s="176">
        <f t="shared" ca="1" si="18"/>
        <v>109</v>
      </c>
      <c r="AT75" s="176">
        <f t="shared" ca="1" si="19"/>
        <v>19</v>
      </c>
      <c r="AU75" s="176"/>
      <c r="AV75" s="176" t="s">
        <v>3995</v>
      </c>
      <c r="AW75" s="176">
        <v>10.705</v>
      </c>
      <c r="AX75" s="176">
        <v>10.715</v>
      </c>
      <c r="AY75" s="173">
        <v>10.739999999999998</v>
      </c>
      <c r="AZ75" s="142">
        <v>10.744999999999999</v>
      </c>
      <c r="BA75" s="142">
        <f t="shared" ca="1" si="13"/>
        <v>22</v>
      </c>
      <c r="BB75" s="142">
        <v>456</v>
      </c>
      <c r="BD75" s="142" t="s">
        <v>123</v>
      </c>
    </row>
    <row r="76" spans="2:56" s="142" customFormat="1" ht="21" customHeight="1" x14ac:dyDescent="0.25">
      <c r="B76" s="173" t="str">
        <f t="shared" si="17"/>
        <v>0-304L/2B-0.30X630</v>
      </c>
      <c r="C76" s="201" t="s">
        <v>5211</v>
      </c>
      <c r="D76" s="173" t="s">
        <v>4432</v>
      </c>
      <c r="E76" s="173" t="s">
        <v>3992</v>
      </c>
      <c r="F76" s="201" t="s">
        <v>5218</v>
      </c>
      <c r="G76" s="173" t="s">
        <v>182</v>
      </c>
      <c r="H76" s="173" t="s">
        <v>114</v>
      </c>
      <c r="I76" s="174">
        <v>0.57999999999999996</v>
      </c>
      <c r="J76" s="174">
        <v>0.3</v>
      </c>
      <c r="K76" s="174"/>
      <c r="L76" s="174"/>
      <c r="M76" s="380">
        <v>630</v>
      </c>
      <c r="N76" s="370"/>
      <c r="O76" s="381">
        <f>4.06+3.895</f>
        <v>7.9550000000000001</v>
      </c>
      <c r="P76" s="382"/>
      <c r="Q76" s="176"/>
      <c r="R76" s="176"/>
      <c r="S76" s="176"/>
      <c r="T76" s="383"/>
      <c r="U76" s="380">
        <v>615</v>
      </c>
      <c r="V76" s="371" t="s">
        <v>114</v>
      </c>
      <c r="W76" s="384" t="s">
        <v>4624</v>
      </c>
      <c r="X76" s="178" t="s">
        <v>1344</v>
      </c>
      <c r="Y76" s="385"/>
      <c r="Z76" s="385" t="s">
        <v>230</v>
      </c>
      <c r="AA76" s="177" t="s">
        <v>3994</v>
      </c>
      <c r="AB76" s="177"/>
      <c r="AC76" s="177">
        <v>44936</v>
      </c>
      <c r="AD76" s="177">
        <v>44923</v>
      </c>
      <c r="AE76" s="177" t="s">
        <v>4694</v>
      </c>
      <c r="AF76" s="177"/>
      <c r="AG76" s="177" t="s">
        <v>3969</v>
      </c>
      <c r="AH76" s="177"/>
      <c r="AI76" s="180"/>
      <c r="AJ76" s="173"/>
      <c r="AK76" s="173" t="s">
        <v>2479</v>
      </c>
      <c r="AL76" s="181" t="s">
        <v>69</v>
      </c>
      <c r="AM76" s="181" t="s">
        <v>142</v>
      </c>
      <c r="AN76" s="181" t="s">
        <v>1594</v>
      </c>
      <c r="AO76" s="181"/>
      <c r="AP76" s="181">
        <v>44849</v>
      </c>
      <c r="AQ76" s="173"/>
      <c r="AR76" s="181">
        <f t="shared" ca="1" si="7"/>
        <v>44958</v>
      </c>
      <c r="AS76" s="176">
        <f t="shared" ca="1" si="18"/>
        <v>109</v>
      </c>
      <c r="AT76" s="176">
        <f t="shared" ca="1" si="19"/>
        <v>19</v>
      </c>
      <c r="AU76" s="176"/>
      <c r="AV76" s="176" t="s">
        <v>3995</v>
      </c>
      <c r="AW76" s="176">
        <v>10.705</v>
      </c>
      <c r="AX76" s="176">
        <v>10.715</v>
      </c>
      <c r="AY76" s="173">
        <v>10.739999999999998</v>
      </c>
      <c r="AZ76" s="142">
        <v>10.744999999999999</v>
      </c>
      <c r="BA76" s="142">
        <f t="shared" ca="1" si="13"/>
        <v>22</v>
      </c>
      <c r="BB76" s="142">
        <v>456</v>
      </c>
      <c r="BD76" s="142" t="s">
        <v>123</v>
      </c>
    </row>
    <row r="77" spans="2:56" s="142" customFormat="1" ht="21" customHeight="1" x14ac:dyDescent="0.25">
      <c r="B77" s="173" t="str">
        <f t="shared" si="17"/>
        <v>0-304L/2B-0.30X630</v>
      </c>
      <c r="C77" s="201" t="s">
        <v>5219</v>
      </c>
      <c r="D77" s="173" t="s">
        <v>5026</v>
      </c>
      <c r="E77" s="173" t="s">
        <v>3992</v>
      </c>
      <c r="F77" s="201" t="s">
        <v>5220</v>
      </c>
      <c r="G77" s="173" t="s">
        <v>182</v>
      </c>
      <c r="H77" s="173" t="s">
        <v>114</v>
      </c>
      <c r="I77" s="174">
        <v>0.57999999999999996</v>
      </c>
      <c r="J77" s="174">
        <v>0.3</v>
      </c>
      <c r="K77" s="174"/>
      <c r="L77" s="174"/>
      <c r="M77" s="380">
        <v>630</v>
      </c>
      <c r="N77" s="350"/>
      <c r="O77" s="381">
        <v>0.35499999999999998</v>
      </c>
      <c r="P77" s="382"/>
      <c r="Q77" s="176"/>
      <c r="R77" s="176"/>
      <c r="S77" s="176"/>
      <c r="T77" s="383"/>
      <c r="U77" s="380">
        <v>615</v>
      </c>
      <c r="V77" s="371" t="s">
        <v>114</v>
      </c>
      <c r="W77" s="209"/>
      <c r="X77" s="178" t="s">
        <v>390</v>
      </c>
      <c r="Y77" s="385"/>
      <c r="Z77" s="385" t="s">
        <v>230</v>
      </c>
      <c r="AA77" s="177" t="s">
        <v>3994</v>
      </c>
      <c r="AB77" s="177"/>
      <c r="AC77" s="177">
        <v>44936</v>
      </c>
      <c r="AD77" s="177">
        <v>44923</v>
      </c>
      <c r="AE77" s="177" t="s">
        <v>4694</v>
      </c>
      <c r="AF77" s="177"/>
      <c r="AG77" s="177" t="s">
        <v>3969</v>
      </c>
      <c r="AH77" s="177"/>
      <c r="AI77" s="180"/>
      <c r="AJ77" s="173"/>
      <c r="AK77" s="173" t="s">
        <v>2479</v>
      </c>
      <c r="AL77" s="181" t="s">
        <v>69</v>
      </c>
      <c r="AM77" s="181" t="s">
        <v>142</v>
      </c>
      <c r="AN77" s="181" t="s">
        <v>1594</v>
      </c>
      <c r="AO77" s="181"/>
      <c r="AP77" s="181">
        <v>44849</v>
      </c>
      <c r="AQ77" s="173"/>
      <c r="AR77" s="181">
        <f t="shared" ca="1" si="7"/>
        <v>44958</v>
      </c>
      <c r="AS77" s="176">
        <f t="shared" ca="1" si="18"/>
        <v>109</v>
      </c>
      <c r="AT77" s="176">
        <f t="shared" ca="1" si="19"/>
        <v>19</v>
      </c>
      <c r="AU77" s="176"/>
      <c r="AV77" s="176" t="s">
        <v>3995</v>
      </c>
      <c r="AW77" s="176">
        <v>10.705</v>
      </c>
      <c r="AX77" s="176">
        <v>10.715</v>
      </c>
      <c r="AY77" s="173">
        <v>10.739999999999998</v>
      </c>
      <c r="AZ77" s="142">
        <v>10.744999999999999</v>
      </c>
      <c r="BA77" s="142">
        <f t="shared" ca="1" si="13"/>
        <v>22</v>
      </c>
      <c r="BB77" s="142">
        <v>456</v>
      </c>
      <c r="BD77" s="142" t="s">
        <v>123</v>
      </c>
    </row>
    <row r="78" spans="2:56" s="142" customFormat="1" ht="21" customHeight="1" x14ac:dyDescent="0.25">
      <c r="B78" s="173" t="str">
        <f t="shared" si="17"/>
        <v>0-304/2B-0.40X641</v>
      </c>
      <c r="C78" s="201" t="s">
        <v>5221</v>
      </c>
      <c r="D78" s="173" t="s">
        <v>4432</v>
      </c>
      <c r="E78" s="173" t="s">
        <v>3943</v>
      </c>
      <c r="F78" s="201" t="s">
        <v>5215</v>
      </c>
      <c r="G78" s="173">
        <v>304</v>
      </c>
      <c r="H78" s="173" t="s">
        <v>114</v>
      </c>
      <c r="I78" s="174">
        <v>2.48</v>
      </c>
      <c r="J78" s="174">
        <v>0.4</v>
      </c>
      <c r="K78" s="174">
        <v>0.4</v>
      </c>
      <c r="L78" s="174">
        <v>0.42</v>
      </c>
      <c r="M78" s="380">
        <v>641</v>
      </c>
      <c r="N78" s="176">
        <f>10.135-5.95</f>
        <v>4.1849999999999996</v>
      </c>
      <c r="O78" s="381">
        <v>3.75</v>
      </c>
      <c r="P78" s="382"/>
      <c r="Q78" s="176"/>
      <c r="R78" s="176"/>
      <c r="S78" s="176"/>
      <c r="T78" s="383"/>
      <c r="U78" s="380">
        <v>615</v>
      </c>
      <c r="V78" s="371" t="s">
        <v>114</v>
      </c>
      <c r="W78" s="384" t="s">
        <v>4624</v>
      </c>
      <c r="X78" s="178" t="s">
        <v>1344</v>
      </c>
      <c r="Y78" s="385"/>
      <c r="Z78" s="385" t="s">
        <v>4686</v>
      </c>
      <c r="AA78" s="177">
        <v>44932</v>
      </c>
      <c r="AB78" s="177"/>
      <c r="AC78" s="177">
        <v>44933</v>
      </c>
      <c r="AD78" s="177"/>
      <c r="AE78" s="177">
        <v>44938</v>
      </c>
      <c r="AF78" s="177"/>
      <c r="AG78" s="177">
        <v>44939</v>
      </c>
      <c r="AH78" s="177"/>
      <c r="AI78" s="180"/>
      <c r="AJ78" s="173"/>
      <c r="AK78" s="173" t="s">
        <v>2479</v>
      </c>
      <c r="AL78" s="181" t="s">
        <v>69</v>
      </c>
      <c r="AM78" s="181" t="s">
        <v>142</v>
      </c>
      <c r="AN78" s="181" t="s">
        <v>1594</v>
      </c>
      <c r="AO78" s="181"/>
      <c r="AP78" s="181">
        <v>44849</v>
      </c>
      <c r="AQ78" s="173"/>
      <c r="AR78" s="181">
        <f t="shared" ca="1" si="7"/>
        <v>44958</v>
      </c>
      <c r="AS78" s="176">
        <f t="shared" ca="1" si="18"/>
        <v>109</v>
      </c>
      <c r="AT78" s="176">
        <f t="shared" ca="1" si="19"/>
        <v>20</v>
      </c>
      <c r="AU78" s="176"/>
      <c r="AV78" s="176" t="s">
        <v>3935</v>
      </c>
      <c r="AW78" s="176">
        <v>10.135</v>
      </c>
      <c r="AX78" s="176">
        <v>10.145</v>
      </c>
      <c r="AY78" s="173">
        <v>10.169999999999998</v>
      </c>
      <c r="AZ78" s="142">
        <v>10.174999999999999</v>
      </c>
      <c r="BA78" s="142">
        <f t="shared" ca="1" si="13"/>
        <v>25</v>
      </c>
      <c r="BB78" s="142">
        <v>456</v>
      </c>
      <c r="BD78" s="142" t="s">
        <v>123</v>
      </c>
    </row>
    <row r="79" spans="2:56" s="142" customFormat="1" ht="21" customHeight="1" x14ac:dyDescent="0.25">
      <c r="B79" s="173" t="str">
        <f t="shared" si="17"/>
        <v>0-304/2B-0.40X642</v>
      </c>
      <c r="C79" s="201" t="s">
        <v>5211</v>
      </c>
      <c r="D79" s="173" t="s">
        <v>4432</v>
      </c>
      <c r="E79" s="173" t="s">
        <v>1621</v>
      </c>
      <c r="F79" s="201" t="s">
        <v>5222</v>
      </c>
      <c r="G79" s="173">
        <v>304</v>
      </c>
      <c r="H79" s="173" t="s">
        <v>114</v>
      </c>
      <c r="I79" s="174">
        <v>2.4900000000000002</v>
      </c>
      <c r="J79" s="174">
        <v>0.4</v>
      </c>
      <c r="K79" s="174">
        <v>0.41</v>
      </c>
      <c r="L79" s="174">
        <v>0.42</v>
      </c>
      <c r="M79" s="380">
        <v>642</v>
      </c>
      <c r="N79" s="176">
        <v>7.9450000000000003</v>
      </c>
      <c r="O79" s="381">
        <f>4.085+3.49</f>
        <v>7.5750000000000002</v>
      </c>
      <c r="P79" s="382"/>
      <c r="Q79" s="176"/>
      <c r="R79" s="176"/>
      <c r="S79" s="176"/>
      <c r="T79" s="383"/>
      <c r="U79" s="380">
        <v>615</v>
      </c>
      <c r="V79" s="371" t="s">
        <v>114</v>
      </c>
      <c r="W79" s="384" t="s">
        <v>4624</v>
      </c>
      <c r="X79" s="178" t="s">
        <v>1344</v>
      </c>
      <c r="Y79" s="385"/>
      <c r="Z79" s="385"/>
      <c r="AA79" s="177">
        <v>44933</v>
      </c>
      <c r="AB79" s="177"/>
      <c r="AC79" s="177">
        <v>44934</v>
      </c>
      <c r="AD79" s="177"/>
      <c r="AE79" s="177">
        <v>44938</v>
      </c>
      <c r="AF79" s="177"/>
      <c r="AG79" s="177"/>
      <c r="AH79" s="177"/>
      <c r="AI79" s="180"/>
      <c r="AJ79" s="173"/>
      <c r="AK79" s="173" t="s">
        <v>1619</v>
      </c>
      <c r="AL79" s="181" t="s">
        <v>69</v>
      </c>
      <c r="AM79" s="181" t="s">
        <v>142</v>
      </c>
      <c r="AN79" s="181" t="s">
        <v>1594</v>
      </c>
      <c r="AO79" s="181"/>
      <c r="AP79" s="181">
        <v>44849</v>
      </c>
      <c r="AQ79" s="173"/>
      <c r="AR79" s="181">
        <f t="shared" ca="1" si="7"/>
        <v>44958</v>
      </c>
      <c r="AS79" s="176">
        <f t="shared" ca="1" si="18"/>
        <v>109</v>
      </c>
      <c r="AT79" s="176">
        <f t="shared" ca="1" si="19"/>
        <v>20</v>
      </c>
      <c r="AU79" s="176"/>
      <c r="AV79" s="176" t="s">
        <v>1620</v>
      </c>
      <c r="AW79" s="176">
        <v>10.68</v>
      </c>
      <c r="AX79" s="176">
        <v>10.69</v>
      </c>
      <c r="AY79" s="173">
        <v>10.714999999999998</v>
      </c>
      <c r="AZ79" s="142">
        <v>10.719999999999999</v>
      </c>
      <c r="BA79" s="142">
        <f t="shared" ca="1" si="13"/>
        <v>24</v>
      </c>
      <c r="BB79" s="142">
        <v>456</v>
      </c>
      <c r="BD79" s="142" t="s">
        <v>123</v>
      </c>
    </row>
    <row r="80" spans="2:56" s="142" customFormat="1" ht="21" customHeight="1" x14ac:dyDescent="0.25">
      <c r="B80" s="173" t="str">
        <f t="shared" si="17"/>
        <v>0-304L/2B-0.30X630</v>
      </c>
      <c r="C80" s="201" t="s">
        <v>5221</v>
      </c>
      <c r="D80" s="173" t="s">
        <v>4432</v>
      </c>
      <c r="E80" s="173" t="s">
        <v>3992</v>
      </c>
      <c r="F80" s="201" t="s">
        <v>5216</v>
      </c>
      <c r="G80" s="173" t="s">
        <v>182</v>
      </c>
      <c r="H80" s="173" t="s">
        <v>114</v>
      </c>
      <c r="I80" s="174">
        <v>0.57999999999999996</v>
      </c>
      <c r="J80" s="174">
        <v>0.3</v>
      </c>
      <c r="K80" s="174"/>
      <c r="L80" s="174"/>
      <c r="M80" s="380">
        <v>630</v>
      </c>
      <c r="N80" s="176">
        <v>1.9950000000000001</v>
      </c>
      <c r="O80" s="381">
        <v>1.91</v>
      </c>
      <c r="P80" s="382"/>
      <c r="Q80" s="176">
        <v>4.4999999999999998E-2</v>
      </c>
      <c r="R80" s="176"/>
      <c r="S80" s="176"/>
      <c r="T80" s="383"/>
      <c r="U80" s="380">
        <v>615</v>
      </c>
      <c r="V80" s="371" t="s">
        <v>114</v>
      </c>
      <c r="W80" s="384" t="s">
        <v>4624</v>
      </c>
      <c r="X80" s="178" t="s">
        <v>1344</v>
      </c>
      <c r="Y80" s="385"/>
      <c r="Z80" s="385" t="s">
        <v>230</v>
      </c>
      <c r="AA80" s="177" t="s">
        <v>3994</v>
      </c>
      <c r="AB80" s="177"/>
      <c r="AC80" s="177">
        <v>44936</v>
      </c>
      <c r="AD80" s="177">
        <v>44923</v>
      </c>
      <c r="AE80" s="177" t="s">
        <v>4694</v>
      </c>
      <c r="AF80" s="177"/>
      <c r="AG80" s="177" t="s">
        <v>5217</v>
      </c>
      <c r="AH80" s="177"/>
      <c r="AI80" s="180"/>
      <c r="AJ80" s="173"/>
      <c r="AK80" s="173" t="s">
        <v>2479</v>
      </c>
      <c r="AL80" s="181" t="s">
        <v>69</v>
      </c>
      <c r="AM80" s="181" t="s">
        <v>142</v>
      </c>
      <c r="AN80" s="181" t="s">
        <v>1594</v>
      </c>
      <c r="AO80" s="181"/>
      <c r="AP80" s="181">
        <v>44849</v>
      </c>
      <c r="AQ80" s="173"/>
      <c r="AR80" s="181">
        <f t="shared" ca="1" si="7"/>
        <v>44958</v>
      </c>
      <c r="AS80" s="176">
        <f t="shared" ca="1" si="18"/>
        <v>109</v>
      </c>
      <c r="AT80" s="176">
        <f t="shared" ca="1" si="19"/>
        <v>19</v>
      </c>
      <c r="AU80" s="176"/>
      <c r="AV80" s="176" t="s">
        <v>3995</v>
      </c>
      <c r="AW80" s="176">
        <v>10.705</v>
      </c>
      <c r="AX80" s="176">
        <v>10.715</v>
      </c>
      <c r="AY80" s="173">
        <v>10.739999999999998</v>
      </c>
      <c r="AZ80" s="142">
        <v>10.744999999999999</v>
      </c>
      <c r="BA80" s="142">
        <f t="shared" ca="1" si="13"/>
        <v>22</v>
      </c>
      <c r="BB80" s="142">
        <v>456</v>
      </c>
      <c r="BD80" s="142" t="s">
        <v>123</v>
      </c>
    </row>
    <row r="81" spans="2:56" s="142" customFormat="1" ht="21" customHeight="1" x14ac:dyDescent="0.25">
      <c r="B81" s="173" t="str">
        <f t="shared" si="17"/>
        <v>0-304L/2B-0.60X643</v>
      </c>
      <c r="C81" s="201" t="s">
        <v>5223</v>
      </c>
      <c r="D81" s="173" t="s">
        <v>1237</v>
      </c>
      <c r="E81" s="173" t="s">
        <v>4142</v>
      </c>
      <c r="F81" s="201" t="s">
        <v>4143</v>
      </c>
      <c r="G81" s="173" t="s">
        <v>182</v>
      </c>
      <c r="H81" s="173" t="s">
        <v>114</v>
      </c>
      <c r="I81" s="174">
        <v>2.79</v>
      </c>
      <c r="J81" s="174">
        <v>0.6</v>
      </c>
      <c r="K81" s="174"/>
      <c r="L81" s="174"/>
      <c r="M81" s="380">
        <v>643</v>
      </c>
      <c r="N81" s="176">
        <v>10.69</v>
      </c>
      <c r="O81" s="381">
        <v>10.595000000000001</v>
      </c>
      <c r="P81" s="382"/>
      <c r="Q81" s="176"/>
      <c r="R81" s="176"/>
      <c r="S81" s="176"/>
      <c r="T81" s="383"/>
      <c r="U81" s="380">
        <v>631</v>
      </c>
      <c r="V81" s="371" t="s">
        <v>114</v>
      </c>
      <c r="W81" s="384"/>
      <c r="X81" s="178" t="s">
        <v>1344</v>
      </c>
      <c r="Y81" s="385"/>
      <c r="Z81" s="385" t="s">
        <v>230</v>
      </c>
      <c r="AA81" s="177">
        <v>44917</v>
      </c>
      <c r="AB81" s="177"/>
      <c r="AC81" s="177">
        <v>44918</v>
      </c>
      <c r="AD81" s="177"/>
      <c r="AE81" s="177">
        <v>44939</v>
      </c>
      <c r="AF81" s="177"/>
      <c r="AG81" s="177">
        <v>44939</v>
      </c>
      <c r="AH81" s="177"/>
      <c r="AI81" s="180"/>
      <c r="AJ81" s="173"/>
      <c r="AK81" s="173" t="s">
        <v>1619</v>
      </c>
      <c r="AL81" s="181" t="s">
        <v>69</v>
      </c>
      <c r="AM81" s="181" t="s">
        <v>142</v>
      </c>
      <c r="AN81" s="181" t="s">
        <v>1657</v>
      </c>
      <c r="AO81" s="181"/>
      <c r="AP81" s="181">
        <v>44849</v>
      </c>
      <c r="AQ81" s="173"/>
      <c r="AR81" s="181">
        <f t="shared" ca="1" si="7"/>
        <v>44958</v>
      </c>
      <c r="AS81" s="176">
        <f t="shared" ca="1" si="18"/>
        <v>109</v>
      </c>
      <c r="AT81" s="176">
        <f t="shared" ca="1" si="19"/>
        <v>19</v>
      </c>
      <c r="AU81" s="176"/>
      <c r="AV81" s="176" t="s">
        <v>1689</v>
      </c>
      <c r="AW81" s="176">
        <v>10.695</v>
      </c>
      <c r="AX81" s="176">
        <v>10.705</v>
      </c>
      <c r="AY81" s="173">
        <v>10.729999999999999</v>
      </c>
      <c r="AZ81" s="142">
        <v>10.734999999999999</v>
      </c>
      <c r="BA81" s="142">
        <f t="shared" ca="1" si="13"/>
        <v>40</v>
      </c>
      <c r="BB81" s="142">
        <v>456</v>
      </c>
      <c r="BD81" s="142" t="s">
        <v>123</v>
      </c>
    </row>
    <row r="82" spans="2:56" s="142" customFormat="1" ht="21" customHeight="1" x14ac:dyDescent="0.25">
      <c r="B82" s="173" t="str">
        <f t="shared" si="17"/>
        <v>0-304L/FH-1.20X768</v>
      </c>
      <c r="C82" s="201" t="s">
        <v>5224</v>
      </c>
      <c r="D82" s="173" t="s">
        <v>16</v>
      </c>
      <c r="E82" s="173" t="s">
        <v>1561</v>
      </c>
      <c r="F82" s="201" t="s">
        <v>1564</v>
      </c>
      <c r="G82" s="173" t="s">
        <v>182</v>
      </c>
      <c r="H82" s="173" t="s">
        <v>70</v>
      </c>
      <c r="I82" s="174">
        <v>3.78</v>
      </c>
      <c r="J82" s="174">
        <v>1.2</v>
      </c>
      <c r="K82" s="174"/>
      <c r="L82" s="174"/>
      <c r="M82" s="380">
        <v>768</v>
      </c>
      <c r="N82" s="176">
        <v>12.28</v>
      </c>
      <c r="O82" s="381">
        <v>12.28</v>
      </c>
      <c r="P82" s="382"/>
      <c r="Q82" s="176"/>
      <c r="R82" s="176"/>
      <c r="S82" s="176"/>
      <c r="T82" s="383"/>
      <c r="U82" s="380">
        <v>768</v>
      </c>
      <c r="V82" s="371" t="s">
        <v>114</v>
      </c>
      <c r="W82" s="384"/>
      <c r="X82" s="178" t="s">
        <v>986</v>
      </c>
      <c r="Y82" s="385" t="s">
        <v>5129</v>
      </c>
      <c r="Z82" s="385"/>
      <c r="AA82" s="177">
        <v>44938</v>
      </c>
      <c r="AB82" s="177"/>
      <c r="AC82" s="177"/>
      <c r="AD82" s="177">
        <v>44938</v>
      </c>
      <c r="AE82" s="177">
        <v>44940</v>
      </c>
      <c r="AF82" s="177"/>
      <c r="AG82" s="177"/>
      <c r="AH82" s="177">
        <v>44932</v>
      </c>
      <c r="AI82" s="180"/>
      <c r="AJ82" s="173"/>
      <c r="AK82" s="173" t="s">
        <v>1507</v>
      </c>
      <c r="AL82" s="181" t="s">
        <v>69</v>
      </c>
      <c r="AM82" s="181" t="s">
        <v>142</v>
      </c>
      <c r="AN82" s="181" t="s">
        <v>1508</v>
      </c>
      <c r="AO82" s="181"/>
      <c r="AP82" s="181">
        <v>44849</v>
      </c>
      <c r="AQ82" s="173"/>
      <c r="AR82" s="181">
        <f t="shared" ca="1" si="7"/>
        <v>44958</v>
      </c>
      <c r="AS82" s="176">
        <f t="shared" ca="1" si="18"/>
        <v>109</v>
      </c>
      <c r="AT82" s="176">
        <f t="shared" ca="1" si="19"/>
        <v>18</v>
      </c>
      <c r="AU82" s="176"/>
      <c r="AV82" s="176" t="s">
        <v>1563</v>
      </c>
      <c r="AW82" s="176">
        <v>24.54</v>
      </c>
      <c r="AX82" s="176">
        <v>24.6</v>
      </c>
      <c r="AY82" s="173">
        <v>24.625000000000004</v>
      </c>
      <c r="AZ82" s="142">
        <v>24.630000000000003</v>
      </c>
      <c r="BA82" s="142" t="str">
        <f t="shared" si="13"/>
        <v/>
      </c>
      <c r="BB82" s="142">
        <v>456</v>
      </c>
      <c r="BD82" s="142" t="s">
        <v>123</v>
      </c>
    </row>
    <row r="83" spans="2:56" s="142" customFormat="1" ht="21" customHeight="1" x14ac:dyDescent="0.25">
      <c r="B83" s="173" t="str">
        <f t="shared" si="17"/>
        <v>0-304/FH-0.60X642</v>
      </c>
      <c r="C83" s="201" t="s">
        <v>5224</v>
      </c>
      <c r="D83" s="173" t="s">
        <v>16</v>
      </c>
      <c r="E83" s="173" t="s">
        <v>4155</v>
      </c>
      <c r="F83" s="201" t="s">
        <v>4156</v>
      </c>
      <c r="G83" s="173">
        <v>304</v>
      </c>
      <c r="H83" s="173" t="s">
        <v>70</v>
      </c>
      <c r="I83" s="174">
        <v>2.75</v>
      </c>
      <c r="J83" s="174">
        <v>0.6</v>
      </c>
      <c r="K83" s="174"/>
      <c r="L83" s="174"/>
      <c r="M83" s="380">
        <v>642</v>
      </c>
      <c r="N83" s="176">
        <v>4.1449999999999996</v>
      </c>
      <c r="O83" s="381">
        <v>4.1449999999999996</v>
      </c>
      <c r="P83" s="382"/>
      <c r="Q83" s="176"/>
      <c r="R83" s="176"/>
      <c r="S83" s="176"/>
      <c r="T83" s="383"/>
      <c r="U83" s="380">
        <v>642</v>
      </c>
      <c r="V83" s="371" t="s">
        <v>114</v>
      </c>
      <c r="W83" s="384"/>
      <c r="X83" s="178" t="s">
        <v>1344</v>
      </c>
      <c r="Y83" s="385" t="s">
        <v>5225</v>
      </c>
      <c r="Z83" s="385" t="s">
        <v>230</v>
      </c>
      <c r="AA83" s="177">
        <v>44916</v>
      </c>
      <c r="AB83" s="177"/>
      <c r="AC83" s="177"/>
      <c r="AD83" s="177">
        <v>44917</v>
      </c>
      <c r="AE83" s="177"/>
      <c r="AF83" s="177"/>
      <c r="AG83" s="177">
        <v>44940</v>
      </c>
      <c r="AH83" s="177"/>
      <c r="AI83" s="180"/>
      <c r="AJ83" s="173"/>
      <c r="AK83" s="173" t="s">
        <v>1619</v>
      </c>
      <c r="AL83" s="181" t="s">
        <v>69</v>
      </c>
      <c r="AM83" s="181" t="s">
        <v>142</v>
      </c>
      <c r="AN83" s="181" t="s">
        <v>1657</v>
      </c>
      <c r="AO83" s="181"/>
      <c r="AP83" s="181">
        <v>44849</v>
      </c>
      <c r="AQ83" s="173"/>
      <c r="AR83" s="181">
        <f t="shared" ca="1" si="7"/>
        <v>44958</v>
      </c>
      <c r="AS83" s="176">
        <f t="shared" ca="1" si="18"/>
        <v>109</v>
      </c>
      <c r="AT83" s="176" t="str">
        <f t="shared" si="19"/>
        <v/>
      </c>
      <c r="AU83" s="176"/>
      <c r="AV83" s="176" t="s">
        <v>4121</v>
      </c>
      <c r="AW83" s="176">
        <v>10.525</v>
      </c>
      <c r="AX83" s="176">
        <v>10.535</v>
      </c>
      <c r="AY83" s="173">
        <v>10.559999999999999</v>
      </c>
      <c r="AZ83" s="142">
        <v>10.565</v>
      </c>
      <c r="BA83" s="142" t="str">
        <f t="shared" si="13"/>
        <v/>
      </c>
      <c r="BB83" s="142">
        <v>456</v>
      </c>
      <c r="BD83" s="142" t="s">
        <v>123</v>
      </c>
    </row>
    <row r="84" spans="2:56" s="142" customFormat="1" ht="21" customHeight="1" x14ac:dyDescent="0.25">
      <c r="B84" s="173" t="str">
        <f t="shared" si="17"/>
        <v>0-304/FH-0.60X642</v>
      </c>
      <c r="C84" s="201" t="s">
        <v>5224</v>
      </c>
      <c r="D84" s="173" t="s">
        <v>16</v>
      </c>
      <c r="E84" s="173" t="s">
        <v>4155</v>
      </c>
      <c r="F84" s="201" t="s">
        <v>4159</v>
      </c>
      <c r="G84" s="173">
        <v>304</v>
      </c>
      <c r="H84" s="173" t="s">
        <v>70</v>
      </c>
      <c r="I84" s="174">
        <v>2.75</v>
      </c>
      <c r="J84" s="174">
        <v>0.6</v>
      </c>
      <c r="K84" s="174"/>
      <c r="L84" s="174"/>
      <c r="M84" s="380">
        <v>642</v>
      </c>
      <c r="N84" s="176">
        <v>6.3</v>
      </c>
      <c r="O84" s="381">
        <v>6.3</v>
      </c>
      <c r="P84" s="382"/>
      <c r="Q84" s="176"/>
      <c r="R84" s="176"/>
      <c r="S84" s="176"/>
      <c r="T84" s="383"/>
      <c r="U84" s="380">
        <v>642</v>
      </c>
      <c r="V84" s="371" t="s">
        <v>114</v>
      </c>
      <c r="W84" s="384"/>
      <c r="X84" s="178" t="s">
        <v>1344</v>
      </c>
      <c r="Y84" s="385" t="s">
        <v>5225</v>
      </c>
      <c r="Z84" s="385" t="s">
        <v>230</v>
      </c>
      <c r="AA84" s="177">
        <v>44916</v>
      </c>
      <c r="AB84" s="177"/>
      <c r="AC84" s="177"/>
      <c r="AD84" s="177">
        <v>44917</v>
      </c>
      <c r="AE84" s="177"/>
      <c r="AF84" s="177"/>
      <c r="AG84" s="177">
        <v>44940</v>
      </c>
      <c r="AH84" s="177"/>
      <c r="AI84" s="180"/>
      <c r="AJ84" s="173"/>
      <c r="AK84" s="173" t="s">
        <v>1619</v>
      </c>
      <c r="AL84" s="181" t="s">
        <v>69</v>
      </c>
      <c r="AM84" s="181" t="s">
        <v>142</v>
      </c>
      <c r="AN84" s="181" t="s">
        <v>1657</v>
      </c>
      <c r="AO84" s="181"/>
      <c r="AP84" s="181">
        <v>44849</v>
      </c>
      <c r="AQ84" s="173"/>
      <c r="AR84" s="181">
        <f t="shared" ca="1" si="7"/>
        <v>44958</v>
      </c>
      <c r="AS84" s="176">
        <f t="shared" ca="1" si="18"/>
        <v>109</v>
      </c>
      <c r="AT84" s="176" t="str">
        <f t="shared" si="19"/>
        <v/>
      </c>
      <c r="AU84" s="176"/>
      <c r="AV84" s="176" t="s">
        <v>4121</v>
      </c>
      <c r="AW84" s="176">
        <v>10.525</v>
      </c>
      <c r="AX84" s="176">
        <v>10.535</v>
      </c>
      <c r="AY84" s="173">
        <v>10.559999999999999</v>
      </c>
      <c r="AZ84" s="142">
        <v>10.565</v>
      </c>
      <c r="BA84" s="142" t="str">
        <f t="shared" si="13"/>
        <v/>
      </c>
      <c r="BB84" s="142">
        <v>456</v>
      </c>
      <c r="BD84" s="142" t="s">
        <v>123</v>
      </c>
    </row>
    <row r="85" spans="2:56" s="142" customFormat="1" ht="21" customHeight="1" x14ac:dyDescent="0.25">
      <c r="B85" s="173" t="str">
        <f t="shared" si="17"/>
        <v>0-304L/FH-1.20X768</v>
      </c>
      <c r="C85" s="201" t="s">
        <v>5224</v>
      </c>
      <c r="D85" s="173" t="s">
        <v>16</v>
      </c>
      <c r="E85" s="173" t="s">
        <v>1558</v>
      </c>
      <c r="F85" s="201" t="s">
        <v>4093</v>
      </c>
      <c r="G85" s="173" t="s">
        <v>182</v>
      </c>
      <c r="H85" s="173" t="s">
        <v>70</v>
      </c>
      <c r="I85" s="174">
        <v>3.78</v>
      </c>
      <c r="J85" s="174">
        <v>1.2</v>
      </c>
      <c r="K85" s="174"/>
      <c r="L85" s="174"/>
      <c r="M85" s="380">
        <v>768</v>
      </c>
      <c r="N85" s="176">
        <v>12.29</v>
      </c>
      <c r="O85" s="381">
        <v>12.29</v>
      </c>
      <c r="P85" s="382"/>
      <c r="Q85" s="176"/>
      <c r="R85" s="176"/>
      <c r="S85" s="176"/>
      <c r="T85" s="383"/>
      <c r="U85" s="380">
        <v>768</v>
      </c>
      <c r="V85" s="371" t="s">
        <v>114</v>
      </c>
      <c r="W85" s="384"/>
      <c r="X85" s="178" t="s">
        <v>4374</v>
      </c>
      <c r="Y85" s="385" t="s">
        <v>5160</v>
      </c>
      <c r="Z85" s="385"/>
      <c r="AA85" s="177">
        <v>44940</v>
      </c>
      <c r="AB85" s="177"/>
      <c r="AC85" s="177">
        <v>44940</v>
      </c>
      <c r="AD85" s="177"/>
      <c r="AE85" s="177"/>
      <c r="AF85" s="177"/>
      <c r="AG85" s="177">
        <v>44940</v>
      </c>
      <c r="AH85" s="177">
        <v>44934</v>
      </c>
      <c r="AI85" s="180"/>
      <c r="AJ85" s="173"/>
      <c r="AK85" s="173" t="s">
        <v>1507</v>
      </c>
      <c r="AL85" s="181" t="s">
        <v>69</v>
      </c>
      <c r="AM85" s="181" t="s">
        <v>142</v>
      </c>
      <c r="AN85" s="181" t="s">
        <v>1508</v>
      </c>
      <c r="AO85" s="181"/>
      <c r="AP85" s="181">
        <v>44849</v>
      </c>
      <c r="AQ85" s="173"/>
      <c r="AR85" s="181">
        <f t="shared" ca="1" si="7"/>
        <v>44958</v>
      </c>
      <c r="AS85" s="176">
        <f t="shared" ca="1" si="18"/>
        <v>109</v>
      </c>
      <c r="AT85" s="176" t="str">
        <f t="shared" si="19"/>
        <v/>
      </c>
      <c r="AU85" s="176"/>
      <c r="AV85" s="176" t="s">
        <v>1560</v>
      </c>
      <c r="AW85" s="176">
        <v>24.535</v>
      </c>
      <c r="AX85" s="176">
        <v>24.594999999999999</v>
      </c>
      <c r="AY85" s="173">
        <v>24.62</v>
      </c>
      <c r="AZ85" s="142">
        <v>24.625</v>
      </c>
      <c r="BA85" s="142">
        <f t="shared" ca="1" si="13"/>
        <v>18</v>
      </c>
      <c r="BB85" s="142">
        <v>456</v>
      </c>
      <c r="BD85" s="142" t="s">
        <v>123</v>
      </c>
    </row>
    <row r="86" spans="2:56" s="142" customFormat="1" ht="21" customHeight="1" x14ac:dyDescent="0.25">
      <c r="B86" s="173" t="str">
        <f t="shared" si="17"/>
        <v>0-304L/FH-1.50X767</v>
      </c>
      <c r="C86" s="201" t="s">
        <v>5224</v>
      </c>
      <c r="D86" s="173" t="s">
        <v>16</v>
      </c>
      <c r="E86" s="173" t="s">
        <v>1515</v>
      </c>
      <c r="F86" s="201" t="s">
        <v>1518</v>
      </c>
      <c r="G86" s="173" t="s">
        <v>182</v>
      </c>
      <c r="H86" s="173" t="s">
        <v>70</v>
      </c>
      <c r="I86" s="174">
        <v>3.79</v>
      </c>
      <c r="J86" s="174">
        <v>1.5</v>
      </c>
      <c r="K86" s="174"/>
      <c r="L86" s="174"/>
      <c r="M86" s="380">
        <v>767</v>
      </c>
      <c r="N86" s="176">
        <v>12.12</v>
      </c>
      <c r="O86" s="381">
        <v>12.12</v>
      </c>
      <c r="P86" s="382"/>
      <c r="Q86" s="176"/>
      <c r="R86" s="176"/>
      <c r="S86" s="176"/>
      <c r="T86" s="383"/>
      <c r="U86" s="380">
        <v>767</v>
      </c>
      <c r="V86" s="371" t="s">
        <v>114</v>
      </c>
      <c r="W86" s="384"/>
      <c r="X86" s="178" t="s">
        <v>986</v>
      </c>
      <c r="Y86" s="385" t="s">
        <v>5160</v>
      </c>
      <c r="Z86" s="385"/>
      <c r="AA86" s="177">
        <v>44939</v>
      </c>
      <c r="AB86" s="177"/>
      <c r="AC86" s="177">
        <v>44939</v>
      </c>
      <c r="AD86" s="177"/>
      <c r="AE86" s="177"/>
      <c r="AF86" s="177"/>
      <c r="AG86" s="177">
        <v>44940</v>
      </c>
      <c r="AH86" s="177">
        <v>44932</v>
      </c>
      <c r="AI86" s="180"/>
      <c r="AJ86" s="173"/>
      <c r="AK86" s="173" t="s">
        <v>1507</v>
      </c>
      <c r="AL86" s="181" t="s">
        <v>69</v>
      </c>
      <c r="AM86" s="181" t="s">
        <v>142</v>
      </c>
      <c r="AN86" s="181" t="s">
        <v>1508</v>
      </c>
      <c r="AO86" s="181"/>
      <c r="AP86" s="181">
        <v>44849</v>
      </c>
      <c r="AQ86" s="173"/>
      <c r="AR86" s="181">
        <f t="shared" ca="1" si="7"/>
        <v>44958</v>
      </c>
      <c r="AS86" s="176">
        <f t="shared" ca="1" si="18"/>
        <v>109</v>
      </c>
      <c r="AT86" s="176" t="str">
        <f t="shared" si="19"/>
        <v/>
      </c>
      <c r="AU86" s="176"/>
      <c r="AV86" s="176" t="s">
        <v>1517</v>
      </c>
      <c r="AW86" s="176">
        <v>24.25</v>
      </c>
      <c r="AX86" s="176">
        <v>24.31</v>
      </c>
      <c r="AY86" s="173">
        <v>24.335000000000001</v>
      </c>
      <c r="AZ86" s="142">
        <v>24.34</v>
      </c>
      <c r="BA86" s="142">
        <f t="shared" ca="1" si="13"/>
        <v>19</v>
      </c>
      <c r="BB86" s="142">
        <v>456</v>
      </c>
      <c r="BD86" s="142" t="s">
        <v>123</v>
      </c>
    </row>
    <row r="87" spans="2:56" s="142" customFormat="1" ht="21" customHeight="1" x14ac:dyDescent="0.25">
      <c r="B87" s="173" t="str">
        <f t="shared" si="17"/>
        <v>0-304/2B-0.60X642</v>
      </c>
      <c r="C87" s="201" t="s">
        <v>5226</v>
      </c>
      <c r="D87" s="173" t="s">
        <v>1237</v>
      </c>
      <c r="E87" s="173" t="s">
        <v>4155</v>
      </c>
      <c r="F87" s="201" t="s">
        <v>4159</v>
      </c>
      <c r="G87" s="173">
        <v>304</v>
      </c>
      <c r="H87" s="173" t="s">
        <v>114</v>
      </c>
      <c r="I87" s="174">
        <v>2.75</v>
      </c>
      <c r="J87" s="174">
        <v>0.6</v>
      </c>
      <c r="K87" s="174">
        <v>0.56999999999999995</v>
      </c>
      <c r="L87" s="174">
        <v>0.59</v>
      </c>
      <c r="M87" s="380">
        <v>642</v>
      </c>
      <c r="N87" s="176">
        <v>6.3</v>
      </c>
      <c r="O87" s="381">
        <v>6.2</v>
      </c>
      <c r="P87" s="382"/>
      <c r="Q87" s="176"/>
      <c r="R87" s="176"/>
      <c r="S87" s="176"/>
      <c r="T87" s="383"/>
      <c r="U87" s="380">
        <v>630</v>
      </c>
      <c r="V87" s="371" t="s">
        <v>114</v>
      </c>
      <c r="W87" s="384"/>
      <c r="X87" s="178" t="s">
        <v>1344</v>
      </c>
      <c r="Y87" s="385"/>
      <c r="Z87" s="385" t="s">
        <v>230</v>
      </c>
      <c r="AA87" s="177">
        <v>44916</v>
      </c>
      <c r="AB87" s="177"/>
      <c r="AC87" s="177"/>
      <c r="AD87" s="177">
        <v>44917</v>
      </c>
      <c r="AE87" s="177">
        <v>44940</v>
      </c>
      <c r="AF87" s="177"/>
      <c r="AG87" s="177" t="s">
        <v>5227</v>
      </c>
      <c r="AH87" s="177"/>
      <c r="AI87" s="180"/>
      <c r="AJ87" s="173"/>
      <c r="AK87" s="173" t="s">
        <v>1619</v>
      </c>
      <c r="AL87" s="181" t="s">
        <v>69</v>
      </c>
      <c r="AM87" s="181" t="s">
        <v>142</v>
      </c>
      <c r="AN87" s="181" t="s">
        <v>1657</v>
      </c>
      <c r="AO87" s="181"/>
      <c r="AP87" s="181">
        <v>44849</v>
      </c>
      <c r="AQ87" s="173"/>
      <c r="AR87" s="181">
        <f t="shared" ca="1" si="7"/>
        <v>44958</v>
      </c>
      <c r="AS87" s="176">
        <f t="shared" ca="1" si="18"/>
        <v>109</v>
      </c>
      <c r="AT87" s="176">
        <f t="shared" ca="1" si="19"/>
        <v>18</v>
      </c>
      <c r="AU87" s="176"/>
      <c r="AV87" s="176" t="s">
        <v>4121</v>
      </c>
      <c r="AW87" s="176">
        <v>10.525</v>
      </c>
      <c r="AX87" s="176">
        <v>10.535</v>
      </c>
      <c r="AY87" s="173">
        <v>10.559999999999999</v>
      </c>
      <c r="AZ87" s="142">
        <v>10.565</v>
      </c>
      <c r="BA87" s="142" t="str">
        <f t="shared" si="13"/>
        <v/>
      </c>
      <c r="BB87" s="142">
        <v>456</v>
      </c>
      <c r="BD87" s="142" t="s">
        <v>123</v>
      </c>
    </row>
    <row r="88" spans="2:56" s="142" customFormat="1" ht="21" customHeight="1" x14ac:dyDescent="0.25">
      <c r="B88" s="173" t="str">
        <f t="shared" si="17"/>
        <v>0-304/FH-0.95X770</v>
      </c>
      <c r="C88" s="201" t="s">
        <v>5224</v>
      </c>
      <c r="D88" s="173" t="s">
        <v>16</v>
      </c>
      <c r="E88" s="173" t="s">
        <v>4048</v>
      </c>
      <c r="F88" s="201" t="s">
        <v>4049</v>
      </c>
      <c r="G88" s="173">
        <v>304</v>
      </c>
      <c r="H88" s="173" t="s">
        <v>70</v>
      </c>
      <c r="I88" s="174">
        <v>3.46</v>
      </c>
      <c r="J88" s="174">
        <v>0.95</v>
      </c>
      <c r="K88" s="174"/>
      <c r="L88" s="174"/>
      <c r="M88" s="380">
        <v>770</v>
      </c>
      <c r="N88" s="176">
        <v>7.53</v>
      </c>
      <c r="O88" s="381">
        <v>7.53</v>
      </c>
      <c r="P88" s="382"/>
      <c r="Q88" s="176"/>
      <c r="R88" s="176"/>
      <c r="S88" s="176"/>
      <c r="T88" s="383"/>
      <c r="U88" s="380">
        <v>770</v>
      </c>
      <c r="V88" s="371" t="s">
        <v>114</v>
      </c>
      <c r="W88" s="384"/>
      <c r="X88" s="178" t="s">
        <v>361</v>
      </c>
      <c r="Y88" s="385" t="s">
        <v>5129</v>
      </c>
      <c r="Z88" s="385"/>
      <c r="AA88" s="177">
        <v>44937</v>
      </c>
      <c r="AB88" s="177"/>
      <c r="AC88" s="177"/>
      <c r="AD88" s="177">
        <v>44938</v>
      </c>
      <c r="AE88" s="177"/>
      <c r="AF88" s="177"/>
      <c r="AG88" s="177">
        <v>44940</v>
      </c>
      <c r="AH88" s="177"/>
      <c r="AI88" s="180"/>
      <c r="AJ88" s="173"/>
      <c r="AK88" s="173" t="s">
        <v>1507</v>
      </c>
      <c r="AL88" s="181" t="s">
        <v>69</v>
      </c>
      <c r="AM88" s="181" t="s">
        <v>142</v>
      </c>
      <c r="AN88" s="181" t="s">
        <v>1584</v>
      </c>
      <c r="AO88" s="181"/>
      <c r="AP88" s="181">
        <v>44914</v>
      </c>
      <c r="AQ88" s="173"/>
      <c r="AR88" s="181">
        <f t="shared" ca="1" si="7"/>
        <v>44958</v>
      </c>
      <c r="AS88" s="176">
        <f t="shared" ca="1" si="18"/>
        <v>44</v>
      </c>
      <c r="AT88" s="176" t="str">
        <f t="shared" si="19"/>
        <v/>
      </c>
      <c r="AU88" s="176"/>
      <c r="AV88" s="176" t="s">
        <v>4050</v>
      </c>
      <c r="AW88" s="176">
        <v>7.53</v>
      </c>
      <c r="AX88" s="176">
        <v>7.54</v>
      </c>
      <c r="AY88" s="173">
        <v>7.5650000000000004</v>
      </c>
      <c r="AZ88" s="142">
        <v>7.57</v>
      </c>
      <c r="BA88" s="142" t="str">
        <f t="shared" si="13"/>
        <v/>
      </c>
      <c r="BB88" s="142">
        <v>462</v>
      </c>
      <c r="BD88" s="142" t="s">
        <v>123</v>
      </c>
    </row>
    <row r="89" spans="2:56" s="142" customFormat="1" ht="21" customHeight="1" x14ac:dyDescent="0.25">
      <c r="B89" s="173" t="str">
        <f t="shared" si="17"/>
        <v>0-304/FH-1.50X635</v>
      </c>
      <c r="C89" s="201" t="s">
        <v>5224</v>
      </c>
      <c r="D89" s="173" t="s">
        <v>16</v>
      </c>
      <c r="E89" s="173" t="s">
        <v>4073</v>
      </c>
      <c r="F89" s="201" t="s">
        <v>4074</v>
      </c>
      <c r="G89" s="173">
        <v>304</v>
      </c>
      <c r="H89" s="173" t="s">
        <v>70</v>
      </c>
      <c r="I89" s="174">
        <v>3.9</v>
      </c>
      <c r="J89" s="174">
        <v>1.5</v>
      </c>
      <c r="K89" s="174"/>
      <c r="L89" s="174"/>
      <c r="M89" s="380">
        <v>635</v>
      </c>
      <c r="N89" s="176">
        <v>10.25</v>
      </c>
      <c r="O89" s="381">
        <v>10.25</v>
      </c>
      <c r="P89" s="382"/>
      <c r="Q89" s="176"/>
      <c r="R89" s="176"/>
      <c r="S89" s="176"/>
      <c r="T89" s="383"/>
      <c r="U89" s="380">
        <v>635</v>
      </c>
      <c r="V89" s="371" t="s">
        <v>114</v>
      </c>
      <c r="W89" s="384"/>
      <c r="X89" s="178" t="s">
        <v>4326</v>
      </c>
      <c r="Y89" s="385" t="s">
        <v>5129</v>
      </c>
      <c r="Z89" s="385"/>
      <c r="AA89" s="177">
        <v>44939</v>
      </c>
      <c r="AB89" s="177"/>
      <c r="AC89" s="177"/>
      <c r="AD89" s="177">
        <v>44939</v>
      </c>
      <c r="AE89" s="177"/>
      <c r="AF89" s="177"/>
      <c r="AG89" s="177">
        <v>44940</v>
      </c>
      <c r="AH89" s="177"/>
      <c r="AI89" s="180"/>
      <c r="AJ89" s="173"/>
      <c r="AK89" s="173" t="s">
        <v>2479</v>
      </c>
      <c r="AL89" s="181" t="s">
        <v>69</v>
      </c>
      <c r="AM89" s="181" t="s">
        <v>142</v>
      </c>
      <c r="AN89" s="181" t="s">
        <v>1594</v>
      </c>
      <c r="AO89" s="181"/>
      <c r="AP89" s="181">
        <v>44849</v>
      </c>
      <c r="AQ89" s="173"/>
      <c r="AR89" s="181">
        <f t="shared" ref="AR89:AR152" ca="1" si="20">TODAY()</f>
        <v>44958</v>
      </c>
      <c r="AS89" s="176">
        <f t="shared" ca="1" si="18"/>
        <v>109</v>
      </c>
      <c r="AT89" s="176" t="str">
        <f t="shared" si="19"/>
        <v/>
      </c>
      <c r="AU89" s="176"/>
      <c r="AV89" s="176" t="s">
        <v>4075</v>
      </c>
      <c r="AW89" s="176">
        <v>10.25</v>
      </c>
      <c r="AX89" s="176">
        <v>10.26</v>
      </c>
      <c r="AY89" s="173">
        <v>10.284999999999998</v>
      </c>
      <c r="AZ89" s="142">
        <v>10.29</v>
      </c>
      <c r="BA89" s="142" t="str">
        <f t="shared" si="13"/>
        <v/>
      </c>
      <c r="BB89" s="142">
        <v>456</v>
      </c>
      <c r="BD89" s="142" t="s">
        <v>123</v>
      </c>
    </row>
    <row r="90" spans="2:56" s="142" customFormat="1" ht="21" customHeight="1" x14ac:dyDescent="0.25">
      <c r="B90" s="173" t="str">
        <f t="shared" si="17"/>
        <v>0-304L/2B-0.80X770</v>
      </c>
      <c r="C90" s="201" t="s">
        <v>5228</v>
      </c>
      <c r="D90" s="173" t="s">
        <v>4432</v>
      </c>
      <c r="E90" s="173" t="s">
        <v>4722</v>
      </c>
      <c r="F90" s="201" t="s">
        <v>4729</v>
      </c>
      <c r="G90" s="173" t="s">
        <v>182</v>
      </c>
      <c r="H90" s="173" t="s">
        <v>114</v>
      </c>
      <c r="I90" s="174">
        <v>1.45</v>
      </c>
      <c r="J90" s="174">
        <v>0.8</v>
      </c>
      <c r="K90" s="174">
        <v>0.8</v>
      </c>
      <c r="L90" s="174">
        <v>0.82</v>
      </c>
      <c r="M90" s="380">
        <v>770</v>
      </c>
      <c r="N90" s="176">
        <v>3.93</v>
      </c>
      <c r="O90" s="381">
        <v>3.88</v>
      </c>
      <c r="P90" s="382"/>
      <c r="Q90" s="176">
        <v>4.4999999999999998E-2</v>
      </c>
      <c r="R90" s="176"/>
      <c r="S90" s="176"/>
      <c r="T90" s="383"/>
      <c r="U90" s="380">
        <v>760</v>
      </c>
      <c r="V90" s="371" t="s">
        <v>114</v>
      </c>
      <c r="W90" s="384" t="s">
        <v>4826</v>
      </c>
      <c r="X90" s="178" t="s">
        <v>1540</v>
      </c>
      <c r="Y90" s="385" t="s">
        <v>644</v>
      </c>
      <c r="Z90" s="385" t="s">
        <v>1224</v>
      </c>
      <c r="AA90" s="177" t="s">
        <v>4725</v>
      </c>
      <c r="AB90" s="177"/>
      <c r="AC90" s="177" t="s">
        <v>4726</v>
      </c>
      <c r="AD90" s="177"/>
      <c r="AE90" s="177" t="s">
        <v>4730</v>
      </c>
      <c r="AF90" s="177"/>
      <c r="AG90" s="177">
        <v>44788</v>
      </c>
      <c r="AH90" s="177"/>
      <c r="AI90" s="180"/>
      <c r="AJ90" s="173"/>
      <c r="AK90" s="173" t="s">
        <v>4727</v>
      </c>
      <c r="AL90" s="181" t="s">
        <v>69</v>
      </c>
      <c r="AM90" s="181" t="s">
        <v>142</v>
      </c>
      <c r="AN90" s="181" t="s">
        <v>1215</v>
      </c>
      <c r="AO90" s="181"/>
      <c r="AP90" s="181">
        <v>44785</v>
      </c>
      <c r="AQ90" s="173"/>
      <c r="AR90" s="181">
        <f t="shared" ca="1" si="20"/>
        <v>44958</v>
      </c>
      <c r="AS90" s="176">
        <f t="shared" ca="1" si="18"/>
        <v>173</v>
      </c>
      <c r="AT90" s="176">
        <f t="shared" ca="1" si="19"/>
        <v>18</v>
      </c>
      <c r="AU90" s="176"/>
      <c r="AV90" s="176" t="s">
        <v>4728</v>
      </c>
      <c r="AW90" s="176">
        <v>12.01</v>
      </c>
      <c r="AX90" s="176">
        <v>12.02</v>
      </c>
      <c r="AY90" s="173">
        <v>12.044999999999998</v>
      </c>
      <c r="AZ90" s="142">
        <v>12.049999999999999</v>
      </c>
      <c r="BA90" s="142">
        <f t="shared" ca="1" si="13"/>
        <v>44</v>
      </c>
      <c r="BB90" s="142">
        <v>447</v>
      </c>
      <c r="BD90" s="142" t="s">
        <v>123</v>
      </c>
    </row>
    <row r="91" spans="2:56" s="142" customFormat="1" ht="21" customHeight="1" x14ac:dyDescent="0.25">
      <c r="B91" s="173" t="str">
        <f t="shared" si="17"/>
        <v>0-304/2B-0.60X642</v>
      </c>
      <c r="C91" s="201" t="s">
        <v>5229</v>
      </c>
      <c r="D91" s="173" t="s">
        <v>1237</v>
      </c>
      <c r="E91" s="173" t="s">
        <v>4155</v>
      </c>
      <c r="F91" s="201" t="s">
        <v>4156</v>
      </c>
      <c r="G91" s="173">
        <v>304</v>
      </c>
      <c r="H91" s="173" t="s">
        <v>114</v>
      </c>
      <c r="I91" s="174">
        <v>2.75</v>
      </c>
      <c r="J91" s="174">
        <v>0.6</v>
      </c>
      <c r="K91" s="174">
        <v>0.56999999999999995</v>
      </c>
      <c r="L91" s="174">
        <v>0.59</v>
      </c>
      <c r="M91" s="380">
        <v>642</v>
      </c>
      <c r="N91" s="176">
        <v>4.1449999999999996</v>
      </c>
      <c r="O91" s="381">
        <v>4.1399999999999997</v>
      </c>
      <c r="P91" s="382"/>
      <c r="Q91" s="176"/>
      <c r="R91" s="176"/>
      <c r="S91" s="176"/>
      <c r="T91" s="383"/>
      <c r="U91" s="380">
        <v>631</v>
      </c>
      <c r="V91" s="371" t="s">
        <v>114</v>
      </c>
      <c r="W91" s="384"/>
      <c r="X91" s="178" t="s">
        <v>1344</v>
      </c>
      <c r="Y91" s="385"/>
      <c r="Z91" s="385" t="s">
        <v>230</v>
      </c>
      <c r="AA91" s="177">
        <v>44916</v>
      </c>
      <c r="AB91" s="177"/>
      <c r="AC91" s="177"/>
      <c r="AD91" s="177">
        <v>44917</v>
      </c>
      <c r="AE91" s="177">
        <v>44940</v>
      </c>
      <c r="AF91" s="177"/>
      <c r="AG91" s="177" t="s">
        <v>5230</v>
      </c>
      <c r="AH91" s="177"/>
      <c r="AI91" s="180"/>
      <c r="AJ91" s="173"/>
      <c r="AK91" s="173" t="s">
        <v>1619</v>
      </c>
      <c r="AL91" s="181" t="s">
        <v>69</v>
      </c>
      <c r="AM91" s="181" t="s">
        <v>142</v>
      </c>
      <c r="AN91" s="181" t="s">
        <v>1657</v>
      </c>
      <c r="AO91" s="181"/>
      <c r="AP91" s="181">
        <v>44849</v>
      </c>
      <c r="AQ91" s="173"/>
      <c r="AR91" s="181">
        <f t="shared" ca="1" si="20"/>
        <v>44958</v>
      </c>
      <c r="AS91" s="176">
        <f t="shared" ca="1" si="18"/>
        <v>109</v>
      </c>
      <c r="AT91" s="176">
        <f t="shared" ca="1" si="19"/>
        <v>18</v>
      </c>
      <c r="AU91" s="176"/>
      <c r="AV91" s="176" t="s">
        <v>4121</v>
      </c>
      <c r="AW91" s="176">
        <v>10.525</v>
      </c>
      <c r="AX91" s="176">
        <v>10.535</v>
      </c>
      <c r="AY91" s="173">
        <v>10.559999999999999</v>
      </c>
      <c r="AZ91" s="142">
        <v>10.565</v>
      </c>
      <c r="BA91" s="142" t="str">
        <f t="shared" si="13"/>
        <v/>
      </c>
      <c r="BB91" s="142">
        <v>456</v>
      </c>
      <c r="BD91" s="142" t="s">
        <v>123</v>
      </c>
    </row>
    <row r="92" spans="2:56" s="142" customFormat="1" ht="21" customHeight="1" x14ac:dyDescent="0.25">
      <c r="B92" s="173" t="str">
        <f t="shared" si="17"/>
        <v>0-304L/FH-1.20X642</v>
      </c>
      <c r="C92" s="201" t="s">
        <v>5231</v>
      </c>
      <c r="D92" s="173" t="s">
        <v>16</v>
      </c>
      <c r="E92" s="173" t="s">
        <v>4045</v>
      </c>
      <c r="F92" s="201" t="s">
        <v>4046</v>
      </c>
      <c r="G92" s="173" t="s">
        <v>182</v>
      </c>
      <c r="H92" s="173" t="s">
        <v>70</v>
      </c>
      <c r="I92" s="174">
        <v>2.95</v>
      </c>
      <c r="J92" s="174">
        <v>1.2</v>
      </c>
      <c r="K92" s="174"/>
      <c r="L92" s="174"/>
      <c r="M92" s="380">
        <v>642</v>
      </c>
      <c r="N92" s="176">
        <v>10.035</v>
      </c>
      <c r="O92" s="381">
        <v>10.035</v>
      </c>
      <c r="P92" s="382"/>
      <c r="Q92" s="176"/>
      <c r="R92" s="176"/>
      <c r="S92" s="176"/>
      <c r="T92" s="383"/>
      <c r="U92" s="380">
        <v>642</v>
      </c>
      <c r="V92" s="371" t="s">
        <v>114</v>
      </c>
      <c r="W92" s="384"/>
      <c r="X92" s="178" t="s">
        <v>4326</v>
      </c>
      <c r="Y92" s="385" t="s">
        <v>5129</v>
      </c>
      <c r="Z92" s="385"/>
      <c r="AA92" s="177">
        <v>44937</v>
      </c>
      <c r="AB92" s="177"/>
      <c r="AC92" s="177"/>
      <c r="AD92" s="177">
        <v>44938</v>
      </c>
      <c r="AE92" s="177"/>
      <c r="AF92" s="177"/>
      <c r="AG92" s="177">
        <v>44941</v>
      </c>
      <c r="AH92" s="177"/>
      <c r="AI92" s="180"/>
      <c r="AJ92" s="173"/>
      <c r="AK92" s="173" t="s">
        <v>1619</v>
      </c>
      <c r="AL92" s="181" t="s">
        <v>69</v>
      </c>
      <c r="AM92" s="181" t="s">
        <v>142</v>
      </c>
      <c r="AN92" s="181" t="s">
        <v>1657</v>
      </c>
      <c r="AO92" s="181"/>
      <c r="AP92" s="181">
        <v>44849</v>
      </c>
      <c r="AQ92" s="173"/>
      <c r="AR92" s="181">
        <f t="shared" ca="1" si="20"/>
        <v>44958</v>
      </c>
      <c r="AS92" s="176">
        <f t="shared" ca="1" si="18"/>
        <v>109</v>
      </c>
      <c r="AT92" s="176" t="str">
        <f t="shared" si="19"/>
        <v/>
      </c>
      <c r="AU92" s="176"/>
      <c r="AV92" s="176" t="s">
        <v>1737</v>
      </c>
      <c r="AW92" s="176">
        <v>10.035</v>
      </c>
      <c r="AX92" s="176">
        <v>10.045</v>
      </c>
      <c r="AY92" s="173">
        <v>10.069999999999999</v>
      </c>
      <c r="AZ92" s="142">
        <v>10.074999999999999</v>
      </c>
      <c r="BA92" s="142" t="str">
        <f t="shared" si="13"/>
        <v/>
      </c>
      <c r="BB92" s="142">
        <v>456</v>
      </c>
      <c r="BD92" s="142" t="s">
        <v>123</v>
      </c>
    </row>
    <row r="93" spans="2:56" s="142" customFormat="1" ht="21" customHeight="1" x14ac:dyDescent="0.25">
      <c r="B93" s="173" t="str">
        <f t="shared" si="17"/>
        <v>0-304L/FH-1.20X639</v>
      </c>
      <c r="C93" s="201" t="s">
        <v>5231</v>
      </c>
      <c r="D93" s="173" t="s">
        <v>16</v>
      </c>
      <c r="E93" s="173" t="s">
        <v>3937</v>
      </c>
      <c r="F93" s="201" t="s">
        <v>3938</v>
      </c>
      <c r="G93" s="173" t="s">
        <v>182</v>
      </c>
      <c r="H93" s="173" t="s">
        <v>70</v>
      </c>
      <c r="I93" s="174">
        <v>2.87</v>
      </c>
      <c r="J93" s="174">
        <v>1.2</v>
      </c>
      <c r="K93" s="174"/>
      <c r="L93" s="174"/>
      <c r="M93" s="380">
        <v>639</v>
      </c>
      <c r="N93" s="176">
        <v>10.58</v>
      </c>
      <c r="O93" s="381">
        <v>10.58</v>
      </c>
      <c r="P93" s="382"/>
      <c r="Q93" s="176"/>
      <c r="R93" s="176"/>
      <c r="S93" s="176"/>
      <c r="T93" s="383"/>
      <c r="U93" s="380">
        <v>639</v>
      </c>
      <c r="V93" s="371" t="s">
        <v>114</v>
      </c>
      <c r="W93" s="384"/>
      <c r="X93" s="178" t="s">
        <v>4326</v>
      </c>
      <c r="Y93" s="385" t="s">
        <v>5129</v>
      </c>
      <c r="Z93" s="385"/>
      <c r="AA93" s="177">
        <v>44932</v>
      </c>
      <c r="AB93" s="177"/>
      <c r="AC93" s="177"/>
      <c r="AD93" s="177">
        <v>44936</v>
      </c>
      <c r="AE93" s="177"/>
      <c r="AF93" s="177"/>
      <c r="AG93" s="177">
        <v>44941</v>
      </c>
      <c r="AH93" s="177"/>
      <c r="AI93" s="180"/>
      <c r="AJ93" s="173"/>
      <c r="AK93" s="173" t="s">
        <v>2479</v>
      </c>
      <c r="AL93" s="181" t="s">
        <v>69</v>
      </c>
      <c r="AM93" s="181" t="s">
        <v>142</v>
      </c>
      <c r="AN93" s="181" t="s">
        <v>1657</v>
      </c>
      <c r="AO93" s="181"/>
      <c r="AP93" s="181">
        <v>44849</v>
      </c>
      <c r="AQ93" s="173"/>
      <c r="AR93" s="181">
        <f t="shared" ca="1" si="20"/>
        <v>44958</v>
      </c>
      <c r="AS93" s="176">
        <f t="shared" ca="1" si="18"/>
        <v>109</v>
      </c>
      <c r="AT93" s="176" t="str">
        <f t="shared" si="19"/>
        <v/>
      </c>
      <c r="AU93" s="176"/>
      <c r="AV93" s="176" t="s">
        <v>3939</v>
      </c>
      <c r="AW93" s="176">
        <v>10.58</v>
      </c>
      <c r="AX93" s="176">
        <v>10.59</v>
      </c>
      <c r="AY93" s="173">
        <v>10.614999999999998</v>
      </c>
      <c r="AZ93" s="142">
        <v>10.62</v>
      </c>
      <c r="BA93" s="142" t="str">
        <f t="shared" si="13"/>
        <v/>
      </c>
      <c r="BB93" s="142">
        <v>456</v>
      </c>
      <c r="BD93" s="142" t="s">
        <v>123</v>
      </c>
    </row>
    <row r="94" spans="2:56" s="142" customFormat="1" ht="21" customHeight="1" x14ac:dyDescent="0.25">
      <c r="B94" s="173" t="str">
        <f t="shared" si="17"/>
        <v>0-304L/FH-1.20X639</v>
      </c>
      <c r="C94" s="201" t="s">
        <v>5231</v>
      </c>
      <c r="D94" s="173" t="s">
        <v>16</v>
      </c>
      <c r="E94" s="173" t="s">
        <v>4081</v>
      </c>
      <c r="F94" s="201" t="s">
        <v>4082</v>
      </c>
      <c r="G94" s="173" t="s">
        <v>182</v>
      </c>
      <c r="H94" s="173" t="s">
        <v>70</v>
      </c>
      <c r="I94" s="174">
        <v>2.87</v>
      </c>
      <c r="J94" s="174">
        <v>1.2</v>
      </c>
      <c r="K94" s="174"/>
      <c r="L94" s="174"/>
      <c r="M94" s="380">
        <v>639</v>
      </c>
      <c r="N94" s="176">
        <v>10.585000000000001</v>
      </c>
      <c r="O94" s="381">
        <v>10.585000000000001</v>
      </c>
      <c r="P94" s="382"/>
      <c r="Q94" s="176"/>
      <c r="R94" s="176"/>
      <c r="S94" s="176"/>
      <c r="T94" s="383"/>
      <c r="U94" s="380">
        <v>639</v>
      </c>
      <c r="V94" s="371" t="s">
        <v>114</v>
      </c>
      <c r="W94" s="384"/>
      <c r="X94" s="178" t="s">
        <v>4326</v>
      </c>
      <c r="Y94" s="385" t="s">
        <v>5129</v>
      </c>
      <c r="Z94" s="385"/>
      <c r="AA94" s="177">
        <v>44940</v>
      </c>
      <c r="AB94" s="177"/>
      <c r="AC94" s="177"/>
      <c r="AD94" s="177">
        <v>44940</v>
      </c>
      <c r="AE94" s="177"/>
      <c r="AF94" s="177"/>
      <c r="AG94" s="177">
        <v>44941</v>
      </c>
      <c r="AH94" s="177"/>
      <c r="AI94" s="180"/>
      <c r="AJ94" s="173"/>
      <c r="AK94" s="173" t="s">
        <v>2479</v>
      </c>
      <c r="AL94" s="181" t="s">
        <v>69</v>
      </c>
      <c r="AM94" s="181" t="s">
        <v>142</v>
      </c>
      <c r="AN94" s="181" t="s">
        <v>1657</v>
      </c>
      <c r="AO94" s="181"/>
      <c r="AP94" s="181">
        <v>44849</v>
      </c>
      <c r="AQ94" s="173"/>
      <c r="AR94" s="181">
        <f t="shared" ca="1" si="20"/>
        <v>44958</v>
      </c>
      <c r="AS94" s="176">
        <f t="shared" ca="1" si="18"/>
        <v>109</v>
      </c>
      <c r="AT94" s="176" t="str">
        <f t="shared" si="19"/>
        <v/>
      </c>
      <c r="AU94" s="176"/>
      <c r="AV94" s="176" t="s">
        <v>3939</v>
      </c>
      <c r="AW94" s="176">
        <v>10.585000000000001</v>
      </c>
      <c r="AX94" s="176">
        <v>10.595000000000001</v>
      </c>
      <c r="AY94" s="173">
        <v>10.62</v>
      </c>
      <c r="AZ94" s="142">
        <v>10.625</v>
      </c>
      <c r="BA94" s="142" t="str">
        <f t="shared" si="13"/>
        <v/>
      </c>
      <c r="BB94" s="142">
        <v>456</v>
      </c>
      <c r="BD94" s="142" t="s">
        <v>123</v>
      </c>
    </row>
    <row r="95" spans="2:56" s="142" customFormat="1" ht="21" customHeight="1" x14ac:dyDescent="0.25">
      <c r="B95" s="173" t="str">
        <f t="shared" si="17"/>
        <v>0-304L/FH-1.20X639</v>
      </c>
      <c r="C95" s="201" t="s">
        <v>5231</v>
      </c>
      <c r="D95" s="173" t="s">
        <v>16</v>
      </c>
      <c r="E95" s="173" t="s">
        <v>4014</v>
      </c>
      <c r="F95" s="201" t="s">
        <v>4015</v>
      </c>
      <c r="G95" s="173" t="s">
        <v>182</v>
      </c>
      <c r="H95" s="173" t="s">
        <v>70</v>
      </c>
      <c r="I95" s="174">
        <v>2.89</v>
      </c>
      <c r="J95" s="174">
        <v>1.2</v>
      </c>
      <c r="K95" s="174"/>
      <c r="L95" s="174"/>
      <c r="M95" s="380">
        <v>639</v>
      </c>
      <c r="N95" s="176">
        <v>10.215</v>
      </c>
      <c r="O95" s="381">
        <v>10.215</v>
      </c>
      <c r="P95" s="382"/>
      <c r="Q95" s="176"/>
      <c r="R95" s="176"/>
      <c r="S95" s="176"/>
      <c r="T95" s="383"/>
      <c r="U95" s="380">
        <v>639</v>
      </c>
      <c r="V95" s="371" t="s">
        <v>114</v>
      </c>
      <c r="W95" s="384"/>
      <c r="X95" s="178" t="s">
        <v>4326</v>
      </c>
      <c r="Y95" s="385" t="s">
        <v>5129</v>
      </c>
      <c r="Z95" s="385"/>
      <c r="AA95" s="177">
        <v>44936</v>
      </c>
      <c r="AB95" s="177"/>
      <c r="AC95" s="177"/>
      <c r="AD95" s="177">
        <v>44936</v>
      </c>
      <c r="AE95" s="177"/>
      <c r="AF95" s="177"/>
      <c r="AG95" s="177">
        <v>44941</v>
      </c>
      <c r="AH95" s="177"/>
      <c r="AI95" s="180"/>
      <c r="AJ95" s="173"/>
      <c r="AK95" s="173" t="s">
        <v>2479</v>
      </c>
      <c r="AL95" s="181" t="s">
        <v>69</v>
      </c>
      <c r="AM95" s="181" t="s">
        <v>142</v>
      </c>
      <c r="AN95" s="181" t="s">
        <v>1657</v>
      </c>
      <c r="AO95" s="181"/>
      <c r="AP95" s="181">
        <v>44849</v>
      </c>
      <c r="AQ95" s="173"/>
      <c r="AR95" s="181">
        <f t="shared" ca="1" si="20"/>
        <v>44958</v>
      </c>
      <c r="AS95" s="176">
        <f t="shared" ca="1" si="18"/>
        <v>109</v>
      </c>
      <c r="AT95" s="176" t="str">
        <f t="shared" si="19"/>
        <v/>
      </c>
      <c r="AU95" s="176"/>
      <c r="AV95" s="176" t="s">
        <v>4016</v>
      </c>
      <c r="AW95" s="176">
        <v>10.215</v>
      </c>
      <c r="AX95" s="176">
        <v>10.225</v>
      </c>
      <c r="AY95" s="173">
        <v>10.249999999999998</v>
      </c>
      <c r="AZ95" s="142">
        <v>10.254999999999999</v>
      </c>
      <c r="BA95" s="142" t="str">
        <f t="shared" si="13"/>
        <v/>
      </c>
      <c r="BB95" s="142">
        <v>456</v>
      </c>
      <c r="BD95" s="142" t="s">
        <v>123</v>
      </c>
    </row>
    <row r="96" spans="2:56" s="142" customFormat="1" ht="21" customHeight="1" x14ac:dyDescent="0.25">
      <c r="B96" s="173" t="str">
        <f t="shared" si="17"/>
        <v>0-J3/FH-0.73X620</v>
      </c>
      <c r="C96" s="201" t="s">
        <v>5231</v>
      </c>
      <c r="D96" s="173" t="s">
        <v>16</v>
      </c>
      <c r="E96" s="173" t="s">
        <v>2439</v>
      </c>
      <c r="F96" s="201" t="s">
        <v>2441</v>
      </c>
      <c r="G96" s="173" t="s">
        <v>34</v>
      </c>
      <c r="H96" s="173" t="s">
        <v>70</v>
      </c>
      <c r="I96" s="174">
        <v>2.2000000000000002</v>
      </c>
      <c r="J96" s="174">
        <v>0.73</v>
      </c>
      <c r="K96" s="174"/>
      <c r="L96" s="174"/>
      <c r="M96" s="380">
        <v>620</v>
      </c>
      <c r="N96" s="176">
        <v>5.0410000000000004</v>
      </c>
      <c r="O96" s="381">
        <v>5.0410000000000004</v>
      </c>
      <c r="P96" s="382"/>
      <c r="Q96" s="176"/>
      <c r="R96" s="176"/>
      <c r="S96" s="176"/>
      <c r="T96" s="383"/>
      <c r="U96" s="380">
        <v>620</v>
      </c>
      <c r="V96" s="371" t="s">
        <v>114</v>
      </c>
      <c r="W96" s="384"/>
      <c r="X96" s="178" t="s">
        <v>361</v>
      </c>
      <c r="Y96" s="385" t="s">
        <v>5129</v>
      </c>
      <c r="Z96" s="385"/>
      <c r="AA96" s="177">
        <v>44886</v>
      </c>
      <c r="AB96" s="177"/>
      <c r="AC96" s="177"/>
      <c r="AD96" s="177">
        <v>44896</v>
      </c>
      <c r="AE96" s="177"/>
      <c r="AF96" s="177"/>
      <c r="AG96" s="177">
        <v>44941</v>
      </c>
      <c r="AH96" s="177"/>
      <c r="AI96" s="180"/>
      <c r="AJ96" s="173"/>
      <c r="AK96" s="173"/>
      <c r="AL96" s="181" t="s">
        <v>69</v>
      </c>
      <c r="AM96" s="181" t="s">
        <v>119</v>
      </c>
      <c r="AN96" s="181" t="s">
        <v>2387</v>
      </c>
      <c r="AO96" s="181">
        <v>44848</v>
      </c>
      <c r="AP96" s="181">
        <v>44880</v>
      </c>
      <c r="AQ96" s="173"/>
      <c r="AR96" s="181">
        <f t="shared" ca="1" si="20"/>
        <v>44958</v>
      </c>
      <c r="AS96" s="176">
        <f t="shared" ca="1" si="18"/>
        <v>78</v>
      </c>
      <c r="AT96" s="176" t="str">
        <f t="shared" si="19"/>
        <v/>
      </c>
      <c r="AU96" s="176" t="s">
        <v>2402</v>
      </c>
      <c r="AV96" s="176" t="s">
        <v>2438</v>
      </c>
      <c r="AW96" s="176">
        <v>10.082000000000001</v>
      </c>
      <c r="AX96" s="176">
        <v>10.102</v>
      </c>
      <c r="AY96" s="173">
        <v>10.126999999999999</v>
      </c>
      <c r="AZ96" s="142">
        <v>10.132</v>
      </c>
      <c r="BA96" s="142" t="str">
        <f t="shared" si="13"/>
        <v/>
      </c>
      <c r="BB96" s="142">
        <v>461</v>
      </c>
      <c r="BD96" s="142" t="s">
        <v>123</v>
      </c>
    </row>
    <row r="97" spans="2:56" s="142" customFormat="1" ht="21" customHeight="1" x14ac:dyDescent="0.25">
      <c r="B97" s="173" t="str">
        <f t="shared" si="17"/>
        <v>0-304/2B-1.00X767</v>
      </c>
      <c r="C97" s="201" t="s">
        <v>5232</v>
      </c>
      <c r="D97" s="173" t="s">
        <v>4432</v>
      </c>
      <c r="E97" s="173" t="s">
        <v>4718</v>
      </c>
      <c r="F97" s="201" t="s">
        <v>5233</v>
      </c>
      <c r="G97" s="173">
        <v>304</v>
      </c>
      <c r="H97" s="173" t="s">
        <v>114</v>
      </c>
      <c r="I97" s="174">
        <v>2.88</v>
      </c>
      <c r="J97" s="174">
        <v>1</v>
      </c>
      <c r="K97" s="174">
        <v>0.98</v>
      </c>
      <c r="L97" s="174">
        <v>1</v>
      </c>
      <c r="M97" s="380">
        <v>767</v>
      </c>
      <c r="N97" s="349">
        <v>10.494999999999999</v>
      </c>
      <c r="O97" s="381">
        <v>5.45</v>
      </c>
      <c r="P97" s="382"/>
      <c r="Q97" s="176"/>
      <c r="R97" s="176"/>
      <c r="S97" s="176"/>
      <c r="T97" s="383"/>
      <c r="U97" s="380">
        <v>760</v>
      </c>
      <c r="V97" s="371" t="s">
        <v>114</v>
      </c>
      <c r="W97" s="384" t="s">
        <v>4579</v>
      </c>
      <c r="X97" s="178" t="s">
        <v>1540</v>
      </c>
      <c r="Y97" s="385"/>
      <c r="Z97" s="385"/>
      <c r="AA97" s="177">
        <v>44917</v>
      </c>
      <c r="AB97" s="177"/>
      <c r="AC97" s="177">
        <v>44917</v>
      </c>
      <c r="AD97" s="177"/>
      <c r="AE97" s="177">
        <v>44940</v>
      </c>
      <c r="AF97" s="177"/>
      <c r="AG97" s="177"/>
      <c r="AH97" s="177"/>
      <c r="AI97" s="180"/>
      <c r="AJ97" s="173"/>
      <c r="AK97" s="173" t="s">
        <v>2470</v>
      </c>
      <c r="AL97" s="181" t="s">
        <v>69</v>
      </c>
      <c r="AM97" s="181" t="s">
        <v>142</v>
      </c>
      <c r="AN97" s="181" t="s">
        <v>1584</v>
      </c>
      <c r="AO97" s="181"/>
      <c r="AP97" s="181">
        <v>44914</v>
      </c>
      <c r="AQ97" s="173"/>
      <c r="AR97" s="181">
        <f t="shared" ca="1" si="20"/>
        <v>44958</v>
      </c>
      <c r="AS97" s="176">
        <f t="shared" ca="1" si="18"/>
        <v>44</v>
      </c>
      <c r="AT97" s="176">
        <f t="shared" ca="1" si="19"/>
        <v>18</v>
      </c>
      <c r="AU97" s="176"/>
      <c r="AV97" s="176" t="s">
        <v>4720</v>
      </c>
      <c r="AW97" s="176">
        <v>10.555</v>
      </c>
      <c r="AX97" s="176">
        <v>10.565</v>
      </c>
      <c r="AY97" s="173">
        <v>10.589999999999998</v>
      </c>
      <c r="AZ97" s="142">
        <v>10.594999999999999</v>
      </c>
      <c r="BA97" s="142">
        <f t="shared" ca="1" si="13"/>
        <v>41</v>
      </c>
      <c r="BB97" s="142">
        <v>462</v>
      </c>
      <c r="BD97" s="142" t="s">
        <v>123</v>
      </c>
    </row>
    <row r="98" spans="2:56" s="142" customFormat="1" ht="21" customHeight="1" x14ac:dyDescent="0.25">
      <c r="B98" s="173" t="str">
        <f t="shared" si="17"/>
        <v>0-304/2B-1.00X767</v>
      </c>
      <c r="C98" s="201" t="s">
        <v>5234</v>
      </c>
      <c r="D98" s="173" t="s">
        <v>836</v>
      </c>
      <c r="E98" s="173" t="s">
        <v>4718</v>
      </c>
      <c r="F98" s="201" t="s">
        <v>5235</v>
      </c>
      <c r="G98" s="173">
        <v>304</v>
      </c>
      <c r="H98" s="173" t="s">
        <v>114</v>
      </c>
      <c r="I98" s="174">
        <v>2.88</v>
      </c>
      <c r="J98" s="174">
        <v>1</v>
      </c>
      <c r="K98" s="174">
        <v>0.98</v>
      </c>
      <c r="L98" s="174">
        <v>1</v>
      </c>
      <c r="M98" s="380">
        <v>767</v>
      </c>
      <c r="N98" s="350"/>
      <c r="O98" s="381">
        <f>N97-O97</f>
        <v>5.044999999999999</v>
      </c>
      <c r="P98" s="382"/>
      <c r="Q98" s="176"/>
      <c r="R98" s="176"/>
      <c r="S98" s="176"/>
      <c r="T98" s="383"/>
      <c r="U98" s="380">
        <v>767</v>
      </c>
      <c r="V98" s="371" t="s">
        <v>114</v>
      </c>
      <c r="W98" s="384"/>
      <c r="X98" s="178" t="s">
        <v>1540</v>
      </c>
      <c r="Y98" s="385"/>
      <c r="Z98" s="385"/>
      <c r="AA98" s="177">
        <v>44917</v>
      </c>
      <c r="AB98" s="177"/>
      <c r="AC98" s="177">
        <v>44917</v>
      </c>
      <c r="AD98" s="177"/>
      <c r="AE98" s="177">
        <v>44940</v>
      </c>
      <c r="AF98" s="177"/>
      <c r="AG98" s="177">
        <v>44942</v>
      </c>
      <c r="AH98" s="177"/>
      <c r="AI98" s="180"/>
      <c r="AJ98" s="173"/>
      <c r="AK98" s="173" t="s">
        <v>2470</v>
      </c>
      <c r="AL98" s="181" t="s">
        <v>69</v>
      </c>
      <c r="AM98" s="181" t="s">
        <v>142</v>
      </c>
      <c r="AN98" s="181" t="s">
        <v>1584</v>
      </c>
      <c r="AO98" s="181"/>
      <c r="AP98" s="181">
        <v>44914</v>
      </c>
      <c r="AQ98" s="173"/>
      <c r="AR98" s="181">
        <f t="shared" ca="1" si="20"/>
        <v>44958</v>
      </c>
      <c r="AS98" s="176">
        <f t="shared" ca="1" si="18"/>
        <v>44</v>
      </c>
      <c r="AT98" s="176">
        <f t="shared" ca="1" si="19"/>
        <v>18</v>
      </c>
      <c r="AU98" s="176"/>
      <c r="AV98" s="176" t="s">
        <v>4720</v>
      </c>
      <c r="AW98" s="176">
        <v>10.555</v>
      </c>
      <c r="AX98" s="176">
        <v>10.565</v>
      </c>
      <c r="AY98" s="173">
        <v>10.589999999999998</v>
      </c>
      <c r="AZ98" s="142">
        <v>10.594999999999999</v>
      </c>
      <c r="BA98" s="142">
        <f t="shared" ca="1" si="13"/>
        <v>41</v>
      </c>
      <c r="BB98" s="142">
        <v>462</v>
      </c>
      <c r="BD98" s="142" t="s">
        <v>123</v>
      </c>
    </row>
    <row r="99" spans="2:56" s="142" customFormat="1" ht="21" customHeight="1" x14ac:dyDescent="0.25">
      <c r="B99" s="173" t="str">
        <f t="shared" si="17"/>
        <v>0-304/2B-1.00X767</v>
      </c>
      <c r="C99" s="201" t="s">
        <v>5236</v>
      </c>
      <c r="D99" s="173" t="s">
        <v>4432</v>
      </c>
      <c r="E99" s="173" t="s">
        <v>4718</v>
      </c>
      <c r="F99" s="201" t="s">
        <v>5235</v>
      </c>
      <c r="G99" s="173">
        <v>304</v>
      </c>
      <c r="H99" s="173" t="s">
        <v>114</v>
      </c>
      <c r="I99" s="174">
        <v>2.88</v>
      </c>
      <c r="J99" s="174">
        <v>1</v>
      </c>
      <c r="K99" s="174">
        <v>0.98</v>
      </c>
      <c r="L99" s="174">
        <v>1</v>
      </c>
      <c r="M99" s="380">
        <v>767</v>
      </c>
      <c r="N99" s="176">
        <v>5.044999999999999</v>
      </c>
      <c r="O99" s="381">
        <v>5.0350000000000001</v>
      </c>
      <c r="P99" s="382"/>
      <c r="Q99" s="176"/>
      <c r="R99" s="176"/>
      <c r="S99" s="176"/>
      <c r="T99" s="383"/>
      <c r="U99" s="380">
        <v>760</v>
      </c>
      <c r="V99" s="371" t="s">
        <v>114</v>
      </c>
      <c r="W99" s="384" t="s">
        <v>4579</v>
      </c>
      <c r="X99" s="178" t="s">
        <v>1540</v>
      </c>
      <c r="Y99" s="385"/>
      <c r="Z99" s="385"/>
      <c r="AA99" s="177">
        <v>44917</v>
      </c>
      <c r="AB99" s="177"/>
      <c r="AC99" s="177">
        <v>44917</v>
      </c>
      <c r="AD99" s="177"/>
      <c r="AE99" s="177">
        <v>44940</v>
      </c>
      <c r="AF99" s="177"/>
      <c r="AG99" s="177">
        <v>44942</v>
      </c>
      <c r="AH99" s="177"/>
      <c r="AI99" s="180"/>
      <c r="AJ99" s="173"/>
      <c r="AK99" s="173" t="s">
        <v>2470</v>
      </c>
      <c r="AL99" s="181" t="s">
        <v>69</v>
      </c>
      <c r="AM99" s="181" t="s">
        <v>142</v>
      </c>
      <c r="AN99" s="181" t="s">
        <v>1584</v>
      </c>
      <c r="AO99" s="181"/>
      <c r="AP99" s="181">
        <v>44914</v>
      </c>
      <c r="AQ99" s="173"/>
      <c r="AR99" s="181">
        <f t="shared" ca="1" si="20"/>
        <v>44958</v>
      </c>
      <c r="AS99" s="176">
        <f t="shared" ca="1" si="18"/>
        <v>44</v>
      </c>
      <c r="AT99" s="176">
        <f t="shared" ca="1" si="19"/>
        <v>18</v>
      </c>
      <c r="AU99" s="176"/>
      <c r="AV99" s="176" t="s">
        <v>4720</v>
      </c>
      <c r="AW99" s="176">
        <v>10.555</v>
      </c>
      <c r="AX99" s="176">
        <v>10.565</v>
      </c>
      <c r="AY99" s="173">
        <v>10.589999999999998</v>
      </c>
      <c r="AZ99" s="142">
        <v>10.594999999999999</v>
      </c>
      <c r="BA99" s="142">
        <f t="shared" ca="1" si="13"/>
        <v>41</v>
      </c>
      <c r="BB99" s="142">
        <v>462</v>
      </c>
      <c r="BD99" s="142" t="s">
        <v>123</v>
      </c>
    </row>
    <row r="100" spans="2:56" s="142" customFormat="1" ht="21" customHeight="1" x14ac:dyDescent="0.25">
      <c r="B100" s="173" t="str">
        <f t="shared" si="17"/>
        <v>0-304L/FH-1.20X639</v>
      </c>
      <c r="C100" s="201" t="s">
        <v>5237</v>
      </c>
      <c r="D100" s="173" t="s">
        <v>16</v>
      </c>
      <c r="E100" s="173" t="s">
        <v>3961</v>
      </c>
      <c r="F100" s="201" t="s">
        <v>3962</v>
      </c>
      <c r="G100" s="173" t="s">
        <v>182</v>
      </c>
      <c r="H100" s="173" t="s">
        <v>70</v>
      </c>
      <c r="I100" s="174">
        <v>2.91</v>
      </c>
      <c r="J100" s="174">
        <v>1.2</v>
      </c>
      <c r="K100" s="174"/>
      <c r="L100" s="174"/>
      <c r="M100" s="380">
        <v>639</v>
      </c>
      <c r="N100" s="176">
        <v>8.86</v>
      </c>
      <c r="O100" s="381">
        <v>8.86</v>
      </c>
      <c r="P100" s="382"/>
      <c r="Q100" s="176"/>
      <c r="R100" s="176"/>
      <c r="S100" s="176"/>
      <c r="T100" s="383"/>
      <c r="U100" s="380">
        <v>639</v>
      </c>
      <c r="V100" s="371" t="s">
        <v>114</v>
      </c>
      <c r="W100" s="384"/>
      <c r="X100" s="178" t="s">
        <v>4326</v>
      </c>
      <c r="Y100" s="385" t="s">
        <v>5129</v>
      </c>
      <c r="Z100" s="385"/>
      <c r="AA100" s="177">
        <v>44933</v>
      </c>
      <c r="AB100" s="177"/>
      <c r="AC100" s="177"/>
      <c r="AD100" s="177">
        <v>44936</v>
      </c>
      <c r="AE100" s="177"/>
      <c r="AF100" s="177"/>
      <c r="AG100" s="177">
        <v>44942</v>
      </c>
      <c r="AH100" s="177"/>
      <c r="AI100" s="180"/>
      <c r="AJ100" s="173"/>
      <c r="AK100" s="173" t="s">
        <v>2479</v>
      </c>
      <c r="AL100" s="181" t="s">
        <v>69</v>
      </c>
      <c r="AM100" s="181" t="s">
        <v>142</v>
      </c>
      <c r="AN100" s="181" t="s">
        <v>1887</v>
      </c>
      <c r="AO100" s="181"/>
      <c r="AP100" s="181">
        <v>44880</v>
      </c>
      <c r="AQ100" s="173"/>
      <c r="AR100" s="181">
        <f t="shared" ca="1" si="20"/>
        <v>44958</v>
      </c>
      <c r="AS100" s="176">
        <f t="shared" ca="1" si="18"/>
        <v>78</v>
      </c>
      <c r="AT100" s="176" t="str">
        <f t="shared" si="19"/>
        <v/>
      </c>
      <c r="AU100" s="176"/>
      <c r="AV100" s="176" t="s">
        <v>2273</v>
      </c>
      <c r="AW100" s="176">
        <v>8.86</v>
      </c>
      <c r="AX100" s="176">
        <v>8.8699999999999992</v>
      </c>
      <c r="AY100" s="173">
        <v>8.8949999999999978</v>
      </c>
      <c r="AZ100" s="142">
        <v>8.8999999999999986</v>
      </c>
      <c r="BA100" s="142" t="str">
        <f t="shared" si="13"/>
        <v/>
      </c>
      <c r="BB100" s="142">
        <v>459</v>
      </c>
      <c r="BD100" s="142" t="s">
        <v>123</v>
      </c>
    </row>
    <row r="101" spans="2:56" s="142" customFormat="1" ht="21" customHeight="1" x14ac:dyDescent="0.25">
      <c r="B101" s="173" t="str">
        <f t="shared" si="17"/>
        <v>0-304L/2B-1.20X639</v>
      </c>
      <c r="C101" s="201" t="s">
        <v>5232</v>
      </c>
      <c r="D101" s="173" t="s">
        <v>4432</v>
      </c>
      <c r="E101" s="173" t="s">
        <v>3937</v>
      </c>
      <c r="F101" s="201" t="s">
        <v>5238</v>
      </c>
      <c r="G101" s="173" t="s">
        <v>182</v>
      </c>
      <c r="H101" s="173" t="s">
        <v>114</v>
      </c>
      <c r="I101" s="174">
        <v>2.87</v>
      </c>
      <c r="J101" s="174">
        <v>1.2</v>
      </c>
      <c r="K101" s="174">
        <v>1.1499999999999999</v>
      </c>
      <c r="L101" s="174">
        <v>1.18</v>
      </c>
      <c r="M101" s="380">
        <v>639</v>
      </c>
      <c r="N101" s="176">
        <v>10.565</v>
      </c>
      <c r="O101" s="381">
        <f>5.145+5.075</f>
        <v>10.219999999999999</v>
      </c>
      <c r="P101" s="382"/>
      <c r="Q101" s="176">
        <v>0.08</v>
      </c>
      <c r="R101" s="176">
        <v>0.02</v>
      </c>
      <c r="S101" s="176">
        <v>0.245</v>
      </c>
      <c r="T101" s="383"/>
      <c r="U101" s="380" t="s">
        <v>5124</v>
      </c>
      <c r="V101" s="371" t="s">
        <v>114</v>
      </c>
      <c r="W101" s="384" t="s">
        <v>5186</v>
      </c>
      <c r="X101" s="178" t="s">
        <v>4326</v>
      </c>
      <c r="Y101" s="385"/>
      <c r="Z101" s="385"/>
      <c r="AA101" s="177">
        <v>44932</v>
      </c>
      <c r="AB101" s="177"/>
      <c r="AC101" s="177"/>
      <c r="AD101" s="177">
        <v>44936</v>
      </c>
      <c r="AE101" s="177">
        <v>44942</v>
      </c>
      <c r="AF101" s="177"/>
      <c r="AG101" s="177">
        <v>44941</v>
      </c>
      <c r="AH101" s="177"/>
      <c r="AI101" s="180"/>
      <c r="AJ101" s="173"/>
      <c r="AK101" s="173" t="s">
        <v>2479</v>
      </c>
      <c r="AL101" s="181" t="s">
        <v>69</v>
      </c>
      <c r="AM101" s="181" t="s">
        <v>142</v>
      </c>
      <c r="AN101" s="181" t="s">
        <v>1657</v>
      </c>
      <c r="AO101" s="181"/>
      <c r="AP101" s="181">
        <v>44849</v>
      </c>
      <c r="AQ101" s="173"/>
      <c r="AR101" s="181">
        <f t="shared" ca="1" si="20"/>
        <v>44958</v>
      </c>
      <c r="AS101" s="176">
        <f t="shared" ca="1" si="18"/>
        <v>109</v>
      </c>
      <c r="AT101" s="176">
        <f t="shared" ca="1" si="19"/>
        <v>16</v>
      </c>
      <c r="AU101" s="176"/>
      <c r="AV101" s="176" t="s">
        <v>3939</v>
      </c>
      <c r="AW101" s="176">
        <v>10.58</v>
      </c>
      <c r="AX101" s="176">
        <v>10.59</v>
      </c>
      <c r="AY101" s="173">
        <v>10.614999999999998</v>
      </c>
      <c r="AZ101" s="142">
        <v>10.62</v>
      </c>
      <c r="BA101" s="142" t="str">
        <f t="shared" si="13"/>
        <v/>
      </c>
      <c r="BB101" s="142">
        <v>456</v>
      </c>
      <c r="BD101" s="142" t="s">
        <v>123</v>
      </c>
    </row>
    <row r="102" spans="2:56" s="142" customFormat="1" ht="21" customHeight="1" x14ac:dyDescent="0.25">
      <c r="B102" s="173" t="str">
        <f t="shared" si="17"/>
        <v>0-304L/FH-1.00X644</v>
      </c>
      <c r="C102" s="201" t="s">
        <v>5237</v>
      </c>
      <c r="D102" s="173" t="s">
        <v>16</v>
      </c>
      <c r="E102" s="173" t="s">
        <v>1686</v>
      </c>
      <c r="F102" s="201" t="s">
        <v>4397</v>
      </c>
      <c r="G102" s="173" t="s">
        <v>182</v>
      </c>
      <c r="H102" s="173" t="s">
        <v>70</v>
      </c>
      <c r="I102" s="174">
        <v>2.79</v>
      </c>
      <c r="J102" s="174">
        <v>1</v>
      </c>
      <c r="K102" s="174"/>
      <c r="L102" s="174"/>
      <c r="M102" s="380">
        <v>644</v>
      </c>
      <c r="N102" s="176">
        <v>9.2850000000000001</v>
      </c>
      <c r="O102" s="381">
        <v>9.2850000000000001</v>
      </c>
      <c r="P102" s="382"/>
      <c r="Q102" s="176"/>
      <c r="R102" s="176"/>
      <c r="S102" s="176"/>
      <c r="T102" s="383"/>
      <c r="U102" s="380">
        <v>644</v>
      </c>
      <c r="V102" s="371" t="s">
        <v>114</v>
      </c>
      <c r="W102" s="384"/>
      <c r="X102" s="178" t="s">
        <v>4326</v>
      </c>
      <c r="Y102" s="385" t="s">
        <v>5129</v>
      </c>
      <c r="Z102" s="385"/>
      <c r="AA102" s="177">
        <v>44933</v>
      </c>
      <c r="AB102" s="177"/>
      <c r="AC102" s="177"/>
      <c r="AD102" s="177">
        <v>44935</v>
      </c>
      <c r="AE102" s="177">
        <v>44942</v>
      </c>
      <c r="AF102" s="177"/>
      <c r="AG102" s="177">
        <v>44942</v>
      </c>
      <c r="AH102" s="177"/>
      <c r="AI102" s="180"/>
      <c r="AJ102" s="173"/>
      <c r="AK102" s="173" t="s">
        <v>1619</v>
      </c>
      <c r="AL102" s="181" t="s">
        <v>69</v>
      </c>
      <c r="AM102" s="181" t="s">
        <v>142</v>
      </c>
      <c r="AN102" s="181" t="s">
        <v>1657</v>
      </c>
      <c r="AO102" s="181"/>
      <c r="AP102" s="181">
        <v>44849</v>
      </c>
      <c r="AQ102" s="173"/>
      <c r="AR102" s="181">
        <f t="shared" ca="1" si="20"/>
        <v>44958</v>
      </c>
      <c r="AS102" s="176">
        <f t="shared" ca="1" si="18"/>
        <v>109</v>
      </c>
      <c r="AT102" s="176">
        <f t="shared" ca="1" si="19"/>
        <v>16</v>
      </c>
      <c r="AU102" s="176"/>
      <c r="AV102" s="176" t="s">
        <v>1689</v>
      </c>
      <c r="AW102" s="176">
        <v>10.725</v>
      </c>
      <c r="AX102" s="176">
        <v>10.734999999999999</v>
      </c>
      <c r="AY102" s="173">
        <v>10.759999999999998</v>
      </c>
      <c r="AZ102" s="142">
        <v>10.764999999999999</v>
      </c>
      <c r="BA102" s="142" t="str">
        <f t="shared" si="13"/>
        <v/>
      </c>
      <c r="BB102" s="142">
        <v>456</v>
      </c>
      <c r="BD102" s="142" t="s">
        <v>123</v>
      </c>
    </row>
    <row r="103" spans="2:56" s="142" customFormat="1" ht="21" customHeight="1" x14ac:dyDescent="0.25">
      <c r="B103" s="173" t="str">
        <f t="shared" si="17"/>
        <v>0-304L/2B-1.20X639</v>
      </c>
      <c r="C103" s="201" t="s">
        <v>5232</v>
      </c>
      <c r="D103" s="173" t="s">
        <v>4432</v>
      </c>
      <c r="E103" s="173" t="s">
        <v>4014</v>
      </c>
      <c r="F103" s="201" t="s">
        <v>5239</v>
      </c>
      <c r="G103" s="173" t="s">
        <v>182</v>
      </c>
      <c r="H103" s="173" t="s">
        <v>114</v>
      </c>
      <c r="I103" s="174">
        <v>2.89</v>
      </c>
      <c r="J103" s="174">
        <v>1.2</v>
      </c>
      <c r="K103" s="174">
        <v>1.17</v>
      </c>
      <c r="L103" s="174">
        <v>1.18</v>
      </c>
      <c r="M103" s="380">
        <v>639</v>
      </c>
      <c r="N103" s="176">
        <v>10.164999999999999</v>
      </c>
      <c r="O103" s="381">
        <f>5.045+4.905</f>
        <v>9.9499999999999993</v>
      </c>
      <c r="P103" s="382"/>
      <c r="Q103" s="176">
        <v>0.04</v>
      </c>
      <c r="R103" s="176"/>
      <c r="S103" s="176">
        <v>0.215</v>
      </c>
      <c r="T103" s="383"/>
      <c r="U103" s="380" t="s">
        <v>5124</v>
      </c>
      <c r="V103" s="371" t="s">
        <v>114</v>
      </c>
      <c r="W103" s="384" t="s">
        <v>5186</v>
      </c>
      <c r="X103" s="178" t="s">
        <v>4326</v>
      </c>
      <c r="Y103" s="385"/>
      <c r="Z103" s="385"/>
      <c r="AA103" s="177">
        <v>44936</v>
      </c>
      <c r="AB103" s="177"/>
      <c r="AC103" s="177"/>
      <c r="AD103" s="177">
        <v>44936</v>
      </c>
      <c r="AE103" s="177">
        <v>44942</v>
      </c>
      <c r="AF103" s="177"/>
      <c r="AG103" s="177">
        <v>44941</v>
      </c>
      <c r="AH103" s="177"/>
      <c r="AI103" s="180"/>
      <c r="AJ103" s="173"/>
      <c r="AK103" s="173" t="s">
        <v>2479</v>
      </c>
      <c r="AL103" s="181" t="s">
        <v>69</v>
      </c>
      <c r="AM103" s="181" t="s">
        <v>142</v>
      </c>
      <c r="AN103" s="181" t="s">
        <v>1657</v>
      </c>
      <c r="AO103" s="181"/>
      <c r="AP103" s="181">
        <v>44849</v>
      </c>
      <c r="AQ103" s="173"/>
      <c r="AR103" s="181">
        <f t="shared" ca="1" si="20"/>
        <v>44958</v>
      </c>
      <c r="AS103" s="176">
        <f t="shared" ca="1" si="18"/>
        <v>109</v>
      </c>
      <c r="AT103" s="176">
        <f t="shared" ca="1" si="19"/>
        <v>16</v>
      </c>
      <c r="AU103" s="176"/>
      <c r="AV103" s="176" t="s">
        <v>4016</v>
      </c>
      <c r="AW103" s="176">
        <v>10.215</v>
      </c>
      <c r="AX103" s="176">
        <v>10.225</v>
      </c>
      <c r="AY103" s="173">
        <v>10.249999999999998</v>
      </c>
      <c r="AZ103" s="142">
        <v>10.254999999999999</v>
      </c>
      <c r="BA103" s="142" t="str">
        <f t="shared" si="13"/>
        <v/>
      </c>
      <c r="BB103" s="142">
        <v>456</v>
      </c>
      <c r="BD103" s="142" t="s">
        <v>123</v>
      </c>
    </row>
    <row r="104" spans="2:56" s="142" customFormat="1" ht="21" customHeight="1" x14ac:dyDescent="0.25">
      <c r="B104" s="173" t="str">
        <f t="shared" si="17"/>
        <v>0-304L/FH-1.20X637</v>
      </c>
      <c r="C104" s="201" t="s">
        <v>5237</v>
      </c>
      <c r="D104" s="173" t="s">
        <v>16</v>
      </c>
      <c r="E104" s="173" t="s">
        <v>4097</v>
      </c>
      <c r="F104" s="201" t="s">
        <v>4098</v>
      </c>
      <c r="G104" s="173" t="s">
        <v>182</v>
      </c>
      <c r="H104" s="173" t="s">
        <v>70</v>
      </c>
      <c r="I104" s="174">
        <v>2.89</v>
      </c>
      <c r="J104" s="174">
        <v>1.2</v>
      </c>
      <c r="K104" s="174"/>
      <c r="L104" s="174"/>
      <c r="M104" s="380">
        <v>637</v>
      </c>
      <c r="N104" s="176">
        <v>10.185</v>
      </c>
      <c r="O104" s="381">
        <v>10.185</v>
      </c>
      <c r="P104" s="382"/>
      <c r="Q104" s="176"/>
      <c r="R104" s="176"/>
      <c r="S104" s="176"/>
      <c r="T104" s="383"/>
      <c r="U104" s="380">
        <v>637</v>
      </c>
      <c r="V104" s="371" t="s">
        <v>114</v>
      </c>
      <c r="W104" s="384"/>
      <c r="X104" s="178" t="s">
        <v>4326</v>
      </c>
      <c r="Y104" s="385" t="s">
        <v>5129</v>
      </c>
      <c r="Z104" s="385"/>
      <c r="AA104" s="177">
        <v>44940</v>
      </c>
      <c r="AB104" s="177"/>
      <c r="AC104" s="177"/>
      <c r="AD104" s="177">
        <v>44941</v>
      </c>
      <c r="AE104" s="177"/>
      <c r="AF104" s="177"/>
      <c r="AG104" s="177">
        <v>44942</v>
      </c>
      <c r="AH104" s="177"/>
      <c r="AI104" s="180"/>
      <c r="AJ104" s="173"/>
      <c r="AK104" s="173" t="s">
        <v>2479</v>
      </c>
      <c r="AL104" s="181" t="s">
        <v>69</v>
      </c>
      <c r="AM104" s="181" t="s">
        <v>142</v>
      </c>
      <c r="AN104" s="181" t="s">
        <v>1657</v>
      </c>
      <c r="AO104" s="181"/>
      <c r="AP104" s="181">
        <v>44849</v>
      </c>
      <c r="AQ104" s="173"/>
      <c r="AR104" s="181">
        <f t="shared" ca="1" si="20"/>
        <v>44958</v>
      </c>
      <c r="AS104" s="176">
        <f t="shared" ca="1" si="18"/>
        <v>109</v>
      </c>
      <c r="AT104" s="176" t="str">
        <f t="shared" si="19"/>
        <v/>
      </c>
      <c r="AU104" s="176"/>
      <c r="AV104" s="176" t="s">
        <v>4016</v>
      </c>
      <c r="AW104" s="176">
        <v>10.185</v>
      </c>
      <c r="AX104" s="176">
        <v>10.195</v>
      </c>
      <c r="AY104" s="173">
        <v>10.219999999999999</v>
      </c>
      <c r="AZ104" s="142">
        <v>10.225</v>
      </c>
      <c r="BA104" s="142" t="str">
        <f t="shared" si="13"/>
        <v/>
      </c>
      <c r="BB104" s="142">
        <v>456</v>
      </c>
      <c r="BD104" s="142" t="s">
        <v>123</v>
      </c>
    </row>
    <row r="105" spans="2:56" s="142" customFormat="1" ht="21" customHeight="1" x14ac:dyDescent="0.25">
      <c r="B105" s="173" t="str">
        <f t="shared" si="17"/>
        <v>0-304/2B-1.95X765</v>
      </c>
      <c r="C105" s="201" t="s">
        <v>5232</v>
      </c>
      <c r="D105" s="173" t="s">
        <v>4432</v>
      </c>
      <c r="E105" s="173" t="s">
        <v>5240</v>
      </c>
      <c r="F105" s="201" t="s">
        <v>5241</v>
      </c>
      <c r="G105" s="173">
        <v>304</v>
      </c>
      <c r="H105" s="173" t="s">
        <v>114</v>
      </c>
      <c r="I105" s="174">
        <v>4.38</v>
      </c>
      <c r="J105" s="174">
        <v>1.95</v>
      </c>
      <c r="K105" s="174">
        <v>1.94</v>
      </c>
      <c r="L105" s="174">
        <v>1.95</v>
      </c>
      <c r="M105" s="380">
        <v>765</v>
      </c>
      <c r="N105" s="176">
        <v>5.22</v>
      </c>
      <c r="O105" s="381">
        <v>4.8550000000000004</v>
      </c>
      <c r="P105" s="382"/>
      <c r="Q105" s="176">
        <v>0.16500000000000001</v>
      </c>
      <c r="R105" s="176"/>
      <c r="S105" s="176">
        <v>0.2</v>
      </c>
      <c r="T105" s="383"/>
      <c r="U105" s="380" t="s">
        <v>5124</v>
      </c>
      <c r="V105" s="371" t="s">
        <v>114</v>
      </c>
      <c r="W105" s="384" t="s">
        <v>5139</v>
      </c>
      <c r="X105" s="178" t="s">
        <v>361</v>
      </c>
      <c r="Y105" s="385"/>
      <c r="Z105" s="385"/>
      <c r="AA105" s="177">
        <v>44911</v>
      </c>
      <c r="AB105" s="177"/>
      <c r="AC105" s="177">
        <v>44911</v>
      </c>
      <c r="AD105" s="177"/>
      <c r="AE105" s="177">
        <v>44913</v>
      </c>
      <c r="AF105" s="177"/>
      <c r="AG105" s="177"/>
      <c r="AH105" s="177"/>
      <c r="AI105" s="180"/>
      <c r="AJ105" s="173"/>
      <c r="AK105" s="173" t="s">
        <v>1619</v>
      </c>
      <c r="AL105" s="181" t="s">
        <v>69</v>
      </c>
      <c r="AM105" s="181" t="s">
        <v>142</v>
      </c>
      <c r="AN105" s="181" t="s">
        <v>1887</v>
      </c>
      <c r="AO105" s="181"/>
      <c r="AP105" s="181">
        <v>44880</v>
      </c>
      <c r="AQ105" s="173"/>
      <c r="AR105" s="181">
        <f t="shared" ca="1" si="20"/>
        <v>44958</v>
      </c>
      <c r="AS105" s="176">
        <f t="shared" ca="1" si="18"/>
        <v>78</v>
      </c>
      <c r="AT105" s="176">
        <f t="shared" ca="1" si="19"/>
        <v>45</v>
      </c>
      <c r="AU105" s="176"/>
      <c r="AV105" s="176" t="s">
        <v>4634</v>
      </c>
      <c r="AW105" s="176">
        <v>10.46</v>
      </c>
      <c r="AX105" s="176">
        <v>10.47</v>
      </c>
      <c r="AY105" s="173">
        <v>10.494999999999999</v>
      </c>
      <c r="AZ105" s="142">
        <v>10.5</v>
      </c>
      <c r="BA105" s="142">
        <f t="shared" ca="1" si="13"/>
        <v>47</v>
      </c>
      <c r="BB105" s="142">
        <v>459</v>
      </c>
      <c r="BD105" s="142" t="s">
        <v>123</v>
      </c>
    </row>
    <row r="106" spans="2:56" s="142" customFormat="1" ht="21" customHeight="1" x14ac:dyDescent="0.25">
      <c r="B106" s="173" t="str">
        <f t="shared" si="17"/>
        <v>0-304L/FH-1.00X644</v>
      </c>
      <c r="C106" s="201" t="s">
        <v>5237</v>
      </c>
      <c r="D106" s="173" t="s">
        <v>16</v>
      </c>
      <c r="E106" s="173" t="s">
        <v>4023</v>
      </c>
      <c r="F106" s="201" t="s">
        <v>4024</v>
      </c>
      <c r="G106" s="173" t="s">
        <v>182</v>
      </c>
      <c r="H106" s="173" t="s">
        <v>70</v>
      </c>
      <c r="I106" s="174">
        <v>2.81</v>
      </c>
      <c r="J106" s="174">
        <v>1</v>
      </c>
      <c r="K106" s="174"/>
      <c r="L106" s="174"/>
      <c r="M106" s="380">
        <v>644</v>
      </c>
      <c r="N106" s="176">
        <v>10.67</v>
      </c>
      <c r="O106" s="381">
        <v>10.67</v>
      </c>
      <c r="P106" s="382"/>
      <c r="Q106" s="176"/>
      <c r="R106" s="176"/>
      <c r="S106" s="176"/>
      <c r="T106" s="383"/>
      <c r="U106" s="380">
        <v>644</v>
      </c>
      <c r="V106" s="371" t="s">
        <v>114</v>
      </c>
      <c r="W106" s="384"/>
      <c r="X106" s="178" t="s">
        <v>4400</v>
      </c>
      <c r="Y106" s="385"/>
      <c r="Z106" s="385"/>
      <c r="AA106" s="177">
        <v>44936</v>
      </c>
      <c r="AB106" s="177"/>
      <c r="AC106" s="177"/>
      <c r="AD106" s="177">
        <v>44937</v>
      </c>
      <c r="AE106" s="177"/>
      <c r="AF106" s="177"/>
      <c r="AG106" s="177">
        <v>44942</v>
      </c>
      <c r="AH106" s="177"/>
      <c r="AI106" s="180"/>
      <c r="AJ106" s="173"/>
      <c r="AK106" s="173" t="s">
        <v>2479</v>
      </c>
      <c r="AL106" s="181" t="s">
        <v>69</v>
      </c>
      <c r="AM106" s="181" t="s">
        <v>142</v>
      </c>
      <c r="AN106" s="181" t="s">
        <v>1653</v>
      </c>
      <c r="AO106" s="181"/>
      <c r="AP106" s="181">
        <v>44880</v>
      </c>
      <c r="AQ106" s="173"/>
      <c r="AR106" s="181">
        <f t="shared" ca="1" si="20"/>
        <v>44958</v>
      </c>
      <c r="AS106" s="176">
        <f t="shared" ca="1" si="18"/>
        <v>78</v>
      </c>
      <c r="AT106" s="176" t="str">
        <f t="shared" si="19"/>
        <v/>
      </c>
      <c r="AU106" s="176"/>
      <c r="AV106" s="176" t="s">
        <v>2085</v>
      </c>
      <c r="AW106" s="176">
        <v>10.67</v>
      </c>
      <c r="AX106" s="176">
        <v>10.68</v>
      </c>
      <c r="AY106" s="173">
        <v>10.704999999999998</v>
      </c>
      <c r="AZ106" s="142">
        <v>10.709999999999999</v>
      </c>
      <c r="BA106" s="142" t="str">
        <f t="shared" si="13"/>
        <v/>
      </c>
      <c r="BB106" s="142">
        <v>459</v>
      </c>
      <c r="BD106" s="142" t="s">
        <v>123</v>
      </c>
    </row>
    <row r="107" spans="2:56" s="142" customFormat="1" ht="21" customHeight="1" x14ac:dyDescent="0.25">
      <c r="B107" s="173" t="str">
        <f t="shared" si="17"/>
        <v>0-304L/FH-0.50X642</v>
      </c>
      <c r="C107" s="201" t="s">
        <v>5237</v>
      </c>
      <c r="D107" s="173" t="s">
        <v>16</v>
      </c>
      <c r="E107" s="173" t="s">
        <v>4408</v>
      </c>
      <c r="F107" s="201" t="s">
        <v>4409</v>
      </c>
      <c r="G107" s="173" t="s">
        <v>182</v>
      </c>
      <c r="H107" s="173" t="s">
        <v>70</v>
      </c>
      <c r="I107" s="174">
        <v>2.5</v>
      </c>
      <c r="J107" s="174">
        <v>0.5</v>
      </c>
      <c r="K107" s="174"/>
      <c r="L107" s="174"/>
      <c r="M107" s="380">
        <v>642</v>
      </c>
      <c r="N107" s="176">
        <v>10.545</v>
      </c>
      <c r="O107" s="381">
        <v>10.545</v>
      </c>
      <c r="P107" s="382"/>
      <c r="Q107" s="176"/>
      <c r="R107" s="176"/>
      <c r="S107" s="176"/>
      <c r="T107" s="383"/>
      <c r="U107" s="380">
        <v>642</v>
      </c>
      <c r="V107" s="371" t="s">
        <v>114</v>
      </c>
      <c r="W107" s="384"/>
      <c r="X107" s="178" t="s">
        <v>1344</v>
      </c>
      <c r="Y107" s="385"/>
      <c r="Z107" s="385"/>
      <c r="AA107" s="177">
        <v>44913</v>
      </c>
      <c r="AB107" s="177"/>
      <c r="AC107" s="177"/>
      <c r="AD107" s="177">
        <v>44942</v>
      </c>
      <c r="AE107" s="177"/>
      <c r="AF107" s="177"/>
      <c r="AG107" s="177">
        <v>44942</v>
      </c>
      <c r="AH107" s="177"/>
      <c r="AI107" s="180"/>
      <c r="AJ107" s="173"/>
      <c r="AK107" s="173" t="s">
        <v>1619</v>
      </c>
      <c r="AL107" s="181" t="s">
        <v>69</v>
      </c>
      <c r="AM107" s="181" t="s">
        <v>142</v>
      </c>
      <c r="AN107" s="181" t="s">
        <v>1594</v>
      </c>
      <c r="AO107" s="181"/>
      <c r="AP107" s="181">
        <v>44849</v>
      </c>
      <c r="AQ107" s="173"/>
      <c r="AR107" s="181">
        <f t="shared" ca="1" si="20"/>
        <v>44958</v>
      </c>
      <c r="AS107" s="176">
        <f t="shared" ca="1" si="18"/>
        <v>109</v>
      </c>
      <c r="AT107" s="176" t="str">
        <f t="shared" si="19"/>
        <v/>
      </c>
      <c r="AU107" s="176"/>
      <c r="AV107" s="176" t="s">
        <v>4410</v>
      </c>
      <c r="AW107" s="176">
        <v>10.545</v>
      </c>
      <c r="AX107" s="176">
        <v>10.555</v>
      </c>
      <c r="AY107" s="173">
        <v>10.579999999999998</v>
      </c>
      <c r="AZ107" s="142">
        <v>10.584999999999999</v>
      </c>
      <c r="BA107" s="142" t="str">
        <f t="shared" ref="BA107:BA170" si="21">IF(ISNUMBER(AC107)=TRUE,AR107-AC107,IF(AC107="","",(AR107)-(MID(RIGHT(AC107,10),4,2)&amp;"/"&amp;LEFT((RIGHT(AC107,10)),2)&amp;"/"&amp;RIGHT(AC107,4))))</f>
        <v/>
      </c>
      <c r="BB107" s="142">
        <v>456</v>
      </c>
      <c r="BD107" s="142" t="s">
        <v>123</v>
      </c>
    </row>
    <row r="108" spans="2:56" s="142" customFormat="1" ht="21" customHeight="1" x14ac:dyDescent="0.25">
      <c r="B108" s="173" t="str">
        <f t="shared" si="17"/>
        <v>0-304L/2B-0.40X643</v>
      </c>
      <c r="C108" s="201" t="s">
        <v>5232</v>
      </c>
      <c r="D108" s="173" t="s">
        <v>4432</v>
      </c>
      <c r="E108" s="173" t="s">
        <v>4765</v>
      </c>
      <c r="F108" s="201" t="s">
        <v>5242</v>
      </c>
      <c r="G108" s="173" t="s">
        <v>182</v>
      </c>
      <c r="H108" s="173" t="s">
        <v>114</v>
      </c>
      <c r="I108" s="174">
        <v>2.4900000000000002</v>
      </c>
      <c r="J108" s="174">
        <v>0.4</v>
      </c>
      <c r="K108" s="174">
        <v>0.4</v>
      </c>
      <c r="L108" s="174">
        <v>0.42</v>
      </c>
      <c r="M108" s="380">
        <v>643</v>
      </c>
      <c r="N108" s="176">
        <v>10.63</v>
      </c>
      <c r="O108" s="381">
        <f>4.94+5.13</f>
        <v>10.07</v>
      </c>
      <c r="P108" s="382"/>
      <c r="Q108" s="176">
        <f>0.14+0.035</f>
        <v>0.17500000000000002</v>
      </c>
      <c r="R108" s="176"/>
      <c r="S108" s="176"/>
      <c r="T108" s="383"/>
      <c r="U108" s="380">
        <v>615</v>
      </c>
      <c r="V108" s="371" t="s">
        <v>114</v>
      </c>
      <c r="W108" s="384" t="s">
        <v>4724</v>
      </c>
      <c r="X108" s="178" t="s">
        <v>1344</v>
      </c>
      <c r="Y108" s="385"/>
      <c r="Z108" s="385"/>
      <c r="AA108" s="177" t="s">
        <v>4767</v>
      </c>
      <c r="AB108" s="177"/>
      <c r="AC108" s="177">
        <v>44915</v>
      </c>
      <c r="AD108" s="177"/>
      <c r="AE108" s="177">
        <v>44942</v>
      </c>
      <c r="AF108" s="177"/>
      <c r="AG108" s="177"/>
      <c r="AH108" s="177"/>
      <c r="AI108" s="180"/>
      <c r="AJ108" s="173"/>
      <c r="AK108" s="173" t="s">
        <v>1619</v>
      </c>
      <c r="AL108" s="181" t="s">
        <v>69</v>
      </c>
      <c r="AM108" s="181" t="s">
        <v>142</v>
      </c>
      <c r="AN108" s="181" t="s">
        <v>1657</v>
      </c>
      <c r="AO108" s="181"/>
      <c r="AP108" s="181">
        <v>44849</v>
      </c>
      <c r="AQ108" s="173"/>
      <c r="AR108" s="181">
        <f t="shared" ca="1" si="20"/>
        <v>44958</v>
      </c>
      <c r="AS108" s="176">
        <f t="shared" ca="1" si="18"/>
        <v>109</v>
      </c>
      <c r="AT108" s="176">
        <f t="shared" ca="1" si="19"/>
        <v>16</v>
      </c>
      <c r="AU108" s="176"/>
      <c r="AV108" s="176" t="s">
        <v>3923</v>
      </c>
      <c r="AW108" s="176">
        <v>10.66</v>
      </c>
      <c r="AX108" s="176">
        <v>10.67</v>
      </c>
      <c r="AY108" s="173">
        <v>10.694999999999999</v>
      </c>
      <c r="AZ108" s="142">
        <v>10.7</v>
      </c>
      <c r="BA108" s="142">
        <f t="shared" ca="1" si="21"/>
        <v>43</v>
      </c>
      <c r="BB108" s="142">
        <v>456</v>
      </c>
      <c r="BD108" s="142" t="s">
        <v>123</v>
      </c>
    </row>
    <row r="109" spans="2:56" s="142" customFormat="1" ht="21" customHeight="1" x14ac:dyDescent="0.25">
      <c r="B109" s="173" t="str">
        <f t="shared" si="17"/>
        <v>0-304L/FH-0.50X642</v>
      </c>
      <c r="C109" s="201" t="s">
        <v>5237</v>
      </c>
      <c r="D109" s="173" t="s">
        <v>16</v>
      </c>
      <c r="E109" s="173" t="s">
        <v>4411</v>
      </c>
      <c r="F109" s="201" t="s">
        <v>4412</v>
      </c>
      <c r="G109" s="173" t="s">
        <v>182</v>
      </c>
      <c r="H109" s="173" t="s">
        <v>70</v>
      </c>
      <c r="I109" s="174">
        <v>2.5</v>
      </c>
      <c r="J109" s="174">
        <v>0.5</v>
      </c>
      <c r="K109" s="174"/>
      <c r="L109" s="174"/>
      <c r="M109" s="380">
        <v>642</v>
      </c>
      <c r="N109" s="176">
        <v>10.545</v>
      </c>
      <c r="O109" s="381">
        <v>10.545</v>
      </c>
      <c r="P109" s="382"/>
      <c r="Q109" s="176"/>
      <c r="R109" s="176"/>
      <c r="S109" s="176"/>
      <c r="T109" s="383"/>
      <c r="U109" s="380">
        <v>642</v>
      </c>
      <c r="V109" s="371" t="s">
        <v>114</v>
      </c>
      <c r="W109" s="384"/>
      <c r="X109" s="178" t="s">
        <v>1344</v>
      </c>
      <c r="Y109" s="385"/>
      <c r="Z109" s="385"/>
      <c r="AA109" s="177">
        <v>44914</v>
      </c>
      <c r="AB109" s="177"/>
      <c r="AC109" s="177"/>
      <c r="AD109" s="177">
        <v>44942</v>
      </c>
      <c r="AE109" s="177"/>
      <c r="AF109" s="177"/>
      <c r="AG109" s="177">
        <v>44942</v>
      </c>
      <c r="AH109" s="177"/>
      <c r="AI109" s="180"/>
      <c r="AJ109" s="173"/>
      <c r="AK109" s="173" t="s">
        <v>1619</v>
      </c>
      <c r="AL109" s="181" t="s">
        <v>69</v>
      </c>
      <c r="AM109" s="181" t="s">
        <v>142</v>
      </c>
      <c r="AN109" s="181" t="s">
        <v>1594</v>
      </c>
      <c r="AO109" s="181"/>
      <c r="AP109" s="181">
        <v>44849</v>
      </c>
      <c r="AQ109" s="173"/>
      <c r="AR109" s="181">
        <f t="shared" ca="1" si="20"/>
        <v>44958</v>
      </c>
      <c r="AS109" s="176">
        <f t="shared" ca="1" si="18"/>
        <v>109</v>
      </c>
      <c r="AT109" s="176" t="str">
        <f t="shared" si="19"/>
        <v/>
      </c>
      <c r="AU109" s="176"/>
      <c r="AV109" s="176" t="s">
        <v>4410</v>
      </c>
      <c r="AW109" s="176">
        <v>10.545</v>
      </c>
      <c r="AX109" s="176">
        <v>10.555</v>
      </c>
      <c r="AY109" s="173">
        <v>10.579999999999998</v>
      </c>
      <c r="AZ109" s="142">
        <v>10.584999999999999</v>
      </c>
      <c r="BA109" s="142" t="str">
        <f t="shared" si="21"/>
        <v/>
      </c>
      <c r="BB109" s="142">
        <v>456</v>
      </c>
      <c r="BD109" s="142" t="s">
        <v>123</v>
      </c>
    </row>
    <row r="110" spans="2:56" s="142" customFormat="1" ht="21" customHeight="1" x14ac:dyDescent="0.25">
      <c r="B110" s="173" t="str">
        <f t="shared" si="17"/>
        <v>0-304L/2B-1.00X644</v>
      </c>
      <c r="C110" s="201" t="s">
        <v>5232</v>
      </c>
      <c r="D110" s="173" t="s">
        <v>4432</v>
      </c>
      <c r="E110" s="173" t="s">
        <v>1686</v>
      </c>
      <c r="F110" s="201" t="s">
        <v>5243</v>
      </c>
      <c r="G110" s="173" t="s">
        <v>182</v>
      </c>
      <c r="H110" s="173" t="s">
        <v>114</v>
      </c>
      <c r="I110" s="174">
        <v>2.79</v>
      </c>
      <c r="J110" s="174">
        <v>1</v>
      </c>
      <c r="K110" s="174">
        <v>0.99</v>
      </c>
      <c r="L110" s="174">
        <v>1.01</v>
      </c>
      <c r="M110" s="380">
        <v>644</v>
      </c>
      <c r="N110" s="176">
        <v>4.7699999999999996</v>
      </c>
      <c r="O110" s="381">
        <v>4.7699999999999996</v>
      </c>
      <c r="P110" s="382"/>
      <c r="Q110" s="176"/>
      <c r="R110" s="176"/>
      <c r="S110" s="176"/>
      <c r="T110" s="383"/>
      <c r="U110" s="380" t="s">
        <v>5124</v>
      </c>
      <c r="V110" s="371" t="s">
        <v>114</v>
      </c>
      <c r="W110" s="384" t="s">
        <v>5186</v>
      </c>
      <c r="X110" s="178" t="s">
        <v>4326</v>
      </c>
      <c r="Y110" s="385"/>
      <c r="Z110" s="385"/>
      <c r="AA110" s="177">
        <v>44933</v>
      </c>
      <c r="AB110" s="177"/>
      <c r="AC110" s="177"/>
      <c r="AD110" s="177">
        <v>44935</v>
      </c>
      <c r="AE110" s="177">
        <v>44942</v>
      </c>
      <c r="AF110" s="177"/>
      <c r="AG110" s="177">
        <v>44942</v>
      </c>
      <c r="AH110" s="177"/>
      <c r="AI110" s="180"/>
      <c r="AJ110" s="173"/>
      <c r="AK110" s="173" t="s">
        <v>1619</v>
      </c>
      <c r="AL110" s="181" t="s">
        <v>69</v>
      </c>
      <c r="AM110" s="181" t="s">
        <v>142</v>
      </c>
      <c r="AN110" s="181" t="s">
        <v>1657</v>
      </c>
      <c r="AO110" s="181"/>
      <c r="AP110" s="181">
        <v>44849</v>
      </c>
      <c r="AQ110" s="173"/>
      <c r="AR110" s="181">
        <f t="shared" ca="1" si="20"/>
        <v>44958</v>
      </c>
      <c r="AS110" s="176">
        <f t="shared" ca="1" si="18"/>
        <v>109</v>
      </c>
      <c r="AT110" s="176">
        <f t="shared" ca="1" si="19"/>
        <v>16</v>
      </c>
      <c r="AU110" s="176"/>
      <c r="AV110" s="176" t="s">
        <v>1689</v>
      </c>
      <c r="AW110" s="176">
        <v>10.725</v>
      </c>
      <c r="AX110" s="176">
        <v>10.734999999999999</v>
      </c>
      <c r="AY110" s="173">
        <v>10.759999999999998</v>
      </c>
      <c r="AZ110" s="142">
        <v>10.764999999999999</v>
      </c>
      <c r="BA110" s="142" t="str">
        <f t="shared" si="21"/>
        <v/>
      </c>
      <c r="BB110" s="142">
        <v>456</v>
      </c>
      <c r="BD110" s="142" t="s">
        <v>123</v>
      </c>
    </row>
    <row r="111" spans="2:56" s="142" customFormat="1" ht="21" customHeight="1" x14ac:dyDescent="0.25">
      <c r="B111" s="173" t="str">
        <f t="shared" si="17"/>
        <v>0-304L/2B-1.00X644</v>
      </c>
      <c r="C111" s="201" t="s">
        <v>5244</v>
      </c>
      <c r="D111" s="173" t="s">
        <v>4432</v>
      </c>
      <c r="E111" s="173" t="s">
        <v>1686</v>
      </c>
      <c r="F111" s="201" t="s">
        <v>5245</v>
      </c>
      <c r="G111" s="173" t="s">
        <v>182</v>
      </c>
      <c r="H111" s="173" t="s">
        <v>114</v>
      </c>
      <c r="I111" s="174">
        <v>2.79</v>
      </c>
      <c r="J111" s="174">
        <v>1</v>
      </c>
      <c r="K111" s="174">
        <v>0.99</v>
      </c>
      <c r="L111" s="174">
        <v>1.01</v>
      </c>
      <c r="M111" s="380">
        <v>644</v>
      </c>
      <c r="N111" s="176">
        <f>9.19-4.77</f>
        <v>4.42</v>
      </c>
      <c r="O111" s="381">
        <v>4.2750000000000004</v>
      </c>
      <c r="P111" s="382"/>
      <c r="Q111" s="176">
        <v>0.04</v>
      </c>
      <c r="R111" s="176"/>
      <c r="S111" s="176">
        <v>0.05</v>
      </c>
      <c r="T111" s="383"/>
      <c r="U111" s="380" t="s">
        <v>5124</v>
      </c>
      <c r="V111" s="371" t="s">
        <v>114</v>
      </c>
      <c r="W111" s="384" t="s">
        <v>5186</v>
      </c>
      <c r="X111" s="178" t="s">
        <v>4326</v>
      </c>
      <c r="Y111" s="385"/>
      <c r="Z111" s="385"/>
      <c r="AA111" s="177">
        <v>44933</v>
      </c>
      <c r="AB111" s="177"/>
      <c r="AC111" s="177"/>
      <c r="AD111" s="177">
        <v>44935</v>
      </c>
      <c r="AE111" s="177">
        <v>44942</v>
      </c>
      <c r="AF111" s="177"/>
      <c r="AG111" s="177">
        <v>44942</v>
      </c>
      <c r="AH111" s="177"/>
      <c r="AI111" s="180"/>
      <c r="AJ111" s="173"/>
      <c r="AK111" s="173" t="s">
        <v>1619</v>
      </c>
      <c r="AL111" s="181" t="s">
        <v>69</v>
      </c>
      <c r="AM111" s="181" t="s">
        <v>142</v>
      </c>
      <c r="AN111" s="181" t="s">
        <v>1657</v>
      </c>
      <c r="AO111" s="181"/>
      <c r="AP111" s="181">
        <v>44849</v>
      </c>
      <c r="AQ111" s="173"/>
      <c r="AR111" s="181">
        <f t="shared" ca="1" si="20"/>
        <v>44958</v>
      </c>
      <c r="AS111" s="176">
        <f t="shared" ca="1" si="18"/>
        <v>109</v>
      </c>
      <c r="AT111" s="176">
        <f t="shared" ca="1" si="19"/>
        <v>16</v>
      </c>
      <c r="AU111" s="176"/>
      <c r="AV111" s="176" t="s">
        <v>1689</v>
      </c>
      <c r="AW111" s="176">
        <v>10.725</v>
      </c>
      <c r="AX111" s="176">
        <v>10.734999999999999</v>
      </c>
      <c r="AY111" s="173">
        <v>10.759999999999998</v>
      </c>
      <c r="AZ111" s="142">
        <v>10.764999999999999</v>
      </c>
      <c r="BA111" s="142" t="str">
        <f t="shared" si="21"/>
        <v/>
      </c>
      <c r="BB111" s="142">
        <v>456</v>
      </c>
      <c r="BD111" s="142" t="s">
        <v>123</v>
      </c>
    </row>
    <row r="112" spans="2:56" s="142" customFormat="1" ht="21" customHeight="1" x14ac:dyDescent="0.25">
      <c r="B112" s="173" t="str">
        <f t="shared" si="17"/>
        <v>0-304L/FH-0.40X644</v>
      </c>
      <c r="C112" s="201" t="s">
        <v>5246</v>
      </c>
      <c r="D112" s="173" t="s">
        <v>16</v>
      </c>
      <c r="E112" s="173" t="s">
        <v>1772</v>
      </c>
      <c r="F112" s="201" t="s">
        <v>4413</v>
      </c>
      <c r="G112" s="173" t="s">
        <v>182</v>
      </c>
      <c r="H112" s="173" t="s">
        <v>70</v>
      </c>
      <c r="I112" s="174">
        <v>2.4900000000000002</v>
      </c>
      <c r="J112" s="174">
        <v>0.4</v>
      </c>
      <c r="K112" s="174"/>
      <c r="L112" s="174"/>
      <c r="M112" s="380">
        <v>644</v>
      </c>
      <c r="N112" s="176">
        <v>10.64</v>
      </c>
      <c r="O112" s="381">
        <v>10.64</v>
      </c>
      <c r="P112" s="382"/>
      <c r="Q112" s="176"/>
      <c r="R112" s="176"/>
      <c r="S112" s="176"/>
      <c r="T112" s="383"/>
      <c r="U112" s="380">
        <v>644</v>
      </c>
      <c r="V112" s="371" t="s">
        <v>114</v>
      </c>
      <c r="W112" s="384"/>
      <c r="X112" s="178" t="s">
        <v>1344</v>
      </c>
      <c r="Y112" s="385"/>
      <c r="Z112" s="385"/>
      <c r="AA112" s="177">
        <v>44915</v>
      </c>
      <c r="AB112" s="177"/>
      <c r="AC112" s="177"/>
      <c r="AD112" s="177">
        <v>44942</v>
      </c>
      <c r="AE112" s="177">
        <v>44943</v>
      </c>
      <c r="AF112" s="177"/>
      <c r="AG112" s="177">
        <v>44943</v>
      </c>
      <c r="AH112" s="177"/>
      <c r="AI112" s="180"/>
      <c r="AJ112" s="173"/>
      <c r="AK112" s="173" t="s">
        <v>1619</v>
      </c>
      <c r="AL112" s="181" t="s">
        <v>69</v>
      </c>
      <c r="AM112" s="181" t="s">
        <v>142</v>
      </c>
      <c r="AN112" s="181" t="s">
        <v>1657</v>
      </c>
      <c r="AO112" s="181"/>
      <c r="AP112" s="181">
        <v>44849</v>
      </c>
      <c r="AQ112" s="173"/>
      <c r="AR112" s="181">
        <f t="shared" ca="1" si="20"/>
        <v>44958</v>
      </c>
      <c r="AS112" s="176">
        <f t="shared" ca="1" si="18"/>
        <v>109</v>
      </c>
      <c r="AT112" s="176">
        <f t="shared" ca="1" si="19"/>
        <v>15</v>
      </c>
      <c r="AU112" s="176"/>
      <c r="AV112" s="176" t="s">
        <v>1775</v>
      </c>
      <c r="AW112" s="176">
        <v>10.64</v>
      </c>
      <c r="AX112" s="176">
        <v>10.65</v>
      </c>
      <c r="AY112" s="173">
        <v>10.674999999999999</v>
      </c>
      <c r="AZ112" s="142">
        <v>10.68</v>
      </c>
      <c r="BA112" s="142" t="str">
        <f t="shared" si="21"/>
        <v/>
      </c>
      <c r="BB112" s="142">
        <v>456</v>
      </c>
      <c r="BD112" s="142" t="s">
        <v>123</v>
      </c>
    </row>
    <row r="113" spans="2:56" s="142" customFormat="1" ht="21" customHeight="1" x14ac:dyDescent="0.25">
      <c r="B113" s="173" t="str">
        <f t="shared" si="17"/>
        <v>0-304L/FH-1.20X641</v>
      </c>
      <c r="C113" s="201" t="s">
        <v>5246</v>
      </c>
      <c r="D113" s="173" t="s">
        <v>16</v>
      </c>
      <c r="E113" s="173" t="s">
        <v>4108</v>
      </c>
      <c r="F113" s="201" t="s">
        <v>4109</v>
      </c>
      <c r="G113" s="173" t="s">
        <v>182</v>
      </c>
      <c r="H113" s="173" t="s">
        <v>70</v>
      </c>
      <c r="I113" s="174">
        <v>2.89</v>
      </c>
      <c r="J113" s="174">
        <v>1.2</v>
      </c>
      <c r="K113" s="174"/>
      <c r="L113" s="174"/>
      <c r="M113" s="380">
        <v>641</v>
      </c>
      <c r="N113" s="176">
        <v>10.695</v>
      </c>
      <c r="O113" s="381">
        <v>10.695</v>
      </c>
      <c r="P113" s="382"/>
      <c r="Q113" s="176"/>
      <c r="R113" s="176"/>
      <c r="S113" s="176"/>
      <c r="T113" s="383"/>
      <c r="U113" s="380">
        <v>641</v>
      </c>
      <c r="V113" s="371" t="s">
        <v>114</v>
      </c>
      <c r="W113" s="384"/>
      <c r="X113" s="178" t="s">
        <v>4326</v>
      </c>
      <c r="Y113" s="385"/>
      <c r="Z113" s="385"/>
      <c r="AA113" s="177">
        <v>44941</v>
      </c>
      <c r="AB113" s="177"/>
      <c r="AC113" s="177">
        <v>44942</v>
      </c>
      <c r="AD113" s="177"/>
      <c r="AE113" s="177"/>
      <c r="AF113" s="177"/>
      <c r="AG113" s="177">
        <v>44943</v>
      </c>
      <c r="AH113" s="177"/>
      <c r="AI113" s="180"/>
      <c r="AJ113" s="173"/>
      <c r="AK113" s="173" t="s">
        <v>2479</v>
      </c>
      <c r="AL113" s="181" t="s">
        <v>69</v>
      </c>
      <c r="AM113" s="181" t="s">
        <v>142</v>
      </c>
      <c r="AN113" s="181" t="s">
        <v>1594</v>
      </c>
      <c r="AO113" s="181"/>
      <c r="AP113" s="181">
        <v>44849</v>
      </c>
      <c r="AQ113" s="173"/>
      <c r="AR113" s="181">
        <f t="shared" ca="1" si="20"/>
        <v>44958</v>
      </c>
      <c r="AS113" s="176">
        <f t="shared" ca="1" si="18"/>
        <v>109</v>
      </c>
      <c r="AT113" s="176" t="str">
        <f t="shared" si="19"/>
        <v/>
      </c>
      <c r="AU113" s="176"/>
      <c r="AV113" s="176" t="s">
        <v>3995</v>
      </c>
      <c r="AW113" s="176">
        <v>10.695</v>
      </c>
      <c r="AX113" s="176">
        <v>10.705</v>
      </c>
      <c r="AY113" s="173">
        <v>10.729999999999999</v>
      </c>
      <c r="AZ113" s="142">
        <v>10.734999999999999</v>
      </c>
      <c r="BA113" s="142">
        <f t="shared" ca="1" si="21"/>
        <v>16</v>
      </c>
      <c r="BB113" s="142">
        <v>456</v>
      </c>
      <c r="BD113" s="142" t="s">
        <v>123</v>
      </c>
    </row>
    <row r="114" spans="2:56" s="142" customFormat="1" ht="21" customHeight="1" x14ac:dyDescent="0.25">
      <c r="B114" s="173" t="str">
        <f t="shared" si="17"/>
        <v>0-304L/FH-1.20X638</v>
      </c>
      <c r="C114" s="201" t="s">
        <v>5246</v>
      </c>
      <c r="D114" s="173" t="s">
        <v>16</v>
      </c>
      <c r="E114" s="173" t="s">
        <v>4019</v>
      </c>
      <c r="F114" s="201" t="s">
        <v>4020</v>
      </c>
      <c r="G114" s="173" t="s">
        <v>182</v>
      </c>
      <c r="H114" s="173" t="s">
        <v>70</v>
      </c>
      <c r="I114" s="174">
        <v>2.89</v>
      </c>
      <c r="J114" s="174">
        <v>1.2</v>
      </c>
      <c r="K114" s="174"/>
      <c r="L114" s="174"/>
      <c r="M114" s="380">
        <v>638</v>
      </c>
      <c r="N114" s="176">
        <v>9.9949999999999992</v>
      </c>
      <c r="O114" s="381">
        <v>9.9949999999999992</v>
      </c>
      <c r="P114" s="382"/>
      <c r="Q114" s="176"/>
      <c r="R114" s="176"/>
      <c r="S114" s="176"/>
      <c r="T114" s="383"/>
      <c r="U114" s="380">
        <v>638</v>
      </c>
      <c r="V114" s="371" t="s">
        <v>114</v>
      </c>
      <c r="W114" s="384"/>
      <c r="X114" s="178" t="s">
        <v>4326</v>
      </c>
      <c r="Y114" s="385"/>
      <c r="Z114" s="385"/>
      <c r="AA114" s="177">
        <v>44936</v>
      </c>
      <c r="AB114" s="177"/>
      <c r="AC114" s="177"/>
      <c r="AD114" s="177">
        <v>44936</v>
      </c>
      <c r="AE114" s="177"/>
      <c r="AF114" s="177"/>
      <c r="AG114" s="177">
        <v>44943</v>
      </c>
      <c r="AH114" s="177"/>
      <c r="AI114" s="180"/>
      <c r="AJ114" s="173"/>
      <c r="AK114" s="173" t="s">
        <v>2479</v>
      </c>
      <c r="AL114" s="181" t="s">
        <v>69</v>
      </c>
      <c r="AM114" s="181" t="s">
        <v>142</v>
      </c>
      <c r="AN114" s="181" t="s">
        <v>1594</v>
      </c>
      <c r="AO114" s="181"/>
      <c r="AP114" s="181">
        <v>44849</v>
      </c>
      <c r="AQ114" s="173"/>
      <c r="AR114" s="181">
        <f t="shared" ca="1" si="20"/>
        <v>44958</v>
      </c>
      <c r="AS114" s="176">
        <f t="shared" ca="1" si="18"/>
        <v>109</v>
      </c>
      <c r="AT114" s="176" t="str">
        <f t="shared" si="19"/>
        <v/>
      </c>
      <c r="AU114" s="176"/>
      <c r="AV114" s="176" t="s">
        <v>4013</v>
      </c>
      <c r="AW114" s="176">
        <v>9.9949999999999992</v>
      </c>
      <c r="AX114" s="176">
        <v>10.005000000000001</v>
      </c>
      <c r="AY114" s="173">
        <v>10.029999999999999</v>
      </c>
      <c r="AZ114" s="142">
        <v>10.035</v>
      </c>
      <c r="BA114" s="142" t="str">
        <f t="shared" si="21"/>
        <v/>
      </c>
      <c r="BB114" s="142">
        <v>456</v>
      </c>
      <c r="BD114" s="142" t="s">
        <v>123</v>
      </c>
    </row>
    <row r="115" spans="2:56" s="142" customFormat="1" ht="21" customHeight="1" x14ac:dyDescent="0.25">
      <c r="B115" s="173" t="str">
        <f t="shared" si="17"/>
        <v>0-304/2B-1.00X771</v>
      </c>
      <c r="C115" s="201" t="s">
        <v>5244</v>
      </c>
      <c r="D115" s="173" t="s">
        <v>4432</v>
      </c>
      <c r="E115" s="173" t="s">
        <v>4780</v>
      </c>
      <c r="F115" s="201" t="s">
        <v>4784</v>
      </c>
      <c r="G115" s="173">
        <v>304</v>
      </c>
      <c r="H115" s="173" t="s">
        <v>114</v>
      </c>
      <c r="I115" s="174">
        <v>2.87</v>
      </c>
      <c r="J115" s="174">
        <v>1</v>
      </c>
      <c r="K115" s="174">
        <v>1.02</v>
      </c>
      <c r="L115" s="174">
        <v>1.03</v>
      </c>
      <c r="M115" s="380">
        <v>771</v>
      </c>
      <c r="N115" s="176">
        <v>5.9349999999999996</v>
      </c>
      <c r="O115" s="381">
        <v>5.91</v>
      </c>
      <c r="P115" s="382"/>
      <c r="Q115" s="176"/>
      <c r="R115" s="176">
        <v>2.5000000000000001E-2</v>
      </c>
      <c r="S115" s="176"/>
      <c r="T115" s="383"/>
      <c r="U115" s="380">
        <v>760</v>
      </c>
      <c r="V115" s="371" t="s">
        <v>114</v>
      </c>
      <c r="W115" s="384" t="s">
        <v>4777</v>
      </c>
      <c r="X115" s="178" t="s">
        <v>4378</v>
      </c>
      <c r="Y115" s="385"/>
      <c r="Z115" s="385"/>
      <c r="AA115" s="177">
        <v>44903</v>
      </c>
      <c r="AB115" s="177"/>
      <c r="AC115" s="177">
        <v>44903</v>
      </c>
      <c r="AD115" s="177"/>
      <c r="AE115" s="177">
        <v>44943</v>
      </c>
      <c r="AF115" s="177"/>
      <c r="AG115" s="177"/>
      <c r="AH115" s="177"/>
      <c r="AI115" s="180"/>
      <c r="AJ115" s="173"/>
      <c r="AK115" s="173" t="s">
        <v>1609</v>
      </c>
      <c r="AL115" s="181" t="s">
        <v>69</v>
      </c>
      <c r="AM115" s="181" t="s">
        <v>142</v>
      </c>
      <c r="AN115" s="181" t="s">
        <v>1653</v>
      </c>
      <c r="AO115" s="181"/>
      <c r="AP115" s="181">
        <v>44880</v>
      </c>
      <c r="AQ115" s="173"/>
      <c r="AR115" s="181">
        <f t="shared" ca="1" si="20"/>
        <v>44958</v>
      </c>
      <c r="AS115" s="176">
        <f t="shared" ca="1" si="18"/>
        <v>78</v>
      </c>
      <c r="AT115" s="176">
        <f t="shared" ca="1" si="19"/>
        <v>15</v>
      </c>
      <c r="AU115" s="176"/>
      <c r="AV115" s="176" t="s">
        <v>4782</v>
      </c>
      <c r="AW115" s="176">
        <v>11.654999999999999</v>
      </c>
      <c r="AX115" s="176">
        <v>11.664999999999999</v>
      </c>
      <c r="AY115" s="173">
        <v>11.689999999999998</v>
      </c>
      <c r="AZ115" s="142">
        <v>11.694999999999999</v>
      </c>
      <c r="BA115" s="142">
        <f t="shared" ca="1" si="21"/>
        <v>55</v>
      </c>
      <c r="BB115" s="142">
        <v>459</v>
      </c>
      <c r="BD115" s="142" t="s">
        <v>123</v>
      </c>
    </row>
    <row r="116" spans="2:56" s="142" customFormat="1" ht="21" customHeight="1" x14ac:dyDescent="0.25">
      <c r="B116" s="173" t="str">
        <f t="shared" si="17"/>
        <v>0-J3/2B-0.89X620</v>
      </c>
      <c r="C116" s="201" t="s">
        <v>5247</v>
      </c>
      <c r="D116" s="173" t="s">
        <v>836</v>
      </c>
      <c r="E116" s="173" t="s">
        <v>1174</v>
      </c>
      <c r="F116" s="201" t="s">
        <v>5248</v>
      </c>
      <c r="G116" s="173" t="s">
        <v>34</v>
      </c>
      <c r="H116" s="173" t="s">
        <v>114</v>
      </c>
      <c r="I116" s="174">
        <v>2.2000000000000002</v>
      </c>
      <c r="J116" s="174">
        <v>0.89</v>
      </c>
      <c r="K116" s="174">
        <v>0.88</v>
      </c>
      <c r="L116" s="174">
        <v>0.9</v>
      </c>
      <c r="M116" s="380">
        <v>620</v>
      </c>
      <c r="N116" s="176">
        <v>6.95</v>
      </c>
      <c r="O116" s="381">
        <v>6.95</v>
      </c>
      <c r="P116" s="382"/>
      <c r="Q116" s="176"/>
      <c r="R116" s="176"/>
      <c r="S116" s="176"/>
      <c r="T116" s="383"/>
      <c r="U116" s="380">
        <v>620</v>
      </c>
      <c r="V116" s="371" t="s">
        <v>114</v>
      </c>
      <c r="W116" s="384"/>
      <c r="X116" s="178" t="s">
        <v>115</v>
      </c>
      <c r="Y116" s="385"/>
      <c r="Z116" s="385" t="s">
        <v>1176</v>
      </c>
      <c r="AA116" s="177">
        <v>44893</v>
      </c>
      <c r="AB116" s="177"/>
      <c r="AC116" s="177"/>
      <c r="AD116" s="177">
        <v>44902</v>
      </c>
      <c r="AE116" s="177">
        <v>44905</v>
      </c>
      <c r="AF116" s="177"/>
      <c r="AG116" s="177">
        <v>44943</v>
      </c>
      <c r="AH116" s="177"/>
      <c r="AI116" s="180"/>
      <c r="AJ116" s="173"/>
      <c r="AK116" s="173"/>
      <c r="AL116" s="181" t="s">
        <v>69</v>
      </c>
      <c r="AM116" s="181" t="s">
        <v>248</v>
      </c>
      <c r="AN116" s="181" t="s">
        <v>1145</v>
      </c>
      <c r="AO116" s="181">
        <v>44752</v>
      </c>
      <c r="AP116" s="181">
        <v>44778</v>
      </c>
      <c r="AQ116" s="173"/>
      <c r="AR116" s="181">
        <f t="shared" ca="1" si="20"/>
        <v>44958</v>
      </c>
      <c r="AS116" s="176">
        <f t="shared" ca="1" si="18"/>
        <v>180</v>
      </c>
      <c r="AT116" s="176">
        <f t="shared" ca="1" si="19"/>
        <v>53</v>
      </c>
      <c r="AU116" s="176"/>
      <c r="AV116" s="176" t="s">
        <v>1173</v>
      </c>
      <c r="AW116" s="176">
        <v>9.56</v>
      </c>
      <c r="AX116" s="176">
        <f>AW116+0.04</f>
        <v>9.6</v>
      </c>
      <c r="AY116" s="173">
        <v>9.6249999999999982</v>
      </c>
      <c r="AZ116" s="142">
        <v>9.629999999999999</v>
      </c>
      <c r="BA116" s="142" t="str">
        <f t="shared" si="21"/>
        <v/>
      </c>
      <c r="BB116" s="142">
        <v>445</v>
      </c>
      <c r="BD116" s="142" t="s">
        <v>123</v>
      </c>
    </row>
    <row r="117" spans="2:56" s="142" customFormat="1" ht="21" customHeight="1" x14ac:dyDescent="0.25">
      <c r="B117" s="173" t="str">
        <f t="shared" si="17"/>
        <v>0-304L/2B-0.50X642</v>
      </c>
      <c r="C117" s="201" t="s">
        <v>5244</v>
      </c>
      <c r="D117" s="173" t="s">
        <v>4432</v>
      </c>
      <c r="E117" s="173" t="s">
        <v>4411</v>
      </c>
      <c r="F117" s="201" t="s">
        <v>5249</v>
      </c>
      <c r="G117" s="173" t="s">
        <v>182</v>
      </c>
      <c r="H117" s="173" t="s">
        <v>114</v>
      </c>
      <c r="I117" s="174">
        <v>2.5</v>
      </c>
      <c r="J117" s="174">
        <v>0.5</v>
      </c>
      <c r="K117" s="174">
        <v>0.48</v>
      </c>
      <c r="L117" s="174">
        <v>0.5</v>
      </c>
      <c r="M117" s="380">
        <v>642</v>
      </c>
      <c r="N117" s="176">
        <v>10.5</v>
      </c>
      <c r="O117" s="381">
        <f>5.485+4.91</f>
        <v>10.395</v>
      </c>
      <c r="P117" s="382"/>
      <c r="Q117" s="176">
        <f>0.06+0.05</f>
        <v>0.11</v>
      </c>
      <c r="R117" s="176"/>
      <c r="S117" s="176"/>
      <c r="T117" s="383"/>
      <c r="U117" s="380">
        <v>625</v>
      </c>
      <c r="V117" s="371" t="s">
        <v>114</v>
      </c>
      <c r="W117" s="384" t="s">
        <v>4724</v>
      </c>
      <c r="X117" s="178" t="s">
        <v>1344</v>
      </c>
      <c r="Y117" s="385"/>
      <c r="Z117" s="385"/>
      <c r="AA117" s="177">
        <v>44914</v>
      </c>
      <c r="AB117" s="177"/>
      <c r="AC117" s="177"/>
      <c r="AD117" s="177">
        <v>44942</v>
      </c>
      <c r="AE117" s="177">
        <v>44943</v>
      </c>
      <c r="AF117" s="177"/>
      <c r="AG117" s="177">
        <v>44942</v>
      </c>
      <c r="AH117" s="177"/>
      <c r="AI117" s="180"/>
      <c r="AJ117" s="173"/>
      <c r="AK117" s="173" t="s">
        <v>1619</v>
      </c>
      <c r="AL117" s="181" t="s">
        <v>69</v>
      </c>
      <c r="AM117" s="181" t="s">
        <v>142</v>
      </c>
      <c r="AN117" s="181" t="s">
        <v>1594</v>
      </c>
      <c r="AO117" s="181"/>
      <c r="AP117" s="181">
        <v>44849</v>
      </c>
      <c r="AQ117" s="173"/>
      <c r="AR117" s="181">
        <f t="shared" ca="1" si="20"/>
        <v>44958</v>
      </c>
      <c r="AS117" s="176">
        <f t="shared" ca="1" si="18"/>
        <v>109</v>
      </c>
      <c r="AT117" s="176">
        <f t="shared" ca="1" si="19"/>
        <v>15</v>
      </c>
      <c r="AU117" s="176"/>
      <c r="AV117" s="176" t="s">
        <v>4410</v>
      </c>
      <c r="AW117" s="176">
        <v>10.545</v>
      </c>
      <c r="AX117" s="176">
        <v>10.555</v>
      </c>
      <c r="AY117" s="173">
        <v>10.579999999999998</v>
      </c>
      <c r="AZ117" s="142">
        <v>10.584999999999999</v>
      </c>
      <c r="BA117" s="142" t="str">
        <f t="shared" si="21"/>
        <v/>
      </c>
      <c r="BB117" s="142">
        <v>456</v>
      </c>
      <c r="BD117" s="142" t="s">
        <v>123</v>
      </c>
    </row>
    <row r="118" spans="2:56" s="142" customFormat="1" ht="21" customHeight="1" x14ac:dyDescent="0.25">
      <c r="B118" s="173" t="str">
        <f t="shared" si="17"/>
        <v>0-304L/2B-0.50X642</v>
      </c>
      <c r="C118" s="201" t="s">
        <v>5244</v>
      </c>
      <c r="D118" s="173" t="s">
        <v>4432</v>
      </c>
      <c r="E118" s="173" t="s">
        <v>4408</v>
      </c>
      <c r="F118" s="201" t="s">
        <v>5250</v>
      </c>
      <c r="G118" s="173" t="s">
        <v>182</v>
      </c>
      <c r="H118" s="173" t="s">
        <v>114</v>
      </c>
      <c r="I118" s="174">
        <v>2.5</v>
      </c>
      <c r="J118" s="174">
        <v>0.5</v>
      </c>
      <c r="K118" s="174">
        <v>0.48</v>
      </c>
      <c r="L118" s="174">
        <v>0.5</v>
      </c>
      <c r="M118" s="380">
        <v>642</v>
      </c>
      <c r="N118" s="176">
        <v>10.414999999999999</v>
      </c>
      <c r="O118" s="381">
        <f>4.745+5.45</f>
        <v>10.195</v>
      </c>
      <c r="P118" s="382"/>
      <c r="Q118" s="176">
        <f>0.12+0.14</f>
        <v>0.26</v>
      </c>
      <c r="R118" s="176"/>
      <c r="S118" s="176"/>
      <c r="T118" s="383"/>
      <c r="U118" s="380">
        <v>625</v>
      </c>
      <c r="V118" s="371" t="s">
        <v>114</v>
      </c>
      <c r="W118" s="384" t="s">
        <v>4724</v>
      </c>
      <c r="X118" s="178" t="s">
        <v>1344</v>
      </c>
      <c r="Y118" s="385"/>
      <c r="Z118" s="385"/>
      <c r="AA118" s="177">
        <v>44913</v>
      </c>
      <c r="AB118" s="177"/>
      <c r="AC118" s="177"/>
      <c r="AD118" s="177">
        <v>44942</v>
      </c>
      <c r="AE118" s="177">
        <v>44943</v>
      </c>
      <c r="AF118" s="177"/>
      <c r="AG118" s="177">
        <v>44942</v>
      </c>
      <c r="AH118" s="177"/>
      <c r="AI118" s="180"/>
      <c r="AJ118" s="173"/>
      <c r="AK118" s="173" t="s">
        <v>1619</v>
      </c>
      <c r="AL118" s="181" t="s">
        <v>69</v>
      </c>
      <c r="AM118" s="181" t="s">
        <v>142</v>
      </c>
      <c r="AN118" s="181" t="s">
        <v>1594</v>
      </c>
      <c r="AO118" s="181"/>
      <c r="AP118" s="181">
        <v>44849</v>
      </c>
      <c r="AQ118" s="173"/>
      <c r="AR118" s="181">
        <f t="shared" ca="1" si="20"/>
        <v>44958</v>
      </c>
      <c r="AS118" s="176">
        <f t="shared" ca="1" si="18"/>
        <v>109</v>
      </c>
      <c r="AT118" s="176">
        <f t="shared" ca="1" si="19"/>
        <v>15</v>
      </c>
      <c r="AU118" s="176"/>
      <c r="AV118" s="176" t="s">
        <v>4410</v>
      </c>
      <c r="AW118" s="176">
        <v>10.545</v>
      </c>
      <c r="AX118" s="176">
        <v>10.555</v>
      </c>
      <c r="AY118" s="173">
        <v>10.579999999999998</v>
      </c>
      <c r="AZ118" s="142">
        <v>10.584999999999999</v>
      </c>
      <c r="BA118" s="142" t="str">
        <f t="shared" si="21"/>
        <v/>
      </c>
      <c r="BB118" s="142">
        <v>456</v>
      </c>
      <c r="BD118" s="142" t="s">
        <v>123</v>
      </c>
    </row>
    <row r="119" spans="2:56" s="142" customFormat="1" ht="21" customHeight="1" x14ac:dyDescent="0.25">
      <c r="B119" s="173" t="str">
        <f t="shared" si="17"/>
        <v>0-304L/FH-1.50X642</v>
      </c>
      <c r="C119" s="201" t="s">
        <v>5246</v>
      </c>
      <c r="D119" s="173" t="s">
        <v>16</v>
      </c>
      <c r="E119" s="173" t="s">
        <v>4088</v>
      </c>
      <c r="F119" s="201" t="s">
        <v>4089</v>
      </c>
      <c r="G119" s="173" t="s">
        <v>182</v>
      </c>
      <c r="H119" s="173" t="s">
        <v>70</v>
      </c>
      <c r="I119" s="174">
        <v>3.79</v>
      </c>
      <c r="J119" s="174">
        <v>1.5</v>
      </c>
      <c r="K119" s="174"/>
      <c r="L119" s="174"/>
      <c r="M119" s="380">
        <v>642</v>
      </c>
      <c r="N119" s="176">
        <v>9.875</v>
      </c>
      <c r="O119" s="381">
        <v>9.875</v>
      </c>
      <c r="P119" s="382"/>
      <c r="Q119" s="176"/>
      <c r="R119" s="176"/>
      <c r="S119" s="176"/>
      <c r="T119" s="383"/>
      <c r="U119" s="380">
        <v>642</v>
      </c>
      <c r="V119" s="371" t="s">
        <v>114</v>
      </c>
      <c r="W119" s="384"/>
      <c r="X119" s="178" t="s">
        <v>4326</v>
      </c>
      <c r="Y119" s="385"/>
      <c r="Z119" s="385"/>
      <c r="AA119" s="177">
        <v>44940</v>
      </c>
      <c r="AB119" s="177"/>
      <c r="AC119" s="177"/>
      <c r="AD119" s="177">
        <v>44940</v>
      </c>
      <c r="AE119" s="177"/>
      <c r="AF119" s="177"/>
      <c r="AG119" s="177">
        <v>44943</v>
      </c>
      <c r="AH119" s="177"/>
      <c r="AI119" s="180"/>
      <c r="AJ119" s="173"/>
      <c r="AK119" s="173" t="s">
        <v>1609</v>
      </c>
      <c r="AL119" s="181" t="s">
        <v>69</v>
      </c>
      <c r="AM119" s="181" t="s">
        <v>142</v>
      </c>
      <c r="AN119" s="181" t="s">
        <v>1594</v>
      </c>
      <c r="AO119" s="181"/>
      <c r="AP119" s="181">
        <v>44849</v>
      </c>
      <c r="AQ119" s="173"/>
      <c r="AR119" s="181">
        <f t="shared" ca="1" si="20"/>
        <v>44958</v>
      </c>
      <c r="AS119" s="176">
        <f t="shared" ca="1" si="18"/>
        <v>109</v>
      </c>
      <c r="AT119" s="176" t="str">
        <f t="shared" si="19"/>
        <v/>
      </c>
      <c r="AU119" s="176"/>
      <c r="AV119" s="176" t="s">
        <v>4090</v>
      </c>
      <c r="AW119" s="176">
        <v>9.875</v>
      </c>
      <c r="AX119" s="176">
        <v>9.8849999999999998</v>
      </c>
      <c r="AY119" s="173">
        <v>9.9099999999999984</v>
      </c>
      <c r="AZ119" s="142">
        <v>9.9149999999999991</v>
      </c>
      <c r="BA119" s="142" t="str">
        <f t="shared" si="21"/>
        <v/>
      </c>
      <c r="BB119" s="142">
        <v>456</v>
      </c>
      <c r="BD119" s="142" t="s">
        <v>123</v>
      </c>
    </row>
    <row r="120" spans="2:56" s="142" customFormat="1" ht="21" customHeight="1" x14ac:dyDescent="0.25">
      <c r="B120" s="173" t="str">
        <f t="shared" si="17"/>
        <v>0-304L/FH-1.20X641</v>
      </c>
      <c r="C120" s="201" t="s">
        <v>5246</v>
      </c>
      <c r="D120" s="173" t="s">
        <v>16</v>
      </c>
      <c r="E120" s="173" t="s">
        <v>4091</v>
      </c>
      <c r="F120" s="201" t="s">
        <v>4092</v>
      </c>
      <c r="G120" s="173" t="s">
        <v>182</v>
      </c>
      <c r="H120" s="173" t="s">
        <v>70</v>
      </c>
      <c r="I120" s="174">
        <v>2.89</v>
      </c>
      <c r="J120" s="174">
        <v>1.2</v>
      </c>
      <c r="K120" s="174"/>
      <c r="L120" s="174"/>
      <c r="M120" s="380">
        <v>641</v>
      </c>
      <c r="N120" s="176">
        <v>10.734999999999999</v>
      </c>
      <c r="O120" s="381">
        <v>10.734999999999999</v>
      </c>
      <c r="P120" s="382"/>
      <c r="Q120" s="176"/>
      <c r="R120" s="176"/>
      <c r="S120" s="176"/>
      <c r="T120" s="383"/>
      <c r="U120" s="380">
        <v>641</v>
      </c>
      <c r="V120" s="371" t="s">
        <v>114</v>
      </c>
      <c r="W120" s="384"/>
      <c r="X120" s="178" t="s">
        <v>4326</v>
      </c>
      <c r="Y120" s="385"/>
      <c r="Z120" s="385"/>
      <c r="AA120" s="177">
        <v>44940</v>
      </c>
      <c r="AB120" s="177"/>
      <c r="AC120" s="177"/>
      <c r="AD120" s="177">
        <v>44940</v>
      </c>
      <c r="AE120" s="177"/>
      <c r="AF120" s="177"/>
      <c r="AG120" s="177">
        <v>44943</v>
      </c>
      <c r="AH120" s="177"/>
      <c r="AI120" s="180"/>
      <c r="AJ120" s="173"/>
      <c r="AK120" s="173" t="s">
        <v>2479</v>
      </c>
      <c r="AL120" s="181" t="s">
        <v>69</v>
      </c>
      <c r="AM120" s="181" t="s">
        <v>142</v>
      </c>
      <c r="AN120" s="181" t="s">
        <v>1594</v>
      </c>
      <c r="AO120" s="181"/>
      <c r="AP120" s="181">
        <v>44849</v>
      </c>
      <c r="AQ120" s="173"/>
      <c r="AR120" s="181">
        <f t="shared" ca="1" si="20"/>
        <v>44958</v>
      </c>
      <c r="AS120" s="176">
        <f t="shared" ca="1" si="18"/>
        <v>109</v>
      </c>
      <c r="AT120" s="176" t="str">
        <f t="shared" si="19"/>
        <v/>
      </c>
      <c r="AU120" s="176"/>
      <c r="AV120" s="176" t="s">
        <v>3970</v>
      </c>
      <c r="AW120" s="176">
        <v>10.734999999999999</v>
      </c>
      <c r="AX120" s="176">
        <v>10.744999999999999</v>
      </c>
      <c r="AY120" s="173">
        <v>10.769999999999998</v>
      </c>
      <c r="AZ120" s="142">
        <v>10.774999999999999</v>
      </c>
      <c r="BA120" s="142" t="str">
        <f t="shared" si="21"/>
        <v/>
      </c>
      <c r="BB120" s="142">
        <v>456</v>
      </c>
      <c r="BD120" s="142" t="s">
        <v>123</v>
      </c>
    </row>
    <row r="121" spans="2:56" s="142" customFormat="1" ht="21" customHeight="1" x14ac:dyDescent="0.25">
      <c r="B121" s="173" t="str">
        <f t="shared" si="17"/>
        <v>0-304L/2B-0.40X644</v>
      </c>
      <c r="C121" s="201" t="s">
        <v>5251</v>
      </c>
      <c r="D121" s="173" t="s">
        <v>836</v>
      </c>
      <c r="E121" s="173" t="s">
        <v>1772</v>
      </c>
      <c r="F121" s="201" t="s">
        <v>5252</v>
      </c>
      <c r="G121" s="173" t="s">
        <v>182</v>
      </c>
      <c r="H121" s="173" t="s">
        <v>114</v>
      </c>
      <c r="I121" s="174">
        <v>2.4900000000000002</v>
      </c>
      <c r="J121" s="174">
        <v>0.4</v>
      </c>
      <c r="K121" s="174">
        <v>0.37</v>
      </c>
      <c r="L121" s="174">
        <v>0.39</v>
      </c>
      <c r="M121" s="380">
        <v>644</v>
      </c>
      <c r="N121" s="349">
        <v>10.574999999999999</v>
      </c>
      <c r="O121" s="381">
        <f>10.575-0.075-2.61</f>
        <v>7.8900000000000006</v>
      </c>
      <c r="P121" s="382"/>
      <c r="Q121" s="176">
        <v>7.4999999999999997E-2</v>
      </c>
      <c r="R121" s="176"/>
      <c r="S121" s="176"/>
      <c r="T121" s="383"/>
      <c r="U121" s="380">
        <v>615</v>
      </c>
      <c r="V121" s="371" t="s">
        <v>114</v>
      </c>
      <c r="W121" s="384"/>
      <c r="X121" s="178" t="s">
        <v>1344</v>
      </c>
      <c r="Y121" s="385"/>
      <c r="Z121" s="385"/>
      <c r="AA121" s="177">
        <v>44915</v>
      </c>
      <c r="AB121" s="177"/>
      <c r="AC121" s="177"/>
      <c r="AD121" s="177">
        <v>44942</v>
      </c>
      <c r="AE121" s="177">
        <v>44943</v>
      </c>
      <c r="AF121" s="177"/>
      <c r="AG121" s="177" t="s">
        <v>1774</v>
      </c>
      <c r="AH121" s="177"/>
      <c r="AI121" s="180"/>
      <c r="AJ121" s="173"/>
      <c r="AK121" s="173" t="s">
        <v>1619</v>
      </c>
      <c r="AL121" s="181" t="s">
        <v>69</v>
      </c>
      <c r="AM121" s="181" t="s">
        <v>142</v>
      </c>
      <c r="AN121" s="181" t="s">
        <v>1657</v>
      </c>
      <c r="AO121" s="181"/>
      <c r="AP121" s="181">
        <v>44849</v>
      </c>
      <c r="AQ121" s="173"/>
      <c r="AR121" s="181">
        <f t="shared" ca="1" si="20"/>
        <v>44958</v>
      </c>
      <c r="AS121" s="176">
        <f t="shared" ca="1" si="18"/>
        <v>109</v>
      </c>
      <c r="AT121" s="176">
        <f t="shared" ca="1" si="19"/>
        <v>15</v>
      </c>
      <c r="AU121" s="176"/>
      <c r="AV121" s="176" t="s">
        <v>1775</v>
      </c>
      <c r="AW121" s="176">
        <v>10.64</v>
      </c>
      <c r="AX121" s="176">
        <v>10.65</v>
      </c>
      <c r="AY121" s="173">
        <v>10.674999999999999</v>
      </c>
      <c r="AZ121" s="142">
        <v>10.68</v>
      </c>
      <c r="BA121" s="142" t="str">
        <f t="shared" si="21"/>
        <v/>
      </c>
      <c r="BB121" s="142">
        <v>456</v>
      </c>
      <c r="BD121" s="142" t="s">
        <v>123</v>
      </c>
    </row>
    <row r="122" spans="2:56" s="142" customFormat="1" ht="21" customHeight="1" x14ac:dyDescent="0.25">
      <c r="B122" s="173" t="str">
        <f t="shared" si="17"/>
        <v>0-304L/2B-0.40X644</v>
      </c>
      <c r="C122" s="201" t="s">
        <v>5253</v>
      </c>
      <c r="D122" s="173" t="s">
        <v>68</v>
      </c>
      <c r="E122" s="173" t="s">
        <v>1772</v>
      </c>
      <c r="F122" s="201" t="s">
        <v>1773</v>
      </c>
      <c r="G122" s="173" t="s">
        <v>182</v>
      </c>
      <c r="H122" s="173" t="s">
        <v>114</v>
      </c>
      <c r="I122" s="174">
        <v>2.4900000000000002</v>
      </c>
      <c r="J122" s="174">
        <v>0.4</v>
      </c>
      <c r="K122" s="174">
        <v>0.37</v>
      </c>
      <c r="L122" s="174">
        <v>0.39</v>
      </c>
      <c r="M122" s="380">
        <v>644</v>
      </c>
      <c r="N122" s="350"/>
      <c r="O122" s="381">
        <v>2.61</v>
      </c>
      <c r="P122" s="382"/>
      <c r="Q122" s="176"/>
      <c r="R122" s="176"/>
      <c r="S122" s="176"/>
      <c r="T122" s="383"/>
      <c r="U122" s="380">
        <v>615</v>
      </c>
      <c r="V122" s="371" t="s">
        <v>114</v>
      </c>
      <c r="W122" s="384"/>
      <c r="X122" s="178" t="s">
        <v>1344</v>
      </c>
      <c r="Y122" s="385"/>
      <c r="Z122" s="385"/>
      <c r="AA122" s="177">
        <v>44915</v>
      </c>
      <c r="AB122" s="177"/>
      <c r="AC122" s="177"/>
      <c r="AD122" s="177">
        <v>44942</v>
      </c>
      <c r="AE122" s="177">
        <v>44943</v>
      </c>
      <c r="AF122" s="177"/>
      <c r="AG122" s="177" t="s">
        <v>1774</v>
      </c>
      <c r="AH122" s="177"/>
      <c r="AI122" s="180"/>
      <c r="AJ122" s="173"/>
      <c r="AK122" s="173" t="s">
        <v>1619</v>
      </c>
      <c r="AL122" s="181" t="s">
        <v>69</v>
      </c>
      <c r="AM122" s="181" t="s">
        <v>142</v>
      </c>
      <c r="AN122" s="181" t="s">
        <v>1657</v>
      </c>
      <c r="AO122" s="181"/>
      <c r="AP122" s="181">
        <v>44849</v>
      </c>
      <c r="AQ122" s="173"/>
      <c r="AR122" s="181">
        <f t="shared" ca="1" si="20"/>
        <v>44958</v>
      </c>
      <c r="AS122" s="176">
        <f t="shared" ca="1" si="18"/>
        <v>109</v>
      </c>
      <c r="AT122" s="176">
        <f t="shared" ca="1" si="19"/>
        <v>15</v>
      </c>
      <c r="AU122" s="176"/>
      <c r="AV122" s="176" t="s">
        <v>1775</v>
      </c>
      <c r="AW122" s="176">
        <v>10.64</v>
      </c>
      <c r="AX122" s="176">
        <v>10.65</v>
      </c>
      <c r="AY122" s="173">
        <v>10.674999999999999</v>
      </c>
      <c r="AZ122" s="142">
        <v>10.68</v>
      </c>
      <c r="BA122" s="142" t="str">
        <f t="shared" si="21"/>
        <v/>
      </c>
      <c r="BB122" s="142">
        <v>456</v>
      </c>
      <c r="BD122" s="142" t="s">
        <v>123</v>
      </c>
    </row>
    <row r="123" spans="2:56" s="142" customFormat="1" ht="21" customHeight="1" x14ac:dyDescent="0.25">
      <c r="B123" s="173" t="str">
        <f t="shared" si="17"/>
        <v>0-304L/2B-0.40X615</v>
      </c>
      <c r="C123" s="201" t="s">
        <v>5254</v>
      </c>
      <c r="D123" s="173" t="s">
        <v>4432</v>
      </c>
      <c r="E123" s="173" t="s">
        <v>1772</v>
      </c>
      <c r="F123" s="201" t="s">
        <v>5255</v>
      </c>
      <c r="G123" s="173" t="s">
        <v>182</v>
      </c>
      <c r="H123" s="173" t="s">
        <v>114</v>
      </c>
      <c r="I123" s="174">
        <v>2.4900000000000002</v>
      </c>
      <c r="J123" s="174">
        <v>0.4</v>
      </c>
      <c r="K123" s="174">
        <v>0.37</v>
      </c>
      <c r="L123" s="174">
        <v>0.39</v>
      </c>
      <c r="M123" s="380">
        <v>615</v>
      </c>
      <c r="N123" s="176">
        <v>7.8900000000000006</v>
      </c>
      <c r="O123" s="381">
        <f>3.735+3.735</f>
        <v>7.47</v>
      </c>
      <c r="P123" s="382"/>
      <c r="Q123" s="176">
        <v>0.04</v>
      </c>
      <c r="R123" s="176"/>
      <c r="S123" s="176"/>
      <c r="T123" s="383"/>
      <c r="U123" s="380">
        <v>615</v>
      </c>
      <c r="V123" s="371" t="s">
        <v>114</v>
      </c>
      <c r="W123" s="384" t="s">
        <v>4724</v>
      </c>
      <c r="X123" s="178" t="s">
        <v>1344</v>
      </c>
      <c r="Y123" s="385"/>
      <c r="Z123" s="385"/>
      <c r="AA123" s="177">
        <v>44915</v>
      </c>
      <c r="AB123" s="177"/>
      <c r="AC123" s="177"/>
      <c r="AD123" s="177">
        <v>44942</v>
      </c>
      <c r="AE123" s="177">
        <v>44943</v>
      </c>
      <c r="AF123" s="177"/>
      <c r="AG123" s="177" t="s">
        <v>1774</v>
      </c>
      <c r="AH123" s="177"/>
      <c r="AI123" s="180"/>
      <c r="AJ123" s="173"/>
      <c r="AK123" s="173" t="s">
        <v>1619</v>
      </c>
      <c r="AL123" s="181" t="s">
        <v>69</v>
      </c>
      <c r="AM123" s="181" t="s">
        <v>142</v>
      </c>
      <c r="AN123" s="181" t="s">
        <v>1657</v>
      </c>
      <c r="AO123" s="181"/>
      <c r="AP123" s="181">
        <v>44849</v>
      </c>
      <c r="AQ123" s="173"/>
      <c r="AR123" s="181">
        <f t="shared" ca="1" si="20"/>
        <v>44958</v>
      </c>
      <c r="AS123" s="176">
        <f t="shared" ca="1" si="18"/>
        <v>109</v>
      </c>
      <c r="AT123" s="176">
        <f t="shared" ca="1" si="19"/>
        <v>15</v>
      </c>
      <c r="AU123" s="176"/>
      <c r="AV123" s="176" t="s">
        <v>1775</v>
      </c>
      <c r="AW123" s="176">
        <v>10.64</v>
      </c>
      <c r="AX123" s="176">
        <v>10.65</v>
      </c>
      <c r="AY123" s="173">
        <v>10.674999999999999</v>
      </c>
      <c r="AZ123" s="142">
        <v>10.68</v>
      </c>
      <c r="BA123" s="142" t="str">
        <f t="shared" si="21"/>
        <v/>
      </c>
      <c r="BB123" s="142">
        <v>456</v>
      </c>
      <c r="BD123" s="142" t="s">
        <v>123</v>
      </c>
    </row>
    <row r="124" spans="2:56" s="142" customFormat="1" ht="21" customHeight="1" x14ac:dyDescent="0.25">
      <c r="B124" s="173" t="str">
        <f t="shared" ref="B124:B171" si="22">IF(C124="HOLD RM","HOLD RM",IF(C124="BAL","WIP",IF(C124="HOLD SLT","HOLD SLT",IF(C124="MILL","RM",IF(C124="RE SLT","WIP",IF(C124="RM","RM",IF(C124="RM BAL","RM",IF(C124="RM SLT","RM",IF(C124="RR","WIP",IF(C124="SKP","WIP",IF(C124="SLT","WIP",IF(C124="CTL","WIP",IF(C124="RM SLT RUST","RM SLT RUST",0)))))))))))))&amp;"-"&amp;G124&amp;"/"&amp;IF(H124="2B","2B",IF(H124="NO.1","1D",IF(H124="FH","FH",0)))&amp;"-"&amp;IF(J124="",(TEXT(I124,"0.00")),TEXT(J124,"0.00"))&amp;"X"&amp;M124</f>
        <v>0-304/2B-0.60X630</v>
      </c>
      <c r="C124" s="201" t="s">
        <v>5256</v>
      </c>
      <c r="D124" s="173" t="s">
        <v>1237</v>
      </c>
      <c r="E124" s="173" t="s">
        <v>4155</v>
      </c>
      <c r="F124" s="201" t="s">
        <v>4159</v>
      </c>
      <c r="G124" s="173">
        <v>304</v>
      </c>
      <c r="H124" s="173" t="s">
        <v>114</v>
      </c>
      <c r="I124" s="174">
        <v>2.75</v>
      </c>
      <c r="J124" s="174">
        <v>0.6</v>
      </c>
      <c r="K124" s="174">
        <v>0.56999999999999995</v>
      </c>
      <c r="L124" s="174">
        <v>0.59</v>
      </c>
      <c r="M124" s="380">
        <v>630</v>
      </c>
      <c r="N124" s="176">
        <v>6.2</v>
      </c>
      <c r="O124" s="381">
        <v>6.2</v>
      </c>
      <c r="P124" s="382"/>
      <c r="Q124" s="176"/>
      <c r="R124" s="176"/>
      <c r="S124" s="176"/>
      <c r="T124" s="383"/>
      <c r="U124" s="380">
        <v>630</v>
      </c>
      <c r="V124" s="371" t="s">
        <v>114</v>
      </c>
      <c r="W124" s="384"/>
      <c r="X124" s="178" t="s">
        <v>1344</v>
      </c>
      <c r="Y124" s="385" t="s">
        <v>207</v>
      </c>
      <c r="Z124" s="385" t="s">
        <v>230</v>
      </c>
      <c r="AA124" s="177">
        <v>44916</v>
      </c>
      <c r="AB124" s="177"/>
      <c r="AC124" s="177"/>
      <c r="AD124" s="177">
        <v>44917</v>
      </c>
      <c r="AE124" s="177">
        <v>44940</v>
      </c>
      <c r="AF124" s="177"/>
      <c r="AG124" s="177" t="s">
        <v>4160</v>
      </c>
      <c r="AH124" s="177"/>
      <c r="AI124" s="180"/>
      <c r="AJ124" s="173"/>
      <c r="AK124" s="173" t="s">
        <v>1619</v>
      </c>
      <c r="AL124" s="181" t="s">
        <v>69</v>
      </c>
      <c r="AM124" s="181" t="s">
        <v>142</v>
      </c>
      <c r="AN124" s="181" t="s">
        <v>1657</v>
      </c>
      <c r="AO124" s="181"/>
      <c r="AP124" s="181">
        <v>44849</v>
      </c>
      <c r="AQ124" s="173"/>
      <c r="AR124" s="181">
        <f t="shared" ca="1" si="20"/>
        <v>44958</v>
      </c>
      <c r="AS124" s="176">
        <f t="shared" ref="AS124:AS171" ca="1" si="23">IF(AP124&lt;&gt;0,AR124-AP124,0)</f>
        <v>109</v>
      </c>
      <c r="AT124" s="176">
        <f t="shared" ref="AT124:AT171" ca="1" si="24">IF(ISNUMBER(AE124)=TRUE,AR124-AE124,IF(AE124="","",(AR124)-(MID(RIGHT(AE124,10),4,2)&amp;"/"&amp;LEFT((RIGHT(AE124,10)),2)&amp;"/"&amp;RIGHT(AE124,4))))</f>
        <v>18</v>
      </c>
      <c r="AU124" s="176"/>
      <c r="AV124" s="176" t="s">
        <v>4121</v>
      </c>
      <c r="AW124" s="176">
        <v>10.525</v>
      </c>
      <c r="AX124" s="176">
        <v>10.535</v>
      </c>
      <c r="AY124" s="173">
        <v>10.559999999999999</v>
      </c>
      <c r="AZ124" s="142">
        <v>10.565</v>
      </c>
      <c r="BA124" s="142" t="str">
        <f t="shared" si="21"/>
        <v/>
      </c>
      <c r="BB124" s="142">
        <v>456</v>
      </c>
      <c r="BD124" s="142" t="s">
        <v>123</v>
      </c>
    </row>
    <row r="125" spans="2:56" s="142" customFormat="1" ht="21" customHeight="1" x14ac:dyDescent="0.25">
      <c r="B125" s="173" t="str">
        <f t="shared" si="22"/>
        <v>0-304/2B-0.60X631</v>
      </c>
      <c r="C125" s="201" t="s">
        <v>5256</v>
      </c>
      <c r="D125" s="173" t="s">
        <v>1237</v>
      </c>
      <c r="E125" s="173" t="s">
        <v>4155</v>
      </c>
      <c r="F125" s="201" t="s">
        <v>4156</v>
      </c>
      <c r="G125" s="173">
        <v>304</v>
      </c>
      <c r="H125" s="173" t="s">
        <v>114</v>
      </c>
      <c r="I125" s="174">
        <v>2.75</v>
      </c>
      <c r="J125" s="174">
        <v>0.6</v>
      </c>
      <c r="K125" s="174">
        <v>0.56999999999999995</v>
      </c>
      <c r="L125" s="174">
        <v>0.59</v>
      </c>
      <c r="M125" s="380">
        <v>631</v>
      </c>
      <c r="N125" s="176">
        <v>4.1399999999999997</v>
      </c>
      <c r="O125" s="381">
        <v>4.1399999999999997</v>
      </c>
      <c r="P125" s="382"/>
      <c r="Q125" s="176"/>
      <c r="R125" s="176"/>
      <c r="S125" s="176"/>
      <c r="T125" s="383"/>
      <c r="U125" s="380">
        <v>631</v>
      </c>
      <c r="V125" s="371" t="s">
        <v>114</v>
      </c>
      <c r="W125" s="384"/>
      <c r="X125" s="178" t="s">
        <v>1344</v>
      </c>
      <c r="Y125" s="385" t="s">
        <v>207</v>
      </c>
      <c r="Z125" s="385" t="s">
        <v>230</v>
      </c>
      <c r="AA125" s="177">
        <v>44916</v>
      </c>
      <c r="AB125" s="177"/>
      <c r="AC125" s="177"/>
      <c r="AD125" s="177">
        <v>44917</v>
      </c>
      <c r="AE125" s="177">
        <v>44940</v>
      </c>
      <c r="AF125" s="177"/>
      <c r="AG125" s="177" t="s">
        <v>4158</v>
      </c>
      <c r="AH125" s="177"/>
      <c r="AI125" s="180"/>
      <c r="AJ125" s="173"/>
      <c r="AK125" s="173" t="s">
        <v>1619</v>
      </c>
      <c r="AL125" s="181" t="s">
        <v>69</v>
      </c>
      <c r="AM125" s="181" t="s">
        <v>142</v>
      </c>
      <c r="AN125" s="181" t="s">
        <v>1657</v>
      </c>
      <c r="AO125" s="181"/>
      <c r="AP125" s="181">
        <v>44849</v>
      </c>
      <c r="AQ125" s="173"/>
      <c r="AR125" s="181">
        <f t="shared" ca="1" si="20"/>
        <v>44958</v>
      </c>
      <c r="AS125" s="176">
        <f t="shared" ca="1" si="23"/>
        <v>109</v>
      </c>
      <c r="AT125" s="176">
        <f t="shared" ca="1" si="24"/>
        <v>18</v>
      </c>
      <c r="AU125" s="176"/>
      <c r="AV125" s="176" t="s">
        <v>4121</v>
      </c>
      <c r="AW125" s="176">
        <v>10.525</v>
      </c>
      <c r="AX125" s="176">
        <v>10.535</v>
      </c>
      <c r="AY125" s="173">
        <v>10.559999999999999</v>
      </c>
      <c r="AZ125" s="142">
        <v>10.565</v>
      </c>
      <c r="BA125" s="142" t="str">
        <f t="shared" si="21"/>
        <v/>
      </c>
      <c r="BB125" s="142">
        <v>456</v>
      </c>
      <c r="BD125" s="142" t="s">
        <v>123</v>
      </c>
    </row>
    <row r="126" spans="2:56" s="142" customFormat="1" ht="21" customHeight="1" x14ac:dyDescent="0.25">
      <c r="B126" s="173" t="str">
        <f t="shared" si="22"/>
        <v>0-304/FH-1.20X642</v>
      </c>
      <c r="C126" s="201" t="s">
        <v>5257</v>
      </c>
      <c r="D126" s="173" t="s">
        <v>16</v>
      </c>
      <c r="E126" s="173" t="s">
        <v>4059</v>
      </c>
      <c r="F126" s="201" t="s">
        <v>4060</v>
      </c>
      <c r="G126" s="173">
        <v>304</v>
      </c>
      <c r="H126" s="173" t="s">
        <v>70</v>
      </c>
      <c r="I126" s="174">
        <v>2.99</v>
      </c>
      <c r="J126" s="174">
        <v>1.2</v>
      </c>
      <c r="K126" s="174"/>
      <c r="L126" s="174"/>
      <c r="M126" s="380">
        <v>642</v>
      </c>
      <c r="N126" s="176">
        <v>10.635</v>
      </c>
      <c r="O126" s="381">
        <v>10.635</v>
      </c>
      <c r="P126" s="382"/>
      <c r="Q126" s="176"/>
      <c r="R126" s="176"/>
      <c r="S126" s="176"/>
      <c r="T126" s="383"/>
      <c r="U126" s="380">
        <v>642</v>
      </c>
      <c r="V126" s="371" t="s">
        <v>114</v>
      </c>
      <c r="W126" s="384"/>
      <c r="X126" s="178" t="s">
        <v>4326</v>
      </c>
      <c r="Y126" s="385" t="s">
        <v>5129</v>
      </c>
      <c r="Z126" s="385"/>
      <c r="AA126" s="177">
        <v>44938</v>
      </c>
      <c r="AB126" s="177"/>
      <c r="AC126" s="177"/>
      <c r="AD126" s="177">
        <v>44939</v>
      </c>
      <c r="AE126" s="177"/>
      <c r="AF126" s="177"/>
      <c r="AG126" s="177">
        <v>44944</v>
      </c>
      <c r="AH126" s="177"/>
      <c r="AI126" s="180"/>
      <c r="AJ126" s="173"/>
      <c r="AK126" s="173" t="s">
        <v>2479</v>
      </c>
      <c r="AL126" s="181" t="s">
        <v>69</v>
      </c>
      <c r="AM126" s="181" t="s">
        <v>142</v>
      </c>
      <c r="AN126" s="181" t="s">
        <v>1657</v>
      </c>
      <c r="AO126" s="181"/>
      <c r="AP126" s="181">
        <v>44849</v>
      </c>
      <c r="AQ126" s="173"/>
      <c r="AR126" s="181">
        <f t="shared" ca="1" si="20"/>
        <v>44958</v>
      </c>
      <c r="AS126" s="176">
        <f t="shared" ca="1" si="23"/>
        <v>109</v>
      </c>
      <c r="AT126" s="176" t="str">
        <f t="shared" si="24"/>
        <v/>
      </c>
      <c r="AU126" s="176"/>
      <c r="AV126" s="176" t="s">
        <v>4061</v>
      </c>
      <c r="AW126" s="176">
        <v>10.635</v>
      </c>
      <c r="AX126" s="176">
        <v>10.645</v>
      </c>
      <c r="AY126" s="173">
        <v>10.669999999999998</v>
      </c>
      <c r="AZ126" s="142">
        <v>10.674999999999999</v>
      </c>
      <c r="BA126" s="142" t="str">
        <f t="shared" si="21"/>
        <v/>
      </c>
      <c r="BB126" s="142">
        <v>456</v>
      </c>
      <c r="BD126" s="142" t="s">
        <v>123</v>
      </c>
    </row>
    <row r="127" spans="2:56" s="142" customFormat="1" ht="21" customHeight="1" x14ac:dyDescent="0.25">
      <c r="B127" s="173" t="str">
        <f t="shared" si="22"/>
        <v>0-304L/2B-1.20X639</v>
      </c>
      <c r="C127" s="201" t="s">
        <v>5258</v>
      </c>
      <c r="D127" s="173" t="s">
        <v>4432</v>
      </c>
      <c r="E127" s="173" t="s">
        <v>4081</v>
      </c>
      <c r="F127" s="201" t="s">
        <v>5259</v>
      </c>
      <c r="G127" s="173" t="s">
        <v>182</v>
      </c>
      <c r="H127" s="173" t="s">
        <v>114</v>
      </c>
      <c r="I127" s="174">
        <v>2.87</v>
      </c>
      <c r="J127" s="174">
        <v>1.2</v>
      </c>
      <c r="K127" s="174">
        <v>1.17</v>
      </c>
      <c r="L127" s="174">
        <v>1.18</v>
      </c>
      <c r="M127" s="380">
        <v>639</v>
      </c>
      <c r="N127" s="349">
        <v>10.574999999999999</v>
      </c>
      <c r="O127" s="381">
        <v>4.8449999999999998</v>
      </c>
      <c r="P127" s="382"/>
      <c r="Q127" s="176"/>
      <c r="R127" s="176"/>
      <c r="S127" s="176">
        <v>0.13</v>
      </c>
      <c r="T127" s="383"/>
      <c r="U127" s="380" t="s">
        <v>5124</v>
      </c>
      <c r="V127" s="371" t="s">
        <v>114</v>
      </c>
      <c r="W127" s="384" t="s">
        <v>5186</v>
      </c>
      <c r="X127" s="178" t="s">
        <v>4326</v>
      </c>
      <c r="Y127" s="385"/>
      <c r="Z127" s="385"/>
      <c r="AA127" s="177">
        <v>44940</v>
      </c>
      <c r="AB127" s="177"/>
      <c r="AC127" s="177"/>
      <c r="AD127" s="177">
        <v>44940</v>
      </c>
      <c r="AE127" s="177">
        <v>44944</v>
      </c>
      <c r="AF127" s="177"/>
      <c r="AG127" s="177">
        <v>44941</v>
      </c>
      <c r="AH127" s="177"/>
      <c r="AI127" s="180"/>
      <c r="AJ127" s="173"/>
      <c r="AK127" s="173" t="s">
        <v>2479</v>
      </c>
      <c r="AL127" s="181" t="s">
        <v>69</v>
      </c>
      <c r="AM127" s="181" t="s">
        <v>142</v>
      </c>
      <c r="AN127" s="181" t="s">
        <v>1657</v>
      </c>
      <c r="AO127" s="181"/>
      <c r="AP127" s="181">
        <v>44849</v>
      </c>
      <c r="AQ127" s="173"/>
      <c r="AR127" s="181">
        <f t="shared" ca="1" si="20"/>
        <v>44958</v>
      </c>
      <c r="AS127" s="176">
        <f t="shared" ca="1" si="23"/>
        <v>109</v>
      </c>
      <c r="AT127" s="176">
        <f t="shared" ca="1" si="24"/>
        <v>14</v>
      </c>
      <c r="AU127" s="176"/>
      <c r="AV127" s="176" t="s">
        <v>3939</v>
      </c>
      <c r="AW127" s="176">
        <v>10.585000000000001</v>
      </c>
      <c r="AX127" s="176">
        <v>10.595000000000001</v>
      </c>
      <c r="AY127" s="173">
        <v>10.62</v>
      </c>
      <c r="AZ127" s="142">
        <v>10.625</v>
      </c>
      <c r="BA127" s="142" t="str">
        <f t="shared" si="21"/>
        <v/>
      </c>
      <c r="BB127" s="142">
        <v>456</v>
      </c>
      <c r="BD127" s="142" t="s">
        <v>123</v>
      </c>
    </row>
    <row r="128" spans="2:56" s="142" customFormat="1" ht="21" customHeight="1" x14ac:dyDescent="0.25">
      <c r="B128" s="173" t="str">
        <f t="shared" si="22"/>
        <v>0-304L/2B-1.20X639</v>
      </c>
      <c r="C128" s="201" t="s">
        <v>5253</v>
      </c>
      <c r="D128" s="173" t="s">
        <v>68</v>
      </c>
      <c r="E128" s="173" t="s">
        <v>4081</v>
      </c>
      <c r="F128" s="201" t="s">
        <v>5260</v>
      </c>
      <c r="G128" s="173" t="s">
        <v>182</v>
      </c>
      <c r="H128" s="173" t="s">
        <v>114</v>
      </c>
      <c r="I128" s="174">
        <v>2.87</v>
      </c>
      <c r="J128" s="174">
        <v>1.2</v>
      </c>
      <c r="K128" s="174">
        <v>1.17</v>
      </c>
      <c r="L128" s="174">
        <v>1.18</v>
      </c>
      <c r="M128" s="380">
        <v>639</v>
      </c>
      <c r="N128" s="350"/>
      <c r="O128" s="381">
        <v>5.6</v>
      </c>
      <c r="P128" s="382"/>
      <c r="Q128" s="176"/>
      <c r="R128" s="176"/>
      <c r="S128" s="176"/>
      <c r="T128" s="383"/>
      <c r="U128" s="380">
        <v>639</v>
      </c>
      <c r="V128" s="371" t="s">
        <v>114</v>
      </c>
      <c r="W128" s="384"/>
      <c r="X128" s="178" t="s">
        <v>4326</v>
      </c>
      <c r="Y128" s="385"/>
      <c r="Z128" s="385"/>
      <c r="AA128" s="177">
        <v>44940</v>
      </c>
      <c r="AB128" s="177"/>
      <c r="AC128" s="177"/>
      <c r="AD128" s="177">
        <v>44940</v>
      </c>
      <c r="AE128" s="177">
        <v>44944</v>
      </c>
      <c r="AF128" s="177"/>
      <c r="AG128" s="177" t="s">
        <v>5261</v>
      </c>
      <c r="AH128" s="177"/>
      <c r="AI128" s="180"/>
      <c r="AJ128" s="173"/>
      <c r="AK128" s="173" t="s">
        <v>2479</v>
      </c>
      <c r="AL128" s="181" t="s">
        <v>69</v>
      </c>
      <c r="AM128" s="181" t="s">
        <v>142</v>
      </c>
      <c r="AN128" s="181" t="s">
        <v>1657</v>
      </c>
      <c r="AO128" s="181"/>
      <c r="AP128" s="181">
        <v>44849</v>
      </c>
      <c r="AQ128" s="173"/>
      <c r="AR128" s="181">
        <f t="shared" ca="1" si="20"/>
        <v>44958</v>
      </c>
      <c r="AS128" s="176">
        <f t="shared" ca="1" si="23"/>
        <v>109</v>
      </c>
      <c r="AT128" s="176">
        <f t="shared" ca="1" si="24"/>
        <v>14</v>
      </c>
      <c r="AU128" s="176"/>
      <c r="AV128" s="176" t="s">
        <v>3939</v>
      </c>
      <c r="AW128" s="176">
        <v>10.585000000000001</v>
      </c>
      <c r="AX128" s="176">
        <v>10.595000000000001</v>
      </c>
      <c r="AY128" s="173">
        <v>10.62</v>
      </c>
      <c r="AZ128" s="142">
        <v>10.625</v>
      </c>
      <c r="BA128" s="142" t="str">
        <f t="shared" si="21"/>
        <v/>
      </c>
      <c r="BB128" s="142">
        <v>456</v>
      </c>
      <c r="BD128" s="142" t="s">
        <v>123</v>
      </c>
    </row>
    <row r="129" spans="2:56" s="142" customFormat="1" ht="21" customHeight="1" x14ac:dyDescent="0.25">
      <c r="B129" s="173" t="str">
        <f t="shared" si="22"/>
        <v>0-304L/2B-1.20X638</v>
      </c>
      <c r="C129" s="201" t="s">
        <v>5258</v>
      </c>
      <c r="D129" s="173" t="s">
        <v>4432</v>
      </c>
      <c r="E129" s="173" t="s">
        <v>4019</v>
      </c>
      <c r="F129" s="201" t="s">
        <v>5262</v>
      </c>
      <c r="G129" s="173" t="s">
        <v>182</v>
      </c>
      <c r="H129" s="173" t="s">
        <v>114</v>
      </c>
      <c r="I129" s="174">
        <v>2.89</v>
      </c>
      <c r="J129" s="174">
        <v>1.2</v>
      </c>
      <c r="K129" s="174">
        <v>1.18</v>
      </c>
      <c r="L129" s="174">
        <v>1.2</v>
      </c>
      <c r="M129" s="380">
        <v>638</v>
      </c>
      <c r="N129" s="176">
        <v>9.9749999999999996</v>
      </c>
      <c r="O129" s="381">
        <f>4.845+4.895</f>
        <v>9.7399999999999984</v>
      </c>
      <c r="P129" s="382"/>
      <c r="Q129" s="176">
        <v>0.04</v>
      </c>
      <c r="R129" s="176"/>
      <c r="S129" s="176">
        <v>0.19500000000000001</v>
      </c>
      <c r="T129" s="383"/>
      <c r="U129" s="380" t="s">
        <v>5124</v>
      </c>
      <c r="V129" s="371" t="s">
        <v>114</v>
      </c>
      <c r="W129" s="384" t="s">
        <v>5186</v>
      </c>
      <c r="X129" s="178" t="s">
        <v>4326</v>
      </c>
      <c r="Y129" s="385"/>
      <c r="Z129" s="385"/>
      <c r="AA129" s="177">
        <v>44936</v>
      </c>
      <c r="AB129" s="177"/>
      <c r="AC129" s="177"/>
      <c r="AD129" s="177">
        <v>44936</v>
      </c>
      <c r="AE129" s="177">
        <v>44944</v>
      </c>
      <c r="AF129" s="177"/>
      <c r="AG129" s="177">
        <v>44943</v>
      </c>
      <c r="AH129" s="177"/>
      <c r="AI129" s="180"/>
      <c r="AJ129" s="173"/>
      <c r="AK129" s="173" t="s">
        <v>2479</v>
      </c>
      <c r="AL129" s="181" t="s">
        <v>69</v>
      </c>
      <c r="AM129" s="181" t="s">
        <v>142</v>
      </c>
      <c r="AN129" s="181" t="s">
        <v>1594</v>
      </c>
      <c r="AO129" s="181"/>
      <c r="AP129" s="181">
        <v>44849</v>
      </c>
      <c r="AQ129" s="173"/>
      <c r="AR129" s="181">
        <f t="shared" ca="1" si="20"/>
        <v>44958</v>
      </c>
      <c r="AS129" s="176">
        <f t="shared" ca="1" si="23"/>
        <v>109</v>
      </c>
      <c r="AT129" s="176">
        <f t="shared" ca="1" si="24"/>
        <v>14</v>
      </c>
      <c r="AU129" s="176"/>
      <c r="AV129" s="176" t="s">
        <v>4013</v>
      </c>
      <c r="AW129" s="176">
        <v>9.9949999999999992</v>
      </c>
      <c r="AX129" s="176">
        <v>10.005000000000001</v>
      </c>
      <c r="AY129" s="173">
        <v>10.029999999999999</v>
      </c>
      <c r="AZ129" s="142">
        <v>10.035</v>
      </c>
      <c r="BA129" s="142" t="str">
        <f t="shared" si="21"/>
        <v/>
      </c>
      <c r="BB129" s="142">
        <v>456</v>
      </c>
      <c r="BD129" s="142" t="s">
        <v>123</v>
      </c>
    </row>
    <row r="130" spans="2:56" s="142" customFormat="1" ht="21" customHeight="1" x14ac:dyDescent="0.25">
      <c r="B130" s="173" t="str">
        <f t="shared" si="22"/>
        <v>0-304L/2B-1.20X637</v>
      </c>
      <c r="C130" s="201" t="s">
        <v>5263</v>
      </c>
      <c r="D130" s="173" t="s">
        <v>4432</v>
      </c>
      <c r="E130" s="173" t="s">
        <v>4011</v>
      </c>
      <c r="F130" s="201" t="s">
        <v>5264</v>
      </c>
      <c r="G130" s="173" t="s">
        <v>182</v>
      </c>
      <c r="H130" s="173" t="s">
        <v>114</v>
      </c>
      <c r="I130" s="174">
        <v>2.9</v>
      </c>
      <c r="J130" s="174">
        <v>1.2</v>
      </c>
      <c r="K130" s="174">
        <v>1.1599999999999999</v>
      </c>
      <c r="L130" s="174">
        <v>1.18</v>
      </c>
      <c r="M130" s="380">
        <v>637</v>
      </c>
      <c r="N130" s="176">
        <v>10.41</v>
      </c>
      <c r="O130" s="381">
        <f>5.395+4.74</f>
        <v>10.135</v>
      </c>
      <c r="P130" s="382"/>
      <c r="Q130" s="176">
        <v>0.05</v>
      </c>
      <c r="R130" s="176"/>
      <c r="S130" s="176"/>
      <c r="T130" s="383"/>
      <c r="U130" s="380" t="s">
        <v>5124</v>
      </c>
      <c r="V130" s="371" t="s">
        <v>114</v>
      </c>
      <c r="W130" s="384" t="s">
        <v>5186</v>
      </c>
      <c r="X130" s="178" t="s">
        <v>4326</v>
      </c>
      <c r="Y130" s="385"/>
      <c r="Z130" s="385"/>
      <c r="AA130" s="177">
        <v>44936</v>
      </c>
      <c r="AB130" s="177"/>
      <c r="AC130" s="177"/>
      <c r="AD130" s="177">
        <v>44936</v>
      </c>
      <c r="AE130" s="177">
        <v>44944</v>
      </c>
      <c r="AF130" s="177"/>
      <c r="AG130" s="177"/>
      <c r="AH130" s="177"/>
      <c r="AI130" s="180"/>
      <c r="AJ130" s="173"/>
      <c r="AK130" s="173" t="s">
        <v>2479</v>
      </c>
      <c r="AL130" s="181" t="s">
        <v>69</v>
      </c>
      <c r="AM130" s="181" t="s">
        <v>142</v>
      </c>
      <c r="AN130" s="181" t="s">
        <v>1594</v>
      </c>
      <c r="AO130" s="181"/>
      <c r="AP130" s="181">
        <v>44849</v>
      </c>
      <c r="AQ130" s="173"/>
      <c r="AR130" s="181">
        <f t="shared" ca="1" si="20"/>
        <v>44958</v>
      </c>
      <c r="AS130" s="176">
        <f t="shared" ca="1" si="23"/>
        <v>109</v>
      </c>
      <c r="AT130" s="176">
        <f t="shared" ca="1" si="24"/>
        <v>14</v>
      </c>
      <c r="AU130" s="176"/>
      <c r="AV130" s="176" t="s">
        <v>4013</v>
      </c>
      <c r="AW130" s="176">
        <v>10.455</v>
      </c>
      <c r="AX130" s="176">
        <v>10.465</v>
      </c>
      <c r="AY130" s="173">
        <v>10.489999999999998</v>
      </c>
      <c r="AZ130" s="142">
        <v>10.494999999999999</v>
      </c>
      <c r="BA130" s="142" t="str">
        <f t="shared" si="21"/>
        <v/>
      </c>
      <c r="BB130" s="142">
        <v>456</v>
      </c>
      <c r="BD130" s="142" t="s">
        <v>123</v>
      </c>
    </row>
    <row r="131" spans="2:56" s="142" customFormat="1" ht="21" customHeight="1" x14ac:dyDescent="0.25">
      <c r="B131" s="173" t="str">
        <f t="shared" si="22"/>
        <v>0-304L/2B-1.20X637</v>
      </c>
      <c r="C131" s="201" t="s">
        <v>5263</v>
      </c>
      <c r="D131" s="173" t="s">
        <v>4432</v>
      </c>
      <c r="E131" s="173" t="s">
        <v>4097</v>
      </c>
      <c r="F131" s="201" t="s">
        <v>5265</v>
      </c>
      <c r="G131" s="173" t="s">
        <v>182</v>
      </c>
      <c r="H131" s="173" t="s">
        <v>114</v>
      </c>
      <c r="I131" s="174">
        <v>2.89</v>
      </c>
      <c r="J131" s="174">
        <v>1.2</v>
      </c>
      <c r="K131" s="174">
        <v>1.18</v>
      </c>
      <c r="L131" s="174">
        <v>1.2</v>
      </c>
      <c r="M131" s="380">
        <v>637</v>
      </c>
      <c r="N131" s="176">
        <v>10.14</v>
      </c>
      <c r="O131" s="381">
        <f>5.005+4.87</f>
        <v>9.875</v>
      </c>
      <c r="P131" s="382"/>
      <c r="Q131" s="176">
        <v>9.5000000000000001E-2</v>
      </c>
      <c r="R131" s="176"/>
      <c r="S131" s="176"/>
      <c r="T131" s="383"/>
      <c r="U131" s="380" t="s">
        <v>5124</v>
      </c>
      <c r="V131" s="371" t="s">
        <v>114</v>
      </c>
      <c r="W131" s="384" t="s">
        <v>5186</v>
      </c>
      <c r="X131" s="178" t="s">
        <v>4326</v>
      </c>
      <c r="Y131" s="385"/>
      <c r="Z131" s="385"/>
      <c r="AA131" s="177">
        <v>44940</v>
      </c>
      <c r="AB131" s="177"/>
      <c r="AC131" s="177"/>
      <c r="AD131" s="177">
        <v>44941</v>
      </c>
      <c r="AE131" s="177">
        <v>44944</v>
      </c>
      <c r="AF131" s="177"/>
      <c r="AG131" s="177">
        <v>44942</v>
      </c>
      <c r="AH131" s="177"/>
      <c r="AI131" s="180"/>
      <c r="AJ131" s="173"/>
      <c r="AK131" s="173" t="s">
        <v>2479</v>
      </c>
      <c r="AL131" s="181" t="s">
        <v>69</v>
      </c>
      <c r="AM131" s="181" t="s">
        <v>142</v>
      </c>
      <c r="AN131" s="181" t="s">
        <v>1657</v>
      </c>
      <c r="AO131" s="181"/>
      <c r="AP131" s="181">
        <v>44849</v>
      </c>
      <c r="AQ131" s="173"/>
      <c r="AR131" s="181">
        <f t="shared" ca="1" si="20"/>
        <v>44958</v>
      </c>
      <c r="AS131" s="176">
        <f t="shared" ca="1" si="23"/>
        <v>109</v>
      </c>
      <c r="AT131" s="176">
        <f t="shared" ca="1" si="24"/>
        <v>14</v>
      </c>
      <c r="AU131" s="176"/>
      <c r="AV131" s="176" t="s">
        <v>4016</v>
      </c>
      <c r="AW131" s="176">
        <v>10.185</v>
      </c>
      <c r="AX131" s="176">
        <v>10.195</v>
      </c>
      <c r="AY131" s="173">
        <v>10.219999999999999</v>
      </c>
      <c r="AZ131" s="142">
        <v>10.225</v>
      </c>
      <c r="BA131" s="142" t="str">
        <f t="shared" si="21"/>
        <v/>
      </c>
      <c r="BB131" s="142">
        <v>456</v>
      </c>
      <c r="BD131" s="142" t="s">
        <v>123</v>
      </c>
    </row>
    <row r="132" spans="2:56" s="142" customFormat="1" ht="21" customHeight="1" x14ac:dyDescent="0.25">
      <c r="B132" s="173" t="str">
        <f t="shared" si="22"/>
        <v>0-304L/2B-1.20X639</v>
      </c>
      <c r="C132" s="201" t="s">
        <v>5266</v>
      </c>
      <c r="D132" s="173" t="s">
        <v>5026</v>
      </c>
      <c r="E132" s="173" t="s">
        <v>4081</v>
      </c>
      <c r="F132" s="201" t="s">
        <v>5260</v>
      </c>
      <c r="G132" s="173" t="s">
        <v>182</v>
      </c>
      <c r="H132" s="173" t="s">
        <v>114</v>
      </c>
      <c r="I132" s="174">
        <v>2.87</v>
      </c>
      <c r="J132" s="174">
        <v>1.2</v>
      </c>
      <c r="K132" s="174">
        <v>1.17</v>
      </c>
      <c r="L132" s="174">
        <v>1.18</v>
      </c>
      <c r="M132" s="380">
        <v>639</v>
      </c>
      <c r="N132" s="349">
        <v>5.6</v>
      </c>
      <c r="O132" s="381">
        <v>0.28499999999999998</v>
      </c>
      <c r="P132" s="382"/>
      <c r="Q132" s="176"/>
      <c r="R132" s="176"/>
      <c r="S132" s="176"/>
      <c r="T132" s="383"/>
      <c r="U132" s="380">
        <v>635</v>
      </c>
      <c r="V132" s="371" t="s">
        <v>114</v>
      </c>
      <c r="W132" s="384"/>
      <c r="X132" s="178" t="s">
        <v>390</v>
      </c>
      <c r="Y132" s="385"/>
      <c r="Z132" s="385"/>
      <c r="AA132" s="177">
        <v>44940</v>
      </c>
      <c r="AB132" s="177"/>
      <c r="AC132" s="177"/>
      <c r="AD132" s="177">
        <v>44940</v>
      </c>
      <c r="AE132" s="177">
        <v>44944</v>
      </c>
      <c r="AF132" s="177"/>
      <c r="AG132" s="177" t="s">
        <v>5261</v>
      </c>
      <c r="AH132" s="177"/>
      <c r="AI132" s="180"/>
      <c r="AJ132" s="173"/>
      <c r="AK132" s="173" t="s">
        <v>2479</v>
      </c>
      <c r="AL132" s="181" t="s">
        <v>69</v>
      </c>
      <c r="AM132" s="181" t="s">
        <v>142</v>
      </c>
      <c r="AN132" s="181" t="s">
        <v>1657</v>
      </c>
      <c r="AO132" s="181"/>
      <c r="AP132" s="181">
        <v>44849</v>
      </c>
      <c r="AQ132" s="173"/>
      <c r="AR132" s="181">
        <f t="shared" ca="1" si="20"/>
        <v>44958</v>
      </c>
      <c r="AS132" s="176">
        <f t="shared" ca="1" si="23"/>
        <v>109</v>
      </c>
      <c r="AT132" s="176">
        <f t="shared" ca="1" si="24"/>
        <v>14</v>
      </c>
      <c r="AU132" s="176"/>
      <c r="AV132" s="176" t="s">
        <v>3939</v>
      </c>
      <c r="AW132" s="176">
        <v>10.585000000000001</v>
      </c>
      <c r="AX132" s="176">
        <v>10.595000000000001</v>
      </c>
      <c r="AY132" s="173">
        <v>10.62</v>
      </c>
      <c r="AZ132" s="142">
        <v>10.625</v>
      </c>
      <c r="BA132" s="142" t="str">
        <f t="shared" si="21"/>
        <v/>
      </c>
      <c r="BB132" s="142">
        <v>456</v>
      </c>
      <c r="BD132" s="142" t="s">
        <v>123</v>
      </c>
    </row>
    <row r="133" spans="2:56" s="142" customFormat="1" ht="21" customHeight="1" x14ac:dyDescent="0.25">
      <c r="B133" s="173" t="str">
        <f t="shared" si="22"/>
        <v>0-304L/2B-1.20X639</v>
      </c>
      <c r="C133" s="201" t="s">
        <v>5267</v>
      </c>
      <c r="D133" s="173" t="s">
        <v>4432</v>
      </c>
      <c r="E133" s="173" t="s">
        <v>4081</v>
      </c>
      <c r="F133" s="201" t="s">
        <v>5268</v>
      </c>
      <c r="G133" s="173" t="s">
        <v>182</v>
      </c>
      <c r="H133" s="173" t="s">
        <v>114</v>
      </c>
      <c r="I133" s="174">
        <v>2.87</v>
      </c>
      <c r="J133" s="174">
        <v>1.2</v>
      </c>
      <c r="K133" s="174">
        <v>1.17</v>
      </c>
      <c r="L133" s="174">
        <v>1.18</v>
      </c>
      <c r="M133" s="380">
        <v>639</v>
      </c>
      <c r="N133" s="350"/>
      <c r="O133" s="381">
        <v>5.17</v>
      </c>
      <c r="P133" s="382"/>
      <c r="Q133" s="176">
        <v>3.5000000000000003E-2</v>
      </c>
      <c r="R133" s="176"/>
      <c r="S133" s="176"/>
      <c r="T133" s="383"/>
      <c r="U133" s="380" t="s">
        <v>5124</v>
      </c>
      <c r="V133" s="371" t="s">
        <v>114</v>
      </c>
      <c r="W133" s="384" t="s">
        <v>5186</v>
      </c>
      <c r="X133" s="178" t="s">
        <v>4326</v>
      </c>
      <c r="Y133" s="385"/>
      <c r="Z133" s="385"/>
      <c r="AA133" s="177">
        <v>44940</v>
      </c>
      <c r="AB133" s="177"/>
      <c r="AC133" s="177"/>
      <c r="AD133" s="177">
        <v>44940</v>
      </c>
      <c r="AE133" s="177">
        <v>44944</v>
      </c>
      <c r="AF133" s="177"/>
      <c r="AG133" s="177" t="s">
        <v>5261</v>
      </c>
      <c r="AH133" s="177"/>
      <c r="AI133" s="180"/>
      <c r="AJ133" s="173"/>
      <c r="AK133" s="173" t="s">
        <v>2479</v>
      </c>
      <c r="AL133" s="181" t="s">
        <v>69</v>
      </c>
      <c r="AM133" s="181" t="s">
        <v>142</v>
      </c>
      <c r="AN133" s="181" t="s">
        <v>1657</v>
      </c>
      <c r="AO133" s="181"/>
      <c r="AP133" s="181">
        <v>44849</v>
      </c>
      <c r="AQ133" s="173"/>
      <c r="AR133" s="181">
        <f t="shared" ca="1" si="20"/>
        <v>44958</v>
      </c>
      <c r="AS133" s="176">
        <f t="shared" ca="1" si="23"/>
        <v>109</v>
      </c>
      <c r="AT133" s="176">
        <f t="shared" ca="1" si="24"/>
        <v>14</v>
      </c>
      <c r="AU133" s="176"/>
      <c r="AV133" s="176" t="s">
        <v>3939</v>
      </c>
      <c r="AW133" s="176">
        <v>10.585000000000001</v>
      </c>
      <c r="AX133" s="176">
        <v>10.595000000000001</v>
      </c>
      <c r="AY133" s="173">
        <v>10.62</v>
      </c>
      <c r="AZ133" s="142">
        <v>10.625</v>
      </c>
      <c r="BA133" s="142" t="str">
        <f t="shared" si="21"/>
        <v/>
      </c>
      <c r="BB133" s="142">
        <v>456</v>
      </c>
      <c r="BD133" s="142" t="s">
        <v>123</v>
      </c>
    </row>
    <row r="134" spans="2:56" s="142" customFormat="1" ht="21" customHeight="1" x14ac:dyDescent="0.25">
      <c r="B134" s="173" t="str">
        <f t="shared" si="22"/>
        <v>0-304L/2B-1.20X639</v>
      </c>
      <c r="C134" s="201" t="s">
        <v>5263</v>
      </c>
      <c r="D134" s="173" t="s">
        <v>4432</v>
      </c>
      <c r="E134" s="173" t="s">
        <v>3961</v>
      </c>
      <c r="F134" s="201" t="s">
        <v>5269</v>
      </c>
      <c r="G134" s="173" t="s">
        <v>182</v>
      </c>
      <c r="H134" s="173" t="s">
        <v>114</v>
      </c>
      <c r="I134" s="174">
        <v>2.91</v>
      </c>
      <c r="J134" s="174">
        <v>1.2</v>
      </c>
      <c r="K134" s="174">
        <v>1.19</v>
      </c>
      <c r="L134" s="174">
        <v>1.2</v>
      </c>
      <c r="M134" s="380">
        <v>639</v>
      </c>
      <c r="N134" s="176">
        <v>8.8350000000000009</v>
      </c>
      <c r="O134" s="381">
        <f>4.335+4.28</f>
        <v>8.6150000000000002</v>
      </c>
      <c r="P134" s="382"/>
      <c r="Q134" s="176"/>
      <c r="R134" s="176"/>
      <c r="S134" s="176"/>
      <c r="T134" s="383"/>
      <c r="U134" s="380" t="s">
        <v>5124</v>
      </c>
      <c r="V134" s="371" t="s">
        <v>114</v>
      </c>
      <c r="W134" s="384" t="s">
        <v>5186</v>
      </c>
      <c r="X134" s="178" t="s">
        <v>4326</v>
      </c>
      <c r="Y134" s="385"/>
      <c r="Z134" s="385"/>
      <c r="AA134" s="177">
        <v>44933</v>
      </c>
      <c r="AB134" s="177"/>
      <c r="AC134" s="177"/>
      <c r="AD134" s="177">
        <v>44936</v>
      </c>
      <c r="AE134" s="177">
        <v>44944</v>
      </c>
      <c r="AF134" s="177"/>
      <c r="AG134" s="177">
        <v>44942</v>
      </c>
      <c r="AH134" s="177"/>
      <c r="AI134" s="180"/>
      <c r="AJ134" s="173"/>
      <c r="AK134" s="173" t="s">
        <v>2479</v>
      </c>
      <c r="AL134" s="181" t="s">
        <v>69</v>
      </c>
      <c r="AM134" s="181" t="s">
        <v>142</v>
      </c>
      <c r="AN134" s="181" t="s">
        <v>1887</v>
      </c>
      <c r="AO134" s="181"/>
      <c r="AP134" s="181">
        <v>44880</v>
      </c>
      <c r="AQ134" s="173"/>
      <c r="AR134" s="181">
        <f t="shared" ca="1" si="20"/>
        <v>44958</v>
      </c>
      <c r="AS134" s="176">
        <f t="shared" ca="1" si="23"/>
        <v>78</v>
      </c>
      <c r="AT134" s="176">
        <f t="shared" ca="1" si="24"/>
        <v>14</v>
      </c>
      <c r="AU134" s="176"/>
      <c r="AV134" s="176" t="s">
        <v>2273</v>
      </c>
      <c r="AW134" s="176">
        <v>8.86</v>
      </c>
      <c r="AX134" s="176">
        <v>8.8699999999999992</v>
      </c>
      <c r="AY134" s="173">
        <v>8.8949999999999978</v>
      </c>
      <c r="AZ134" s="142">
        <v>8.8999999999999986</v>
      </c>
      <c r="BA134" s="142" t="str">
        <f t="shared" si="21"/>
        <v/>
      </c>
      <c r="BB134" s="142">
        <v>459</v>
      </c>
      <c r="BD134" s="142" t="s">
        <v>123</v>
      </c>
    </row>
    <row r="135" spans="2:56" s="142" customFormat="1" ht="21" customHeight="1" x14ac:dyDescent="0.25">
      <c r="B135" s="173" t="str">
        <f t="shared" si="22"/>
        <v>0-304L/2B-1.00X644</v>
      </c>
      <c r="C135" s="201" t="s">
        <v>5263</v>
      </c>
      <c r="D135" s="173" t="s">
        <v>4432</v>
      </c>
      <c r="E135" s="173" t="s">
        <v>4023</v>
      </c>
      <c r="F135" s="201" t="s">
        <v>5270</v>
      </c>
      <c r="G135" s="173" t="s">
        <v>182</v>
      </c>
      <c r="H135" s="173" t="s">
        <v>114</v>
      </c>
      <c r="I135" s="174">
        <v>2.81</v>
      </c>
      <c r="J135" s="174">
        <v>1</v>
      </c>
      <c r="K135" s="174">
        <v>0.99</v>
      </c>
      <c r="L135" s="174">
        <v>1</v>
      </c>
      <c r="M135" s="380">
        <v>644</v>
      </c>
      <c r="N135" s="176">
        <v>10.6</v>
      </c>
      <c r="O135" s="381">
        <f>5.15+5.34</f>
        <v>10.49</v>
      </c>
      <c r="P135" s="382"/>
      <c r="Q135" s="176"/>
      <c r="R135" s="176">
        <v>0.03</v>
      </c>
      <c r="S135" s="176">
        <v>0.08</v>
      </c>
      <c r="T135" s="383"/>
      <c r="U135" s="380" t="s">
        <v>5124</v>
      </c>
      <c r="V135" s="371" t="s">
        <v>114</v>
      </c>
      <c r="W135" s="384" t="s">
        <v>5186</v>
      </c>
      <c r="X135" s="178" t="s">
        <v>4400</v>
      </c>
      <c r="Y135" s="385"/>
      <c r="Z135" s="385"/>
      <c r="AA135" s="177">
        <v>44936</v>
      </c>
      <c r="AB135" s="177"/>
      <c r="AC135" s="177"/>
      <c r="AD135" s="177">
        <v>44937</v>
      </c>
      <c r="AE135" s="177">
        <v>44945</v>
      </c>
      <c r="AF135" s="177"/>
      <c r="AG135" s="177">
        <v>44942</v>
      </c>
      <c r="AH135" s="177"/>
      <c r="AI135" s="180"/>
      <c r="AJ135" s="173"/>
      <c r="AK135" s="173" t="s">
        <v>2479</v>
      </c>
      <c r="AL135" s="181" t="s">
        <v>69</v>
      </c>
      <c r="AM135" s="181" t="s">
        <v>142</v>
      </c>
      <c r="AN135" s="181" t="s">
        <v>1653</v>
      </c>
      <c r="AO135" s="181"/>
      <c r="AP135" s="181">
        <v>44880</v>
      </c>
      <c r="AQ135" s="173"/>
      <c r="AR135" s="181">
        <f t="shared" ca="1" si="20"/>
        <v>44958</v>
      </c>
      <c r="AS135" s="176">
        <f t="shared" ca="1" si="23"/>
        <v>78</v>
      </c>
      <c r="AT135" s="176">
        <f t="shared" ca="1" si="24"/>
        <v>13</v>
      </c>
      <c r="AU135" s="176"/>
      <c r="AV135" s="176" t="s">
        <v>2085</v>
      </c>
      <c r="AW135" s="176">
        <v>10.67</v>
      </c>
      <c r="AX135" s="176">
        <v>10.68</v>
      </c>
      <c r="AY135" s="173">
        <v>10.704999999999998</v>
      </c>
      <c r="AZ135" s="142">
        <v>10.709999999999999</v>
      </c>
      <c r="BA135" s="142" t="str">
        <f t="shared" si="21"/>
        <v/>
      </c>
      <c r="BB135" s="142">
        <v>459</v>
      </c>
      <c r="BD135" s="142" t="s">
        <v>123</v>
      </c>
    </row>
    <row r="136" spans="2:56" s="142" customFormat="1" ht="21" customHeight="1" x14ac:dyDescent="0.25">
      <c r="B136" s="173" t="str">
        <f t="shared" si="22"/>
        <v>0-304L/2B-1.20X642</v>
      </c>
      <c r="C136" s="201" t="s">
        <v>5263</v>
      </c>
      <c r="D136" s="173" t="s">
        <v>4432</v>
      </c>
      <c r="E136" s="173" t="s">
        <v>4045</v>
      </c>
      <c r="F136" s="201" t="s">
        <v>5271</v>
      </c>
      <c r="G136" s="173" t="s">
        <v>182</v>
      </c>
      <c r="H136" s="173" t="s">
        <v>114</v>
      </c>
      <c r="I136" s="174">
        <v>2.95</v>
      </c>
      <c r="J136" s="174">
        <v>1.2</v>
      </c>
      <c r="K136" s="174">
        <v>1.18</v>
      </c>
      <c r="L136" s="174">
        <v>1.19</v>
      </c>
      <c r="M136" s="380">
        <v>642</v>
      </c>
      <c r="N136" s="176">
        <v>9.9749999999999996</v>
      </c>
      <c r="O136" s="381">
        <f>4.875+4.935</f>
        <v>9.8099999999999987</v>
      </c>
      <c r="P136" s="382"/>
      <c r="Q136" s="176">
        <v>6.5000000000000002E-2</v>
      </c>
      <c r="R136" s="176"/>
      <c r="S136" s="176">
        <v>0.1</v>
      </c>
      <c r="T136" s="383"/>
      <c r="U136" s="380" t="s">
        <v>5124</v>
      </c>
      <c r="V136" s="371" t="s">
        <v>114</v>
      </c>
      <c r="W136" s="384" t="s">
        <v>5272</v>
      </c>
      <c r="X136" s="178" t="s">
        <v>4326</v>
      </c>
      <c r="Y136" s="385"/>
      <c r="Z136" s="385"/>
      <c r="AA136" s="177">
        <v>44937</v>
      </c>
      <c r="AB136" s="177"/>
      <c r="AC136" s="177"/>
      <c r="AD136" s="177">
        <v>44938</v>
      </c>
      <c r="AE136" s="177">
        <v>44945</v>
      </c>
      <c r="AF136" s="177"/>
      <c r="AG136" s="177">
        <v>44941</v>
      </c>
      <c r="AH136" s="177"/>
      <c r="AI136" s="180"/>
      <c r="AJ136" s="173"/>
      <c r="AK136" s="173" t="s">
        <v>1619</v>
      </c>
      <c r="AL136" s="181" t="s">
        <v>69</v>
      </c>
      <c r="AM136" s="181" t="s">
        <v>142</v>
      </c>
      <c r="AN136" s="181" t="s">
        <v>1657</v>
      </c>
      <c r="AO136" s="181"/>
      <c r="AP136" s="181">
        <v>44849</v>
      </c>
      <c r="AQ136" s="173"/>
      <c r="AR136" s="181">
        <f t="shared" ca="1" si="20"/>
        <v>44958</v>
      </c>
      <c r="AS136" s="176">
        <f t="shared" ca="1" si="23"/>
        <v>109</v>
      </c>
      <c r="AT136" s="176">
        <f t="shared" ca="1" si="24"/>
        <v>13</v>
      </c>
      <c r="AU136" s="176"/>
      <c r="AV136" s="176" t="s">
        <v>1737</v>
      </c>
      <c r="AW136" s="176">
        <v>10.035</v>
      </c>
      <c r="AX136" s="176">
        <v>10.045</v>
      </c>
      <c r="AY136" s="173">
        <v>10.069999999999999</v>
      </c>
      <c r="AZ136" s="142">
        <v>10.074999999999999</v>
      </c>
      <c r="BA136" s="142" t="str">
        <f t="shared" si="21"/>
        <v/>
      </c>
      <c r="BB136" s="142">
        <v>456</v>
      </c>
      <c r="BD136" s="142" t="s">
        <v>123</v>
      </c>
    </row>
    <row r="137" spans="2:56" s="142" customFormat="1" ht="21" customHeight="1" x14ac:dyDescent="0.25">
      <c r="B137" s="173" t="str">
        <f t="shared" si="22"/>
        <v>0-304/2B-1.20X642</v>
      </c>
      <c r="C137" s="201" t="s">
        <v>5263</v>
      </c>
      <c r="D137" s="173" t="s">
        <v>4432</v>
      </c>
      <c r="E137" s="173" t="s">
        <v>4030</v>
      </c>
      <c r="F137" s="201" t="s">
        <v>5273</v>
      </c>
      <c r="G137" s="173">
        <v>304</v>
      </c>
      <c r="H137" s="173" t="s">
        <v>114</v>
      </c>
      <c r="I137" s="174">
        <v>2.93</v>
      </c>
      <c r="J137" s="174">
        <v>1.2</v>
      </c>
      <c r="K137" s="174">
        <v>1.17</v>
      </c>
      <c r="L137" s="174">
        <v>1.19</v>
      </c>
      <c r="M137" s="380">
        <v>642</v>
      </c>
      <c r="N137" s="176">
        <v>10.53</v>
      </c>
      <c r="O137" s="381">
        <f>4.885+5.415</f>
        <v>10.3</v>
      </c>
      <c r="P137" s="382"/>
      <c r="Q137" s="176">
        <v>8.5000000000000006E-2</v>
      </c>
      <c r="R137" s="176"/>
      <c r="S137" s="176">
        <v>0.14499999999999999</v>
      </c>
      <c r="T137" s="383"/>
      <c r="U137" s="380" t="s">
        <v>5124</v>
      </c>
      <c r="V137" s="371" t="s">
        <v>114</v>
      </c>
      <c r="W137" s="384" t="s">
        <v>5272</v>
      </c>
      <c r="X137" s="178" t="s">
        <v>4326</v>
      </c>
      <c r="Y137" s="385"/>
      <c r="Z137" s="385"/>
      <c r="AA137" s="177">
        <v>44937</v>
      </c>
      <c r="AB137" s="177"/>
      <c r="AC137" s="177"/>
      <c r="AD137" s="177">
        <v>44937</v>
      </c>
      <c r="AE137" s="177"/>
      <c r="AF137" s="177">
        <v>44945</v>
      </c>
      <c r="AG137" s="177"/>
      <c r="AH137" s="177"/>
      <c r="AI137" s="180"/>
      <c r="AJ137" s="173"/>
      <c r="AK137" s="173" t="s">
        <v>1619</v>
      </c>
      <c r="AL137" s="181" t="s">
        <v>69</v>
      </c>
      <c r="AM137" s="181" t="s">
        <v>142</v>
      </c>
      <c r="AN137" s="181" t="s">
        <v>1594</v>
      </c>
      <c r="AO137" s="181"/>
      <c r="AP137" s="181">
        <v>44849</v>
      </c>
      <c r="AQ137" s="173"/>
      <c r="AR137" s="181">
        <f t="shared" ca="1" si="20"/>
        <v>44958</v>
      </c>
      <c r="AS137" s="176">
        <f t="shared" ca="1" si="23"/>
        <v>109</v>
      </c>
      <c r="AT137" s="176" t="str">
        <f t="shared" si="24"/>
        <v/>
      </c>
      <c r="AU137" s="176"/>
      <c r="AV137" s="176" t="s">
        <v>4032</v>
      </c>
      <c r="AW137" s="176">
        <v>10.58</v>
      </c>
      <c r="AX137" s="176">
        <v>10.59</v>
      </c>
      <c r="AY137" s="173">
        <v>10.614999999999998</v>
      </c>
      <c r="AZ137" s="142">
        <v>10.62</v>
      </c>
      <c r="BA137" s="142" t="str">
        <f t="shared" si="21"/>
        <v/>
      </c>
      <c r="BB137" s="142">
        <v>456</v>
      </c>
      <c r="BD137" s="142" t="s">
        <v>123</v>
      </c>
    </row>
    <row r="138" spans="2:56" s="142" customFormat="1" ht="21" customHeight="1" x14ac:dyDescent="0.25">
      <c r="B138" s="173" t="str">
        <f t="shared" si="22"/>
        <v>0-304/2B-1.20X642</v>
      </c>
      <c r="C138" s="201" t="s">
        <v>5263</v>
      </c>
      <c r="D138" s="173" t="s">
        <v>4432</v>
      </c>
      <c r="E138" s="173" t="s">
        <v>4059</v>
      </c>
      <c r="F138" s="201" t="s">
        <v>5274</v>
      </c>
      <c r="G138" s="173">
        <v>304</v>
      </c>
      <c r="H138" s="173" t="s">
        <v>114</v>
      </c>
      <c r="I138" s="174">
        <v>2.99</v>
      </c>
      <c r="J138" s="174">
        <v>1.2</v>
      </c>
      <c r="K138" s="174">
        <v>1.17</v>
      </c>
      <c r="L138" s="174">
        <v>1.2</v>
      </c>
      <c r="M138" s="380">
        <v>642</v>
      </c>
      <c r="N138" s="176">
        <v>10.36</v>
      </c>
      <c r="O138" s="381">
        <f>5.545+4.635</f>
        <v>10.18</v>
      </c>
      <c r="P138" s="382"/>
      <c r="Q138" s="176">
        <v>5.5E-2</v>
      </c>
      <c r="R138" s="176"/>
      <c r="S138" s="176">
        <v>0.125</v>
      </c>
      <c r="T138" s="383"/>
      <c r="U138" s="380" t="s">
        <v>5124</v>
      </c>
      <c r="V138" s="371" t="s">
        <v>114</v>
      </c>
      <c r="W138" s="384" t="s">
        <v>5272</v>
      </c>
      <c r="X138" s="178" t="s">
        <v>4326</v>
      </c>
      <c r="Y138" s="385"/>
      <c r="Z138" s="385"/>
      <c r="AA138" s="177">
        <v>44938</v>
      </c>
      <c r="AB138" s="177"/>
      <c r="AC138" s="177"/>
      <c r="AD138" s="177">
        <v>44939</v>
      </c>
      <c r="AE138" s="177"/>
      <c r="AF138" s="177">
        <v>44945</v>
      </c>
      <c r="AG138" s="177">
        <v>44944</v>
      </c>
      <c r="AH138" s="177"/>
      <c r="AI138" s="180"/>
      <c r="AJ138" s="173"/>
      <c r="AK138" s="173" t="s">
        <v>2479</v>
      </c>
      <c r="AL138" s="181" t="s">
        <v>69</v>
      </c>
      <c r="AM138" s="181" t="s">
        <v>142</v>
      </c>
      <c r="AN138" s="181" t="s">
        <v>1657</v>
      </c>
      <c r="AO138" s="181"/>
      <c r="AP138" s="181">
        <v>44849</v>
      </c>
      <c r="AQ138" s="173"/>
      <c r="AR138" s="181">
        <f t="shared" ca="1" si="20"/>
        <v>44958</v>
      </c>
      <c r="AS138" s="176">
        <f t="shared" ca="1" si="23"/>
        <v>109</v>
      </c>
      <c r="AT138" s="176" t="str">
        <f t="shared" si="24"/>
        <v/>
      </c>
      <c r="AU138" s="176"/>
      <c r="AV138" s="176" t="s">
        <v>4061</v>
      </c>
      <c r="AW138" s="176">
        <v>10.635</v>
      </c>
      <c r="AX138" s="176">
        <v>10.645</v>
      </c>
      <c r="AY138" s="173">
        <v>10.669999999999998</v>
      </c>
      <c r="AZ138" s="142">
        <v>10.674999999999999</v>
      </c>
      <c r="BA138" s="142" t="str">
        <f t="shared" si="21"/>
        <v/>
      </c>
      <c r="BB138" s="142">
        <v>456</v>
      </c>
      <c r="BD138" s="142" t="s">
        <v>123</v>
      </c>
    </row>
    <row r="139" spans="2:56" s="142" customFormat="1" ht="21" customHeight="1" x14ac:dyDescent="0.25">
      <c r="B139" s="173" t="str">
        <f t="shared" si="22"/>
        <v>0-304L/2B-1.20X641</v>
      </c>
      <c r="C139" s="201" t="s">
        <v>5263</v>
      </c>
      <c r="D139" s="173" t="s">
        <v>4432</v>
      </c>
      <c r="E139" s="173" t="s">
        <v>4091</v>
      </c>
      <c r="F139" s="201" t="s">
        <v>5275</v>
      </c>
      <c r="G139" s="173" t="s">
        <v>182</v>
      </c>
      <c r="H139" s="173" t="s">
        <v>114</v>
      </c>
      <c r="I139" s="174">
        <v>2.89</v>
      </c>
      <c r="J139" s="174">
        <v>1.2</v>
      </c>
      <c r="K139" s="174">
        <v>1.18</v>
      </c>
      <c r="L139" s="174">
        <v>1.2</v>
      </c>
      <c r="M139" s="380">
        <v>641</v>
      </c>
      <c r="N139" s="176">
        <v>10.71</v>
      </c>
      <c r="O139" s="381">
        <f>5.27+5.235</f>
        <v>10.504999999999999</v>
      </c>
      <c r="P139" s="382"/>
      <c r="Q139" s="176">
        <v>4.4999999999999998E-2</v>
      </c>
      <c r="R139" s="176"/>
      <c r="S139" s="176">
        <v>0.16</v>
      </c>
      <c r="T139" s="383"/>
      <c r="U139" s="380" t="s">
        <v>5124</v>
      </c>
      <c r="V139" s="371" t="s">
        <v>114</v>
      </c>
      <c r="W139" s="384" t="s">
        <v>5272</v>
      </c>
      <c r="X139" s="178" t="s">
        <v>4326</v>
      </c>
      <c r="Y139" s="385"/>
      <c r="Z139" s="385"/>
      <c r="AA139" s="177">
        <v>44940</v>
      </c>
      <c r="AB139" s="177"/>
      <c r="AC139" s="177"/>
      <c r="AD139" s="177">
        <v>44940</v>
      </c>
      <c r="AE139" s="177">
        <v>44945</v>
      </c>
      <c r="AF139" s="177"/>
      <c r="AG139" s="177">
        <v>44943</v>
      </c>
      <c r="AH139" s="177"/>
      <c r="AI139" s="180"/>
      <c r="AJ139" s="173"/>
      <c r="AK139" s="173" t="s">
        <v>2479</v>
      </c>
      <c r="AL139" s="181" t="s">
        <v>69</v>
      </c>
      <c r="AM139" s="181" t="s">
        <v>142</v>
      </c>
      <c r="AN139" s="181" t="s">
        <v>1594</v>
      </c>
      <c r="AO139" s="181"/>
      <c r="AP139" s="181">
        <v>44849</v>
      </c>
      <c r="AQ139" s="173"/>
      <c r="AR139" s="181">
        <f t="shared" ca="1" si="20"/>
        <v>44958</v>
      </c>
      <c r="AS139" s="176">
        <f t="shared" ca="1" si="23"/>
        <v>109</v>
      </c>
      <c r="AT139" s="176">
        <f t="shared" ca="1" si="24"/>
        <v>13</v>
      </c>
      <c r="AU139" s="176"/>
      <c r="AV139" s="176" t="s">
        <v>3970</v>
      </c>
      <c r="AW139" s="176">
        <v>10.734999999999999</v>
      </c>
      <c r="AX139" s="176">
        <v>10.744999999999999</v>
      </c>
      <c r="AY139" s="173">
        <v>10.769999999999998</v>
      </c>
      <c r="AZ139" s="142">
        <v>10.774999999999999</v>
      </c>
      <c r="BA139" s="142" t="str">
        <f t="shared" si="21"/>
        <v/>
      </c>
      <c r="BB139" s="142">
        <v>456</v>
      </c>
      <c r="BD139" s="142" t="s">
        <v>123</v>
      </c>
    </row>
    <row r="140" spans="2:56" s="142" customFormat="1" ht="21" customHeight="1" x14ac:dyDescent="0.25">
      <c r="B140" s="173" t="str">
        <f t="shared" si="22"/>
        <v>0-304L/2B-1.20X642</v>
      </c>
      <c r="C140" s="201" t="s">
        <v>5263</v>
      </c>
      <c r="D140" s="173" t="s">
        <v>4432</v>
      </c>
      <c r="E140" s="173" t="s">
        <v>4035</v>
      </c>
      <c r="F140" s="201" t="s">
        <v>5276</v>
      </c>
      <c r="G140" s="173" t="s">
        <v>182</v>
      </c>
      <c r="H140" s="173" t="s">
        <v>114</v>
      </c>
      <c r="I140" s="174">
        <v>2.88</v>
      </c>
      <c r="J140" s="174">
        <v>1.2</v>
      </c>
      <c r="K140" s="174">
        <v>1.2</v>
      </c>
      <c r="L140" s="174">
        <v>1.22</v>
      </c>
      <c r="M140" s="380">
        <v>642</v>
      </c>
      <c r="N140" s="176">
        <v>8.8049999999999997</v>
      </c>
      <c r="O140" s="381">
        <f>4.715+3.935</f>
        <v>8.65</v>
      </c>
      <c r="P140" s="382"/>
      <c r="Q140" s="176">
        <v>4.4999999999999998E-2</v>
      </c>
      <c r="R140" s="176"/>
      <c r="S140" s="176">
        <v>0.11</v>
      </c>
      <c r="T140" s="383"/>
      <c r="U140" s="380" t="s">
        <v>5124</v>
      </c>
      <c r="V140" s="371" t="s">
        <v>114</v>
      </c>
      <c r="W140" s="384" t="s">
        <v>5272</v>
      </c>
      <c r="X140" s="178" t="s">
        <v>4326</v>
      </c>
      <c r="Y140" s="385"/>
      <c r="Z140" s="385"/>
      <c r="AA140" s="177">
        <v>44937</v>
      </c>
      <c r="AB140" s="177"/>
      <c r="AC140" s="177"/>
      <c r="AD140" s="177">
        <v>44937</v>
      </c>
      <c r="AE140" s="177">
        <v>44945</v>
      </c>
      <c r="AF140" s="177"/>
      <c r="AG140" s="177">
        <v>44938</v>
      </c>
      <c r="AH140" s="177"/>
      <c r="AI140" s="180"/>
      <c r="AJ140" s="173"/>
      <c r="AK140" s="173" t="s">
        <v>2479</v>
      </c>
      <c r="AL140" s="181" t="s">
        <v>69</v>
      </c>
      <c r="AM140" s="181" t="s">
        <v>142</v>
      </c>
      <c r="AN140" s="181" t="s">
        <v>1657</v>
      </c>
      <c r="AO140" s="181"/>
      <c r="AP140" s="181">
        <v>44849</v>
      </c>
      <c r="AQ140" s="173"/>
      <c r="AR140" s="181">
        <f t="shared" ca="1" si="20"/>
        <v>44958</v>
      </c>
      <c r="AS140" s="176">
        <f t="shared" ca="1" si="23"/>
        <v>109</v>
      </c>
      <c r="AT140" s="176">
        <f t="shared" ca="1" si="24"/>
        <v>13</v>
      </c>
      <c r="AU140" s="176"/>
      <c r="AV140" s="176" t="s">
        <v>4037</v>
      </c>
      <c r="AW140" s="176">
        <v>8.81</v>
      </c>
      <c r="AX140" s="176">
        <v>8.82</v>
      </c>
      <c r="AY140" s="173">
        <v>8.8449999999999989</v>
      </c>
      <c r="AZ140" s="142">
        <v>8.85</v>
      </c>
      <c r="BA140" s="142" t="str">
        <f t="shared" si="21"/>
        <v/>
      </c>
      <c r="BB140" s="142">
        <v>456</v>
      </c>
      <c r="BD140" s="142" t="s">
        <v>123</v>
      </c>
    </row>
    <row r="141" spans="2:56" s="142" customFormat="1" ht="21" customHeight="1" x14ac:dyDescent="0.25">
      <c r="B141" s="173" t="str">
        <f t="shared" si="22"/>
        <v>0-304L/2B-1.20X640</v>
      </c>
      <c r="C141" s="201" t="s">
        <v>5263</v>
      </c>
      <c r="D141" s="173" t="s">
        <v>4432</v>
      </c>
      <c r="E141" s="173" t="s">
        <v>4070</v>
      </c>
      <c r="F141" s="201" t="s">
        <v>5277</v>
      </c>
      <c r="G141" s="173" t="s">
        <v>182</v>
      </c>
      <c r="H141" s="173" t="s">
        <v>114</v>
      </c>
      <c r="I141" s="174">
        <v>2.98</v>
      </c>
      <c r="J141" s="174">
        <v>1.2</v>
      </c>
      <c r="K141" s="174">
        <v>1.18</v>
      </c>
      <c r="L141" s="174">
        <v>1.19</v>
      </c>
      <c r="M141" s="380">
        <v>640</v>
      </c>
      <c r="N141" s="176">
        <v>10.31</v>
      </c>
      <c r="O141" s="381">
        <f>5.135+4.92</f>
        <v>10.055</v>
      </c>
      <c r="P141" s="382"/>
      <c r="Q141" s="176">
        <v>0.04</v>
      </c>
      <c r="R141" s="176"/>
      <c r="S141" s="176">
        <v>0.215</v>
      </c>
      <c r="T141" s="383"/>
      <c r="U141" s="380" t="s">
        <v>5124</v>
      </c>
      <c r="V141" s="371" t="s">
        <v>114</v>
      </c>
      <c r="W141" s="384" t="s">
        <v>5272</v>
      </c>
      <c r="X141" s="178" t="s">
        <v>4326</v>
      </c>
      <c r="Y141" s="385"/>
      <c r="Z141" s="385"/>
      <c r="AA141" s="177">
        <v>44939</v>
      </c>
      <c r="AB141" s="177"/>
      <c r="AC141" s="177"/>
      <c r="AD141" s="177">
        <v>44939</v>
      </c>
      <c r="AE141" s="177">
        <v>44946</v>
      </c>
      <c r="AF141" s="177"/>
      <c r="AG141" s="177"/>
      <c r="AH141" s="177"/>
      <c r="AI141" s="180"/>
      <c r="AJ141" s="173"/>
      <c r="AK141" s="173" t="s">
        <v>2479</v>
      </c>
      <c r="AL141" s="181" t="s">
        <v>69</v>
      </c>
      <c r="AM141" s="181" t="s">
        <v>142</v>
      </c>
      <c r="AN141" s="181" t="s">
        <v>1887</v>
      </c>
      <c r="AO141" s="181"/>
      <c r="AP141" s="181">
        <v>44880</v>
      </c>
      <c r="AQ141" s="173"/>
      <c r="AR141" s="181">
        <f t="shared" ca="1" si="20"/>
        <v>44958</v>
      </c>
      <c r="AS141" s="176">
        <f t="shared" ca="1" si="23"/>
        <v>78</v>
      </c>
      <c r="AT141" s="176">
        <f t="shared" ca="1" si="24"/>
        <v>12</v>
      </c>
      <c r="AU141" s="176"/>
      <c r="AV141" s="176" t="s">
        <v>2302</v>
      </c>
      <c r="AW141" s="176">
        <v>10.385</v>
      </c>
      <c r="AX141" s="176">
        <v>10.395</v>
      </c>
      <c r="AY141" s="173">
        <v>10.419999999999998</v>
      </c>
      <c r="AZ141" s="142">
        <v>10.424999999999999</v>
      </c>
      <c r="BA141" s="142" t="str">
        <f t="shared" si="21"/>
        <v/>
      </c>
      <c r="BB141" s="142">
        <v>459</v>
      </c>
      <c r="BD141" s="142" t="s">
        <v>123</v>
      </c>
    </row>
    <row r="142" spans="2:56" s="142" customFormat="1" ht="21" customHeight="1" x14ac:dyDescent="0.25">
      <c r="B142" s="173" t="str">
        <f t="shared" si="22"/>
        <v>0-304L/2B-1.20X641</v>
      </c>
      <c r="C142" s="201" t="s">
        <v>5278</v>
      </c>
      <c r="D142" s="173" t="s">
        <v>4432</v>
      </c>
      <c r="E142" s="173" t="s">
        <v>4108</v>
      </c>
      <c r="F142" s="201" t="s">
        <v>5279</v>
      </c>
      <c r="G142" s="173" t="s">
        <v>182</v>
      </c>
      <c r="H142" s="173" t="s">
        <v>114</v>
      </c>
      <c r="I142" s="174">
        <v>2.89</v>
      </c>
      <c r="J142" s="174">
        <v>1.2</v>
      </c>
      <c r="K142" s="174">
        <v>1.18</v>
      </c>
      <c r="L142" s="174">
        <v>1.2</v>
      </c>
      <c r="M142" s="380">
        <v>641</v>
      </c>
      <c r="N142" s="176">
        <v>10.585000000000001</v>
      </c>
      <c r="O142" s="381">
        <f>5.23+5.225</f>
        <v>10.455</v>
      </c>
      <c r="P142" s="382"/>
      <c r="Q142" s="176">
        <v>6.5000000000000002E-2</v>
      </c>
      <c r="R142" s="176"/>
      <c r="S142" s="176">
        <v>6.5000000000000002E-2</v>
      </c>
      <c r="T142" s="383"/>
      <c r="U142" s="380" t="s">
        <v>5124</v>
      </c>
      <c r="V142" s="371" t="s">
        <v>114</v>
      </c>
      <c r="W142" s="384" t="s">
        <v>5272</v>
      </c>
      <c r="X142" s="178" t="s">
        <v>4326</v>
      </c>
      <c r="Y142" s="385"/>
      <c r="Z142" s="385"/>
      <c r="AA142" s="177">
        <v>44941</v>
      </c>
      <c r="AB142" s="177"/>
      <c r="AC142" s="177">
        <v>44942</v>
      </c>
      <c r="AD142" s="177"/>
      <c r="AE142" s="177">
        <v>44945</v>
      </c>
      <c r="AF142" s="177"/>
      <c r="AG142" s="177">
        <v>44943</v>
      </c>
      <c r="AH142" s="177"/>
      <c r="AI142" s="180"/>
      <c r="AJ142" s="173"/>
      <c r="AK142" s="173" t="s">
        <v>2479</v>
      </c>
      <c r="AL142" s="181" t="s">
        <v>69</v>
      </c>
      <c r="AM142" s="181" t="s">
        <v>142</v>
      </c>
      <c r="AN142" s="181" t="s">
        <v>1594</v>
      </c>
      <c r="AO142" s="181"/>
      <c r="AP142" s="181">
        <v>44849</v>
      </c>
      <c r="AQ142" s="173"/>
      <c r="AR142" s="181">
        <f t="shared" ca="1" si="20"/>
        <v>44958</v>
      </c>
      <c r="AS142" s="176">
        <f t="shared" ca="1" si="23"/>
        <v>109</v>
      </c>
      <c r="AT142" s="176">
        <f t="shared" ca="1" si="24"/>
        <v>13</v>
      </c>
      <c r="AU142" s="176"/>
      <c r="AV142" s="176" t="s">
        <v>3995</v>
      </c>
      <c r="AW142" s="176">
        <v>10.695</v>
      </c>
      <c r="AX142" s="176">
        <v>10.705</v>
      </c>
      <c r="AY142" s="173">
        <v>10.729999999999999</v>
      </c>
      <c r="AZ142" s="142">
        <v>10.734999999999999</v>
      </c>
      <c r="BA142" s="142">
        <f t="shared" ca="1" si="21"/>
        <v>16</v>
      </c>
      <c r="BB142" s="142">
        <v>456</v>
      </c>
      <c r="BD142" s="142" t="s">
        <v>123</v>
      </c>
    </row>
    <row r="143" spans="2:56" s="142" customFormat="1" ht="21" customHeight="1" x14ac:dyDescent="0.25">
      <c r="B143" s="173" t="str">
        <f t="shared" si="22"/>
        <v>0-304L/2B-0.30X631</v>
      </c>
      <c r="C143" s="201" t="s">
        <v>5278</v>
      </c>
      <c r="D143" s="173" t="s">
        <v>4432</v>
      </c>
      <c r="E143" s="173" t="s">
        <v>4142</v>
      </c>
      <c r="F143" s="201" t="s">
        <v>5280</v>
      </c>
      <c r="G143" s="173" t="s">
        <v>182</v>
      </c>
      <c r="H143" s="173" t="s">
        <v>114</v>
      </c>
      <c r="I143" s="174">
        <v>0.6</v>
      </c>
      <c r="J143" s="174">
        <v>0.3</v>
      </c>
      <c r="K143" s="174"/>
      <c r="L143" s="174"/>
      <c r="M143" s="380">
        <v>631</v>
      </c>
      <c r="N143" s="176">
        <v>10.505000000000001</v>
      </c>
      <c r="O143" s="381">
        <f>5.49+4.54</f>
        <v>10.030000000000001</v>
      </c>
      <c r="P143" s="382"/>
      <c r="Q143" s="176">
        <f>0.085+0.055+0.15</f>
        <v>0.29000000000000004</v>
      </c>
      <c r="R143" s="176"/>
      <c r="S143" s="176">
        <v>0.185</v>
      </c>
      <c r="T143" s="383"/>
      <c r="U143" s="380">
        <v>615</v>
      </c>
      <c r="V143" s="371" t="s">
        <v>114</v>
      </c>
      <c r="W143" s="384" t="s">
        <v>4724</v>
      </c>
      <c r="X143" s="178" t="s">
        <v>1344</v>
      </c>
      <c r="Y143" s="385"/>
      <c r="Z143" s="385" t="s">
        <v>230</v>
      </c>
      <c r="AA143" s="177" t="s">
        <v>4144</v>
      </c>
      <c r="AB143" s="177"/>
      <c r="AC143" s="177">
        <v>44918</v>
      </c>
      <c r="AD143" s="177">
        <v>44944</v>
      </c>
      <c r="AE143" s="177" t="s">
        <v>4822</v>
      </c>
      <c r="AF143" s="177"/>
      <c r="AG143" s="177">
        <v>44939</v>
      </c>
      <c r="AH143" s="177"/>
      <c r="AI143" s="180"/>
      <c r="AJ143" s="173"/>
      <c r="AK143" s="173" t="s">
        <v>1619</v>
      </c>
      <c r="AL143" s="181" t="s">
        <v>69</v>
      </c>
      <c r="AM143" s="181" t="s">
        <v>142</v>
      </c>
      <c r="AN143" s="181" t="s">
        <v>1657</v>
      </c>
      <c r="AO143" s="181"/>
      <c r="AP143" s="181">
        <v>44849</v>
      </c>
      <c r="AQ143" s="173"/>
      <c r="AR143" s="181">
        <f t="shared" ca="1" si="20"/>
        <v>44958</v>
      </c>
      <c r="AS143" s="176">
        <f t="shared" ca="1" si="23"/>
        <v>109</v>
      </c>
      <c r="AT143" s="176">
        <f t="shared" ca="1" si="24"/>
        <v>12</v>
      </c>
      <c r="AU143" s="176"/>
      <c r="AV143" s="176" t="s">
        <v>1689</v>
      </c>
      <c r="AW143" s="176">
        <v>10.695</v>
      </c>
      <c r="AX143" s="176">
        <v>10.705</v>
      </c>
      <c r="AY143" s="173">
        <v>10.729999999999999</v>
      </c>
      <c r="AZ143" s="142">
        <v>10.734999999999999</v>
      </c>
      <c r="BA143" s="142">
        <f t="shared" ca="1" si="21"/>
        <v>40</v>
      </c>
      <c r="BB143" s="142">
        <v>456</v>
      </c>
      <c r="BD143" s="142" t="s">
        <v>123</v>
      </c>
    </row>
    <row r="144" spans="2:56" s="142" customFormat="1" ht="21" customHeight="1" x14ac:dyDescent="0.25">
      <c r="B144" s="173" t="str">
        <f t="shared" si="22"/>
        <v>0-304/2B-0.30X631</v>
      </c>
      <c r="C144" s="201" t="s">
        <v>5278</v>
      </c>
      <c r="D144" s="173" t="s">
        <v>4432</v>
      </c>
      <c r="E144" s="173" t="s">
        <v>4155</v>
      </c>
      <c r="F144" s="201" t="s">
        <v>5281</v>
      </c>
      <c r="G144" s="173">
        <v>304</v>
      </c>
      <c r="H144" s="173" t="s">
        <v>114</v>
      </c>
      <c r="I144" s="174">
        <v>0.6</v>
      </c>
      <c r="J144" s="174">
        <v>0.3</v>
      </c>
      <c r="K144" s="174"/>
      <c r="L144" s="174"/>
      <c r="M144" s="380">
        <v>631</v>
      </c>
      <c r="N144" s="176">
        <v>4.1550000000000002</v>
      </c>
      <c r="O144" s="381">
        <v>3.895</v>
      </c>
      <c r="P144" s="382"/>
      <c r="Q144" s="176">
        <f>0.055+0.11</f>
        <v>0.16500000000000001</v>
      </c>
      <c r="R144" s="176"/>
      <c r="S144" s="176">
        <v>9.5000000000000001E-2</v>
      </c>
      <c r="T144" s="383"/>
      <c r="U144" s="380">
        <v>615</v>
      </c>
      <c r="V144" s="371" t="s">
        <v>114</v>
      </c>
      <c r="W144" s="384" t="s">
        <v>4724</v>
      </c>
      <c r="X144" s="178" t="s">
        <v>1344</v>
      </c>
      <c r="Y144" s="385"/>
      <c r="Z144" s="385" t="s">
        <v>230</v>
      </c>
      <c r="AA144" s="177" t="s">
        <v>4157</v>
      </c>
      <c r="AB144" s="177"/>
      <c r="AC144" s="177"/>
      <c r="AD144" s="177" t="s">
        <v>4419</v>
      </c>
      <c r="AE144" s="177" t="s">
        <v>4823</v>
      </c>
      <c r="AF144" s="177"/>
      <c r="AG144" s="177" t="s">
        <v>4158</v>
      </c>
      <c r="AH144" s="177"/>
      <c r="AI144" s="180"/>
      <c r="AJ144" s="173"/>
      <c r="AK144" s="173" t="s">
        <v>1619</v>
      </c>
      <c r="AL144" s="181" t="s">
        <v>69</v>
      </c>
      <c r="AM144" s="181" t="s">
        <v>142</v>
      </c>
      <c r="AN144" s="181" t="s">
        <v>1657</v>
      </c>
      <c r="AO144" s="181"/>
      <c r="AP144" s="181">
        <v>44849</v>
      </c>
      <c r="AQ144" s="173"/>
      <c r="AR144" s="181">
        <f t="shared" ca="1" si="20"/>
        <v>44958</v>
      </c>
      <c r="AS144" s="176">
        <f t="shared" ca="1" si="23"/>
        <v>109</v>
      </c>
      <c r="AT144" s="176">
        <f t="shared" ca="1" si="24"/>
        <v>12</v>
      </c>
      <c r="AU144" s="176"/>
      <c r="AV144" s="176" t="s">
        <v>4121</v>
      </c>
      <c r="AW144" s="176">
        <v>10.525</v>
      </c>
      <c r="AX144" s="176">
        <v>10.535</v>
      </c>
      <c r="AY144" s="173">
        <v>10.559999999999999</v>
      </c>
      <c r="AZ144" s="142">
        <v>10.565</v>
      </c>
      <c r="BA144" s="142" t="str">
        <f t="shared" si="21"/>
        <v/>
      </c>
      <c r="BB144" s="142">
        <v>456</v>
      </c>
      <c r="BD144" s="142" t="s">
        <v>123</v>
      </c>
    </row>
    <row r="145" spans="2:56" s="142" customFormat="1" ht="21" customHeight="1" x14ac:dyDescent="0.25">
      <c r="B145" s="173" t="str">
        <f t="shared" si="22"/>
        <v>0-304/2B-0.30X631</v>
      </c>
      <c r="C145" s="201" t="s">
        <v>5278</v>
      </c>
      <c r="D145" s="173" t="s">
        <v>4432</v>
      </c>
      <c r="E145" s="173" t="s">
        <v>4155</v>
      </c>
      <c r="F145" s="201" t="s">
        <v>5282</v>
      </c>
      <c r="G145" s="173">
        <v>304</v>
      </c>
      <c r="H145" s="173" t="s">
        <v>114</v>
      </c>
      <c r="I145" s="174">
        <v>0.6</v>
      </c>
      <c r="J145" s="174">
        <v>0.3</v>
      </c>
      <c r="K145" s="174"/>
      <c r="L145" s="174"/>
      <c r="M145" s="380">
        <v>631</v>
      </c>
      <c r="N145" s="176">
        <v>6.17</v>
      </c>
      <c r="O145" s="381">
        <v>5.8849999999999998</v>
      </c>
      <c r="P145" s="382"/>
      <c r="Q145" s="176">
        <v>0.2</v>
      </c>
      <c r="R145" s="176"/>
      <c r="S145" s="176">
        <v>8.5000000000000006E-2</v>
      </c>
      <c r="T145" s="383"/>
      <c r="U145" s="380">
        <v>615</v>
      </c>
      <c r="V145" s="371" t="s">
        <v>114</v>
      </c>
      <c r="W145" s="384" t="s">
        <v>4724</v>
      </c>
      <c r="X145" s="178" t="s">
        <v>1344</v>
      </c>
      <c r="Y145" s="385"/>
      <c r="Z145" s="385" t="s">
        <v>230</v>
      </c>
      <c r="AA145" s="177" t="s">
        <v>4157</v>
      </c>
      <c r="AB145" s="177"/>
      <c r="AC145" s="177"/>
      <c r="AD145" s="177" t="s">
        <v>4419</v>
      </c>
      <c r="AE145" s="177" t="s">
        <v>4823</v>
      </c>
      <c r="AF145" s="177"/>
      <c r="AG145" s="177" t="s">
        <v>4158</v>
      </c>
      <c r="AH145" s="177"/>
      <c r="AI145" s="180"/>
      <c r="AJ145" s="173"/>
      <c r="AK145" s="173" t="s">
        <v>1619</v>
      </c>
      <c r="AL145" s="181" t="s">
        <v>69</v>
      </c>
      <c r="AM145" s="181" t="s">
        <v>142</v>
      </c>
      <c r="AN145" s="181" t="s">
        <v>1657</v>
      </c>
      <c r="AO145" s="181"/>
      <c r="AP145" s="181">
        <v>44849</v>
      </c>
      <c r="AQ145" s="173"/>
      <c r="AR145" s="181">
        <f t="shared" ca="1" si="20"/>
        <v>44958</v>
      </c>
      <c r="AS145" s="176">
        <f t="shared" ca="1" si="23"/>
        <v>109</v>
      </c>
      <c r="AT145" s="176">
        <f t="shared" ca="1" si="24"/>
        <v>12</v>
      </c>
      <c r="AU145" s="176"/>
      <c r="AV145" s="176" t="s">
        <v>4121</v>
      </c>
      <c r="AW145" s="176">
        <v>10.525</v>
      </c>
      <c r="AX145" s="176">
        <v>10.535</v>
      </c>
      <c r="AY145" s="173">
        <v>10.559999999999999</v>
      </c>
      <c r="AZ145" s="142">
        <v>10.565</v>
      </c>
      <c r="BA145" s="142" t="str">
        <f t="shared" si="21"/>
        <v/>
      </c>
      <c r="BB145" s="142">
        <v>456</v>
      </c>
      <c r="BD145" s="142" t="s">
        <v>123</v>
      </c>
    </row>
    <row r="146" spans="2:56" s="142" customFormat="1" ht="21" customHeight="1" x14ac:dyDescent="0.25">
      <c r="B146" s="173" t="str">
        <f t="shared" si="22"/>
        <v>0-304/2B-1.20X642</v>
      </c>
      <c r="C146" s="201" t="s">
        <v>5278</v>
      </c>
      <c r="D146" s="173" t="s">
        <v>4432</v>
      </c>
      <c r="E146" s="173" t="s">
        <v>4064</v>
      </c>
      <c r="F146" s="201" t="s">
        <v>5283</v>
      </c>
      <c r="G146" s="173">
        <v>304</v>
      </c>
      <c r="H146" s="173" t="s">
        <v>114</v>
      </c>
      <c r="I146" s="174">
        <v>2.91</v>
      </c>
      <c r="J146" s="174">
        <v>1.2</v>
      </c>
      <c r="K146" s="174">
        <v>1.19</v>
      </c>
      <c r="L146" s="174">
        <v>1.2</v>
      </c>
      <c r="M146" s="380">
        <v>642</v>
      </c>
      <c r="N146" s="176">
        <v>4.5449999999999999</v>
      </c>
      <c r="O146" s="381">
        <v>4.4749999999999996</v>
      </c>
      <c r="P146" s="382"/>
      <c r="Q146" s="176"/>
      <c r="R146" s="176"/>
      <c r="S146" s="176">
        <v>7.0000000000000007E-2</v>
      </c>
      <c r="T146" s="383"/>
      <c r="U146" s="380" t="s">
        <v>5124</v>
      </c>
      <c r="V146" s="371" t="s">
        <v>114</v>
      </c>
      <c r="W146" s="384" t="s">
        <v>5272</v>
      </c>
      <c r="X146" s="178" t="s">
        <v>4326</v>
      </c>
      <c r="Y146" s="385"/>
      <c r="Z146" s="385"/>
      <c r="AA146" s="177">
        <v>44938</v>
      </c>
      <c r="AB146" s="177"/>
      <c r="AC146" s="177"/>
      <c r="AD146" s="177">
        <v>44939</v>
      </c>
      <c r="AE146" s="177">
        <v>44945</v>
      </c>
      <c r="AF146" s="177"/>
      <c r="AG146" s="177"/>
      <c r="AH146" s="177"/>
      <c r="AI146" s="180"/>
      <c r="AJ146" s="173"/>
      <c r="AK146" s="173" t="s">
        <v>2479</v>
      </c>
      <c r="AL146" s="181" t="s">
        <v>69</v>
      </c>
      <c r="AM146" s="181" t="s">
        <v>142</v>
      </c>
      <c r="AN146" s="181" t="s">
        <v>1657</v>
      </c>
      <c r="AO146" s="181"/>
      <c r="AP146" s="181">
        <v>44849</v>
      </c>
      <c r="AQ146" s="173"/>
      <c r="AR146" s="181">
        <f t="shared" ca="1" si="20"/>
        <v>44958</v>
      </c>
      <c r="AS146" s="176">
        <f t="shared" ca="1" si="23"/>
        <v>109</v>
      </c>
      <c r="AT146" s="176">
        <f t="shared" ca="1" si="24"/>
        <v>13</v>
      </c>
      <c r="AU146" s="176"/>
      <c r="AV146" s="176" t="s">
        <v>4066</v>
      </c>
      <c r="AW146" s="176">
        <v>8.5950000000000006</v>
      </c>
      <c r="AX146" s="176">
        <v>8.6050000000000004</v>
      </c>
      <c r="AY146" s="173">
        <v>8.629999999999999</v>
      </c>
      <c r="AZ146" s="142">
        <v>8.6349999999999998</v>
      </c>
      <c r="BA146" s="142" t="str">
        <f t="shared" si="21"/>
        <v/>
      </c>
      <c r="BB146" s="142">
        <v>456</v>
      </c>
      <c r="BD146" s="142" t="s">
        <v>123</v>
      </c>
    </row>
    <row r="147" spans="2:56" s="142" customFormat="1" ht="21" customHeight="1" x14ac:dyDescent="0.25">
      <c r="B147" s="173" t="str">
        <f t="shared" si="22"/>
        <v>0-304/2B-1.50X635</v>
      </c>
      <c r="C147" s="201" t="s">
        <v>5278</v>
      </c>
      <c r="D147" s="173" t="s">
        <v>4432</v>
      </c>
      <c r="E147" s="173" t="s">
        <v>4073</v>
      </c>
      <c r="F147" s="201" t="s">
        <v>5284</v>
      </c>
      <c r="G147" s="173">
        <v>304</v>
      </c>
      <c r="H147" s="173" t="s">
        <v>114</v>
      </c>
      <c r="I147" s="174">
        <v>3.9</v>
      </c>
      <c r="J147" s="174">
        <v>1.5</v>
      </c>
      <c r="K147" s="174">
        <v>1.44</v>
      </c>
      <c r="L147" s="174">
        <v>1.46</v>
      </c>
      <c r="M147" s="380">
        <v>635</v>
      </c>
      <c r="N147" s="176">
        <v>10.185</v>
      </c>
      <c r="O147" s="381">
        <f>4.965+4.97</f>
        <v>9.9349999999999987</v>
      </c>
      <c r="P147" s="382"/>
      <c r="Q147" s="176"/>
      <c r="R147" s="176"/>
      <c r="S147" s="176">
        <v>0.13</v>
      </c>
      <c r="T147" s="383"/>
      <c r="U147" s="380" t="s">
        <v>5124</v>
      </c>
      <c r="V147" s="371" t="s">
        <v>114</v>
      </c>
      <c r="W147" s="384" t="s">
        <v>5272</v>
      </c>
      <c r="X147" s="178" t="s">
        <v>4326</v>
      </c>
      <c r="Y147" s="385"/>
      <c r="Z147" s="385"/>
      <c r="AA147" s="177">
        <v>44939</v>
      </c>
      <c r="AB147" s="177"/>
      <c r="AC147" s="177"/>
      <c r="AD147" s="177">
        <v>44939</v>
      </c>
      <c r="AE147" s="177"/>
      <c r="AF147" s="177">
        <v>44945</v>
      </c>
      <c r="AG147" s="177">
        <v>44940</v>
      </c>
      <c r="AH147" s="177"/>
      <c r="AI147" s="180"/>
      <c r="AJ147" s="173"/>
      <c r="AK147" s="173" t="s">
        <v>2479</v>
      </c>
      <c r="AL147" s="181" t="s">
        <v>69</v>
      </c>
      <c r="AM147" s="181" t="s">
        <v>142</v>
      </c>
      <c r="AN147" s="181" t="s">
        <v>1594</v>
      </c>
      <c r="AO147" s="181"/>
      <c r="AP147" s="181">
        <v>44849</v>
      </c>
      <c r="AQ147" s="173"/>
      <c r="AR147" s="181">
        <f t="shared" ca="1" si="20"/>
        <v>44958</v>
      </c>
      <c r="AS147" s="176">
        <f t="shared" ca="1" si="23"/>
        <v>109</v>
      </c>
      <c r="AT147" s="176" t="str">
        <f t="shared" si="24"/>
        <v/>
      </c>
      <c r="AU147" s="176"/>
      <c r="AV147" s="176" t="s">
        <v>4075</v>
      </c>
      <c r="AW147" s="176">
        <v>10.25</v>
      </c>
      <c r="AX147" s="176">
        <v>10.26</v>
      </c>
      <c r="AY147" s="173">
        <v>10.284999999999998</v>
      </c>
      <c r="AZ147" s="142">
        <v>10.29</v>
      </c>
      <c r="BA147" s="142" t="str">
        <f t="shared" si="21"/>
        <v/>
      </c>
      <c r="BB147" s="142">
        <v>456</v>
      </c>
      <c r="BD147" s="142" t="s">
        <v>123</v>
      </c>
    </row>
    <row r="148" spans="2:56" s="142" customFormat="1" ht="21" customHeight="1" x14ac:dyDescent="0.25">
      <c r="B148" s="173" t="str">
        <f t="shared" si="22"/>
        <v>0-304L/2B-1.50X642</v>
      </c>
      <c r="C148" s="201" t="s">
        <v>5278</v>
      </c>
      <c r="D148" s="173" t="s">
        <v>4432</v>
      </c>
      <c r="E148" s="173" t="s">
        <v>4088</v>
      </c>
      <c r="F148" s="201" t="s">
        <v>5285</v>
      </c>
      <c r="G148" s="173" t="s">
        <v>182</v>
      </c>
      <c r="H148" s="173" t="s">
        <v>114</v>
      </c>
      <c r="I148" s="174">
        <v>3.79</v>
      </c>
      <c r="J148" s="174">
        <v>1.5</v>
      </c>
      <c r="K148" s="174">
        <v>1.48</v>
      </c>
      <c r="L148" s="174">
        <v>1.5</v>
      </c>
      <c r="M148" s="380">
        <v>642</v>
      </c>
      <c r="N148" s="176">
        <v>5.13</v>
      </c>
      <c r="O148" s="381">
        <v>5.13</v>
      </c>
      <c r="P148" s="382"/>
      <c r="Q148" s="176"/>
      <c r="R148" s="176"/>
      <c r="S148" s="176"/>
      <c r="T148" s="383"/>
      <c r="U148" s="380" t="s">
        <v>5124</v>
      </c>
      <c r="V148" s="371" t="s">
        <v>114</v>
      </c>
      <c r="W148" s="384" t="s">
        <v>5272</v>
      </c>
      <c r="X148" s="178" t="s">
        <v>4326</v>
      </c>
      <c r="Y148" s="385"/>
      <c r="Z148" s="385"/>
      <c r="AA148" s="177">
        <v>44940</v>
      </c>
      <c r="AB148" s="177"/>
      <c r="AC148" s="177"/>
      <c r="AD148" s="177">
        <v>44940</v>
      </c>
      <c r="AE148" s="177">
        <v>44945</v>
      </c>
      <c r="AF148" s="177"/>
      <c r="AG148" s="177">
        <v>44943</v>
      </c>
      <c r="AH148" s="177"/>
      <c r="AI148" s="180"/>
      <c r="AJ148" s="173"/>
      <c r="AK148" s="173" t="s">
        <v>1609</v>
      </c>
      <c r="AL148" s="181" t="s">
        <v>69</v>
      </c>
      <c r="AM148" s="181" t="s">
        <v>142</v>
      </c>
      <c r="AN148" s="181" t="s">
        <v>1594</v>
      </c>
      <c r="AO148" s="181"/>
      <c r="AP148" s="181">
        <v>44849</v>
      </c>
      <c r="AQ148" s="173"/>
      <c r="AR148" s="181">
        <f t="shared" ca="1" si="20"/>
        <v>44958</v>
      </c>
      <c r="AS148" s="176">
        <f t="shared" ca="1" si="23"/>
        <v>109</v>
      </c>
      <c r="AT148" s="176">
        <f t="shared" ca="1" si="24"/>
        <v>13</v>
      </c>
      <c r="AU148" s="176"/>
      <c r="AV148" s="176" t="s">
        <v>4090</v>
      </c>
      <c r="AW148" s="176">
        <v>9.875</v>
      </c>
      <c r="AX148" s="176">
        <v>9.8849999999999998</v>
      </c>
      <c r="AY148" s="173">
        <v>9.9099999999999984</v>
      </c>
      <c r="AZ148" s="142">
        <v>9.9149999999999991</v>
      </c>
      <c r="BA148" s="142" t="str">
        <f t="shared" si="21"/>
        <v/>
      </c>
      <c r="BB148" s="142">
        <v>456</v>
      </c>
      <c r="BD148" s="142" t="s">
        <v>123</v>
      </c>
    </row>
    <row r="149" spans="2:56" s="142" customFormat="1" ht="21" customHeight="1" x14ac:dyDescent="0.25">
      <c r="B149" s="173" t="str">
        <f t="shared" si="22"/>
        <v>0-304L/2B-1.50X642</v>
      </c>
      <c r="C149" s="201" t="s">
        <v>5286</v>
      </c>
      <c r="D149" s="173" t="s">
        <v>4432</v>
      </c>
      <c r="E149" s="173" t="s">
        <v>4088</v>
      </c>
      <c r="F149" s="201" t="s">
        <v>5287</v>
      </c>
      <c r="G149" s="173" t="s">
        <v>182</v>
      </c>
      <c r="H149" s="173" t="s">
        <v>114</v>
      </c>
      <c r="I149" s="174">
        <v>3.79</v>
      </c>
      <c r="J149" s="174">
        <v>1.5</v>
      </c>
      <c r="K149" s="174">
        <v>1.48</v>
      </c>
      <c r="L149" s="174">
        <v>1.5</v>
      </c>
      <c r="M149" s="380">
        <v>642</v>
      </c>
      <c r="N149" s="176">
        <f>9.875-5.13</f>
        <v>4.7450000000000001</v>
      </c>
      <c r="O149" s="381">
        <v>4.5350000000000001</v>
      </c>
      <c r="P149" s="382"/>
      <c r="Q149" s="176"/>
      <c r="R149" s="176"/>
      <c r="S149" s="176"/>
      <c r="T149" s="383"/>
      <c r="U149" s="380" t="s">
        <v>5124</v>
      </c>
      <c r="V149" s="371" t="s">
        <v>114</v>
      </c>
      <c r="W149" s="384" t="s">
        <v>5272</v>
      </c>
      <c r="X149" s="178" t="s">
        <v>4326</v>
      </c>
      <c r="Y149" s="385"/>
      <c r="Z149" s="385"/>
      <c r="AA149" s="177">
        <v>44940</v>
      </c>
      <c r="AB149" s="177"/>
      <c r="AC149" s="177"/>
      <c r="AD149" s="177">
        <v>44940</v>
      </c>
      <c r="AE149" s="177">
        <v>44945</v>
      </c>
      <c r="AF149" s="177"/>
      <c r="AG149" s="177">
        <v>44943</v>
      </c>
      <c r="AH149" s="177"/>
      <c r="AI149" s="180"/>
      <c r="AJ149" s="173"/>
      <c r="AK149" s="173" t="s">
        <v>1609</v>
      </c>
      <c r="AL149" s="181" t="s">
        <v>69</v>
      </c>
      <c r="AM149" s="181" t="s">
        <v>142</v>
      </c>
      <c r="AN149" s="181" t="s">
        <v>1594</v>
      </c>
      <c r="AO149" s="181"/>
      <c r="AP149" s="181">
        <v>44849</v>
      </c>
      <c r="AQ149" s="173"/>
      <c r="AR149" s="181">
        <f t="shared" ca="1" si="20"/>
        <v>44958</v>
      </c>
      <c r="AS149" s="176">
        <f t="shared" ca="1" si="23"/>
        <v>109</v>
      </c>
      <c r="AT149" s="176">
        <f t="shared" ca="1" si="24"/>
        <v>13</v>
      </c>
      <c r="AU149" s="176"/>
      <c r="AV149" s="176" t="s">
        <v>4090</v>
      </c>
      <c r="AW149" s="176">
        <v>9.875</v>
      </c>
      <c r="AX149" s="176">
        <v>9.8849999999999998</v>
      </c>
      <c r="AY149" s="173">
        <v>9.9099999999999984</v>
      </c>
      <c r="AZ149" s="142">
        <v>9.9149999999999991</v>
      </c>
      <c r="BA149" s="142" t="str">
        <f t="shared" si="21"/>
        <v/>
      </c>
      <c r="BB149" s="142">
        <v>456</v>
      </c>
      <c r="BD149" s="142" t="s">
        <v>123</v>
      </c>
    </row>
    <row r="150" spans="2:56" s="142" customFormat="1" ht="21" customHeight="1" x14ac:dyDescent="0.25">
      <c r="B150" s="173" t="str">
        <f t="shared" si="22"/>
        <v>0-J3/2B-0.73X620</v>
      </c>
      <c r="C150" s="201" t="s">
        <v>5286</v>
      </c>
      <c r="D150" s="173" t="s">
        <v>4432</v>
      </c>
      <c r="E150" s="173" t="s">
        <v>4994</v>
      </c>
      <c r="F150" s="201" t="s">
        <v>5288</v>
      </c>
      <c r="G150" s="173" t="s">
        <v>34</v>
      </c>
      <c r="H150" s="173" t="s">
        <v>114</v>
      </c>
      <c r="I150" s="174">
        <v>2.2000000000000002</v>
      </c>
      <c r="J150" s="174">
        <v>0.73</v>
      </c>
      <c r="K150" s="174">
        <v>0.71</v>
      </c>
      <c r="L150" s="174">
        <v>0.73</v>
      </c>
      <c r="M150" s="380">
        <v>620</v>
      </c>
      <c r="N150" s="176">
        <v>9.91</v>
      </c>
      <c r="O150" s="381">
        <f>4.98+4.7</f>
        <v>9.68</v>
      </c>
      <c r="P150" s="382"/>
      <c r="Q150" s="176">
        <v>0.12</v>
      </c>
      <c r="R150" s="176"/>
      <c r="S150" s="176"/>
      <c r="T150" s="383"/>
      <c r="U150" s="380" t="s">
        <v>5124</v>
      </c>
      <c r="V150" s="371" t="s">
        <v>114</v>
      </c>
      <c r="W150" s="384" t="s">
        <v>5143</v>
      </c>
      <c r="X150" s="178" t="s">
        <v>361</v>
      </c>
      <c r="Y150" s="385"/>
      <c r="Z150" s="385"/>
      <c r="AA150" s="177">
        <v>44829</v>
      </c>
      <c r="AB150" s="177"/>
      <c r="AC150" s="177">
        <v>44829</v>
      </c>
      <c r="AD150" s="177"/>
      <c r="AE150" s="177"/>
      <c r="AF150" s="177">
        <v>44945</v>
      </c>
      <c r="AG150" s="177"/>
      <c r="AH150" s="177"/>
      <c r="AI150" s="180"/>
      <c r="AJ150" s="173"/>
      <c r="AK150" s="173"/>
      <c r="AL150" s="181" t="s">
        <v>69</v>
      </c>
      <c r="AM150" s="181" t="s">
        <v>119</v>
      </c>
      <c r="AN150" s="181" t="s">
        <v>994</v>
      </c>
      <c r="AO150" s="181">
        <v>44713</v>
      </c>
      <c r="AP150" s="181">
        <v>44747</v>
      </c>
      <c r="AQ150" s="173"/>
      <c r="AR150" s="181">
        <f t="shared" ca="1" si="20"/>
        <v>44958</v>
      </c>
      <c r="AS150" s="176">
        <f t="shared" ca="1" si="23"/>
        <v>211</v>
      </c>
      <c r="AT150" s="176" t="str">
        <f t="shared" si="24"/>
        <v/>
      </c>
      <c r="AU150" s="176" t="s">
        <v>1003</v>
      </c>
      <c r="AV150" s="176" t="s">
        <v>1020</v>
      </c>
      <c r="AW150" s="176">
        <v>9.98</v>
      </c>
      <c r="AX150" s="176">
        <v>10</v>
      </c>
      <c r="AY150" s="173">
        <v>10.024999999999999</v>
      </c>
      <c r="AZ150" s="142">
        <v>10.029999999999999</v>
      </c>
      <c r="BA150" s="142">
        <f t="shared" ca="1" si="21"/>
        <v>129</v>
      </c>
      <c r="BB150" s="142">
        <v>442</v>
      </c>
      <c r="BD150" s="142" t="s">
        <v>123</v>
      </c>
    </row>
    <row r="151" spans="2:56" s="142" customFormat="1" ht="21" customHeight="1" x14ac:dyDescent="0.25">
      <c r="B151" s="173" t="str">
        <f t="shared" si="22"/>
        <v>0-J3/2B-0.90X620</v>
      </c>
      <c r="C151" s="201" t="s">
        <v>5289</v>
      </c>
      <c r="D151" s="173" t="s">
        <v>836</v>
      </c>
      <c r="E151" s="173" t="s">
        <v>1490</v>
      </c>
      <c r="F151" s="201" t="s">
        <v>1491</v>
      </c>
      <c r="G151" s="173" t="s">
        <v>34</v>
      </c>
      <c r="H151" s="173" t="s">
        <v>114</v>
      </c>
      <c r="I151" s="174">
        <v>2.2000000000000002</v>
      </c>
      <c r="J151" s="174">
        <v>0.9</v>
      </c>
      <c r="K151" s="174">
        <v>0.9</v>
      </c>
      <c r="L151" s="174">
        <v>0.91</v>
      </c>
      <c r="M151" s="380">
        <v>620</v>
      </c>
      <c r="N151" s="176">
        <v>10.015000000000001</v>
      </c>
      <c r="O151" s="381">
        <v>10.015000000000001</v>
      </c>
      <c r="P151" s="382"/>
      <c r="Q151" s="176"/>
      <c r="R151" s="176"/>
      <c r="S151" s="176"/>
      <c r="T151" s="383"/>
      <c r="U151" s="380">
        <v>620</v>
      </c>
      <c r="V151" s="371" t="s">
        <v>114</v>
      </c>
      <c r="W151" s="384"/>
      <c r="X151" s="178" t="s">
        <v>294</v>
      </c>
      <c r="Y151" s="385" t="s">
        <v>5160</v>
      </c>
      <c r="Z151" s="385"/>
      <c r="AA151" s="177">
        <v>44883</v>
      </c>
      <c r="AB151" s="177"/>
      <c r="AC151" s="177"/>
      <c r="AD151" s="177">
        <v>44883</v>
      </c>
      <c r="AE151" s="177"/>
      <c r="AF151" s="177">
        <v>44945</v>
      </c>
      <c r="AG151" s="177">
        <v>44947</v>
      </c>
      <c r="AH151" s="177"/>
      <c r="AI151" s="180"/>
      <c r="AJ151" s="173"/>
      <c r="AK151" s="173"/>
      <c r="AL151" s="181" t="s">
        <v>69</v>
      </c>
      <c r="AM151" s="181" t="s">
        <v>1065</v>
      </c>
      <c r="AN151" s="181" t="s">
        <v>1401</v>
      </c>
      <c r="AO151" s="181">
        <v>44819</v>
      </c>
      <c r="AP151" s="181">
        <v>44835</v>
      </c>
      <c r="AQ151" s="173"/>
      <c r="AR151" s="181">
        <f t="shared" ca="1" si="20"/>
        <v>44958</v>
      </c>
      <c r="AS151" s="176">
        <f t="shared" ca="1" si="23"/>
        <v>123</v>
      </c>
      <c r="AT151" s="176" t="str">
        <f t="shared" si="24"/>
        <v/>
      </c>
      <c r="AU151" s="176" t="s">
        <v>1445</v>
      </c>
      <c r="AV151" s="176" t="s">
        <v>1492</v>
      </c>
      <c r="AW151" s="176">
        <v>10.071999999999999</v>
      </c>
      <c r="AX151" s="176">
        <v>10.111999999999998</v>
      </c>
      <c r="AY151" s="173">
        <v>10.136999999999997</v>
      </c>
      <c r="AZ151" s="142">
        <v>10.141999999999998</v>
      </c>
      <c r="BA151" s="142" t="str">
        <f t="shared" si="21"/>
        <v/>
      </c>
      <c r="BB151" s="142">
        <v>454</v>
      </c>
      <c r="BD151" s="142" t="s">
        <v>123</v>
      </c>
    </row>
    <row r="152" spans="2:56" s="142" customFormat="1" ht="21" customHeight="1" x14ac:dyDescent="0.25">
      <c r="B152" s="173" t="str">
        <f t="shared" si="22"/>
        <v>0-304L/2B-1.15X770</v>
      </c>
      <c r="C152" s="201" t="s">
        <v>5286</v>
      </c>
      <c r="D152" s="173" t="s">
        <v>4432</v>
      </c>
      <c r="E152" s="173" t="s">
        <v>5002</v>
      </c>
      <c r="F152" s="201" t="s">
        <v>5290</v>
      </c>
      <c r="G152" s="173" t="s">
        <v>182</v>
      </c>
      <c r="H152" s="173" t="s">
        <v>114</v>
      </c>
      <c r="I152" s="174">
        <v>3.48</v>
      </c>
      <c r="J152" s="174">
        <v>1.1499999999999999</v>
      </c>
      <c r="K152" s="174"/>
      <c r="L152" s="174"/>
      <c r="M152" s="380">
        <v>770</v>
      </c>
      <c r="N152" s="176">
        <f>10.16-4.965</f>
        <v>5.1950000000000003</v>
      </c>
      <c r="O152" s="381">
        <v>5.0949999999999998</v>
      </c>
      <c r="P152" s="382"/>
      <c r="Q152" s="176"/>
      <c r="R152" s="176">
        <v>0.02</v>
      </c>
      <c r="S152" s="176">
        <v>0.06</v>
      </c>
      <c r="T152" s="383"/>
      <c r="U152" s="380" t="s">
        <v>5124</v>
      </c>
      <c r="V152" s="371" t="s">
        <v>114</v>
      </c>
      <c r="W152" s="384" t="s">
        <v>5139</v>
      </c>
      <c r="X152" s="178" t="s">
        <v>361</v>
      </c>
      <c r="Y152" s="385"/>
      <c r="Z152" s="385"/>
      <c r="AA152" s="177">
        <v>44921</v>
      </c>
      <c r="AB152" s="177"/>
      <c r="AC152" s="177">
        <v>44922</v>
      </c>
      <c r="AD152" s="177"/>
      <c r="AE152" s="177"/>
      <c r="AF152" s="177">
        <v>44946</v>
      </c>
      <c r="AG152" s="177"/>
      <c r="AH152" s="177"/>
      <c r="AI152" s="180"/>
      <c r="AJ152" s="173"/>
      <c r="AK152" s="173" t="s">
        <v>2479</v>
      </c>
      <c r="AL152" s="181" t="s">
        <v>69</v>
      </c>
      <c r="AM152" s="181" t="s">
        <v>142</v>
      </c>
      <c r="AN152" s="181" t="s">
        <v>1584</v>
      </c>
      <c r="AO152" s="181"/>
      <c r="AP152" s="181">
        <v>44914</v>
      </c>
      <c r="AQ152" s="173"/>
      <c r="AR152" s="181">
        <f t="shared" ca="1" si="20"/>
        <v>44958</v>
      </c>
      <c r="AS152" s="176">
        <f t="shared" ca="1" si="23"/>
        <v>44</v>
      </c>
      <c r="AT152" s="176" t="str">
        <f t="shared" si="24"/>
        <v/>
      </c>
      <c r="AU152" s="176"/>
      <c r="AV152" s="176" t="s">
        <v>2534</v>
      </c>
      <c r="AW152" s="176">
        <v>10.475</v>
      </c>
      <c r="AX152" s="176">
        <v>10.484999999999999</v>
      </c>
      <c r="AY152" s="173">
        <v>10.509999999999998</v>
      </c>
      <c r="AZ152" s="142">
        <v>10.514999999999999</v>
      </c>
      <c r="BA152" s="142">
        <f t="shared" ca="1" si="21"/>
        <v>36</v>
      </c>
      <c r="BB152" s="142">
        <v>462</v>
      </c>
      <c r="BD152" s="142" t="s">
        <v>123</v>
      </c>
    </row>
    <row r="153" spans="2:56" s="142" customFormat="1" ht="21" customHeight="1" x14ac:dyDescent="0.25">
      <c r="B153" s="173" t="str">
        <f t="shared" si="22"/>
        <v>0-J3/2B-0.73X620</v>
      </c>
      <c r="C153" s="201" t="s">
        <v>5286</v>
      </c>
      <c r="D153" s="173" t="s">
        <v>4432</v>
      </c>
      <c r="E153" s="173" t="s">
        <v>4989</v>
      </c>
      <c r="F153" s="201" t="s">
        <v>5291</v>
      </c>
      <c r="G153" s="173" t="s">
        <v>34</v>
      </c>
      <c r="H153" s="173" t="s">
        <v>114</v>
      </c>
      <c r="I153" s="174">
        <v>2.2000000000000002</v>
      </c>
      <c r="J153" s="174">
        <v>0.73</v>
      </c>
      <c r="K153" s="174"/>
      <c r="L153" s="174"/>
      <c r="M153" s="380">
        <v>620</v>
      </c>
      <c r="N153" s="176">
        <v>10.005000000000001</v>
      </c>
      <c r="O153" s="381">
        <f>4.6+5.065</f>
        <v>9.6649999999999991</v>
      </c>
      <c r="P153" s="382"/>
      <c r="Q153" s="176">
        <v>0.13</v>
      </c>
      <c r="R153" s="176"/>
      <c r="S153" s="176">
        <v>0.21</v>
      </c>
      <c r="T153" s="383"/>
      <c r="U153" s="380" t="s">
        <v>5124</v>
      </c>
      <c r="V153" s="371" t="s">
        <v>114</v>
      </c>
      <c r="W153" s="384" t="s">
        <v>5143</v>
      </c>
      <c r="X153" s="178" t="s">
        <v>361</v>
      </c>
      <c r="Y153" s="385"/>
      <c r="Z153" s="385"/>
      <c r="AA153" s="177">
        <v>44829</v>
      </c>
      <c r="AB153" s="177"/>
      <c r="AC153" s="177">
        <v>44829</v>
      </c>
      <c r="AD153" s="177"/>
      <c r="AE153" s="177"/>
      <c r="AF153" s="177">
        <v>44945</v>
      </c>
      <c r="AG153" s="177"/>
      <c r="AH153" s="177"/>
      <c r="AI153" s="180"/>
      <c r="AJ153" s="173"/>
      <c r="AK153" s="173"/>
      <c r="AL153" s="181" t="s">
        <v>69</v>
      </c>
      <c r="AM153" s="181" t="s">
        <v>119</v>
      </c>
      <c r="AN153" s="181" t="s">
        <v>994</v>
      </c>
      <c r="AO153" s="181">
        <v>44713</v>
      </c>
      <c r="AP153" s="181">
        <v>44747</v>
      </c>
      <c r="AQ153" s="173"/>
      <c r="AR153" s="181">
        <f t="shared" ref="AR153:AR171" ca="1" si="25">TODAY()</f>
        <v>44958</v>
      </c>
      <c r="AS153" s="176">
        <f t="shared" ca="1" si="23"/>
        <v>211</v>
      </c>
      <c r="AT153" s="176" t="str">
        <f t="shared" si="24"/>
        <v/>
      </c>
      <c r="AU153" s="176" t="s">
        <v>1030</v>
      </c>
      <c r="AV153" s="176" t="s">
        <v>4673</v>
      </c>
      <c r="AW153" s="176">
        <v>10.057</v>
      </c>
      <c r="AX153" s="176">
        <v>10.077</v>
      </c>
      <c r="AY153" s="173">
        <v>10.101999999999999</v>
      </c>
      <c r="AZ153" s="142">
        <v>10.106999999999999</v>
      </c>
      <c r="BA153" s="142">
        <f t="shared" ca="1" si="21"/>
        <v>129</v>
      </c>
      <c r="BB153" s="142">
        <v>442</v>
      </c>
      <c r="BD153" s="142" t="s">
        <v>123</v>
      </c>
    </row>
    <row r="154" spans="2:56" s="142" customFormat="1" ht="21" customHeight="1" x14ac:dyDescent="0.25">
      <c r="B154" s="173" t="str">
        <f t="shared" si="22"/>
        <v>0-J3/2B-0.91X620</v>
      </c>
      <c r="C154" s="201" t="s">
        <v>5286</v>
      </c>
      <c r="D154" s="173" t="s">
        <v>4432</v>
      </c>
      <c r="E154" s="173" t="s">
        <v>4991</v>
      </c>
      <c r="F154" s="201" t="s">
        <v>5292</v>
      </c>
      <c r="G154" s="173" t="s">
        <v>34</v>
      </c>
      <c r="H154" s="173" t="s">
        <v>114</v>
      </c>
      <c r="I154" s="174">
        <v>2.4</v>
      </c>
      <c r="J154" s="174">
        <v>0.91</v>
      </c>
      <c r="K154" s="174">
        <v>0.89</v>
      </c>
      <c r="L154" s="174">
        <v>0.9</v>
      </c>
      <c r="M154" s="380">
        <v>620</v>
      </c>
      <c r="N154" s="176">
        <v>9.8550000000000004</v>
      </c>
      <c r="O154" s="381">
        <f>4.72+4.885</f>
        <v>9.6050000000000004</v>
      </c>
      <c r="P154" s="382"/>
      <c r="Q154" s="176">
        <v>0.06</v>
      </c>
      <c r="R154" s="176"/>
      <c r="S154" s="176">
        <v>0.19</v>
      </c>
      <c r="T154" s="383"/>
      <c r="U154" s="380" t="s">
        <v>5124</v>
      </c>
      <c r="V154" s="371" t="s">
        <v>114</v>
      </c>
      <c r="W154" s="384" t="s">
        <v>5293</v>
      </c>
      <c r="X154" s="178" t="s">
        <v>361</v>
      </c>
      <c r="Y154" s="385"/>
      <c r="Z154" s="385"/>
      <c r="AA154" s="177">
        <v>44784</v>
      </c>
      <c r="AB154" s="177"/>
      <c r="AC154" s="177">
        <v>44784</v>
      </c>
      <c r="AD154" s="177"/>
      <c r="AE154" s="177"/>
      <c r="AF154" s="177">
        <v>44945</v>
      </c>
      <c r="AG154" s="177"/>
      <c r="AH154" s="177"/>
      <c r="AI154" s="180"/>
      <c r="AJ154" s="173"/>
      <c r="AK154" s="173"/>
      <c r="AL154" s="181" t="s">
        <v>69</v>
      </c>
      <c r="AM154" s="181" t="s">
        <v>119</v>
      </c>
      <c r="AN154" s="181" t="s">
        <v>994</v>
      </c>
      <c r="AO154" s="181">
        <v>44713</v>
      </c>
      <c r="AP154" s="181">
        <v>44747</v>
      </c>
      <c r="AQ154" s="173"/>
      <c r="AR154" s="181">
        <f t="shared" ca="1" si="25"/>
        <v>44958</v>
      </c>
      <c r="AS154" s="176">
        <f t="shared" ca="1" si="23"/>
        <v>211</v>
      </c>
      <c r="AT154" s="176" t="str">
        <f t="shared" si="24"/>
        <v/>
      </c>
      <c r="AU154" s="176" t="s">
        <v>4993</v>
      </c>
      <c r="AV154" s="176" t="s">
        <v>974</v>
      </c>
      <c r="AW154" s="176">
        <v>9.9139999999999997</v>
      </c>
      <c r="AX154" s="176">
        <v>9.9339999999999993</v>
      </c>
      <c r="AY154" s="173">
        <v>9.9589999999999979</v>
      </c>
      <c r="AZ154" s="142">
        <v>9.9639999999999986</v>
      </c>
      <c r="BA154" s="142">
        <f t="shared" ca="1" si="21"/>
        <v>174</v>
      </c>
      <c r="BB154" s="142">
        <v>442</v>
      </c>
      <c r="BD154" s="142" t="s">
        <v>123</v>
      </c>
    </row>
    <row r="155" spans="2:56" s="142" customFormat="1" ht="21" customHeight="1" x14ac:dyDescent="0.25">
      <c r="B155" s="173" t="str">
        <f t="shared" si="22"/>
        <v>0-304/2B-1.15X767</v>
      </c>
      <c r="C155" s="201" t="s">
        <v>5294</v>
      </c>
      <c r="D155" s="173" t="s">
        <v>4432</v>
      </c>
      <c r="E155" s="173" t="s">
        <v>3924</v>
      </c>
      <c r="F155" s="201" t="s">
        <v>5295</v>
      </c>
      <c r="G155" s="173">
        <v>304</v>
      </c>
      <c r="H155" s="173" t="s">
        <v>114</v>
      </c>
      <c r="I155" s="174">
        <v>3.45</v>
      </c>
      <c r="J155" s="174">
        <v>1.1499999999999999</v>
      </c>
      <c r="K155" s="174">
        <v>1.1499999999999999</v>
      </c>
      <c r="L155" s="174">
        <v>1.1599999999999999</v>
      </c>
      <c r="M155" s="380">
        <v>767</v>
      </c>
      <c r="N155" s="176">
        <v>7.94</v>
      </c>
      <c r="O155" s="381">
        <f>3.94+4</f>
        <v>7.9399999999999995</v>
      </c>
      <c r="P155" s="382"/>
      <c r="Q155" s="176"/>
      <c r="R155" s="176"/>
      <c r="S155" s="176"/>
      <c r="T155" s="383"/>
      <c r="U155" s="380">
        <v>760</v>
      </c>
      <c r="V155" s="371" t="s">
        <v>114</v>
      </c>
      <c r="W155" s="384" t="s">
        <v>4873</v>
      </c>
      <c r="X155" s="178" t="s">
        <v>1210</v>
      </c>
      <c r="Y155" s="385"/>
      <c r="Z155" s="385"/>
      <c r="AA155" s="177">
        <v>44931</v>
      </c>
      <c r="AB155" s="177"/>
      <c r="AC155" s="177">
        <v>44932</v>
      </c>
      <c r="AD155" s="177"/>
      <c r="AE155" s="177">
        <v>44948</v>
      </c>
      <c r="AF155" s="177"/>
      <c r="AG155" s="177"/>
      <c r="AH155" s="177">
        <v>44931</v>
      </c>
      <c r="AI155" s="180"/>
      <c r="AJ155" s="173"/>
      <c r="AK155" s="173" t="s">
        <v>1345</v>
      </c>
      <c r="AL155" s="181" t="s">
        <v>69</v>
      </c>
      <c r="AM155" s="181" t="s">
        <v>142</v>
      </c>
      <c r="AN155" s="181" t="s">
        <v>1508</v>
      </c>
      <c r="AO155" s="181"/>
      <c r="AP155" s="181">
        <v>44849</v>
      </c>
      <c r="AQ155" s="173"/>
      <c r="AR155" s="181">
        <f t="shared" ca="1" si="25"/>
        <v>44958</v>
      </c>
      <c r="AS155" s="176">
        <f t="shared" ca="1" si="23"/>
        <v>109</v>
      </c>
      <c r="AT155" s="176">
        <f t="shared" ca="1" si="24"/>
        <v>10</v>
      </c>
      <c r="AU155" s="176"/>
      <c r="AV155" s="176" t="s">
        <v>3926</v>
      </c>
      <c r="AW155" s="176">
        <v>24.335000000000001</v>
      </c>
      <c r="AX155" s="176">
        <v>24.395</v>
      </c>
      <c r="AY155" s="173">
        <v>24.42</v>
      </c>
      <c r="AZ155" s="142">
        <v>24.425000000000001</v>
      </c>
      <c r="BA155" s="142">
        <f t="shared" ca="1" si="21"/>
        <v>26</v>
      </c>
      <c r="BB155" s="142">
        <v>456</v>
      </c>
      <c r="BD155" s="142" t="s">
        <v>123</v>
      </c>
    </row>
    <row r="156" spans="2:56" s="142" customFormat="1" ht="21" customHeight="1" x14ac:dyDescent="0.25">
      <c r="B156" s="173" t="str">
        <f t="shared" si="22"/>
        <v>0-304/2B-1.15X767</v>
      </c>
      <c r="C156" s="201" t="s">
        <v>5294</v>
      </c>
      <c r="D156" s="173" t="s">
        <v>4432</v>
      </c>
      <c r="E156" s="173" t="s">
        <v>3924</v>
      </c>
      <c r="F156" s="201" t="s">
        <v>4869</v>
      </c>
      <c r="G156" s="173">
        <v>304</v>
      </c>
      <c r="H156" s="173" t="s">
        <v>114</v>
      </c>
      <c r="I156" s="174">
        <v>3.45</v>
      </c>
      <c r="J156" s="174">
        <v>1.1499999999999999</v>
      </c>
      <c r="K156" s="174">
        <v>1.1499999999999999</v>
      </c>
      <c r="L156" s="174">
        <v>1.1599999999999999</v>
      </c>
      <c r="M156" s="380">
        <v>767</v>
      </c>
      <c r="N156" s="176">
        <v>4.125</v>
      </c>
      <c r="O156" s="381">
        <v>4.1100000000000003</v>
      </c>
      <c r="P156" s="382"/>
      <c r="Q156" s="176"/>
      <c r="R156" s="176"/>
      <c r="S156" s="176"/>
      <c r="T156" s="383"/>
      <c r="U156" s="380">
        <v>760</v>
      </c>
      <c r="V156" s="371" t="s">
        <v>114</v>
      </c>
      <c r="W156" s="384" t="s">
        <v>4873</v>
      </c>
      <c r="X156" s="178" t="s">
        <v>1210</v>
      </c>
      <c r="Y156" s="385"/>
      <c r="Z156" s="385"/>
      <c r="AA156" s="177">
        <v>44931</v>
      </c>
      <c r="AB156" s="177"/>
      <c r="AC156" s="177">
        <v>44932</v>
      </c>
      <c r="AD156" s="177"/>
      <c r="AE156" s="177">
        <v>44948</v>
      </c>
      <c r="AF156" s="177"/>
      <c r="AG156" s="177"/>
      <c r="AH156" s="177">
        <v>44931</v>
      </c>
      <c r="AI156" s="180"/>
      <c r="AJ156" s="173"/>
      <c r="AK156" s="173" t="s">
        <v>1345</v>
      </c>
      <c r="AL156" s="181" t="s">
        <v>69</v>
      </c>
      <c r="AM156" s="181" t="s">
        <v>142</v>
      </c>
      <c r="AN156" s="181" t="s">
        <v>1508</v>
      </c>
      <c r="AO156" s="181"/>
      <c r="AP156" s="181">
        <v>44849</v>
      </c>
      <c r="AQ156" s="173"/>
      <c r="AR156" s="181">
        <f t="shared" ca="1" si="25"/>
        <v>44958</v>
      </c>
      <c r="AS156" s="176">
        <f t="shared" ca="1" si="23"/>
        <v>109</v>
      </c>
      <c r="AT156" s="176">
        <f t="shared" ca="1" si="24"/>
        <v>10</v>
      </c>
      <c r="AU156" s="176"/>
      <c r="AV156" s="176" t="s">
        <v>3926</v>
      </c>
      <c r="AW156" s="176">
        <v>24.335000000000001</v>
      </c>
      <c r="AX156" s="176">
        <v>24.395</v>
      </c>
      <c r="AY156" s="173">
        <v>24.42</v>
      </c>
      <c r="AZ156" s="142">
        <v>24.425000000000001</v>
      </c>
      <c r="BA156" s="142">
        <f t="shared" ca="1" si="21"/>
        <v>26</v>
      </c>
      <c r="BB156" s="142">
        <v>456</v>
      </c>
      <c r="BD156" s="142" t="s">
        <v>123</v>
      </c>
    </row>
    <row r="157" spans="2:56" s="142" customFormat="1" ht="21" customHeight="1" x14ac:dyDescent="0.25">
      <c r="B157" s="173" t="str">
        <f t="shared" si="22"/>
        <v>0-304/2B-1.00X777</v>
      </c>
      <c r="C157" s="201" t="s">
        <v>5294</v>
      </c>
      <c r="D157" s="173" t="s">
        <v>4432</v>
      </c>
      <c r="E157" s="173" t="s">
        <v>3914</v>
      </c>
      <c r="F157" s="201" t="s">
        <v>5296</v>
      </c>
      <c r="G157" s="173">
        <v>304</v>
      </c>
      <c r="H157" s="173" t="s">
        <v>114</v>
      </c>
      <c r="I157" s="174">
        <v>2.96</v>
      </c>
      <c r="J157" s="174">
        <v>1</v>
      </c>
      <c r="K157" s="174"/>
      <c r="L157" s="174"/>
      <c r="M157" s="380">
        <v>777</v>
      </c>
      <c r="N157" s="349">
        <v>10.68</v>
      </c>
      <c r="O157" s="381">
        <v>5.7249999999999996</v>
      </c>
      <c r="P157" s="382"/>
      <c r="Q157" s="176"/>
      <c r="R157" s="176"/>
      <c r="S157" s="176"/>
      <c r="T157" s="383"/>
      <c r="U157" s="380">
        <v>760</v>
      </c>
      <c r="V157" s="371" t="s">
        <v>114</v>
      </c>
      <c r="W157" s="384" t="s">
        <v>4873</v>
      </c>
      <c r="X157" s="178" t="s">
        <v>1210</v>
      </c>
      <c r="Y157" s="385"/>
      <c r="Z157" s="385"/>
      <c r="AA157" s="177">
        <v>44931</v>
      </c>
      <c r="AB157" s="177"/>
      <c r="AC157" s="177">
        <v>44931</v>
      </c>
      <c r="AD157" s="177"/>
      <c r="AE157" s="177"/>
      <c r="AF157" s="177">
        <v>44948</v>
      </c>
      <c r="AG157" s="177"/>
      <c r="AH157" s="177">
        <v>44928</v>
      </c>
      <c r="AI157" s="180"/>
      <c r="AJ157" s="173"/>
      <c r="AK157" s="173" t="s">
        <v>1345</v>
      </c>
      <c r="AL157" s="181" t="s">
        <v>69</v>
      </c>
      <c r="AM157" s="181" t="s">
        <v>142</v>
      </c>
      <c r="AN157" s="181" t="s">
        <v>1346</v>
      </c>
      <c r="AO157" s="181"/>
      <c r="AP157" s="181">
        <v>44813</v>
      </c>
      <c r="AQ157" s="173"/>
      <c r="AR157" s="181">
        <f t="shared" ca="1" si="25"/>
        <v>44958</v>
      </c>
      <c r="AS157" s="176">
        <f t="shared" ca="1" si="23"/>
        <v>145</v>
      </c>
      <c r="AT157" s="176" t="str">
        <f t="shared" si="24"/>
        <v/>
      </c>
      <c r="AU157" s="176"/>
      <c r="AV157" s="176" t="s">
        <v>3916</v>
      </c>
      <c r="AW157" s="176">
        <v>21.39</v>
      </c>
      <c r="AX157" s="176">
        <v>21.45</v>
      </c>
      <c r="AY157" s="173">
        <v>21.475000000000001</v>
      </c>
      <c r="AZ157" s="142">
        <v>21.48</v>
      </c>
      <c r="BA157" s="142">
        <f t="shared" ca="1" si="21"/>
        <v>27</v>
      </c>
      <c r="BB157" s="142">
        <v>451</v>
      </c>
      <c r="BD157" s="142" t="s">
        <v>123</v>
      </c>
    </row>
    <row r="158" spans="2:56" s="142" customFormat="1" ht="21" customHeight="1" x14ac:dyDescent="0.25">
      <c r="B158" s="173" t="str">
        <f t="shared" si="22"/>
        <v>0-304/2B-1.00X777</v>
      </c>
      <c r="C158" s="201" t="s">
        <v>5297</v>
      </c>
      <c r="D158" s="173" t="s">
        <v>836</v>
      </c>
      <c r="E158" s="173" t="s">
        <v>3914</v>
      </c>
      <c r="F158" s="201" t="s">
        <v>5298</v>
      </c>
      <c r="G158" s="173">
        <v>304</v>
      </c>
      <c r="H158" s="173" t="s">
        <v>114</v>
      </c>
      <c r="I158" s="174">
        <v>2.96</v>
      </c>
      <c r="J158" s="174">
        <v>1</v>
      </c>
      <c r="K158" s="174"/>
      <c r="L158" s="174"/>
      <c r="M158" s="380">
        <v>777</v>
      </c>
      <c r="N158" s="350"/>
      <c r="O158" s="381">
        <v>4.87</v>
      </c>
      <c r="P158" s="382"/>
      <c r="Q158" s="176">
        <v>0.08</v>
      </c>
      <c r="R158" s="176"/>
      <c r="S158" s="176"/>
      <c r="T158" s="383"/>
      <c r="U158" s="380">
        <v>777</v>
      </c>
      <c r="V158" s="371" t="s">
        <v>114</v>
      </c>
      <c r="W158" s="384"/>
      <c r="X158" s="178" t="s">
        <v>1210</v>
      </c>
      <c r="Y158" s="385"/>
      <c r="Z158" s="385"/>
      <c r="AA158" s="177">
        <v>44931</v>
      </c>
      <c r="AB158" s="177"/>
      <c r="AC158" s="177">
        <v>44931</v>
      </c>
      <c r="AD158" s="177"/>
      <c r="AE158" s="177"/>
      <c r="AF158" s="177">
        <v>44948</v>
      </c>
      <c r="AG158" s="177">
        <v>44949</v>
      </c>
      <c r="AH158" s="177">
        <v>44928</v>
      </c>
      <c r="AI158" s="180"/>
      <c r="AJ158" s="173"/>
      <c r="AK158" s="173" t="s">
        <v>1345</v>
      </c>
      <c r="AL158" s="181" t="s">
        <v>69</v>
      </c>
      <c r="AM158" s="181" t="s">
        <v>142</v>
      </c>
      <c r="AN158" s="181" t="s">
        <v>1346</v>
      </c>
      <c r="AO158" s="181"/>
      <c r="AP158" s="181">
        <v>44813</v>
      </c>
      <c r="AQ158" s="173"/>
      <c r="AR158" s="181">
        <f t="shared" ca="1" si="25"/>
        <v>44958</v>
      </c>
      <c r="AS158" s="176">
        <f t="shared" ca="1" si="23"/>
        <v>145</v>
      </c>
      <c r="AT158" s="176" t="str">
        <f t="shared" si="24"/>
        <v/>
      </c>
      <c r="AU158" s="176"/>
      <c r="AV158" s="176" t="s">
        <v>3916</v>
      </c>
      <c r="AW158" s="176">
        <v>21.39</v>
      </c>
      <c r="AX158" s="176">
        <v>21.45</v>
      </c>
      <c r="AY158" s="173">
        <v>21.475000000000001</v>
      </c>
      <c r="AZ158" s="142">
        <v>21.48</v>
      </c>
      <c r="BA158" s="142">
        <f t="shared" ca="1" si="21"/>
        <v>27</v>
      </c>
      <c r="BB158" s="142">
        <v>451</v>
      </c>
      <c r="BD158" s="142" t="s">
        <v>123</v>
      </c>
    </row>
    <row r="159" spans="2:56" s="142" customFormat="1" ht="21" customHeight="1" x14ac:dyDescent="0.25">
      <c r="B159" s="173" t="str">
        <f t="shared" si="22"/>
        <v>0-304/2B-1.15X777</v>
      </c>
      <c r="C159" s="201" t="s">
        <v>5294</v>
      </c>
      <c r="D159" s="173" t="s">
        <v>4432</v>
      </c>
      <c r="E159" s="173" t="s">
        <v>3949</v>
      </c>
      <c r="F159" s="201" t="s">
        <v>5028</v>
      </c>
      <c r="G159" s="173">
        <v>304</v>
      </c>
      <c r="H159" s="173" t="s">
        <v>114</v>
      </c>
      <c r="I159" s="174">
        <v>3.51</v>
      </c>
      <c r="J159" s="174">
        <v>1.1499999999999999</v>
      </c>
      <c r="K159" s="174">
        <v>1.1299999999999999</v>
      </c>
      <c r="L159" s="174">
        <v>1.1499999999999999</v>
      </c>
      <c r="M159" s="380">
        <v>777</v>
      </c>
      <c r="N159" s="176">
        <v>4.21</v>
      </c>
      <c r="O159" s="381">
        <v>4.1399999999999997</v>
      </c>
      <c r="P159" s="382"/>
      <c r="Q159" s="176">
        <v>7.4999999999999997E-2</v>
      </c>
      <c r="R159" s="176"/>
      <c r="S159" s="176"/>
      <c r="T159" s="383"/>
      <c r="U159" s="380">
        <v>760</v>
      </c>
      <c r="V159" s="371" t="s">
        <v>114</v>
      </c>
      <c r="W159" s="384" t="s">
        <v>4926</v>
      </c>
      <c r="X159" s="178" t="s">
        <v>1210</v>
      </c>
      <c r="Y159" s="385"/>
      <c r="Z159" s="385"/>
      <c r="AA159" s="177">
        <v>44933</v>
      </c>
      <c r="AB159" s="177"/>
      <c r="AC159" s="177">
        <v>44933</v>
      </c>
      <c r="AD159" s="177"/>
      <c r="AE159" s="177"/>
      <c r="AF159" s="177">
        <v>44948</v>
      </c>
      <c r="AG159" s="177"/>
      <c r="AH159" s="177">
        <v>44930</v>
      </c>
      <c r="AI159" s="180"/>
      <c r="AJ159" s="173"/>
      <c r="AK159" s="173" t="s">
        <v>1345</v>
      </c>
      <c r="AL159" s="181" t="s">
        <v>69</v>
      </c>
      <c r="AM159" s="181" t="s">
        <v>142</v>
      </c>
      <c r="AN159" s="181" t="s">
        <v>1346</v>
      </c>
      <c r="AO159" s="181"/>
      <c r="AP159" s="181">
        <v>44813</v>
      </c>
      <c r="AQ159" s="173"/>
      <c r="AR159" s="181">
        <f t="shared" ca="1" si="25"/>
        <v>44958</v>
      </c>
      <c r="AS159" s="176">
        <f t="shared" ca="1" si="23"/>
        <v>145</v>
      </c>
      <c r="AT159" s="176" t="str">
        <f t="shared" si="24"/>
        <v/>
      </c>
      <c r="AU159" s="176"/>
      <c r="AV159" s="176" t="s">
        <v>3951</v>
      </c>
      <c r="AW159" s="176">
        <v>21.465</v>
      </c>
      <c r="AX159" s="176">
        <v>21.524999999999999</v>
      </c>
      <c r="AY159" s="173">
        <v>21.55</v>
      </c>
      <c r="AZ159" s="142">
        <v>21.555</v>
      </c>
      <c r="BA159" s="142">
        <f t="shared" ca="1" si="21"/>
        <v>25</v>
      </c>
      <c r="BB159" s="142">
        <v>451</v>
      </c>
      <c r="BD159" s="142" t="s">
        <v>123</v>
      </c>
    </row>
    <row r="160" spans="2:56" s="142" customFormat="1" ht="21" customHeight="1" x14ac:dyDescent="0.25">
      <c r="B160" s="173" t="str">
        <f t="shared" si="22"/>
        <v>0-304L/2B-1.20X770</v>
      </c>
      <c r="C160" s="201" t="s">
        <v>5294</v>
      </c>
      <c r="D160" s="173" t="s">
        <v>4432</v>
      </c>
      <c r="E160" s="173" t="s">
        <v>5012</v>
      </c>
      <c r="F160" s="201" t="s">
        <v>5299</v>
      </c>
      <c r="G160" s="173" t="s">
        <v>182</v>
      </c>
      <c r="H160" s="173" t="s">
        <v>114</v>
      </c>
      <c r="I160" s="174">
        <v>3.49</v>
      </c>
      <c r="J160" s="174">
        <v>1.2</v>
      </c>
      <c r="K160" s="174"/>
      <c r="L160" s="174"/>
      <c r="M160" s="380">
        <v>770</v>
      </c>
      <c r="N160" s="176">
        <v>5.585</v>
      </c>
      <c r="O160" s="381">
        <v>5.51</v>
      </c>
      <c r="P160" s="382"/>
      <c r="Q160" s="176">
        <v>7.0000000000000007E-2</v>
      </c>
      <c r="R160" s="176"/>
      <c r="S160" s="176"/>
      <c r="T160" s="383"/>
      <c r="U160" s="380">
        <v>760</v>
      </c>
      <c r="V160" s="371" t="s">
        <v>114</v>
      </c>
      <c r="W160" s="384" t="s">
        <v>4654</v>
      </c>
      <c r="X160" s="178" t="s">
        <v>1344</v>
      </c>
      <c r="Y160" s="385"/>
      <c r="Z160" s="385"/>
      <c r="AA160" s="177">
        <v>44922</v>
      </c>
      <c r="AB160" s="177"/>
      <c r="AC160" s="177">
        <v>44922</v>
      </c>
      <c r="AD160" s="177"/>
      <c r="AE160" s="177"/>
      <c r="AF160" s="177">
        <v>44947</v>
      </c>
      <c r="AG160" s="177"/>
      <c r="AH160" s="177"/>
      <c r="AI160" s="180"/>
      <c r="AJ160" s="173"/>
      <c r="AK160" s="173" t="s">
        <v>2470</v>
      </c>
      <c r="AL160" s="181" t="s">
        <v>69</v>
      </c>
      <c r="AM160" s="181" t="s">
        <v>142</v>
      </c>
      <c r="AN160" s="181" t="s">
        <v>1584</v>
      </c>
      <c r="AO160" s="181"/>
      <c r="AP160" s="181">
        <v>44914</v>
      </c>
      <c r="AQ160" s="173"/>
      <c r="AR160" s="181">
        <f t="shared" ca="1" si="25"/>
        <v>44958</v>
      </c>
      <c r="AS160" s="176">
        <f t="shared" ca="1" si="23"/>
        <v>44</v>
      </c>
      <c r="AT160" s="176" t="str">
        <f t="shared" si="24"/>
        <v/>
      </c>
      <c r="AU160" s="176"/>
      <c r="AV160" s="176" t="s">
        <v>2577</v>
      </c>
      <c r="AW160" s="176">
        <v>10.52</v>
      </c>
      <c r="AX160" s="176">
        <v>10.53</v>
      </c>
      <c r="AY160" s="173">
        <v>10.554999999999998</v>
      </c>
      <c r="AZ160" s="142">
        <v>10.559999999999999</v>
      </c>
      <c r="BA160" s="142">
        <f t="shared" ca="1" si="21"/>
        <v>36</v>
      </c>
      <c r="BB160" s="142">
        <v>462</v>
      </c>
      <c r="BD160" s="142" t="s">
        <v>123</v>
      </c>
    </row>
    <row r="161" spans="2:56" s="142" customFormat="1" ht="21" customHeight="1" x14ac:dyDescent="0.25">
      <c r="B161" s="173" t="str">
        <f t="shared" si="22"/>
        <v>0-304L/2B-1.20X767</v>
      </c>
      <c r="C161" s="201" t="s">
        <v>5300</v>
      </c>
      <c r="D161" s="173" t="s">
        <v>836</v>
      </c>
      <c r="E161" s="173" t="s">
        <v>2468</v>
      </c>
      <c r="F161" s="201" t="s">
        <v>5018</v>
      </c>
      <c r="G161" s="173" t="s">
        <v>182</v>
      </c>
      <c r="H161" s="173" t="s">
        <v>114</v>
      </c>
      <c r="I161" s="174">
        <v>3.58</v>
      </c>
      <c r="J161" s="174">
        <v>1.2</v>
      </c>
      <c r="K161" s="174">
        <v>1.18</v>
      </c>
      <c r="L161" s="174">
        <v>1.2</v>
      </c>
      <c r="M161" s="380">
        <v>767</v>
      </c>
      <c r="N161" s="176">
        <v>5.18</v>
      </c>
      <c r="O161" s="381">
        <v>5.18</v>
      </c>
      <c r="P161" s="382"/>
      <c r="Q161" s="176"/>
      <c r="R161" s="176"/>
      <c r="S161" s="176"/>
      <c r="T161" s="383"/>
      <c r="U161" s="380">
        <v>767</v>
      </c>
      <c r="V161" s="371" t="s">
        <v>114</v>
      </c>
      <c r="W161" s="384"/>
      <c r="X161" s="178" t="s">
        <v>1344</v>
      </c>
      <c r="Y161" s="385"/>
      <c r="Z161" s="385"/>
      <c r="AA161" s="177">
        <v>44923</v>
      </c>
      <c r="AB161" s="177"/>
      <c r="AC161" s="177">
        <v>44924</v>
      </c>
      <c r="AD161" s="177"/>
      <c r="AE161" s="177"/>
      <c r="AF161" s="177">
        <v>44948</v>
      </c>
      <c r="AG161" s="177">
        <v>44949</v>
      </c>
      <c r="AH161" s="177"/>
      <c r="AI161" s="180"/>
      <c r="AJ161" s="173"/>
      <c r="AK161" s="173" t="s">
        <v>2470</v>
      </c>
      <c r="AL161" s="181" t="s">
        <v>69</v>
      </c>
      <c r="AM161" s="181" t="s">
        <v>142</v>
      </c>
      <c r="AN161" s="181" t="s">
        <v>1584</v>
      </c>
      <c r="AO161" s="181"/>
      <c r="AP161" s="181">
        <v>44914</v>
      </c>
      <c r="AQ161" s="173"/>
      <c r="AR161" s="181">
        <f t="shared" ca="1" si="25"/>
        <v>44958</v>
      </c>
      <c r="AS161" s="176">
        <f t="shared" ca="1" si="23"/>
        <v>44</v>
      </c>
      <c r="AT161" s="176" t="str">
        <f t="shared" si="24"/>
        <v/>
      </c>
      <c r="AU161" s="176"/>
      <c r="AV161" s="176" t="s">
        <v>2471</v>
      </c>
      <c r="AW161" s="176">
        <v>10.305</v>
      </c>
      <c r="AX161" s="176">
        <v>10.315</v>
      </c>
      <c r="AY161" s="173">
        <v>10.339999999999998</v>
      </c>
      <c r="AZ161" s="142">
        <v>10.344999999999999</v>
      </c>
      <c r="BA161" s="142">
        <f t="shared" ca="1" si="21"/>
        <v>34</v>
      </c>
      <c r="BB161" s="142">
        <v>462</v>
      </c>
      <c r="BD161" s="142" t="s">
        <v>123</v>
      </c>
    </row>
    <row r="162" spans="2:56" s="142" customFormat="1" ht="21" customHeight="1" x14ac:dyDescent="0.25">
      <c r="B162" s="173" t="str">
        <f t="shared" si="22"/>
        <v>0-304/2B-1.00X777</v>
      </c>
      <c r="C162" s="201" t="s">
        <v>5301</v>
      </c>
      <c r="D162" s="173" t="s">
        <v>4432</v>
      </c>
      <c r="E162" s="173" t="s">
        <v>3914</v>
      </c>
      <c r="F162" s="201" t="s">
        <v>5298</v>
      </c>
      <c r="G162" s="173">
        <v>304</v>
      </c>
      <c r="H162" s="173" t="s">
        <v>114</v>
      </c>
      <c r="I162" s="174">
        <v>2.96</v>
      </c>
      <c r="J162" s="174">
        <v>1</v>
      </c>
      <c r="K162" s="174"/>
      <c r="L162" s="174"/>
      <c r="M162" s="380">
        <v>777</v>
      </c>
      <c r="N162" s="176">
        <v>4.87</v>
      </c>
      <c r="O162" s="381">
        <v>4.82</v>
      </c>
      <c r="P162" s="382"/>
      <c r="Q162" s="176">
        <v>0.05</v>
      </c>
      <c r="R162" s="176"/>
      <c r="S162" s="176"/>
      <c r="T162" s="383"/>
      <c r="U162" s="380">
        <v>760</v>
      </c>
      <c r="V162" s="371" t="s">
        <v>114</v>
      </c>
      <c r="W162" s="384" t="s">
        <v>4873</v>
      </c>
      <c r="X162" s="178" t="s">
        <v>1210</v>
      </c>
      <c r="Y162" s="385"/>
      <c r="Z162" s="385"/>
      <c r="AA162" s="177">
        <v>44931</v>
      </c>
      <c r="AB162" s="177"/>
      <c r="AC162" s="177">
        <v>44931</v>
      </c>
      <c r="AD162" s="177"/>
      <c r="AE162" s="177"/>
      <c r="AF162" s="177">
        <v>44948</v>
      </c>
      <c r="AG162" s="177">
        <v>44949</v>
      </c>
      <c r="AH162" s="177">
        <v>44928</v>
      </c>
      <c r="AI162" s="180"/>
      <c r="AJ162" s="173"/>
      <c r="AK162" s="173" t="s">
        <v>1345</v>
      </c>
      <c r="AL162" s="181" t="s">
        <v>69</v>
      </c>
      <c r="AM162" s="181" t="s">
        <v>142</v>
      </c>
      <c r="AN162" s="181" t="s">
        <v>1346</v>
      </c>
      <c r="AO162" s="181"/>
      <c r="AP162" s="181">
        <v>44813</v>
      </c>
      <c r="AQ162" s="173"/>
      <c r="AR162" s="181">
        <f t="shared" ca="1" si="25"/>
        <v>44958</v>
      </c>
      <c r="AS162" s="176">
        <f t="shared" ca="1" si="23"/>
        <v>145</v>
      </c>
      <c r="AT162" s="176" t="str">
        <f t="shared" si="24"/>
        <v/>
      </c>
      <c r="AU162" s="176"/>
      <c r="AV162" s="176" t="s">
        <v>3916</v>
      </c>
      <c r="AW162" s="176">
        <v>21.39</v>
      </c>
      <c r="AX162" s="176">
        <v>21.45</v>
      </c>
      <c r="AY162" s="173">
        <v>21.475000000000001</v>
      </c>
      <c r="AZ162" s="142">
        <v>21.48</v>
      </c>
      <c r="BA162" s="142">
        <f t="shared" ca="1" si="21"/>
        <v>27</v>
      </c>
      <c r="BB162" s="142">
        <v>451</v>
      </c>
      <c r="BD162" s="142" t="s">
        <v>123</v>
      </c>
    </row>
    <row r="163" spans="2:56" s="142" customFormat="1" ht="21" customHeight="1" x14ac:dyDescent="0.25">
      <c r="B163" s="173" t="str">
        <f t="shared" si="22"/>
        <v>0-304L/2B-1.20X767</v>
      </c>
      <c r="C163" s="201" t="s">
        <v>5294</v>
      </c>
      <c r="D163" s="173" t="s">
        <v>4432</v>
      </c>
      <c r="E163" s="173" t="s">
        <v>2468</v>
      </c>
      <c r="F163" s="201" t="s">
        <v>5018</v>
      </c>
      <c r="G163" s="173" t="s">
        <v>182</v>
      </c>
      <c r="H163" s="173" t="s">
        <v>114</v>
      </c>
      <c r="I163" s="174">
        <v>3.58</v>
      </c>
      <c r="J163" s="174">
        <v>1.2</v>
      </c>
      <c r="K163" s="174">
        <v>1.18</v>
      </c>
      <c r="L163" s="174">
        <v>1.2</v>
      </c>
      <c r="M163" s="380">
        <v>767</v>
      </c>
      <c r="N163" s="176">
        <v>5.18</v>
      </c>
      <c r="O163" s="381">
        <v>5.125</v>
      </c>
      <c r="P163" s="382"/>
      <c r="Q163" s="176">
        <v>0.06</v>
      </c>
      <c r="R163" s="176"/>
      <c r="S163" s="176"/>
      <c r="T163" s="383"/>
      <c r="U163" s="380">
        <v>760</v>
      </c>
      <c r="V163" s="371" t="s">
        <v>114</v>
      </c>
      <c r="W163" s="384" t="s">
        <v>4654</v>
      </c>
      <c r="X163" s="178" t="s">
        <v>1344</v>
      </c>
      <c r="Y163" s="385"/>
      <c r="Z163" s="385"/>
      <c r="AA163" s="177">
        <v>44923</v>
      </c>
      <c r="AB163" s="177"/>
      <c r="AC163" s="177">
        <v>44924</v>
      </c>
      <c r="AD163" s="177"/>
      <c r="AE163" s="177"/>
      <c r="AF163" s="177">
        <v>44948</v>
      </c>
      <c r="AG163" s="177">
        <v>44949</v>
      </c>
      <c r="AH163" s="177"/>
      <c r="AI163" s="180"/>
      <c r="AJ163" s="173"/>
      <c r="AK163" s="173" t="s">
        <v>2470</v>
      </c>
      <c r="AL163" s="181" t="s">
        <v>69</v>
      </c>
      <c r="AM163" s="181" t="s">
        <v>142</v>
      </c>
      <c r="AN163" s="181" t="s">
        <v>1584</v>
      </c>
      <c r="AO163" s="181"/>
      <c r="AP163" s="181">
        <v>44914</v>
      </c>
      <c r="AQ163" s="173"/>
      <c r="AR163" s="181">
        <f t="shared" ca="1" si="25"/>
        <v>44958</v>
      </c>
      <c r="AS163" s="176">
        <f t="shared" ca="1" si="23"/>
        <v>44</v>
      </c>
      <c r="AT163" s="176" t="str">
        <f t="shared" si="24"/>
        <v/>
      </c>
      <c r="AU163" s="176"/>
      <c r="AV163" s="176" t="s">
        <v>2471</v>
      </c>
      <c r="AW163" s="176">
        <v>10.305</v>
      </c>
      <c r="AX163" s="176">
        <v>10.315</v>
      </c>
      <c r="AY163" s="173">
        <v>10.339999999999998</v>
      </c>
      <c r="AZ163" s="142">
        <v>10.344999999999999</v>
      </c>
      <c r="BA163" s="142">
        <f t="shared" ca="1" si="21"/>
        <v>34</v>
      </c>
      <c r="BB163" s="142">
        <v>462</v>
      </c>
      <c r="BD163" s="142" t="s">
        <v>123</v>
      </c>
    </row>
    <row r="164" spans="2:56" s="142" customFormat="1" ht="21" customHeight="1" x14ac:dyDescent="0.25">
      <c r="B164" s="173" t="str">
        <f t="shared" si="22"/>
        <v>0-304/2B-1.45X773</v>
      </c>
      <c r="C164" s="201" t="s">
        <v>5297</v>
      </c>
      <c r="D164" s="173" t="s">
        <v>836</v>
      </c>
      <c r="E164" s="173" t="s">
        <v>3940</v>
      </c>
      <c r="F164" s="201" t="s">
        <v>4876</v>
      </c>
      <c r="G164" s="173">
        <v>304</v>
      </c>
      <c r="H164" s="173" t="s">
        <v>114</v>
      </c>
      <c r="I164" s="174">
        <v>3.77</v>
      </c>
      <c r="J164" s="174">
        <v>1.45</v>
      </c>
      <c r="K164" s="174">
        <v>1.47</v>
      </c>
      <c r="L164" s="174">
        <v>1.46</v>
      </c>
      <c r="M164" s="380">
        <v>773</v>
      </c>
      <c r="N164" s="176">
        <v>5.6</v>
      </c>
      <c r="O164" s="381">
        <v>5.6</v>
      </c>
      <c r="P164" s="382"/>
      <c r="Q164" s="176"/>
      <c r="R164" s="176"/>
      <c r="S164" s="176"/>
      <c r="T164" s="383"/>
      <c r="U164" s="380">
        <v>773</v>
      </c>
      <c r="V164" s="371" t="s">
        <v>114</v>
      </c>
      <c r="W164" s="384"/>
      <c r="X164" s="178" t="s">
        <v>1210</v>
      </c>
      <c r="Y164" s="385"/>
      <c r="Z164" s="385"/>
      <c r="AA164" s="177">
        <v>44932</v>
      </c>
      <c r="AB164" s="177"/>
      <c r="AC164" s="177">
        <v>44932</v>
      </c>
      <c r="AD164" s="177"/>
      <c r="AE164" s="177">
        <v>44948</v>
      </c>
      <c r="AF164" s="177"/>
      <c r="AG164" s="177">
        <v>44949</v>
      </c>
      <c r="AH164" s="177"/>
      <c r="AI164" s="180"/>
      <c r="AJ164" s="173"/>
      <c r="AK164" s="173" t="s">
        <v>1345</v>
      </c>
      <c r="AL164" s="181" t="s">
        <v>69</v>
      </c>
      <c r="AM164" s="181" t="s">
        <v>142</v>
      </c>
      <c r="AN164" s="181" t="s">
        <v>2283</v>
      </c>
      <c r="AO164" s="181"/>
      <c r="AP164" s="181">
        <v>44880</v>
      </c>
      <c r="AQ164" s="173"/>
      <c r="AR164" s="181">
        <f t="shared" ca="1" si="25"/>
        <v>44958</v>
      </c>
      <c r="AS164" s="176">
        <f t="shared" ca="1" si="23"/>
        <v>78</v>
      </c>
      <c r="AT164" s="176">
        <f t="shared" ca="1" si="24"/>
        <v>10</v>
      </c>
      <c r="AU164" s="176"/>
      <c r="AV164" s="176" t="s">
        <v>3942</v>
      </c>
      <c r="AW164" s="176">
        <v>10.574999999999999</v>
      </c>
      <c r="AX164" s="176">
        <v>10.584999999999999</v>
      </c>
      <c r="AY164" s="173">
        <v>10.609999999999998</v>
      </c>
      <c r="AZ164" s="142">
        <v>10.614999999999998</v>
      </c>
      <c r="BA164" s="142">
        <f t="shared" ca="1" si="21"/>
        <v>26</v>
      </c>
      <c r="BB164" s="142">
        <v>459</v>
      </c>
      <c r="BD164" s="142" t="s">
        <v>123</v>
      </c>
    </row>
    <row r="165" spans="2:56" s="142" customFormat="1" ht="21" customHeight="1" x14ac:dyDescent="0.25">
      <c r="B165" s="173" t="str">
        <f t="shared" si="22"/>
        <v>0-304/2B-1.50X768</v>
      </c>
      <c r="C165" s="201" t="s">
        <v>5294</v>
      </c>
      <c r="D165" s="173" t="s">
        <v>4432</v>
      </c>
      <c r="E165" s="173" t="s">
        <v>4856</v>
      </c>
      <c r="F165" s="201" t="s">
        <v>4859</v>
      </c>
      <c r="G165" s="173">
        <v>304</v>
      </c>
      <c r="H165" s="173" t="s">
        <v>114</v>
      </c>
      <c r="I165" s="174">
        <v>3.89</v>
      </c>
      <c r="J165" s="174">
        <v>1.5</v>
      </c>
      <c r="K165" s="174"/>
      <c r="L165" s="174"/>
      <c r="M165" s="380">
        <v>768</v>
      </c>
      <c r="N165" s="176">
        <v>4.13</v>
      </c>
      <c r="O165" s="381">
        <v>4.1050000000000004</v>
      </c>
      <c r="P165" s="382"/>
      <c r="Q165" s="176"/>
      <c r="R165" s="176"/>
      <c r="S165" s="176"/>
      <c r="T165" s="383"/>
      <c r="U165" s="380">
        <v>760</v>
      </c>
      <c r="V165" s="371" t="s">
        <v>114</v>
      </c>
      <c r="W165" s="384" t="s">
        <v>4654</v>
      </c>
      <c r="X165" s="178" t="s">
        <v>1344</v>
      </c>
      <c r="Y165" s="385"/>
      <c r="Z165" s="385"/>
      <c r="AA165" s="177">
        <v>44922</v>
      </c>
      <c r="AB165" s="177"/>
      <c r="AC165" s="177">
        <v>44923</v>
      </c>
      <c r="AD165" s="177"/>
      <c r="AE165" s="177">
        <v>44947</v>
      </c>
      <c r="AF165" s="177"/>
      <c r="AG165" s="177">
        <v>44949</v>
      </c>
      <c r="AH165" s="177"/>
      <c r="AI165" s="180"/>
      <c r="AJ165" s="173"/>
      <c r="AK165" s="173" t="s">
        <v>2479</v>
      </c>
      <c r="AL165" s="181" t="s">
        <v>69</v>
      </c>
      <c r="AM165" s="181" t="s">
        <v>142</v>
      </c>
      <c r="AN165" s="181" t="s">
        <v>1887</v>
      </c>
      <c r="AO165" s="181"/>
      <c r="AP165" s="181">
        <v>44880</v>
      </c>
      <c r="AQ165" s="173"/>
      <c r="AR165" s="181">
        <f t="shared" ca="1" si="25"/>
        <v>44958</v>
      </c>
      <c r="AS165" s="176">
        <f t="shared" ca="1" si="23"/>
        <v>78</v>
      </c>
      <c r="AT165" s="176">
        <f t="shared" ca="1" si="24"/>
        <v>11</v>
      </c>
      <c r="AU165" s="176"/>
      <c r="AV165" s="176" t="s">
        <v>4557</v>
      </c>
      <c r="AW165" s="176">
        <v>12.265000000000001</v>
      </c>
      <c r="AX165" s="176">
        <v>12.275</v>
      </c>
      <c r="AY165" s="173">
        <v>12.299999999999999</v>
      </c>
      <c r="AZ165" s="142">
        <v>12.305</v>
      </c>
      <c r="BA165" s="142">
        <f t="shared" ca="1" si="21"/>
        <v>35</v>
      </c>
      <c r="BB165" s="142">
        <v>459</v>
      </c>
      <c r="BD165" s="142" t="s">
        <v>123</v>
      </c>
    </row>
    <row r="166" spans="2:56" s="142" customFormat="1" ht="21" customHeight="1" x14ac:dyDescent="0.25">
      <c r="B166" s="173" t="str">
        <f t="shared" si="22"/>
        <v>0-304/2B-1.45X773</v>
      </c>
      <c r="C166" s="201" t="s">
        <v>5301</v>
      </c>
      <c r="D166" s="173" t="s">
        <v>4432</v>
      </c>
      <c r="E166" s="173" t="s">
        <v>3940</v>
      </c>
      <c r="F166" s="201" t="s">
        <v>4876</v>
      </c>
      <c r="G166" s="173">
        <v>304</v>
      </c>
      <c r="H166" s="173" t="s">
        <v>114</v>
      </c>
      <c r="I166" s="174">
        <v>3.77</v>
      </c>
      <c r="J166" s="174">
        <v>1.45</v>
      </c>
      <c r="K166" s="174">
        <v>1.47</v>
      </c>
      <c r="L166" s="174">
        <v>1.46</v>
      </c>
      <c r="M166" s="380">
        <v>773</v>
      </c>
      <c r="N166" s="176">
        <v>5.6</v>
      </c>
      <c r="O166" s="381">
        <v>5.5250000000000004</v>
      </c>
      <c r="P166" s="382"/>
      <c r="Q166" s="176">
        <v>7.4999999999999997E-2</v>
      </c>
      <c r="R166" s="176"/>
      <c r="S166" s="176"/>
      <c r="T166" s="383"/>
      <c r="U166" s="380">
        <v>760</v>
      </c>
      <c r="V166" s="371" t="s">
        <v>114</v>
      </c>
      <c r="W166" s="384" t="s">
        <v>4873</v>
      </c>
      <c r="X166" s="178" t="s">
        <v>1210</v>
      </c>
      <c r="Y166" s="385"/>
      <c r="Z166" s="385"/>
      <c r="AA166" s="177">
        <v>44932</v>
      </c>
      <c r="AB166" s="177"/>
      <c r="AC166" s="177">
        <v>44932</v>
      </c>
      <c r="AD166" s="177"/>
      <c r="AE166" s="177">
        <v>44948</v>
      </c>
      <c r="AF166" s="177"/>
      <c r="AG166" s="177">
        <v>44949</v>
      </c>
      <c r="AH166" s="177"/>
      <c r="AI166" s="180"/>
      <c r="AJ166" s="173"/>
      <c r="AK166" s="173" t="s">
        <v>1345</v>
      </c>
      <c r="AL166" s="181" t="s">
        <v>69</v>
      </c>
      <c r="AM166" s="181" t="s">
        <v>142</v>
      </c>
      <c r="AN166" s="181" t="s">
        <v>2283</v>
      </c>
      <c r="AO166" s="181"/>
      <c r="AP166" s="181">
        <v>44880</v>
      </c>
      <c r="AQ166" s="173"/>
      <c r="AR166" s="181">
        <f t="shared" ca="1" si="25"/>
        <v>44958</v>
      </c>
      <c r="AS166" s="176">
        <f t="shared" ca="1" si="23"/>
        <v>78</v>
      </c>
      <c r="AT166" s="176">
        <f t="shared" ca="1" si="24"/>
        <v>10</v>
      </c>
      <c r="AU166" s="176"/>
      <c r="AV166" s="176" t="s">
        <v>3942</v>
      </c>
      <c r="AW166" s="176">
        <v>10.574999999999999</v>
      </c>
      <c r="AX166" s="176">
        <v>10.584999999999999</v>
      </c>
      <c r="AY166" s="173">
        <v>10.609999999999998</v>
      </c>
      <c r="AZ166" s="142">
        <v>10.614999999999998</v>
      </c>
      <c r="BA166" s="142">
        <f t="shared" ca="1" si="21"/>
        <v>26</v>
      </c>
      <c r="BB166" s="142">
        <v>459</v>
      </c>
      <c r="BD166" s="142" t="s">
        <v>123</v>
      </c>
    </row>
    <row r="167" spans="2:56" s="142" customFormat="1" ht="21" customHeight="1" x14ac:dyDescent="0.25">
      <c r="B167" s="173" t="str">
        <f t="shared" si="22"/>
        <v>0-304/2B-1.15X777</v>
      </c>
      <c r="C167" s="201" t="s">
        <v>5294</v>
      </c>
      <c r="D167" s="173" t="s">
        <v>4432</v>
      </c>
      <c r="E167" s="173" t="s">
        <v>3949</v>
      </c>
      <c r="F167" s="201" t="s">
        <v>5302</v>
      </c>
      <c r="G167" s="173">
        <v>304</v>
      </c>
      <c r="H167" s="173" t="s">
        <v>114</v>
      </c>
      <c r="I167" s="174">
        <v>3.51</v>
      </c>
      <c r="J167" s="174">
        <v>1.1499999999999999</v>
      </c>
      <c r="K167" s="174">
        <v>1.1299999999999999</v>
      </c>
      <c r="L167" s="174">
        <v>1.1499999999999999</v>
      </c>
      <c r="M167" s="380">
        <v>777</v>
      </c>
      <c r="N167" s="176">
        <v>5.88</v>
      </c>
      <c r="O167" s="381">
        <v>5.76</v>
      </c>
      <c r="P167" s="382"/>
      <c r="Q167" s="176">
        <f>0.05+0.07</f>
        <v>0.12000000000000001</v>
      </c>
      <c r="R167" s="176"/>
      <c r="S167" s="176"/>
      <c r="T167" s="383"/>
      <c r="U167" s="380">
        <v>760</v>
      </c>
      <c r="V167" s="371" t="s">
        <v>114</v>
      </c>
      <c r="W167" s="384" t="s">
        <v>4873</v>
      </c>
      <c r="X167" s="178" t="s">
        <v>1210</v>
      </c>
      <c r="Y167" s="385"/>
      <c r="Z167" s="385"/>
      <c r="AA167" s="177">
        <v>44933</v>
      </c>
      <c r="AB167" s="177"/>
      <c r="AC167" s="177">
        <v>44933</v>
      </c>
      <c r="AD167" s="177"/>
      <c r="AE167" s="177"/>
      <c r="AF167" s="177">
        <v>44948</v>
      </c>
      <c r="AG167" s="177"/>
      <c r="AH167" s="177">
        <v>44930</v>
      </c>
      <c r="AI167" s="180"/>
      <c r="AJ167" s="173"/>
      <c r="AK167" s="173" t="s">
        <v>1345</v>
      </c>
      <c r="AL167" s="181" t="s">
        <v>69</v>
      </c>
      <c r="AM167" s="181" t="s">
        <v>142</v>
      </c>
      <c r="AN167" s="181" t="s">
        <v>1346</v>
      </c>
      <c r="AO167" s="181"/>
      <c r="AP167" s="181">
        <v>44813</v>
      </c>
      <c r="AQ167" s="173"/>
      <c r="AR167" s="181">
        <f t="shared" ca="1" si="25"/>
        <v>44958</v>
      </c>
      <c r="AS167" s="176">
        <f t="shared" ca="1" si="23"/>
        <v>145</v>
      </c>
      <c r="AT167" s="176" t="str">
        <f t="shared" si="24"/>
        <v/>
      </c>
      <c r="AU167" s="176"/>
      <c r="AV167" s="176" t="s">
        <v>3951</v>
      </c>
      <c r="AW167" s="176">
        <v>21.465</v>
      </c>
      <c r="AX167" s="176">
        <v>21.524999999999999</v>
      </c>
      <c r="AY167" s="173">
        <v>21.55</v>
      </c>
      <c r="AZ167" s="142">
        <v>21.555</v>
      </c>
      <c r="BA167" s="142">
        <f t="shared" ca="1" si="21"/>
        <v>25</v>
      </c>
      <c r="BB167" s="142">
        <v>451</v>
      </c>
      <c r="BD167" s="142" t="s">
        <v>123</v>
      </c>
    </row>
    <row r="168" spans="2:56" s="142" customFormat="1" ht="21" customHeight="1" x14ac:dyDescent="0.25">
      <c r="B168" s="173" t="str">
        <f t="shared" si="22"/>
        <v>0-304/2B-0.90X773</v>
      </c>
      <c r="C168" s="201" t="s">
        <v>5294</v>
      </c>
      <c r="D168" s="173" t="s">
        <v>4432</v>
      </c>
      <c r="E168" s="173" t="s">
        <v>3987</v>
      </c>
      <c r="F168" s="201" t="s">
        <v>5034</v>
      </c>
      <c r="G168" s="173">
        <v>304</v>
      </c>
      <c r="H168" s="173" t="s">
        <v>114</v>
      </c>
      <c r="I168" s="174">
        <v>2.84</v>
      </c>
      <c r="J168" s="174">
        <v>0.9</v>
      </c>
      <c r="K168" s="174">
        <v>0.88</v>
      </c>
      <c r="L168" s="174">
        <v>0.9</v>
      </c>
      <c r="M168" s="380">
        <v>773</v>
      </c>
      <c r="N168" s="176">
        <v>5.54</v>
      </c>
      <c r="O168" s="381">
        <v>5.5750000000000002</v>
      </c>
      <c r="P168" s="382"/>
      <c r="Q168" s="176">
        <v>4.4999999999999998E-2</v>
      </c>
      <c r="R168" s="176"/>
      <c r="S168" s="176"/>
      <c r="T168" s="383"/>
      <c r="U168" s="380">
        <v>760</v>
      </c>
      <c r="V168" s="371" t="s">
        <v>114</v>
      </c>
      <c r="W168" s="384" t="s">
        <v>4888</v>
      </c>
      <c r="X168" s="178" t="s">
        <v>1546</v>
      </c>
      <c r="Y168" s="385"/>
      <c r="Z168" s="385"/>
      <c r="AA168" s="177">
        <v>44935</v>
      </c>
      <c r="AB168" s="177"/>
      <c r="AC168" s="177">
        <v>44935</v>
      </c>
      <c r="AD168" s="177"/>
      <c r="AE168" s="177"/>
      <c r="AF168" s="177">
        <v>44949</v>
      </c>
      <c r="AG168" s="177"/>
      <c r="AH168" s="177"/>
      <c r="AI168" s="180"/>
      <c r="AJ168" s="173"/>
      <c r="AK168" s="173" t="s">
        <v>1507</v>
      </c>
      <c r="AL168" s="181" t="s">
        <v>69</v>
      </c>
      <c r="AM168" s="181" t="s">
        <v>142</v>
      </c>
      <c r="AN168" s="181" t="s">
        <v>1584</v>
      </c>
      <c r="AO168" s="181"/>
      <c r="AP168" s="181">
        <v>44914</v>
      </c>
      <c r="AQ168" s="173"/>
      <c r="AR168" s="181">
        <f t="shared" ca="1" si="25"/>
        <v>44958</v>
      </c>
      <c r="AS168" s="176">
        <f t="shared" ca="1" si="23"/>
        <v>44</v>
      </c>
      <c r="AT168" s="176" t="str">
        <f t="shared" si="24"/>
        <v/>
      </c>
      <c r="AU168" s="176"/>
      <c r="AV168" s="176" t="s">
        <v>3989</v>
      </c>
      <c r="AW168" s="176">
        <v>9.8249999999999993</v>
      </c>
      <c r="AX168" s="176">
        <v>9.8350000000000009</v>
      </c>
      <c r="AY168" s="173">
        <v>9.86</v>
      </c>
      <c r="AZ168" s="142">
        <v>9.8650000000000002</v>
      </c>
      <c r="BA168" s="142">
        <f t="shared" ca="1" si="21"/>
        <v>23</v>
      </c>
      <c r="BB168" s="142">
        <v>462</v>
      </c>
      <c r="BD168" s="142" t="s">
        <v>123</v>
      </c>
    </row>
    <row r="169" spans="2:56" s="142" customFormat="1" ht="21" customHeight="1" x14ac:dyDescent="0.25">
      <c r="B169" s="173" t="str">
        <f t="shared" si="22"/>
        <v>0-304/2B-1.20X767</v>
      </c>
      <c r="C169" s="201" t="s">
        <v>5294</v>
      </c>
      <c r="D169" s="173" t="s">
        <v>4432</v>
      </c>
      <c r="E169" s="173" t="s">
        <v>5020</v>
      </c>
      <c r="F169" s="201" t="s">
        <v>5303</v>
      </c>
      <c r="G169" s="173">
        <v>304</v>
      </c>
      <c r="H169" s="173" t="s">
        <v>114</v>
      </c>
      <c r="I169" s="174">
        <v>3.47</v>
      </c>
      <c r="J169" s="174">
        <v>1.2</v>
      </c>
      <c r="K169" s="174">
        <v>1.1599999999999999</v>
      </c>
      <c r="L169" s="174">
        <v>1.17</v>
      </c>
      <c r="M169" s="380">
        <v>767</v>
      </c>
      <c r="N169" s="176">
        <v>3.74</v>
      </c>
      <c r="O169" s="381">
        <v>3.6150000000000002</v>
      </c>
      <c r="P169" s="382"/>
      <c r="Q169" s="176">
        <v>0.125</v>
      </c>
      <c r="R169" s="176"/>
      <c r="S169" s="176"/>
      <c r="T169" s="383"/>
      <c r="U169" s="380">
        <v>760</v>
      </c>
      <c r="V169" s="371" t="s">
        <v>114</v>
      </c>
      <c r="W169" s="384" t="s">
        <v>4654</v>
      </c>
      <c r="X169" s="178" t="s">
        <v>1344</v>
      </c>
      <c r="Y169" s="385"/>
      <c r="Z169" s="385"/>
      <c r="AA169" s="177">
        <v>44923</v>
      </c>
      <c r="AB169" s="177"/>
      <c r="AC169" s="177">
        <v>44924</v>
      </c>
      <c r="AD169" s="177"/>
      <c r="AE169" s="177"/>
      <c r="AF169" s="177">
        <v>44948</v>
      </c>
      <c r="AG169" s="177"/>
      <c r="AH169" s="177"/>
      <c r="AI169" s="180"/>
      <c r="AJ169" s="173"/>
      <c r="AK169" s="173" t="s">
        <v>2479</v>
      </c>
      <c r="AL169" s="181" t="s">
        <v>69</v>
      </c>
      <c r="AM169" s="181" t="s">
        <v>142</v>
      </c>
      <c r="AN169" s="181" t="s">
        <v>1584</v>
      </c>
      <c r="AO169" s="181"/>
      <c r="AP169" s="181">
        <v>44914</v>
      </c>
      <c r="AQ169" s="173"/>
      <c r="AR169" s="181">
        <f t="shared" ca="1" si="25"/>
        <v>44958</v>
      </c>
      <c r="AS169" s="176">
        <f t="shared" ca="1" si="23"/>
        <v>44</v>
      </c>
      <c r="AT169" s="176" t="str">
        <f t="shared" si="24"/>
        <v/>
      </c>
      <c r="AU169" s="176"/>
      <c r="AV169" s="176" t="s">
        <v>4050</v>
      </c>
      <c r="AW169" s="176">
        <v>7.5049999999999999</v>
      </c>
      <c r="AX169" s="176">
        <v>7.5149999999999997</v>
      </c>
      <c r="AY169" s="173">
        <v>7.54</v>
      </c>
      <c r="AZ169" s="142">
        <v>7.5449999999999999</v>
      </c>
      <c r="BA169" s="142">
        <f t="shared" ca="1" si="21"/>
        <v>34</v>
      </c>
      <c r="BB169" s="142">
        <v>462</v>
      </c>
      <c r="BD169" s="142" t="s">
        <v>123</v>
      </c>
    </row>
    <row r="170" spans="2:56" s="142" customFormat="1" ht="21" customHeight="1" x14ac:dyDescent="0.25">
      <c r="B170" s="173" t="str">
        <f t="shared" si="22"/>
        <v>0-304L/2B-1.20X770</v>
      </c>
      <c r="C170" s="201" t="s">
        <v>5294</v>
      </c>
      <c r="D170" s="173" t="s">
        <v>4432</v>
      </c>
      <c r="E170" s="173" t="s">
        <v>5012</v>
      </c>
      <c r="F170" s="201" t="s">
        <v>5304</v>
      </c>
      <c r="G170" s="173" t="s">
        <v>182</v>
      </c>
      <c r="H170" s="173" t="s">
        <v>114</v>
      </c>
      <c r="I170" s="174">
        <v>3.49</v>
      </c>
      <c r="J170" s="174">
        <v>1.2</v>
      </c>
      <c r="K170" s="174"/>
      <c r="L170" s="174"/>
      <c r="M170" s="380">
        <v>770</v>
      </c>
      <c r="N170" s="176">
        <v>4.8849999999999998</v>
      </c>
      <c r="O170" s="381">
        <v>4.82</v>
      </c>
      <c r="P170" s="382"/>
      <c r="Q170" s="176">
        <v>5.5E-2</v>
      </c>
      <c r="R170" s="176"/>
      <c r="S170" s="176"/>
      <c r="T170" s="383"/>
      <c r="U170" s="380">
        <v>760</v>
      </c>
      <c r="V170" s="371" t="s">
        <v>114</v>
      </c>
      <c r="W170" s="384" t="s">
        <v>4654</v>
      </c>
      <c r="X170" s="178" t="s">
        <v>1344</v>
      </c>
      <c r="Y170" s="385"/>
      <c r="Z170" s="385"/>
      <c r="AA170" s="177">
        <v>44922</v>
      </c>
      <c r="AB170" s="177"/>
      <c r="AC170" s="177">
        <v>44922</v>
      </c>
      <c r="AD170" s="177"/>
      <c r="AE170" s="177"/>
      <c r="AF170" s="177">
        <v>44947</v>
      </c>
      <c r="AG170" s="177"/>
      <c r="AH170" s="177"/>
      <c r="AI170" s="180"/>
      <c r="AJ170" s="173"/>
      <c r="AK170" s="173" t="s">
        <v>2470</v>
      </c>
      <c r="AL170" s="181" t="s">
        <v>69</v>
      </c>
      <c r="AM170" s="181" t="s">
        <v>142</v>
      </c>
      <c r="AN170" s="181" t="s">
        <v>1584</v>
      </c>
      <c r="AO170" s="181"/>
      <c r="AP170" s="181">
        <v>44914</v>
      </c>
      <c r="AQ170" s="173"/>
      <c r="AR170" s="181">
        <f t="shared" ca="1" si="25"/>
        <v>44958</v>
      </c>
      <c r="AS170" s="176">
        <f t="shared" ca="1" si="23"/>
        <v>44</v>
      </c>
      <c r="AT170" s="176" t="str">
        <f t="shared" si="24"/>
        <v/>
      </c>
      <c r="AU170" s="176"/>
      <c r="AV170" s="176" t="s">
        <v>2577</v>
      </c>
      <c r="AW170" s="176">
        <v>10.52</v>
      </c>
      <c r="AX170" s="176">
        <v>10.53</v>
      </c>
      <c r="AY170" s="173">
        <v>10.554999999999998</v>
      </c>
      <c r="AZ170" s="142">
        <v>10.559999999999999</v>
      </c>
      <c r="BA170" s="142">
        <f t="shared" ca="1" si="21"/>
        <v>36</v>
      </c>
      <c r="BB170" s="142">
        <v>462</v>
      </c>
      <c r="BD170" s="142" t="s">
        <v>123</v>
      </c>
    </row>
    <row r="171" spans="2:56" s="142" customFormat="1" ht="21" customHeight="1" x14ac:dyDescent="0.25">
      <c r="B171" s="173" t="str">
        <f t="shared" si="22"/>
        <v>0-J3/2B-0.73X620</v>
      </c>
      <c r="C171" s="201" t="s">
        <v>5294</v>
      </c>
      <c r="D171" s="173" t="s">
        <v>4432</v>
      </c>
      <c r="E171" s="173" t="s">
        <v>5000</v>
      </c>
      <c r="F171" s="201" t="s">
        <v>5305</v>
      </c>
      <c r="G171" s="173" t="s">
        <v>34</v>
      </c>
      <c r="H171" s="173" t="s">
        <v>114</v>
      </c>
      <c r="I171" s="174">
        <v>2.2000000000000002</v>
      </c>
      <c r="J171" s="174">
        <v>0.73</v>
      </c>
      <c r="K171" s="174"/>
      <c r="L171" s="174"/>
      <c r="M171" s="380">
        <v>620</v>
      </c>
      <c r="N171" s="176">
        <f>9.935-4.955</f>
        <v>4.9800000000000004</v>
      </c>
      <c r="O171" s="381">
        <v>4.9550000000000001</v>
      </c>
      <c r="P171" s="382"/>
      <c r="Q171" s="176"/>
      <c r="R171" s="176"/>
      <c r="S171" s="176"/>
      <c r="T171" s="383"/>
      <c r="U171" s="380" t="s">
        <v>5124</v>
      </c>
      <c r="V171" s="371" t="s">
        <v>114</v>
      </c>
      <c r="W171" s="384" t="s">
        <v>5293</v>
      </c>
      <c r="X171" s="178" t="s">
        <v>361</v>
      </c>
      <c r="Y171" s="385"/>
      <c r="Z171" s="385"/>
      <c r="AA171" s="177">
        <v>44783</v>
      </c>
      <c r="AB171" s="177"/>
      <c r="AC171" s="177">
        <v>44784</v>
      </c>
      <c r="AD171" s="177"/>
      <c r="AE171" s="177"/>
      <c r="AF171" s="177">
        <v>44946</v>
      </c>
      <c r="AG171" s="177"/>
      <c r="AH171" s="177"/>
      <c r="AI171" s="180"/>
      <c r="AJ171" s="173"/>
      <c r="AK171" s="173"/>
      <c r="AL171" s="181" t="s">
        <v>69</v>
      </c>
      <c r="AM171" s="181" t="s">
        <v>119</v>
      </c>
      <c r="AN171" s="181" t="s">
        <v>994</v>
      </c>
      <c r="AO171" s="181">
        <v>44713</v>
      </c>
      <c r="AP171" s="181">
        <v>44747</v>
      </c>
      <c r="AQ171" s="173"/>
      <c r="AR171" s="181">
        <f t="shared" ca="1" si="25"/>
        <v>44958</v>
      </c>
      <c r="AS171" s="176">
        <f t="shared" ca="1" si="23"/>
        <v>211</v>
      </c>
      <c r="AT171" s="176" t="str">
        <f t="shared" si="24"/>
        <v/>
      </c>
      <c r="AU171" s="176" t="s">
        <v>4912</v>
      </c>
      <c r="AV171" s="176" t="s">
        <v>1044</v>
      </c>
      <c r="AW171" s="176">
        <v>9.9670000000000005</v>
      </c>
      <c r="AX171" s="176">
        <v>9.9870000000000001</v>
      </c>
      <c r="AY171" s="173">
        <v>10.011999999999999</v>
      </c>
      <c r="AZ171" s="142">
        <v>10.016999999999999</v>
      </c>
      <c r="BA171" s="142">
        <f t="shared" ref="BA171:BA234" ca="1" si="26">IF(ISNUMBER(AC171)=TRUE,AR171-AC171,IF(AC171="","",(AR171)-(MID(RIGHT(AC171,10),4,2)&amp;"/"&amp;LEFT((RIGHT(AC171,10)),2)&amp;"/"&amp;RIGHT(AC171,4))))</f>
        <v>174</v>
      </c>
      <c r="BB171" s="142">
        <v>442</v>
      </c>
      <c r="BD171" s="142" t="s">
        <v>123</v>
      </c>
    </row>
    <row r="172" spans="2:56" s="142" customFormat="1" ht="21" customHeight="1" x14ac:dyDescent="0.25">
      <c r="B172" s="173" t="str">
        <f>IF(C172="HOLD RM","HOLD RM",IF(C172="BAL","WIP",IF(C172="HOLD SLT","HOLD SLT",IF(C172="MILL","RM",IF(C172="RE SLT","WIP",IF(C172="RM","RM",IF(C172="RM BAL","RM",IF(C172="RM SLT","RM",IF(C172="RR","WIP",IF(C172="SKP","WIP",IF(C172="SLT","WIP",IF(C172="CTL","WIP",IF(C172="RM SLT RUST","RM SLT RUST",0)))))))))))))&amp;"-"&amp;G172&amp;"/"&amp;IF(H172="2B","2B",IF(H172="NO.1","1D",IF(H172="FH","FH",0)))&amp;"-"&amp;IF(J172="",(TEXT(I172,"0.00")),TEXT(J172,"0.00"))&amp;"X"&amp;M172</f>
        <v>0-J3/2B-0.73X620</v>
      </c>
      <c r="C172" s="201" t="s">
        <v>5306</v>
      </c>
      <c r="D172" s="173" t="s">
        <v>4432</v>
      </c>
      <c r="E172" s="173" t="s">
        <v>5000</v>
      </c>
      <c r="F172" s="201" t="s">
        <v>5307</v>
      </c>
      <c r="G172" s="173" t="s">
        <v>34</v>
      </c>
      <c r="H172" s="173" t="s">
        <v>114</v>
      </c>
      <c r="I172" s="174">
        <v>2.2000000000000002</v>
      </c>
      <c r="J172" s="174">
        <v>0.73</v>
      </c>
      <c r="K172" s="174"/>
      <c r="L172" s="174"/>
      <c r="M172" s="380">
        <v>620</v>
      </c>
      <c r="N172" s="176">
        <f>9.95-4.955</f>
        <v>4.9949999999999992</v>
      </c>
      <c r="O172" s="381">
        <v>4.71</v>
      </c>
      <c r="P172" s="382"/>
      <c r="Q172" s="176">
        <v>4.4999999999999998E-2</v>
      </c>
      <c r="R172" s="176"/>
      <c r="S172" s="176">
        <v>0.105</v>
      </c>
      <c r="T172" s="383"/>
      <c r="U172" s="380" t="s">
        <v>5124</v>
      </c>
      <c r="V172" s="371" t="s">
        <v>114</v>
      </c>
      <c r="W172" s="384" t="s">
        <v>5308</v>
      </c>
      <c r="X172" s="178" t="s">
        <v>361</v>
      </c>
      <c r="Y172" s="385"/>
      <c r="Z172" s="385"/>
      <c r="AA172" s="177">
        <v>44783</v>
      </c>
      <c r="AB172" s="177"/>
      <c r="AC172" s="177">
        <v>44784</v>
      </c>
      <c r="AD172" s="177"/>
      <c r="AE172" s="177"/>
      <c r="AF172" s="177">
        <v>44946</v>
      </c>
      <c r="AG172" s="177"/>
      <c r="AH172" s="177"/>
      <c r="AI172" s="180"/>
      <c r="AJ172" s="173"/>
      <c r="AK172" s="173"/>
      <c r="AL172" s="181" t="s">
        <v>69</v>
      </c>
      <c r="AM172" s="181" t="s">
        <v>119</v>
      </c>
      <c r="AN172" s="181" t="s">
        <v>994</v>
      </c>
      <c r="AO172" s="181">
        <v>44713</v>
      </c>
      <c r="AP172" s="181">
        <v>44747</v>
      </c>
      <c r="AQ172" s="173"/>
      <c r="AR172" s="181">
        <f ca="1">TODAY()</f>
        <v>44958</v>
      </c>
      <c r="AS172" s="176">
        <f ca="1">IF(AP172&lt;&gt;0,AR172-AP172,0)</f>
        <v>211</v>
      </c>
      <c r="AT172" s="176" t="str">
        <f>IF(ISNUMBER(AE172)=TRUE,AR172-AE172,IF(AE172="","",(AR172)-(MID(RIGHT(AE172,10),4,2)&amp;"/"&amp;LEFT((RIGHT(AE172,10)),2)&amp;"/"&amp;RIGHT(AE172,4))))</f>
        <v/>
      </c>
      <c r="AU172" s="176" t="s">
        <v>4912</v>
      </c>
      <c r="AV172" s="176" t="s">
        <v>1044</v>
      </c>
      <c r="AW172" s="176">
        <v>9.9670000000000005</v>
      </c>
      <c r="AX172" s="176">
        <v>9.9870000000000001</v>
      </c>
      <c r="AY172" s="173">
        <v>10.011999999999999</v>
      </c>
      <c r="AZ172" s="142">
        <v>10.016999999999999</v>
      </c>
      <c r="BA172" s="142">
        <f t="shared" ca="1" si="26"/>
        <v>174</v>
      </c>
      <c r="BB172" s="142">
        <v>442</v>
      </c>
      <c r="BD172" s="142" t="s">
        <v>123</v>
      </c>
    </row>
    <row r="173" spans="2:56" s="142" customFormat="1" ht="21" customHeight="1" x14ac:dyDescent="0.25">
      <c r="B173" s="173" t="str">
        <f>IF(C173="HOLD RM","HOLD RM",IF(C173="BAL","WIP",IF(C173="HOLD SLT","HOLD SLT",IF(C173="MILL","RM",IF(C173="RE SLT","WIP",IF(C173="RM","RM",IF(C173="RM BAL","RM",IF(C173="RM SLT","RM",IF(C173="RR","WIP",IF(C173="SKP","WIP",IF(C173="SLT","WIP",IF(C173="CTL","WIP",IF(C173="RM SLT RUST","RM SLT RUST",0)))))))))))))&amp;"-"&amp;G173&amp;"/"&amp;IF(H173="2B","2B",IF(H173="NO.1","1D",IF(H173="FH","FH",0)))&amp;"-"&amp;IF(J173="",(TEXT(I173,"0.00")),TEXT(J173,"0.00"))&amp;"X"&amp;M173</f>
        <v>0-304/2B-1.20X642</v>
      </c>
      <c r="C173" s="201" t="s">
        <v>5306</v>
      </c>
      <c r="D173" s="173" t="s">
        <v>4432</v>
      </c>
      <c r="E173" s="173" t="s">
        <v>4064</v>
      </c>
      <c r="F173" s="201" t="s">
        <v>5309</v>
      </c>
      <c r="G173" s="173">
        <v>304</v>
      </c>
      <c r="H173" s="173" t="s">
        <v>114</v>
      </c>
      <c r="I173" s="174">
        <v>2.91</v>
      </c>
      <c r="J173" s="174">
        <v>1.2</v>
      </c>
      <c r="K173" s="174">
        <v>1.17</v>
      </c>
      <c r="L173" s="174">
        <v>1.18</v>
      </c>
      <c r="M173" s="380">
        <v>642</v>
      </c>
      <c r="N173" s="176">
        <v>3.9649999999999999</v>
      </c>
      <c r="O173" s="381">
        <v>3.75</v>
      </c>
      <c r="P173" s="382"/>
      <c r="Q173" s="176">
        <v>0.155</v>
      </c>
      <c r="R173" s="176"/>
      <c r="S173" s="176">
        <v>0.06</v>
      </c>
      <c r="T173" s="383"/>
      <c r="U173" s="380" t="s">
        <v>5124</v>
      </c>
      <c r="V173" s="371" t="s">
        <v>114</v>
      </c>
      <c r="W173" s="384" t="s">
        <v>5272</v>
      </c>
      <c r="X173" s="178" t="s">
        <v>4326</v>
      </c>
      <c r="Y173" s="385"/>
      <c r="Z173" s="385"/>
      <c r="AA173" s="177">
        <v>44938</v>
      </c>
      <c r="AB173" s="177"/>
      <c r="AC173" s="177"/>
      <c r="AD173" s="177">
        <v>44939</v>
      </c>
      <c r="AE173" s="177">
        <v>44949</v>
      </c>
      <c r="AF173" s="177"/>
      <c r="AG173" s="177"/>
      <c r="AH173" s="177"/>
      <c r="AI173" s="180"/>
      <c r="AJ173" s="173"/>
      <c r="AK173" s="173" t="s">
        <v>2479</v>
      </c>
      <c r="AL173" s="181" t="s">
        <v>69</v>
      </c>
      <c r="AM173" s="181" t="s">
        <v>142</v>
      </c>
      <c r="AN173" s="181" t="s">
        <v>1657</v>
      </c>
      <c r="AO173" s="181"/>
      <c r="AP173" s="181">
        <v>44849</v>
      </c>
      <c r="AQ173" s="173"/>
      <c r="AR173" s="181">
        <f ca="1">TODAY()</f>
        <v>44958</v>
      </c>
      <c r="AS173" s="176">
        <f ca="1">IF(AP173&lt;&gt;0,AR173-AP173,0)</f>
        <v>109</v>
      </c>
      <c r="AT173" s="176">
        <f ca="1">IF(ISNUMBER(AE173)=TRUE,AR173-AE173,IF(AE173="","",(AR173)-(MID(RIGHT(AE173,10),4,2)&amp;"/"&amp;LEFT((RIGHT(AE173,10)),2)&amp;"/"&amp;RIGHT(AE173,4))))</f>
        <v>9</v>
      </c>
      <c r="AU173" s="176"/>
      <c r="AV173" s="176" t="s">
        <v>4066</v>
      </c>
      <c r="AW173" s="176">
        <v>8.5950000000000006</v>
      </c>
      <c r="AX173" s="176">
        <v>8.6050000000000004</v>
      </c>
      <c r="AY173" s="173">
        <v>8.629999999999999</v>
      </c>
      <c r="AZ173" s="142">
        <v>8.6349999999999998</v>
      </c>
      <c r="BA173" s="142" t="str">
        <f t="shared" si="26"/>
        <v/>
      </c>
      <c r="BB173" s="142">
        <v>456</v>
      </c>
      <c r="BD173" s="142" t="s">
        <v>123</v>
      </c>
    </row>
    <row r="174" spans="2:56" s="142" customFormat="1" ht="21" customHeight="1" x14ac:dyDescent="0.25">
      <c r="B174" s="173" t="str">
        <f>IF(C174="HOLD RM","HOLD RM",IF(C174="BAL","WIP",IF(C174="HOLD SLT","HOLD SLT",IF(C174="MILL","RM",IF(C174="RE SLT","WIP",IF(C174="RM","RM",IF(C174="RM BAL","RM",IF(C174="RM SLT","RM",IF(C174="RR","WIP",IF(C174="SKP","WIP",IF(C174="SLT","WIP",IF(C174="CTL","WIP",IF(C174="RM SLT RUST","RM SLT RUST",0)))))))))))))&amp;"-"&amp;G174&amp;"/"&amp;IF(H174="2B","2B",IF(H174="NO.1","1D",IF(H174="FH","FH",0)))&amp;"-"&amp;IF(J174="",(TEXT(I174,"0.00")),TEXT(J174,"0.00"))&amp;"X"&amp;M174</f>
        <v>0-304/2B-0.90X778</v>
      </c>
      <c r="C174" s="201" t="s">
        <v>5310</v>
      </c>
      <c r="D174" s="173" t="s">
        <v>836</v>
      </c>
      <c r="E174" s="173" t="s">
        <v>3892</v>
      </c>
      <c r="F174" s="201" t="s">
        <v>5311</v>
      </c>
      <c r="G174" s="173">
        <v>304</v>
      </c>
      <c r="H174" s="173" t="s">
        <v>114</v>
      </c>
      <c r="I174" s="174">
        <v>2.95</v>
      </c>
      <c r="J174" s="174">
        <v>0.9</v>
      </c>
      <c r="K174" s="174">
        <v>0.91</v>
      </c>
      <c r="L174" s="174">
        <v>0.93</v>
      </c>
      <c r="M174" s="380">
        <v>778</v>
      </c>
      <c r="N174" s="349">
        <v>10.734999999999999</v>
      </c>
      <c r="O174" s="381">
        <f>N174-O175</f>
        <v>4.7249999999999996</v>
      </c>
      <c r="P174" s="382"/>
      <c r="Q174" s="176"/>
      <c r="R174" s="176"/>
      <c r="S174" s="176"/>
      <c r="T174" s="383"/>
      <c r="U174" s="380">
        <v>778</v>
      </c>
      <c r="V174" s="371" t="s">
        <v>114</v>
      </c>
      <c r="W174" s="384"/>
      <c r="X174" s="178" t="s">
        <v>1210</v>
      </c>
      <c r="Y174" s="385"/>
      <c r="Z174" s="385"/>
      <c r="AA174" s="177">
        <v>44933</v>
      </c>
      <c r="AB174" s="177"/>
      <c r="AC174" s="177">
        <v>44933</v>
      </c>
      <c r="AD174" s="177"/>
      <c r="AE174" s="177">
        <v>44948</v>
      </c>
      <c r="AF174" s="177"/>
      <c r="AG174" s="177"/>
      <c r="AH174" s="177">
        <v>44926</v>
      </c>
      <c r="AI174" s="180"/>
      <c r="AJ174" s="173"/>
      <c r="AK174" s="173" t="s">
        <v>1345</v>
      </c>
      <c r="AL174" s="181" t="s">
        <v>69</v>
      </c>
      <c r="AM174" s="181" t="s">
        <v>142</v>
      </c>
      <c r="AN174" s="181" t="s">
        <v>1346</v>
      </c>
      <c r="AO174" s="181"/>
      <c r="AP174" s="181">
        <v>44813</v>
      </c>
      <c r="AQ174" s="173"/>
      <c r="AR174" s="181">
        <f ca="1">TODAY()</f>
        <v>44958</v>
      </c>
      <c r="AS174" s="176">
        <f ca="1">IF(AP174&lt;&gt;0,AR174-AP174,0)</f>
        <v>145</v>
      </c>
      <c r="AT174" s="176">
        <f ca="1">IF(ISNUMBER(AE174)=TRUE,AR174-AE174,IF(AE174="","",(AR174)-(MID(RIGHT(AE174,10),4,2)&amp;"/"&amp;LEFT((RIGHT(AE174,10)),2)&amp;"/"&amp;RIGHT(AE174,4))))</f>
        <v>10</v>
      </c>
      <c r="AU174" s="176"/>
      <c r="AV174" s="176" t="s">
        <v>3894</v>
      </c>
      <c r="AW174" s="176">
        <v>21.414999999999999</v>
      </c>
      <c r="AX174" s="176">
        <v>21.475000000000001</v>
      </c>
      <c r="AY174" s="173">
        <v>21.500000000000004</v>
      </c>
      <c r="AZ174" s="142">
        <v>21.505000000000003</v>
      </c>
      <c r="BA174" s="142">
        <f t="shared" ca="1" si="26"/>
        <v>25</v>
      </c>
      <c r="BB174" s="142">
        <v>451</v>
      </c>
      <c r="BD174" s="142" t="s">
        <v>123</v>
      </c>
    </row>
    <row r="175" spans="2:56" s="142" customFormat="1" ht="21" customHeight="1" x14ac:dyDescent="0.25">
      <c r="B175" s="173" t="str">
        <f t="shared" ref="B175:B202" si="27">IF(C175="HOLD RM","HOLD RM",IF(C175="BAL","WIP",IF(C175="HOLD SLT","HOLD SLT",IF(C175="MILL","RM",IF(C175="RE SLT","WIP",IF(C175="RM","RM",IF(C175="RM BAL","RM",IF(C175="RM SLT","RM",IF(C175="RR","WIP",IF(C175="SKP","WIP",IF(C175="SLT","WIP",IF(C175="CTL","WIP",IF(C175="RM SLT RUST","RM SLT RUST",0)))))))))))))&amp;"-"&amp;G175&amp;"/"&amp;IF(H175="2B","2B",IF(H175="NO.1","1D",IF(H175="FH","FH",0)))&amp;"-"&amp;IF(J175="",(TEXT(I175,"0.00")),TEXT(J175,"0.00"))&amp;"X"&amp;M175</f>
        <v>0-304/2B-0.90X778</v>
      </c>
      <c r="C175" s="201" t="s">
        <v>5306</v>
      </c>
      <c r="D175" s="173" t="s">
        <v>4432</v>
      </c>
      <c r="E175" s="173" t="s">
        <v>3892</v>
      </c>
      <c r="F175" s="201" t="s">
        <v>5312</v>
      </c>
      <c r="G175" s="173">
        <v>304</v>
      </c>
      <c r="H175" s="173" t="s">
        <v>114</v>
      </c>
      <c r="I175" s="174">
        <v>2.95</v>
      </c>
      <c r="J175" s="174">
        <v>0.9</v>
      </c>
      <c r="K175" s="174">
        <v>0.91</v>
      </c>
      <c r="L175" s="174">
        <v>0.93</v>
      </c>
      <c r="M175" s="380">
        <v>778</v>
      </c>
      <c r="N175" s="350"/>
      <c r="O175" s="381">
        <v>6.01</v>
      </c>
      <c r="P175" s="382"/>
      <c r="Q175" s="176"/>
      <c r="R175" s="176"/>
      <c r="S175" s="176"/>
      <c r="T175" s="383"/>
      <c r="U175" s="380">
        <v>760</v>
      </c>
      <c r="V175" s="371" t="s">
        <v>114</v>
      </c>
      <c r="W175" s="384" t="s">
        <v>4926</v>
      </c>
      <c r="X175" s="178" t="s">
        <v>1210</v>
      </c>
      <c r="Y175" s="385"/>
      <c r="Z175" s="385"/>
      <c r="AA175" s="177">
        <v>44933</v>
      </c>
      <c r="AB175" s="177"/>
      <c r="AC175" s="177">
        <v>44933</v>
      </c>
      <c r="AD175" s="177"/>
      <c r="AE175" s="177">
        <v>44948</v>
      </c>
      <c r="AF175" s="177"/>
      <c r="AG175" s="177"/>
      <c r="AH175" s="177">
        <v>44926</v>
      </c>
      <c r="AI175" s="180"/>
      <c r="AJ175" s="173"/>
      <c r="AK175" s="173" t="s">
        <v>1345</v>
      </c>
      <c r="AL175" s="181" t="s">
        <v>69</v>
      </c>
      <c r="AM175" s="181" t="s">
        <v>142</v>
      </c>
      <c r="AN175" s="181" t="s">
        <v>1346</v>
      </c>
      <c r="AO175" s="181"/>
      <c r="AP175" s="181">
        <v>44813</v>
      </c>
      <c r="AQ175" s="173"/>
      <c r="AR175" s="181">
        <f t="shared" ref="AR175:AR238" ca="1" si="28">TODAY()</f>
        <v>44958</v>
      </c>
      <c r="AS175" s="176">
        <f t="shared" ref="AS175:AS238" ca="1" si="29">IF(AP175&lt;&gt;0,AR175-AP175,0)</f>
        <v>145</v>
      </c>
      <c r="AT175" s="176">
        <f t="shared" ref="AT175:AT238" ca="1" si="30">IF(ISNUMBER(AE175)=TRUE,AR175-AE175,IF(AE175="","",(AR175)-(MID(RIGHT(AE175,10),4,2)&amp;"/"&amp;LEFT((RIGHT(AE175,10)),2)&amp;"/"&amp;RIGHT(AE175,4))))</f>
        <v>10</v>
      </c>
      <c r="AU175" s="176"/>
      <c r="AV175" s="176" t="s">
        <v>3894</v>
      </c>
      <c r="AW175" s="176">
        <v>21.414999999999999</v>
      </c>
      <c r="AX175" s="176">
        <v>21.475000000000001</v>
      </c>
      <c r="AY175" s="173">
        <v>21.500000000000004</v>
      </c>
      <c r="AZ175" s="142">
        <v>21.505000000000003</v>
      </c>
      <c r="BA175" s="142">
        <f t="shared" ca="1" si="26"/>
        <v>25</v>
      </c>
      <c r="BB175" s="142">
        <v>451</v>
      </c>
      <c r="BD175" s="142" t="s">
        <v>123</v>
      </c>
    </row>
    <row r="176" spans="2:56" s="142" customFormat="1" ht="21" customHeight="1" x14ac:dyDescent="0.25">
      <c r="B176" s="173" t="str">
        <f t="shared" si="27"/>
        <v>0-304/2B-0.90X778</v>
      </c>
      <c r="C176" s="201" t="s">
        <v>5313</v>
      </c>
      <c r="D176" s="173" t="s">
        <v>4432</v>
      </c>
      <c r="E176" s="173" t="s">
        <v>3892</v>
      </c>
      <c r="F176" s="201" t="s">
        <v>5311</v>
      </c>
      <c r="G176" s="173">
        <v>304</v>
      </c>
      <c r="H176" s="173" t="s">
        <v>114</v>
      </c>
      <c r="I176" s="174">
        <v>2.95</v>
      </c>
      <c r="J176" s="174">
        <v>0.9</v>
      </c>
      <c r="K176" s="174">
        <v>0.91</v>
      </c>
      <c r="L176" s="174">
        <v>0.93</v>
      </c>
      <c r="M176" s="380">
        <v>778</v>
      </c>
      <c r="N176" s="176">
        <v>4.7249999999999996</v>
      </c>
      <c r="O176" s="381">
        <v>4.6550000000000002</v>
      </c>
      <c r="P176" s="382"/>
      <c r="Q176" s="176"/>
      <c r="R176" s="176"/>
      <c r="S176" s="176"/>
      <c r="T176" s="383"/>
      <c r="U176" s="380">
        <v>760</v>
      </c>
      <c r="V176" s="371" t="s">
        <v>114</v>
      </c>
      <c r="W176" s="384" t="s">
        <v>4873</v>
      </c>
      <c r="X176" s="178" t="s">
        <v>1210</v>
      </c>
      <c r="Y176" s="385"/>
      <c r="Z176" s="385"/>
      <c r="AA176" s="177">
        <v>44933</v>
      </c>
      <c r="AB176" s="177"/>
      <c r="AC176" s="177">
        <v>44933</v>
      </c>
      <c r="AD176" s="177"/>
      <c r="AE176" s="177">
        <v>44948</v>
      </c>
      <c r="AF176" s="177"/>
      <c r="AG176" s="177"/>
      <c r="AH176" s="177">
        <v>44926</v>
      </c>
      <c r="AI176" s="180"/>
      <c r="AJ176" s="173"/>
      <c r="AK176" s="173" t="s">
        <v>1345</v>
      </c>
      <c r="AL176" s="181" t="s">
        <v>69</v>
      </c>
      <c r="AM176" s="181" t="s">
        <v>142</v>
      </c>
      <c r="AN176" s="181" t="s">
        <v>1346</v>
      </c>
      <c r="AO176" s="181"/>
      <c r="AP176" s="181">
        <v>44813</v>
      </c>
      <c r="AQ176" s="173"/>
      <c r="AR176" s="181">
        <f t="shared" ca="1" si="28"/>
        <v>44958</v>
      </c>
      <c r="AS176" s="176">
        <f t="shared" ca="1" si="29"/>
        <v>145</v>
      </c>
      <c r="AT176" s="176">
        <f t="shared" ca="1" si="30"/>
        <v>10</v>
      </c>
      <c r="AU176" s="176"/>
      <c r="AV176" s="176" t="s">
        <v>3894</v>
      </c>
      <c r="AW176" s="176">
        <v>21.414999999999999</v>
      </c>
      <c r="AX176" s="176">
        <v>21.475000000000001</v>
      </c>
      <c r="AY176" s="173">
        <v>21.500000000000004</v>
      </c>
      <c r="AZ176" s="142">
        <v>21.505000000000003</v>
      </c>
      <c r="BA176" s="142">
        <f t="shared" ca="1" si="26"/>
        <v>25</v>
      </c>
      <c r="BB176" s="142">
        <v>451</v>
      </c>
      <c r="BD176" s="142" t="s">
        <v>123</v>
      </c>
    </row>
    <row r="177" spans="2:56" s="142" customFormat="1" ht="21" customHeight="1" x14ac:dyDescent="0.25">
      <c r="B177" s="173" t="str">
        <f t="shared" si="27"/>
        <v>0-304/2B-0.90X777</v>
      </c>
      <c r="C177" s="201" t="s">
        <v>5314</v>
      </c>
      <c r="D177" s="173" t="s">
        <v>4432</v>
      </c>
      <c r="E177" s="173" t="s">
        <v>3884</v>
      </c>
      <c r="F177" s="201" t="s">
        <v>5315</v>
      </c>
      <c r="G177" s="173">
        <v>304</v>
      </c>
      <c r="H177" s="173" t="s">
        <v>114</v>
      </c>
      <c r="I177" s="174">
        <v>3.18</v>
      </c>
      <c r="J177" s="174">
        <v>0.9</v>
      </c>
      <c r="K177" s="174">
        <v>0.88</v>
      </c>
      <c r="L177" s="174">
        <v>0.9</v>
      </c>
      <c r="M177" s="380">
        <v>777</v>
      </c>
      <c r="N177" s="176">
        <v>10.67</v>
      </c>
      <c r="O177" s="381">
        <f>5.775+4.805</f>
        <v>10.58</v>
      </c>
      <c r="P177" s="382"/>
      <c r="Q177" s="176">
        <v>0.09</v>
      </c>
      <c r="R177" s="176"/>
      <c r="S177" s="176"/>
      <c r="T177" s="383"/>
      <c r="U177" s="380">
        <v>760</v>
      </c>
      <c r="V177" s="371" t="s">
        <v>114</v>
      </c>
      <c r="W177" s="384" t="s">
        <v>4926</v>
      </c>
      <c r="X177" s="178" t="s">
        <v>1210</v>
      </c>
      <c r="Y177" s="385"/>
      <c r="Z177" s="385" t="s">
        <v>4867</v>
      </c>
      <c r="AA177" s="177">
        <v>44930</v>
      </c>
      <c r="AB177" s="177"/>
      <c r="AC177" s="177">
        <v>44931</v>
      </c>
      <c r="AD177" s="177"/>
      <c r="AE177" s="177">
        <v>44948</v>
      </c>
      <c r="AF177" s="177"/>
      <c r="AG177" s="177"/>
      <c r="AH177" s="177">
        <v>44928</v>
      </c>
      <c r="AI177" s="180"/>
      <c r="AJ177" s="173"/>
      <c r="AK177" s="173" t="s">
        <v>1345</v>
      </c>
      <c r="AL177" s="181" t="s">
        <v>69</v>
      </c>
      <c r="AM177" s="181" t="s">
        <v>142</v>
      </c>
      <c r="AN177" s="181" t="s">
        <v>1346</v>
      </c>
      <c r="AO177" s="181"/>
      <c r="AP177" s="181">
        <v>44813</v>
      </c>
      <c r="AQ177" s="173"/>
      <c r="AR177" s="181">
        <f t="shared" ca="1" si="28"/>
        <v>44958</v>
      </c>
      <c r="AS177" s="176">
        <f t="shared" ca="1" si="29"/>
        <v>145</v>
      </c>
      <c r="AT177" s="176">
        <f t="shared" ca="1" si="30"/>
        <v>10</v>
      </c>
      <c r="AU177" s="176"/>
      <c r="AV177" s="176" t="s">
        <v>3886</v>
      </c>
      <c r="AW177" s="176">
        <v>21.445</v>
      </c>
      <c r="AX177" s="176">
        <v>21.504999999999999</v>
      </c>
      <c r="AY177" s="173">
        <v>21.53</v>
      </c>
      <c r="AZ177" s="142">
        <v>21.535</v>
      </c>
      <c r="BA177" s="142">
        <f t="shared" ca="1" si="26"/>
        <v>27</v>
      </c>
      <c r="BB177" s="142">
        <v>451</v>
      </c>
      <c r="BD177" s="142" t="s">
        <v>123</v>
      </c>
    </row>
    <row r="178" spans="2:56" s="142" customFormat="1" ht="21" customHeight="1" x14ac:dyDescent="0.25">
      <c r="B178" s="173" t="str">
        <f t="shared" si="27"/>
        <v>0-304L/2B-1.15X765</v>
      </c>
      <c r="C178" s="201" t="s">
        <v>5316</v>
      </c>
      <c r="D178" s="173" t="s">
        <v>68</v>
      </c>
      <c r="E178" s="173" t="s">
        <v>1579</v>
      </c>
      <c r="F178" s="201" t="s">
        <v>1580</v>
      </c>
      <c r="G178" s="173" t="s">
        <v>182</v>
      </c>
      <c r="H178" s="173" t="s">
        <v>114</v>
      </c>
      <c r="I178" s="174">
        <v>3.4</v>
      </c>
      <c r="J178" s="174">
        <v>1.1499999999999999</v>
      </c>
      <c r="K178" s="174">
        <v>1.1399999999999999</v>
      </c>
      <c r="L178" s="174">
        <v>1.1499999999999999</v>
      </c>
      <c r="M178" s="380">
        <v>765</v>
      </c>
      <c r="N178" s="176">
        <v>10.265000000000001</v>
      </c>
      <c r="O178" s="381">
        <v>10.265000000000001</v>
      </c>
      <c r="P178" s="382"/>
      <c r="Q178" s="176"/>
      <c r="R178" s="176"/>
      <c r="S178" s="176"/>
      <c r="T178" s="383"/>
      <c r="U178" s="380">
        <v>760</v>
      </c>
      <c r="V178" s="371" t="s">
        <v>114</v>
      </c>
      <c r="W178" s="384"/>
      <c r="X178" s="178" t="s">
        <v>1210</v>
      </c>
      <c r="Y178" s="385"/>
      <c r="Z178" s="385"/>
      <c r="AA178" s="177">
        <v>44932</v>
      </c>
      <c r="AB178" s="177"/>
      <c r="AC178" s="177">
        <v>44933</v>
      </c>
      <c r="AD178" s="177"/>
      <c r="AE178" s="177"/>
      <c r="AF178" s="177">
        <v>44948</v>
      </c>
      <c r="AG178" s="177">
        <v>44950</v>
      </c>
      <c r="AH178" s="177">
        <v>44930</v>
      </c>
      <c r="AI178" s="180"/>
      <c r="AJ178" s="173"/>
      <c r="AK178" s="173" t="s">
        <v>1345</v>
      </c>
      <c r="AL178" s="181" t="s">
        <v>69</v>
      </c>
      <c r="AM178" s="181" t="s">
        <v>142</v>
      </c>
      <c r="AN178" s="181" t="s">
        <v>1508</v>
      </c>
      <c r="AO178" s="181"/>
      <c r="AP178" s="181">
        <v>44849</v>
      </c>
      <c r="AQ178" s="173"/>
      <c r="AR178" s="181">
        <f t="shared" ca="1" si="28"/>
        <v>44958</v>
      </c>
      <c r="AS178" s="176">
        <f t="shared" ca="1" si="29"/>
        <v>109</v>
      </c>
      <c r="AT178" s="176" t="str">
        <f t="shared" si="30"/>
        <v/>
      </c>
      <c r="AU178" s="176"/>
      <c r="AV178" s="176" t="s">
        <v>1581</v>
      </c>
      <c r="AW178" s="176">
        <v>20.74</v>
      </c>
      <c r="AX178" s="176">
        <v>20.8</v>
      </c>
      <c r="AY178" s="173">
        <v>20.825000000000003</v>
      </c>
      <c r="AZ178" s="142">
        <v>20.830000000000002</v>
      </c>
      <c r="BA178" s="142">
        <f t="shared" ca="1" si="26"/>
        <v>25</v>
      </c>
      <c r="BB178" s="142">
        <v>456</v>
      </c>
      <c r="BD178" s="142" t="s">
        <v>123</v>
      </c>
    </row>
    <row r="179" spans="2:56" s="142" customFormat="1" ht="21" customHeight="1" x14ac:dyDescent="0.25">
      <c r="B179" s="173" t="str">
        <f t="shared" si="27"/>
        <v>0-304/2B-1.00X769</v>
      </c>
      <c r="C179" s="201" t="s">
        <v>5306</v>
      </c>
      <c r="D179" s="173" t="s">
        <v>4432</v>
      </c>
      <c r="E179" s="173" t="s">
        <v>4130</v>
      </c>
      <c r="F179" s="201" t="s">
        <v>5317</v>
      </c>
      <c r="G179" s="173">
        <v>304</v>
      </c>
      <c r="H179" s="173" t="s">
        <v>114</v>
      </c>
      <c r="I179" s="174">
        <v>2.9</v>
      </c>
      <c r="J179" s="174">
        <v>1</v>
      </c>
      <c r="K179" s="174">
        <v>0.98</v>
      </c>
      <c r="L179" s="174">
        <v>1</v>
      </c>
      <c r="M179" s="380">
        <v>769</v>
      </c>
      <c r="N179" s="176">
        <v>5.48</v>
      </c>
      <c r="O179" s="381">
        <f>2.575+2.865</f>
        <v>5.44</v>
      </c>
      <c r="P179" s="382"/>
      <c r="Q179" s="176"/>
      <c r="R179" s="176">
        <v>0.04</v>
      </c>
      <c r="S179" s="176"/>
      <c r="T179" s="383"/>
      <c r="U179" s="380">
        <v>770</v>
      </c>
      <c r="V179" s="371" t="s">
        <v>114</v>
      </c>
      <c r="W179" s="384" t="s">
        <v>4890</v>
      </c>
      <c r="X179" s="178" t="s">
        <v>511</v>
      </c>
      <c r="Y179" s="385"/>
      <c r="Z179" s="385"/>
      <c r="AA179" s="177">
        <v>44943</v>
      </c>
      <c r="AB179" s="177"/>
      <c r="AC179" s="177">
        <v>44944</v>
      </c>
      <c r="AD179" s="177"/>
      <c r="AE179" s="177">
        <v>44949</v>
      </c>
      <c r="AF179" s="177"/>
      <c r="AG179" s="177"/>
      <c r="AH179" s="177"/>
      <c r="AI179" s="180"/>
      <c r="AJ179" s="173"/>
      <c r="AK179" s="173" t="s">
        <v>2448</v>
      </c>
      <c r="AL179" s="181" t="s">
        <v>69</v>
      </c>
      <c r="AM179" s="181" t="s">
        <v>142</v>
      </c>
      <c r="AN179" s="181" t="s">
        <v>1584</v>
      </c>
      <c r="AO179" s="181"/>
      <c r="AP179" s="181">
        <v>44914</v>
      </c>
      <c r="AQ179" s="173"/>
      <c r="AR179" s="181">
        <f t="shared" ca="1" si="28"/>
        <v>44958</v>
      </c>
      <c r="AS179" s="176">
        <f t="shared" ca="1" si="29"/>
        <v>44</v>
      </c>
      <c r="AT179" s="176">
        <f t="shared" ca="1" si="30"/>
        <v>9</v>
      </c>
      <c r="AU179" s="176"/>
      <c r="AV179" s="176" t="s">
        <v>4132</v>
      </c>
      <c r="AW179" s="176">
        <v>10.595000000000001</v>
      </c>
      <c r="AX179" s="176">
        <v>10.605</v>
      </c>
      <c r="AY179" s="173">
        <v>10.629999999999999</v>
      </c>
      <c r="AZ179" s="142">
        <v>10.635</v>
      </c>
      <c r="BA179" s="142">
        <f t="shared" ca="1" si="26"/>
        <v>14</v>
      </c>
      <c r="BB179" s="142">
        <v>462</v>
      </c>
      <c r="BD179" s="142" t="s">
        <v>123</v>
      </c>
    </row>
    <row r="180" spans="2:56" s="142" customFormat="1" ht="21" customHeight="1" x14ac:dyDescent="0.25">
      <c r="B180" s="173" t="str">
        <f t="shared" si="27"/>
        <v>0-304L/2B-1.00X779</v>
      </c>
      <c r="C180" s="201" t="s">
        <v>5306</v>
      </c>
      <c r="D180" s="173" t="s">
        <v>4432</v>
      </c>
      <c r="E180" s="173" t="s">
        <v>4180</v>
      </c>
      <c r="F180" s="201" t="s">
        <v>5318</v>
      </c>
      <c r="G180" s="173" t="s">
        <v>182</v>
      </c>
      <c r="H180" s="173" t="s">
        <v>114</v>
      </c>
      <c r="I180" s="174">
        <v>2.82</v>
      </c>
      <c r="J180" s="174">
        <v>1</v>
      </c>
      <c r="K180" s="174">
        <v>0.99</v>
      </c>
      <c r="L180" s="174">
        <v>1</v>
      </c>
      <c r="M180" s="380">
        <v>779</v>
      </c>
      <c r="N180" s="176">
        <v>5.0199999999999996</v>
      </c>
      <c r="O180" s="381">
        <v>4.8849999999999998</v>
      </c>
      <c r="P180" s="382"/>
      <c r="Q180" s="176">
        <v>5.5E-2</v>
      </c>
      <c r="R180" s="176"/>
      <c r="S180" s="176"/>
      <c r="T180" s="383"/>
      <c r="U180" s="380">
        <v>760</v>
      </c>
      <c r="V180" s="371" t="s">
        <v>114</v>
      </c>
      <c r="W180" s="384" t="s">
        <v>4957</v>
      </c>
      <c r="X180" s="178" t="s">
        <v>4580</v>
      </c>
      <c r="Y180" s="385"/>
      <c r="Z180" s="385"/>
      <c r="AA180" s="177">
        <v>44946</v>
      </c>
      <c r="AB180" s="177"/>
      <c r="AC180" s="177">
        <v>44947</v>
      </c>
      <c r="AD180" s="177"/>
      <c r="AE180" s="177"/>
      <c r="AF180" s="177">
        <v>44949</v>
      </c>
      <c r="AG180" s="177"/>
      <c r="AH180" s="177">
        <v>44950</v>
      </c>
      <c r="AI180" s="180"/>
      <c r="AJ180" s="173"/>
      <c r="AK180" s="173" t="s">
        <v>1605</v>
      </c>
      <c r="AL180" s="181" t="s">
        <v>69</v>
      </c>
      <c r="AM180" s="181" t="s">
        <v>142</v>
      </c>
      <c r="AN180" s="181" t="s">
        <v>1584</v>
      </c>
      <c r="AO180" s="181"/>
      <c r="AP180" s="181">
        <v>44914</v>
      </c>
      <c r="AQ180" s="173"/>
      <c r="AR180" s="181">
        <f t="shared" ca="1" si="28"/>
        <v>44958</v>
      </c>
      <c r="AS180" s="176">
        <f t="shared" ca="1" si="29"/>
        <v>44</v>
      </c>
      <c r="AT180" s="176" t="str">
        <f t="shared" si="30"/>
        <v/>
      </c>
      <c r="AU180" s="176"/>
      <c r="AV180" s="176" t="s">
        <v>4107</v>
      </c>
      <c r="AW180" s="176">
        <v>9</v>
      </c>
      <c r="AX180" s="176">
        <v>9.01</v>
      </c>
      <c r="AY180" s="173">
        <v>9.0349999999999984</v>
      </c>
      <c r="AZ180" s="142">
        <v>9.0399999999999991</v>
      </c>
      <c r="BA180" s="142">
        <f t="shared" ca="1" si="26"/>
        <v>11</v>
      </c>
      <c r="BB180" s="142">
        <v>462</v>
      </c>
      <c r="BD180" s="142" t="s">
        <v>123</v>
      </c>
    </row>
    <row r="181" spans="2:56" s="142" customFormat="1" ht="21" customHeight="1" x14ac:dyDescent="0.25">
      <c r="B181" s="173" t="str">
        <f t="shared" si="27"/>
        <v>0-304L/2B-1.20X768</v>
      </c>
      <c r="C181" s="201" t="s">
        <v>5306</v>
      </c>
      <c r="D181" s="173" t="s">
        <v>4432</v>
      </c>
      <c r="E181" s="173" t="s">
        <v>1558</v>
      </c>
      <c r="F181" s="201" t="s">
        <v>4093</v>
      </c>
      <c r="G181" s="173" t="s">
        <v>182</v>
      </c>
      <c r="H181" s="173" t="s">
        <v>114</v>
      </c>
      <c r="I181" s="174">
        <v>3.78</v>
      </c>
      <c r="J181" s="174">
        <v>1.2</v>
      </c>
      <c r="K181" s="174">
        <v>1.18</v>
      </c>
      <c r="L181" s="174">
        <v>1.2</v>
      </c>
      <c r="M181" s="380">
        <v>768</v>
      </c>
      <c r="N181" s="176">
        <v>6.08</v>
      </c>
      <c r="O181" s="381">
        <v>6.05</v>
      </c>
      <c r="P181" s="382"/>
      <c r="Q181" s="176"/>
      <c r="R181" s="176">
        <v>0.03</v>
      </c>
      <c r="S181" s="176"/>
      <c r="T181" s="383"/>
      <c r="U181" s="380">
        <v>760</v>
      </c>
      <c r="V181" s="371" t="s">
        <v>114</v>
      </c>
      <c r="W181" s="384" t="s">
        <v>4896</v>
      </c>
      <c r="X181" s="178" t="s">
        <v>1513</v>
      </c>
      <c r="Y181" s="385"/>
      <c r="Z181" s="385"/>
      <c r="AA181" s="177">
        <v>44940</v>
      </c>
      <c r="AB181" s="177"/>
      <c r="AC181" s="177">
        <v>44940</v>
      </c>
      <c r="AD181" s="177"/>
      <c r="AE181" s="177"/>
      <c r="AF181" s="177">
        <v>44950</v>
      </c>
      <c r="AG181" s="177">
        <v>44940</v>
      </c>
      <c r="AH181" s="177">
        <v>44934</v>
      </c>
      <c r="AI181" s="180"/>
      <c r="AJ181" s="173"/>
      <c r="AK181" s="173" t="s">
        <v>1507</v>
      </c>
      <c r="AL181" s="181" t="s">
        <v>69</v>
      </c>
      <c r="AM181" s="181" t="s">
        <v>142</v>
      </c>
      <c r="AN181" s="181" t="s">
        <v>1508</v>
      </c>
      <c r="AO181" s="181"/>
      <c r="AP181" s="181">
        <v>44849</v>
      </c>
      <c r="AQ181" s="173"/>
      <c r="AR181" s="181">
        <f t="shared" ca="1" si="28"/>
        <v>44958</v>
      </c>
      <c r="AS181" s="176">
        <f t="shared" ca="1" si="29"/>
        <v>109</v>
      </c>
      <c r="AT181" s="176" t="str">
        <f t="shared" si="30"/>
        <v/>
      </c>
      <c r="AU181" s="176"/>
      <c r="AV181" s="176" t="s">
        <v>1560</v>
      </c>
      <c r="AW181" s="176">
        <v>24.535</v>
      </c>
      <c r="AX181" s="176">
        <v>24.594999999999999</v>
      </c>
      <c r="AY181" s="173">
        <v>24.62</v>
      </c>
      <c r="AZ181" s="142">
        <v>24.625</v>
      </c>
      <c r="BA181" s="142">
        <f t="shared" ca="1" si="26"/>
        <v>18</v>
      </c>
      <c r="BB181" s="142">
        <v>456</v>
      </c>
      <c r="BD181" s="142" t="s">
        <v>123</v>
      </c>
    </row>
    <row r="182" spans="2:56" s="142" customFormat="1" ht="21" customHeight="1" x14ac:dyDescent="0.25">
      <c r="B182" s="173" t="str">
        <f t="shared" si="27"/>
        <v>0-304L/2B-1.20X765</v>
      </c>
      <c r="C182" s="201" t="s">
        <v>5306</v>
      </c>
      <c r="D182" s="173" t="s">
        <v>4432</v>
      </c>
      <c r="E182" s="173" t="s">
        <v>1576</v>
      </c>
      <c r="F182" s="201" t="s">
        <v>4897</v>
      </c>
      <c r="G182" s="173" t="s">
        <v>182</v>
      </c>
      <c r="H182" s="173" t="s">
        <v>114</v>
      </c>
      <c r="I182" s="174">
        <v>3.79666666666667</v>
      </c>
      <c r="J182" s="174">
        <v>1.2</v>
      </c>
      <c r="K182" s="174">
        <v>1.21</v>
      </c>
      <c r="L182" s="174">
        <v>1.23</v>
      </c>
      <c r="M182" s="380">
        <v>765</v>
      </c>
      <c r="N182" s="176">
        <v>5.12</v>
      </c>
      <c r="O182" s="381">
        <v>5.01</v>
      </c>
      <c r="P182" s="382"/>
      <c r="Q182" s="176">
        <v>0.1</v>
      </c>
      <c r="R182" s="176">
        <v>0.01</v>
      </c>
      <c r="S182" s="176"/>
      <c r="T182" s="383"/>
      <c r="U182" s="380">
        <v>760</v>
      </c>
      <c r="V182" s="371" t="s">
        <v>114</v>
      </c>
      <c r="W182" s="384" t="s">
        <v>4896</v>
      </c>
      <c r="X182" s="178" t="s">
        <v>1513</v>
      </c>
      <c r="Y182" s="385"/>
      <c r="Z182" s="385"/>
      <c r="AA182" s="177">
        <v>44937</v>
      </c>
      <c r="AB182" s="177"/>
      <c r="AC182" s="177">
        <v>44937</v>
      </c>
      <c r="AD182" s="177"/>
      <c r="AE182" s="177">
        <v>44950</v>
      </c>
      <c r="AF182" s="177"/>
      <c r="AG182" s="177"/>
      <c r="AH182" s="177">
        <v>44935</v>
      </c>
      <c r="AI182" s="180"/>
      <c r="AJ182" s="173"/>
      <c r="AK182" s="173" t="s">
        <v>1507</v>
      </c>
      <c r="AL182" s="181" t="s">
        <v>69</v>
      </c>
      <c r="AM182" s="181" t="s">
        <v>142</v>
      </c>
      <c r="AN182" s="181" t="s">
        <v>1508</v>
      </c>
      <c r="AO182" s="181"/>
      <c r="AP182" s="181">
        <v>44849</v>
      </c>
      <c r="AQ182" s="173"/>
      <c r="AR182" s="181">
        <f t="shared" ca="1" si="28"/>
        <v>44958</v>
      </c>
      <c r="AS182" s="176">
        <f t="shared" ca="1" si="29"/>
        <v>109</v>
      </c>
      <c r="AT182" s="176">
        <f t="shared" ca="1" si="30"/>
        <v>8</v>
      </c>
      <c r="AU182" s="176"/>
      <c r="AV182" s="176" t="s">
        <v>1578</v>
      </c>
      <c r="AW182" s="176">
        <v>20.625</v>
      </c>
      <c r="AX182" s="176">
        <v>20.684999999999999</v>
      </c>
      <c r="AY182" s="173">
        <v>20.71</v>
      </c>
      <c r="AZ182" s="142">
        <v>20.715</v>
      </c>
      <c r="BA182" s="142">
        <f t="shared" ca="1" si="26"/>
        <v>21</v>
      </c>
      <c r="BB182" s="142">
        <v>456</v>
      </c>
      <c r="BD182" s="142" t="s">
        <v>123</v>
      </c>
    </row>
    <row r="183" spans="2:56" s="142" customFormat="1" ht="21" customHeight="1" x14ac:dyDescent="0.25">
      <c r="B183" s="173" t="str">
        <f t="shared" si="27"/>
        <v>0-304L/2B-1.15X772</v>
      </c>
      <c r="C183" s="201" t="s">
        <v>5306</v>
      </c>
      <c r="D183" s="173" t="s">
        <v>4432</v>
      </c>
      <c r="E183" s="173" t="s">
        <v>2531</v>
      </c>
      <c r="F183" s="201" t="s">
        <v>5319</v>
      </c>
      <c r="G183" s="173" t="s">
        <v>182</v>
      </c>
      <c r="H183" s="173" t="s">
        <v>114</v>
      </c>
      <c r="I183" s="174">
        <v>3.47</v>
      </c>
      <c r="J183" s="174">
        <v>1.1499999999999999</v>
      </c>
      <c r="K183" s="174"/>
      <c r="L183" s="174"/>
      <c r="M183" s="380">
        <v>772</v>
      </c>
      <c r="N183" s="176">
        <v>4.4450000000000003</v>
      </c>
      <c r="O183" s="381">
        <v>4.3049999999999997</v>
      </c>
      <c r="P183" s="382"/>
      <c r="Q183" s="176">
        <v>7.0000000000000007E-2</v>
      </c>
      <c r="R183" s="176"/>
      <c r="S183" s="176"/>
      <c r="T183" s="383"/>
      <c r="U183" s="380" t="s">
        <v>5124</v>
      </c>
      <c r="V183" s="371" t="s">
        <v>114</v>
      </c>
      <c r="W183" s="384" t="s">
        <v>5139</v>
      </c>
      <c r="X183" s="178" t="s">
        <v>361</v>
      </c>
      <c r="Y183" s="385"/>
      <c r="Z183" s="385"/>
      <c r="AA183" s="177">
        <v>44921</v>
      </c>
      <c r="AB183" s="177"/>
      <c r="AC183" s="177">
        <v>44921</v>
      </c>
      <c r="AD183" s="177"/>
      <c r="AE183" s="177"/>
      <c r="AF183" s="177">
        <v>44946</v>
      </c>
      <c r="AG183" s="177"/>
      <c r="AH183" s="177"/>
      <c r="AI183" s="180"/>
      <c r="AJ183" s="173"/>
      <c r="AK183" s="173" t="s">
        <v>2479</v>
      </c>
      <c r="AL183" s="181" t="s">
        <v>69</v>
      </c>
      <c r="AM183" s="181" t="s">
        <v>142</v>
      </c>
      <c r="AN183" s="181" t="s">
        <v>1584</v>
      </c>
      <c r="AO183" s="181"/>
      <c r="AP183" s="181">
        <v>44914</v>
      </c>
      <c r="AQ183" s="173"/>
      <c r="AR183" s="181">
        <f t="shared" ca="1" si="28"/>
        <v>44958</v>
      </c>
      <c r="AS183" s="176">
        <f t="shared" ca="1" si="29"/>
        <v>44</v>
      </c>
      <c r="AT183" s="176" t="str">
        <f t="shared" si="30"/>
        <v/>
      </c>
      <c r="AU183" s="176"/>
      <c r="AV183" s="176" t="s">
        <v>2534</v>
      </c>
      <c r="AW183" s="176">
        <v>10.5</v>
      </c>
      <c r="AX183" s="176">
        <v>10.51</v>
      </c>
      <c r="AY183" s="173">
        <v>10.534999999999998</v>
      </c>
      <c r="AZ183" s="142">
        <v>10.54</v>
      </c>
      <c r="BA183" s="142">
        <f t="shared" ca="1" si="26"/>
        <v>37</v>
      </c>
      <c r="BB183" s="142">
        <v>462</v>
      </c>
      <c r="BD183" s="142" t="s">
        <v>123</v>
      </c>
    </row>
    <row r="184" spans="2:56" s="142" customFormat="1" ht="21" customHeight="1" x14ac:dyDescent="0.25">
      <c r="B184" s="173" t="str">
        <f t="shared" si="27"/>
        <v>0-304L/2B-1.15X772</v>
      </c>
      <c r="C184" s="201" t="s">
        <v>5316</v>
      </c>
      <c r="D184" s="173" t="s">
        <v>68</v>
      </c>
      <c r="E184" s="173" t="s">
        <v>2531</v>
      </c>
      <c r="F184" s="201" t="s">
        <v>2532</v>
      </c>
      <c r="G184" s="173" t="s">
        <v>182</v>
      </c>
      <c r="H184" s="173" t="s">
        <v>114</v>
      </c>
      <c r="I184" s="174">
        <v>3.47</v>
      </c>
      <c r="J184" s="174">
        <v>1.1499999999999999</v>
      </c>
      <c r="K184" s="174"/>
      <c r="L184" s="174"/>
      <c r="M184" s="380">
        <v>772</v>
      </c>
      <c r="N184" s="176">
        <v>5.7249999999999996</v>
      </c>
      <c r="O184" s="381">
        <v>5.7249999999999996</v>
      </c>
      <c r="P184" s="382"/>
      <c r="Q184" s="176"/>
      <c r="R184" s="176"/>
      <c r="S184" s="176"/>
      <c r="T184" s="383"/>
      <c r="U184" s="380">
        <v>772</v>
      </c>
      <c r="V184" s="371" t="s">
        <v>114</v>
      </c>
      <c r="W184" s="384"/>
      <c r="X184" s="178" t="s">
        <v>361</v>
      </c>
      <c r="Y184" s="385"/>
      <c r="Z184" s="385"/>
      <c r="AA184" s="177">
        <v>44921</v>
      </c>
      <c r="AB184" s="177"/>
      <c r="AC184" s="177">
        <v>44921</v>
      </c>
      <c r="AD184" s="177"/>
      <c r="AE184" s="177"/>
      <c r="AF184" s="177">
        <v>44946</v>
      </c>
      <c r="AG184" s="177">
        <v>44950</v>
      </c>
      <c r="AH184" s="177"/>
      <c r="AI184" s="180"/>
      <c r="AJ184" s="173"/>
      <c r="AK184" s="173" t="s">
        <v>2479</v>
      </c>
      <c r="AL184" s="181" t="s">
        <v>69</v>
      </c>
      <c r="AM184" s="181" t="s">
        <v>142</v>
      </c>
      <c r="AN184" s="181" t="s">
        <v>1584</v>
      </c>
      <c r="AO184" s="181"/>
      <c r="AP184" s="181">
        <v>44914</v>
      </c>
      <c r="AQ184" s="173"/>
      <c r="AR184" s="181">
        <f t="shared" ca="1" si="28"/>
        <v>44958</v>
      </c>
      <c r="AS184" s="176">
        <f t="shared" ca="1" si="29"/>
        <v>44</v>
      </c>
      <c r="AT184" s="176" t="str">
        <f t="shared" si="30"/>
        <v/>
      </c>
      <c r="AU184" s="176"/>
      <c r="AV184" s="176" t="s">
        <v>2534</v>
      </c>
      <c r="AW184" s="176">
        <v>10.5</v>
      </c>
      <c r="AX184" s="176">
        <v>10.51</v>
      </c>
      <c r="AY184" s="173">
        <v>10.534999999999998</v>
      </c>
      <c r="AZ184" s="142">
        <v>10.54</v>
      </c>
      <c r="BA184" s="142">
        <f t="shared" ca="1" si="26"/>
        <v>37</v>
      </c>
      <c r="BB184" s="142">
        <v>462</v>
      </c>
      <c r="BD184" s="142" t="s">
        <v>123</v>
      </c>
    </row>
    <row r="185" spans="2:56" s="142" customFormat="1" ht="21" customHeight="1" x14ac:dyDescent="0.25">
      <c r="B185" s="173" t="str">
        <f t="shared" si="27"/>
        <v>0-304L/2B-1.15X772</v>
      </c>
      <c r="C185" s="201" t="s">
        <v>5320</v>
      </c>
      <c r="D185" s="173" t="s">
        <v>776</v>
      </c>
      <c r="E185" s="173" t="s">
        <v>2531</v>
      </c>
      <c r="F185" s="201" t="s">
        <v>2532</v>
      </c>
      <c r="G185" s="173" t="s">
        <v>182</v>
      </c>
      <c r="H185" s="173" t="s">
        <v>114</v>
      </c>
      <c r="I185" s="174">
        <v>3.47</v>
      </c>
      <c r="J185" s="174">
        <v>1.1499999999999999</v>
      </c>
      <c r="K185" s="174"/>
      <c r="L185" s="174"/>
      <c r="M185" s="380">
        <v>772</v>
      </c>
      <c r="N185" s="176">
        <v>5.7249999999999996</v>
      </c>
      <c r="O185" s="381">
        <v>5.7249999999999996</v>
      </c>
      <c r="P185" s="382"/>
      <c r="Q185" s="176"/>
      <c r="R185" s="176"/>
      <c r="S185" s="176"/>
      <c r="T185" s="383"/>
      <c r="U185" s="380">
        <v>772</v>
      </c>
      <c r="V185" s="371" t="s">
        <v>114</v>
      </c>
      <c r="W185" s="384"/>
      <c r="X185" s="178" t="s">
        <v>314</v>
      </c>
      <c r="Y185" s="385" t="s">
        <v>361</v>
      </c>
      <c r="Z185" s="385"/>
      <c r="AA185" s="177">
        <v>44921</v>
      </c>
      <c r="AB185" s="177"/>
      <c r="AC185" s="177">
        <v>44921</v>
      </c>
      <c r="AD185" s="177"/>
      <c r="AE185" s="177"/>
      <c r="AF185" s="177">
        <v>44946</v>
      </c>
      <c r="AG185" s="177" t="s">
        <v>2533</v>
      </c>
      <c r="AH185" s="177"/>
      <c r="AI185" s="180"/>
      <c r="AJ185" s="173"/>
      <c r="AK185" s="173" t="s">
        <v>2479</v>
      </c>
      <c r="AL185" s="181" t="s">
        <v>69</v>
      </c>
      <c r="AM185" s="181" t="s">
        <v>142</v>
      </c>
      <c r="AN185" s="181" t="s">
        <v>1584</v>
      </c>
      <c r="AO185" s="181"/>
      <c r="AP185" s="181">
        <v>44914</v>
      </c>
      <c r="AQ185" s="173"/>
      <c r="AR185" s="181">
        <f t="shared" ca="1" si="28"/>
        <v>44958</v>
      </c>
      <c r="AS185" s="176">
        <f t="shared" ca="1" si="29"/>
        <v>44</v>
      </c>
      <c r="AT185" s="176" t="str">
        <f t="shared" si="30"/>
        <v/>
      </c>
      <c r="AU185" s="176"/>
      <c r="AV185" s="176" t="s">
        <v>2534</v>
      </c>
      <c r="AW185" s="176">
        <v>10.5</v>
      </c>
      <c r="AX185" s="176">
        <v>10.51</v>
      </c>
      <c r="AY185" s="173">
        <v>10.534999999999998</v>
      </c>
      <c r="AZ185" s="142">
        <v>10.54</v>
      </c>
      <c r="BA185" s="142">
        <f t="shared" ca="1" si="26"/>
        <v>37</v>
      </c>
      <c r="BB185" s="142">
        <v>462</v>
      </c>
      <c r="BD185" s="142" t="s">
        <v>123</v>
      </c>
    </row>
    <row r="186" spans="2:56" s="142" customFormat="1" ht="21" customHeight="1" x14ac:dyDescent="0.25">
      <c r="B186" s="173" t="str">
        <f t="shared" si="27"/>
        <v>0-304L/2B-1.15X770</v>
      </c>
      <c r="C186" s="201" t="s">
        <v>5321</v>
      </c>
      <c r="D186" s="173" t="s">
        <v>4432</v>
      </c>
      <c r="E186" s="173" t="s">
        <v>5002</v>
      </c>
      <c r="F186" s="201" t="s">
        <v>5322</v>
      </c>
      <c r="G186" s="173" t="s">
        <v>182</v>
      </c>
      <c r="H186" s="173" t="s">
        <v>114</v>
      </c>
      <c r="I186" s="174">
        <v>3.48</v>
      </c>
      <c r="J186" s="174">
        <v>1.1499999999999999</v>
      </c>
      <c r="K186" s="174"/>
      <c r="L186" s="174"/>
      <c r="M186" s="380">
        <v>770</v>
      </c>
      <c r="N186" s="176">
        <v>4.9649999999999999</v>
      </c>
      <c r="O186" s="381">
        <v>4.82</v>
      </c>
      <c r="P186" s="382"/>
      <c r="Q186" s="176">
        <v>0.08</v>
      </c>
      <c r="R186" s="176"/>
      <c r="S186" s="176">
        <v>6.5000000000000002E-2</v>
      </c>
      <c r="T186" s="383"/>
      <c r="U186" s="380" t="s">
        <v>5124</v>
      </c>
      <c r="V186" s="371" t="s">
        <v>114</v>
      </c>
      <c r="W186" s="384" t="s">
        <v>5139</v>
      </c>
      <c r="X186" s="178" t="s">
        <v>361</v>
      </c>
      <c r="Y186" s="385"/>
      <c r="Z186" s="385"/>
      <c r="AA186" s="177">
        <v>44921</v>
      </c>
      <c r="AB186" s="177"/>
      <c r="AC186" s="177">
        <v>44922</v>
      </c>
      <c r="AD186" s="177"/>
      <c r="AE186" s="177"/>
      <c r="AF186" s="177">
        <v>44946</v>
      </c>
      <c r="AG186" s="177"/>
      <c r="AH186" s="177"/>
      <c r="AI186" s="180"/>
      <c r="AJ186" s="173"/>
      <c r="AK186" s="173" t="s">
        <v>2479</v>
      </c>
      <c r="AL186" s="181" t="s">
        <v>69</v>
      </c>
      <c r="AM186" s="181" t="s">
        <v>142</v>
      </c>
      <c r="AN186" s="181" t="s">
        <v>1584</v>
      </c>
      <c r="AO186" s="181"/>
      <c r="AP186" s="181">
        <v>44914</v>
      </c>
      <c r="AQ186" s="173"/>
      <c r="AR186" s="181">
        <f t="shared" ca="1" si="28"/>
        <v>44958</v>
      </c>
      <c r="AS186" s="176">
        <f t="shared" ca="1" si="29"/>
        <v>44</v>
      </c>
      <c r="AT186" s="176" t="str">
        <f t="shared" si="30"/>
        <v/>
      </c>
      <c r="AU186" s="176"/>
      <c r="AV186" s="176" t="s">
        <v>2534</v>
      </c>
      <c r="AW186" s="176">
        <v>10.475</v>
      </c>
      <c r="AX186" s="176">
        <v>10.484999999999999</v>
      </c>
      <c r="AY186" s="173">
        <v>10.509999999999998</v>
      </c>
      <c r="AZ186" s="142">
        <v>10.514999999999999</v>
      </c>
      <c r="BA186" s="142">
        <f t="shared" ca="1" si="26"/>
        <v>36</v>
      </c>
      <c r="BB186" s="142">
        <v>462</v>
      </c>
      <c r="BD186" s="142" t="s">
        <v>123</v>
      </c>
    </row>
    <row r="187" spans="2:56" s="142" customFormat="1" ht="21" customHeight="1" x14ac:dyDescent="0.25">
      <c r="B187" s="173" t="str">
        <f t="shared" si="27"/>
        <v>0-304/2B-1.00X778</v>
      </c>
      <c r="C187" s="201" t="s">
        <v>5321</v>
      </c>
      <c r="D187" s="173" t="s">
        <v>4432</v>
      </c>
      <c r="E187" s="173" t="s">
        <v>3911</v>
      </c>
      <c r="F187" s="201" t="s">
        <v>5323</v>
      </c>
      <c r="G187" s="173">
        <v>304</v>
      </c>
      <c r="H187" s="173" t="s">
        <v>114</v>
      </c>
      <c r="I187" s="174">
        <v>2.9</v>
      </c>
      <c r="J187" s="174">
        <v>1</v>
      </c>
      <c r="K187" s="174"/>
      <c r="L187" s="174"/>
      <c r="M187" s="380">
        <v>778</v>
      </c>
      <c r="N187" s="176">
        <v>10.36</v>
      </c>
      <c r="O187" s="381">
        <f>4.85+5.295</f>
        <v>10.145</v>
      </c>
      <c r="P187" s="382"/>
      <c r="Q187" s="176">
        <v>0.105</v>
      </c>
      <c r="R187" s="176"/>
      <c r="S187" s="176">
        <v>0.11</v>
      </c>
      <c r="T187" s="383"/>
      <c r="U187" s="380">
        <v>760</v>
      </c>
      <c r="V187" s="371" t="s">
        <v>114</v>
      </c>
      <c r="W187" s="384" t="s">
        <v>5075</v>
      </c>
      <c r="X187" s="178" t="s">
        <v>1540</v>
      </c>
      <c r="Y187" s="385"/>
      <c r="Z187" s="385"/>
      <c r="AA187" s="177">
        <v>44931</v>
      </c>
      <c r="AB187" s="177"/>
      <c r="AC187" s="177">
        <v>44932</v>
      </c>
      <c r="AD187" s="177"/>
      <c r="AE187" s="177"/>
      <c r="AF187" s="177">
        <v>44947</v>
      </c>
      <c r="AG187" s="177"/>
      <c r="AH187" s="177">
        <v>44926</v>
      </c>
      <c r="AI187" s="180"/>
      <c r="AJ187" s="173"/>
      <c r="AK187" s="173" t="s">
        <v>1345</v>
      </c>
      <c r="AL187" s="181" t="s">
        <v>69</v>
      </c>
      <c r="AM187" s="181" t="s">
        <v>142</v>
      </c>
      <c r="AN187" s="181" t="s">
        <v>1346</v>
      </c>
      <c r="AO187" s="181"/>
      <c r="AP187" s="181">
        <v>44813</v>
      </c>
      <c r="AQ187" s="173"/>
      <c r="AR187" s="181">
        <f t="shared" ca="1" si="28"/>
        <v>44958</v>
      </c>
      <c r="AS187" s="176">
        <f t="shared" ca="1" si="29"/>
        <v>145</v>
      </c>
      <c r="AT187" s="176" t="str">
        <f t="shared" si="30"/>
        <v/>
      </c>
      <c r="AU187" s="176"/>
      <c r="AV187" s="176" t="s">
        <v>3913</v>
      </c>
      <c r="AW187" s="176">
        <v>20.73</v>
      </c>
      <c r="AX187" s="176">
        <v>20.79</v>
      </c>
      <c r="AY187" s="173">
        <v>20.815000000000001</v>
      </c>
      <c r="AZ187" s="142">
        <v>20.82</v>
      </c>
      <c r="BA187" s="142">
        <f t="shared" ca="1" si="26"/>
        <v>26</v>
      </c>
      <c r="BB187" s="142">
        <v>451</v>
      </c>
      <c r="BD187" s="142" t="s">
        <v>123</v>
      </c>
    </row>
    <row r="188" spans="2:56" s="142" customFormat="1" ht="21" customHeight="1" x14ac:dyDescent="0.25">
      <c r="B188" s="173" t="str">
        <f t="shared" si="27"/>
        <v>0-304/2B-1.50X765</v>
      </c>
      <c r="C188" s="201" t="s">
        <v>5324</v>
      </c>
      <c r="D188" s="173" t="s">
        <v>776</v>
      </c>
      <c r="E188" s="173" t="s">
        <v>2346</v>
      </c>
      <c r="F188" s="201" t="s">
        <v>2347</v>
      </c>
      <c r="G188" s="173">
        <v>304</v>
      </c>
      <c r="H188" s="173" t="s">
        <v>114</v>
      </c>
      <c r="I188" s="174">
        <v>3.89</v>
      </c>
      <c r="J188" s="174">
        <v>1.5</v>
      </c>
      <c r="K188" s="174"/>
      <c r="L188" s="174"/>
      <c r="M188" s="380">
        <v>765</v>
      </c>
      <c r="N188" s="176">
        <v>10.46</v>
      </c>
      <c r="O188" s="381">
        <v>10.46</v>
      </c>
      <c r="P188" s="382"/>
      <c r="Q188" s="176"/>
      <c r="R188" s="176"/>
      <c r="S188" s="176"/>
      <c r="T188" s="383"/>
      <c r="U188" s="380">
        <v>765</v>
      </c>
      <c r="V188" s="371" t="s">
        <v>114</v>
      </c>
      <c r="W188" s="384"/>
      <c r="X188" s="178" t="s">
        <v>314</v>
      </c>
      <c r="Y188" s="385" t="s">
        <v>1540</v>
      </c>
      <c r="Z188" s="385"/>
      <c r="AA188" s="177">
        <v>44931</v>
      </c>
      <c r="AB188" s="177"/>
      <c r="AC188" s="177">
        <v>44931</v>
      </c>
      <c r="AD188" s="177"/>
      <c r="AE188" s="177"/>
      <c r="AF188" s="177">
        <v>44946</v>
      </c>
      <c r="AG188" s="177">
        <v>44951</v>
      </c>
      <c r="AH188" s="177"/>
      <c r="AI188" s="180"/>
      <c r="AJ188" s="173"/>
      <c r="AK188" s="173" t="s">
        <v>1345</v>
      </c>
      <c r="AL188" s="181" t="s">
        <v>69</v>
      </c>
      <c r="AM188" s="181" t="s">
        <v>142</v>
      </c>
      <c r="AN188" s="181" t="s">
        <v>2283</v>
      </c>
      <c r="AO188" s="181"/>
      <c r="AP188" s="181">
        <v>44880</v>
      </c>
      <c r="AQ188" s="173"/>
      <c r="AR188" s="181">
        <f t="shared" ca="1" si="28"/>
        <v>44958</v>
      </c>
      <c r="AS188" s="176">
        <f t="shared" ca="1" si="29"/>
        <v>78</v>
      </c>
      <c r="AT188" s="176" t="str">
        <f t="shared" si="30"/>
        <v/>
      </c>
      <c r="AU188" s="176"/>
      <c r="AV188" s="176" t="s">
        <v>2348</v>
      </c>
      <c r="AW188" s="176">
        <v>10.455</v>
      </c>
      <c r="AX188" s="176">
        <v>10.465</v>
      </c>
      <c r="AY188" s="173">
        <v>10.489999999999998</v>
      </c>
      <c r="AZ188" s="142">
        <v>10.494999999999999</v>
      </c>
      <c r="BA188" s="142">
        <f t="shared" ca="1" si="26"/>
        <v>27</v>
      </c>
      <c r="BB188" s="142">
        <v>459</v>
      </c>
      <c r="BD188" s="142" t="s">
        <v>123</v>
      </c>
    </row>
    <row r="189" spans="2:56" s="142" customFormat="1" ht="21" customHeight="1" x14ac:dyDescent="0.25">
      <c r="B189" s="173" t="str">
        <f t="shared" si="27"/>
        <v>0-304/2B-0.90X765</v>
      </c>
      <c r="C189" s="201" t="s">
        <v>5321</v>
      </c>
      <c r="D189" s="173" t="s">
        <v>4432</v>
      </c>
      <c r="E189" s="173" t="s">
        <v>3895</v>
      </c>
      <c r="F189" s="201" t="s">
        <v>5325</v>
      </c>
      <c r="G189" s="173">
        <v>304</v>
      </c>
      <c r="H189" s="173" t="s">
        <v>114</v>
      </c>
      <c r="I189" s="174">
        <v>2.89</v>
      </c>
      <c r="J189" s="174">
        <v>0.9</v>
      </c>
      <c r="K189" s="174"/>
      <c r="L189" s="174"/>
      <c r="M189" s="380">
        <v>765</v>
      </c>
      <c r="N189" s="176">
        <v>7.3150000000000004</v>
      </c>
      <c r="O189" s="381">
        <f>3.69+3.56</f>
        <v>7.25</v>
      </c>
      <c r="P189" s="382"/>
      <c r="Q189" s="176">
        <v>0.05</v>
      </c>
      <c r="R189" s="176"/>
      <c r="S189" s="176"/>
      <c r="T189" s="383"/>
      <c r="U189" s="380">
        <v>760</v>
      </c>
      <c r="V189" s="371" t="s">
        <v>114</v>
      </c>
      <c r="W189" s="384" t="s">
        <v>5075</v>
      </c>
      <c r="X189" s="178" t="s">
        <v>1540</v>
      </c>
      <c r="Y189" s="385"/>
      <c r="Z189" s="385"/>
      <c r="AA189" s="177">
        <v>44930</v>
      </c>
      <c r="AB189" s="177"/>
      <c r="AC189" s="177">
        <v>44930</v>
      </c>
      <c r="AD189" s="177"/>
      <c r="AE189" s="177">
        <v>44946</v>
      </c>
      <c r="AF189" s="177"/>
      <c r="AG189" s="177"/>
      <c r="AH189" s="177">
        <v>44926</v>
      </c>
      <c r="AI189" s="180"/>
      <c r="AJ189" s="173"/>
      <c r="AK189" s="173" t="s">
        <v>1345</v>
      </c>
      <c r="AL189" s="181" t="s">
        <v>69</v>
      </c>
      <c r="AM189" s="181" t="s">
        <v>142</v>
      </c>
      <c r="AN189" s="181" t="s">
        <v>1508</v>
      </c>
      <c r="AO189" s="181"/>
      <c r="AP189" s="181">
        <v>44849</v>
      </c>
      <c r="AQ189" s="173"/>
      <c r="AR189" s="181">
        <f t="shared" ca="1" si="28"/>
        <v>44958</v>
      </c>
      <c r="AS189" s="176">
        <f t="shared" ca="1" si="29"/>
        <v>109</v>
      </c>
      <c r="AT189" s="176">
        <f t="shared" ca="1" si="30"/>
        <v>12</v>
      </c>
      <c r="AU189" s="176"/>
      <c r="AV189" s="176" t="s">
        <v>3897</v>
      </c>
      <c r="AW189" s="176">
        <v>20.984999999999999</v>
      </c>
      <c r="AX189" s="176">
        <v>21.045000000000002</v>
      </c>
      <c r="AY189" s="173">
        <v>21.070000000000004</v>
      </c>
      <c r="AZ189" s="142">
        <v>21.075000000000003</v>
      </c>
      <c r="BA189" s="142">
        <f t="shared" ca="1" si="26"/>
        <v>28</v>
      </c>
      <c r="BB189" s="142">
        <v>456</v>
      </c>
      <c r="BD189" s="142" t="s">
        <v>123</v>
      </c>
    </row>
    <row r="190" spans="2:56" s="142" customFormat="1" ht="21" customHeight="1" x14ac:dyDescent="0.25">
      <c r="B190" s="173" t="str">
        <f t="shared" si="27"/>
        <v>0-304/2B-1.20X763</v>
      </c>
      <c r="C190" s="201" t="s">
        <v>5321</v>
      </c>
      <c r="D190" s="173" t="s">
        <v>4432</v>
      </c>
      <c r="E190" s="173" t="s">
        <v>4039</v>
      </c>
      <c r="F190" s="201" t="s">
        <v>5326</v>
      </c>
      <c r="G190" s="173">
        <v>304</v>
      </c>
      <c r="H190" s="173" t="s">
        <v>114</v>
      </c>
      <c r="I190" s="174">
        <v>3.77</v>
      </c>
      <c r="J190" s="174">
        <v>1.2</v>
      </c>
      <c r="K190" s="174">
        <v>1.18</v>
      </c>
      <c r="L190" s="174">
        <v>1.2</v>
      </c>
      <c r="M190" s="380">
        <v>763</v>
      </c>
      <c r="N190" s="176">
        <v>10.28</v>
      </c>
      <c r="O190" s="381">
        <f>5.045+5.18</f>
        <v>10.225</v>
      </c>
      <c r="P190" s="382"/>
      <c r="Q190" s="176"/>
      <c r="R190" s="176">
        <v>3.5000000000000003E-2</v>
      </c>
      <c r="S190" s="176"/>
      <c r="T190" s="383"/>
      <c r="U190" s="380">
        <v>760</v>
      </c>
      <c r="V190" s="371" t="s">
        <v>114</v>
      </c>
      <c r="W190" s="384" t="s">
        <v>4888</v>
      </c>
      <c r="X190" s="178" t="s">
        <v>1546</v>
      </c>
      <c r="Y190" s="385"/>
      <c r="Z190" s="385"/>
      <c r="AA190" s="177">
        <v>44937</v>
      </c>
      <c r="AB190" s="177"/>
      <c r="AC190" s="177">
        <v>44937</v>
      </c>
      <c r="AD190" s="177"/>
      <c r="AE190" s="177"/>
      <c r="AF190" s="177">
        <v>44948</v>
      </c>
      <c r="AG190" s="177"/>
      <c r="AH190" s="177"/>
      <c r="AI190" s="180"/>
      <c r="AJ190" s="173"/>
      <c r="AK190" s="173" t="s">
        <v>1507</v>
      </c>
      <c r="AL190" s="181" t="s">
        <v>69</v>
      </c>
      <c r="AM190" s="181" t="s">
        <v>142</v>
      </c>
      <c r="AN190" s="181" t="s">
        <v>1584</v>
      </c>
      <c r="AO190" s="181"/>
      <c r="AP190" s="181">
        <v>44914</v>
      </c>
      <c r="AQ190" s="173"/>
      <c r="AR190" s="181">
        <f t="shared" ca="1" si="28"/>
        <v>44958</v>
      </c>
      <c r="AS190" s="176">
        <f t="shared" ca="1" si="29"/>
        <v>44</v>
      </c>
      <c r="AT190" s="176" t="str">
        <f t="shared" si="30"/>
        <v/>
      </c>
      <c r="AU190" s="176"/>
      <c r="AV190" s="176" t="s">
        <v>4041</v>
      </c>
      <c r="AW190" s="176">
        <v>10.31</v>
      </c>
      <c r="AX190" s="176">
        <v>10.32</v>
      </c>
      <c r="AY190" s="173">
        <v>10.344999999999999</v>
      </c>
      <c r="AZ190" s="142">
        <v>10.35</v>
      </c>
      <c r="BA190" s="142">
        <f t="shared" ca="1" si="26"/>
        <v>21</v>
      </c>
      <c r="BB190" s="142">
        <v>462</v>
      </c>
      <c r="BD190" s="142" t="s">
        <v>123</v>
      </c>
    </row>
    <row r="191" spans="2:56" s="142" customFormat="1" ht="21" customHeight="1" x14ac:dyDescent="0.25">
      <c r="B191" s="173" t="str">
        <f t="shared" si="27"/>
        <v>0-304L/2B-1.50X767</v>
      </c>
      <c r="C191" s="201" t="s">
        <v>5321</v>
      </c>
      <c r="D191" s="173" t="s">
        <v>4432</v>
      </c>
      <c r="E191" s="173" t="s">
        <v>4025</v>
      </c>
      <c r="F191" s="201" t="s">
        <v>4886</v>
      </c>
      <c r="G191" s="173" t="s">
        <v>182</v>
      </c>
      <c r="H191" s="173" t="s">
        <v>114</v>
      </c>
      <c r="I191" s="174">
        <v>3.8</v>
      </c>
      <c r="J191" s="174">
        <v>1.5</v>
      </c>
      <c r="K191" s="174">
        <v>1.48</v>
      </c>
      <c r="L191" s="174">
        <v>1.5</v>
      </c>
      <c r="M191" s="380">
        <v>767</v>
      </c>
      <c r="N191" s="176">
        <v>4.125</v>
      </c>
      <c r="O191" s="381">
        <v>4.0949999999999998</v>
      </c>
      <c r="P191" s="382"/>
      <c r="Q191" s="176"/>
      <c r="R191" s="176">
        <v>0.03</v>
      </c>
      <c r="S191" s="176"/>
      <c r="T191" s="383"/>
      <c r="U191" s="380">
        <v>760</v>
      </c>
      <c r="V191" s="371" t="s">
        <v>114</v>
      </c>
      <c r="W191" s="384" t="s">
        <v>4888</v>
      </c>
      <c r="X191" s="178" t="s">
        <v>1546</v>
      </c>
      <c r="Y191" s="385"/>
      <c r="Z191" s="385"/>
      <c r="AA191" s="177">
        <v>44938</v>
      </c>
      <c r="AB191" s="177"/>
      <c r="AC191" s="177">
        <v>44938</v>
      </c>
      <c r="AD191" s="177"/>
      <c r="AE191" s="177">
        <v>44949</v>
      </c>
      <c r="AF191" s="177"/>
      <c r="AG191" s="177"/>
      <c r="AH191" s="177">
        <v>44932</v>
      </c>
      <c r="AI191" s="180"/>
      <c r="AJ191" s="173"/>
      <c r="AK191" s="173" t="s">
        <v>1507</v>
      </c>
      <c r="AL191" s="181" t="s">
        <v>69</v>
      </c>
      <c r="AM191" s="181" t="s">
        <v>142</v>
      </c>
      <c r="AN191" s="181" t="s">
        <v>1508</v>
      </c>
      <c r="AO191" s="181"/>
      <c r="AP191" s="181">
        <v>44849</v>
      </c>
      <c r="AQ191" s="173"/>
      <c r="AR191" s="181">
        <f t="shared" ca="1" si="28"/>
        <v>44958</v>
      </c>
      <c r="AS191" s="176">
        <f t="shared" ca="1" si="29"/>
        <v>109</v>
      </c>
      <c r="AT191" s="176">
        <f t="shared" ca="1" si="30"/>
        <v>9</v>
      </c>
      <c r="AU191" s="176"/>
      <c r="AV191" s="176" t="s">
        <v>4027</v>
      </c>
      <c r="AW191" s="176">
        <v>24.6</v>
      </c>
      <c r="AX191" s="176">
        <v>24.66</v>
      </c>
      <c r="AY191" s="173">
        <v>24.685000000000002</v>
      </c>
      <c r="AZ191" s="142">
        <v>24.69</v>
      </c>
      <c r="BA191" s="142">
        <f t="shared" ca="1" si="26"/>
        <v>20</v>
      </c>
      <c r="BB191" s="142">
        <v>456</v>
      </c>
      <c r="BD191" s="142" t="s">
        <v>123</v>
      </c>
    </row>
    <row r="192" spans="2:56" s="142" customFormat="1" ht="21" customHeight="1" x14ac:dyDescent="0.25">
      <c r="B192" s="173" t="str">
        <f t="shared" si="27"/>
        <v>0-304/2B-0.90X769</v>
      </c>
      <c r="C192" s="201" t="s">
        <v>5327</v>
      </c>
      <c r="D192" s="173" t="s">
        <v>4432</v>
      </c>
      <c r="E192" s="173" t="s">
        <v>3895</v>
      </c>
      <c r="F192" s="201" t="s">
        <v>5328</v>
      </c>
      <c r="G192" s="173">
        <v>304</v>
      </c>
      <c r="H192" s="173" t="s">
        <v>114</v>
      </c>
      <c r="I192" s="174">
        <v>2.89</v>
      </c>
      <c r="J192" s="174">
        <v>0.9</v>
      </c>
      <c r="K192" s="174"/>
      <c r="L192" s="174"/>
      <c r="M192" s="380">
        <v>769</v>
      </c>
      <c r="N192" s="176">
        <v>5.89</v>
      </c>
      <c r="O192" s="381">
        <v>5.7350000000000003</v>
      </c>
      <c r="P192" s="382"/>
      <c r="Q192" s="176">
        <v>0.155</v>
      </c>
      <c r="R192" s="176"/>
      <c r="S192" s="176"/>
      <c r="T192" s="383"/>
      <c r="U192" s="380">
        <v>760</v>
      </c>
      <c r="V192" s="371" t="s">
        <v>114</v>
      </c>
      <c r="W192" s="384" t="s">
        <v>4873</v>
      </c>
      <c r="X192" s="178" t="s">
        <v>1540</v>
      </c>
      <c r="Y192" s="385"/>
      <c r="Z192" s="385"/>
      <c r="AA192" s="177">
        <v>44930</v>
      </c>
      <c r="AB192" s="177"/>
      <c r="AC192" s="177">
        <v>44931</v>
      </c>
      <c r="AD192" s="177"/>
      <c r="AE192" s="177"/>
      <c r="AF192" s="177">
        <v>44947</v>
      </c>
      <c r="AG192" s="177"/>
      <c r="AH192" s="177" t="s">
        <v>5329</v>
      </c>
      <c r="AI192" s="180"/>
      <c r="AJ192" s="173"/>
      <c r="AK192" s="173" t="s">
        <v>1345</v>
      </c>
      <c r="AL192" s="181" t="s">
        <v>69</v>
      </c>
      <c r="AM192" s="181" t="s">
        <v>142</v>
      </c>
      <c r="AN192" s="181" t="s">
        <v>1508</v>
      </c>
      <c r="AO192" s="181"/>
      <c r="AP192" s="181">
        <v>44849</v>
      </c>
      <c r="AQ192" s="173"/>
      <c r="AR192" s="181">
        <f t="shared" ca="1" si="28"/>
        <v>44958</v>
      </c>
      <c r="AS192" s="176">
        <f t="shared" ca="1" si="29"/>
        <v>109</v>
      </c>
      <c r="AT192" s="176" t="str">
        <f t="shared" si="30"/>
        <v/>
      </c>
      <c r="AU192" s="176"/>
      <c r="AV192" s="176" t="s">
        <v>3897</v>
      </c>
      <c r="AW192" s="176">
        <v>20.984999999999999</v>
      </c>
      <c r="AX192" s="176">
        <v>21.045000000000002</v>
      </c>
      <c r="AY192" s="173">
        <v>21.070000000000004</v>
      </c>
      <c r="AZ192" s="142">
        <v>21.075000000000003</v>
      </c>
      <c r="BA192" s="142">
        <f t="shared" ca="1" si="26"/>
        <v>27</v>
      </c>
      <c r="BB192" s="142">
        <v>456</v>
      </c>
      <c r="BD192" s="142" t="s">
        <v>123</v>
      </c>
    </row>
    <row r="193" spans="2:56" s="142" customFormat="1" ht="21" customHeight="1" x14ac:dyDescent="0.25">
      <c r="B193" s="173" t="str">
        <f t="shared" si="27"/>
        <v>0-304L/2B-1.20X769</v>
      </c>
      <c r="C193" s="201" t="s">
        <v>5321</v>
      </c>
      <c r="D193" s="173" t="s">
        <v>4432</v>
      </c>
      <c r="E193" s="173" t="s">
        <v>1573</v>
      </c>
      <c r="F193" s="201" t="s">
        <v>5068</v>
      </c>
      <c r="G193" s="173" t="s">
        <v>182</v>
      </c>
      <c r="H193" s="173" t="s">
        <v>114</v>
      </c>
      <c r="I193" s="174">
        <v>3.79</v>
      </c>
      <c r="J193" s="174">
        <v>1.2</v>
      </c>
      <c r="K193" s="174">
        <v>1.18</v>
      </c>
      <c r="L193" s="174">
        <v>1.19</v>
      </c>
      <c r="M193" s="380">
        <v>769</v>
      </c>
      <c r="N193" s="176">
        <v>4.0650000000000004</v>
      </c>
      <c r="O193" s="381">
        <v>4.04</v>
      </c>
      <c r="P193" s="382"/>
      <c r="Q193" s="176"/>
      <c r="R193" s="176">
        <v>2.5000000000000001E-2</v>
      </c>
      <c r="S193" s="176"/>
      <c r="T193" s="383"/>
      <c r="U193" s="380">
        <v>760</v>
      </c>
      <c r="V193" s="371" t="s">
        <v>114</v>
      </c>
      <c r="W193" s="384" t="s">
        <v>5072</v>
      </c>
      <c r="X193" s="178" t="s">
        <v>986</v>
      </c>
      <c r="Y193" s="385"/>
      <c r="Z193" s="385"/>
      <c r="AA193" s="177">
        <v>44939</v>
      </c>
      <c r="AB193" s="177"/>
      <c r="AC193" s="177">
        <v>44939</v>
      </c>
      <c r="AD193" s="177"/>
      <c r="AE193" s="177"/>
      <c r="AF193" s="177">
        <v>44951</v>
      </c>
      <c r="AG193" s="177"/>
      <c r="AH193" s="177">
        <v>44934</v>
      </c>
      <c r="AI193" s="180"/>
      <c r="AJ193" s="173"/>
      <c r="AK193" s="173" t="s">
        <v>1507</v>
      </c>
      <c r="AL193" s="181" t="s">
        <v>69</v>
      </c>
      <c r="AM193" s="181" t="s">
        <v>142</v>
      </c>
      <c r="AN193" s="181" t="s">
        <v>1508</v>
      </c>
      <c r="AO193" s="181"/>
      <c r="AP193" s="181">
        <v>44849</v>
      </c>
      <c r="AQ193" s="173"/>
      <c r="AR193" s="181">
        <f t="shared" ca="1" si="28"/>
        <v>44958</v>
      </c>
      <c r="AS193" s="176">
        <f t="shared" ca="1" si="29"/>
        <v>109</v>
      </c>
      <c r="AT193" s="176" t="str">
        <f t="shared" si="30"/>
        <v/>
      </c>
      <c r="AU193" s="176"/>
      <c r="AV193" s="176" t="s">
        <v>1575</v>
      </c>
      <c r="AW193" s="176">
        <v>24.63</v>
      </c>
      <c r="AX193" s="176">
        <v>24.69</v>
      </c>
      <c r="AY193" s="173">
        <v>24.715000000000003</v>
      </c>
      <c r="AZ193" s="142">
        <v>24.720000000000002</v>
      </c>
      <c r="BA193" s="142">
        <f t="shared" ca="1" si="26"/>
        <v>19</v>
      </c>
      <c r="BB193" s="142">
        <v>456</v>
      </c>
      <c r="BD193" s="142" t="s">
        <v>123</v>
      </c>
    </row>
    <row r="194" spans="2:56" s="142" customFormat="1" ht="21" customHeight="1" x14ac:dyDescent="0.25">
      <c r="B194" s="173" t="str">
        <f t="shared" si="27"/>
        <v>0-304L/2B-1.20X769</v>
      </c>
      <c r="C194" s="201" t="s">
        <v>5321</v>
      </c>
      <c r="D194" s="173" t="s">
        <v>4432</v>
      </c>
      <c r="E194" s="173" t="s">
        <v>1573</v>
      </c>
      <c r="F194" s="201" t="s">
        <v>5067</v>
      </c>
      <c r="G194" s="173" t="s">
        <v>182</v>
      </c>
      <c r="H194" s="173" t="s">
        <v>114</v>
      </c>
      <c r="I194" s="174">
        <v>3.79</v>
      </c>
      <c r="J194" s="174">
        <v>1.2</v>
      </c>
      <c r="K194" s="174">
        <v>1.18</v>
      </c>
      <c r="L194" s="174">
        <v>1.19</v>
      </c>
      <c r="M194" s="380">
        <v>769</v>
      </c>
      <c r="N194" s="176">
        <v>4.1150000000000002</v>
      </c>
      <c r="O194" s="381">
        <v>4.08</v>
      </c>
      <c r="P194" s="382"/>
      <c r="Q194" s="176"/>
      <c r="R194" s="176">
        <v>0.01</v>
      </c>
      <c r="S194" s="176"/>
      <c r="T194" s="383"/>
      <c r="U194" s="380">
        <v>760</v>
      </c>
      <c r="V194" s="371" t="s">
        <v>114</v>
      </c>
      <c r="W194" s="384" t="s">
        <v>5072</v>
      </c>
      <c r="X194" s="178" t="s">
        <v>986</v>
      </c>
      <c r="Y194" s="385"/>
      <c r="Z194" s="385"/>
      <c r="AA194" s="177">
        <v>44939</v>
      </c>
      <c r="AB194" s="177"/>
      <c r="AC194" s="177">
        <v>44939</v>
      </c>
      <c r="AD194" s="177"/>
      <c r="AE194" s="177"/>
      <c r="AF194" s="177">
        <v>44951</v>
      </c>
      <c r="AG194" s="177"/>
      <c r="AH194" s="177">
        <v>44934</v>
      </c>
      <c r="AI194" s="180"/>
      <c r="AJ194" s="173"/>
      <c r="AK194" s="173" t="s">
        <v>1507</v>
      </c>
      <c r="AL194" s="181" t="s">
        <v>69</v>
      </c>
      <c r="AM194" s="181" t="s">
        <v>142</v>
      </c>
      <c r="AN194" s="181" t="s">
        <v>1508</v>
      </c>
      <c r="AO194" s="181"/>
      <c r="AP194" s="181">
        <v>44849</v>
      </c>
      <c r="AQ194" s="173"/>
      <c r="AR194" s="181">
        <f t="shared" ca="1" si="28"/>
        <v>44958</v>
      </c>
      <c r="AS194" s="176">
        <f t="shared" ca="1" si="29"/>
        <v>109</v>
      </c>
      <c r="AT194" s="176" t="str">
        <f t="shared" si="30"/>
        <v/>
      </c>
      <c r="AU194" s="176"/>
      <c r="AV194" s="176" t="s">
        <v>1575</v>
      </c>
      <c r="AW194" s="176">
        <v>24.63</v>
      </c>
      <c r="AX194" s="176">
        <v>24.69</v>
      </c>
      <c r="AY194" s="173">
        <v>24.715000000000003</v>
      </c>
      <c r="AZ194" s="142">
        <v>24.720000000000002</v>
      </c>
      <c r="BA194" s="142">
        <f t="shared" ca="1" si="26"/>
        <v>19</v>
      </c>
      <c r="BB194" s="142">
        <v>456</v>
      </c>
      <c r="BD194" s="142" t="s">
        <v>123</v>
      </c>
    </row>
    <row r="195" spans="2:56" s="142" customFormat="1" ht="21" customHeight="1" x14ac:dyDescent="0.25">
      <c r="B195" s="173" t="str">
        <f t="shared" si="27"/>
        <v>0-304L/2B-1.00X644</v>
      </c>
      <c r="C195" s="201" t="s">
        <v>5321</v>
      </c>
      <c r="D195" s="173" t="s">
        <v>4432</v>
      </c>
      <c r="E195" s="173" t="s">
        <v>4103</v>
      </c>
      <c r="F195" s="201" t="s">
        <v>5330</v>
      </c>
      <c r="G195" s="173" t="s">
        <v>182</v>
      </c>
      <c r="H195" s="173" t="s">
        <v>114</v>
      </c>
      <c r="I195" s="174">
        <v>2.82</v>
      </c>
      <c r="J195" s="174">
        <v>1</v>
      </c>
      <c r="K195" s="174">
        <v>0.97</v>
      </c>
      <c r="L195" s="174">
        <v>0.99</v>
      </c>
      <c r="M195" s="380">
        <v>644</v>
      </c>
      <c r="N195" s="176">
        <v>10.69</v>
      </c>
      <c r="O195" s="381">
        <f>2.765+2.77+2.56+2.475</f>
        <v>10.57</v>
      </c>
      <c r="P195" s="382"/>
      <c r="Q195" s="176"/>
      <c r="R195" s="176"/>
      <c r="S195" s="176"/>
      <c r="T195" s="383"/>
      <c r="U195" s="380">
        <v>644</v>
      </c>
      <c r="V195" s="371" t="s">
        <v>114</v>
      </c>
      <c r="W195" s="384" t="s">
        <v>4890</v>
      </c>
      <c r="X195" s="178" t="s">
        <v>511</v>
      </c>
      <c r="Y195" s="385"/>
      <c r="Z195" s="385"/>
      <c r="AA195" s="177">
        <v>44941</v>
      </c>
      <c r="AB195" s="177">
        <v>44945</v>
      </c>
      <c r="AC195" s="177"/>
      <c r="AD195" s="177">
        <v>44941</v>
      </c>
      <c r="AE195" s="177">
        <v>44950</v>
      </c>
      <c r="AF195" s="177"/>
      <c r="AG195" s="177"/>
      <c r="AH195" s="177"/>
      <c r="AI195" s="180"/>
      <c r="AJ195" s="173"/>
      <c r="AK195" s="173" t="s">
        <v>2479</v>
      </c>
      <c r="AL195" s="181" t="s">
        <v>69</v>
      </c>
      <c r="AM195" s="181" t="s">
        <v>142</v>
      </c>
      <c r="AN195" s="181" t="s">
        <v>1653</v>
      </c>
      <c r="AO195" s="181"/>
      <c r="AP195" s="181">
        <v>44880</v>
      </c>
      <c r="AQ195" s="173"/>
      <c r="AR195" s="181">
        <f t="shared" ca="1" si="28"/>
        <v>44958</v>
      </c>
      <c r="AS195" s="176">
        <f t="shared" ca="1" si="29"/>
        <v>78</v>
      </c>
      <c r="AT195" s="176">
        <f t="shared" ca="1" si="30"/>
        <v>8</v>
      </c>
      <c r="AU195" s="176"/>
      <c r="AV195" s="176" t="s">
        <v>1967</v>
      </c>
      <c r="AW195" s="176">
        <v>10.71</v>
      </c>
      <c r="AX195" s="176">
        <v>10.72</v>
      </c>
      <c r="AY195" s="173">
        <v>10.744999999999999</v>
      </c>
      <c r="AZ195" s="142">
        <v>10.75</v>
      </c>
      <c r="BA195" s="142" t="str">
        <f t="shared" si="26"/>
        <v/>
      </c>
      <c r="BB195" s="142">
        <v>459</v>
      </c>
      <c r="BD195" s="142" t="s">
        <v>123</v>
      </c>
    </row>
    <row r="196" spans="2:56" s="142" customFormat="1" ht="21" customHeight="1" x14ac:dyDescent="0.25">
      <c r="B196" s="173" t="str">
        <f t="shared" si="27"/>
        <v>0-304L/2B-1.20X767</v>
      </c>
      <c r="C196" s="201" t="s">
        <v>5331</v>
      </c>
      <c r="D196" s="173" t="s">
        <v>776</v>
      </c>
      <c r="E196" s="173" t="s">
        <v>2468</v>
      </c>
      <c r="F196" s="201" t="s">
        <v>2469</v>
      </c>
      <c r="G196" s="173" t="s">
        <v>182</v>
      </c>
      <c r="H196" s="173" t="s">
        <v>114</v>
      </c>
      <c r="I196" s="174">
        <v>3.58</v>
      </c>
      <c r="J196" s="174">
        <v>1.2</v>
      </c>
      <c r="K196" s="174"/>
      <c r="L196" s="174"/>
      <c r="M196" s="380">
        <v>767</v>
      </c>
      <c r="N196" s="176">
        <v>5.0650000000000004</v>
      </c>
      <c r="O196" s="381">
        <v>5.0650000000000004</v>
      </c>
      <c r="P196" s="382"/>
      <c r="Q196" s="176"/>
      <c r="R196" s="176"/>
      <c r="S196" s="176"/>
      <c r="T196" s="383"/>
      <c r="U196" s="380">
        <v>767</v>
      </c>
      <c r="V196" s="371" t="s">
        <v>114</v>
      </c>
      <c r="W196" s="384"/>
      <c r="X196" s="178" t="s">
        <v>314</v>
      </c>
      <c r="Y196" s="385" t="s">
        <v>1344</v>
      </c>
      <c r="Z196" s="385"/>
      <c r="AA196" s="177">
        <v>44923</v>
      </c>
      <c r="AB196" s="177"/>
      <c r="AC196" s="177">
        <v>44924</v>
      </c>
      <c r="AD196" s="177"/>
      <c r="AE196" s="177"/>
      <c r="AF196" s="177">
        <v>44947</v>
      </c>
      <c r="AG196" s="177">
        <v>44952</v>
      </c>
      <c r="AH196" s="177"/>
      <c r="AI196" s="180"/>
      <c r="AJ196" s="173"/>
      <c r="AK196" s="173" t="s">
        <v>2470</v>
      </c>
      <c r="AL196" s="181" t="s">
        <v>69</v>
      </c>
      <c r="AM196" s="181" t="s">
        <v>142</v>
      </c>
      <c r="AN196" s="181" t="s">
        <v>1584</v>
      </c>
      <c r="AO196" s="181"/>
      <c r="AP196" s="181">
        <v>44914</v>
      </c>
      <c r="AQ196" s="173"/>
      <c r="AR196" s="181">
        <f t="shared" ca="1" si="28"/>
        <v>44958</v>
      </c>
      <c r="AS196" s="176">
        <f t="shared" ca="1" si="29"/>
        <v>44</v>
      </c>
      <c r="AT196" s="176" t="str">
        <f t="shared" si="30"/>
        <v/>
      </c>
      <c r="AU196" s="176"/>
      <c r="AV196" s="176" t="s">
        <v>2471</v>
      </c>
      <c r="AW196" s="176">
        <v>10.305</v>
      </c>
      <c r="AX196" s="176">
        <v>10.315</v>
      </c>
      <c r="AY196" s="173">
        <v>10.339999999999998</v>
      </c>
      <c r="AZ196" s="142">
        <v>10.344999999999999</v>
      </c>
      <c r="BA196" s="142">
        <f t="shared" ca="1" si="26"/>
        <v>34</v>
      </c>
      <c r="BB196" s="142">
        <v>462</v>
      </c>
      <c r="BD196" s="142" t="s">
        <v>123</v>
      </c>
    </row>
    <row r="197" spans="2:56" s="142" customFormat="1" ht="21" customHeight="1" x14ac:dyDescent="0.25">
      <c r="B197" s="173" t="str">
        <f t="shared" si="27"/>
        <v>0-304/2B-0.90X780</v>
      </c>
      <c r="C197" s="201" t="s">
        <v>5332</v>
      </c>
      <c r="D197" s="173" t="s">
        <v>836</v>
      </c>
      <c r="E197" s="173" t="s">
        <v>3902</v>
      </c>
      <c r="F197" s="201" t="s">
        <v>5060</v>
      </c>
      <c r="G197" s="173">
        <v>304</v>
      </c>
      <c r="H197" s="173" t="s">
        <v>114</v>
      </c>
      <c r="I197" s="174">
        <v>2.92</v>
      </c>
      <c r="J197" s="174">
        <v>0.9</v>
      </c>
      <c r="K197" s="174">
        <v>0.9</v>
      </c>
      <c r="L197" s="174">
        <v>0.92</v>
      </c>
      <c r="M197" s="380">
        <v>780</v>
      </c>
      <c r="N197" s="176">
        <v>6.5049999999999999</v>
      </c>
      <c r="O197" s="381">
        <v>6.2549999999999999</v>
      </c>
      <c r="P197" s="382"/>
      <c r="Q197" s="176">
        <v>0.08</v>
      </c>
      <c r="R197" s="176"/>
      <c r="S197" s="176">
        <v>0.06</v>
      </c>
      <c r="T197" s="383"/>
      <c r="U197" s="380">
        <v>780</v>
      </c>
      <c r="V197" s="371" t="s">
        <v>114</v>
      </c>
      <c r="W197" s="384"/>
      <c r="X197" s="178" t="s">
        <v>1210</v>
      </c>
      <c r="Y197" s="385"/>
      <c r="Z197" s="385"/>
      <c r="AA197" s="177">
        <v>44934</v>
      </c>
      <c r="AB197" s="177"/>
      <c r="AC197" s="177">
        <v>44935</v>
      </c>
      <c r="AD197" s="177"/>
      <c r="AE197" s="177"/>
      <c r="AF197" s="177">
        <v>44950</v>
      </c>
      <c r="AG197" s="177">
        <v>44952</v>
      </c>
      <c r="AH197" s="177">
        <v>44929</v>
      </c>
      <c r="AI197" s="180"/>
      <c r="AJ197" s="173"/>
      <c r="AK197" s="173" t="s">
        <v>1345</v>
      </c>
      <c r="AL197" s="181" t="s">
        <v>69</v>
      </c>
      <c r="AM197" s="181" t="s">
        <v>142</v>
      </c>
      <c r="AN197" s="181" t="s">
        <v>1346</v>
      </c>
      <c r="AO197" s="181"/>
      <c r="AP197" s="181">
        <v>44813</v>
      </c>
      <c r="AQ197" s="173"/>
      <c r="AR197" s="181">
        <f t="shared" ca="1" si="28"/>
        <v>44958</v>
      </c>
      <c r="AS197" s="176">
        <f t="shared" ca="1" si="29"/>
        <v>145</v>
      </c>
      <c r="AT197" s="176" t="str">
        <f t="shared" si="30"/>
        <v/>
      </c>
      <c r="AU197" s="176"/>
      <c r="AV197" s="176" t="s">
        <v>3904</v>
      </c>
      <c r="AW197" s="176">
        <v>21.43</v>
      </c>
      <c r="AX197" s="176">
        <v>21.49</v>
      </c>
      <c r="AY197" s="173">
        <v>21.515000000000001</v>
      </c>
      <c r="AZ197" s="142">
        <v>21.52</v>
      </c>
      <c r="BA197" s="142">
        <f t="shared" ca="1" si="26"/>
        <v>23</v>
      </c>
      <c r="BB197" s="142">
        <v>451</v>
      </c>
      <c r="BD197" s="142" t="s">
        <v>123</v>
      </c>
    </row>
    <row r="198" spans="2:56" s="142" customFormat="1" ht="21" customHeight="1" x14ac:dyDescent="0.25">
      <c r="B198" s="173" t="str">
        <f t="shared" si="27"/>
        <v>0-304L/2B-1.00X769</v>
      </c>
      <c r="C198" s="201" t="s">
        <v>5333</v>
      </c>
      <c r="D198" s="173" t="s">
        <v>4432</v>
      </c>
      <c r="E198" s="173" t="s">
        <v>4134</v>
      </c>
      <c r="F198" s="201" t="s">
        <v>5051</v>
      </c>
      <c r="G198" s="173" t="s">
        <v>182</v>
      </c>
      <c r="H198" s="173" t="s">
        <v>114</v>
      </c>
      <c r="I198" s="174">
        <v>2.99</v>
      </c>
      <c r="J198" s="174">
        <v>1</v>
      </c>
      <c r="K198" s="174">
        <v>0.95</v>
      </c>
      <c r="L198" s="174">
        <v>0.98</v>
      </c>
      <c r="M198" s="380">
        <v>769</v>
      </c>
      <c r="N198" s="176">
        <v>3.0249999999999999</v>
      </c>
      <c r="O198" s="381">
        <v>3.0249999999999999</v>
      </c>
      <c r="P198" s="382"/>
      <c r="Q198" s="176"/>
      <c r="R198" s="176"/>
      <c r="S198" s="176"/>
      <c r="T198" s="383"/>
      <c r="U198" s="380">
        <v>765</v>
      </c>
      <c r="V198" s="371" t="s">
        <v>114</v>
      </c>
      <c r="W198" s="384" t="s">
        <v>4890</v>
      </c>
      <c r="X198" s="178" t="s">
        <v>511</v>
      </c>
      <c r="Y198" s="385"/>
      <c r="Z198" s="385"/>
      <c r="AA198" s="177">
        <v>44944</v>
      </c>
      <c r="AB198" s="177"/>
      <c r="AC198" s="177">
        <v>44944</v>
      </c>
      <c r="AD198" s="177"/>
      <c r="AE198" s="177"/>
      <c r="AF198" s="177">
        <v>44950</v>
      </c>
      <c r="AG198" s="177"/>
      <c r="AH198" s="177"/>
      <c r="AI198" s="180"/>
      <c r="AJ198" s="173"/>
      <c r="AK198" s="173" t="s">
        <v>2448</v>
      </c>
      <c r="AL198" s="181" t="s">
        <v>69</v>
      </c>
      <c r="AM198" s="181" t="s">
        <v>142</v>
      </c>
      <c r="AN198" s="181" t="s">
        <v>1584</v>
      </c>
      <c r="AO198" s="181"/>
      <c r="AP198" s="181">
        <v>44914</v>
      </c>
      <c r="AQ198" s="173"/>
      <c r="AR198" s="181">
        <f t="shared" ca="1" si="28"/>
        <v>44958</v>
      </c>
      <c r="AS198" s="176">
        <f t="shared" ca="1" si="29"/>
        <v>44</v>
      </c>
      <c r="AT198" s="176" t="str">
        <f t="shared" si="30"/>
        <v/>
      </c>
      <c r="AU198" s="176"/>
      <c r="AV198" s="176" t="s">
        <v>4136</v>
      </c>
      <c r="AW198" s="176">
        <v>7.98</v>
      </c>
      <c r="AX198" s="176">
        <v>7.99</v>
      </c>
      <c r="AY198" s="173">
        <v>8.0149999999999988</v>
      </c>
      <c r="AZ198" s="142">
        <v>8.02</v>
      </c>
      <c r="BA198" s="142">
        <f t="shared" ca="1" si="26"/>
        <v>14</v>
      </c>
      <c r="BB198" s="142">
        <v>462</v>
      </c>
      <c r="BD198" s="142" t="s">
        <v>123</v>
      </c>
    </row>
    <row r="199" spans="2:56" s="142" customFormat="1" ht="21" customHeight="1" x14ac:dyDescent="0.25">
      <c r="B199" s="173" t="str">
        <f t="shared" si="27"/>
        <v>0-304/2B-1.00X769</v>
      </c>
      <c r="C199" s="201" t="s">
        <v>5333</v>
      </c>
      <c r="D199" s="173" t="s">
        <v>4432</v>
      </c>
      <c r="E199" s="173" t="s">
        <v>4138</v>
      </c>
      <c r="F199" s="201" t="s">
        <v>5334</v>
      </c>
      <c r="G199" s="173">
        <v>304</v>
      </c>
      <c r="H199" s="173" t="s">
        <v>114</v>
      </c>
      <c r="I199" s="174">
        <v>2.9</v>
      </c>
      <c r="J199" s="174">
        <v>1</v>
      </c>
      <c r="K199" s="174">
        <v>0.97</v>
      </c>
      <c r="L199" s="174">
        <v>0.98</v>
      </c>
      <c r="M199" s="380">
        <v>769</v>
      </c>
      <c r="N199" s="176">
        <v>2.6349999999999998</v>
      </c>
      <c r="O199" s="381">
        <v>2.6349999999999998</v>
      </c>
      <c r="P199" s="382"/>
      <c r="Q199" s="176"/>
      <c r="R199" s="176"/>
      <c r="S199" s="176"/>
      <c r="T199" s="383"/>
      <c r="U199" s="380">
        <v>765</v>
      </c>
      <c r="V199" s="371" t="s">
        <v>114</v>
      </c>
      <c r="W199" s="384" t="s">
        <v>4890</v>
      </c>
      <c r="X199" s="178" t="s">
        <v>511</v>
      </c>
      <c r="Y199" s="385"/>
      <c r="Z199" s="385"/>
      <c r="AA199" s="177">
        <v>44944</v>
      </c>
      <c r="AB199" s="177"/>
      <c r="AC199" s="177">
        <v>44944</v>
      </c>
      <c r="AD199" s="177"/>
      <c r="AE199" s="177"/>
      <c r="AF199" s="177">
        <v>44949</v>
      </c>
      <c r="AG199" s="177"/>
      <c r="AH199" s="177"/>
      <c r="AI199" s="180"/>
      <c r="AJ199" s="173"/>
      <c r="AK199" s="173" t="s">
        <v>2448</v>
      </c>
      <c r="AL199" s="181" t="s">
        <v>69</v>
      </c>
      <c r="AM199" s="181" t="s">
        <v>142</v>
      </c>
      <c r="AN199" s="181" t="s">
        <v>1584</v>
      </c>
      <c r="AO199" s="181"/>
      <c r="AP199" s="181">
        <v>44914</v>
      </c>
      <c r="AQ199" s="173"/>
      <c r="AR199" s="181">
        <f t="shared" ca="1" si="28"/>
        <v>44958</v>
      </c>
      <c r="AS199" s="176">
        <f t="shared" ca="1" si="29"/>
        <v>44</v>
      </c>
      <c r="AT199" s="176" t="str">
        <f t="shared" si="30"/>
        <v/>
      </c>
      <c r="AU199" s="176"/>
      <c r="AV199" s="176" t="s">
        <v>4140</v>
      </c>
      <c r="AW199" s="176">
        <v>10.545</v>
      </c>
      <c r="AX199" s="176">
        <v>10.555</v>
      </c>
      <c r="AY199" s="173">
        <v>10.579999999999998</v>
      </c>
      <c r="AZ199" s="142">
        <v>10.584999999999999</v>
      </c>
      <c r="BA199" s="142">
        <f t="shared" ca="1" si="26"/>
        <v>14</v>
      </c>
      <c r="BB199" s="142">
        <v>462</v>
      </c>
      <c r="BD199" s="142" t="s">
        <v>123</v>
      </c>
    </row>
    <row r="200" spans="2:56" s="142" customFormat="1" ht="21" customHeight="1" x14ac:dyDescent="0.25">
      <c r="B200" s="173" t="str">
        <f t="shared" si="27"/>
        <v>0-304/2B-0.90X780</v>
      </c>
      <c r="C200" s="201" t="s">
        <v>5333</v>
      </c>
      <c r="D200" s="173" t="s">
        <v>4432</v>
      </c>
      <c r="E200" s="173" t="s">
        <v>3902</v>
      </c>
      <c r="F200" s="201" t="s">
        <v>5059</v>
      </c>
      <c r="G200" s="173">
        <v>304</v>
      </c>
      <c r="H200" s="173" t="s">
        <v>114</v>
      </c>
      <c r="I200" s="174">
        <v>2.92</v>
      </c>
      <c r="J200" s="174">
        <v>0.9</v>
      </c>
      <c r="K200" s="174">
        <v>0.9</v>
      </c>
      <c r="L200" s="174">
        <v>0.92</v>
      </c>
      <c r="M200" s="380">
        <v>780</v>
      </c>
      <c r="N200" s="176">
        <v>4.1500000000000004</v>
      </c>
      <c r="O200" s="381">
        <v>3.89</v>
      </c>
      <c r="P200" s="382"/>
      <c r="Q200" s="176">
        <v>4.4999999999999998E-2</v>
      </c>
      <c r="R200" s="176"/>
      <c r="S200" s="176">
        <v>0.215</v>
      </c>
      <c r="T200" s="383"/>
      <c r="U200" s="380">
        <v>740</v>
      </c>
      <c r="V200" s="371" t="s">
        <v>114</v>
      </c>
      <c r="W200" s="384" t="s">
        <v>4873</v>
      </c>
      <c r="X200" s="178" t="s">
        <v>1210</v>
      </c>
      <c r="Y200" s="385"/>
      <c r="Z200" s="385"/>
      <c r="AA200" s="177">
        <v>44934</v>
      </c>
      <c r="AB200" s="177"/>
      <c r="AC200" s="177">
        <v>44935</v>
      </c>
      <c r="AD200" s="177"/>
      <c r="AE200" s="177"/>
      <c r="AF200" s="177">
        <v>44950</v>
      </c>
      <c r="AG200" s="177"/>
      <c r="AH200" s="177">
        <v>44929</v>
      </c>
      <c r="AI200" s="180"/>
      <c r="AJ200" s="173"/>
      <c r="AK200" s="173" t="s">
        <v>1345</v>
      </c>
      <c r="AL200" s="181" t="s">
        <v>69</v>
      </c>
      <c r="AM200" s="181" t="s">
        <v>142</v>
      </c>
      <c r="AN200" s="181" t="s">
        <v>1346</v>
      </c>
      <c r="AO200" s="181"/>
      <c r="AP200" s="181">
        <v>44813</v>
      </c>
      <c r="AQ200" s="173"/>
      <c r="AR200" s="181">
        <f t="shared" ca="1" si="28"/>
        <v>44958</v>
      </c>
      <c r="AS200" s="176">
        <f t="shared" ca="1" si="29"/>
        <v>145</v>
      </c>
      <c r="AT200" s="176" t="str">
        <f t="shared" si="30"/>
        <v/>
      </c>
      <c r="AU200" s="176"/>
      <c r="AV200" s="176" t="s">
        <v>3904</v>
      </c>
      <c r="AW200" s="176">
        <v>21.43</v>
      </c>
      <c r="AX200" s="176">
        <v>21.49</v>
      </c>
      <c r="AY200" s="173">
        <v>21.515000000000001</v>
      </c>
      <c r="AZ200" s="142">
        <v>21.52</v>
      </c>
      <c r="BA200" s="142">
        <f t="shared" ca="1" si="26"/>
        <v>23</v>
      </c>
      <c r="BB200" s="142">
        <v>451</v>
      </c>
      <c r="BD200" s="142" t="s">
        <v>123</v>
      </c>
    </row>
    <row r="201" spans="2:56" s="142" customFormat="1" ht="21" customHeight="1" x14ac:dyDescent="0.25">
      <c r="B201" s="173" t="str">
        <f t="shared" si="27"/>
        <v>0-304/2B-0.90X780</v>
      </c>
      <c r="C201" s="201" t="s">
        <v>5335</v>
      </c>
      <c r="D201" s="173" t="s">
        <v>4432</v>
      </c>
      <c r="E201" s="173" t="s">
        <v>3902</v>
      </c>
      <c r="F201" s="201" t="s">
        <v>5060</v>
      </c>
      <c r="G201" s="173">
        <v>304</v>
      </c>
      <c r="H201" s="173" t="s">
        <v>114</v>
      </c>
      <c r="I201" s="174">
        <v>2.92</v>
      </c>
      <c r="J201" s="174">
        <v>0.9</v>
      </c>
      <c r="K201" s="174">
        <v>0.9</v>
      </c>
      <c r="L201" s="174">
        <v>0.92</v>
      </c>
      <c r="M201" s="380">
        <v>780</v>
      </c>
      <c r="N201" s="176">
        <v>6.2549999999999999</v>
      </c>
      <c r="O201" s="381">
        <v>6.2050000000000001</v>
      </c>
      <c r="P201" s="382"/>
      <c r="Q201" s="176"/>
      <c r="R201" s="176"/>
      <c r="S201" s="176"/>
      <c r="T201" s="383"/>
      <c r="U201" s="380">
        <v>760</v>
      </c>
      <c r="V201" s="371" t="s">
        <v>114</v>
      </c>
      <c r="W201" s="384" t="s">
        <v>4873</v>
      </c>
      <c r="X201" s="178" t="s">
        <v>1210</v>
      </c>
      <c r="Y201" s="385"/>
      <c r="Z201" s="385"/>
      <c r="AA201" s="177">
        <v>44934</v>
      </c>
      <c r="AB201" s="177"/>
      <c r="AC201" s="177">
        <v>44935</v>
      </c>
      <c r="AD201" s="177"/>
      <c r="AE201" s="177"/>
      <c r="AF201" s="177">
        <v>44950</v>
      </c>
      <c r="AG201" s="177">
        <v>44952</v>
      </c>
      <c r="AH201" s="177">
        <v>44929</v>
      </c>
      <c r="AI201" s="180"/>
      <c r="AJ201" s="173"/>
      <c r="AK201" s="173" t="s">
        <v>1345</v>
      </c>
      <c r="AL201" s="181" t="s">
        <v>69</v>
      </c>
      <c r="AM201" s="181" t="s">
        <v>142</v>
      </c>
      <c r="AN201" s="181" t="s">
        <v>1346</v>
      </c>
      <c r="AO201" s="181"/>
      <c r="AP201" s="181">
        <v>44813</v>
      </c>
      <c r="AQ201" s="173"/>
      <c r="AR201" s="181">
        <f t="shared" ca="1" si="28"/>
        <v>44958</v>
      </c>
      <c r="AS201" s="176">
        <f t="shared" ca="1" si="29"/>
        <v>145</v>
      </c>
      <c r="AT201" s="176" t="str">
        <f t="shared" si="30"/>
        <v/>
      </c>
      <c r="AU201" s="176"/>
      <c r="AV201" s="176" t="s">
        <v>3904</v>
      </c>
      <c r="AW201" s="176">
        <v>21.43</v>
      </c>
      <c r="AX201" s="176">
        <v>21.49</v>
      </c>
      <c r="AY201" s="173">
        <v>21.515000000000001</v>
      </c>
      <c r="AZ201" s="142">
        <v>21.52</v>
      </c>
      <c r="BA201" s="142">
        <f t="shared" ca="1" si="26"/>
        <v>23</v>
      </c>
      <c r="BB201" s="142">
        <v>451</v>
      </c>
      <c r="BD201" s="142" t="s">
        <v>123</v>
      </c>
    </row>
    <row r="202" spans="2:56" s="142" customFormat="1" ht="21" customHeight="1" x14ac:dyDescent="0.25">
      <c r="B202" s="173" t="str">
        <f t="shared" si="27"/>
        <v>0-304/2B-1.15X777</v>
      </c>
      <c r="C202" s="201" t="s">
        <v>5333</v>
      </c>
      <c r="D202" s="173" t="s">
        <v>4432</v>
      </c>
      <c r="E202" s="173" t="s">
        <v>3914</v>
      </c>
      <c r="F202" s="201" t="s">
        <v>5336</v>
      </c>
      <c r="G202" s="173">
        <v>304</v>
      </c>
      <c r="H202" s="173" t="s">
        <v>114</v>
      </c>
      <c r="I202" s="174">
        <v>2.96</v>
      </c>
      <c r="J202" s="174">
        <v>1.1499999999999999</v>
      </c>
      <c r="K202" s="174">
        <v>1.1299999999999999</v>
      </c>
      <c r="L202" s="174">
        <v>1.1499999999999999</v>
      </c>
      <c r="M202" s="380">
        <v>777</v>
      </c>
      <c r="N202" s="176">
        <v>10.135</v>
      </c>
      <c r="O202" s="381">
        <f>5+4.885</f>
        <v>9.8849999999999998</v>
      </c>
      <c r="P202" s="382"/>
      <c r="Q202" s="176">
        <v>0.115</v>
      </c>
      <c r="R202" s="176"/>
      <c r="S202" s="176"/>
      <c r="T202" s="383"/>
      <c r="U202" s="380">
        <v>760</v>
      </c>
      <c r="V202" s="371" t="s">
        <v>114</v>
      </c>
      <c r="W202" s="384" t="s">
        <v>4873</v>
      </c>
      <c r="X202" s="178" t="s">
        <v>1210</v>
      </c>
      <c r="Y202" s="385"/>
      <c r="Z202" s="385"/>
      <c r="AA202" s="177">
        <v>44931</v>
      </c>
      <c r="AB202" s="177"/>
      <c r="AC202" s="177">
        <v>44932</v>
      </c>
      <c r="AD202" s="177"/>
      <c r="AE202" s="177"/>
      <c r="AF202" s="177">
        <v>44948</v>
      </c>
      <c r="AG202" s="177"/>
      <c r="AH202" s="177">
        <v>44928</v>
      </c>
      <c r="AI202" s="180"/>
      <c r="AJ202" s="173"/>
      <c r="AK202" s="173" t="s">
        <v>1345</v>
      </c>
      <c r="AL202" s="181" t="s">
        <v>69</v>
      </c>
      <c r="AM202" s="181" t="s">
        <v>142</v>
      </c>
      <c r="AN202" s="181" t="s">
        <v>1346</v>
      </c>
      <c r="AO202" s="181"/>
      <c r="AP202" s="181">
        <v>44813</v>
      </c>
      <c r="AQ202" s="173"/>
      <c r="AR202" s="181">
        <f t="shared" ca="1" si="28"/>
        <v>44958</v>
      </c>
      <c r="AS202" s="176">
        <f t="shared" ca="1" si="29"/>
        <v>145</v>
      </c>
      <c r="AT202" s="176" t="str">
        <f t="shared" si="30"/>
        <v/>
      </c>
      <c r="AU202" s="176"/>
      <c r="AV202" s="176" t="s">
        <v>3916</v>
      </c>
      <c r="AW202" s="176">
        <v>21.39</v>
      </c>
      <c r="AX202" s="176">
        <v>21.45</v>
      </c>
      <c r="AY202" s="173">
        <v>21.475000000000001</v>
      </c>
      <c r="AZ202" s="142">
        <v>21.48</v>
      </c>
      <c r="BA202" s="142">
        <f t="shared" ca="1" si="26"/>
        <v>26</v>
      </c>
      <c r="BB202" s="142">
        <v>451</v>
      </c>
      <c r="BD202" s="142" t="s">
        <v>123</v>
      </c>
    </row>
    <row r="203" spans="2:56" s="142" customFormat="1" ht="21" customHeight="1" x14ac:dyDescent="0.25">
      <c r="B203" s="173" t="str">
        <f>IF(U203="MULTI","FGM","FGC")&amp;"-"&amp;G203&amp;"/"&amp;H203&amp;"-"&amp;TEXT(J203,"0.00")&amp;"X"&amp;IF(U203="MULTI",M203,U203)</f>
        <v>FGC-304L/2B-1.00X635</v>
      </c>
      <c r="C203" s="201" t="s">
        <v>5337</v>
      </c>
      <c r="D203" s="173" t="s">
        <v>4432</v>
      </c>
      <c r="E203" s="173" t="s">
        <v>4103</v>
      </c>
      <c r="F203" s="201" t="s">
        <v>5338</v>
      </c>
      <c r="G203" s="173" t="s">
        <v>182</v>
      </c>
      <c r="H203" s="173" t="s">
        <v>114</v>
      </c>
      <c r="I203" s="174">
        <v>2.82</v>
      </c>
      <c r="J203" s="174">
        <v>1</v>
      </c>
      <c r="K203" s="174">
        <v>0.97</v>
      </c>
      <c r="L203" s="174">
        <v>0.99</v>
      </c>
      <c r="M203" s="380">
        <v>644</v>
      </c>
      <c r="N203" s="176">
        <v>2.77</v>
      </c>
      <c r="O203" s="381">
        <v>2.71</v>
      </c>
      <c r="P203" s="382"/>
      <c r="Q203" s="176"/>
      <c r="R203" s="176">
        <v>0.02</v>
      </c>
      <c r="S203" s="176">
        <v>0.04</v>
      </c>
      <c r="T203" s="383"/>
      <c r="U203" s="380">
        <v>635</v>
      </c>
      <c r="V203" s="371" t="s">
        <v>114</v>
      </c>
      <c r="W203" s="384" t="s">
        <v>4890</v>
      </c>
      <c r="X203" s="178" t="s">
        <v>511</v>
      </c>
      <c r="Y203" s="385"/>
      <c r="Z203" s="385"/>
      <c r="AA203" s="177">
        <v>44941</v>
      </c>
      <c r="AB203" s="177">
        <v>44945</v>
      </c>
      <c r="AC203" s="177"/>
      <c r="AD203" s="177">
        <v>44941</v>
      </c>
      <c r="AE203" s="177">
        <v>44950</v>
      </c>
      <c r="AF203" s="177"/>
      <c r="AG203" s="177"/>
      <c r="AH203" s="177"/>
      <c r="AI203" s="180"/>
      <c r="AJ203" s="173"/>
      <c r="AK203" s="173" t="s">
        <v>2479</v>
      </c>
      <c r="AL203" s="181" t="s">
        <v>69</v>
      </c>
      <c r="AM203" s="181" t="s">
        <v>142</v>
      </c>
      <c r="AN203" s="181" t="s">
        <v>1653</v>
      </c>
      <c r="AO203" s="181"/>
      <c r="AP203" s="181">
        <v>44880</v>
      </c>
      <c r="AQ203" s="173"/>
      <c r="AR203" s="181">
        <f t="shared" ca="1" si="28"/>
        <v>44958</v>
      </c>
      <c r="AS203" s="176">
        <f t="shared" ca="1" si="29"/>
        <v>78</v>
      </c>
      <c r="AT203" s="176">
        <f t="shared" ca="1" si="30"/>
        <v>8</v>
      </c>
      <c r="AU203" s="176"/>
      <c r="AV203" s="176" t="s">
        <v>1967</v>
      </c>
      <c r="AW203" s="176">
        <v>10.71</v>
      </c>
      <c r="AX203" s="176">
        <v>10.72</v>
      </c>
      <c r="AY203" s="173">
        <v>10.744999999999999</v>
      </c>
      <c r="AZ203" s="142">
        <v>10.75</v>
      </c>
      <c r="BA203" s="142" t="str">
        <f t="shared" si="26"/>
        <v/>
      </c>
      <c r="BB203" s="142">
        <v>459</v>
      </c>
      <c r="BD203" s="142" t="s">
        <v>123</v>
      </c>
    </row>
    <row r="204" spans="2:56" s="142" customFormat="1" ht="21" customHeight="1" x14ac:dyDescent="0.25">
      <c r="B204" s="173" t="str">
        <f>IF(U204="MULTI","FGM","FGC")&amp;"-"&amp;G204&amp;"/"&amp;H204&amp;"-"&amp;TEXT(J204,"0.00")&amp;"X"&amp;IF(U204="MULTI",M204,U204)</f>
        <v>FGC-304L/2B-1.00X635</v>
      </c>
      <c r="C204" s="201" t="s">
        <v>5337</v>
      </c>
      <c r="D204" s="173" t="s">
        <v>4432</v>
      </c>
      <c r="E204" s="173" t="s">
        <v>4103</v>
      </c>
      <c r="F204" s="201" t="s">
        <v>5339</v>
      </c>
      <c r="G204" s="173" t="s">
        <v>182</v>
      </c>
      <c r="H204" s="173" t="s">
        <v>114</v>
      </c>
      <c r="I204" s="174">
        <v>2.82</v>
      </c>
      <c r="J204" s="174">
        <v>1</v>
      </c>
      <c r="K204" s="174">
        <v>0.97</v>
      </c>
      <c r="L204" s="174">
        <v>0.99</v>
      </c>
      <c r="M204" s="380">
        <v>644</v>
      </c>
      <c r="N204" s="176">
        <f>2.765</f>
        <v>2.7650000000000001</v>
      </c>
      <c r="O204" s="381">
        <v>2.68</v>
      </c>
      <c r="P204" s="382"/>
      <c r="Q204" s="176"/>
      <c r="R204" s="176">
        <v>3.5000000000000003E-2</v>
      </c>
      <c r="S204" s="176">
        <v>0.05</v>
      </c>
      <c r="T204" s="383"/>
      <c r="U204" s="380">
        <v>635</v>
      </c>
      <c r="V204" s="371" t="s">
        <v>114</v>
      </c>
      <c r="W204" s="384" t="s">
        <v>4890</v>
      </c>
      <c r="X204" s="178" t="s">
        <v>511</v>
      </c>
      <c r="Y204" s="385"/>
      <c r="Z204" s="385"/>
      <c r="AA204" s="177">
        <v>44941</v>
      </c>
      <c r="AB204" s="177">
        <v>44945</v>
      </c>
      <c r="AC204" s="177"/>
      <c r="AD204" s="177">
        <v>44941</v>
      </c>
      <c r="AE204" s="177">
        <v>44950</v>
      </c>
      <c r="AF204" s="177"/>
      <c r="AG204" s="177"/>
      <c r="AH204" s="177"/>
      <c r="AI204" s="180"/>
      <c r="AJ204" s="173"/>
      <c r="AK204" s="173" t="s">
        <v>2479</v>
      </c>
      <c r="AL204" s="181" t="s">
        <v>69</v>
      </c>
      <c r="AM204" s="181" t="s">
        <v>142</v>
      </c>
      <c r="AN204" s="181" t="s">
        <v>1653</v>
      </c>
      <c r="AO204" s="181"/>
      <c r="AP204" s="181">
        <v>44880</v>
      </c>
      <c r="AQ204" s="173"/>
      <c r="AR204" s="181">
        <f t="shared" ca="1" si="28"/>
        <v>44958</v>
      </c>
      <c r="AS204" s="176">
        <f t="shared" ca="1" si="29"/>
        <v>78</v>
      </c>
      <c r="AT204" s="176">
        <f t="shared" ca="1" si="30"/>
        <v>8</v>
      </c>
      <c r="AU204" s="176"/>
      <c r="AV204" s="176" t="s">
        <v>1967</v>
      </c>
      <c r="AW204" s="176">
        <v>10.71</v>
      </c>
      <c r="AX204" s="176">
        <v>10.72</v>
      </c>
      <c r="AY204" s="173">
        <v>10.744999999999999</v>
      </c>
      <c r="AZ204" s="142">
        <v>10.75</v>
      </c>
      <c r="BA204" s="142" t="str">
        <f t="shared" si="26"/>
        <v/>
      </c>
      <c r="BB204" s="142">
        <v>459</v>
      </c>
      <c r="BD204" s="142" t="s">
        <v>123</v>
      </c>
    </row>
    <row r="205" spans="2:56" s="142" customFormat="1" ht="21" customHeight="1" x14ac:dyDescent="0.25">
      <c r="B205" s="173" t="str">
        <f>IF(U205="MULTI","FGM","FGC")&amp;"-"&amp;G205&amp;"/"&amp;H205&amp;"-"&amp;TEXT(J205,"0.00")&amp;"X"&amp;IF(U205="MULTI",M205,U205)</f>
        <v>FGC-304L/2B-1.00X635</v>
      </c>
      <c r="C205" s="201" t="s">
        <v>5337</v>
      </c>
      <c r="D205" s="173" t="s">
        <v>4432</v>
      </c>
      <c r="E205" s="173" t="s">
        <v>4103</v>
      </c>
      <c r="F205" s="201" t="s">
        <v>5340</v>
      </c>
      <c r="G205" s="173" t="s">
        <v>182</v>
      </c>
      <c r="H205" s="173" t="s">
        <v>114</v>
      </c>
      <c r="I205" s="174">
        <v>2.82</v>
      </c>
      <c r="J205" s="174">
        <v>1</v>
      </c>
      <c r="K205" s="174">
        <v>0.97</v>
      </c>
      <c r="L205" s="174">
        <v>0.99</v>
      </c>
      <c r="M205" s="380">
        <v>644</v>
      </c>
      <c r="N205" s="176">
        <v>2.56</v>
      </c>
      <c r="O205" s="381">
        <v>2.5099999999999998</v>
      </c>
      <c r="P205" s="382"/>
      <c r="Q205" s="176"/>
      <c r="R205" s="176">
        <v>1.4999999999999999E-2</v>
      </c>
      <c r="S205" s="176">
        <v>3.5000000000000003E-2</v>
      </c>
      <c r="T205" s="383"/>
      <c r="U205" s="380">
        <v>635</v>
      </c>
      <c r="V205" s="371" t="s">
        <v>114</v>
      </c>
      <c r="W205" s="384" t="s">
        <v>4890</v>
      </c>
      <c r="X205" s="178" t="s">
        <v>511</v>
      </c>
      <c r="Y205" s="385"/>
      <c r="Z205" s="385"/>
      <c r="AA205" s="177">
        <v>44941</v>
      </c>
      <c r="AB205" s="177">
        <v>44945</v>
      </c>
      <c r="AC205" s="177"/>
      <c r="AD205" s="177">
        <v>44941</v>
      </c>
      <c r="AE205" s="177">
        <v>44950</v>
      </c>
      <c r="AF205" s="177"/>
      <c r="AG205" s="177"/>
      <c r="AH205" s="177"/>
      <c r="AI205" s="180"/>
      <c r="AJ205" s="173"/>
      <c r="AK205" s="173" t="s">
        <v>2479</v>
      </c>
      <c r="AL205" s="181" t="s">
        <v>69</v>
      </c>
      <c r="AM205" s="181" t="s">
        <v>142</v>
      </c>
      <c r="AN205" s="181" t="s">
        <v>1653</v>
      </c>
      <c r="AO205" s="181"/>
      <c r="AP205" s="181">
        <v>44880</v>
      </c>
      <c r="AQ205" s="173"/>
      <c r="AR205" s="181">
        <f t="shared" ca="1" si="28"/>
        <v>44958</v>
      </c>
      <c r="AS205" s="176">
        <f t="shared" ca="1" si="29"/>
        <v>78</v>
      </c>
      <c r="AT205" s="176">
        <f t="shared" ca="1" si="30"/>
        <v>8</v>
      </c>
      <c r="AU205" s="176"/>
      <c r="AV205" s="176" t="s">
        <v>1967</v>
      </c>
      <c r="AW205" s="176">
        <v>10.71</v>
      </c>
      <c r="AX205" s="176">
        <v>10.72</v>
      </c>
      <c r="AY205" s="173">
        <v>10.744999999999999</v>
      </c>
      <c r="AZ205" s="142">
        <v>10.75</v>
      </c>
      <c r="BA205" s="142" t="str">
        <f t="shared" si="26"/>
        <v/>
      </c>
      <c r="BB205" s="142">
        <v>459</v>
      </c>
      <c r="BD205" s="142" t="s">
        <v>123</v>
      </c>
    </row>
    <row r="206" spans="2:56" s="142" customFormat="1" ht="21" customHeight="1" x14ac:dyDescent="0.25">
      <c r="B206" s="173" t="str">
        <f>IF(U206="MULTI","FGM","FGC")&amp;"-"&amp;G206&amp;"/"&amp;H206&amp;"-"&amp;TEXT(J206,"0.00")&amp;"X"&amp;IF(U206="MULTI",M206,U206)</f>
        <v>FGC-304L/2B-1.00X635</v>
      </c>
      <c r="C206" s="201" t="s">
        <v>5337</v>
      </c>
      <c r="D206" s="173" t="s">
        <v>4432</v>
      </c>
      <c r="E206" s="173" t="s">
        <v>4103</v>
      </c>
      <c r="F206" s="201" t="s">
        <v>5341</v>
      </c>
      <c r="G206" s="173" t="s">
        <v>182</v>
      </c>
      <c r="H206" s="173" t="s">
        <v>114</v>
      </c>
      <c r="I206" s="174">
        <v>2.82</v>
      </c>
      <c r="J206" s="174">
        <v>1</v>
      </c>
      <c r="K206" s="174">
        <v>0.97</v>
      </c>
      <c r="L206" s="174">
        <v>0.99</v>
      </c>
      <c r="M206" s="380">
        <v>644</v>
      </c>
      <c r="N206" s="176">
        <v>2.4750000000000001</v>
      </c>
      <c r="O206" s="381">
        <v>2.4249999999999998</v>
      </c>
      <c r="P206" s="382"/>
      <c r="Q206" s="176"/>
      <c r="R206" s="176">
        <v>1.4999999999999999E-2</v>
      </c>
      <c r="S206" s="176">
        <v>3.5000000000000003E-2</v>
      </c>
      <c r="T206" s="383"/>
      <c r="U206" s="380">
        <v>635</v>
      </c>
      <c r="V206" s="371" t="s">
        <v>114</v>
      </c>
      <c r="W206" s="384" t="s">
        <v>4890</v>
      </c>
      <c r="X206" s="178" t="s">
        <v>511</v>
      </c>
      <c r="Y206" s="385"/>
      <c r="Z206" s="385"/>
      <c r="AA206" s="177">
        <v>44941</v>
      </c>
      <c r="AB206" s="177">
        <v>44945</v>
      </c>
      <c r="AC206" s="177"/>
      <c r="AD206" s="177">
        <v>44941</v>
      </c>
      <c r="AE206" s="177">
        <v>44950</v>
      </c>
      <c r="AF206" s="177"/>
      <c r="AG206" s="177"/>
      <c r="AH206" s="177"/>
      <c r="AI206" s="180"/>
      <c r="AJ206" s="173"/>
      <c r="AK206" s="173" t="s">
        <v>2479</v>
      </c>
      <c r="AL206" s="181" t="s">
        <v>69</v>
      </c>
      <c r="AM206" s="181" t="s">
        <v>142</v>
      </c>
      <c r="AN206" s="181" t="s">
        <v>1653</v>
      </c>
      <c r="AO206" s="181"/>
      <c r="AP206" s="181">
        <v>44880</v>
      </c>
      <c r="AQ206" s="173"/>
      <c r="AR206" s="181">
        <f t="shared" ca="1" si="28"/>
        <v>44958</v>
      </c>
      <c r="AS206" s="176">
        <f t="shared" ca="1" si="29"/>
        <v>78</v>
      </c>
      <c r="AT206" s="176">
        <f t="shared" ca="1" si="30"/>
        <v>8</v>
      </c>
      <c r="AU206" s="176"/>
      <c r="AV206" s="176" t="s">
        <v>1967</v>
      </c>
      <c r="AW206" s="176">
        <v>10.71</v>
      </c>
      <c r="AX206" s="176">
        <v>10.72</v>
      </c>
      <c r="AY206" s="173">
        <v>10.744999999999999</v>
      </c>
      <c r="AZ206" s="142">
        <v>10.75</v>
      </c>
      <c r="BA206" s="142" t="str">
        <f t="shared" si="26"/>
        <v/>
      </c>
      <c r="BB206" s="142">
        <v>459</v>
      </c>
      <c r="BD206" s="142" t="s">
        <v>123</v>
      </c>
    </row>
    <row r="207" spans="2:56" s="142" customFormat="1" ht="21" customHeight="1" x14ac:dyDescent="0.25">
      <c r="B207" s="173" t="str">
        <f t="shared" ref="B207:B231" si="31">IF(C207="HOLD RM","HOLD RM",IF(C207="BAL","WIP",IF(C207="HOLD SLT","HOLD SLT",IF(C207="MILL","RM",IF(C207="RE SLT","WIP",IF(C207="RM","RM",IF(C207="RM BAL","RM",IF(C207="RM SLT","RM",IF(C207="RR","WIP",IF(C207="SKP","WIP",IF(C207="SLT","WIP",IF(C207="CTL","WIP",IF(C207="RM SLT RUST","RM SLT RUST",0)))))))))))))&amp;"-"&amp;G207&amp;"/"&amp;IF(H207="2B","2B",IF(H207="NO.1","1D",IF(H207="FH","FH",0)))&amp;"-"&amp;IF(J207="",(TEXT(I207,"0.00")),TEXT(J207,"0.00"))&amp;"X"&amp;M207</f>
        <v>0-J3/2B-0.73X620</v>
      </c>
      <c r="C207" s="201" t="s">
        <v>5333</v>
      </c>
      <c r="D207" s="173" t="s">
        <v>4432</v>
      </c>
      <c r="E207" s="173" t="s">
        <v>4908</v>
      </c>
      <c r="F207" s="201" t="s">
        <v>5342</v>
      </c>
      <c r="G207" s="173" t="s">
        <v>34</v>
      </c>
      <c r="H207" s="173" t="s">
        <v>114</v>
      </c>
      <c r="I207" s="174">
        <v>2.2000000000000002</v>
      </c>
      <c r="J207" s="174">
        <v>0.73</v>
      </c>
      <c r="K207" s="174">
        <v>0.7</v>
      </c>
      <c r="L207" s="174">
        <v>0.73</v>
      </c>
      <c r="M207" s="380">
        <v>620</v>
      </c>
      <c r="N207" s="176">
        <f>10.04-5.015</f>
        <v>5.0249999999999995</v>
      </c>
      <c r="O207" s="381">
        <v>4.875</v>
      </c>
      <c r="P207" s="382"/>
      <c r="Q207" s="176"/>
      <c r="R207" s="176">
        <v>0.02</v>
      </c>
      <c r="S207" s="176">
        <v>0.13</v>
      </c>
      <c r="T207" s="383"/>
      <c r="U207" s="380" t="s">
        <v>5124</v>
      </c>
      <c r="V207" s="371" t="s">
        <v>114</v>
      </c>
      <c r="W207" s="384" t="s">
        <v>5308</v>
      </c>
      <c r="X207" s="178" t="s">
        <v>361</v>
      </c>
      <c r="Y207" s="385"/>
      <c r="Z207" s="385"/>
      <c r="AA207" s="177">
        <v>44829</v>
      </c>
      <c r="AB207" s="177"/>
      <c r="AC207" s="177">
        <v>44831</v>
      </c>
      <c r="AD207" s="177"/>
      <c r="AE207" s="177">
        <v>44951</v>
      </c>
      <c r="AF207" s="177"/>
      <c r="AG207" s="177"/>
      <c r="AH207" s="177"/>
      <c r="AI207" s="180"/>
      <c r="AJ207" s="173"/>
      <c r="AK207" s="173"/>
      <c r="AL207" s="181" t="s">
        <v>69</v>
      </c>
      <c r="AM207" s="181" t="s">
        <v>248</v>
      </c>
      <c r="AN207" s="181" t="s">
        <v>1145</v>
      </c>
      <c r="AO207" s="181">
        <v>44752</v>
      </c>
      <c r="AP207" s="181">
        <v>44778</v>
      </c>
      <c r="AQ207" s="173"/>
      <c r="AR207" s="181">
        <f t="shared" ca="1" si="28"/>
        <v>44958</v>
      </c>
      <c r="AS207" s="176">
        <f t="shared" ca="1" si="29"/>
        <v>180</v>
      </c>
      <c r="AT207" s="176">
        <f t="shared" ca="1" si="30"/>
        <v>7</v>
      </c>
      <c r="AU207" s="176"/>
      <c r="AV207" s="176" t="s">
        <v>1199</v>
      </c>
      <c r="AW207" s="176">
        <v>10.093999999999999</v>
      </c>
      <c r="AX207" s="176">
        <f>AW207+0.04</f>
        <v>10.133999999999999</v>
      </c>
      <c r="AY207" s="173">
        <v>10.158999999999997</v>
      </c>
      <c r="AZ207" s="142">
        <v>10.163999999999998</v>
      </c>
      <c r="BA207" s="142">
        <f t="shared" ca="1" si="26"/>
        <v>127</v>
      </c>
      <c r="BB207" s="142">
        <v>445</v>
      </c>
      <c r="BD207" s="142" t="s">
        <v>123</v>
      </c>
    </row>
    <row r="208" spans="2:56" s="142" customFormat="1" ht="21" customHeight="1" x14ac:dyDescent="0.25">
      <c r="B208" s="173" t="str">
        <f t="shared" si="31"/>
        <v>0-J3/2B-0.73X620</v>
      </c>
      <c r="C208" s="201" t="s">
        <v>5333</v>
      </c>
      <c r="D208" s="173" t="s">
        <v>4432</v>
      </c>
      <c r="E208" s="173" t="s">
        <v>4910</v>
      </c>
      <c r="F208" s="201" t="s">
        <v>5343</v>
      </c>
      <c r="G208" s="173" t="s">
        <v>34</v>
      </c>
      <c r="H208" s="173" t="s">
        <v>114</v>
      </c>
      <c r="I208" s="174">
        <v>2.2000000000000002</v>
      </c>
      <c r="J208" s="174">
        <v>0.73</v>
      </c>
      <c r="K208" s="174">
        <v>0.68</v>
      </c>
      <c r="L208" s="174">
        <v>0.71</v>
      </c>
      <c r="M208" s="380">
        <v>620</v>
      </c>
      <c r="N208" s="176">
        <v>9.8949999999999996</v>
      </c>
      <c r="O208" s="381">
        <f>4.94+4.775</f>
        <v>9.7149999999999999</v>
      </c>
      <c r="P208" s="382"/>
      <c r="Q208" s="176">
        <v>2.5000000000000001E-2</v>
      </c>
      <c r="R208" s="176"/>
      <c r="S208" s="176">
        <v>0.155</v>
      </c>
      <c r="T208" s="383"/>
      <c r="U208" s="380" t="s">
        <v>5124</v>
      </c>
      <c r="V208" s="371" t="s">
        <v>114</v>
      </c>
      <c r="W208" s="384" t="s">
        <v>5308</v>
      </c>
      <c r="X208" s="178" t="s">
        <v>361</v>
      </c>
      <c r="Y208" s="385"/>
      <c r="Z208" s="385"/>
      <c r="AA208" s="177">
        <v>44785</v>
      </c>
      <c r="AB208" s="177"/>
      <c r="AC208" s="177">
        <v>44830</v>
      </c>
      <c r="AD208" s="177"/>
      <c r="AE208" s="177">
        <v>44951</v>
      </c>
      <c r="AF208" s="177"/>
      <c r="AG208" s="177"/>
      <c r="AH208" s="177"/>
      <c r="AI208" s="180"/>
      <c r="AJ208" s="173"/>
      <c r="AK208" s="173"/>
      <c r="AL208" s="181" t="s">
        <v>69</v>
      </c>
      <c r="AM208" s="181" t="s">
        <v>119</v>
      </c>
      <c r="AN208" s="181" t="s">
        <v>994</v>
      </c>
      <c r="AO208" s="181">
        <v>44713</v>
      </c>
      <c r="AP208" s="181">
        <v>44747</v>
      </c>
      <c r="AQ208" s="173"/>
      <c r="AR208" s="181">
        <f t="shared" ca="1" si="28"/>
        <v>44958</v>
      </c>
      <c r="AS208" s="176">
        <f t="shared" ca="1" si="29"/>
        <v>211</v>
      </c>
      <c r="AT208" s="176">
        <f t="shared" ca="1" si="30"/>
        <v>7</v>
      </c>
      <c r="AU208" s="176" t="s">
        <v>4912</v>
      </c>
      <c r="AV208" s="176" t="s">
        <v>1044</v>
      </c>
      <c r="AW208" s="176">
        <v>9.9779999999999998</v>
      </c>
      <c r="AX208" s="176">
        <v>9.9979999999999993</v>
      </c>
      <c r="AY208" s="173">
        <v>10.022999999999998</v>
      </c>
      <c r="AZ208" s="142">
        <v>10.027999999999999</v>
      </c>
      <c r="BA208" s="142">
        <f t="shared" ca="1" si="26"/>
        <v>128</v>
      </c>
      <c r="BB208" s="142">
        <v>442</v>
      </c>
      <c r="BD208" s="142" t="s">
        <v>123</v>
      </c>
    </row>
    <row r="209" spans="2:56" s="142" customFormat="1" ht="21" customHeight="1" x14ac:dyDescent="0.25">
      <c r="B209" s="173" t="str">
        <f t="shared" si="31"/>
        <v>0-J3/2B-0.91X620</v>
      </c>
      <c r="C209" s="201" t="s">
        <v>5333</v>
      </c>
      <c r="D209" s="173" t="s">
        <v>4432</v>
      </c>
      <c r="E209" s="173" t="s">
        <v>5061</v>
      </c>
      <c r="F209" s="201" t="s">
        <v>5344</v>
      </c>
      <c r="G209" s="173" t="s">
        <v>34</v>
      </c>
      <c r="H209" s="173" t="s">
        <v>114</v>
      </c>
      <c r="I209" s="174">
        <v>2.4</v>
      </c>
      <c r="J209" s="174">
        <v>0.91</v>
      </c>
      <c r="K209" s="174">
        <v>0.89</v>
      </c>
      <c r="L209" s="174">
        <v>0.91</v>
      </c>
      <c r="M209" s="380">
        <v>620</v>
      </c>
      <c r="N209" s="176">
        <v>9.85</v>
      </c>
      <c r="O209" s="381">
        <f>4.71+4.88</f>
        <v>9.59</v>
      </c>
      <c r="P209" s="382"/>
      <c r="Q209" s="176">
        <v>5.5E-2</v>
      </c>
      <c r="R209" s="176">
        <v>0.02</v>
      </c>
      <c r="S209" s="176">
        <v>0.28499999999999998</v>
      </c>
      <c r="T209" s="383"/>
      <c r="U209" s="380" t="s">
        <v>5124</v>
      </c>
      <c r="V209" s="371" t="s">
        <v>114</v>
      </c>
      <c r="W209" s="384" t="s">
        <v>5143</v>
      </c>
      <c r="X209" s="178" t="s">
        <v>361</v>
      </c>
      <c r="Y209" s="385"/>
      <c r="Z209" s="385"/>
      <c r="AA209" s="177">
        <v>44830</v>
      </c>
      <c r="AB209" s="177"/>
      <c r="AC209" s="177">
        <v>44830</v>
      </c>
      <c r="AD209" s="177"/>
      <c r="AE209" s="177"/>
      <c r="AF209" s="177">
        <v>44950</v>
      </c>
      <c r="AG209" s="177"/>
      <c r="AH209" s="177"/>
      <c r="AI209" s="180"/>
      <c r="AJ209" s="173"/>
      <c r="AK209" s="173"/>
      <c r="AL209" s="181" t="s">
        <v>69</v>
      </c>
      <c r="AM209" s="181" t="s">
        <v>248</v>
      </c>
      <c r="AN209" s="181" t="s">
        <v>1145</v>
      </c>
      <c r="AO209" s="181">
        <v>44752</v>
      </c>
      <c r="AP209" s="181">
        <v>44778</v>
      </c>
      <c r="AQ209" s="173"/>
      <c r="AR209" s="181">
        <f t="shared" ca="1" si="28"/>
        <v>44958</v>
      </c>
      <c r="AS209" s="176">
        <f t="shared" ca="1" si="29"/>
        <v>180</v>
      </c>
      <c r="AT209" s="176" t="str">
        <f t="shared" si="30"/>
        <v/>
      </c>
      <c r="AU209" s="176"/>
      <c r="AV209" s="176" t="s">
        <v>1165</v>
      </c>
      <c r="AW209" s="176">
        <v>9.9489999999999998</v>
      </c>
      <c r="AX209" s="176">
        <f>AW209+0.04</f>
        <v>9.988999999999999</v>
      </c>
      <c r="AY209" s="173">
        <v>10.013999999999998</v>
      </c>
      <c r="AZ209" s="142">
        <v>10.018999999999998</v>
      </c>
      <c r="BA209" s="142">
        <f t="shared" ca="1" si="26"/>
        <v>128</v>
      </c>
      <c r="BB209" s="142">
        <v>445</v>
      </c>
      <c r="BD209" s="142" t="s">
        <v>123</v>
      </c>
    </row>
    <row r="210" spans="2:56" s="142" customFormat="1" ht="21" customHeight="1" x14ac:dyDescent="0.25">
      <c r="B210" s="173" t="str">
        <f t="shared" si="31"/>
        <v>0-J3/2B-0.89X620</v>
      </c>
      <c r="C210" s="201" t="s">
        <v>5335</v>
      </c>
      <c r="D210" s="173" t="s">
        <v>4432</v>
      </c>
      <c r="E210" s="173" t="s">
        <v>1174</v>
      </c>
      <c r="F210" s="201" t="s">
        <v>5345</v>
      </c>
      <c r="G210" s="173" t="s">
        <v>34</v>
      </c>
      <c r="H210" s="173" t="s">
        <v>114</v>
      </c>
      <c r="I210" s="174">
        <v>2.2000000000000002</v>
      </c>
      <c r="J210" s="174">
        <v>0.89</v>
      </c>
      <c r="K210" s="174">
        <v>0.88</v>
      </c>
      <c r="L210" s="174">
        <v>0.9</v>
      </c>
      <c r="M210" s="380">
        <v>620</v>
      </c>
      <c r="N210" s="176">
        <v>6.95</v>
      </c>
      <c r="O210" s="381">
        <f>3.27+3.49</f>
        <v>6.76</v>
      </c>
      <c r="P210" s="382"/>
      <c r="Q210" s="176">
        <v>5.5E-2</v>
      </c>
      <c r="R210" s="176"/>
      <c r="S210" s="176">
        <v>0.13500000000000001</v>
      </c>
      <c r="T210" s="383"/>
      <c r="U210" s="380" t="s">
        <v>5124</v>
      </c>
      <c r="V210" s="371" t="s">
        <v>114</v>
      </c>
      <c r="W210" s="384" t="s">
        <v>5143</v>
      </c>
      <c r="X210" s="178" t="s">
        <v>361</v>
      </c>
      <c r="Y210" s="385"/>
      <c r="Z210" s="385" t="s">
        <v>1176</v>
      </c>
      <c r="AA210" s="177">
        <v>44893</v>
      </c>
      <c r="AB210" s="177"/>
      <c r="AC210" s="177"/>
      <c r="AD210" s="177">
        <v>44902</v>
      </c>
      <c r="AE210" s="177">
        <v>44905</v>
      </c>
      <c r="AF210" s="177"/>
      <c r="AG210" s="177">
        <v>44943</v>
      </c>
      <c r="AH210" s="177"/>
      <c r="AI210" s="180"/>
      <c r="AJ210" s="173"/>
      <c r="AK210" s="173"/>
      <c r="AL210" s="181" t="s">
        <v>69</v>
      </c>
      <c r="AM210" s="181" t="s">
        <v>248</v>
      </c>
      <c r="AN210" s="181" t="s">
        <v>1145</v>
      </c>
      <c r="AO210" s="181">
        <v>44752</v>
      </c>
      <c r="AP210" s="181">
        <v>44778</v>
      </c>
      <c r="AQ210" s="173"/>
      <c r="AR210" s="181">
        <f t="shared" ca="1" si="28"/>
        <v>44958</v>
      </c>
      <c r="AS210" s="176">
        <f t="shared" ca="1" si="29"/>
        <v>180</v>
      </c>
      <c r="AT210" s="176">
        <f t="shared" ca="1" si="30"/>
        <v>53</v>
      </c>
      <c r="AU210" s="176"/>
      <c r="AV210" s="176" t="s">
        <v>1173</v>
      </c>
      <c r="AW210" s="176">
        <v>9.56</v>
      </c>
      <c r="AX210" s="176">
        <f>AW210+0.04</f>
        <v>9.6</v>
      </c>
      <c r="AY210" s="173">
        <v>9.6249999999999982</v>
      </c>
      <c r="AZ210" s="142">
        <v>9.629999999999999</v>
      </c>
      <c r="BA210" s="142" t="str">
        <f t="shared" si="26"/>
        <v/>
      </c>
      <c r="BB210" s="142">
        <v>445</v>
      </c>
      <c r="BD210" s="142" t="s">
        <v>123</v>
      </c>
    </row>
    <row r="211" spans="2:56" s="142" customFormat="1" ht="21" customHeight="1" x14ac:dyDescent="0.25">
      <c r="B211" s="173" t="str">
        <f t="shared" si="31"/>
        <v>0-304L/2B-1.45X770</v>
      </c>
      <c r="C211" s="201" t="s">
        <v>5333</v>
      </c>
      <c r="D211" s="173" t="s">
        <v>4432</v>
      </c>
      <c r="E211" s="173" t="s">
        <v>3975</v>
      </c>
      <c r="F211" s="201" t="s">
        <v>5346</v>
      </c>
      <c r="G211" s="173" t="s">
        <v>182</v>
      </c>
      <c r="H211" s="173" t="s">
        <v>114</v>
      </c>
      <c r="I211" s="174">
        <v>3.8</v>
      </c>
      <c r="J211" s="174">
        <v>1.45</v>
      </c>
      <c r="K211" s="174">
        <v>1.4</v>
      </c>
      <c r="L211" s="174">
        <v>1.45</v>
      </c>
      <c r="M211" s="380">
        <v>770</v>
      </c>
      <c r="N211" s="176">
        <v>4.0549999999999997</v>
      </c>
      <c r="O211" s="381">
        <v>3.9849999999999999</v>
      </c>
      <c r="P211" s="382"/>
      <c r="Q211" s="176">
        <v>7.4999999999999997E-2</v>
      </c>
      <c r="R211" s="176"/>
      <c r="S211" s="176"/>
      <c r="T211" s="383"/>
      <c r="U211" s="380">
        <v>760</v>
      </c>
      <c r="V211" s="371" t="s">
        <v>114</v>
      </c>
      <c r="W211" s="384" t="s">
        <v>4926</v>
      </c>
      <c r="X211" s="178" t="s">
        <v>1210</v>
      </c>
      <c r="Y211" s="385"/>
      <c r="Z211" s="385"/>
      <c r="AA211" s="177">
        <v>44936</v>
      </c>
      <c r="AB211" s="177"/>
      <c r="AC211" s="177">
        <v>44936</v>
      </c>
      <c r="AD211" s="177"/>
      <c r="AE211" s="177"/>
      <c r="AF211" s="177">
        <v>44952</v>
      </c>
      <c r="AG211" s="177"/>
      <c r="AH211" s="177">
        <v>44933</v>
      </c>
      <c r="AI211" s="180"/>
      <c r="AJ211" s="173"/>
      <c r="AK211" s="173" t="s">
        <v>1507</v>
      </c>
      <c r="AL211" s="181" t="s">
        <v>69</v>
      </c>
      <c r="AM211" s="181" t="s">
        <v>142</v>
      </c>
      <c r="AN211" s="181" t="s">
        <v>1508</v>
      </c>
      <c r="AO211" s="181"/>
      <c r="AP211" s="181">
        <v>44849</v>
      </c>
      <c r="AQ211" s="173"/>
      <c r="AR211" s="181">
        <f t="shared" ca="1" si="28"/>
        <v>44958</v>
      </c>
      <c r="AS211" s="176">
        <f t="shared" ca="1" si="29"/>
        <v>109</v>
      </c>
      <c r="AT211" s="176" t="str">
        <f t="shared" si="30"/>
        <v/>
      </c>
      <c r="AU211" s="176"/>
      <c r="AV211" s="176" t="s">
        <v>3977</v>
      </c>
      <c r="AW211" s="176">
        <v>24.56</v>
      </c>
      <c r="AX211" s="176">
        <v>24.62</v>
      </c>
      <c r="AY211" s="173">
        <v>24.645000000000003</v>
      </c>
      <c r="AZ211" s="142">
        <v>24.650000000000002</v>
      </c>
      <c r="BA211" s="142">
        <f t="shared" ca="1" si="26"/>
        <v>22</v>
      </c>
      <c r="BB211" s="142">
        <v>456</v>
      </c>
      <c r="BD211" s="142" t="s">
        <v>123</v>
      </c>
    </row>
    <row r="212" spans="2:56" s="142" customFormat="1" ht="21" customHeight="1" x14ac:dyDescent="0.25">
      <c r="B212" s="173" t="str">
        <f t="shared" si="31"/>
        <v>0-J3/2B-0.91X620</v>
      </c>
      <c r="C212" s="201" t="s">
        <v>5333</v>
      </c>
      <c r="D212" s="173" t="s">
        <v>4432</v>
      </c>
      <c r="E212" s="173" t="s">
        <v>4904</v>
      </c>
      <c r="F212" s="201" t="s">
        <v>5347</v>
      </c>
      <c r="G212" s="173" t="s">
        <v>34</v>
      </c>
      <c r="H212" s="173" t="s">
        <v>114</v>
      </c>
      <c r="I212" s="174">
        <v>2.4</v>
      </c>
      <c r="J212" s="174">
        <v>0.91</v>
      </c>
      <c r="K212" s="174">
        <v>0.89</v>
      </c>
      <c r="L212" s="174">
        <v>0.91</v>
      </c>
      <c r="M212" s="380">
        <v>620</v>
      </c>
      <c r="N212" s="176">
        <v>9.9600000000000009</v>
      </c>
      <c r="O212" s="381">
        <f>4.86+4.79</f>
        <v>9.65</v>
      </c>
      <c r="P212" s="382"/>
      <c r="Q212" s="176">
        <v>7.0000000000000007E-2</v>
      </c>
      <c r="R212" s="176"/>
      <c r="S212" s="176"/>
      <c r="T212" s="383"/>
      <c r="U212" s="380" t="s">
        <v>5124</v>
      </c>
      <c r="V212" s="371" t="s">
        <v>114</v>
      </c>
      <c r="W212" s="384" t="s">
        <v>5348</v>
      </c>
      <c r="X212" s="178" t="s">
        <v>361</v>
      </c>
      <c r="Y212" s="385"/>
      <c r="Z212" s="385"/>
      <c r="AA212" s="177">
        <v>44888</v>
      </c>
      <c r="AB212" s="177"/>
      <c r="AC212" s="177"/>
      <c r="AD212" s="177">
        <v>44888</v>
      </c>
      <c r="AE212" s="177">
        <v>44951</v>
      </c>
      <c r="AF212" s="177"/>
      <c r="AG212" s="177"/>
      <c r="AH212" s="177"/>
      <c r="AI212" s="180"/>
      <c r="AJ212" s="173"/>
      <c r="AK212" s="173"/>
      <c r="AL212" s="181" t="s">
        <v>69</v>
      </c>
      <c r="AM212" s="181" t="s">
        <v>119</v>
      </c>
      <c r="AN212" s="181" t="s">
        <v>891</v>
      </c>
      <c r="AO212" s="181">
        <v>44667</v>
      </c>
      <c r="AP212" s="181">
        <v>44706</v>
      </c>
      <c r="AQ212" s="173"/>
      <c r="AR212" s="181">
        <f t="shared" ca="1" si="28"/>
        <v>44958</v>
      </c>
      <c r="AS212" s="176">
        <f t="shared" ca="1" si="29"/>
        <v>252</v>
      </c>
      <c r="AT212" s="176">
        <f t="shared" ca="1" si="30"/>
        <v>7</v>
      </c>
      <c r="AU212" s="176" t="s">
        <v>898</v>
      </c>
      <c r="AV212" s="176" t="s">
        <v>916</v>
      </c>
      <c r="AW212" s="176">
        <v>10.018000000000001</v>
      </c>
      <c r="AX212" s="176">
        <v>10.038</v>
      </c>
      <c r="AY212" s="173">
        <v>10.062999999999999</v>
      </c>
      <c r="AZ212" s="142">
        <v>10.068</v>
      </c>
      <c r="BA212" s="142" t="str">
        <f t="shared" si="26"/>
        <v/>
      </c>
      <c r="BB212" s="142">
        <v>437</v>
      </c>
      <c r="BD212" s="142" t="s">
        <v>123</v>
      </c>
    </row>
    <row r="213" spans="2:56" s="142" customFormat="1" ht="21" customHeight="1" x14ac:dyDescent="0.25">
      <c r="B213" s="173" t="str">
        <f t="shared" si="31"/>
        <v>0-J3/2B-0.91X620</v>
      </c>
      <c r="C213" s="201" t="s">
        <v>5349</v>
      </c>
      <c r="D213" s="173" t="s">
        <v>4432</v>
      </c>
      <c r="E213" s="173" t="s">
        <v>5064</v>
      </c>
      <c r="F213" s="201" t="s">
        <v>5350</v>
      </c>
      <c r="G213" s="173" t="s">
        <v>34</v>
      </c>
      <c r="H213" s="173" t="s">
        <v>114</v>
      </c>
      <c r="I213" s="174">
        <v>2.4</v>
      </c>
      <c r="J213" s="174">
        <v>0.91</v>
      </c>
      <c r="K213" s="174">
        <v>0.89</v>
      </c>
      <c r="L213" s="174">
        <v>0.91</v>
      </c>
      <c r="M213" s="380">
        <v>620</v>
      </c>
      <c r="N213" s="176">
        <v>9.94</v>
      </c>
      <c r="O213" s="381">
        <f>4.535+5.125</f>
        <v>9.66</v>
      </c>
      <c r="P213" s="382"/>
      <c r="Q213" s="176">
        <v>7.4999999999999997E-2</v>
      </c>
      <c r="R213" s="176"/>
      <c r="S213" s="176">
        <v>0.20499999999999999</v>
      </c>
      <c r="T213" s="383"/>
      <c r="U213" s="380" t="s">
        <v>5124</v>
      </c>
      <c r="V213" s="371" t="s">
        <v>114</v>
      </c>
      <c r="W213" s="384" t="s">
        <v>5308</v>
      </c>
      <c r="X213" s="178" t="s">
        <v>361</v>
      </c>
      <c r="Y213" s="385"/>
      <c r="Z213" s="385"/>
      <c r="AA213" s="177">
        <v>44829</v>
      </c>
      <c r="AB213" s="177"/>
      <c r="AC213" s="177">
        <v>44829</v>
      </c>
      <c r="AD213" s="177"/>
      <c r="AE213" s="177"/>
      <c r="AF213" s="177">
        <v>44951</v>
      </c>
      <c r="AG213" s="177"/>
      <c r="AH213" s="177"/>
      <c r="AI213" s="180"/>
      <c r="AJ213" s="173"/>
      <c r="AK213" s="173"/>
      <c r="AL213" s="181" t="s">
        <v>69</v>
      </c>
      <c r="AM213" s="181" t="s">
        <v>119</v>
      </c>
      <c r="AN213" s="181" t="s">
        <v>994</v>
      </c>
      <c r="AO213" s="181">
        <v>44713</v>
      </c>
      <c r="AP213" s="181">
        <v>44747</v>
      </c>
      <c r="AQ213" s="173"/>
      <c r="AR213" s="181">
        <f t="shared" ca="1" si="28"/>
        <v>44958</v>
      </c>
      <c r="AS213" s="176">
        <f t="shared" ca="1" si="29"/>
        <v>211</v>
      </c>
      <c r="AT213" s="176" t="str">
        <f t="shared" si="30"/>
        <v/>
      </c>
      <c r="AU213" s="176" t="s">
        <v>5066</v>
      </c>
      <c r="AV213" s="176" t="s">
        <v>974</v>
      </c>
      <c r="AW213" s="176">
        <v>9.9860000000000007</v>
      </c>
      <c r="AX213" s="176">
        <v>10.006</v>
      </c>
      <c r="AY213" s="173">
        <v>10.030999999999999</v>
      </c>
      <c r="AZ213" s="142">
        <v>10.036</v>
      </c>
      <c r="BA213" s="142">
        <f t="shared" ca="1" si="26"/>
        <v>129</v>
      </c>
      <c r="BB213" s="142">
        <v>442</v>
      </c>
      <c r="BD213" s="142" t="s">
        <v>123</v>
      </c>
    </row>
    <row r="214" spans="2:56" s="142" customFormat="1" ht="21" customHeight="1" x14ac:dyDescent="0.25">
      <c r="B214" s="173" t="str">
        <f t="shared" si="31"/>
        <v>0-304L/2B-1.45X770</v>
      </c>
      <c r="C214" s="201" t="s">
        <v>5349</v>
      </c>
      <c r="D214" s="173" t="s">
        <v>4432</v>
      </c>
      <c r="E214" s="173" t="s">
        <v>3975</v>
      </c>
      <c r="F214" s="201" t="s">
        <v>5351</v>
      </c>
      <c r="G214" s="173" t="s">
        <v>182</v>
      </c>
      <c r="H214" s="173" t="s">
        <v>114</v>
      </c>
      <c r="I214" s="174">
        <v>3.8</v>
      </c>
      <c r="J214" s="174">
        <v>1.45</v>
      </c>
      <c r="K214" s="174">
        <v>1.4</v>
      </c>
      <c r="L214" s="174">
        <v>1.45</v>
      </c>
      <c r="M214" s="380">
        <v>770</v>
      </c>
      <c r="N214" s="176">
        <v>4.0949999999999998</v>
      </c>
      <c r="O214" s="381">
        <v>4.07</v>
      </c>
      <c r="P214" s="382"/>
      <c r="Q214" s="176"/>
      <c r="R214" s="176"/>
      <c r="S214" s="176"/>
      <c r="T214" s="383"/>
      <c r="U214" s="380">
        <v>760</v>
      </c>
      <c r="V214" s="371" t="s">
        <v>114</v>
      </c>
      <c r="W214" s="384" t="s">
        <v>4926</v>
      </c>
      <c r="X214" s="178" t="s">
        <v>1210</v>
      </c>
      <c r="Y214" s="385"/>
      <c r="Z214" s="385"/>
      <c r="AA214" s="177">
        <v>44936</v>
      </c>
      <c r="AB214" s="177"/>
      <c r="AC214" s="177">
        <v>44936</v>
      </c>
      <c r="AD214" s="177"/>
      <c r="AE214" s="177"/>
      <c r="AF214" s="177">
        <v>44952</v>
      </c>
      <c r="AG214" s="177"/>
      <c r="AH214" s="177">
        <v>44933</v>
      </c>
      <c r="AI214" s="180"/>
      <c r="AJ214" s="173"/>
      <c r="AK214" s="173" t="s">
        <v>1507</v>
      </c>
      <c r="AL214" s="181" t="s">
        <v>69</v>
      </c>
      <c r="AM214" s="181" t="s">
        <v>142</v>
      </c>
      <c r="AN214" s="181" t="s">
        <v>1508</v>
      </c>
      <c r="AO214" s="181"/>
      <c r="AP214" s="181">
        <v>44849</v>
      </c>
      <c r="AQ214" s="173"/>
      <c r="AR214" s="181">
        <f t="shared" ca="1" si="28"/>
        <v>44958</v>
      </c>
      <c r="AS214" s="176">
        <f t="shared" ca="1" si="29"/>
        <v>109</v>
      </c>
      <c r="AT214" s="176" t="str">
        <f t="shared" si="30"/>
        <v/>
      </c>
      <c r="AU214" s="176"/>
      <c r="AV214" s="176" t="s">
        <v>3977</v>
      </c>
      <c r="AW214" s="176">
        <v>24.56</v>
      </c>
      <c r="AX214" s="176">
        <v>24.62</v>
      </c>
      <c r="AY214" s="173">
        <v>24.645000000000003</v>
      </c>
      <c r="AZ214" s="142">
        <v>24.650000000000002</v>
      </c>
      <c r="BA214" s="142">
        <f t="shared" ca="1" si="26"/>
        <v>22</v>
      </c>
      <c r="BB214" s="142">
        <v>456</v>
      </c>
      <c r="BD214" s="142" t="s">
        <v>123</v>
      </c>
    </row>
    <row r="215" spans="2:56" s="142" customFormat="1" ht="21" customHeight="1" x14ac:dyDescent="0.25">
      <c r="B215" s="173" t="str">
        <f t="shared" si="31"/>
        <v>0-304L/2B-1.45X767</v>
      </c>
      <c r="C215" s="201" t="s">
        <v>5349</v>
      </c>
      <c r="D215" s="173" t="s">
        <v>4432</v>
      </c>
      <c r="E215" s="173" t="s">
        <v>3975</v>
      </c>
      <c r="F215" s="201" t="s">
        <v>5352</v>
      </c>
      <c r="G215" s="173" t="s">
        <v>182</v>
      </c>
      <c r="H215" s="173" t="s">
        <v>114</v>
      </c>
      <c r="I215" s="174">
        <v>3.8</v>
      </c>
      <c r="J215" s="174">
        <v>1.45</v>
      </c>
      <c r="K215" s="174"/>
      <c r="L215" s="174"/>
      <c r="M215" s="380">
        <v>767</v>
      </c>
      <c r="N215" s="176">
        <v>7.2549999999999999</v>
      </c>
      <c r="O215" s="381">
        <f>3.585+3.58</f>
        <v>7.165</v>
      </c>
      <c r="P215" s="382"/>
      <c r="Q215" s="176">
        <v>0.09</v>
      </c>
      <c r="R215" s="176"/>
      <c r="S215" s="176"/>
      <c r="T215" s="383"/>
      <c r="U215" s="380">
        <v>760</v>
      </c>
      <c r="V215" s="371" t="s">
        <v>114</v>
      </c>
      <c r="W215" s="384" t="s">
        <v>4926</v>
      </c>
      <c r="X215" s="178" t="s">
        <v>1210</v>
      </c>
      <c r="Y215" s="385"/>
      <c r="Z215" s="385"/>
      <c r="AA215" s="177">
        <v>44934</v>
      </c>
      <c r="AB215" s="177"/>
      <c r="AC215" s="177">
        <v>44935</v>
      </c>
      <c r="AD215" s="177"/>
      <c r="AE215" s="177"/>
      <c r="AF215" s="177">
        <v>44953</v>
      </c>
      <c r="AG215" s="177"/>
      <c r="AH215" s="177">
        <v>44933</v>
      </c>
      <c r="AI215" s="180"/>
      <c r="AJ215" s="173"/>
      <c r="AK215" s="173" t="s">
        <v>1507</v>
      </c>
      <c r="AL215" s="181" t="s">
        <v>69</v>
      </c>
      <c r="AM215" s="181" t="s">
        <v>142</v>
      </c>
      <c r="AN215" s="181" t="s">
        <v>1508</v>
      </c>
      <c r="AO215" s="181"/>
      <c r="AP215" s="181">
        <v>44849</v>
      </c>
      <c r="AQ215" s="173"/>
      <c r="AR215" s="181">
        <f t="shared" ca="1" si="28"/>
        <v>44958</v>
      </c>
      <c r="AS215" s="176">
        <f t="shared" ca="1" si="29"/>
        <v>109</v>
      </c>
      <c r="AT215" s="176" t="str">
        <f t="shared" si="30"/>
        <v/>
      </c>
      <c r="AU215" s="176"/>
      <c r="AV215" s="176" t="s">
        <v>3977</v>
      </c>
      <c r="AW215" s="176">
        <v>24.56</v>
      </c>
      <c r="AX215" s="176">
        <v>24.62</v>
      </c>
      <c r="AY215" s="173">
        <v>24.645000000000003</v>
      </c>
      <c r="AZ215" s="142">
        <v>24.650000000000002</v>
      </c>
      <c r="BA215" s="142">
        <f t="shared" ca="1" si="26"/>
        <v>23</v>
      </c>
      <c r="BB215" s="142">
        <v>456</v>
      </c>
      <c r="BD215" s="142" t="s">
        <v>123</v>
      </c>
    </row>
    <row r="216" spans="2:56" s="142" customFormat="1" ht="21" customHeight="1" x14ac:dyDescent="0.25">
      <c r="B216" s="173" t="str">
        <f t="shared" si="31"/>
        <v>0-304/2B-1.15X642</v>
      </c>
      <c r="C216" s="201" t="s">
        <v>5353</v>
      </c>
      <c r="D216" s="173" t="s">
        <v>836</v>
      </c>
      <c r="E216" s="173" t="s">
        <v>4242</v>
      </c>
      <c r="F216" s="201" t="s">
        <v>5354</v>
      </c>
      <c r="G216" s="173">
        <v>304</v>
      </c>
      <c r="H216" s="173" t="s">
        <v>114</v>
      </c>
      <c r="I216" s="174">
        <v>3.01</v>
      </c>
      <c r="J216" s="174">
        <v>1.1499999999999999</v>
      </c>
      <c r="K216" s="174">
        <v>1.1599999999999999</v>
      </c>
      <c r="L216" s="174">
        <v>1.17</v>
      </c>
      <c r="M216" s="380">
        <v>642</v>
      </c>
      <c r="N216" s="349">
        <v>10.585000000000001</v>
      </c>
      <c r="O216" s="381">
        <f>N216-O217</f>
        <v>5.3500000000000005</v>
      </c>
      <c r="P216" s="382"/>
      <c r="Q216" s="176"/>
      <c r="R216" s="176"/>
      <c r="S216" s="176"/>
      <c r="T216" s="383"/>
      <c r="U216" s="380">
        <v>642</v>
      </c>
      <c r="V216" s="371" t="s">
        <v>114</v>
      </c>
      <c r="W216" s="384"/>
      <c r="X216" s="178" t="s">
        <v>1210</v>
      </c>
      <c r="Y216" s="385"/>
      <c r="Z216" s="385"/>
      <c r="AA216" s="177">
        <v>44951</v>
      </c>
      <c r="AB216" s="177"/>
      <c r="AC216" s="177">
        <v>44952</v>
      </c>
      <c r="AD216" s="177"/>
      <c r="AE216" s="177">
        <v>44952</v>
      </c>
      <c r="AF216" s="177"/>
      <c r="AG216" s="177"/>
      <c r="AH216" s="177"/>
      <c r="AI216" s="180"/>
      <c r="AJ216" s="173"/>
      <c r="AK216" s="173" t="s">
        <v>1643</v>
      </c>
      <c r="AL216" s="181" t="s">
        <v>69</v>
      </c>
      <c r="AM216" s="181" t="s">
        <v>142</v>
      </c>
      <c r="AN216" s="181" t="s">
        <v>1657</v>
      </c>
      <c r="AO216" s="181"/>
      <c r="AP216" s="181">
        <v>44849</v>
      </c>
      <c r="AQ216" s="173"/>
      <c r="AR216" s="181">
        <f t="shared" ca="1" si="28"/>
        <v>44958</v>
      </c>
      <c r="AS216" s="176">
        <f t="shared" ca="1" si="29"/>
        <v>109</v>
      </c>
      <c r="AT216" s="176">
        <f t="shared" ca="1" si="30"/>
        <v>6</v>
      </c>
      <c r="AU216" s="176"/>
      <c r="AV216" s="176" t="s">
        <v>4244</v>
      </c>
      <c r="AW216" s="176">
        <v>10.66</v>
      </c>
      <c r="AX216" s="176">
        <v>10.67</v>
      </c>
      <c r="AY216" s="173">
        <v>10.694999999999999</v>
      </c>
      <c r="AZ216" s="142">
        <v>10.7</v>
      </c>
      <c r="BA216" s="142">
        <f t="shared" ca="1" si="26"/>
        <v>6</v>
      </c>
      <c r="BB216" s="142">
        <v>456</v>
      </c>
      <c r="BD216" s="142" t="s">
        <v>123</v>
      </c>
    </row>
    <row r="217" spans="2:56" s="142" customFormat="1" ht="21" customHeight="1" x14ac:dyDescent="0.25">
      <c r="B217" s="173" t="str">
        <f t="shared" si="31"/>
        <v>0-304/2B-1.15X642</v>
      </c>
      <c r="C217" s="201" t="s">
        <v>5349</v>
      </c>
      <c r="D217" s="173" t="s">
        <v>4432</v>
      </c>
      <c r="E217" s="173" t="s">
        <v>4242</v>
      </c>
      <c r="F217" s="201" t="s">
        <v>5355</v>
      </c>
      <c r="G217" s="173">
        <v>304</v>
      </c>
      <c r="H217" s="173" t="s">
        <v>114</v>
      </c>
      <c r="I217" s="174">
        <v>3.01</v>
      </c>
      <c r="J217" s="174">
        <v>1.1499999999999999</v>
      </c>
      <c r="K217" s="174">
        <v>1.1599999999999999</v>
      </c>
      <c r="L217" s="174">
        <v>1.17</v>
      </c>
      <c r="M217" s="380">
        <v>642</v>
      </c>
      <c r="N217" s="350"/>
      <c r="O217" s="381">
        <v>5.2350000000000003</v>
      </c>
      <c r="P217" s="382"/>
      <c r="Q217" s="176"/>
      <c r="R217" s="176"/>
      <c r="S217" s="176"/>
      <c r="T217" s="383"/>
      <c r="U217" s="380">
        <v>635</v>
      </c>
      <c r="V217" s="371" t="s">
        <v>114</v>
      </c>
      <c r="W217" s="384" t="s">
        <v>4915</v>
      </c>
      <c r="X217" s="178" t="s">
        <v>1210</v>
      </c>
      <c r="Y217" s="385"/>
      <c r="Z217" s="385"/>
      <c r="AA217" s="177">
        <v>44951</v>
      </c>
      <c r="AB217" s="177"/>
      <c r="AC217" s="177">
        <v>44952</v>
      </c>
      <c r="AD217" s="177"/>
      <c r="AE217" s="177">
        <v>44952</v>
      </c>
      <c r="AF217" s="177"/>
      <c r="AG217" s="177"/>
      <c r="AH217" s="177"/>
      <c r="AI217" s="180"/>
      <c r="AJ217" s="173"/>
      <c r="AK217" s="173" t="s">
        <v>1643</v>
      </c>
      <c r="AL217" s="181" t="s">
        <v>69</v>
      </c>
      <c r="AM217" s="181" t="s">
        <v>142</v>
      </c>
      <c r="AN217" s="181" t="s">
        <v>1657</v>
      </c>
      <c r="AO217" s="181"/>
      <c r="AP217" s="181">
        <v>44849</v>
      </c>
      <c r="AQ217" s="173"/>
      <c r="AR217" s="181">
        <f t="shared" ca="1" si="28"/>
        <v>44958</v>
      </c>
      <c r="AS217" s="176">
        <f t="shared" ca="1" si="29"/>
        <v>109</v>
      </c>
      <c r="AT217" s="176">
        <f t="shared" ca="1" si="30"/>
        <v>6</v>
      </c>
      <c r="AU217" s="176"/>
      <c r="AV217" s="176" t="s">
        <v>4244</v>
      </c>
      <c r="AW217" s="176">
        <v>10.66</v>
      </c>
      <c r="AX217" s="176">
        <v>10.67</v>
      </c>
      <c r="AY217" s="173">
        <v>10.694999999999999</v>
      </c>
      <c r="AZ217" s="142">
        <v>10.7</v>
      </c>
      <c r="BA217" s="142">
        <f t="shared" ca="1" si="26"/>
        <v>6</v>
      </c>
      <c r="BB217" s="142">
        <v>456</v>
      </c>
      <c r="BD217" s="142" t="s">
        <v>123</v>
      </c>
    </row>
    <row r="218" spans="2:56" s="142" customFormat="1" ht="21" customHeight="1" x14ac:dyDescent="0.25">
      <c r="B218" s="173" t="str">
        <f t="shared" si="31"/>
        <v>0-304L/2B-1.95X767</v>
      </c>
      <c r="C218" s="201" t="s">
        <v>5349</v>
      </c>
      <c r="D218" s="173" t="s">
        <v>4432</v>
      </c>
      <c r="E218" s="173" t="s">
        <v>1519</v>
      </c>
      <c r="F218" s="201" t="s">
        <v>5356</v>
      </c>
      <c r="G218" s="173" t="s">
        <v>182</v>
      </c>
      <c r="H218" s="173" t="s">
        <v>114</v>
      </c>
      <c r="I218" s="174">
        <v>3.8</v>
      </c>
      <c r="J218" s="174">
        <v>1.95</v>
      </c>
      <c r="K218" s="174"/>
      <c r="L218" s="174"/>
      <c r="M218" s="380">
        <v>767</v>
      </c>
      <c r="N218" s="176">
        <v>8.2200000000000006</v>
      </c>
      <c r="O218" s="381">
        <f>4.03+4.14</f>
        <v>8.17</v>
      </c>
      <c r="P218" s="382"/>
      <c r="Q218" s="176"/>
      <c r="R218" s="176"/>
      <c r="S218" s="176"/>
      <c r="T218" s="383"/>
      <c r="U218" s="380">
        <v>760</v>
      </c>
      <c r="V218" s="371" t="s">
        <v>114</v>
      </c>
      <c r="W218" s="384" t="s">
        <v>4926</v>
      </c>
      <c r="X218" s="178" t="s">
        <v>1210</v>
      </c>
      <c r="Y218" s="385"/>
      <c r="Z218" s="385"/>
      <c r="AA218" s="177">
        <v>44935</v>
      </c>
      <c r="AB218" s="177"/>
      <c r="AC218" s="177">
        <v>44935</v>
      </c>
      <c r="AD218" s="177"/>
      <c r="AE218" s="177"/>
      <c r="AF218" s="177">
        <v>44953</v>
      </c>
      <c r="AG218" s="177"/>
      <c r="AH218" s="177">
        <v>44934</v>
      </c>
      <c r="AI218" s="180"/>
      <c r="AJ218" s="173"/>
      <c r="AK218" s="173" t="s">
        <v>1507</v>
      </c>
      <c r="AL218" s="181" t="s">
        <v>69</v>
      </c>
      <c r="AM218" s="181" t="s">
        <v>142</v>
      </c>
      <c r="AN218" s="181" t="s">
        <v>1508</v>
      </c>
      <c r="AO218" s="181"/>
      <c r="AP218" s="181">
        <v>44849</v>
      </c>
      <c r="AQ218" s="173"/>
      <c r="AR218" s="181">
        <f t="shared" ca="1" si="28"/>
        <v>44958</v>
      </c>
      <c r="AS218" s="176">
        <f t="shared" ca="1" si="29"/>
        <v>109</v>
      </c>
      <c r="AT218" s="176" t="str">
        <f t="shared" si="30"/>
        <v/>
      </c>
      <c r="AU218" s="176"/>
      <c r="AV218" s="176" t="s">
        <v>1521</v>
      </c>
      <c r="AW218" s="176">
        <v>24.605</v>
      </c>
      <c r="AX218" s="176">
        <v>24.664999999999999</v>
      </c>
      <c r="AY218" s="173">
        <v>24.69</v>
      </c>
      <c r="AZ218" s="142">
        <v>24.695</v>
      </c>
      <c r="BA218" s="142">
        <f t="shared" ca="1" si="26"/>
        <v>23</v>
      </c>
      <c r="BB218" s="142">
        <v>456</v>
      </c>
      <c r="BD218" s="142" t="s">
        <v>123</v>
      </c>
    </row>
    <row r="219" spans="2:56" s="142" customFormat="1" ht="21" customHeight="1" x14ac:dyDescent="0.25">
      <c r="B219" s="173" t="str">
        <f t="shared" si="31"/>
        <v>0-304/2B-1.15X642</v>
      </c>
      <c r="C219" s="201" t="s">
        <v>5357</v>
      </c>
      <c r="D219" s="173" t="s">
        <v>4432</v>
      </c>
      <c r="E219" s="173" t="s">
        <v>4242</v>
      </c>
      <c r="F219" s="201" t="s">
        <v>5354</v>
      </c>
      <c r="G219" s="173">
        <v>304</v>
      </c>
      <c r="H219" s="173" t="s">
        <v>114</v>
      </c>
      <c r="I219" s="174">
        <v>3.01</v>
      </c>
      <c r="J219" s="174">
        <v>1.1499999999999999</v>
      </c>
      <c r="K219" s="174">
        <v>1.1599999999999999</v>
      </c>
      <c r="L219" s="174">
        <v>1.17</v>
      </c>
      <c r="M219" s="380">
        <v>642</v>
      </c>
      <c r="N219" s="176">
        <v>5.3500000000000005</v>
      </c>
      <c r="O219" s="381">
        <v>5.3250000000000002</v>
      </c>
      <c r="P219" s="382"/>
      <c r="Q219" s="176">
        <v>0.05</v>
      </c>
      <c r="R219" s="176"/>
      <c r="S219" s="176"/>
      <c r="T219" s="383"/>
      <c r="U219" s="380">
        <v>635</v>
      </c>
      <c r="V219" s="371" t="s">
        <v>114</v>
      </c>
      <c r="W219" s="384" t="s">
        <v>4915</v>
      </c>
      <c r="X219" s="178" t="s">
        <v>1210</v>
      </c>
      <c r="Y219" s="385"/>
      <c r="Z219" s="385"/>
      <c r="AA219" s="177">
        <v>44951</v>
      </c>
      <c r="AB219" s="177"/>
      <c r="AC219" s="177">
        <v>44952</v>
      </c>
      <c r="AD219" s="177"/>
      <c r="AE219" s="177">
        <v>44952</v>
      </c>
      <c r="AF219" s="177"/>
      <c r="AG219" s="177"/>
      <c r="AH219" s="177"/>
      <c r="AI219" s="180"/>
      <c r="AJ219" s="173"/>
      <c r="AK219" s="173" t="s">
        <v>1643</v>
      </c>
      <c r="AL219" s="181" t="s">
        <v>69</v>
      </c>
      <c r="AM219" s="181" t="s">
        <v>142</v>
      </c>
      <c r="AN219" s="181" t="s">
        <v>1657</v>
      </c>
      <c r="AO219" s="181"/>
      <c r="AP219" s="181">
        <v>44849</v>
      </c>
      <c r="AQ219" s="173"/>
      <c r="AR219" s="181">
        <f t="shared" ca="1" si="28"/>
        <v>44958</v>
      </c>
      <c r="AS219" s="176">
        <f t="shared" ca="1" si="29"/>
        <v>109</v>
      </c>
      <c r="AT219" s="176">
        <f t="shared" ca="1" si="30"/>
        <v>6</v>
      </c>
      <c r="AU219" s="176"/>
      <c r="AV219" s="176" t="s">
        <v>4244</v>
      </c>
      <c r="AW219" s="176">
        <v>10.66</v>
      </c>
      <c r="AX219" s="176">
        <v>10.67</v>
      </c>
      <c r="AY219" s="173">
        <v>10.694999999999999</v>
      </c>
      <c r="AZ219" s="142">
        <v>10.7</v>
      </c>
      <c r="BA219" s="142">
        <f t="shared" ca="1" si="26"/>
        <v>6</v>
      </c>
      <c r="BB219" s="142">
        <v>456</v>
      </c>
      <c r="BD219" s="142" t="s">
        <v>123</v>
      </c>
    </row>
    <row r="220" spans="2:56" s="142" customFormat="1" ht="21" customHeight="1" x14ac:dyDescent="0.25">
      <c r="B220" s="173" t="str">
        <f t="shared" si="31"/>
        <v>0-304L/2B-1.50X768</v>
      </c>
      <c r="C220" s="201" t="s">
        <v>5349</v>
      </c>
      <c r="D220" s="173" t="s">
        <v>4432</v>
      </c>
      <c r="E220" s="173" t="s">
        <v>1569</v>
      </c>
      <c r="F220" s="201" t="s">
        <v>5358</v>
      </c>
      <c r="G220" s="173" t="s">
        <v>182</v>
      </c>
      <c r="H220" s="173" t="s">
        <v>114</v>
      </c>
      <c r="I220" s="174">
        <v>3.81</v>
      </c>
      <c r="J220" s="174">
        <v>1.5</v>
      </c>
      <c r="K220" s="174"/>
      <c r="L220" s="174"/>
      <c r="M220" s="380">
        <v>768</v>
      </c>
      <c r="N220" s="176">
        <v>12.3</v>
      </c>
      <c r="O220" s="381">
        <f>3.94+3.96+4.21</f>
        <v>12.11</v>
      </c>
      <c r="P220" s="382"/>
      <c r="Q220" s="176">
        <v>9.5000000000000001E-2</v>
      </c>
      <c r="R220" s="176"/>
      <c r="S220" s="176"/>
      <c r="T220" s="383"/>
      <c r="U220" s="380">
        <v>760</v>
      </c>
      <c r="V220" s="371" t="s">
        <v>114</v>
      </c>
      <c r="W220" s="384" t="s">
        <v>4938</v>
      </c>
      <c r="X220" s="178" t="s">
        <v>1546</v>
      </c>
      <c r="Y220" s="385"/>
      <c r="Z220" s="385"/>
      <c r="AA220" s="177">
        <v>44941</v>
      </c>
      <c r="AB220" s="177"/>
      <c r="AC220" s="177">
        <v>44941</v>
      </c>
      <c r="AD220" s="177"/>
      <c r="AE220" s="177"/>
      <c r="AF220" s="177">
        <v>44953</v>
      </c>
      <c r="AG220" s="177"/>
      <c r="AH220" s="177">
        <v>44934</v>
      </c>
      <c r="AI220" s="180"/>
      <c r="AJ220" s="173"/>
      <c r="AK220" s="173" t="s">
        <v>1507</v>
      </c>
      <c r="AL220" s="181" t="s">
        <v>69</v>
      </c>
      <c r="AM220" s="181" t="s">
        <v>142</v>
      </c>
      <c r="AN220" s="181" t="s">
        <v>1508</v>
      </c>
      <c r="AO220" s="181"/>
      <c r="AP220" s="181">
        <v>44849</v>
      </c>
      <c r="AQ220" s="173"/>
      <c r="AR220" s="181">
        <f t="shared" ca="1" si="28"/>
        <v>44958</v>
      </c>
      <c r="AS220" s="176">
        <f t="shared" ca="1" si="29"/>
        <v>109</v>
      </c>
      <c r="AT220" s="176" t="str">
        <f t="shared" si="30"/>
        <v/>
      </c>
      <c r="AU220" s="176"/>
      <c r="AV220" s="176" t="s">
        <v>1572</v>
      </c>
      <c r="AW220" s="176">
        <v>24.53</v>
      </c>
      <c r="AX220" s="176">
        <v>24.59</v>
      </c>
      <c r="AY220" s="173">
        <v>24.615000000000002</v>
      </c>
      <c r="AZ220" s="142">
        <v>24.62</v>
      </c>
      <c r="BA220" s="142">
        <f t="shared" ca="1" si="26"/>
        <v>17</v>
      </c>
      <c r="BB220" s="142">
        <v>456</v>
      </c>
      <c r="BD220" s="142" t="s">
        <v>123</v>
      </c>
    </row>
    <row r="221" spans="2:56" s="142" customFormat="1" ht="21" customHeight="1" x14ac:dyDescent="0.25">
      <c r="B221" s="173" t="str">
        <f t="shared" si="31"/>
        <v>0-304L/FH-0.90X642</v>
      </c>
      <c r="C221" s="201" t="s">
        <v>5359</v>
      </c>
      <c r="D221" s="173" t="s">
        <v>16</v>
      </c>
      <c r="E221" s="173" t="s">
        <v>4147</v>
      </c>
      <c r="F221" s="201" t="s">
        <v>4148</v>
      </c>
      <c r="G221" s="173" t="s">
        <v>182</v>
      </c>
      <c r="H221" s="173" t="s">
        <v>70</v>
      </c>
      <c r="I221" s="174">
        <v>3.38</v>
      </c>
      <c r="J221" s="174">
        <v>0.9</v>
      </c>
      <c r="K221" s="174"/>
      <c r="L221" s="174"/>
      <c r="M221" s="380">
        <v>642</v>
      </c>
      <c r="N221" s="176">
        <v>10.61</v>
      </c>
      <c r="O221" s="381">
        <v>10.61</v>
      </c>
      <c r="P221" s="382"/>
      <c r="Q221" s="176"/>
      <c r="R221" s="176"/>
      <c r="S221" s="176"/>
      <c r="T221" s="383"/>
      <c r="U221" s="380">
        <v>642</v>
      </c>
      <c r="V221" s="371" t="s">
        <v>114</v>
      </c>
      <c r="W221" s="384"/>
      <c r="X221" s="178" t="s">
        <v>1592</v>
      </c>
      <c r="Y221" s="385"/>
      <c r="Z221" s="385"/>
      <c r="AA221" s="177">
        <v>44944</v>
      </c>
      <c r="AB221" s="177">
        <v>44947</v>
      </c>
      <c r="AC221" s="177"/>
      <c r="AD221" s="177">
        <v>44946</v>
      </c>
      <c r="AE221" s="177"/>
      <c r="AF221" s="177"/>
      <c r="AG221" s="177">
        <v>44953</v>
      </c>
      <c r="AH221" s="177"/>
      <c r="AI221" s="180"/>
      <c r="AJ221" s="173"/>
      <c r="AK221" s="173" t="s">
        <v>1605</v>
      </c>
      <c r="AL221" s="181" t="s">
        <v>69</v>
      </c>
      <c r="AM221" s="181" t="s">
        <v>142</v>
      </c>
      <c r="AN221" s="181" t="s">
        <v>1657</v>
      </c>
      <c r="AO221" s="181"/>
      <c r="AP221" s="181">
        <v>44849</v>
      </c>
      <c r="AQ221" s="173"/>
      <c r="AR221" s="181">
        <f t="shared" ca="1" si="28"/>
        <v>44958</v>
      </c>
      <c r="AS221" s="176">
        <f t="shared" ca="1" si="29"/>
        <v>109</v>
      </c>
      <c r="AT221" s="176" t="str">
        <f t="shared" si="30"/>
        <v/>
      </c>
      <c r="AU221" s="176"/>
      <c r="AV221" s="176" t="s">
        <v>1706</v>
      </c>
      <c r="AW221" s="176">
        <v>10.61</v>
      </c>
      <c r="AX221" s="176">
        <v>10.62</v>
      </c>
      <c r="AY221" s="173">
        <v>10.644999999999998</v>
      </c>
      <c r="AZ221" s="142">
        <v>10.649999999999999</v>
      </c>
      <c r="BA221" s="142" t="str">
        <f t="shared" si="26"/>
        <v/>
      </c>
      <c r="BB221" s="142">
        <v>456</v>
      </c>
      <c r="BD221" s="142" t="s">
        <v>123</v>
      </c>
    </row>
    <row r="222" spans="2:56" s="142" customFormat="1" ht="21" customHeight="1" x14ac:dyDescent="0.25">
      <c r="B222" s="173" t="str">
        <f t="shared" si="31"/>
        <v>0-304L/2B-1.15X642</v>
      </c>
      <c r="C222" s="201" t="s">
        <v>5349</v>
      </c>
      <c r="D222" s="173" t="s">
        <v>4432</v>
      </c>
      <c r="E222" s="173" t="s">
        <v>4163</v>
      </c>
      <c r="F222" s="201" t="s">
        <v>5360</v>
      </c>
      <c r="G222" s="173" t="s">
        <v>182</v>
      </c>
      <c r="H222" s="173" t="s">
        <v>114</v>
      </c>
      <c r="I222" s="174">
        <v>3.1</v>
      </c>
      <c r="J222" s="174">
        <v>1.1499999999999999</v>
      </c>
      <c r="K222" s="174">
        <v>1.1599999999999999</v>
      </c>
      <c r="L222" s="174">
        <v>1.17</v>
      </c>
      <c r="M222" s="380">
        <v>642</v>
      </c>
      <c r="N222" s="176">
        <v>10.57</v>
      </c>
      <c r="O222" s="381">
        <f>5.745+4.79</f>
        <v>10.535</v>
      </c>
      <c r="P222" s="382"/>
      <c r="Q222" s="176">
        <v>0.05</v>
      </c>
      <c r="R222" s="176"/>
      <c r="S222" s="176"/>
      <c r="T222" s="383"/>
      <c r="U222" s="380">
        <v>635</v>
      </c>
      <c r="V222" s="371" t="s">
        <v>114</v>
      </c>
      <c r="W222" s="384" t="s">
        <v>4915</v>
      </c>
      <c r="X222" s="178" t="s">
        <v>1210</v>
      </c>
      <c r="Y222" s="385" t="s">
        <v>1592</v>
      </c>
      <c r="Z222" s="385"/>
      <c r="AA222" s="177">
        <v>44945</v>
      </c>
      <c r="AB222" s="177">
        <v>44945</v>
      </c>
      <c r="AC222" s="177"/>
      <c r="AD222" s="177">
        <v>44945</v>
      </c>
      <c r="AE222" s="177">
        <v>44952</v>
      </c>
      <c r="AF222" s="177"/>
      <c r="AG222" s="177"/>
      <c r="AH222" s="177"/>
      <c r="AI222" s="180"/>
      <c r="AJ222" s="173"/>
      <c r="AK222" s="173" t="s">
        <v>1605</v>
      </c>
      <c r="AL222" s="181" t="s">
        <v>69</v>
      </c>
      <c r="AM222" s="181" t="s">
        <v>142</v>
      </c>
      <c r="AN222" s="181" t="s">
        <v>1657</v>
      </c>
      <c r="AO222" s="181"/>
      <c r="AP222" s="181">
        <v>44849</v>
      </c>
      <c r="AQ222" s="173"/>
      <c r="AR222" s="181">
        <f t="shared" ca="1" si="28"/>
        <v>44958</v>
      </c>
      <c r="AS222" s="176">
        <f t="shared" ca="1" si="29"/>
        <v>109</v>
      </c>
      <c r="AT222" s="176">
        <f t="shared" ca="1" si="30"/>
        <v>6</v>
      </c>
      <c r="AU222" s="176"/>
      <c r="AV222" s="176" t="s">
        <v>1670</v>
      </c>
      <c r="AW222" s="176">
        <v>10.64</v>
      </c>
      <c r="AX222" s="176">
        <v>10.65</v>
      </c>
      <c r="AY222" s="173">
        <v>10.674999999999999</v>
      </c>
      <c r="AZ222" s="142">
        <v>10.68</v>
      </c>
      <c r="BA222" s="142" t="str">
        <f t="shared" si="26"/>
        <v/>
      </c>
      <c r="BB222" s="142">
        <v>456</v>
      </c>
      <c r="BD222" s="142" t="s">
        <v>123</v>
      </c>
    </row>
    <row r="223" spans="2:56" s="142" customFormat="1" ht="21" customHeight="1" x14ac:dyDescent="0.25">
      <c r="B223" s="173" t="str">
        <f t="shared" si="31"/>
        <v>0-304/2B-0.90X641</v>
      </c>
      <c r="C223" s="201" t="s">
        <v>5349</v>
      </c>
      <c r="D223" s="173" t="s">
        <v>4432</v>
      </c>
      <c r="E223" s="173" t="s">
        <v>4118</v>
      </c>
      <c r="F223" s="201" t="s">
        <v>5361</v>
      </c>
      <c r="G223" s="173">
        <v>304</v>
      </c>
      <c r="H223" s="173" t="s">
        <v>114</v>
      </c>
      <c r="I223" s="174">
        <v>2.75</v>
      </c>
      <c r="J223" s="174">
        <v>0.9</v>
      </c>
      <c r="K223" s="174">
        <v>0.88</v>
      </c>
      <c r="L223" s="174">
        <v>0.9</v>
      </c>
      <c r="M223" s="380">
        <v>641</v>
      </c>
      <c r="N223" s="176">
        <v>5.3449999999999998</v>
      </c>
      <c r="O223" s="381">
        <v>5.3449999999999998</v>
      </c>
      <c r="P223" s="382"/>
      <c r="Q223" s="176"/>
      <c r="R223" s="176"/>
      <c r="S223" s="176"/>
      <c r="T223" s="383"/>
      <c r="U223" s="380">
        <v>635</v>
      </c>
      <c r="V223" s="371" t="s">
        <v>114</v>
      </c>
      <c r="W223" s="384" t="s">
        <v>4915</v>
      </c>
      <c r="X223" s="178" t="s">
        <v>1210</v>
      </c>
      <c r="Y223" s="385" t="s">
        <v>1592</v>
      </c>
      <c r="Z223" s="385"/>
      <c r="AA223" s="177">
        <v>44942</v>
      </c>
      <c r="AB223" s="177">
        <v>44942</v>
      </c>
      <c r="AC223" s="177"/>
      <c r="AD223" s="177">
        <v>44943</v>
      </c>
      <c r="AE223" s="177">
        <v>44951</v>
      </c>
      <c r="AF223" s="177"/>
      <c r="AG223" s="177"/>
      <c r="AH223" s="177"/>
      <c r="AI223" s="180"/>
      <c r="AJ223" s="173"/>
      <c r="AK223" s="173" t="s">
        <v>1619</v>
      </c>
      <c r="AL223" s="181" t="s">
        <v>69</v>
      </c>
      <c r="AM223" s="181" t="s">
        <v>142</v>
      </c>
      <c r="AN223" s="181" t="s">
        <v>1657</v>
      </c>
      <c r="AO223" s="181"/>
      <c r="AP223" s="181">
        <v>44849</v>
      </c>
      <c r="AQ223" s="173"/>
      <c r="AR223" s="181">
        <f t="shared" ca="1" si="28"/>
        <v>44958</v>
      </c>
      <c r="AS223" s="176">
        <f t="shared" ca="1" si="29"/>
        <v>109</v>
      </c>
      <c r="AT223" s="176">
        <f t="shared" ca="1" si="30"/>
        <v>7</v>
      </c>
      <c r="AU223" s="176"/>
      <c r="AV223" s="176" t="s">
        <v>4121</v>
      </c>
      <c r="AW223" s="176">
        <v>10.565</v>
      </c>
      <c r="AX223" s="176">
        <v>10.574999999999999</v>
      </c>
      <c r="AY223" s="173">
        <v>10.599999999999998</v>
      </c>
      <c r="AZ223" s="142">
        <v>10.604999999999999</v>
      </c>
      <c r="BA223" s="142" t="str">
        <f t="shared" si="26"/>
        <v/>
      </c>
      <c r="BB223" s="142">
        <v>456</v>
      </c>
      <c r="BD223" s="142" t="s">
        <v>123</v>
      </c>
    </row>
    <row r="224" spans="2:56" s="142" customFormat="1" ht="21" customHeight="1" x14ac:dyDescent="0.25">
      <c r="B224" s="173" t="str">
        <f t="shared" si="31"/>
        <v>0-304/2B-0.90X641</v>
      </c>
      <c r="C224" s="201" t="s">
        <v>5362</v>
      </c>
      <c r="D224" s="173" t="s">
        <v>4432</v>
      </c>
      <c r="E224" s="173" t="s">
        <v>4118</v>
      </c>
      <c r="F224" s="201" t="s">
        <v>5363</v>
      </c>
      <c r="G224" s="173">
        <v>304</v>
      </c>
      <c r="H224" s="173" t="s">
        <v>114</v>
      </c>
      <c r="I224" s="174">
        <v>2.75</v>
      </c>
      <c r="J224" s="174">
        <v>0.9</v>
      </c>
      <c r="K224" s="174">
        <v>0.88</v>
      </c>
      <c r="L224" s="174">
        <v>0.9</v>
      </c>
      <c r="M224" s="380">
        <v>641</v>
      </c>
      <c r="N224" s="176">
        <f>10.51-5.345</f>
        <v>5.165</v>
      </c>
      <c r="O224" s="381">
        <v>5.0949999999999998</v>
      </c>
      <c r="P224" s="382"/>
      <c r="Q224" s="176">
        <v>0.05</v>
      </c>
      <c r="R224" s="176"/>
      <c r="S224" s="176"/>
      <c r="T224" s="383"/>
      <c r="U224" s="380">
        <v>635</v>
      </c>
      <c r="V224" s="371" t="s">
        <v>114</v>
      </c>
      <c r="W224" s="384" t="s">
        <v>4915</v>
      </c>
      <c r="X224" s="178" t="s">
        <v>1210</v>
      </c>
      <c r="Y224" s="385" t="s">
        <v>1592</v>
      </c>
      <c r="Z224" s="385"/>
      <c r="AA224" s="177">
        <v>44942</v>
      </c>
      <c r="AB224" s="177">
        <v>44942</v>
      </c>
      <c r="AC224" s="177"/>
      <c r="AD224" s="177">
        <v>44943</v>
      </c>
      <c r="AE224" s="177">
        <v>44951</v>
      </c>
      <c r="AF224" s="177"/>
      <c r="AG224" s="177"/>
      <c r="AH224" s="177"/>
      <c r="AI224" s="180"/>
      <c r="AJ224" s="173"/>
      <c r="AK224" s="173" t="s">
        <v>1619</v>
      </c>
      <c r="AL224" s="181" t="s">
        <v>69</v>
      </c>
      <c r="AM224" s="181" t="s">
        <v>142</v>
      </c>
      <c r="AN224" s="181" t="s">
        <v>1657</v>
      </c>
      <c r="AO224" s="181"/>
      <c r="AP224" s="181">
        <v>44849</v>
      </c>
      <c r="AQ224" s="173"/>
      <c r="AR224" s="181">
        <f t="shared" ca="1" si="28"/>
        <v>44958</v>
      </c>
      <c r="AS224" s="176">
        <f t="shared" ca="1" si="29"/>
        <v>109</v>
      </c>
      <c r="AT224" s="176">
        <f t="shared" ca="1" si="30"/>
        <v>7</v>
      </c>
      <c r="AU224" s="176"/>
      <c r="AV224" s="176" t="s">
        <v>4121</v>
      </c>
      <c r="AW224" s="176">
        <v>10.565</v>
      </c>
      <c r="AX224" s="176">
        <v>10.574999999999999</v>
      </c>
      <c r="AY224" s="173">
        <v>10.599999999999998</v>
      </c>
      <c r="AZ224" s="142">
        <v>10.604999999999999</v>
      </c>
      <c r="BA224" s="142" t="str">
        <f t="shared" si="26"/>
        <v/>
      </c>
      <c r="BB224" s="142">
        <v>456</v>
      </c>
      <c r="BD224" s="142" t="s">
        <v>123</v>
      </c>
    </row>
    <row r="225" spans="2:56" s="142" customFormat="1" ht="21" customHeight="1" x14ac:dyDescent="0.25">
      <c r="B225" s="173" t="str">
        <f t="shared" si="31"/>
        <v>0-304L/2B-1.20X768</v>
      </c>
      <c r="C225" s="201" t="s">
        <v>5364</v>
      </c>
      <c r="D225" s="173" t="s">
        <v>776</v>
      </c>
      <c r="E225" s="173" t="s">
        <v>1544</v>
      </c>
      <c r="F225" s="201" t="s">
        <v>1545</v>
      </c>
      <c r="G225" s="173" t="s">
        <v>182</v>
      </c>
      <c r="H225" s="173" t="s">
        <v>114</v>
      </c>
      <c r="I225" s="174">
        <v>3.79</v>
      </c>
      <c r="J225" s="174">
        <v>1.2</v>
      </c>
      <c r="K225" s="174"/>
      <c r="L225" s="174"/>
      <c r="M225" s="380">
        <v>768</v>
      </c>
      <c r="N225" s="176">
        <v>5.99</v>
      </c>
      <c r="O225" s="381">
        <v>5.99</v>
      </c>
      <c r="P225" s="382"/>
      <c r="Q225" s="176"/>
      <c r="R225" s="176"/>
      <c r="S225" s="176"/>
      <c r="T225" s="383"/>
      <c r="U225" s="380">
        <v>768</v>
      </c>
      <c r="V225" s="371" t="s">
        <v>114</v>
      </c>
      <c r="W225" s="384"/>
      <c r="X225" s="178" t="s">
        <v>1539</v>
      </c>
      <c r="Y225" s="385" t="s">
        <v>1546</v>
      </c>
      <c r="Z225" s="385"/>
      <c r="AA225" s="177">
        <v>44941</v>
      </c>
      <c r="AB225" s="177"/>
      <c r="AC225" s="177">
        <v>44941</v>
      </c>
      <c r="AD225" s="177"/>
      <c r="AE225" s="177"/>
      <c r="AF225" s="177">
        <v>44953</v>
      </c>
      <c r="AG225" s="177" t="s">
        <v>1547</v>
      </c>
      <c r="AH225" s="177">
        <v>44934</v>
      </c>
      <c r="AI225" s="180"/>
      <c r="AJ225" s="173"/>
      <c r="AK225" s="173" t="s">
        <v>1507</v>
      </c>
      <c r="AL225" s="181" t="s">
        <v>69</v>
      </c>
      <c r="AM225" s="181" t="s">
        <v>142</v>
      </c>
      <c r="AN225" s="181" t="s">
        <v>1508</v>
      </c>
      <c r="AO225" s="181"/>
      <c r="AP225" s="181">
        <v>44849</v>
      </c>
      <c r="AQ225" s="173"/>
      <c r="AR225" s="181">
        <f t="shared" ca="1" si="28"/>
        <v>44958</v>
      </c>
      <c r="AS225" s="176">
        <f t="shared" ca="1" si="29"/>
        <v>109</v>
      </c>
      <c r="AT225" s="176" t="str">
        <f t="shared" si="30"/>
        <v/>
      </c>
      <c r="AU225" s="176"/>
      <c r="AV225" s="176" t="s">
        <v>1548</v>
      </c>
      <c r="AW225" s="176">
        <v>24.535</v>
      </c>
      <c r="AX225" s="176">
        <v>24.594999999999999</v>
      </c>
      <c r="AY225" s="173">
        <v>24.62</v>
      </c>
      <c r="AZ225" s="142">
        <v>24.625</v>
      </c>
      <c r="BA225" s="142">
        <f t="shared" ca="1" si="26"/>
        <v>17</v>
      </c>
      <c r="BB225" s="142">
        <v>456</v>
      </c>
      <c r="BD225" s="142" t="s">
        <v>123</v>
      </c>
    </row>
    <row r="226" spans="2:56" s="142" customFormat="1" ht="21" customHeight="1" x14ac:dyDescent="0.25">
      <c r="B226" s="173" t="str">
        <f t="shared" si="31"/>
        <v>0-304L/2B-2.00X638</v>
      </c>
      <c r="C226" s="201" t="s">
        <v>5362</v>
      </c>
      <c r="D226" s="173" t="s">
        <v>4432</v>
      </c>
      <c r="E226" s="173" t="s">
        <v>4265</v>
      </c>
      <c r="F226" s="201" t="s">
        <v>5365</v>
      </c>
      <c r="G226" s="173" t="s">
        <v>182</v>
      </c>
      <c r="H226" s="173" t="s">
        <v>114</v>
      </c>
      <c r="I226" s="174">
        <v>3.9</v>
      </c>
      <c r="J226" s="174">
        <v>2</v>
      </c>
      <c r="K226" s="174"/>
      <c r="L226" s="174"/>
      <c r="M226" s="380">
        <v>638</v>
      </c>
      <c r="N226" s="176">
        <v>10.494999999999999</v>
      </c>
      <c r="O226" s="381">
        <f>5.2+5.305</f>
        <v>10.504999999999999</v>
      </c>
      <c r="P226" s="382"/>
      <c r="Q226" s="176"/>
      <c r="R226" s="176"/>
      <c r="S226" s="176"/>
      <c r="T226" s="383"/>
      <c r="U226" s="380">
        <v>635</v>
      </c>
      <c r="V226" s="371" t="s">
        <v>114</v>
      </c>
      <c r="W226" s="384" t="s">
        <v>4915</v>
      </c>
      <c r="X226" s="178" t="s">
        <v>1210</v>
      </c>
      <c r="Y226" s="385"/>
      <c r="Z226" s="385"/>
      <c r="AA226" s="177">
        <v>44952</v>
      </c>
      <c r="AB226" s="177"/>
      <c r="AC226" s="177">
        <v>44953</v>
      </c>
      <c r="AD226" s="177"/>
      <c r="AE226" s="177">
        <v>44953</v>
      </c>
      <c r="AF226" s="177"/>
      <c r="AG226" s="177"/>
      <c r="AH226" s="177"/>
      <c r="AI226" s="180"/>
      <c r="AJ226" s="173"/>
      <c r="AK226" s="173" t="s">
        <v>1643</v>
      </c>
      <c r="AL226" s="181" t="s">
        <v>69</v>
      </c>
      <c r="AM226" s="181" t="s">
        <v>142</v>
      </c>
      <c r="AN226" s="181" t="s">
        <v>1657</v>
      </c>
      <c r="AO226" s="181"/>
      <c r="AP226" s="181">
        <v>44849</v>
      </c>
      <c r="AQ226" s="173"/>
      <c r="AR226" s="181">
        <f t="shared" ca="1" si="28"/>
        <v>44958</v>
      </c>
      <c r="AS226" s="176">
        <f t="shared" ca="1" si="29"/>
        <v>109</v>
      </c>
      <c r="AT226" s="176">
        <f t="shared" ca="1" si="30"/>
        <v>5</v>
      </c>
      <c r="AU226" s="176"/>
      <c r="AV226" s="176" t="s">
        <v>1685</v>
      </c>
      <c r="AW226" s="176">
        <v>10.535</v>
      </c>
      <c r="AX226" s="176">
        <v>10.545</v>
      </c>
      <c r="AY226" s="173">
        <v>10.569999999999999</v>
      </c>
      <c r="AZ226" s="142">
        <v>10.574999999999999</v>
      </c>
      <c r="BA226" s="142">
        <f t="shared" ca="1" si="26"/>
        <v>5</v>
      </c>
      <c r="BB226" s="142">
        <v>456</v>
      </c>
      <c r="BD226" s="142" t="s">
        <v>123</v>
      </c>
    </row>
    <row r="227" spans="2:56" s="142" customFormat="1" ht="21" customHeight="1" x14ac:dyDescent="0.25">
      <c r="B227" s="173" t="str">
        <f t="shared" si="31"/>
        <v>0-304L/2B-1.45X637</v>
      </c>
      <c r="C227" s="201" t="s">
        <v>5362</v>
      </c>
      <c r="D227" s="173" t="s">
        <v>4432</v>
      </c>
      <c r="E227" s="173" t="s">
        <v>4202</v>
      </c>
      <c r="F227" s="201" t="s">
        <v>5366</v>
      </c>
      <c r="G227" s="173" t="s">
        <v>182</v>
      </c>
      <c r="H227" s="173" t="s">
        <v>114</v>
      </c>
      <c r="I227" s="174">
        <v>3.89</v>
      </c>
      <c r="J227" s="174">
        <v>1.45</v>
      </c>
      <c r="K227" s="174">
        <v>1.44</v>
      </c>
      <c r="L227" s="174">
        <v>1.47</v>
      </c>
      <c r="M227" s="380">
        <v>637</v>
      </c>
      <c r="N227" s="176">
        <v>10.234999999999999</v>
      </c>
      <c r="O227" s="381">
        <f>4.275+5.9</f>
        <v>10.175000000000001</v>
      </c>
      <c r="P227" s="382"/>
      <c r="Q227" s="176">
        <v>0.105</v>
      </c>
      <c r="R227" s="176"/>
      <c r="S227" s="176"/>
      <c r="T227" s="383"/>
      <c r="U227" s="380">
        <v>635</v>
      </c>
      <c r="V227" s="371" t="s">
        <v>114</v>
      </c>
      <c r="W227" s="384" t="s">
        <v>4915</v>
      </c>
      <c r="X227" s="178" t="s">
        <v>1210</v>
      </c>
      <c r="Y227" s="385" t="s">
        <v>1592</v>
      </c>
      <c r="Z227" s="385"/>
      <c r="AA227" s="177">
        <v>44948</v>
      </c>
      <c r="AB227" s="177"/>
      <c r="AC227" s="177"/>
      <c r="AD227" s="177">
        <v>44950</v>
      </c>
      <c r="AE227" s="177">
        <v>44952</v>
      </c>
      <c r="AF227" s="177"/>
      <c r="AG227" s="177"/>
      <c r="AH227" s="177"/>
      <c r="AI227" s="180"/>
      <c r="AJ227" s="173"/>
      <c r="AK227" s="173" t="s">
        <v>1605</v>
      </c>
      <c r="AL227" s="181" t="s">
        <v>69</v>
      </c>
      <c r="AM227" s="181" t="s">
        <v>142</v>
      </c>
      <c r="AN227" s="181" t="s">
        <v>1657</v>
      </c>
      <c r="AO227" s="181"/>
      <c r="AP227" s="181">
        <v>44849</v>
      </c>
      <c r="AQ227" s="173"/>
      <c r="AR227" s="181">
        <f t="shared" ca="1" si="28"/>
        <v>44958</v>
      </c>
      <c r="AS227" s="176">
        <f t="shared" ca="1" si="29"/>
        <v>109</v>
      </c>
      <c r="AT227" s="176">
        <f t="shared" ca="1" si="30"/>
        <v>6</v>
      </c>
      <c r="AU227" s="176"/>
      <c r="AV227" s="176" t="s">
        <v>4204</v>
      </c>
      <c r="AW227" s="176">
        <v>10.33</v>
      </c>
      <c r="AX227" s="176">
        <v>10.34</v>
      </c>
      <c r="AY227" s="173">
        <v>10.364999999999998</v>
      </c>
      <c r="AZ227" s="142">
        <v>10.37</v>
      </c>
      <c r="BA227" s="142" t="str">
        <f t="shared" si="26"/>
        <v/>
      </c>
      <c r="BB227" s="142">
        <v>456</v>
      </c>
      <c r="BD227" s="142" t="s">
        <v>123</v>
      </c>
    </row>
    <row r="228" spans="2:56" s="142" customFormat="1" ht="21" customHeight="1" x14ac:dyDescent="0.25">
      <c r="B228" s="173" t="str">
        <f t="shared" si="31"/>
        <v>0-304L/2B-0.90X643</v>
      </c>
      <c r="C228" s="201" t="s">
        <v>5362</v>
      </c>
      <c r="D228" s="173" t="s">
        <v>4432</v>
      </c>
      <c r="E228" s="173" t="s">
        <v>4319</v>
      </c>
      <c r="F228" s="201" t="s">
        <v>5367</v>
      </c>
      <c r="G228" s="173" t="s">
        <v>182</v>
      </c>
      <c r="H228" s="173" t="s">
        <v>114</v>
      </c>
      <c r="I228" s="174">
        <v>2.89</v>
      </c>
      <c r="J228" s="174">
        <v>0.9</v>
      </c>
      <c r="K228" s="174"/>
      <c r="L228" s="174"/>
      <c r="M228" s="380">
        <v>643</v>
      </c>
      <c r="N228" s="176">
        <v>10.69</v>
      </c>
      <c r="O228" s="381">
        <f>3.54+3.64+3.51</f>
        <v>10.69</v>
      </c>
      <c r="P228" s="382"/>
      <c r="Q228" s="176">
        <v>0.05</v>
      </c>
      <c r="R228" s="176"/>
      <c r="S228" s="176"/>
      <c r="T228" s="383"/>
      <c r="U228" s="380">
        <v>635</v>
      </c>
      <c r="V228" s="371" t="s">
        <v>114</v>
      </c>
      <c r="W228" s="384" t="s">
        <v>4915</v>
      </c>
      <c r="X228" s="178" t="s">
        <v>1210</v>
      </c>
      <c r="Y228" s="385" t="s">
        <v>1592</v>
      </c>
      <c r="Z228" s="385"/>
      <c r="AA228" s="177"/>
      <c r="AB228" s="177" t="s">
        <v>4325</v>
      </c>
      <c r="AC228" s="177"/>
      <c r="AD228" s="177">
        <v>44943</v>
      </c>
      <c r="AE228" s="177">
        <v>44954</v>
      </c>
      <c r="AF228" s="177"/>
      <c r="AG228" s="177"/>
      <c r="AH228" s="177"/>
      <c r="AI228" s="180"/>
      <c r="AJ228" s="173"/>
      <c r="AK228" s="173" t="s">
        <v>2479</v>
      </c>
      <c r="AL228" s="181" t="s">
        <v>69</v>
      </c>
      <c r="AM228" s="181" t="s">
        <v>142</v>
      </c>
      <c r="AN228" s="181" t="s">
        <v>1594</v>
      </c>
      <c r="AO228" s="181"/>
      <c r="AP228" s="181">
        <v>44849</v>
      </c>
      <c r="AQ228" s="173"/>
      <c r="AR228" s="181">
        <f t="shared" ca="1" si="28"/>
        <v>44958</v>
      </c>
      <c r="AS228" s="176">
        <f t="shared" ca="1" si="29"/>
        <v>109</v>
      </c>
      <c r="AT228" s="176">
        <f t="shared" ca="1" si="30"/>
        <v>4</v>
      </c>
      <c r="AU228" s="176"/>
      <c r="AV228" s="176" t="s">
        <v>4321</v>
      </c>
      <c r="AW228" s="176">
        <v>10.775</v>
      </c>
      <c r="AX228" s="176">
        <v>10.785</v>
      </c>
      <c r="AY228" s="173">
        <v>10.809999999999999</v>
      </c>
      <c r="AZ228" s="142">
        <v>10.815</v>
      </c>
      <c r="BA228" s="142" t="str">
        <f t="shared" si="26"/>
        <v/>
      </c>
      <c r="BB228" s="142">
        <v>456</v>
      </c>
      <c r="BD228" s="142" t="s">
        <v>123</v>
      </c>
    </row>
    <row r="229" spans="2:56" s="142" customFormat="1" ht="21" customHeight="1" x14ac:dyDescent="0.25">
      <c r="B229" s="173" t="str">
        <f t="shared" si="31"/>
        <v>0-304L/2B-1.50X770</v>
      </c>
      <c r="C229" s="201" t="s">
        <v>5368</v>
      </c>
      <c r="D229" s="173" t="s">
        <v>836</v>
      </c>
      <c r="E229" s="173" t="s">
        <v>4042</v>
      </c>
      <c r="F229" s="201" t="s">
        <v>5369</v>
      </c>
      <c r="G229" s="173" t="s">
        <v>182</v>
      </c>
      <c r="H229" s="173" t="s">
        <v>114</v>
      </c>
      <c r="I229" s="174">
        <v>3.79</v>
      </c>
      <c r="J229" s="174">
        <v>1.5</v>
      </c>
      <c r="K229" s="174">
        <v>1.47</v>
      </c>
      <c r="L229" s="174">
        <v>1.5</v>
      </c>
      <c r="M229" s="380">
        <v>770</v>
      </c>
      <c r="N229" s="349">
        <v>12.275</v>
      </c>
      <c r="O229" s="381">
        <f>N229-O230</f>
        <v>4.1399999999999988</v>
      </c>
      <c r="P229" s="382"/>
      <c r="Q229" s="176"/>
      <c r="R229" s="176"/>
      <c r="S229" s="176"/>
      <c r="T229" s="383"/>
      <c r="U229" s="380">
        <v>770</v>
      </c>
      <c r="V229" s="371" t="s">
        <v>114</v>
      </c>
      <c r="W229" s="384"/>
      <c r="X229" s="178" t="s">
        <v>1540</v>
      </c>
      <c r="Y229" s="385" t="s">
        <v>1513</v>
      </c>
      <c r="Z229" s="385"/>
      <c r="AA229" s="177">
        <v>44940</v>
      </c>
      <c r="AB229" s="177"/>
      <c r="AC229" s="177">
        <v>44940</v>
      </c>
      <c r="AD229" s="177"/>
      <c r="AE229" s="177">
        <v>44951</v>
      </c>
      <c r="AF229" s="177"/>
      <c r="AG229" s="177"/>
      <c r="AH229" s="177">
        <v>44933</v>
      </c>
      <c r="AI229" s="180"/>
      <c r="AJ229" s="173"/>
      <c r="AK229" s="173" t="s">
        <v>1507</v>
      </c>
      <c r="AL229" s="181" t="s">
        <v>69</v>
      </c>
      <c r="AM229" s="181" t="s">
        <v>142</v>
      </c>
      <c r="AN229" s="181" t="s">
        <v>1508</v>
      </c>
      <c r="AO229" s="181"/>
      <c r="AP229" s="181">
        <v>44849</v>
      </c>
      <c r="AQ229" s="173"/>
      <c r="AR229" s="181">
        <f t="shared" ca="1" si="28"/>
        <v>44958</v>
      </c>
      <c r="AS229" s="176">
        <f t="shared" ca="1" si="29"/>
        <v>109</v>
      </c>
      <c r="AT229" s="176">
        <f t="shared" ca="1" si="30"/>
        <v>7</v>
      </c>
      <c r="AU229" s="176"/>
      <c r="AV229" s="176" t="s">
        <v>4044</v>
      </c>
      <c r="AW229" s="176">
        <v>24.504999999999999</v>
      </c>
      <c r="AX229" s="176">
        <v>24.565000000000001</v>
      </c>
      <c r="AY229" s="173">
        <v>24.590000000000003</v>
      </c>
      <c r="AZ229" s="142">
        <v>24.595000000000002</v>
      </c>
      <c r="BA229" s="142">
        <f t="shared" ca="1" si="26"/>
        <v>18</v>
      </c>
      <c r="BB229" s="142">
        <v>456</v>
      </c>
      <c r="BD229" s="142" t="s">
        <v>123</v>
      </c>
    </row>
    <row r="230" spans="2:56" s="142" customFormat="1" ht="21" customHeight="1" x14ac:dyDescent="0.25">
      <c r="B230" s="173" t="str">
        <f t="shared" si="31"/>
        <v>0-304L/2B-1.50X770</v>
      </c>
      <c r="C230" s="201" t="s">
        <v>5362</v>
      </c>
      <c r="D230" s="173" t="s">
        <v>4432</v>
      </c>
      <c r="E230" s="173" t="s">
        <v>4042</v>
      </c>
      <c r="F230" s="201" t="s">
        <v>5370</v>
      </c>
      <c r="G230" s="173" t="s">
        <v>182</v>
      </c>
      <c r="H230" s="173" t="s">
        <v>114</v>
      </c>
      <c r="I230" s="174">
        <v>3.79</v>
      </c>
      <c r="J230" s="174">
        <v>1.5</v>
      </c>
      <c r="K230" s="174">
        <v>1.47</v>
      </c>
      <c r="L230" s="174">
        <v>1.5</v>
      </c>
      <c r="M230" s="380">
        <v>770</v>
      </c>
      <c r="N230" s="350"/>
      <c r="O230" s="381">
        <f>4.07+4.065</f>
        <v>8.1350000000000016</v>
      </c>
      <c r="P230" s="382"/>
      <c r="Q230" s="176"/>
      <c r="R230" s="176"/>
      <c r="S230" s="176"/>
      <c r="T230" s="383"/>
      <c r="U230" s="380">
        <v>760</v>
      </c>
      <c r="V230" s="371" t="s">
        <v>114</v>
      </c>
      <c r="W230" s="384" t="s">
        <v>5371</v>
      </c>
      <c r="X230" s="178" t="s">
        <v>1540</v>
      </c>
      <c r="Y230" s="385" t="s">
        <v>1513</v>
      </c>
      <c r="Z230" s="385"/>
      <c r="AA230" s="177">
        <v>44940</v>
      </c>
      <c r="AB230" s="177"/>
      <c r="AC230" s="177">
        <v>44940</v>
      </c>
      <c r="AD230" s="177"/>
      <c r="AE230" s="177">
        <v>44951</v>
      </c>
      <c r="AF230" s="177"/>
      <c r="AG230" s="177"/>
      <c r="AH230" s="177">
        <v>44933</v>
      </c>
      <c r="AI230" s="180"/>
      <c r="AJ230" s="173"/>
      <c r="AK230" s="173" t="s">
        <v>1507</v>
      </c>
      <c r="AL230" s="181" t="s">
        <v>69</v>
      </c>
      <c r="AM230" s="181" t="s">
        <v>142</v>
      </c>
      <c r="AN230" s="181" t="s">
        <v>1508</v>
      </c>
      <c r="AO230" s="181"/>
      <c r="AP230" s="181">
        <v>44849</v>
      </c>
      <c r="AQ230" s="173"/>
      <c r="AR230" s="181">
        <f t="shared" ca="1" si="28"/>
        <v>44958</v>
      </c>
      <c r="AS230" s="176">
        <f t="shared" ca="1" si="29"/>
        <v>109</v>
      </c>
      <c r="AT230" s="176">
        <f t="shared" ca="1" si="30"/>
        <v>7</v>
      </c>
      <c r="AU230" s="176"/>
      <c r="AV230" s="176" t="s">
        <v>4044</v>
      </c>
      <c r="AW230" s="176">
        <v>24.504999999999999</v>
      </c>
      <c r="AX230" s="176">
        <v>24.565000000000001</v>
      </c>
      <c r="AY230" s="173">
        <v>24.590000000000003</v>
      </c>
      <c r="AZ230" s="142">
        <v>24.595000000000002</v>
      </c>
      <c r="BA230" s="142">
        <f t="shared" ca="1" si="26"/>
        <v>18</v>
      </c>
      <c r="BB230" s="142">
        <v>456</v>
      </c>
      <c r="BD230" s="142" t="s">
        <v>123</v>
      </c>
    </row>
    <row r="231" spans="2:56" s="142" customFormat="1" ht="21" customHeight="1" x14ac:dyDescent="0.25">
      <c r="B231" s="173" t="str">
        <f t="shared" si="31"/>
        <v>0-304L/2B-1.50X770</v>
      </c>
      <c r="C231" s="201" t="s">
        <v>5372</v>
      </c>
      <c r="D231" s="173" t="s">
        <v>4432</v>
      </c>
      <c r="E231" s="173" t="s">
        <v>4042</v>
      </c>
      <c r="F231" s="201" t="s">
        <v>5369</v>
      </c>
      <c r="G231" s="173" t="s">
        <v>182</v>
      </c>
      <c r="H231" s="173" t="s">
        <v>114</v>
      </c>
      <c r="I231" s="174">
        <v>3.79</v>
      </c>
      <c r="J231" s="174">
        <v>1.5</v>
      </c>
      <c r="K231" s="174">
        <v>1.47</v>
      </c>
      <c r="L231" s="174">
        <v>1.5</v>
      </c>
      <c r="M231" s="380">
        <v>770</v>
      </c>
      <c r="N231" s="176">
        <v>4.1399999999999988</v>
      </c>
      <c r="O231" s="381">
        <v>3.9750000000000001</v>
      </c>
      <c r="P231" s="382"/>
      <c r="Q231" s="176">
        <v>0.16500000000000001</v>
      </c>
      <c r="R231" s="176"/>
      <c r="S231" s="176"/>
      <c r="T231" s="383"/>
      <c r="U231" s="380">
        <v>760</v>
      </c>
      <c r="V231" s="371" t="s">
        <v>114</v>
      </c>
      <c r="W231" s="384" t="s">
        <v>5049</v>
      </c>
      <c r="X231" s="178" t="s">
        <v>1540</v>
      </c>
      <c r="Y231" s="385" t="s">
        <v>1513</v>
      </c>
      <c r="Z231" s="385"/>
      <c r="AA231" s="177">
        <v>44940</v>
      </c>
      <c r="AB231" s="177"/>
      <c r="AC231" s="177">
        <v>44940</v>
      </c>
      <c r="AD231" s="177"/>
      <c r="AE231" s="177">
        <v>44951</v>
      </c>
      <c r="AF231" s="177"/>
      <c r="AG231" s="177"/>
      <c r="AH231" s="177">
        <v>44933</v>
      </c>
      <c r="AI231" s="180"/>
      <c r="AJ231" s="173"/>
      <c r="AK231" s="173" t="s">
        <v>1507</v>
      </c>
      <c r="AL231" s="181" t="s">
        <v>69</v>
      </c>
      <c r="AM231" s="181" t="s">
        <v>142</v>
      </c>
      <c r="AN231" s="181" t="s">
        <v>1508</v>
      </c>
      <c r="AO231" s="181"/>
      <c r="AP231" s="181">
        <v>44849</v>
      </c>
      <c r="AQ231" s="173"/>
      <c r="AR231" s="181">
        <f t="shared" ca="1" si="28"/>
        <v>44958</v>
      </c>
      <c r="AS231" s="176">
        <f t="shared" ca="1" si="29"/>
        <v>109</v>
      </c>
      <c r="AT231" s="176">
        <f t="shared" ca="1" si="30"/>
        <v>7</v>
      </c>
      <c r="AU231" s="176"/>
      <c r="AV231" s="176" t="s">
        <v>4044</v>
      </c>
      <c r="AW231" s="176">
        <v>24.504999999999999</v>
      </c>
      <c r="AX231" s="176">
        <v>24.565000000000001</v>
      </c>
      <c r="AY231" s="173">
        <v>24.590000000000003</v>
      </c>
      <c r="AZ231" s="142">
        <v>24.595000000000002</v>
      </c>
      <c r="BA231" s="142">
        <f t="shared" ca="1" si="26"/>
        <v>18</v>
      </c>
      <c r="BB231" s="142">
        <v>456</v>
      </c>
      <c r="BD231" s="142" t="s">
        <v>123</v>
      </c>
    </row>
    <row r="232" spans="2:56" s="142" customFormat="1" ht="21" customHeight="1" x14ac:dyDescent="0.25">
      <c r="B232" s="173" t="str">
        <f>IF(C232="HOLD RM","HOLD RM",IF(C232="BAL","WIP",IF(C232="HOLD SLT","HOLD SLT",IF(C232="MILL","RM",IF(C232="RE SLT","WIP",IF(C232="RM","RM",IF(C232="RM BAL","RM",IF(C232="RM SLT","RM",IF(C232="RR","WIP",IF(C232="SKP","WIP",IF(C232="SLT","WIP",IF(C232="CTL","WIP",IF(C232="RM SLT RUST","RM SLT RUST",0)))))))))))))&amp;"-"&amp;G232&amp;"/"&amp;IF(H232="2B","2B",IF(H232="NO.1","1D",IF(H232="FH","FH",0)))&amp;"-"&amp;IF(J232="",(TEXT(I232,"0.00")),TEXT(J232,"0.00"))&amp;"X"&amp;M232</f>
        <v>0-304L/2B-1.20X768</v>
      </c>
      <c r="C232" s="201" t="s">
        <v>5362</v>
      </c>
      <c r="D232" s="173" t="s">
        <v>4432</v>
      </c>
      <c r="E232" s="173" t="s">
        <v>1558</v>
      </c>
      <c r="F232" s="201" t="s">
        <v>5054</v>
      </c>
      <c r="G232" s="173" t="s">
        <v>182</v>
      </c>
      <c r="H232" s="173" t="s">
        <v>114</v>
      </c>
      <c r="I232" s="174">
        <v>3.78</v>
      </c>
      <c r="J232" s="174">
        <v>1.2</v>
      </c>
      <c r="K232" s="174">
        <v>1.18</v>
      </c>
      <c r="L232" s="174">
        <v>1.2</v>
      </c>
      <c r="M232" s="380">
        <v>768</v>
      </c>
      <c r="N232" s="176">
        <v>6.15</v>
      </c>
      <c r="O232" s="381">
        <v>6.04</v>
      </c>
      <c r="P232" s="382"/>
      <c r="Q232" s="176">
        <v>0.11</v>
      </c>
      <c r="R232" s="176"/>
      <c r="S232" s="176"/>
      <c r="T232" s="383"/>
      <c r="U232" s="380">
        <v>760</v>
      </c>
      <c r="V232" s="371" t="s">
        <v>114</v>
      </c>
      <c r="W232" s="384" t="s">
        <v>5049</v>
      </c>
      <c r="X232" s="178" t="s">
        <v>1540</v>
      </c>
      <c r="Y232" s="385" t="s">
        <v>1386</v>
      </c>
      <c r="Z232" s="385"/>
      <c r="AA232" s="177">
        <v>44940</v>
      </c>
      <c r="AB232" s="177"/>
      <c r="AC232" s="177">
        <v>44940</v>
      </c>
      <c r="AD232" s="177"/>
      <c r="AE232" s="177"/>
      <c r="AF232" s="177">
        <v>44950</v>
      </c>
      <c r="AG232" s="177">
        <v>44940</v>
      </c>
      <c r="AH232" s="177">
        <v>44934</v>
      </c>
      <c r="AI232" s="180"/>
      <c r="AJ232" s="173"/>
      <c r="AK232" s="173" t="s">
        <v>1507</v>
      </c>
      <c r="AL232" s="181" t="s">
        <v>69</v>
      </c>
      <c r="AM232" s="181" t="s">
        <v>142</v>
      </c>
      <c r="AN232" s="181" t="s">
        <v>1508</v>
      </c>
      <c r="AO232" s="181"/>
      <c r="AP232" s="181">
        <v>44849</v>
      </c>
      <c r="AQ232" s="173"/>
      <c r="AR232" s="181">
        <f t="shared" ca="1" si="28"/>
        <v>44958</v>
      </c>
      <c r="AS232" s="176">
        <f t="shared" ca="1" si="29"/>
        <v>109</v>
      </c>
      <c r="AT232" s="176" t="str">
        <f t="shared" si="30"/>
        <v/>
      </c>
      <c r="AU232" s="176"/>
      <c r="AV232" s="176" t="s">
        <v>1560</v>
      </c>
      <c r="AW232" s="176">
        <v>24.535</v>
      </c>
      <c r="AX232" s="176">
        <v>24.594999999999999</v>
      </c>
      <c r="AY232" s="173">
        <v>24.62</v>
      </c>
      <c r="AZ232" s="142">
        <v>24.625</v>
      </c>
      <c r="BA232" s="142">
        <f t="shared" ca="1" si="26"/>
        <v>18</v>
      </c>
      <c r="BB232" s="142">
        <v>456</v>
      </c>
      <c r="BD232" s="142" t="s">
        <v>123</v>
      </c>
    </row>
    <row r="233" spans="2:56" s="142" customFormat="1" ht="21" customHeight="1" x14ac:dyDescent="0.25">
      <c r="B233" s="173" t="str">
        <f>IF(C233="HOLD RM","HOLD RM",IF(C233="BAL","WIP",IF(C233="HOLD SLT","HOLD SLT",IF(C233="MILL","RM",IF(C233="RE SLT","WIP",IF(C233="RM","RM",IF(C233="RM BAL","RM",IF(C233="RM SLT","RM",IF(C233="RR","WIP",IF(C233="SKP","WIP",IF(C233="SLT","WIP",IF(C233="CTL","WIP",IF(C233="RM SLT RUST","RM SLT RUST",0)))))))))))))&amp;"-"&amp;G233&amp;"/"&amp;IF(H233="2B","2B",IF(H233="NO.1","1D",IF(H233="FH","FH",0)))&amp;"-"&amp;IF(J233="",(TEXT(I233,"0.00")),TEXT(J233,"0.00"))&amp;"X"&amp;M233</f>
        <v>0-304/2B-0.95X770</v>
      </c>
      <c r="C233" s="201" t="s">
        <v>5362</v>
      </c>
      <c r="D233" s="173" t="s">
        <v>4432</v>
      </c>
      <c r="E233" s="173" t="s">
        <v>4048</v>
      </c>
      <c r="F233" s="201" t="s">
        <v>5373</v>
      </c>
      <c r="G233" s="173">
        <v>304</v>
      </c>
      <c r="H233" s="173" t="s">
        <v>114</v>
      </c>
      <c r="I233" s="174">
        <v>3.46</v>
      </c>
      <c r="J233" s="174">
        <v>0.95</v>
      </c>
      <c r="K233" s="174">
        <v>0.92</v>
      </c>
      <c r="L233" s="174">
        <v>0.93</v>
      </c>
      <c r="M233" s="380">
        <v>770</v>
      </c>
      <c r="N233" s="176">
        <v>7.57</v>
      </c>
      <c r="O233" s="381">
        <f>3.74+3.67</f>
        <v>7.41</v>
      </c>
      <c r="P233" s="382"/>
      <c r="Q233" s="176">
        <v>0.16</v>
      </c>
      <c r="R233" s="176"/>
      <c r="S233" s="176"/>
      <c r="T233" s="383"/>
      <c r="U233" s="380">
        <v>760</v>
      </c>
      <c r="V233" s="371" t="s">
        <v>114</v>
      </c>
      <c r="W233" s="384" t="s">
        <v>5371</v>
      </c>
      <c r="X233" s="178" t="s">
        <v>1540</v>
      </c>
      <c r="Y233" s="385"/>
      <c r="Z233" s="385"/>
      <c r="AA233" s="177">
        <v>44937</v>
      </c>
      <c r="AB233" s="177"/>
      <c r="AC233" s="177"/>
      <c r="AD233" s="177">
        <v>44938</v>
      </c>
      <c r="AE233" s="177"/>
      <c r="AF233" s="177">
        <v>44950</v>
      </c>
      <c r="AG233" s="177">
        <v>44940</v>
      </c>
      <c r="AH233" s="177"/>
      <c r="AI233" s="180"/>
      <c r="AJ233" s="173"/>
      <c r="AK233" s="173" t="s">
        <v>1507</v>
      </c>
      <c r="AL233" s="181" t="s">
        <v>69</v>
      </c>
      <c r="AM233" s="181" t="s">
        <v>142</v>
      </c>
      <c r="AN233" s="181" t="s">
        <v>1584</v>
      </c>
      <c r="AO233" s="181"/>
      <c r="AP233" s="181">
        <v>44914</v>
      </c>
      <c r="AQ233" s="173"/>
      <c r="AR233" s="181">
        <f t="shared" ca="1" si="28"/>
        <v>44958</v>
      </c>
      <c r="AS233" s="176">
        <f t="shared" ca="1" si="29"/>
        <v>44</v>
      </c>
      <c r="AT233" s="176" t="str">
        <f t="shared" si="30"/>
        <v/>
      </c>
      <c r="AU233" s="176"/>
      <c r="AV233" s="176" t="s">
        <v>4050</v>
      </c>
      <c r="AW233" s="176">
        <v>7.53</v>
      </c>
      <c r="AX233" s="176">
        <v>7.54</v>
      </c>
      <c r="AY233" s="173">
        <v>7.5650000000000004</v>
      </c>
      <c r="AZ233" s="142">
        <v>7.57</v>
      </c>
      <c r="BA233" s="142" t="str">
        <f t="shared" si="26"/>
        <v/>
      </c>
      <c r="BB233" s="142">
        <v>462</v>
      </c>
      <c r="BD233" s="142" t="s">
        <v>123</v>
      </c>
    </row>
    <row r="234" spans="2:56" s="142" customFormat="1" ht="21" customHeight="1" x14ac:dyDescent="0.25">
      <c r="B234" s="173" t="str">
        <f>IF(C234="HOLD RM","HOLD RM",IF(C234="BAL","WIP",IF(C234="HOLD SLT","HOLD SLT",IF(C234="MILL","RM",IF(C234="RE SLT","WIP",IF(C234="RM","RM",IF(C234="RM BAL","RM",IF(C234="RM SLT","RM",IF(C234="RR","WIP",IF(C234="SKP","WIP",IF(C234="SLT","WIP",IF(C234="CTL","WIP",IF(C234="RM SLT RUST","RM SLT RUST",0)))))))))))))&amp;"-"&amp;G234&amp;"/"&amp;IF(H234="2B","2B",IF(H234="NO.1","1D",IF(H234="FH","FH",0)))&amp;"-"&amp;IF(J234="",(TEXT(I234,"0.00")),TEXT(J234,"0.00"))&amp;"X"&amp;M234</f>
        <v>0-304L/FH-1.45X638</v>
      </c>
      <c r="C234" s="201" t="s">
        <v>5374</v>
      </c>
      <c r="D234" s="173" t="s">
        <v>16</v>
      </c>
      <c r="E234" s="173" t="s">
        <v>4234</v>
      </c>
      <c r="F234" s="201" t="s">
        <v>4235</v>
      </c>
      <c r="G234" s="173" t="s">
        <v>182</v>
      </c>
      <c r="H234" s="173" t="s">
        <v>70</v>
      </c>
      <c r="I234" s="174">
        <v>3.88</v>
      </c>
      <c r="J234" s="174">
        <v>1.45</v>
      </c>
      <c r="K234" s="174"/>
      <c r="L234" s="174"/>
      <c r="M234" s="380">
        <v>638</v>
      </c>
      <c r="N234" s="176">
        <v>10.34</v>
      </c>
      <c r="O234" s="381">
        <v>10.34</v>
      </c>
      <c r="P234" s="382"/>
      <c r="Q234" s="176"/>
      <c r="R234" s="176"/>
      <c r="S234" s="176"/>
      <c r="T234" s="383"/>
      <c r="U234" s="380">
        <v>638</v>
      </c>
      <c r="V234" s="371"/>
      <c r="W234" s="384"/>
      <c r="X234" s="178" t="s">
        <v>1210</v>
      </c>
      <c r="Y234" s="385" t="s">
        <v>5129</v>
      </c>
      <c r="Z234" s="385"/>
      <c r="AA234" s="177"/>
      <c r="AB234" s="177">
        <v>44951</v>
      </c>
      <c r="AC234" s="177"/>
      <c r="AD234" s="177">
        <v>44952</v>
      </c>
      <c r="AE234" s="177"/>
      <c r="AF234" s="177"/>
      <c r="AG234" s="177"/>
      <c r="AH234" s="177"/>
      <c r="AI234" s="180"/>
      <c r="AJ234" s="173"/>
      <c r="AK234" s="173" t="s">
        <v>1609</v>
      </c>
      <c r="AL234" s="181" t="s">
        <v>69</v>
      </c>
      <c r="AM234" s="181" t="s">
        <v>142</v>
      </c>
      <c r="AN234" s="181" t="s">
        <v>1594</v>
      </c>
      <c r="AO234" s="181"/>
      <c r="AP234" s="181">
        <v>44849</v>
      </c>
      <c r="AQ234" s="173"/>
      <c r="AR234" s="181">
        <f t="shared" ca="1" si="28"/>
        <v>44958</v>
      </c>
      <c r="AS234" s="176">
        <f t="shared" ca="1" si="29"/>
        <v>109</v>
      </c>
      <c r="AT234" s="176" t="str">
        <f t="shared" si="30"/>
        <v/>
      </c>
      <c r="AU234" s="176"/>
      <c r="AV234" s="176" t="s">
        <v>1612</v>
      </c>
      <c r="AW234" s="176">
        <v>10.395</v>
      </c>
      <c r="AX234" s="176">
        <v>10.404999999999999</v>
      </c>
      <c r="AY234" s="173">
        <v>10.429999999999998</v>
      </c>
      <c r="AZ234" s="142">
        <v>10.434999999999999</v>
      </c>
      <c r="BA234" s="142" t="str">
        <f t="shared" si="26"/>
        <v/>
      </c>
      <c r="BB234" s="142">
        <v>456</v>
      </c>
      <c r="BD234" s="142" t="s">
        <v>123</v>
      </c>
    </row>
    <row r="235" spans="2:56" s="142" customFormat="1" ht="21" customHeight="1" x14ac:dyDescent="0.25">
      <c r="B235" s="173" t="str">
        <f>IF(C235="HOLD RM","HOLD RM",IF(C235="BAL","WIP",IF(C235="HOLD SLT","HOLD SLT",IF(C235="MILL","RM",IF(C235="RE SLT","WIP",IF(C235="RM","RM",IF(C235="RM BAL","RM",IF(C235="RM SLT","RM",IF(C235="RR","WIP",IF(C235="SKP","WIP",IF(C235="SLT","WIP",IF(C235="CTL","WIP",IF(C235="RM SLT RUST","RM SLT RUST",0)))))))))))))&amp;"-"&amp;G235&amp;"/"&amp;IF(H235="2B","2B",IF(H235="NO.1","1D",IF(H235="FH","FH",0)))&amp;"-"&amp;IF(J235="",(TEXT(I235,"0.00")),TEXT(J235,"0.00"))&amp;"X"&amp;M235</f>
        <v>0-304L/2B-1.20X768</v>
      </c>
      <c r="C235" s="201" t="s">
        <v>5362</v>
      </c>
      <c r="D235" s="173" t="s">
        <v>4432</v>
      </c>
      <c r="E235" s="173" t="s">
        <v>1573</v>
      </c>
      <c r="F235" s="201" t="s">
        <v>5375</v>
      </c>
      <c r="G235" s="173" t="s">
        <v>182</v>
      </c>
      <c r="H235" s="173" t="s">
        <v>114</v>
      </c>
      <c r="I235" s="174">
        <v>3.79</v>
      </c>
      <c r="J235" s="174">
        <v>1.2</v>
      </c>
      <c r="K235" s="174">
        <v>1.18</v>
      </c>
      <c r="L235" s="174">
        <v>1.19</v>
      </c>
      <c r="M235" s="380">
        <v>768</v>
      </c>
      <c r="N235" s="176">
        <v>4.1500000000000004</v>
      </c>
      <c r="O235" s="381">
        <v>4.08</v>
      </c>
      <c r="P235" s="382"/>
      <c r="Q235" s="176">
        <v>7.0000000000000007E-2</v>
      </c>
      <c r="R235" s="176"/>
      <c r="S235" s="176"/>
      <c r="T235" s="383"/>
      <c r="U235" s="380">
        <v>760</v>
      </c>
      <c r="V235" s="371" t="s">
        <v>114</v>
      </c>
      <c r="W235" s="384" t="s">
        <v>5049</v>
      </c>
      <c r="X235" s="178" t="s">
        <v>1540</v>
      </c>
      <c r="Y235" s="385" t="s">
        <v>1386</v>
      </c>
      <c r="Z235" s="385"/>
      <c r="AA235" s="177">
        <v>44939</v>
      </c>
      <c r="AB235" s="177"/>
      <c r="AC235" s="177">
        <v>44939</v>
      </c>
      <c r="AD235" s="177"/>
      <c r="AE235" s="177"/>
      <c r="AF235" s="177">
        <v>44950</v>
      </c>
      <c r="AG235" s="177"/>
      <c r="AH235" s="177">
        <v>44934</v>
      </c>
      <c r="AI235" s="180"/>
      <c r="AJ235" s="173"/>
      <c r="AK235" s="173" t="s">
        <v>1507</v>
      </c>
      <c r="AL235" s="181" t="s">
        <v>69</v>
      </c>
      <c r="AM235" s="181" t="s">
        <v>142</v>
      </c>
      <c r="AN235" s="181" t="s">
        <v>1508</v>
      </c>
      <c r="AO235" s="181"/>
      <c r="AP235" s="181">
        <v>44849</v>
      </c>
      <c r="AQ235" s="173"/>
      <c r="AR235" s="181">
        <f t="shared" ca="1" si="28"/>
        <v>44958</v>
      </c>
      <c r="AS235" s="176">
        <f t="shared" ca="1" si="29"/>
        <v>109</v>
      </c>
      <c r="AT235" s="176" t="str">
        <f t="shared" si="30"/>
        <v/>
      </c>
      <c r="AU235" s="176"/>
      <c r="AV235" s="176" t="s">
        <v>1575</v>
      </c>
      <c r="AW235" s="176">
        <v>24.63</v>
      </c>
      <c r="AX235" s="176">
        <v>24.69</v>
      </c>
      <c r="AY235" s="173">
        <v>24.715000000000003</v>
      </c>
      <c r="AZ235" s="142">
        <v>24.720000000000002</v>
      </c>
      <c r="BA235" s="142">
        <f t="shared" ref="BA235:BA271" ca="1" si="32">IF(ISNUMBER(AC235)=TRUE,AR235-AC235,IF(AC235="","",(AR235)-(MID(RIGHT(AC235,10),4,2)&amp;"/"&amp;LEFT((RIGHT(AC235,10)),2)&amp;"/"&amp;RIGHT(AC235,4))))</f>
        <v>19</v>
      </c>
      <c r="BB235" s="142">
        <v>456</v>
      </c>
      <c r="BD235" s="142" t="s">
        <v>123</v>
      </c>
    </row>
    <row r="236" spans="2:56" s="142" customFormat="1" ht="21" customHeight="1" x14ac:dyDescent="0.25">
      <c r="B236" s="173" t="str">
        <f>IF(C236="HOLD RM","HOLD RM",IF(C236="BAL","WIP",IF(C236="HOLD SLT","HOLD SLT",IF(C236="MILL","RM",IF(C236="RE SLT","WIP",IF(C236="RM","RM",IF(C236="RM BAL","RM",IF(C236="RM SLT","RM",IF(C236="RR","WIP",IF(C236="SKP","WIP",IF(C236="SLT","WIP",IF(C236="CTL","WIP",IF(C236="RM SLT RUST","RM SLT RUST",0)))))))))))))&amp;"-"&amp;G236&amp;"/"&amp;IF(H236="2B","2B",IF(H236="NO.1","1D",IF(H236="FH","FH",0)))&amp;"-"&amp;IF(J236="",(TEXT(I236,"0.00")),TEXT(J236,"0.00"))&amp;"X"&amp;M236</f>
        <v>0-304L/2B-1.20X768</v>
      </c>
      <c r="C236" s="201" t="s">
        <v>5362</v>
      </c>
      <c r="D236" s="173" t="s">
        <v>4432</v>
      </c>
      <c r="E236" s="173" t="s">
        <v>1573</v>
      </c>
      <c r="F236" s="201" t="s">
        <v>5057</v>
      </c>
      <c r="G236" s="173" t="s">
        <v>182</v>
      </c>
      <c r="H236" s="173" t="s">
        <v>114</v>
      </c>
      <c r="I236" s="174">
        <v>3.79</v>
      </c>
      <c r="J236" s="174">
        <v>1.2</v>
      </c>
      <c r="K236" s="174">
        <v>1.18</v>
      </c>
      <c r="L236" s="174">
        <v>1.19</v>
      </c>
      <c r="M236" s="380">
        <v>768</v>
      </c>
      <c r="N236" s="176">
        <v>3.95</v>
      </c>
      <c r="O236" s="381">
        <v>3.9249999999999998</v>
      </c>
      <c r="P236" s="382"/>
      <c r="Q236" s="176"/>
      <c r="R236" s="176"/>
      <c r="S236" s="176"/>
      <c r="T236" s="383"/>
      <c r="U236" s="380">
        <v>760</v>
      </c>
      <c r="V236" s="371" t="s">
        <v>114</v>
      </c>
      <c r="W236" s="384" t="s">
        <v>5049</v>
      </c>
      <c r="X236" s="178" t="s">
        <v>1540</v>
      </c>
      <c r="Y236" s="385" t="s">
        <v>1386</v>
      </c>
      <c r="Z236" s="385"/>
      <c r="AA236" s="177">
        <v>44939</v>
      </c>
      <c r="AB236" s="177"/>
      <c r="AC236" s="177">
        <v>44939</v>
      </c>
      <c r="AD236" s="177"/>
      <c r="AE236" s="177"/>
      <c r="AF236" s="177">
        <v>44950</v>
      </c>
      <c r="AG236" s="177"/>
      <c r="AH236" s="177">
        <v>44934</v>
      </c>
      <c r="AI236" s="180"/>
      <c r="AJ236" s="173"/>
      <c r="AK236" s="173" t="s">
        <v>1507</v>
      </c>
      <c r="AL236" s="181" t="s">
        <v>69</v>
      </c>
      <c r="AM236" s="181" t="s">
        <v>142</v>
      </c>
      <c r="AN236" s="181" t="s">
        <v>1508</v>
      </c>
      <c r="AO236" s="181"/>
      <c r="AP236" s="181">
        <v>44849</v>
      </c>
      <c r="AQ236" s="173"/>
      <c r="AR236" s="181">
        <f t="shared" ca="1" si="28"/>
        <v>44958</v>
      </c>
      <c r="AS236" s="176">
        <f t="shared" ca="1" si="29"/>
        <v>109</v>
      </c>
      <c r="AT236" s="176" t="str">
        <f t="shared" si="30"/>
        <v/>
      </c>
      <c r="AU236" s="176"/>
      <c r="AV236" s="176" t="s">
        <v>1575</v>
      </c>
      <c r="AW236" s="176">
        <v>24.63</v>
      </c>
      <c r="AX236" s="176">
        <v>24.69</v>
      </c>
      <c r="AY236" s="173">
        <v>24.715000000000003</v>
      </c>
      <c r="AZ236" s="142">
        <v>24.720000000000002</v>
      </c>
      <c r="BA236" s="142">
        <f t="shared" ca="1" si="32"/>
        <v>19</v>
      </c>
      <c r="BB236" s="142">
        <v>456</v>
      </c>
      <c r="BD236" s="142" t="s">
        <v>123</v>
      </c>
    </row>
    <row r="237" spans="2:56" s="142" customFormat="1" ht="21" customHeight="1" x14ac:dyDescent="0.25">
      <c r="B237" s="173" t="str">
        <f>IF(Q237="MULTI","FGM","FGC")&amp;"-"&amp;G237&amp;"/"&amp;H237&amp;"-"&amp;TEXT(J237,"0.00")&amp;"X"&amp;IF(Q237="MULTI",M237,Q237)</f>
        <v>FGC-304/2B-1.20X</v>
      </c>
      <c r="C237" s="201" t="s">
        <v>5376</v>
      </c>
      <c r="D237" s="173" t="s">
        <v>776</v>
      </c>
      <c r="E237" s="173" t="s">
        <v>1582</v>
      </c>
      <c r="F237" s="201" t="s">
        <v>1583</v>
      </c>
      <c r="G237" s="173">
        <v>304</v>
      </c>
      <c r="H237" s="173" t="s">
        <v>114</v>
      </c>
      <c r="I237" s="174">
        <v>3.76</v>
      </c>
      <c r="J237" s="174">
        <v>1.2</v>
      </c>
      <c r="K237" s="174">
        <v>1.1599999999999999</v>
      </c>
      <c r="L237" s="174">
        <v>1.18</v>
      </c>
      <c r="M237" s="380">
        <v>767</v>
      </c>
      <c r="N237" s="176">
        <v>4.5049999999999999</v>
      </c>
      <c r="O237" s="381">
        <v>4.5049999999999999</v>
      </c>
      <c r="P237" s="382"/>
      <c r="Q237" s="176"/>
      <c r="R237" s="176"/>
      <c r="S237" s="176"/>
      <c r="T237" s="383"/>
      <c r="U237" s="380">
        <v>767</v>
      </c>
      <c r="V237" s="371" t="s">
        <v>114</v>
      </c>
      <c r="W237" s="384"/>
      <c r="X237" s="178" t="s">
        <v>314</v>
      </c>
      <c r="Y237" s="385" t="s">
        <v>5377</v>
      </c>
      <c r="Z237" s="385"/>
      <c r="AA237" s="177">
        <v>44936</v>
      </c>
      <c r="AB237" s="177"/>
      <c r="AC237" s="177">
        <v>44937</v>
      </c>
      <c r="AD237" s="177"/>
      <c r="AE237" s="177"/>
      <c r="AF237" s="177"/>
      <c r="AG237" s="177"/>
      <c r="AH237" s="177"/>
      <c r="AI237" s="180"/>
      <c r="AJ237" s="173"/>
      <c r="AK237" s="173" t="s">
        <v>1507</v>
      </c>
      <c r="AL237" s="181" t="s">
        <v>69</v>
      </c>
      <c r="AM237" s="181" t="s">
        <v>142</v>
      </c>
      <c r="AN237" s="181" t="s">
        <v>1584</v>
      </c>
      <c r="AO237" s="181"/>
      <c r="AP237" s="181">
        <v>44914</v>
      </c>
      <c r="AQ237" s="173"/>
      <c r="AR237" s="181">
        <f t="shared" ca="1" si="28"/>
        <v>44958</v>
      </c>
      <c r="AS237" s="176">
        <f t="shared" ca="1" si="29"/>
        <v>44</v>
      </c>
      <c r="AT237" s="176" t="str">
        <f t="shared" si="30"/>
        <v/>
      </c>
      <c r="AU237" s="176"/>
      <c r="AV237" s="176" t="s">
        <v>1585</v>
      </c>
      <c r="AW237" s="176">
        <v>10.305</v>
      </c>
      <c r="AX237" s="176">
        <v>10.315</v>
      </c>
      <c r="AY237" s="173">
        <v>10.339999999999998</v>
      </c>
      <c r="AZ237" s="142">
        <v>10.344999999999999</v>
      </c>
      <c r="BA237" s="142">
        <f t="shared" ca="1" si="32"/>
        <v>21</v>
      </c>
      <c r="BB237" s="142">
        <v>462</v>
      </c>
      <c r="BD237" s="142" t="s">
        <v>123</v>
      </c>
    </row>
    <row r="238" spans="2:56" s="142" customFormat="1" ht="21" customHeight="1" x14ac:dyDescent="0.25">
      <c r="B238" s="173" t="str">
        <f t="shared" ref="B238:B271" si="33">IF(C238="HOLD RM","HOLD RM",IF(C238="BAL","WIP",IF(C238="HOLD SLT","HOLD SLT",IF(C238="MILL","RM",IF(C238="RE SLT","WIP",IF(C238="RM","RM",IF(C238="RM BAL","RM",IF(C238="RM SLT","RM",IF(C238="RR","WIP",IF(C238="SKP","WIP",IF(C238="SLT","WIP",IF(C238="CTL","WIP",IF(C238="RM SLT RUST","RM SLT RUST",0)))))))))))))&amp;"-"&amp;G238&amp;"/"&amp;IF(H238="2B","2B",IF(H238="NO.1","1D",IF(H238="FH","FH",0)))&amp;"-"&amp;IF(J238="",(TEXT(I238,"0.00")),TEXT(J238,"0.00"))&amp;"X"&amp;M238</f>
        <v>0-304L/2B-1.20X768</v>
      </c>
      <c r="C238" s="201" t="s">
        <v>5362</v>
      </c>
      <c r="D238" s="173" t="s">
        <v>4432</v>
      </c>
      <c r="E238" s="173" t="s">
        <v>1573</v>
      </c>
      <c r="F238" s="201" t="s">
        <v>5378</v>
      </c>
      <c r="G238" s="173" t="s">
        <v>182</v>
      </c>
      <c r="H238" s="173" t="s">
        <v>114</v>
      </c>
      <c r="I238" s="174">
        <v>3.79</v>
      </c>
      <c r="J238" s="174">
        <v>1.2</v>
      </c>
      <c r="K238" s="174">
        <v>1.18</v>
      </c>
      <c r="L238" s="174">
        <v>1.19</v>
      </c>
      <c r="M238" s="380">
        <v>768</v>
      </c>
      <c r="N238" s="176">
        <v>4.13</v>
      </c>
      <c r="O238" s="381">
        <v>4.0549999999999997</v>
      </c>
      <c r="P238" s="382"/>
      <c r="Q238" s="176">
        <v>7.4999999999999997E-2</v>
      </c>
      <c r="R238" s="176"/>
      <c r="S238" s="176"/>
      <c r="T238" s="383"/>
      <c r="U238" s="380">
        <v>760</v>
      </c>
      <c r="V238" s="371" t="s">
        <v>114</v>
      </c>
      <c r="W238" s="384" t="s">
        <v>4950</v>
      </c>
      <c r="X238" s="178" t="s">
        <v>1540</v>
      </c>
      <c r="Y238" s="385" t="s">
        <v>1386</v>
      </c>
      <c r="Z238" s="385"/>
      <c r="AA238" s="177">
        <v>44939</v>
      </c>
      <c r="AB238" s="177"/>
      <c r="AC238" s="177">
        <v>44939</v>
      </c>
      <c r="AD238" s="177"/>
      <c r="AE238" s="177"/>
      <c r="AF238" s="177">
        <v>44950</v>
      </c>
      <c r="AG238" s="177"/>
      <c r="AH238" s="177">
        <v>44934</v>
      </c>
      <c r="AI238" s="180"/>
      <c r="AJ238" s="173"/>
      <c r="AK238" s="173" t="s">
        <v>1507</v>
      </c>
      <c r="AL238" s="181" t="s">
        <v>69</v>
      </c>
      <c r="AM238" s="181" t="s">
        <v>142</v>
      </c>
      <c r="AN238" s="181" t="s">
        <v>1508</v>
      </c>
      <c r="AO238" s="181"/>
      <c r="AP238" s="181">
        <v>44849</v>
      </c>
      <c r="AQ238" s="173"/>
      <c r="AR238" s="181">
        <f t="shared" ca="1" si="28"/>
        <v>44958</v>
      </c>
      <c r="AS238" s="176">
        <f t="shared" ca="1" si="29"/>
        <v>109</v>
      </c>
      <c r="AT238" s="176" t="str">
        <f t="shared" si="30"/>
        <v/>
      </c>
      <c r="AU238" s="176"/>
      <c r="AV238" s="176" t="s">
        <v>1575</v>
      </c>
      <c r="AW238" s="176">
        <v>24.63</v>
      </c>
      <c r="AX238" s="176">
        <v>24.69</v>
      </c>
      <c r="AY238" s="173">
        <v>24.715000000000003</v>
      </c>
      <c r="AZ238" s="142">
        <v>24.720000000000002</v>
      </c>
      <c r="BA238" s="142">
        <f t="shared" ca="1" si="32"/>
        <v>19</v>
      </c>
      <c r="BB238" s="142">
        <v>456</v>
      </c>
      <c r="BD238" s="142" t="s">
        <v>123</v>
      </c>
    </row>
    <row r="239" spans="2:56" s="142" customFormat="1" ht="21" customHeight="1" x14ac:dyDescent="0.25">
      <c r="B239" s="173" t="str">
        <f t="shared" si="33"/>
        <v>0-304L/2B-1.50X767</v>
      </c>
      <c r="C239" s="201" t="s">
        <v>5362</v>
      </c>
      <c r="D239" s="173" t="s">
        <v>4432</v>
      </c>
      <c r="E239" s="173" t="s">
        <v>4042</v>
      </c>
      <c r="F239" s="201" t="s">
        <v>5379</v>
      </c>
      <c r="G239" s="173" t="s">
        <v>182</v>
      </c>
      <c r="H239" s="173" t="s">
        <v>114</v>
      </c>
      <c r="I239" s="174">
        <v>3.79</v>
      </c>
      <c r="J239" s="174">
        <v>1.5</v>
      </c>
      <c r="K239" s="174">
        <v>1.47</v>
      </c>
      <c r="L239" s="174">
        <v>1.49</v>
      </c>
      <c r="M239" s="380">
        <v>767</v>
      </c>
      <c r="N239" s="176">
        <v>5.67</v>
      </c>
      <c r="O239" s="381">
        <v>5.5</v>
      </c>
      <c r="P239" s="382"/>
      <c r="Q239" s="176">
        <v>0.17</v>
      </c>
      <c r="R239" s="176"/>
      <c r="S239" s="176"/>
      <c r="T239" s="383"/>
      <c r="U239" s="380">
        <v>760</v>
      </c>
      <c r="V239" s="371" t="s">
        <v>114</v>
      </c>
      <c r="W239" s="384" t="s">
        <v>4950</v>
      </c>
      <c r="X239" s="178" t="s">
        <v>1540</v>
      </c>
      <c r="Y239" s="385" t="s">
        <v>1513</v>
      </c>
      <c r="Z239" s="385"/>
      <c r="AA239" s="177">
        <v>44937</v>
      </c>
      <c r="AB239" s="177"/>
      <c r="AC239" s="177">
        <v>44937</v>
      </c>
      <c r="AD239" s="177"/>
      <c r="AE239" s="177">
        <v>44950</v>
      </c>
      <c r="AF239" s="177"/>
      <c r="AG239" s="177"/>
      <c r="AH239" s="177">
        <v>44933</v>
      </c>
      <c r="AI239" s="180"/>
      <c r="AJ239" s="173"/>
      <c r="AK239" s="173" t="s">
        <v>1507</v>
      </c>
      <c r="AL239" s="181" t="s">
        <v>69</v>
      </c>
      <c r="AM239" s="181" t="s">
        <v>142</v>
      </c>
      <c r="AN239" s="181" t="s">
        <v>1508</v>
      </c>
      <c r="AO239" s="181"/>
      <c r="AP239" s="181">
        <v>44849</v>
      </c>
      <c r="AQ239" s="173"/>
      <c r="AR239" s="181">
        <f t="shared" ref="AR239:AR279" ca="1" si="34">TODAY()</f>
        <v>44958</v>
      </c>
      <c r="AS239" s="176">
        <f t="shared" ref="AS239:AS279" ca="1" si="35">IF(AP239&lt;&gt;0,AR239-AP239,0)</f>
        <v>109</v>
      </c>
      <c r="AT239" s="176">
        <f t="shared" ref="AT239:AT279" ca="1" si="36">IF(ISNUMBER(AE239)=TRUE,AR239-AE239,IF(AE239="","",(AR239)-(MID(RIGHT(AE239,10),4,2)&amp;"/"&amp;LEFT((RIGHT(AE239,10)),2)&amp;"/"&amp;RIGHT(AE239,4))))</f>
        <v>8</v>
      </c>
      <c r="AU239" s="176"/>
      <c r="AV239" s="176" t="s">
        <v>4044</v>
      </c>
      <c r="AW239" s="176">
        <v>24.504999999999999</v>
      </c>
      <c r="AX239" s="176">
        <v>24.565000000000001</v>
      </c>
      <c r="AY239" s="173">
        <v>24.590000000000003</v>
      </c>
      <c r="AZ239" s="142">
        <v>24.595000000000002</v>
      </c>
      <c r="BA239" s="142">
        <f t="shared" ca="1" si="32"/>
        <v>21</v>
      </c>
      <c r="BB239" s="142">
        <v>456</v>
      </c>
      <c r="BD239" s="142" t="s">
        <v>123</v>
      </c>
    </row>
    <row r="240" spans="2:56" s="142" customFormat="1" ht="21" customHeight="1" x14ac:dyDescent="0.25">
      <c r="B240" s="173" t="str">
        <f t="shared" si="33"/>
        <v>0-304/2B-1.20X765</v>
      </c>
      <c r="C240" s="201" t="s">
        <v>5362</v>
      </c>
      <c r="D240" s="173" t="s">
        <v>4432</v>
      </c>
      <c r="E240" s="173" t="s">
        <v>4051</v>
      </c>
      <c r="F240" s="201" t="s">
        <v>5380</v>
      </c>
      <c r="G240" s="173">
        <v>304</v>
      </c>
      <c r="H240" s="173" t="s">
        <v>114</v>
      </c>
      <c r="I240" s="174">
        <v>3.78</v>
      </c>
      <c r="J240" s="174">
        <v>1.2</v>
      </c>
      <c r="K240" s="174">
        <v>1.18</v>
      </c>
      <c r="L240" s="174">
        <v>1.2</v>
      </c>
      <c r="M240" s="380">
        <v>765</v>
      </c>
      <c r="N240" s="176">
        <v>4.74</v>
      </c>
      <c r="O240" s="381">
        <v>4.68</v>
      </c>
      <c r="P240" s="382"/>
      <c r="Q240" s="176">
        <v>0.06</v>
      </c>
      <c r="R240" s="176"/>
      <c r="S240" s="176"/>
      <c r="T240" s="383"/>
      <c r="U240" s="380">
        <v>760</v>
      </c>
      <c r="V240" s="371" t="s">
        <v>114</v>
      </c>
      <c r="W240" s="384" t="s">
        <v>4950</v>
      </c>
      <c r="X240" s="178" t="s">
        <v>1540</v>
      </c>
      <c r="Y240" s="385" t="s">
        <v>986</v>
      </c>
      <c r="Z240" s="385"/>
      <c r="AA240" s="177">
        <v>44937</v>
      </c>
      <c r="AB240" s="177"/>
      <c r="AC240" s="177">
        <v>44938</v>
      </c>
      <c r="AD240" s="177"/>
      <c r="AE240" s="177"/>
      <c r="AF240" s="177">
        <v>44951</v>
      </c>
      <c r="AG240" s="177"/>
      <c r="AH240" s="177"/>
      <c r="AI240" s="180"/>
      <c r="AJ240" s="173"/>
      <c r="AK240" s="173" t="s">
        <v>1345</v>
      </c>
      <c r="AL240" s="181" t="s">
        <v>69</v>
      </c>
      <c r="AM240" s="181" t="s">
        <v>142</v>
      </c>
      <c r="AN240" s="181" t="s">
        <v>2283</v>
      </c>
      <c r="AO240" s="181"/>
      <c r="AP240" s="181">
        <v>44880</v>
      </c>
      <c r="AQ240" s="173"/>
      <c r="AR240" s="181">
        <f t="shared" ca="1" si="34"/>
        <v>44958</v>
      </c>
      <c r="AS240" s="176">
        <f t="shared" ca="1" si="35"/>
        <v>78</v>
      </c>
      <c r="AT240" s="176" t="str">
        <f t="shared" si="36"/>
        <v/>
      </c>
      <c r="AU240" s="176"/>
      <c r="AV240" s="176" t="s">
        <v>3942</v>
      </c>
      <c r="AW240" s="176">
        <v>10.475</v>
      </c>
      <c r="AX240" s="176">
        <v>10.484999999999999</v>
      </c>
      <c r="AY240" s="173">
        <v>10.509999999999998</v>
      </c>
      <c r="AZ240" s="142">
        <v>10.514999999999999</v>
      </c>
      <c r="BA240" s="142">
        <f t="shared" ca="1" si="32"/>
        <v>20</v>
      </c>
      <c r="BB240" s="142">
        <v>459</v>
      </c>
      <c r="BD240" s="142" t="s">
        <v>123</v>
      </c>
    </row>
    <row r="241" spans="2:56" s="142" customFormat="1" ht="21" customHeight="1" x14ac:dyDescent="0.25">
      <c r="B241" s="173" t="str">
        <f t="shared" si="33"/>
        <v>0-304/2B-1.20X767</v>
      </c>
      <c r="C241" s="201" t="s">
        <v>5364</v>
      </c>
      <c r="D241" s="173" t="s">
        <v>776</v>
      </c>
      <c r="E241" s="173" t="s">
        <v>2481</v>
      </c>
      <c r="F241" s="201" t="s">
        <v>2482</v>
      </c>
      <c r="G241" s="173">
        <v>304</v>
      </c>
      <c r="H241" s="173" t="s">
        <v>114</v>
      </c>
      <c r="I241" s="174">
        <v>3.49</v>
      </c>
      <c r="J241" s="174">
        <v>1.2</v>
      </c>
      <c r="K241" s="174"/>
      <c r="L241" s="174"/>
      <c r="M241" s="380">
        <v>767</v>
      </c>
      <c r="N241" s="176">
        <v>9.66</v>
      </c>
      <c r="O241" s="381">
        <v>9.66</v>
      </c>
      <c r="P241" s="382"/>
      <c r="Q241" s="176"/>
      <c r="R241" s="176"/>
      <c r="S241" s="176"/>
      <c r="T241" s="383"/>
      <c r="U241" s="380">
        <v>767</v>
      </c>
      <c r="V241" s="371" t="s">
        <v>114</v>
      </c>
      <c r="W241" s="384"/>
      <c r="X241" s="178" t="s">
        <v>1344</v>
      </c>
      <c r="Y241" s="385"/>
      <c r="Z241" s="385"/>
      <c r="AA241" s="177">
        <v>44924</v>
      </c>
      <c r="AB241" s="177"/>
      <c r="AC241" s="177">
        <v>44924</v>
      </c>
      <c r="AD241" s="177"/>
      <c r="AE241" s="177"/>
      <c r="AF241" s="177">
        <v>44947</v>
      </c>
      <c r="AG241" s="177">
        <v>44954</v>
      </c>
      <c r="AH241" s="177"/>
      <c r="AI241" s="180"/>
      <c r="AJ241" s="173"/>
      <c r="AK241" s="173" t="s">
        <v>2470</v>
      </c>
      <c r="AL241" s="181" t="s">
        <v>69</v>
      </c>
      <c r="AM241" s="181" t="s">
        <v>142</v>
      </c>
      <c r="AN241" s="181" t="s">
        <v>1584</v>
      </c>
      <c r="AO241" s="181"/>
      <c r="AP241" s="181">
        <v>44914</v>
      </c>
      <c r="AQ241" s="173"/>
      <c r="AR241" s="181">
        <f t="shared" ca="1" si="34"/>
        <v>44958</v>
      </c>
      <c r="AS241" s="176">
        <f t="shared" ca="1" si="35"/>
        <v>44</v>
      </c>
      <c r="AT241" s="176" t="str">
        <f t="shared" si="36"/>
        <v/>
      </c>
      <c r="AU241" s="176"/>
      <c r="AV241" s="176" t="s">
        <v>2480</v>
      </c>
      <c r="AW241" s="176">
        <v>9.9250000000000007</v>
      </c>
      <c r="AX241" s="176">
        <v>9.9350000000000005</v>
      </c>
      <c r="AY241" s="173">
        <v>9.9599999999999991</v>
      </c>
      <c r="AZ241" s="142">
        <v>9.9649999999999999</v>
      </c>
      <c r="BA241" s="142">
        <f t="shared" ca="1" si="32"/>
        <v>34</v>
      </c>
      <c r="BB241" s="142">
        <v>462</v>
      </c>
      <c r="BD241" s="142" t="s">
        <v>123</v>
      </c>
    </row>
    <row r="242" spans="2:56" s="142" customFormat="1" ht="21" customHeight="1" x14ac:dyDescent="0.25">
      <c r="B242" s="173" t="str">
        <f t="shared" si="33"/>
        <v>0-304/2B-2.00X765</v>
      </c>
      <c r="C242" s="201" t="s">
        <v>5381</v>
      </c>
      <c r="D242" s="173" t="s">
        <v>4432</v>
      </c>
      <c r="E242" s="173" t="s">
        <v>4077</v>
      </c>
      <c r="F242" s="201" t="s">
        <v>5382</v>
      </c>
      <c r="G242" s="173">
        <v>304</v>
      </c>
      <c r="H242" s="173" t="s">
        <v>114</v>
      </c>
      <c r="I242" s="174">
        <v>4.38</v>
      </c>
      <c r="J242" s="174">
        <v>2</v>
      </c>
      <c r="K242" s="174">
        <v>1.97</v>
      </c>
      <c r="L242" s="174">
        <v>1.98</v>
      </c>
      <c r="M242" s="380">
        <v>765</v>
      </c>
      <c r="N242" s="176">
        <v>5.6050000000000004</v>
      </c>
      <c r="O242" s="381">
        <v>5.49</v>
      </c>
      <c r="P242" s="382"/>
      <c r="Q242" s="176">
        <v>0.115</v>
      </c>
      <c r="R242" s="176"/>
      <c r="S242" s="176"/>
      <c r="T242" s="383"/>
      <c r="U242" s="380">
        <v>760</v>
      </c>
      <c r="V242" s="371" t="s">
        <v>114</v>
      </c>
      <c r="W242" s="384" t="s">
        <v>5049</v>
      </c>
      <c r="X242" s="178" t="s">
        <v>1540</v>
      </c>
      <c r="Y242" s="385"/>
      <c r="Z242" s="385"/>
      <c r="AA242" s="177">
        <v>44939</v>
      </c>
      <c r="AB242" s="177"/>
      <c r="AC242" s="177">
        <v>44939</v>
      </c>
      <c r="AD242" s="177"/>
      <c r="AE242" s="177">
        <v>44950</v>
      </c>
      <c r="AF242" s="177"/>
      <c r="AG242" s="177"/>
      <c r="AH242" s="177"/>
      <c r="AI242" s="180"/>
      <c r="AJ242" s="173"/>
      <c r="AK242" s="173" t="s">
        <v>1619</v>
      </c>
      <c r="AL242" s="181" t="s">
        <v>69</v>
      </c>
      <c r="AM242" s="181" t="s">
        <v>142</v>
      </c>
      <c r="AN242" s="181" t="s">
        <v>1887</v>
      </c>
      <c r="AO242" s="181"/>
      <c r="AP242" s="181">
        <v>44880</v>
      </c>
      <c r="AQ242" s="173"/>
      <c r="AR242" s="181">
        <f t="shared" ca="1" si="34"/>
        <v>44958</v>
      </c>
      <c r="AS242" s="176">
        <f t="shared" ca="1" si="35"/>
        <v>78</v>
      </c>
      <c r="AT242" s="176">
        <f t="shared" ca="1" si="36"/>
        <v>8</v>
      </c>
      <c r="AU242" s="176"/>
      <c r="AV242" s="176" t="s">
        <v>4079</v>
      </c>
      <c r="AW242" s="176">
        <v>10.47</v>
      </c>
      <c r="AX242" s="176">
        <v>10.48</v>
      </c>
      <c r="AY242" s="173">
        <v>10.504999999999999</v>
      </c>
      <c r="AZ242" s="142">
        <v>10.51</v>
      </c>
      <c r="BA242" s="142">
        <f t="shared" ca="1" si="32"/>
        <v>19</v>
      </c>
      <c r="BB242" s="142">
        <v>459</v>
      </c>
      <c r="BD242" s="142" t="s">
        <v>123</v>
      </c>
    </row>
    <row r="243" spans="2:56" s="142" customFormat="1" ht="21" customHeight="1" x14ac:dyDescent="0.25">
      <c r="B243" s="173" t="str">
        <f t="shared" si="33"/>
        <v>0-304L/2B-1.20X766</v>
      </c>
      <c r="C243" s="201" t="s">
        <v>5364</v>
      </c>
      <c r="D243" s="173" t="s">
        <v>776</v>
      </c>
      <c r="E243" s="173" t="s">
        <v>1586</v>
      </c>
      <c r="F243" s="201" t="s">
        <v>1587</v>
      </c>
      <c r="G243" s="173" t="s">
        <v>182</v>
      </c>
      <c r="H243" s="173" t="s">
        <v>114</v>
      </c>
      <c r="I243" s="174">
        <v>3.57</v>
      </c>
      <c r="J243" s="174">
        <v>1.2</v>
      </c>
      <c r="K243" s="174"/>
      <c r="L243" s="174"/>
      <c r="M243" s="380">
        <v>766</v>
      </c>
      <c r="N243" s="176">
        <v>5.3550000000000004</v>
      </c>
      <c r="O243" s="381">
        <v>5.3550000000000004</v>
      </c>
      <c r="P243" s="382"/>
      <c r="Q243" s="176"/>
      <c r="R243" s="176"/>
      <c r="S243" s="176"/>
      <c r="T243" s="383"/>
      <c r="U243" s="380">
        <v>766</v>
      </c>
      <c r="V243" s="371" t="s">
        <v>114</v>
      </c>
      <c r="W243" s="384"/>
      <c r="X243" s="178" t="s">
        <v>314</v>
      </c>
      <c r="Y243" s="385" t="s">
        <v>1540</v>
      </c>
      <c r="Z243" s="385"/>
      <c r="AA243" s="177">
        <v>44930</v>
      </c>
      <c r="AB243" s="177"/>
      <c r="AC243" s="177">
        <v>44930</v>
      </c>
      <c r="AD243" s="177"/>
      <c r="AE243" s="177"/>
      <c r="AF243" s="177">
        <v>44946</v>
      </c>
      <c r="AG243" s="177">
        <v>44954</v>
      </c>
      <c r="AH243" s="177">
        <v>44929</v>
      </c>
      <c r="AI243" s="180"/>
      <c r="AJ243" s="173"/>
      <c r="AK243" s="173" t="s">
        <v>1345</v>
      </c>
      <c r="AL243" s="181" t="s">
        <v>69</v>
      </c>
      <c r="AM243" s="181" t="s">
        <v>142</v>
      </c>
      <c r="AN243" s="181" t="s">
        <v>1508</v>
      </c>
      <c r="AO243" s="181"/>
      <c r="AP243" s="181">
        <v>44849</v>
      </c>
      <c r="AQ243" s="173"/>
      <c r="AR243" s="181">
        <f t="shared" ca="1" si="34"/>
        <v>44958</v>
      </c>
      <c r="AS243" s="176">
        <f t="shared" ca="1" si="35"/>
        <v>109</v>
      </c>
      <c r="AT243" s="176" t="str">
        <f t="shared" si="36"/>
        <v/>
      </c>
      <c r="AU243" s="176"/>
      <c r="AV243" s="176" t="s">
        <v>1588</v>
      </c>
      <c r="AW243" s="176">
        <v>20.92</v>
      </c>
      <c r="AX243" s="176">
        <v>20.98</v>
      </c>
      <c r="AY243" s="173">
        <v>21.005000000000003</v>
      </c>
      <c r="AZ243" s="142">
        <v>21.01</v>
      </c>
      <c r="BA243" s="142">
        <f t="shared" ca="1" si="32"/>
        <v>28</v>
      </c>
      <c r="BB243" s="142">
        <v>456</v>
      </c>
      <c r="BD243" s="142" t="s">
        <v>123</v>
      </c>
    </row>
    <row r="244" spans="2:56" s="142" customFormat="1" ht="21" customHeight="1" x14ac:dyDescent="0.25">
      <c r="B244" s="173" t="str">
        <f t="shared" si="33"/>
        <v>0-304L/2B-1.20X766</v>
      </c>
      <c r="C244" s="201" t="s">
        <v>5383</v>
      </c>
      <c r="D244" s="173" t="s">
        <v>68</v>
      </c>
      <c r="E244" s="173" t="s">
        <v>1586</v>
      </c>
      <c r="F244" s="201" t="s">
        <v>1589</v>
      </c>
      <c r="G244" s="173" t="s">
        <v>182</v>
      </c>
      <c r="H244" s="173" t="s">
        <v>114</v>
      </c>
      <c r="I244" s="174">
        <v>3.57</v>
      </c>
      <c r="J244" s="174">
        <v>1.2</v>
      </c>
      <c r="K244" s="174"/>
      <c r="L244" s="174"/>
      <c r="M244" s="380">
        <v>766</v>
      </c>
      <c r="N244" s="176">
        <v>5.0449999999999999</v>
      </c>
      <c r="O244" s="381">
        <v>5.0449999999999999</v>
      </c>
      <c r="P244" s="382"/>
      <c r="Q244" s="176"/>
      <c r="R244" s="176"/>
      <c r="S244" s="176"/>
      <c r="T244" s="383"/>
      <c r="U244" s="380">
        <v>766</v>
      </c>
      <c r="V244" s="371" t="s">
        <v>114</v>
      </c>
      <c r="W244" s="384"/>
      <c r="X244" s="178" t="s">
        <v>1540</v>
      </c>
      <c r="Y244" s="385"/>
      <c r="Z244" s="385"/>
      <c r="AA244" s="177">
        <v>44930</v>
      </c>
      <c r="AB244" s="177"/>
      <c r="AC244" s="177">
        <v>44930</v>
      </c>
      <c r="AD244" s="177"/>
      <c r="AE244" s="177"/>
      <c r="AF244" s="177">
        <v>44946</v>
      </c>
      <c r="AG244" s="177">
        <v>44954</v>
      </c>
      <c r="AH244" s="177">
        <v>44929</v>
      </c>
      <c r="AI244" s="180"/>
      <c r="AJ244" s="173"/>
      <c r="AK244" s="173" t="s">
        <v>1345</v>
      </c>
      <c r="AL244" s="181" t="s">
        <v>69</v>
      </c>
      <c r="AM244" s="181" t="s">
        <v>142</v>
      </c>
      <c r="AN244" s="181" t="s">
        <v>1508</v>
      </c>
      <c r="AO244" s="181"/>
      <c r="AP244" s="181">
        <v>44849</v>
      </c>
      <c r="AQ244" s="173"/>
      <c r="AR244" s="181">
        <f t="shared" ca="1" si="34"/>
        <v>44958</v>
      </c>
      <c r="AS244" s="176">
        <f t="shared" ca="1" si="35"/>
        <v>109</v>
      </c>
      <c r="AT244" s="176" t="str">
        <f t="shared" si="36"/>
        <v/>
      </c>
      <c r="AU244" s="176"/>
      <c r="AV244" s="176" t="s">
        <v>1588</v>
      </c>
      <c r="AW244" s="176">
        <v>20.92</v>
      </c>
      <c r="AX244" s="176">
        <v>20.98</v>
      </c>
      <c r="AY244" s="173">
        <v>21.005000000000003</v>
      </c>
      <c r="AZ244" s="142">
        <v>21.01</v>
      </c>
      <c r="BA244" s="142">
        <f t="shared" ca="1" si="32"/>
        <v>28</v>
      </c>
      <c r="BB244" s="142">
        <v>456</v>
      </c>
      <c r="BD244" s="142" t="s">
        <v>123</v>
      </c>
    </row>
    <row r="245" spans="2:56" s="142" customFormat="1" ht="21" customHeight="1" x14ac:dyDescent="0.25">
      <c r="B245" s="173" t="str">
        <f t="shared" si="33"/>
        <v>0-304/2B-1.20X768</v>
      </c>
      <c r="C245" s="201" t="s">
        <v>5383</v>
      </c>
      <c r="D245" s="173" t="s">
        <v>68</v>
      </c>
      <c r="E245" s="173" t="s">
        <v>2477</v>
      </c>
      <c r="F245" s="201" t="s">
        <v>2478</v>
      </c>
      <c r="G245" s="173">
        <v>304</v>
      </c>
      <c r="H245" s="173" t="s">
        <v>114</v>
      </c>
      <c r="I245" s="174">
        <v>3.48</v>
      </c>
      <c r="J245" s="174">
        <v>1.2</v>
      </c>
      <c r="K245" s="174"/>
      <c r="L245" s="174"/>
      <c r="M245" s="380">
        <v>768</v>
      </c>
      <c r="N245" s="176">
        <v>5.44</v>
      </c>
      <c r="O245" s="381">
        <v>5.33</v>
      </c>
      <c r="P245" s="382"/>
      <c r="Q245" s="176"/>
      <c r="R245" s="176"/>
      <c r="S245" s="176"/>
      <c r="T245" s="383"/>
      <c r="U245" s="380">
        <v>750</v>
      </c>
      <c r="V245" s="371" t="s">
        <v>114</v>
      </c>
      <c r="W245" s="384"/>
      <c r="X245" s="178" t="s">
        <v>1344</v>
      </c>
      <c r="Y245" s="385"/>
      <c r="Z245" s="385"/>
      <c r="AA245" s="177">
        <v>44922</v>
      </c>
      <c r="AB245" s="177"/>
      <c r="AC245" s="177">
        <v>44923</v>
      </c>
      <c r="AD245" s="177"/>
      <c r="AE245" s="177"/>
      <c r="AF245" s="177">
        <v>44947</v>
      </c>
      <c r="AG245" s="177">
        <v>44954</v>
      </c>
      <c r="AH245" s="177"/>
      <c r="AI245" s="180"/>
      <c r="AJ245" s="173"/>
      <c r="AK245" s="173" t="s">
        <v>2479</v>
      </c>
      <c r="AL245" s="181" t="s">
        <v>69</v>
      </c>
      <c r="AM245" s="181" t="s">
        <v>142</v>
      </c>
      <c r="AN245" s="181" t="s">
        <v>1584</v>
      </c>
      <c r="AO245" s="181"/>
      <c r="AP245" s="181">
        <v>44914</v>
      </c>
      <c r="AQ245" s="173"/>
      <c r="AR245" s="181">
        <f t="shared" ca="1" si="34"/>
        <v>44958</v>
      </c>
      <c r="AS245" s="176">
        <f t="shared" ca="1" si="35"/>
        <v>44</v>
      </c>
      <c r="AT245" s="176" t="str">
        <f t="shared" si="36"/>
        <v/>
      </c>
      <c r="AU245" s="176"/>
      <c r="AV245" s="176" t="s">
        <v>2480</v>
      </c>
      <c r="AW245" s="176">
        <v>9.92</v>
      </c>
      <c r="AX245" s="176">
        <v>9.93</v>
      </c>
      <c r="AY245" s="173">
        <v>9.9549999999999983</v>
      </c>
      <c r="AZ245" s="142">
        <v>9.9599999999999991</v>
      </c>
      <c r="BA245" s="142">
        <f t="shared" ca="1" si="32"/>
        <v>35</v>
      </c>
      <c r="BB245" s="142">
        <v>462</v>
      </c>
      <c r="BD245" s="142" t="s">
        <v>123</v>
      </c>
    </row>
    <row r="246" spans="2:56" s="142" customFormat="1" ht="21" customHeight="1" x14ac:dyDescent="0.25">
      <c r="B246" s="173" t="str">
        <f t="shared" si="33"/>
        <v>0-304/2B-1.15X770</v>
      </c>
      <c r="C246" s="201" t="s">
        <v>5383</v>
      </c>
      <c r="D246" s="173" t="s">
        <v>68</v>
      </c>
      <c r="E246" s="173" t="s">
        <v>2545</v>
      </c>
      <c r="F246" s="201" t="s">
        <v>2546</v>
      </c>
      <c r="G246" s="173">
        <v>304</v>
      </c>
      <c r="H246" s="173" t="s">
        <v>114</v>
      </c>
      <c r="I246" s="174">
        <v>3.39</v>
      </c>
      <c r="J246" s="174">
        <v>1.1499999999999999</v>
      </c>
      <c r="K246" s="174">
        <v>1.1299999999999999</v>
      </c>
      <c r="L246" s="174">
        <v>1.1499999999999999</v>
      </c>
      <c r="M246" s="380">
        <v>770</v>
      </c>
      <c r="N246" s="176">
        <v>6.0149999999999997</v>
      </c>
      <c r="O246" s="381">
        <v>5.8849999999999998</v>
      </c>
      <c r="P246" s="382"/>
      <c r="Q246" s="176"/>
      <c r="R246" s="176"/>
      <c r="S246" s="176"/>
      <c r="T246" s="383"/>
      <c r="U246" s="380">
        <v>750</v>
      </c>
      <c r="V246" s="371" t="s">
        <v>114</v>
      </c>
      <c r="W246" s="384"/>
      <c r="X246" s="178" t="s">
        <v>1210</v>
      </c>
      <c r="Y246" s="385"/>
      <c r="Z246" s="385" t="s">
        <v>2547</v>
      </c>
      <c r="AA246" s="177">
        <v>44935</v>
      </c>
      <c r="AB246" s="177"/>
      <c r="AC246" s="177">
        <v>44935</v>
      </c>
      <c r="AD246" s="177"/>
      <c r="AE246" s="177"/>
      <c r="AF246" s="177">
        <v>44952</v>
      </c>
      <c r="AG246" s="177">
        <v>44954</v>
      </c>
      <c r="AH246" s="177"/>
      <c r="AI246" s="180"/>
      <c r="AJ246" s="173"/>
      <c r="AK246" s="173" t="s">
        <v>1507</v>
      </c>
      <c r="AL246" s="181" t="s">
        <v>69</v>
      </c>
      <c r="AM246" s="181" t="s">
        <v>142</v>
      </c>
      <c r="AN246" s="181" t="s">
        <v>1584</v>
      </c>
      <c r="AO246" s="181"/>
      <c r="AP246" s="181">
        <v>44914</v>
      </c>
      <c r="AQ246" s="173"/>
      <c r="AR246" s="181">
        <f t="shared" ca="1" si="34"/>
        <v>44958</v>
      </c>
      <c r="AS246" s="176">
        <f t="shared" ca="1" si="35"/>
        <v>44</v>
      </c>
      <c r="AT246" s="176" t="str">
        <f t="shared" si="36"/>
        <v/>
      </c>
      <c r="AU246" s="176"/>
      <c r="AV246" s="176" t="s">
        <v>2548</v>
      </c>
      <c r="AW246" s="176">
        <v>10.555</v>
      </c>
      <c r="AX246" s="176">
        <v>10.565</v>
      </c>
      <c r="AY246" s="173">
        <v>10.589999999999998</v>
      </c>
      <c r="AZ246" s="142">
        <v>10.594999999999999</v>
      </c>
      <c r="BA246" s="142">
        <f t="shared" ca="1" si="32"/>
        <v>23</v>
      </c>
      <c r="BB246" s="142">
        <v>462</v>
      </c>
      <c r="BD246" s="142" t="s">
        <v>123</v>
      </c>
    </row>
    <row r="247" spans="2:56" s="142" customFormat="1" ht="21" customHeight="1" x14ac:dyDescent="0.25">
      <c r="B247" s="173" t="str">
        <f t="shared" si="33"/>
        <v>0-304L/2B-1.20X769</v>
      </c>
      <c r="C247" s="201" t="s">
        <v>5383</v>
      </c>
      <c r="D247" s="173" t="s">
        <v>68</v>
      </c>
      <c r="E247" s="173" t="s">
        <v>1573</v>
      </c>
      <c r="F247" s="201" t="s">
        <v>1574</v>
      </c>
      <c r="G247" s="173" t="s">
        <v>182</v>
      </c>
      <c r="H247" s="173" t="s">
        <v>114</v>
      </c>
      <c r="I247" s="174">
        <v>3.79</v>
      </c>
      <c r="J247" s="174">
        <v>1.2</v>
      </c>
      <c r="K247" s="174">
        <v>1.18</v>
      </c>
      <c r="L247" s="174">
        <v>1.19</v>
      </c>
      <c r="M247" s="380">
        <v>769</v>
      </c>
      <c r="N247" s="176">
        <v>4.09</v>
      </c>
      <c r="O247" s="381">
        <v>4.09</v>
      </c>
      <c r="P247" s="382"/>
      <c r="Q247" s="176"/>
      <c r="R247" s="176"/>
      <c r="S247" s="176"/>
      <c r="T247" s="383"/>
      <c r="U247" s="380">
        <v>769</v>
      </c>
      <c r="V247" s="371" t="s">
        <v>114</v>
      </c>
      <c r="W247" s="384"/>
      <c r="X247" s="178" t="s">
        <v>986</v>
      </c>
      <c r="Y247" s="385"/>
      <c r="Z247" s="385"/>
      <c r="AA247" s="177">
        <v>44939</v>
      </c>
      <c r="AB247" s="177"/>
      <c r="AC247" s="177">
        <v>44939</v>
      </c>
      <c r="AD247" s="177"/>
      <c r="AE247" s="177"/>
      <c r="AF247" s="177">
        <v>44951</v>
      </c>
      <c r="AG247" s="177">
        <v>44954</v>
      </c>
      <c r="AH247" s="177">
        <v>44934</v>
      </c>
      <c r="AI247" s="180"/>
      <c r="AJ247" s="173"/>
      <c r="AK247" s="173" t="s">
        <v>1507</v>
      </c>
      <c r="AL247" s="181" t="s">
        <v>69</v>
      </c>
      <c r="AM247" s="181" t="s">
        <v>142</v>
      </c>
      <c r="AN247" s="181" t="s">
        <v>1508</v>
      </c>
      <c r="AO247" s="181"/>
      <c r="AP247" s="181">
        <v>44849</v>
      </c>
      <c r="AQ247" s="173"/>
      <c r="AR247" s="181">
        <f t="shared" ca="1" si="34"/>
        <v>44958</v>
      </c>
      <c r="AS247" s="176">
        <f t="shared" ca="1" si="35"/>
        <v>109</v>
      </c>
      <c r="AT247" s="176" t="str">
        <f t="shared" si="36"/>
        <v/>
      </c>
      <c r="AU247" s="176"/>
      <c r="AV247" s="176" t="s">
        <v>1575</v>
      </c>
      <c r="AW247" s="176">
        <v>24.63</v>
      </c>
      <c r="AX247" s="176">
        <v>24.69</v>
      </c>
      <c r="AY247" s="173">
        <v>24.715000000000003</v>
      </c>
      <c r="AZ247" s="142">
        <v>24.720000000000002</v>
      </c>
      <c r="BA247" s="142">
        <f t="shared" ca="1" si="32"/>
        <v>19</v>
      </c>
      <c r="BB247" s="142">
        <v>456</v>
      </c>
      <c r="BD247" s="142" t="s">
        <v>123</v>
      </c>
    </row>
    <row r="248" spans="2:56" s="142" customFormat="1" ht="21" customHeight="1" x14ac:dyDescent="0.25">
      <c r="B248" s="173" t="str">
        <f t="shared" si="33"/>
        <v>0-J3/2B-0.91X620</v>
      </c>
      <c r="C248" s="201" t="s">
        <v>5384</v>
      </c>
      <c r="D248" s="173" t="s">
        <v>4432</v>
      </c>
      <c r="E248" s="173" t="s">
        <v>4997</v>
      </c>
      <c r="F248" s="201" t="s">
        <v>5385</v>
      </c>
      <c r="G248" s="173" t="s">
        <v>34</v>
      </c>
      <c r="H248" s="173" t="s">
        <v>114</v>
      </c>
      <c r="I248" s="174">
        <v>2.4</v>
      </c>
      <c r="J248" s="174">
        <v>0.91</v>
      </c>
      <c r="K248" s="174"/>
      <c r="L248" s="174"/>
      <c r="M248" s="380">
        <v>620</v>
      </c>
      <c r="N248" s="176">
        <v>9.93</v>
      </c>
      <c r="O248" s="381">
        <f>4.76+4.945</f>
        <v>9.7050000000000001</v>
      </c>
      <c r="P248" s="382"/>
      <c r="Q248" s="176">
        <v>0.05</v>
      </c>
      <c r="R248" s="176"/>
      <c r="S248" s="176">
        <v>0.185</v>
      </c>
      <c r="T248" s="383"/>
      <c r="U248" s="380" t="s">
        <v>5124</v>
      </c>
      <c r="V248" s="371" t="s">
        <v>114</v>
      </c>
      <c r="W248" s="384" t="s">
        <v>5143</v>
      </c>
      <c r="X248" s="178" t="s">
        <v>361</v>
      </c>
      <c r="Y248" s="385"/>
      <c r="Z248" s="385"/>
      <c r="AA248" s="177">
        <v>44784</v>
      </c>
      <c r="AB248" s="177"/>
      <c r="AC248" s="177">
        <v>44785</v>
      </c>
      <c r="AD248" s="177"/>
      <c r="AE248" s="177"/>
      <c r="AF248" s="177">
        <v>44946</v>
      </c>
      <c r="AG248" s="177"/>
      <c r="AH248" s="177"/>
      <c r="AI248" s="180"/>
      <c r="AJ248" s="173"/>
      <c r="AK248" s="173"/>
      <c r="AL248" s="181" t="s">
        <v>69</v>
      </c>
      <c r="AM248" s="181" t="s">
        <v>119</v>
      </c>
      <c r="AN248" s="181" t="s">
        <v>994</v>
      </c>
      <c r="AO248" s="181">
        <v>44713</v>
      </c>
      <c r="AP248" s="181">
        <v>44747</v>
      </c>
      <c r="AQ248" s="173"/>
      <c r="AR248" s="181">
        <f t="shared" ca="1" si="34"/>
        <v>44958</v>
      </c>
      <c r="AS248" s="176">
        <f t="shared" ca="1" si="35"/>
        <v>211</v>
      </c>
      <c r="AT248" s="176" t="str">
        <f t="shared" si="36"/>
        <v/>
      </c>
      <c r="AU248" s="176" t="s">
        <v>4999</v>
      </c>
      <c r="AV248" s="176" t="s">
        <v>1116</v>
      </c>
      <c r="AW248" s="176">
        <v>9.9529999999999994</v>
      </c>
      <c r="AX248" s="176">
        <v>9.972999999999999</v>
      </c>
      <c r="AY248" s="173">
        <v>9.9979999999999976</v>
      </c>
      <c r="AZ248" s="142">
        <v>10.002999999999998</v>
      </c>
      <c r="BA248" s="142">
        <f t="shared" ca="1" si="32"/>
        <v>173</v>
      </c>
      <c r="BB248" s="142">
        <v>442</v>
      </c>
      <c r="BD248" s="142" t="s">
        <v>123</v>
      </c>
    </row>
    <row r="249" spans="2:56" s="142" customFormat="1" ht="21" customHeight="1" x14ac:dyDescent="0.25">
      <c r="B249" s="173" t="str">
        <f t="shared" si="33"/>
        <v>0-J3/2B-1.40X615</v>
      </c>
      <c r="C249" s="201" t="s">
        <v>5384</v>
      </c>
      <c r="D249" s="173" t="s">
        <v>4432</v>
      </c>
      <c r="E249" s="173" t="s">
        <v>5386</v>
      </c>
      <c r="F249" s="201" t="s">
        <v>5387</v>
      </c>
      <c r="G249" s="173" t="s">
        <v>34</v>
      </c>
      <c r="H249" s="173" t="s">
        <v>114</v>
      </c>
      <c r="I249" s="174">
        <v>2.4</v>
      </c>
      <c r="J249" s="174">
        <v>1.4</v>
      </c>
      <c r="K249" s="174">
        <v>1.38</v>
      </c>
      <c r="L249" s="174">
        <v>1.4</v>
      </c>
      <c r="M249" s="380">
        <v>615</v>
      </c>
      <c r="N249" s="176">
        <v>4.9000000000000004</v>
      </c>
      <c r="O249" s="381">
        <v>4.79</v>
      </c>
      <c r="P249" s="382"/>
      <c r="Q249" s="176"/>
      <c r="R249" s="176">
        <v>0.04</v>
      </c>
      <c r="S249" s="176">
        <v>7.0000000000000007E-2</v>
      </c>
      <c r="T249" s="383"/>
      <c r="U249" s="380" t="s">
        <v>5124</v>
      </c>
      <c r="V249" s="371" t="s">
        <v>114</v>
      </c>
      <c r="W249" s="384" t="s">
        <v>5139</v>
      </c>
      <c r="X249" s="178" t="s">
        <v>361</v>
      </c>
      <c r="Y249" s="385"/>
      <c r="Z249" s="385"/>
      <c r="AA249" s="177">
        <v>44756</v>
      </c>
      <c r="AB249" s="177"/>
      <c r="AC249" s="177">
        <v>44756</v>
      </c>
      <c r="AD249" s="177"/>
      <c r="AE249" s="177">
        <v>44757</v>
      </c>
      <c r="AF249" s="177"/>
      <c r="AG249" s="177"/>
      <c r="AH249" s="177"/>
      <c r="AI249" s="180"/>
      <c r="AJ249" s="173"/>
      <c r="AK249" s="173"/>
      <c r="AL249" s="181" t="s">
        <v>69</v>
      </c>
      <c r="AM249" s="181" t="s">
        <v>248</v>
      </c>
      <c r="AN249" s="181"/>
      <c r="AO249" s="181"/>
      <c r="AP249" s="181">
        <v>44384</v>
      </c>
      <c r="AQ249" s="173"/>
      <c r="AR249" s="181">
        <f t="shared" ca="1" si="34"/>
        <v>44958</v>
      </c>
      <c r="AS249" s="176">
        <f t="shared" ca="1" si="35"/>
        <v>574</v>
      </c>
      <c r="AT249" s="176">
        <f t="shared" ca="1" si="36"/>
        <v>201</v>
      </c>
      <c r="AU249" s="176" t="s">
        <v>379</v>
      </c>
      <c r="AV249" s="176" t="s">
        <v>416</v>
      </c>
      <c r="AW249" s="176">
        <v>4.9450000000000003</v>
      </c>
      <c r="AX249" s="176">
        <v>4.9850000000000003</v>
      </c>
      <c r="AY249" s="173">
        <v>5.0100000000000007</v>
      </c>
      <c r="AZ249" s="142">
        <v>5.0150000000000006</v>
      </c>
      <c r="BA249" s="142">
        <f t="shared" ca="1" si="32"/>
        <v>202</v>
      </c>
      <c r="BB249" s="142">
        <v>400</v>
      </c>
      <c r="BD249" s="142" t="s">
        <v>123</v>
      </c>
    </row>
    <row r="250" spans="2:56" s="142" customFormat="1" ht="21" customHeight="1" x14ac:dyDescent="0.25">
      <c r="B250" s="173" t="str">
        <f t="shared" si="33"/>
        <v>0-304/2B-1.45X766</v>
      </c>
      <c r="C250" s="201" t="s">
        <v>5384</v>
      </c>
      <c r="D250" s="173" t="s">
        <v>4432</v>
      </c>
      <c r="E250" s="173" t="s">
        <v>5388</v>
      </c>
      <c r="F250" s="201" t="s">
        <v>5389</v>
      </c>
      <c r="G250" s="173">
        <v>304</v>
      </c>
      <c r="H250" s="173" t="s">
        <v>114</v>
      </c>
      <c r="I250" s="174">
        <v>3.84</v>
      </c>
      <c r="J250" s="174">
        <v>1.45</v>
      </c>
      <c r="K250" s="174">
        <v>1.42</v>
      </c>
      <c r="L250" s="174">
        <v>1.44</v>
      </c>
      <c r="M250" s="380">
        <v>766</v>
      </c>
      <c r="N250" s="176">
        <v>5.9749999999999996</v>
      </c>
      <c r="O250" s="381">
        <v>5.7450000000000001</v>
      </c>
      <c r="P250" s="382"/>
      <c r="Q250" s="176">
        <v>0.05</v>
      </c>
      <c r="R250" s="176"/>
      <c r="S250" s="176">
        <v>0.05</v>
      </c>
      <c r="T250" s="383"/>
      <c r="U250" s="380" t="s">
        <v>5124</v>
      </c>
      <c r="V250" s="371" t="s">
        <v>114</v>
      </c>
      <c r="W250" s="384" t="s">
        <v>5202</v>
      </c>
      <c r="X250" s="178" t="s">
        <v>361</v>
      </c>
      <c r="Y250" s="385" t="s">
        <v>1210</v>
      </c>
      <c r="Z250" s="385" t="s">
        <v>5390</v>
      </c>
      <c r="AA250" s="177">
        <v>44911</v>
      </c>
      <c r="AB250" s="177"/>
      <c r="AC250" s="177">
        <v>44911</v>
      </c>
      <c r="AD250" s="177"/>
      <c r="AE250" s="177">
        <v>44922</v>
      </c>
      <c r="AF250" s="177"/>
      <c r="AG250" s="177">
        <v>44922</v>
      </c>
      <c r="AH250" s="177"/>
      <c r="AI250" s="180"/>
      <c r="AJ250" s="173"/>
      <c r="AK250" s="173" t="s">
        <v>4482</v>
      </c>
      <c r="AL250" s="181" t="s">
        <v>69</v>
      </c>
      <c r="AM250" s="181" t="s">
        <v>142</v>
      </c>
      <c r="AN250" s="181" t="s">
        <v>2283</v>
      </c>
      <c r="AO250" s="181"/>
      <c r="AP250" s="181">
        <v>44880</v>
      </c>
      <c r="AQ250" s="173"/>
      <c r="AR250" s="181">
        <f t="shared" ca="1" si="34"/>
        <v>44958</v>
      </c>
      <c r="AS250" s="176">
        <f t="shared" ca="1" si="35"/>
        <v>78</v>
      </c>
      <c r="AT250" s="176">
        <f t="shared" ca="1" si="36"/>
        <v>36</v>
      </c>
      <c r="AU250" s="176"/>
      <c r="AV250" s="176" t="s">
        <v>5391</v>
      </c>
      <c r="AW250" s="176">
        <v>10.234999999999999</v>
      </c>
      <c r="AX250" s="176">
        <v>10.244999999999999</v>
      </c>
      <c r="AY250" s="173">
        <v>10.269999999999998</v>
      </c>
      <c r="AZ250" s="142">
        <v>10.274999999999999</v>
      </c>
      <c r="BA250" s="142">
        <f t="shared" ca="1" si="32"/>
        <v>47</v>
      </c>
      <c r="BB250" s="142">
        <v>459</v>
      </c>
      <c r="BD250" s="142" t="s">
        <v>123</v>
      </c>
    </row>
    <row r="251" spans="2:56" s="142" customFormat="1" ht="21" customHeight="1" x14ac:dyDescent="0.25">
      <c r="B251" s="173" t="str">
        <f t="shared" si="33"/>
        <v>0-304L/2B-0.90X643</v>
      </c>
      <c r="C251" s="201" t="s">
        <v>5384</v>
      </c>
      <c r="D251" s="173" t="s">
        <v>4432</v>
      </c>
      <c r="E251" s="173" t="s">
        <v>4336</v>
      </c>
      <c r="F251" s="201" t="s">
        <v>5392</v>
      </c>
      <c r="G251" s="173" t="s">
        <v>182</v>
      </c>
      <c r="H251" s="173" t="s">
        <v>114</v>
      </c>
      <c r="I251" s="174">
        <v>2.89</v>
      </c>
      <c r="J251" s="174">
        <v>0.9</v>
      </c>
      <c r="K251" s="174"/>
      <c r="L251" s="174"/>
      <c r="M251" s="380">
        <v>643</v>
      </c>
      <c r="N251" s="176">
        <v>10.7</v>
      </c>
      <c r="O251" s="381">
        <f>3.615+3.6+3.475</f>
        <v>10.69</v>
      </c>
      <c r="P251" s="382"/>
      <c r="Q251" s="176">
        <v>0.04</v>
      </c>
      <c r="R251" s="176"/>
      <c r="S251" s="176"/>
      <c r="T251" s="383"/>
      <c r="U251" s="380">
        <v>635</v>
      </c>
      <c r="V251" s="371" t="s">
        <v>114</v>
      </c>
      <c r="W251" s="384" t="s">
        <v>4936</v>
      </c>
      <c r="X251" s="178" t="s">
        <v>1210</v>
      </c>
      <c r="Y251" s="385"/>
      <c r="Z251" s="385"/>
      <c r="AA251" s="177"/>
      <c r="AB251" s="177">
        <v>44951</v>
      </c>
      <c r="AC251" s="177"/>
      <c r="AD251" s="177">
        <v>44952</v>
      </c>
      <c r="AE251" s="177">
        <v>44955</v>
      </c>
      <c r="AF251" s="177"/>
      <c r="AG251" s="177"/>
      <c r="AH251" s="177"/>
      <c r="AI251" s="180"/>
      <c r="AJ251" s="173"/>
      <c r="AK251" s="173" t="s">
        <v>1643</v>
      </c>
      <c r="AL251" s="181" t="s">
        <v>69</v>
      </c>
      <c r="AM251" s="181" t="s">
        <v>142</v>
      </c>
      <c r="AN251" s="181" t="s">
        <v>1594</v>
      </c>
      <c r="AO251" s="181"/>
      <c r="AP251" s="181">
        <v>44849</v>
      </c>
      <c r="AQ251" s="173"/>
      <c r="AR251" s="181">
        <f t="shared" ca="1" si="34"/>
        <v>44958</v>
      </c>
      <c r="AS251" s="176">
        <f t="shared" ca="1" si="35"/>
        <v>109</v>
      </c>
      <c r="AT251" s="176">
        <f t="shared" ca="1" si="36"/>
        <v>3</v>
      </c>
      <c r="AU251" s="176"/>
      <c r="AV251" s="176" t="s">
        <v>4321</v>
      </c>
      <c r="AW251" s="176">
        <v>10.77</v>
      </c>
      <c r="AX251" s="176">
        <v>10.78</v>
      </c>
      <c r="AY251" s="173">
        <v>10.804999999999998</v>
      </c>
      <c r="AZ251" s="142">
        <v>10.809999999999999</v>
      </c>
      <c r="BA251" s="142" t="str">
        <f t="shared" si="32"/>
        <v/>
      </c>
      <c r="BB251" s="142">
        <v>456</v>
      </c>
      <c r="BD251" s="142" t="s">
        <v>123</v>
      </c>
    </row>
    <row r="252" spans="2:56" s="142" customFormat="1" ht="21" customHeight="1" x14ac:dyDescent="0.25">
      <c r="B252" s="173" t="str">
        <f t="shared" si="33"/>
        <v>0-304/2B-1.15X772</v>
      </c>
      <c r="C252" s="201" t="s">
        <v>5384</v>
      </c>
      <c r="D252" s="173" t="s">
        <v>4432</v>
      </c>
      <c r="E252" s="173" t="s">
        <v>2549</v>
      </c>
      <c r="F252" s="201" t="s">
        <v>5393</v>
      </c>
      <c r="G252" s="173">
        <v>304</v>
      </c>
      <c r="H252" s="173" t="s">
        <v>114</v>
      </c>
      <c r="I252" s="174">
        <v>3.39</v>
      </c>
      <c r="J252" s="174">
        <v>1.1499999999999999</v>
      </c>
      <c r="K252" s="174">
        <v>0.95</v>
      </c>
      <c r="L252" s="174">
        <v>1.01</v>
      </c>
      <c r="M252" s="380">
        <v>772</v>
      </c>
      <c r="N252" s="176">
        <f>10.295-5.255</f>
        <v>5.04</v>
      </c>
      <c r="O252" s="381">
        <v>5.0650000000000004</v>
      </c>
      <c r="P252" s="382"/>
      <c r="Q252" s="176"/>
      <c r="R252" s="176"/>
      <c r="S252" s="176"/>
      <c r="T252" s="383"/>
      <c r="U252" s="380">
        <v>760</v>
      </c>
      <c r="V252" s="371" t="s">
        <v>114</v>
      </c>
      <c r="W252" s="384" t="s">
        <v>4957</v>
      </c>
      <c r="X252" s="178" t="s">
        <v>1540</v>
      </c>
      <c r="Y252" s="385"/>
      <c r="Z252" s="385" t="s">
        <v>2551</v>
      </c>
      <c r="AA252" s="177">
        <v>44935</v>
      </c>
      <c r="AB252" s="177"/>
      <c r="AC252" s="177">
        <v>44936</v>
      </c>
      <c r="AD252" s="177"/>
      <c r="AE252" s="177"/>
      <c r="AF252" s="177">
        <v>44952</v>
      </c>
      <c r="AG252" s="177"/>
      <c r="AH252" s="177"/>
      <c r="AI252" s="180"/>
      <c r="AJ252" s="173"/>
      <c r="AK252" s="173" t="s">
        <v>1507</v>
      </c>
      <c r="AL252" s="181" t="s">
        <v>69</v>
      </c>
      <c r="AM252" s="181" t="s">
        <v>142</v>
      </c>
      <c r="AN252" s="181" t="s">
        <v>1584</v>
      </c>
      <c r="AO252" s="181"/>
      <c r="AP252" s="181">
        <v>44914</v>
      </c>
      <c r="AQ252" s="173"/>
      <c r="AR252" s="181">
        <f t="shared" ca="1" si="34"/>
        <v>44958</v>
      </c>
      <c r="AS252" s="176">
        <f t="shared" ca="1" si="35"/>
        <v>44</v>
      </c>
      <c r="AT252" s="176" t="str">
        <f t="shared" si="36"/>
        <v/>
      </c>
      <c r="AU252" s="176"/>
      <c r="AV252" s="176" t="s">
        <v>2548</v>
      </c>
      <c r="AW252" s="176">
        <v>10.62</v>
      </c>
      <c r="AX252" s="176">
        <v>10.63</v>
      </c>
      <c r="AY252" s="173">
        <v>10.654999999999999</v>
      </c>
      <c r="AZ252" s="142">
        <v>10.66</v>
      </c>
      <c r="BA252" s="142">
        <f t="shared" ca="1" si="32"/>
        <v>22</v>
      </c>
      <c r="BB252" s="142">
        <v>462</v>
      </c>
      <c r="BD252" s="142" t="s">
        <v>123</v>
      </c>
    </row>
    <row r="253" spans="2:56" s="142" customFormat="1" ht="21" customHeight="1" x14ac:dyDescent="0.25">
      <c r="B253" s="173" t="str">
        <f t="shared" si="33"/>
        <v>0-304L/2B-0.38X644</v>
      </c>
      <c r="C253" s="201" t="s">
        <v>5394</v>
      </c>
      <c r="D253" s="173" t="s">
        <v>1237</v>
      </c>
      <c r="E253" s="173" t="s">
        <v>1776</v>
      </c>
      <c r="F253" s="201" t="s">
        <v>1777</v>
      </c>
      <c r="G253" s="173" t="s">
        <v>182</v>
      </c>
      <c r="H253" s="173" t="s">
        <v>114</v>
      </c>
      <c r="I253" s="174">
        <v>2.4900000000000002</v>
      </c>
      <c r="J253" s="174">
        <v>0.38</v>
      </c>
      <c r="K253" s="174">
        <v>0.38</v>
      </c>
      <c r="L253" s="174">
        <v>0.39</v>
      </c>
      <c r="M253" s="380">
        <v>644</v>
      </c>
      <c r="N253" s="176">
        <v>9.1649999999999991</v>
      </c>
      <c r="O253" s="381">
        <v>8.9849999999999994</v>
      </c>
      <c r="P253" s="382"/>
      <c r="Q253" s="176"/>
      <c r="R253" s="176"/>
      <c r="S253" s="176">
        <v>0.19500000000000001</v>
      </c>
      <c r="T253" s="383"/>
      <c r="U253" s="380">
        <v>628</v>
      </c>
      <c r="V253" s="371" t="s">
        <v>114</v>
      </c>
      <c r="W253" s="384"/>
      <c r="X253" s="178" t="s">
        <v>1370</v>
      </c>
      <c r="Y253" s="385"/>
      <c r="Z253" s="385" t="s">
        <v>230</v>
      </c>
      <c r="AA253" s="177">
        <v>44918</v>
      </c>
      <c r="AB253" s="177"/>
      <c r="AC253" s="177"/>
      <c r="AD253" s="177">
        <v>44922</v>
      </c>
      <c r="AE253" s="177">
        <v>44949</v>
      </c>
      <c r="AF253" s="177"/>
      <c r="AG253" s="177">
        <v>44955</v>
      </c>
      <c r="AH253" s="177"/>
      <c r="AI253" s="180"/>
      <c r="AJ253" s="173"/>
      <c r="AK253" s="173" t="s">
        <v>1619</v>
      </c>
      <c r="AL253" s="181" t="s">
        <v>69</v>
      </c>
      <c r="AM253" s="181" t="s">
        <v>142</v>
      </c>
      <c r="AN253" s="181" t="s">
        <v>1657</v>
      </c>
      <c r="AO253" s="181"/>
      <c r="AP253" s="181">
        <v>44849</v>
      </c>
      <c r="AQ253" s="173"/>
      <c r="AR253" s="181">
        <f t="shared" ca="1" si="34"/>
        <v>44958</v>
      </c>
      <c r="AS253" s="176">
        <f t="shared" ca="1" si="35"/>
        <v>109</v>
      </c>
      <c r="AT253" s="176">
        <f t="shared" ca="1" si="36"/>
        <v>9</v>
      </c>
      <c r="AU253" s="176"/>
      <c r="AV253" s="176" t="s">
        <v>1775</v>
      </c>
      <c r="AW253" s="176">
        <v>10.664999999999999</v>
      </c>
      <c r="AX253" s="176">
        <v>10.675000000000001</v>
      </c>
      <c r="AY253" s="173">
        <v>10.7</v>
      </c>
      <c r="AZ253" s="142">
        <v>10.705</v>
      </c>
      <c r="BA253" s="142" t="str">
        <f t="shared" si="32"/>
        <v/>
      </c>
      <c r="BB253" s="142">
        <v>456</v>
      </c>
      <c r="BD253" s="142" t="s">
        <v>123</v>
      </c>
    </row>
    <row r="254" spans="2:56" s="142" customFormat="1" ht="21" customHeight="1" x14ac:dyDescent="0.25">
      <c r="B254" s="173" t="str">
        <f t="shared" si="33"/>
        <v>0-304/2B-0.48X642</v>
      </c>
      <c r="C254" s="201" t="s">
        <v>5394</v>
      </c>
      <c r="D254" s="173" t="s">
        <v>1237</v>
      </c>
      <c r="E254" s="173" t="s">
        <v>1617</v>
      </c>
      <c r="F254" s="201" t="s">
        <v>1618</v>
      </c>
      <c r="G254" s="173">
        <v>304</v>
      </c>
      <c r="H254" s="173" t="s">
        <v>114</v>
      </c>
      <c r="I254" s="174">
        <v>2.4900000000000002</v>
      </c>
      <c r="J254" s="174">
        <v>0.48</v>
      </c>
      <c r="K254" s="174">
        <v>0.47</v>
      </c>
      <c r="L254" s="174">
        <v>0.48</v>
      </c>
      <c r="M254" s="380">
        <v>642</v>
      </c>
      <c r="N254" s="176">
        <v>10.675000000000001</v>
      </c>
      <c r="O254" s="381">
        <v>10.48</v>
      </c>
      <c r="P254" s="382"/>
      <c r="Q254" s="176"/>
      <c r="R254" s="176"/>
      <c r="S254" s="176">
        <v>0.19500000000000001</v>
      </c>
      <c r="T254" s="383"/>
      <c r="U254" s="380">
        <v>628</v>
      </c>
      <c r="V254" s="371" t="s">
        <v>114</v>
      </c>
      <c r="W254" s="384"/>
      <c r="X254" s="178" t="s">
        <v>1370</v>
      </c>
      <c r="Y254" s="385"/>
      <c r="Z254" s="385" t="s">
        <v>230</v>
      </c>
      <c r="AA254" s="177">
        <v>44917</v>
      </c>
      <c r="AB254" s="177">
        <v>44947</v>
      </c>
      <c r="AC254" s="177"/>
      <c r="AD254" s="177">
        <v>44917</v>
      </c>
      <c r="AE254" s="177">
        <v>44949</v>
      </c>
      <c r="AF254" s="177"/>
      <c r="AG254" s="177">
        <v>44955</v>
      </c>
      <c r="AH254" s="177"/>
      <c r="AI254" s="180"/>
      <c r="AJ254" s="173"/>
      <c r="AK254" s="173" t="s">
        <v>1619</v>
      </c>
      <c r="AL254" s="181" t="s">
        <v>69</v>
      </c>
      <c r="AM254" s="181" t="s">
        <v>142</v>
      </c>
      <c r="AN254" s="181" t="s">
        <v>1594</v>
      </c>
      <c r="AO254" s="181"/>
      <c r="AP254" s="181">
        <v>44849</v>
      </c>
      <c r="AQ254" s="173"/>
      <c r="AR254" s="181">
        <f t="shared" ca="1" si="34"/>
        <v>44958</v>
      </c>
      <c r="AS254" s="176">
        <f t="shared" ca="1" si="35"/>
        <v>109</v>
      </c>
      <c r="AT254" s="176">
        <f t="shared" ca="1" si="36"/>
        <v>9</v>
      </c>
      <c r="AU254" s="176"/>
      <c r="AV254" s="176" t="s">
        <v>1620</v>
      </c>
      <c r="AW254" s="176">
        <v>10.7</v>
      </c>
      <c r="AX254" s="176">
        <v>10.71</v>
      </c>
      <c r="AY254" s="173">
        <v>10.734999999999999</v>
      </c>
      <c r="AZ254" s="142">
        <v>10.74</v>
      </c>
      <c r="BA254" s="142" t="str">
        <f t="shared" si="32"/>
        <v/>
      </c>
      <c r="BB254" s="142">
        <v>456</v>
      </c>
      <c r="BD254" s="142" t="s">
        <v>123</v>
      </c>
    </row>
    <row r="255" spans="2:56" s="142" customFormat="1" ht="21" customHeight="1" x14ac:dyDescent="0.25">
      <c r="B255" s="173" t="str">
        <f t="shared" si="33"/>
        <v>0-316L/2B-0.68X626</v>
      </c>
      <c r="C255" s="201" t="s">
        <v>5394</v>
      </c>
      <c r="D255" s="173" t="s">
        <v>1237</v>
      </c>
      <c r="E255" s="173" t="s">
        <v>1368</v>
      </c>
      <c r="F255" s="201" t="s">
        <v>1369</v>
      </c>
      <c r="G255" s="173" t="s">
        <v>135</v>
      </c>
      <c r="H255" s="173" t="s">
        <v>114</v>
      </c>
      <c r="I255" s="174">
        <v>1.1499999999999999</v>
      </c>
      <c r="J255" s="174">
        <v>0.68</v>
      </c>
      <c r="K255" s="174">
        <v>0.68</v>
      </c>
      <c r="L255" s="174">
        <v>0.71</v>
      </c>
      <c r="M255" s="380">
        <v>626</v>
      </c>
      <c r="N255" s="176">
        <v>10.8</v>
      </c>
      <c r="O255" s="381">
        <v>10.57</v>
      </c>
      <c r="P255" s="382"/>
      <c r="Q255" s="176"/>
      <c r="R255" s="176"/>
      <c r="S255" s="176">
        <v>0.23</v>
      </c>
      <c r="T255" s="383"/>
      <c r="U255" s="380">
        <v>610</v>
      </c>
      <c r="V255" s="371" t="s">
        <v>114</v>
      </c>
      <c r="W255" s="384"/>
      <c r="X255" s="178" t="s">
        <v>1370</v>
      </c>
      <c r="Y255" s="385" t="s">
        <v>750</v>
      </c>
      <c r="Z255" s="385"/>
      <c r="AA255" s="177" t="s">
        <v>1371</v>
      </c>
      <c r="AB255" s="177"/>
      <c r="AC255" s="177">
        <v>44868</v>
      </c>
      <c r="AD255" s="177">
        <v>44903</v>
      </c>
      <c r="AE255" s="177" t="s">
        <v>1372</v>
      </c>
      <c r="AF255" s="177"/>
      <c r="AG255" s="177" t="s">
        <v>1373</v>
      </c>
      <c r="AH255" s="177">
        <v>44868</v>
      </c>
      <c r="AI255" s="180"/>
      <c r="AJ255" s="173"/>
      <c r="AK255" s="173" t="s">
        <v>1374</v>
      </c>
      <c r="AL255" s="181" t="s">
        <v>69</v>
      </c>
      <c r="AM255" s="181" t="s">
        <v>142</v>
      </c>
      <c r="AN255" s="181" t="s">
        <v>1346</v>
      </c>
      <c r="AO255" s="181"/>
      <c r="AP255" s="181">
        <v>44813</v>
      </c>
      <c r="AQ255" s="173"/>
      <c r="AR255" s="181">
        <f t="shared" ca="1" si="34"/>
        <v>44958</v>
      </c>
      <c r="AS255" s="176">
        <f t="shared" ca="1" si="35"/>
        <v>145</v>
      </c>
      <c r="AT255" s="176">
        <f t="shared" ca="1" si="36"/>
        <v>7</v>
      </c>
      <c r="AU255" s="176"/>
      <c r="AV255" s="176" t="s">
        <v>1375</v>
      </c>
      <c r="AW255" s="176">
        <v>21.664999999999999</v>
      </c>
      <c r="AX255" s="176">
        <v>21.72</v>
      </c>
      <c r="AY255" s="173">
        <v>21.745000000000001</v>
      </c>
      <c r="AZ255" s="142">
        <v>21.75</v>
      </c>
      <c r="BA255" s="142">
        <f t="shared" ca="1" si="32"/>
        <v>90</v>
      </c>
      <c r="BB255" s="142">
        <v>451</v>
      </c>
      <c r="BD255" s="142" t="s">
        <v>123</v>
      </c>
    </row>
    <row r="256" spans="2:56" s="142" customFormat="1" ht="21" customHeight="1" x14ac:dyDescent="0.25">
      <c r="B256" s="173" t="str">
        <f t="shared" si="33"/>
        <v>0-316L/2B-0.60X627</v>
      </c>
      <c r="C256" s="201" t="s">
        <v>5394</v>
      </c>
      <c r="D256" s="173" t="s">
        <v>1237</v>
      </c>
      <c r="E256" s="173" t="s">
        <v>2379</v>
      </c>
      <c r="F256" s="201" t="s">
        <v>2380</v>
      </c>
      <c r="G256" s="173" t="s">
        <v>135</v>
      </c>
      <c r="H256" s="173" t="s">
        <v>114</v>
      </c>
      <c r="I256" s="174">
        <v>1.2</v>
      </c>
      <c r="J256" s="174">
        <v>0.6</v>
      </c>
      <c r="K256" s="174">
        <v>0.57999999999999996</v>
      </c>
      <c r="L256" s="174">
        <v>0.6</v>
      </c>
      <c r="M256" s="380">
        <v>627</v>
      </c>
      <c r="N256" s="176">
        <v>11.045</v>
      </c>
      <c r="O256" s="381">
        <v>10.515000000000001</v>
      </c>
      <c r="P256" s="382"/>
      <c r="Q256" s="176"/>
      <c r="R256" s="176"/>
      <c r="S256" s="176">
        <v>0.13</v>
      </c>
      <c r="T256" s="383"/>
      <c r="U256" s="380">
        <v>610</v>
      </c>
      <c r="V256" s="371" t="s">
        <v>114</v>
      </c>
      <c r="W256" s="384"/>
      <c r="X256" s="178" t="s">
        <v>1370</v>
      </c>
      <c r="Y256" s="385" t="s">
        <v>615</v>
      </c>
      <c r="Z256" s="385" t="s">
        <v>230</v>
      </c>
      <c r="AA256" s="177" t="s">
        <v>2381</v>
      </c>
      <c r="AB256" s="177"/>
      <c r="AC256" s="177">
        <v>44885</v>
      </c>
      <c r="AD256" s="177">
        <v>44901</v>
      </c>
      <c r="AE256" s="177" t="s">
        <v>2382</v>
      </c>
      <c r="AF256" s="177"/>
      <c r="AG256" s="177" t="s">
        <v>2383</v>
      </c>
      <c r="AH256" s="177">
        <v>44882</v>
      </c>
      <c r="AI256" s="180"/>
      <c r="AJ256" s="173"/>
      <c r="AK256" s="173" t="s">
        <v>2374</v>
      </c>
      <c r="AL256" s="181" t="s">
        <v>69</v>
      </c>
      <c r="AM256" s="181" t="s">
        <v>142</v>
      </c>
      <c r="AN256" s="181" t="s">
        <v>1887</v>
      </c>
      <c r="AO256" s="181"/>
      <c r="AP256" s="181">
        <v>44880</v>
      </c>
      <c r="AQ256" s="173"/>
      <c r="AR256" s="181">
        <f t="shared" ca="1" si="34"/>
        <v>44958</v>
      </c>
      <c r="AS256" s="176">
        <f t="shared" ca="1" si="35"/>
        <v>78</v>
      </c>
      <c r="AT256" s="176">
        <f t="shared" ca="1" si="36"/>
        <v>375</v>
      </c>
      <c r="AU256" s="176"/>
      <c r="AV256" s="176" t="s">
        <v>2384</v>
      </c>
      <c r="AW256" s="176">
        <v>21.59</v>
      </c>
      <c r="AX256" s="176">
        <v>21.645</v>
      </c>
      <c r="AY256" s="173">
        <v>21.67</v>
      </c>
      <c r="AZ256" s="142">
        <v>21.675000000000001</v>
      </c>
      <c r="BA256" s="142">
        <f t="shared" ca="1" si="32"/>
        <v>73</v>
      </c>
      <c r="BB256" s="142">
        <v>460</v>
      </c>
      <c r="BD256" s="142" t="s">
        <v>123</v>
      </c>
    </row>
    <row r="257" spans="2:56" s="142" customFormat="1" ht="21" customHeight="1" x14ac:dyDescent="0.25">
      <c r="B257" s="173" t="str">
        <f t="shared" si="33"/>
        <v>0-J3/2B-0.73X620</v>
      </c>
      <c r="C257" s="201" t="s">
        <v>5395</v>
      </c>
      <c r="D257" s="173" t="s">
        <v>4432</v>
      </c>
      <c r="E257" s="173" t="s">
        <v>4908</v>
      </c>
      <c r="F257" s="201" t="s">
        <v>5396</v>
      </c>
      <c r="G257" s="173" t="s">
        <v>34</v>
      </c>
      <c r="H257" s="173" t="s">
        <v>114</v>
      </c>
      <c r="I257" s="174">
        <v>2.2000000000000002</v>
      </c>
      <c r="J257" s="174">
        <v>0.73</v>
      </c>
      <c r="K257" s="174">
        <v>0.7</v>
      </c>
      <c r="L257" s="174">
        <v>0.73</v>
      </c>
      <c r="M257" s="380">
        <v>620</v>
      </c>
      <c r="N257" s="176">
        <v>5.0149999999999997</v>
      </c>
      <c r="O257" s="381">
        <v>4.8600000000000003</v>
      </c>
      <c r="P257" s="382"/>
      <c r="Q257" s="176">
        <v>0.05</v>
      </c>
      <c r="R257" s="176"/>
      <c r="S257" s="176">
        <v>0.12</v>
      </c>
      <c r="T257" s="383"/>
      <c r="U257" s="380" t="s">
        <v>5124</v>
      </c>
      <c r="V257" s="371" t="s">
        <v>114</v>
      </c>
      <c r="W257" s="384" t="s">
        <v>5308</v>
      </c>
      <c r="X257" s="178" t="s">
        <v>361</v>
      </c>
      <c r="Y257" s="385"/>
      <c r="Z257" s="385"/>
      <c r="AA257" s="177">
        <v>44829</v>
      </c>
      <c r="AB257" s="177"/>
      <c r="AC257" s="177">
        <v>44831</v>
      </c>
      <c r="AD257" s="177"/>
      <c r="AE257" s="177">
        <v>44951</v>
      </c>
      <c r="AF257" s="177"/>
      <c r="AG257" s="177"/>
      <c r="AH257" s="177"/>
      <c r="AI257" s="180"/>
      <c r="AJ257" s="173"/>
      <c r="AK257" s="173"/>
      <c r="AL257" s="181" t="s">
        <v>69</v>
      </c>
      <c r="AM257" s="181" t="s">
        <v>248</v>
      </c>
      <c r="AN257" s="181" t="s">
        <v>1145</v>
      </c>
      <c r="AO257" s="181">
        <v>44752</v>
      </c>
      <c r="AP257" s="181">
        <v>44778</v>
      </c>
      <c r="AQ257" s="173"/>
      <c r="AR257" s="181">
        <f t="shared" ca="1" si="34"/>
        <v>44958</v>
      </c>
      <c r="AS257" s="176">
        <f t="shared" ca="1" si="35"/>
        <v>180</v>
      </c>
      <c r="AT257" s="176">
        <f t="shared" ca="1" si="36"/>
        <v>7</v>
      </c>
      <c r="AU257" s="176"/>
      <c r="AV257" s="176" t="s">
        <v>1199</v>
      </c>
      <c r="AW257" s="176">
        <v>10.093999999999999</v>
      </c>
      <c r="AX257" s="176">
        <f>AW257+0.04</f>
        <v>10.133999999999999</v>
      </c>
      <c r="AY257" s="173">
        <v>10.158999999999997</v>
      </c>
      <c r="AZ257" s="142">
        <v>10.163999999999998</v>
      </c>
      <c r="BA257" s="142">
        <f t="shared" ca="1" si="32"/>
        <v>127</v>
      </c>
      <c r="BB257" s="142">
        <v>445</v>
      </c>
      <c r="BD257" s="142" t="s">
        <v>123</v>
      </c>
    </row>
    <row r="258" spans="2:56" s="142" customFormat="1" ht="21" customHeight="1" x14ac:dyDescent="0.25">
      <c r="B258" s="173" t="str">
        <f t="shared" si="33"/>
        <v>0-304/2B-1.10X776</v>
      </c>
      <c r="C258" s="201" t="s">
        <v>5395</v>
      </c>
      <c r="D258" s="173" t="s">
        <v>4432</v>
      </c>
      <c r="E258" s="173" t="s">
        <v>5100</v>
      </c>
      <c r="F258" s="201" t="s">
        <v>5397</v>
      </c>
      <c r="G258" s="173">
        <v>304</v>
      </c>
      <c r="H258" s="173" t="s">
        <v>114</v>
      </c>
      <c r="I258" s="174">
        <v>2.89</v>
      </c>
      <c r="J258" s="174">
        <v>1.1000000000000001</v>
      </c>
      <c r="K258" s="174">
        <v>1.07</v>
      </c>
      <c r="L258" s="174">
        <v>1.0900000000000001</v>
      </c>
      <c r="M258" s="380">
        <v>776</v>
      </c>
      <c r="N258" s="176">
        <v>4.0199999999999996</v>
      </c>
      <c r="O258" s="381">
        <v>3.96</v>
      </c>
      <c r="P258" s="382"/>
      <c r="Q258" s="176">
        <v>0.06</v>
      </c>
      <c r="R258" s="176"/>
      <c r="S258" s="176"/>
      <c r="T258" s="383"/>
      <c r="U258" s="380">
        <v>760</v>
      </c>
      <c r="V258" s="371" t="s">
        <v>114</v>
      </c>
      <c r="W258" s="384" t="s">
        <v>4972</v>
      </c>
      <c r="X258" s="178" t="s">
        <v>4358</v>
      </c>
      <c r="Y258" s="385"/>
      <c r="Z258" s="385"/>
      <c r="AA258" s="177">
        <v>44899</v>
      </c>
      <c r="AB258" s="177"/>
      <c r="AC258" s="177">
        <v>44899</v>
      </c>
      <c r="AD258" s="177"/>
      <c r="AE258" s="177"/>
      <c r="AF258" s="177">
        <v>44956</v>
      </c>
      <c r="AG258" s="177"/>
      <c r="AH258" s="177"/>
      <c r="AI258" s="180"/>
      <c r="AJ258" s="173"/>
      <c r="AK258" s="173" t="s">
        <v>1609</v>
      </c>
      <c r="AL258" s="181" t="s">
        <v>69</v>
      </c>
      <c r="AM258" s="181" t="s">
        <v>142</v>
      </c>
      <c r="AN258" s="181" t="s">
        <v>2283</v>
      </c>
      <c r="AO258" s="181"/>
      <c r="AP258" s="181">
        <v>44880</v>
      </c>
      <c r="AQ258" s="173"/>
      <c r="AR258" s="181">
        <f t="shared" ca="1" si="34"/>
        <v>44958</v>
      </c>
      <c r="AS258" s="176">
        <f t="shared" ca="1" si="35"/>
        <v>78</v>
      </c>
      <c r="AT258" s="176" t="str">
        <f t="shared" si="36"/>
        <v/>
      </c>
      <c r="AU258" s="176"/>
      <c r="AV258" s="176" t="s">
        <v>4778</v>
      </c>
      <c r="AW258" s="176">
        <v>12.1</v>
      </c>
      <c r="AX258" s="176">
        <v>12.11</v>
      </c>
      <c r="AY258" s="173">
        <v>12.134999999999998</v>
      </c>
      <c r="AZ258" s="142">
        <v>12.139999999999999</v>
      </c>
      <c r="BA258" s="142">
        <f t="shared" ca="1" si="32"/>
        <v>59</v>
      </c>
      <c r="BB258" s="142">
        <v>459</v>
      </c>
      <c r="BD258" s="142" t="s">
        <v>123</v>
      </c>
    </row>
    <row r="259" spans="2:56" s="142" customFormat="1" ht="21" customHeight="1" x14ac:dyDescent="0.25">
      <c r="B259" s="173" t="str">
        <f t="shared" si="33"/>
        <v>0-304/2B-1.15X772</v>
      </c>
      <c r="C259" s="201" t="s">
        <v>5398</v>
      </c>
      <c r="D259" s="173" t="s">
        <v>776</v>
      </c>
      <c r="E259" s="173" t="s">
        <v>2549</v>
      </c>
      <c r="F259" s="201" t="s">
        <v>2550</v>
      </c>
      <c r="G259" s="173">
        <v>304</v>
      </c>
      <c r="H259" s="173" t="s">
        <v>114</v>
      </c>
      <c r="I259" s="174">
        <v>3.39</v>
      </c>
      <c r="J259" s="174">
        <v>1.1499999999999999</v>
      </c>
      <c r="K259" s="174">
        <v>0.95</v>
      </c>
      <c r="L259" s="174">
        <v>1.01</v>
      </c>
      <c r="M259" s="380">
        <v>772</v>
      </c>
      <c r="N259" s="176">
        <v>5.2549999999999999</v>
      </c>
      <c r="O259" s="381">
        <v>5.2549999999999999</v>
      </c>
      <c r="P259" s="382"/>
      <c r="Q259" s="176"/>
      <c r="R259" s="176"/>
      <c r="S259" s="176"/>
      <c r="T259" s="383"/>
      <c r="U259" s="380">
        <v>772</v>
      </c>
      <c r="V259" s="371" t="s">
        <v>114</v>
      </c>
      <c r="W259" s="384"/>
      <c r="X259" s="178" t="s">
        <v>314</v>
      </c>
      <c r="Y259" s="385" t="s">
        <v>1210</v>
      </c>
      <c r="Z259" s="385" t="s">
        <v>2551</v>
      </c>
      <c r="AA259" s="177">
        <v>44935</v>
      </c>
      <c r="AB259" s="177"/>
      <c r="AC259" s="177">
        <v>44936</v>
      </c>
      <c r="AD259" s="177"/>
      <c r="AE259" s="177"/>
      <c r="AF259" s="177">
        <v>44952</v>
      </c>
      <c r="AG259" s="177">
        <v>44956</v>
      </c>
      <c r="AH259" s="177"/>
      <c r="AI259" s="180"/>
      <c r="AJ259" s="173"/>
      <c r="AK259" s="173" t="s">
        <v>1507</v>
      </c>
      <c r="AL259" s="181" t="s">
        <v>69</v>
      </c>
      <c r="AM259" s="181" t="s">
        <v>142</v>
      </c>
      <c r="AN259" s="181" t="s">
        <v>1584</v>
      </c>
      <c r="AO259" s="181"/>
      <c r="AP259" s="181">
        <v>44914</v>
      </c>
      <c r="AQ259" s="173"/>
      <c r="AR259" s="181">
        <f t="shared" ca="1" si="34"/>
        <v>44958</v>
      </c>
      <c r="AS259" s="176">
        <f t="shared" ca="1" si="35"/>
        <v>44</v>
      </c>
      <c r="AT259" s="176" t="str">
        <f t="shared" si="36"/>
        <v/>
      </c>
      <c r="AU259" s="176"/>
      <c r="AV259" s="176" t="s">
        <v>2548</v>
      </c>
      <c r="AW259" s="176">
        <v>10.62</v>
      </c>
      <c r="AX259" s="176">
        <v>10.63</v>
      </c>
      <c r="AY259" s="173">
        <v>10.654999999999999</v>
      </c>
      <c r="AZ259" s="142">
        <v>10.66</v>
      </c>
      <c r="BA259" s="142">
        <f t="shared" ca="1" si="32"/>
        <v>22</v>
      </c>
      <c r="BB259" s="142">
        <v>462</v>
      </c>
      <c r="BD259" s="142" t="s">
        <v>123</v>
      </c>
    </row>
    <row r="260" spans="2:56" s="142" customFormat="1" ht="21" customHeight="1" x14ac:dyDescent="0.25">
      <c r="B260" s="173" t="str">
        <f t="shared" si="33"/>
        <v>0-304/2B-1.00X770</v>
      </c>
      <c r="C260" s="201" t="s">
        <v>5399</v>
      </c>
      <c r="D260" s="173" t="s">
        <v>836</v>
      </c>
      <c r="E260" s="173" t="s">
        <v>4170</v>
      </c>
      <c r="F260" s="201" t="s">
        <v>5096</v>
      </c>
      <c r="G260" s="173">
        <v>304</v>
      </c>
      <c r="H260" s="173" t="s">
        <v>114</v>
      </c>
      <c r="I260" s="174">
        <v>2.9</v>
      </c>
      <c r="J260" s="174">
        <v>1</v>
      </c>
      <c r="K260" s="174"/>
      <c r="L260" s="174"/>
      <c r="M260" s="380">
        <v>770</v>
      </c>
      <c r="N260" s="176">
        <v>4.71</v>
      </c>
      <c r="O260" s="381">
        <v>4.71</v>
      </c>
      <c r="P260" s="382"/>
      <c r="Q260" s="176"/>
      <c r="R260" s="176"/>
      <c r="S260" s="176"/>
      <c r="T260" s="383"/>
      <c r="U260" s="380">
        <v>770</v>
      </c>
      <c r="V260" s="371" t="s">
        <v>114</v>
      </c>
      <c r="W260" s="384"/>
      <c r="X260" s="178" t="s">
        <v>1540</v>
      </c>
      <c r="Y260" s="385"/>
      <c r="Z260" s="385"/>
      <c r="AA260" s="177">
        <v>44945</v>
      </c>
      <c r="AB260" s="177"/>
      <c r="AC260" s="177">
        <v>44945</v>
      </c>
      <c r="AD260" s="177"/>
      <c r="AE260" s="177"/>
      <c r="AF260" s="177">
        <v>44955</v>
      </c>
      <c r="AG260" s="177">
        <v>44956</v>
      </c>
      <c r="AH260" s="177"/>
      <c r="AI260" s="180"/>
      <c r="AJ260" s="173"/>
      <c r="AK260" s="173" t="s">
        <v>2448</v>
      </c>
      <c r="AL260" s="181" t="s">
        <v>69</v>
      </c>
      <c r="AM260" s="181" t="s">
        <v>142</v>
      </c>
      <c r="AN260" s="181" t="s">
        <v>1584</v>
      </c>
      <c r="AO260" s="181"/>
      <c r="AP260" s="181">
        <v>44914</v>
      </c>
      <c r="AQ260" s="173"/>
      <c r="AR260" s="181">
        <f t="shared" ca="1" si="34"/>
        <v>44958</v>
      </c>
      <c r="AS260" s="176">
        <f t="shared" ca="1" si="35"/>
        <v>44</v>
      </c>
      <c r="AT260" s="176" t="str">
        <f t="shared" si="36"/>
        <v/>
      </c>
      <c r="AU260" s="176"/>
      <c r="AV260" s="176" t="s">
        <v>2637</v>
      </c>
      <c r="AW260" s="176">
        <v>10.220000000000001</v>
      </c>
      <c r="AX260" s="176">
        <v>10.23</v>
      </c>
      <c r="AY260" s="173">
        <v>10.254999999999999</v>
      </c>
      <c r="AZ260" s="142">
        <v>10.26</v>
      </c>
      <c r="BA260" s="142">
        <f t="shared" ca="1" si="32"/>
        <v>13</v>
      </c>
      <c r="BB260" s="142">
        <v>462</v>
      </c>
      <c r="BD260" s="142" t="s">
        <v>123</v>
      </c>
    </row>
    <row r="261" spans="2:56" s="142" customFormat="1" ht="21" customHeight="1" x14ac:dyDescent="0.25">
      <c r="B261" s="173" t="str">
        <f t="shared" si="33"/>
        <v>0-304/2B-1.10X776</v>
      </c>
      <c r="C261" s="201" t="s">
        <v>5395</v>
      </c>
      <c r="D261" s="173" t="s">
        <v>4432</v>
      </c>
      <c r="E261" s="173" t="s">
        <v>5100</v>
      </c>
      <c r="F261" s="201" t="s">
        <v>5400</v>
      </c>
      <c r="G261" s="173">
        <v>304</v>
      </c>
      <c r="H261" s="173" t="s">
        <v>114</v>
      </c>
      <c r="I261" s="174">
        <v>2.89</v>
      </c>
      <c r="J261" s="174">
        <v>1.1000000000000001</v>
      </c>
      <c r="K261" s="174">
        <v>1.07</v>
      </c>
      <c r="L261" s="174">
        <v>1.0900000000000001</v>
      </c>
      <c r="M261" s="380">
        <v>776</v>
      </c>
      <c r="N261" s="176">
        <v>4.085</v>
      </c>
      <c r="O261" s="381">
        <v>4.0650000000000004</v>
      </c>
      <c r="P261" s="382"/>
      <c r="Q261" s="176"/>
      <c r="R261" s="176"/>
      <c r="S261" s="176"/>
      <c r="T261" s="383"/>
      <c r="U261" s="380">
        <v>760</v>
      </c>
      <c r="V261" s="371" t="s">
        <v>114</v>
      </c>
      <c r="W261" s="384" t="s">
        <v>4972</v>
      </c>
      <c r="X261" s="178" t="s">
        <v>4358</v>
      </c>
      <c r="Y261" s="385"/>
      <c r="Z261" s="385"/>
      <c r="AA261" s="177">
        <v>44899</v>
      </c>
      <c r="AB261" s="177"/>
      <c r="AC261" s="177">
        <v>44899</v>
      </c>
      <c r="AD261" s="177"/>
      <c r="AE261" s="177"/>
      <c r="AF261" s="177">
        <v>44956</v>
      </c>
      <c r="AG261" s="177"/>
      <c r="AH261" s="177"/>
      <c r="AI261" s="180"/>
      <c r="AJ261" s="173"/>
      <c r="AK261" s="173" t="s">
        <v>1609</v>
      </c>
      <c r="AL261" s="181" t="s">
        <v>69</v>
      </c>
      <c r="AM261" s="181" t="s">
        <v>142</v>
      </c>
      <c r="AN261" s="181" t="s">
        <v>2283</v>
      </c>
      <c r="AO261" s="181"/>
      <c r="AP261" s="181">
        <v>44880</v>
      </c>
      <c r="AQ261" s="173"/>
      <c r="AR261" s="181">
        <f t="shared" ca="1" si="34"/>
        <v>44958</v>
      </c>
      <c r="AS261" s="176">
        <f t="shared" ca="1" si="35"/>
        <v>78</v>
      </c>
      <c r="AT261" s="176" t="str">
        <f t="shared" si="36"/>
        <v/>
      </c>
      <c r="AU261" s="176"/>
      <c r="AV261" s="176" t="s">
        <v>4778</v>
      </c>
      <c r="AW261" s="176">
        <v>12.1</v>
      </c>
      <c r="AX261" s="176">
        <v>12.11</v>
      </c>
      <c r="AY261" s="173">
        <v>12.134999999999998</v>
      </c>
      <c r="AZ261" s="142">
        <v>12.139999999999999</v>
      </c>
      <c r="BA261" s="142">
        <f t="shared" ca="1" si="32"/>
        <v>59</v>
      </c>
      <c r="BB261" s="142">
        <v>459</v>
      </c>
      <c r="BD261" s="142" t="s">
        <v>123</v>
      </c>
    </row>
    <row r="262" spans="2:56" s="142" customFormat="1" ht="21" customHeight="1" x14ac:dyDescent="0.25">
      <c r="B262" s="173" t="str">
        <f t="shared" si="33"/>
        <v>0-304/2B-1.00X770</v>
      </c>
      <c r="C262" s="201" t="s">
        <v>5401</v>
      </c>
      <c r="D262" s="173" t="s">
        <v>4432</v>
      </c>
      <c r="E262" s="173" t="s">
        <v>4170</v>
      </c>
      <c r="F262" s="201" t="s">
        <v>5096</v>
      </c>
      <c r="G262" s="173">
        <v>304</v>
      </c>
      <c r="H262" s="173" t="s">
        <v>114</v>
      </c>
      <c r="I262" s="174">
        <v>2.9</v>
      </c>
      <c r="J262" s="174">
        <v>1</v>
      </c>
      <c r="K262" s="174"/>
      <c r="L262" s="174"/>
      <c r="M262" s="380">
        <v>770</v>
      </c>
      <c r="N262" s="176">
        <v>4.71</v>
      </c>
      <c r="O262" s="381">
        <v>4.62</v>
      </c>
      <c r="P262" s="382"/>
      <c r="Q262" s="176"/>
      <c r="R262" s="176"/>
      <c r="S262" s="176">
        <v>0.09</v>
      </c>
      <c r="T262" s="383"/>
      <c r="U262" s="380">
        <v>755</v>
      </c>
      <c r="V262" s="371" t="s">
        <v>114</v>
      </c>
      <c r="W262" s="384" t="s">
        <v>4961</v>
      </c>
      <c r="X262" s="178" t="s">
        <v>1540</v>
      </c>
      <c r="Y262" s="385"/>
      <c r="Z262" s="385"/>
      <c r="AA262" s="177">
        <v>44945</v>
      </c>
      <c r="AB262" s="177"/>
      <c r="AC262" s="177">
        <v>44945</v>
      </c>
      <c r="AD262" s="177"/>
      <c r="AE262" s="177"/>
      <c r="AF262" s="177">
        <v>44955</v>
      </c>
      <c r="AG262" s="177">
        <v>44956</v>
      </c>
      <c r="AH262" s="177"/>
      <c r="AI262" s="180"/>
      <c r="AJ262" s="173"/>
      <c r="AK262" s="173" t="s">
        <v>2448</v>
      </c>
      <c r="AL262" s="181" t="s">
        <v>69</v>
      </c>
      <c r="AM262" s="181" t="s">
        <v>142</v>
      </c>
      <c r="AN262" s="181" t="s">
        <v>1584</v>
      </c>
      <c r="AO262" s="181"/>
      <c r="AP262" s="181">
        <v>44914</v>
      </c>
      <c r="AQ262" s="173"/>
      <c r="AR262" s="181">
        <f t="shared" ca="1" si="34"/>
        <v>44958</v>
      </c>
      <c r="AS262" s="176">
        <f t="shared" ca="1" si="35"/>
        <v>44</v>
      </c>
      <c r="AT262" s="176" t="str">
        <f t="shared" si="36"/>
        <v/>
      </c>
      <c r="AU262" s="176"/>
      <c r="AV262" s="176" t="s">
        <v>2637</v>
      </c>
      <c r="AW262" s="176">
        <v>10.220000000000001</v>
      </c>
      <c r="AX262" s="176">
        <v>10.23</v>
      </c>
      <c r="AY262" s="173">
        <v>10.254999999999999</v>
      </c>
      <c r="AZ262" s="142">
        <v>10.26</v>
      </c>
      <c r="BA262" s="142">
        <f t="shared" ca="1" si="32"/>
        <v>13</v>
      </c>
      <c r="BB262" s="142">
        <v>462</v>
      </c>
      <c r="BD262" s="142" t="s">
        <v>123</v>
      </c>
    </row>
    <row r="263" spans="2:56" s="142" customFormat="1" ht="21" customHeight="1" x14ac:dyDescent="0.25">
      <c r="B263" s="173" t="str">
        <f t="shared" si="33"/>
        <v>0-304/2B-1.10X776</v>
      </c>
      <c r="C263" s="201" t="s">
        <v>5395</v>
      </c>
      <c r="D263" s="173" t="s">
        <v>4432</v>
      </c>
      <c r="E263" s="173" t="s">
        <v>5100</v>
      </c>
      <c r="F263" s="201" t="s">
        <v>5402</v>
      </c>
      <c r="G263" s="173">
        <v>304</v>
      </c>
      <c r="H263" s="173" t="s">
        <v>114</v>
      </c>
      <c r="I263" s="174">
        <v>2.89</v>
      </c>
      <c r="J263" s="174">
        <v>1.1000000000000001</v>
      </c>
      <c r="K263" s="174">
        <v>1.07</v>
      </c>
      <c r="L263" s="174">
        <v>1.0900000000000001</v>
      </c>
      <c r="M263" s="380">
        <v>776</v>
      </c>
      <c r="N263" s="176">
        <v>3.9649999999999999</v>
      </c>
      <c r="O263" s="381">
        <v>3.8849999999999998</v>
      </c>
      <c r="P263" s="382"/>
      <c r="Q263" s="176">
        <v>0.06</v>
      </c>
      <c r="R263" s="176"/>
      <c r="S263" s="176"/>
      <c r="T263" s="383"/>
      <c r="U263" s="380">
        <v>760</v>
      </c>
      <c r="V263" s="371" t="s">
        <v>114</v>
      </c>
      <c r="W263" s="384" t="s">
        <v>4972</v>
      </c>
      <c r="X263" s="178" t="s">
        <v>4358</v>
      </c>
      <c r="Y263" s="385"/>
      <c r="Z263" s="385"/>
      <c r="AA263" s="177">
        <v>44899</v>
      </c>
      <c r="AB263" s="177"/>
      <c r="AC263" s="177">
        <v>44899</v>
      </c>
      <c r="AD263" s="177"/>
      <c r="AE263" s="177"/>
      <c r="AF263" s="177">
        <v>44956</v>
      </c>
      <c r="AG263" s="177"/>
      <c r="AH263" s="177"/>
      <c r="AI263" s="180"/>
      <c r="AJ263" s="173"/>
      <c r="AK263" s="173" t="s">
        <v>1609</v>
      </c>
      <c r="AL263" s="181" t="s">
        <v>69</v>
      </c>
      <c r="AM263" s="181" t="s">
        <v>142</v>
      </c>
      <c r="AN263" s="181" t="s">
        <v>2283</v>
      </c>
      <c r="AO263" s="181"/>
      <c r="AP263" s="181">
        <v>44880</v>
      </c>
      <c r="AQ263" s="173"/>
      <c r="AR263" s="181">
        <f t="shared" ca="1" si="34"/>
        <v>44958</v>
      </c>
      <c r="AS263" s="176">
        <f t="shared" ca="1" si="35"/>
        <v>78</v>
      </c>
      <c r="AT263" s="176" t="str">
        <f t="shared" si="36"/>
        <v/>
      </c>
      <c r="AU263" s="176"/>
      <c r="AV263" s="176" t="s">
        <v>4778</v>
      </c>
      <c r="AW263" s="176">
        <v>12.1</v>
      </c>
      <c r="AX263" s="176">
        <v>12.11</v>
      </c>
      <c r="AY263" s="173">
        <v>12.134999999999998</v>
      </c>
      <c r="AZ263" s="142">
        <v>12.139999999999999</v>
      </c>
      <c r="BA263" s="142">
        <f t="shared" ca="1" si="32"/>
        <v>59</v>
      </c>
      <c r="BB263" s="142">
        <v>459</v>
      </c>
      <c r="BD263" s="142" t="s">
        <v>123</v>
      </c>
    </row>
    <row r="264" spans="2:56" s="142" customFormat="1" ht="21" customHeight="1" x14ac:dyDescent="0.25">
      <c r="B264" s="173" t="str">
        <f t="shared" si="33"/>
        <v>0-304L/2B-0.90X771</v>
      </c>
      <c r="C264" s="201" t="s">
        <v>5395</v>
      </c>
      <c r="D264" s="173" t="s">
        <v>4432</v>
      </c>
      <c r="E264" s="173" t="s">
        <v>4228</v>
      </c>
      <c r="F264" s="201" t="s">
        <v>5403</v>
      </c>
      <c r="G264" s="173" t="s">
        <v>182</v>
      </c>
      <c r="H264" s="173" t="s">
        <v>114</v>
      </c>
      <c r="I264" s="174">
        <v>2.77</v>
      </c>
      <c r="J264" s="174">
        <v>0.9</v>
      </c>
      <c r="K264" s="174">
        <v>0.88</v>
      </c>
      <c r="L264" s="174">
        <v>0.91</v>
      </c>
      <c r="M264" s="380">
        <v>771</v>
      </c>
      <c r="N264" s="176">
        <v>5.62</v>
      </c>
      <c r="O264" s="381">
        <v>5.63</v>
      </c>
      <c r="P264" s="382"/>
      <c r="Q264" s="176"/>
      <c r="R264" s="176"/>
      <c r="S264" s="176"/>
      <c r="T264" s="383"/>
      <c r="U264" s="380">
        <v>760</v>
      </c>
      <c r="V264" s="371" t="s">
        <v>114</v>
      </c>
      <c r="W264" s="384" t="s">
        <v>4957</v>
      </c>
      <c r="X264" s="178" t="s">
        <v>1540</v>
      </c>
      <c r="Y264" s="385"/>
      <c r="Z264" s="385"/>
      <c r="AA264" s="177">
        <v>44950</v>
      </c>
      <c r="AB264" s="177"/>
      <c r="AC264" s="177">
        <v>44950</v>
      </c>
      <c r="AD264" s="177"/>
      <c r="AE264" s="177"/>
      <c r="AF264" s="177">
        <v>44956</v>
      </c>
      <c r="AG264" s="177"/>
      <c r="AH264" s="177"/>
      <c r="AI264" s="180"/>
      <c r="AJ264" s="173"/>
      <c r="AK264" s="173" t="s">
        <v>1643</v>
      </c>
      <c r="AL264" s="181" t="s">
        <v>69</v>
      </c>
      <c r="AM264" s="181" t="s">
        <v>142</v>
      </c>
      <c r="AN264" s="181" t="s">
        <v>1584</v>
      </c>
      <c r="AO264" s="181"/>
      <c r="AP264" s="181">
        <v>44914</v>
      </c>
      <c r="AQ264" s="173"/>
      <c r="AR264" s="181">
        <f t="shared" ca="1" si="34"/>
        <v>44958</v>
      </c>
      <c r="AS264" s="176">
        <f t="shared" ca="1" si="35"/>
        <v>44</v>
      </c>
      <c r="AT264" s="176" t="str">
        <f t="shared" si="36"/>
        <v/>
      </c>
      <c r="AU264" s="176"/>
      <c r="AV264" s="176" t="s">
        <v>4213</v>
      </c>
      <c r="AW264" s="176">
        <v>10.55</v>
      </c>
      <c r="AX264" s="176">
        <v>10.56</v>
      </c>
      <c r="AY264" s="173">
        <v>10.584999999999999</v>
      </c>
      <c r="AZ264" s="142">
        <v>10.59</v>
      </c>
      <c r="BA264" s="142">
        <f t="shared" ca="1" si="32"/>
        <v>8</v>
      </c>
      <c r="BB264" s="142">
        <v>462</v>
      </c>
      <c r="BD264" s="142" t="s">
        <v>123</v>
      </c>
    </row>
    <row r="265" spans="2:56" s="142" customFormat="1" ht="21" customHeight="1" x14ac:dyDescent="0.25">
      <c r="B265" s="173" t="str">
        <f t="shared" si="33"/>
        <v>0-304L/2B-0.90X771</v>
      </c>
      <c r="C265" s="201" t="s">
        <v>5395</v>
      </c>
      <c r="D265" s="173" t="s">
        <v>4432</v>
      </c>
      <c r="E265" s="173" t="s">
        <v>4228</v>
      </c>
      <c r="F265" s="201" t="s">
        <v>5404</v>
      </c>
      <c r="G265" s="173" t="s">
        <v>182</v>
      </c>
      <c r="H265" s="173" t="s">
        <v>114</v>
      </c>
      <c r="I265" s="174">
        <v>2.77</v>
      </c>
      <c r="J265" s="174">
        <v>0.9</v>
      </c>
      <c r="K265" s="174">
        <v>0.88</v>
      </c>
      <c r="L265" s="174">
        <v>0.91</v>
      </c>
      <c r="M265" s="380">
        <v>771</v>
      </c>
      <c r="N265" s="176">
        <v>4.84</v>
      </c>
      <c r="O265" s="381">
        <v>4.7699999999999996</v>
      </c>
      <c r="P265" s="382"/>
      <c r="Q265" s="176">
        <v>0.05</v>
      </c>
      <c r="R265" s="176"/>
      <c r="S265" s="176">
        <v>0.02</v>
      </c>
      <c r="T265" s="383"/>
      <c r="U265" s="380">
        <v>760</v>
      </c>
      <c r="V265" s="371" t="s">
        <v>114</v>
      </c>
      <c r="W265" s="384" t="s">
        <v>4957</v>
      </c>
      <c r="X265" s="178" t="s">
        <v>1540</v>
      </c>
      <c r="Y265" s="385"/>
      <c r="Z265" s="385"/>
      <c r="AA265" s="177">
        <v>44950</v>
      </c>
      <c r="AB265" s="177"/>
      <c r="AC265" s="177">
        <v>44950</v>
      </c>
      <c r="AD265" s="177"/>
      <c r="AE265" s="177"/>
      <c r="AF265" s="177">
        <v>44956</v>
      </c>
      <c r="AG265" s="177"/>
      <c r="AH265" s="177"/>
      <c r="AI265" s="180"/>
      <c r="AJ265" s="173"/>
      <c r="AK265" s="173" t="s">
        <v>1643</v>
      </c>
      <c r="AL265" s="181" t="s">
        <v>69</v>
      </c>
      <c r="AM265" s="181" t="s">
        <v>142</v>
      </c>
      <c r="AN265" s="181" t="s">
        <v>1584</v>
      </c>
      <c r="AO265" s="181"/>
      <c r="AP265" s="181">
        <v>44914</v>
      </c>
      <c r="AQ265" s="173"/>
      <c r="AR265" s="181">
        <f t="shared" ca="1" si="34"/>
        <v>44958</v>
      </c>
      <c r="AS265" s="176">
        <f t="shared" ca="1" si="35"/>
        <v>44</v>
      </c>
      <c r="AT265" s="176" t="str">
        <f t="shared" si="36"/>
        <v/>
      </c>
      <c r="AU265" s="176"/>
      <c r="AV265" s="176" t="s">
        <v>4213</v>
      </c>
      <c r="AW265" s="176">
        <v>10.55</v>
      </c>
      <c r="AX265" s="176">
        <v>10.56</v>
      </c>
      <c r="AY265" s="173">
        <v>10.584999999999999</v>
      </c>
      <c r="AZ265" s="142">
        <v>10.59</v>
      </c>
      <c r="BA265" s="142">
        <f t="shared" ca="1" si="32"/>
        <v>8</v>
      </c>
      <c r="BB265" s="142">
        <v>462</v>
      </c>
      <c r="BD265" s="142" t="s">
        <v>123</v>
      </c>
    </row>
    <row r="266" spans="2:56" s="142" customFormat="1" ht="21" customHeight="1" x14ac:dyDescent="0.25">
      <c r="B266" s="173" t="str">
        <f t="shared" si="33"/>
        <v>0-304L/2B-1.20X769</v>
      </c>
      <c r="C266" s="201" t="s">
        <v>5398</v>
      </c>
      <c r="D266" s="173" t="s">
        <v>776</v>
      </c>
      <c r="E266" s="173" t="s">
        <v>1534</v>
      </c>
      <c r="F266" s="201" t="s">
        <v>1538</v>
      </c>
      <c r="G266" s="173" t="s">
        <v>182</v>
      </c>
      <c r="H266" s="173" t="s">
        <v>114</v>
      </c>
      <c r="I266" s="174">
        <v>3.79</v>
      </c>
      <c r="J266" s="174">
        <v>1.2</v>
      </c>
      <c r="K266" s="174"/>
      <c r="L266" s="174"/>
      <c r="M266" s="380">
        <v>769</v>
      </c>
      <c r="N266" s="176">
        <v>4.0350000000000001</v>
      </c>
      <c r="O266" s="381">
        <v>4.0350000000000001</v>
      </c>
      <c r="P266" s="382"/>
      <c r="Q266" s="176"/>
      <c r="R266" s="176"/>
      <c r="S266" s="176"/>
      <c r="T266" s="383"/>
      <c r="U266" s="380">
        <v>769</v>
      </c>
      <c r="V266" s="371" t="s">
        <v>114</v>
      </c>
      <c r="W266" s="384"/>
      <c r="X266" s="178" t="s">
        <v>1539</v>
      </c>
      <c r="Y266" s="385" t="s">
        <v>1540</v>
      </c>
      <c r="Z266" s="385"/>
      <c r="AA266" s="177">
        <v>44945</v>
      </c>
      <c r="AB266" s="177"/>
      <c r="AC266" s="177">
        <v>44946</v>
      </c>
      <c r="AD266" s="177"/>
      <c r="AE266" s="177">
        <v>44955</v>
      </c>
      <c r="AF266" s="177"/>
      <c r="AG266" s="177">
        <v>44956</v>
      </c>
      <c r="AH266" s="177">
        <v>44940</v>
      </c>
      <c r="AI266" s="180"/>
      <c r="AJ266" s="173"/>
      <c r="AK266" s="173" t="s">
        <v>1507</v>
      </c>
      <c r="AL266" s="181" t="s">
        <v>69</v>
      </c>
      <c r="AM266" s="181" t="s">
        <v>142</v>
      </c>
      <c r="AN266" s="181" t="s">
        <v>1508</v>
      </c>
      <c r="AO266" s="181"/>
      <c r="AP266" s="181">
        <v>44849</v>
      </c>
      <c r="AQ266" s="173"/>
      <c r="AR266" s="181">
        <f t="shared" ca="1" si="34"/>
        <v>44958</v>
      </c>
      <c r="AS266" s="176">
        <f t="shared" ca="1" si="35"/>
        <v>109</v>
      </c>
      <c r="AT266" s="176">
        <f t="shared" ca="1" si="36"/>
        <v>3</v>
      </c>
      <c r="AU266" s="176"/>
      <c r="AV266" s="176" t="s">
        <v>1537</v>
      </c>
      <c r="AW266" s="176">
        <v>24.545000000000002</v>
      </c>
      <c r="AX266" s="176">
        <v>24.605</v>
      </c>
      <c r="AY266" s="173">
        <v>24.630000000000003</v>
      </c>
      <c r="AZ266" s="142">
        <v>24.635000000000002</v>
      </c>
      <c r="BA266" s="142">
        <f t="shared" ca="1" si="32"/>
        <v>12</v>
      </c>
      <c r="BB266" s="142">
        <v>456</v>
      </c>
      <c r="BD266" s="142" t="s">
        <v>123</v>
      </c>
    </row>
    <row r="267" spans="2:56" s="142" customFormat="1" ht="21" customHeight="1" x14ac:dyDescent="0.25">
      <c r="B267" s="173" t="str">
        <f t="shared" si="33"/>
        <v>0-J3/2B-0.95X620</v>
      </c>
      <c r="C267" s="201" t="s">
        <v>5395</v>
      </c>
      <c r="D267" s="173" t="s">
        <v>4432</v>
      </c>
      <c r="E267" s="173" t="s">
        <v>4985</v>
      </c>
      <c r="F267" s="201" t="s">
        <v>5405</v>
      </c>
      <c r="G267" s="173" t="s">
        <v>34</v>
      </c>
      <c r="H267" s="173" t="s">
        <v>114</v>
      </c>
      <c r="I267" s="174">
        <v>2.4</v>
      </c>
      <c r="J267" s="174">
        <v>0.95</v>
      </c>
      <c r="K267" s="174">
        <v>0.94</v>
      </c>
      <c r="L267" s="174">
        <v>0.96</v>
      </c>
      <c r="M267" s="380">
        <v>620</v>
      </c>
      <c r="N267" s="349">
        <v>9.9600000000000009</v>
      </c>
      <c r="O267" s="381">
        <f>5.1+4.475</f>
        <v>9.5749999999999993</v>
      </c>
      <c r="P267" s="382"/>
      <c r="Q267" s="176"/>
      <c r="R267" s="176"/>
      <c r="S267" s="176">
        <v>0.14000000000000001</v>
      </c>
      <c r="T267" s="383"/>
      <c r="U267" s="380" t="s">
        <v>5124</v>
      </c>
      <c r="V267" s="371" t="s">
        <v>114</v>
      </c>
      <c r="W267" s="384" t="s">
        <v>5308</v>
      </c>
      <c r="X267" s="178" t="s">
        <v>361</v>
      </c>
      <c r="Y267" s="385"/>
      <c r="Z267" s="385"/>
      <c r="AA267" s="177">
        <v>44849</v>
      </c>
      <c r="AB267" s="177"/>
      <c r="AC267" s="177">
        <v>44849</v>
      </c>
      <c r="AD267" s="177"/>
      <c r="AE267" s="177"/>
      <c r="AF267" s="177">
        <v>44944</v>
      </c>
      <c r="AG267" s="177"/>
      <c r="AH267" s="177"/>
      <c r="AI267" s="180"/>
      <c r="AJ267" s="173"/>
      <c r="AK267" s="173"/>
      <c r="AL267" s="181" t="s">
        <v>69</v>
      </c>
      <c r="AM267" s="181" t="s">
        <v>248</v>
      </c>
      <c r="AN267" s="181" t="s">
        <v>1145</v>
      </c>
      <c r="AO267" s="181">
        <v>44752</v>
      </c>
      <c r="AP267" s="181">
        <v>44778</v>
      </c>
      <c r="AQ267" s="173"/>
      <c r="AR267" s="181">
        <f t="shared" ca="1" si="34"/>
        <v>44958</v>
      </c>
      <c r="AS267" s="176">
        <f t="shared" ca="1" si="35"/>
        <v>180</v>
      </c>
      <c r="AT267" s="176" t="str">
        <f t="shared" si="36"/>
        <v/>
      </c>
      <c r="AU267" s="176"/>
      <c r="AV267" s="176" t="s">
        <v>4987</v>
      </c>
      <c r="AW267" s="176">
        <v>10.005000000000001</v>
      </c>
      <c r="AX267" s="176">
        <f>AW267+0.04</f>
        <v>10.045</v>
      </c>
      <c r="AY267" s="173">
        <v>10.069999999999999</v>
      </c>
      <c r="AZ267" s="142">
        <v>10.074999999999999</v>
      </c>
      <c r="BA267" s="142">
        <f t="shared" ca="1" si="32"/>
        <v>109</v>
      </c>
      <c r="BB267" s="142">
        <v>445</v>
      </c>
      <c r="BD267" s="142" t="s">
        <v>123</v>
      </c>
    </row>
    <row r="268" spans="2:56" s="142" customFormat="1" ht="21" customHeight="1" x14ac:dyDescent="0.25">
      <c r="B268" s="173" t="str">
        <f t="shared" si="33"/>
        <v>0-J3/2B-0.95X620</v>
      </c>
      <c r="C268" s="201" t="s">
        <v>5406</v>
      </c>
      <c r="D268" s="173" t="s">
        <v>5026</v>
      </c>
      <c r="E268" s="173" t="s">
        <v>4985</v>
      </c>
      <c r="F268" s="201" t="s">
        <v>5407</v>
      </c>
      <c r="G268" s="173" t="s">
        <v>34</v>
      </c>
      <c r="H268" s="173" t="s">
        <v>114</v>
      </c>
      <c r="I268" s="174">
        <v>2.4</v>
      </c>
      <c r="J268" s="174">
        <v>0.95</v>
      </c>
      <c r="K268" s="174">
        <v>0.94</v>
      </c>
      <c r="L268" s="174">
        <v>0.96</v>
      </c>
      <c r="M268" s="380">
        <v>620</v>
      </c>
      <c r="N268" s="350"/>
      <c r="O268" s="381">
        <v>0.24</v>
      </c>
      <c r="P268" s="382"/>
      <c r="Q268" s="176"/>
      <c r="R268" s="176"/>
      <c r="S268" s="176"/>
      <c r="T268" s="383"/>
      <c r="U268" s="380">
        <v>620</v>
      </c>
      <c r="V268" s="371" t="s">
        <v>114</v>
      </c>
      <c r="W268" s="384"/>
      <c r="X268" s="178" t="s">
        <v>390</v>
      </c>
      <c r="Y268" s="385"/>
      <c r="Z268" s="385"/>
      <c r="AA268" s="177">
        <v>44849</v>
      </c>
      <c r="AB268" s="177"/>
      <c r="AC268" s="177">
        <v>44849</v>
      </c>
      <c r="AD268" s="177"/>
      <c r="AE268" s="177"/>
      <c r="AF268" s="177">
        <v>44944</v>
      </c>
      <c r="AG268" s="177"/>
      <c r="AH268" s="177"/>
      <c r="AI268" s="180"/>
      <c r="AJ268" s="173"/>
      <c r="AK268" s="173"/>
      <c r="AL268" s="181" t="s">
        <v>69</v>
      </c>
      <c r="AM268" s="181" t="s">
        <v>248</v>
      </c>
      <c r="AN268" s="181" t="s">
        <v>1145</v>
      </c>
      <c r="AO268" s="181">
        <v>44752</v>
      </c>
      <c r="AP268" s="181">
        <v>44778</v>
      </c>
      <c r="AQ268" s="173"/>
      <c r="AR268" s="181">
        <f t="shared" ca="1" si="34"/>
        <v>44958</v>
      </c>
      <c r="AS268" s="176">
        <f t="shared" ca="1" si="35"/>
        <v>180</v>
      </c>
      <c r="AT268" s="176" t="str">
        <f t="shared" si="36"/>
        <v/>
      </c>
      <c r="AU268" s="176"/>
      <c r="AV268" s="176" t="s">
        <v>4987</v>
      </c>
      <c r="AW268" s="176">
        <v>10.005000000000001</v>
      </c>
      <c r="AX268" s="176">
        <f>AW268+0.04</f>
        <v>10.045</v>
      </c>
      <c r="AY268" s="173">
        <v>10.069999999999999</v>
      </c>
      <c r="AZ268" s="142">
        <v>10.074999999999999</v>
      </c>
      <c r="BA268" s="142">
        <f t="shared" ca="1" si="32"/>
        <v>109</v>
      </c>
      <c r="BB268" s="142">
        <v>445</v>
      </c>
      <c r="BD268" s="142" t="s">
        <v>123</v>
      </c>
    </row>
    <row r="269" spans="2:56" s="142" customFormat="1" ht="21" customHeight="1" x14ac:dyDescent="0.25">
      <c r="B269" s="173" t="str">
        <f t="shared" si="33"/>
        <v>0-J3/FH-0.91X620</v>
      </c>
      <c r="C269" s="201" t="s">
        <v>5408</v>
      </c>
      <c r="D269" s="173" t="s">
        <v>16</v>
      </c>
      <c r="E269" s="173" t="s">
        <v>875</v>
      </c>
      <c r="F269" s="201" t="s">
        <v>876</v>
      </c>
      <c r="G269" s="173" t="s">
        <v>34</v>
      </c>
      <c r="H269" s="173" t="s">
        <v>70</v>
      </c>
      <c r="I269" s="174">
        <v>2.4</v>
      </c>
      <c r="J269" s="174">
        <v>0.91</v>
      </c>
      <c r="K269" s="174"/>
      <c r="L269" s="174"/>
      <c r="M269" s="380">
        <v>620</v>
      </c>
      <c r="N269" s="176">
        <v>10.130000000000001</v>
      </c>
      <c r="O269" s="381">
        <v>9.86</v>
      </c>
      <c r="P269" s="382"/>
      <c r="Q269" s="176">
        <v>0.25</v>
      </c>
      <c r="R269" s="176"/>
      <c r="S269" s="176"/>
      <c r="T269" s="383"/>
      <c r="U269" s="380">
        <v>620</v>
      </c>
      <c r="V269" s="371" t="s">
        <v>114</v>
      </c>
      <c r="W269" s="384"/>
      <c r="X269" s="178" t="s">
        <v>361</v>
      </c>
      <c r="Y269" s="385" t="s">
        <v>5409</v>
      </c>
      <c r="Z269" s="385"/>
      <c r="AA269" s="177">
        <v>44888</v>
      </c>
      <c r="AB269" s="177"/>
      <c r="AC269" s="177"/>
      <c r="AD269" s="177">
        <v>44889</v>
      </c>
      <c r="AE269" s="177">
        <v>44956</v>
      </c>
      <c r="AF269" s="177">
        <v>44956</v>
      </c>
      <c r="AG269" s="177"/>
      <c r="AH269" s="177"/>
      <c r="AI269" s="180"/>
      <c r="AJ269" s="173"/>
      <c r="AK269" s="173"/>
      <c r="AL269" s="181" t="s">
        <v>69</v>
      </c>
      <c r="AM269" s="181" t="s">
        <v>119</v>
      </c>
      <c r="AN269" s="181" t="s">
        <v>856</v>
      </c>
      <c r="AO269" s="181">
        <v>44675</v>
      </c>
      <c r="AP269" s="181">
        <v>44699</v>
      </c>
      <c r="AQ269" s="173"/>
      <c r="AR269" s="181">
        <f t="shared" ca="1" si="34"/>
        <v>44958</v>
      </c>
      <c r="AS269" s="176">
        <f t="shared" ca="1" si="35"/>
        <v>259</v>
      </c>
      <c r="AT269" s="176">
        <f t="shared" ca="1" si="36"/>
        <v>2</v>
      </c>
      <c r="AU269" s="176" t="s">
        <v>877</v>
      </c>
      <c r="AV269" s="176" t="s">
        <v>814</v>
      </c>
      <c r="AW269" s="176">
        <v>10.130000000000001</v>
      </c>
      <c r="AX269" s="176">
        <v>10.15</v>
      </c>
      <c r="AY269" s="173">
        <v>10.174999999999999</v>
      </c>
      <c r="AZ269" s="142">
        <v>10.18</v>
      </c>
      <c r="BA269" s="142" t="str">
        <f t="shared" si="32"/>
        <v/>
      </c>
      <c r="BB269" s="142">
        <v>436</v>
      </c>
      <c r="BD269" s="142" t="s">
        <v>123</v>
      </c>
    </row>
    <row r="270" spans="2:56" s="142" customFormat="1" ht="21" customHeight="1" x14ac:dyDescent="0.25">
      <c r="B270" s="173" t="str">
        <f t="shared" si="33"/>
        <v>0-304L/2B-1.10X767</v>
      </c>
      <c r="C270" s="201" t="s">
        <v>5395</v>
      </c>
      <c r="D270" s="173" t="s">
        <v>4432</v>
      </c>
      <c r="E270" s="173" t="s">
        <v>5103</v>
      </c>
      <c r="F270" s="201" t="s">
        <v>5410</v>
      </c>
      <c r="G270" s="173" t="s">
        <v>182</v>
      </c>
      <c r="H270" s="173" t="s">
        <v>114</v>
      </c>
      <c r="I270" s="174">
        <v>2.89</v>
      </c>
      <c r="J270" s="174">
        <v>1.1000000000000001</v>
      </c>
      <c r="K270" s="174">
        <v>1.06</v>
      </c>
      <c r="L270" s="174">
        <v>1.1000000000000001</v>
      </c>
      <c r="M270" s="380">
        <v>767</v>
      </c>
      <c r="N270" s="176">
        <v>10.244999999999999</v>
      </c>
      <c r="O270" s="381">
        <f>5.14+5.08</f>
        <v>10.219999999999999</v>
      </c>
      <c r="P270" s="382"/>
      <c r="Q270" s="176">
        <v>8.5000000000000006E-2</v>
      </c>
      <c r="R270" s="176"/>
      <c r="S270" s="176"/>
      <c r="T270" s="383"/>
      <c r="U270" s="380">
        <v>760</v>
      </c>
      <c r="V270" s="371" t="s">
        <v>114</v>
      </c>
      <c r="W270" s="384" t="s">
        <v>4972</v>
      </c>
      <c r="X270" s="178" t="s">
        <v>4358</v>
      </c>
      <c r="Y270" s="385"/>
      <c r="Z270" s="385"/>
      <c r="AA270" s="177">
        <v>44900</v>
      </c>
      <c r="AB270" s="177"/>
      <c r="AC270" s="177">
        <v>44900</v>
      </c>
      <c r="AD270" s="177"/>
      <c r="AE270" s="177"/>
      <c r="AF270" s="177">
        <v>44956</v>
      </c>
      <c r="AG270" s="177"/>
      <c r="AH270" s="177"/>
      <c r="AI270" s="180"/>
      <c r="AJ270" s="173"/>
      <c r="AK270" s="173" t="s">
        <v>4789</v>
      </c>
      <c r="AL270" s="181" t="s">
        <v>69</v>
      </c>
      <c r="AM270" s="181" t="s">
        <v>142</v>
      </c>
      <c r="AN270" s="181" t="s">
        <v>1594</v>
      </c>
      <c r="AO270" s="181"/>
      <c r="AP270" s="181">
        <v>44849</v>
      </c>
      <c r="AQ270" s="173"/>
      <c r="AR270" s="181">
        <f t="shared" ca="1" si="34"/>
        <v>44958</v>
      </c>
      <c r="AS270" s="176">
        <f t="shared" ca="1" si="35"/>
        <v>109</v>
      </c>
      <c r="AT270" s="176" t="str">
        <f t="shared" si="36"/>
        <v/>
      </c>
      <c r="AU270" s="176"/>
      <c r="AV270" s="176" t="s">
        <v>5105</v>
      </c>
      <c r="AW270" s="176">
        <v>10.335000000000001</v>
      </c>
      <c r="AX270" s="176">
        <v>10.345000000000001</v>
      </c>
      <c r="AY270" s="173">
        <v>10.37</v>
      </c>
      <c r="AZ270" s="142">
        <v>10.375</v>
      </c>
      <c r="BA270" s="142">
        <f t="shared" ca="1" si="32"/>
        <v>58</v>
      </c>
      <c r="BB270" s="142">
        <v>456</v>
      </c>
      <c r="BD270" s="142" t="s">
        <v>123</v>
      </c>
    </row>
    <row r="271" spans="2:56" s="142" customFormat="1" ht="21" customHeight="1" x14ac:dyDescent="0.25">
      <c r="B271" s="173" t="str">
        <f t="shared" si="33"/>
        <v>0-J3/2B-0.73X620</v>
      </c>
      <c r="C271" s="201" t="s">
        <v>5395</v>
      </c>
      <c r="D271" s="173" t="s">
        <v>4432</v>
      </c>
      <c r="E271" s="173" t="s">
        <v>5106</v>
      </c>
      <c r="F271" s="201" t="s">
        <v>5411</v>
      </c>
      <c r="G271" s="173" t="s">
        <v>34</v>
      </c>
      <c r="H271" s="173" t="s">
        <v>114</v>
      </c>
      <c r="I271" s="174">
        <v>2.2000000000000002</v>
      </c>
      <c r="J271" s="174">
        <v>0.73</v>
      </c>
      <c r="K271" s="174">
        <v>0.71</v>
      </c>
      <c r="L271" s="174">
        <v>0.73</v>
      </c>
      <c r="M271" s="380">
        <v>620</v>
      </c>
      <c r="N271" s="176">
        <v>5.2</v>
      </c>
      <c r="O271" s="381">
        <v>5.2</v>
      </c>
      <c r="P271" s="382"/>
      <c r="Q271" s="176"/>
      <c r="R271" s="176"/>
      <c r="S271" s="176"/>
      <c r="T271" s="383"/>
      <c r="U271" s="380" t="s">
        <v>5124</v>
      </c>
      <c r="V271" s="371" t="s">
        <v>114</v>
      </c>
      <c r="W271" s="384" t="s">
        <v>5308</v>
      </c>
      <c r="X271" s="178" t="s">
        <v>361</v>
      </c>
      <c r="Y271" s="385"/>
      <c r="Z271" s="385"/>
      <c r="AA271" s="177">
        <v>44829</v>
      </c>
      <c r="AB271" s="177"/>
      <c r="AC271" s="177">
        <v>44832</v>
      </c>
      <c r="AD271" s="177"/>
      <c r="AE271" s="177"/>
      <c r="AF271" s="177">
        <v>44956</v>
      </c>
      <c r="AG271" s="177"/>
      <c r="AH271" s="177"/>
      <c r="AI271" s="180"/>
      <c r="AJ271" s="173"/>
      <c r="AK271" s="173"/>
      <c r="AL271" s="181" t="s">
        <v>69</v>
      </c>
      <c r="AM271" s="181" t="s">
        <v>248</v>
      </c>
      <c r="AN271" s="181" t="s">
        <v>1145</v>
      </c>
      <c r="AO271" s="181">
        <v>44752</v>
      </c>
      <c r="AP271" s="181">
        <v>44778</v>
      </c>
      <c r="AQ271" s="173"/>
      <c r="AR271" s="181">
        <f t="shared" ca="1" si="34"/>
        <v>44958</v>
      </c>
      <c r="AS271" s="176">
        <f t="shared" ca="1" si="35"/>
        <v>180</v>
      </c>
      <c r="AT271" s="176" t="str">
        <f t="shared" si="36"/>
        <v/>
      </c>
      <c r="AU271" s="176"/>
      <c r="AV271" s="176" t="s">
        <v>5108</v>
      </c>
      <c r="AW271" s="176">
        <v>10.028</v>
      </c>
      <c r="AX271" s="176">
        <f>AW271+0.04</f>
        <v>10.068</v>
      </c>
      <c r="AY271" s="173">
        <v>10.092999999999998</v>
      </c>
      <c r="AZ271" s="142">
        <v>10.097999999999999</v>
      </c>
      <c r="BA271" s="142">
        <f t="shared" ca="1" si="32"/>
        <v>126</v>
      </c>
      <c r="BB271" s="142">
        <v>445</v>
      </c>
      <c r="BD271" s="142" t="s">
        <v>123</v>
      </c>
    </row>
    <row r="272" spans="2:56" s="142" customFormat="1" ht="21" customHeight="1" x14ac:dyDescent="0.25">
      <c r="B272" s="173" t="str">
        <f>IF(C272="HOLD RM","HOLD RM",IF(C272="BAL","WIP",IF(C272="HOLD SLT","HOLD SLT",IF(C272="MILL","RM",IF(C272="RE SLT","WIP",IF(C272="RM","RM",IF(C272="RM BAL","RM",IF(C272="RM SLT","RM",IF(C272="RR","WIP",IF(C272="SKP","WIP",IF(C272="SLT","WIP",IF(C272="CTL","WIP",IF(C272="RM SLT RUST","RM SLT RUST",0)))))))))))))&amp;"-"&amp;G272&amp;"/"&amp;IF(H272="2B","2B",IF(H272="NO.1","1D",IF(H272="FH","FH",0)))&amp;"-"&amp;IF(J272="",(TEXT(I272,"0.00")),TEXT(J272,"0.00"))&amp;"X"&amp;M272</f>
        <v>0-J3/2B-0.73X620</v>
      </c>
      <c r="C272" s="201" t="s">
        <v>5412</v>
      </c>
      <c r="D272" s="173" t="s">
        <v>4432</v>
      </c>
      <c r="E272" s="173" t="s">
        <v>5106</v>
      </c>
      <c r="F272" s="201" t="s">
        <v>5413</v>
      </c>
      <c r="G272" s="173" t="s">
        <v>34</v>
      </c>
      <c r="H272" s="173" t="s">
        <v>114</v>
      </c>
      <c r="I272" s="174">
        <v>2.2000000000000002</v>
      </c>
      <c r="J272" s="174">
        <v>0.73</v>
      </c>
      <c r="K272" s="174">
        <v>0.71</v>
      </c>
      <c r="L272" s="174">
        <v>0.73</v>
      </c>
      <c r="M272" s="380">
        <v>620</v>
      </c>
      <c r="N272" s="176">
        <f>9.915-5.2</f>
        <v>4.714999999999999</v>
      </c>
      <c r="O272" s="381">
        <v>4.5549999999999997</v>
      </c>
      <c r="P272" s="382"/>
      <c r="Q272" s="176">
        <v>0.05</v>
      </c>
      <c r="R272" s="176">
        <v>0.01</v>
      </c>
      <c r="S272" s="176">
        <v>0.15</v>
      </c>
      <c r="T272" s="383"/>
      <c r="U272" s="380" t="s">
        <v>5124</v>
      </c>
      <c r="V272" s="371" t="s">
        <v>114</v>
      </c>
      <c r="W272" s="384" t="s">
        <v>5308</v>
      </c>
      <c r="X272" s="178" t="s">
        <v>361</v>
      </c>
      <c r="Y272" s="385"/>
      <c r="Z272" s="385"/>
      <c r="AA272" s="177">
        <v>44829</v>
      </c>
      <c r="AB272" s="177"/>
      <c r="AC272" s="177">
        <v>44832</v>
      </c>
      <c r="AD272" s="177"/>
      <c r="AE272" s="177"/>
      <c r="AF272" s="177">
        <v>44956</v>
      </c>
      <c r="AG272" s="177"/>
      <c r="AH272" s="177"/>
      <c r="AI272" s="180"/>
      <c r="AJ272" s="173"/>
      <c r="AK272" s="173"/>
      <c r="AL272" s="181" t="s">
        <v>69</v>
      </c>
      <c r="AM272" s="181" t="s">
        <v>248</v>
      </c>
      <c r="AN272" s="181" t="s">
        <v>1145</v>
      </c>
      <c r="AO272" s="181">
        <v>44752</v>
      </c>
      <c r="AP272" s="181">
        <v>44778</v>
      </c>
      <c r="AQ272" s="173"/>
      <c r="AR272" s="181">
        <f t="shared" ca="1" si="34"/>
        <v>44958</v>
      </c>
      <c r="AS272" s="176">
        <f t="shared" ca="1" si="35"/>
        <v>180</v>
      </c>
      <c r="AT272" s="176" t="str">
        <f t="shared" si="36"/>
        <v/>
      </c>
      <c r="AU272" s="176"/>
      <c r="AV272" s="176" t="s">
        <v>5108</v>
      </c>
      <c r="AW272" s="176">
        <v>10.028</v>
      </c>
      <c r="AX272" s="176">
        <f>AW272+0.04</f>
        <v>10.068</v>
      </c>
      <c r="AY272" s="173">
        <v>10.092999999999998</v>
      </c>
      <c r="AZ272" s="142">
        <v>10.097999999999999</v>
      </c>
      <c r="BA272" s="142" t="str">
        <f t="shared" ref="BA272:BA277" si="37">IF(ISNUMBER(AB272)=TRUE,AR272-AB272,IF(AB272="","",(AR272)-(MID(RIGHT(AB272,10),4,2)&amp;"/"&amp;LEFT((RIGHT(AB272,10)),2)&amp;"/"&amp;RIGHT(AB272,4))))</f>
        <v/>
      </c>
      <c r="BB272" s="142">
        <v>445</v>
      </c>
      <c r="BD272" s="142" t="s">
        <v>123</v>
      </c>
    </row>
    <row r="273" spans="1:57" s="142" customFormat="1" ht="21" customHeight="1" x14ac:dyDescent="0.25">
      <c r="B273" s="173" t="str">
        <f>IF(C273="HOLD RM","HOLD RM",IF(C273="BAL","WIP",IF(C273="HOLD SLT","HOLD SLT",IF(C273="MILL","RM",IF(C273="RE SLT","WIP",IF(C273="RM","RM",IF(C273="RM BAL","RM",IF(C273="RM SLT","RM",IF(C273="RR","WIP",IF(C273="SKP","WIP",IF(C273="SLT","WIP",IF(C273="CTL","WIP",IF(C273="RM SLT RUST","RM SLT RUST",0)))))))))))))&amp;"-"&amp;G273&amp;"/"&amp;IF(H273="2B","2B",IF(H273="NO.1","1D",IF(H273="FH","FH",0)))&amp;"-"&amp;IF(J273="",(TEXT(I273,"0.00")),TEXT(J273,"0.00"))&amp;"X"&amp;M273</f>
        <v>0-304L/2B-1.15X642</v>
      </c>
      <c r="C273" s="201" t="s">
        <v>5412</v>
      </c>
      <c r="D273" s="173" t="s">
        <v>4432</v>
      </c>
      <c r="E273" s="173" t="s">
        <v>4338</v>
      </c>
      <c r="F273" s="201" t="s">
        <v>5414</v>
      </c>
      <c r="G273" s="173" t="s">
        <v>182</v>
      </c>
      <c r="H273" s="173" t="s">
        <v>114</v>
      </c>
      <c r="I273" s="174">
        <v>2.89</v>
      </c>
      <c r="J273" s="174">
        <v>1.1499999999999999</v>
      </c>
      <c r="K273" s="174">
        <v>1.1100000000000001</v>
      </c>
      <c r="L273" s="174">
        <v>1.1399999999999999</v>
      </c>
      <c r="M273" s="380">
        <v>642</v>
      </c>
      <c r="N273" s="176">
        <f>10.71-5.375</f>
        <v>5.3350000000000009</v>
      </c>
      <c r="O273" s="381">
        <v>5.29</v>
      </c>
      <c r="P273" s="382"/>
      <c r="Q273" s="176">
        <v>3.5000000000000003E-2</v>
      </c>
      <c r="R273" s="176"/>
      <c r="S273" s="176"/>
      <c r="T273" s="383"/>
      <c r="U273" s="380">
        <v>635</v>
      </c>
      <c r="V273" s="371" t="s">
        <v>114</v>
      </c>
      <c r="W273" s="384"/>
      <c r="X273" s="178" t="s">
        <v>115</v>
      </c>
      <c r="Y273" s="385" t="s">
        <v>1592</v>
      </c>
      <c r="Z273" s="385"/>
      <c r="AA273" s="177"/>
      <c r="AB273" s="177">
        <v>44951</v>
      </c>
      <c r="AC273" s="177"/>
      <c r="AD273" s="177">
        <v>44952</v>
      </c>
      <c r="AE273" s="177">
        <v>44956</v>
      </c>
      <c r="AF273" s="177"/>
      <c r="AG273" s="177"/>
      <c r="AH273" s="177"/>
      <c r="AI273" s="180"/>
      <c r="AJ273" s="173"/>
      <c r="AK273" s="173" t="s">
        <v>1643</v>
      </c>
      <c r="AL273" s="181" t="s">
        <v>69</v>
      </c>
      <c r="AM273" s="181" t="s">
        <v>142</v>
      </c>
      <c r="AN273" s="181" t="s">
        <v>1594</v>
      </c>
      <c r="AO273" s="181"/>
      <c r="AP273" s="181">
        <v>44849</v>
      </c>
      <c r="AQ273" s="173"/>
      <c r="AR273" s="181">
        <f t="shared" ca="1" si="34"/>
        <v>44958</v>
      </c>
      <c r="AS273" s="176">
        <f t="shared" ca="1" si="35"/>
        <v>109</v>
      </c>
      <c r="AT273" s="176">
        <f t="shared" ca="1" si="36"/>
        <v>2</v>
      </c>
      <c r="AU273" s="176"/>
      <c r="AV273" s="176" t="s">
        <v>1640</v>
      </c>
      <c r="AW273" s="176">
        <v>10.755000000000001</v>
      </c>
      <c r="AX273" s="176">
        <v>10.765000000000001</v>
      </c>
      <c r="AY273" s="173">
        <v>10.79</v>
      </c>
      <c r="AZ273" s="142">
        <v>10.795</v>
      </c>
      <c r="BA273" s="142">
        <f t="shared" ca="1" si="37"/>
        <v>7</v>
      </c>
      <c r="BB273" s="142">
        <v>456</v>
      </c>
      <c r="BD273" s="142" t="s">
        <v>123</v>
      </c>
    </row>
    <row r="274" spans="1:57" s="142" customFormat="1" ht="21" customHeight="1" x14ac:dyDescent="0.25">
      <c r="B274" s="173" t="str">
        <f>IF(C274="HOLD RM","HOLD RM",IF(C274="BAL","WIP",IF(C274="HOLD SLT","HOLD SLT",IF(C274="MILL","RM",IF(C274="RE SLT","WIP",IF(C274="RM","RM",IF(C274="RM BAL","RM",IF(C274="RM SLT","RM",IF(C274="RR","WIP",IF(C274="SKP","WIP",IF(C274="SLT","WIP",IF(C274="CTL","WIP",0))))))))))))&amp;"-"&amp;G274&amp;"/"&amp;IF(H274="2B","2B",IF(H274="NO.1","1D",IF(H274="FH","FH",IF(H274="BA","BA",0)))&amp;"-"&amp;IF(J274="",(TEXT(I274,"0.00")),TEXT(J274,"0.00"))&amp;"X"&amp;M274)</f>
        <v>0-J3/FH-0.45X620</v>
      </c>
      <c r="C274" s="201" t="s">
        <v>5415</v>
      </c>
      <c r="D274" s="173" t="s">
        <v>16</v>
      </c>
      <c r="E274" s="173" t="s">
        <v>545</v>
      </c>
      <c r="F274" s="201" t="s">
        <v>546</v>
      </c>
      <c r="G274" s="173" t="s">
        <v>34</v>
      </c>
      <c r="H274" s="173" t="s">
        <v>70</v>
      </c>
      <c r="I274" s="174">
        <v>0.72</v>
      </c>
      <c r="J274" s="174">
        <v>0.45</v>
      </c>
      <c r="K274" s="174"/>
      <c r="L274" s="174"/>
      <c r="M274" s="380">
        <v>620</v>
      </c>
      <c r="N274" s="176">
        <v>9.9770000000000003</v>
      </c>
      <c r="O274" s="381">
        <v>9.9770000000000003</v>
      </c>
      <c r="P274" s="382"/>
      <c r="Q274" s="176">
        <v>0.05</v>
      </c>
      <c r="R274" s="176"/>
      <c r="S274" s="176"/>
      <c r="T274" s="383"/>
      <c r="U274" s="380">
        <v>620</v>
      </c>
      <c r="V274" s="371" t="s">
        <v>114</v>
      </c>
      <c r="W274" s="384"/>
      <c r="X274" s="178" t="s">
        <v>294</v>
      </c>
      <c r="Y274" s="385"/>
      <c r="Z274" s="385"/>
      <c r="AA274" s="177"/>
      <c r="AB274" s="177"/>
      <c r="AC274" s="177"/>
      <c r="AD274" s="177">
        <v>44864</v>
      </c>
      <c r="AE274" s="177"/>
      <c r="AF274" s="177">
        <v>44957</v>
      </c>
      <c r="AG274" s="177"/>
      <c r="AH274" s="177"/>
      <c r="AI274" s="180"/>
      <c r="AJ274" s="173"/>
      <c r="AK274" s="173"/>
      <c r="AL274" s="181" t="s">
        <v>114</v>
      </c>
      <c r="AM274" s="181" t="s">
        <v>248</v>
      </c>
      <c r="AN274" s="181"/>
      <c r="AO274" s="181"/>
      <c r="AP274" s="181">
        <v>44417</v>
      </c>
      <c r="AQ274" s="173"/>
      <c r="AR274" s="181">
        <f t="shared" ca="1" si="34"/>
        <v>44958</v>
      </c>
      <c r="AS274" s="176">
        <f t="shared" ca="1" si="35"/>
        <v>541</v>
      </c>
      <c r="AT274" s="176" t="str">
        <f t="shared" si="36"/>
        <v/>
      </c>
      <c r="AU274" s="176" t="s">
        <v>547</v>
      </c>
      <c r="AV274" s="176" t="s">
        <v>540</v>
      </c>
      <c r="AW274" s="176">
        <v>9.9770000000000003</v>
      </c>
      <c r="AX274" s="176">
        <v>10.016999999999999</v>
      </c>
      <c r="AY274" s="173">
        <v>10.041999999999998</v>
      </c>
      <c r="AZ274" s="142">
        <v>10.046999999999999</v>
      </c>
      <c r="BA274" s="142" t="str">
        <f t="shared" si="37"/>
        <v/>
      </c>
      <c r="BB274" s="142">
        <v>414</v>
      </c>
      <c r="BD274" s="142" t="s">
        <v>123</v>
      </c>
    </row>
    <row r="275" spans="1:57" s="142" customFormat="1" ht="21" customHeight="1" x14ac:dyDescent="0.25">
      <c r="B275" s="173" t="str">
        <f>IF(C275="HOLD RM","HOLD RM",IF(C275="BAL","WIP",IF(C275="HOLD SLT","HOLD SLT",IF(C275="MILL","RM",IF(C275="RE SLT","WIP",IF(C275="RM","RM",IF(C275="RM BAL","RM",IF(C275="RM SLT","RM",IF(C275="RR","WIP",IF(C275="SKP","WIP",IF(C275="SLT","WIP",IF(C275="CTL","WIP",IF(C275="RM SLT RUST","RM SLT RUST",0)))))))))))))&amp;"-"&amp;G275&amp;"/"&amp;IF(H275="2B","2B",IF(H275="NO.1","1D",IF(H275="FH","FH",0)))&amp;"-"&amp;IF(J275="",(TEXT(I275,"0.00")),TEXT(J275,"0.00"))&amp;"X"&amp;M275</f>
        <v>0-304/2B-1.95X635</v>
      </c>
      <c r="C275" s="201" t="s">
        <v>5412</v>
      </c>
      <c r="D275" s="173" t="s">
        <v>4432</v>
      </c>
      <c r="E275" s="173" t="s">
        <v>1641</v>
      </c>
      <c r="F275" s="201" t="s">
        <v>5416</v>
      </c>
      <c r="G275" s="173">
        <v>304</v>
      </c>
      <c r="H275" s="173" t="s">
        <v>114</v>
      </c>
      <c r="I275" s="174">
        <v>3.9</v>
      </c>
      <c r="J275" s="174">
        <v>1.95</v>
      </c>
      <c r="K275" s="174">
        <v>1.91</v>
      </c>
      <c r="L275" s="174">
        <v>1.94</v>
      </c>
      <c r="M275" s="380">
        <v>635</v>
      </c>
      <c r="N275" s="176">
        <f>10.415-5.425</f>
        <v>4.9899999999999993</v>
      </c>
      <c r="O275" s="381">
        <v>4.9249999999999998</v>
      </c>
      <c r="P275" s="382"/>
      <c r="Q275" s="176"/>
      <c r="R275" s="176"/>
      <c r="S275" s="176">
        <v>6.5000000000000002E-2</v>
      </c>
      <c r="T275" s="383"/>
      <c r="U275" s="380" t="s">
        <v>5124</v>
      </c>
      <c r="V275" s="371" t="s">
        <v>114</v>
      </c>
      <c r="W275" s="384" t="s">
        <v>5202</v>
      </c>
      <c r="X275" s="178" t="s">
        <v>361</v>
      </c>
      <c r="Y275" s="385"/>
      <c r="Z275" s="385"/>
      <c r="AA275" s="177">
        <v>44951</v>
      </c>
      <c r="AB275" s="177"/>
      <c r="AC275" s="177">
        <v>44951</v>
      </c>
      <c r="AD275" s="177"/>
      <c r="AE275" s="177">
        <v>44956</v>
      </c>
      <c r="AF275" s="177"/>
      <c r="AG275" s="177"/>
      <c r="AH275" s="177"/>
      <c r="AI275" s="180"/>
      <c r="AJ275" s="173"/>
      <c r="AK275" s="173" t="s">
        <v>1643</v>
      </c>
      <c r="AL275" s="181" t="s">
        <v>69</v>
      </c>
      <c r="AM275" s="181" t="s">
        <v>142</v>
      </c>
      <c r="AN275" s="181" t="s">
        <v>1594</v>
      </c>
      <c r="AO275" s="181"/>
      <c r="AP275" s="181">
        <v>44849</v>
      </c>
      <c r="AQ275" s="173"/>
      <c r="AR275" s="181">
        <f t="shared" ca="1" si="34"/>
        <v>44958</v>
      </c>
      <c r="AS275" s="176">
        <f t="shared" ca="1" si="35"/>
        <v>109</v>
      </c>
      <c r="AT275" s="176">
        <f t="shared" ca="1" si="36"/>
        <v>2</v>
      </c>
      <c r="AU275" s="176"/>
      <c r="AV275" s="176" t="s">
        <v>1644</v>
      </c>
      <c r="AW275" s="176">
        <v>10.52</v>
      </c>
      <c r="AX275" s="176">
        <v>10.53</v>
      </c>
      <c r="AY275" s="173">
        <v>10.554999999999998</v>
      </c>
      <c r="AZ275" s="142">
        <v>10.559999999999999</v>
      </c>
      <c r="BA275" s="142" t="str">
        <f t="shared" si="37"/>
        <v/>
      </c>
      <c r="BB275" s="142">
        <v>456</v>
      </c>
      <c r="BD275" s="142" t="s">
        <v>123</v>
      </c>
    </row>
    <row r="276" spans="1:57" s="142" customFormat="1" ht="21" customHeight="1" x14ac:dyDescent="0.25">
      <c r="B276" s="173" t="str">
        <f>IF(C276="HOLD RM","HOLD RM",IF(C276="BAL","WIP",IF(C276="HOLD SLT","HOLD SLT",IF(C276="MILL","RM",IF(C276="RE SLT","WIP",IF(C276="RM","RM",IF(C276="RM BAL","RM",IF(C276="RM SLT","RM",IF(C276="RR","WIP",IF(C276="SKP","WIP",IF(C276="SLT","WIP",IF(C276="CTL","WIP",IF(C276="RM SLT RUST","RM SLT RUST",0)))))))))))))&amp;"-"&amp;G276&amp;"/"&amp;IF(H276="2B","2B",IF(H276="NO.1","1D",IF(H276="FH","FH",0)))&amp;"-"&amp;IF(J276="",(TEXT(I276,"0.00")),TEXT(J276,"0.00"))&amp;"X"&amp;M276</f>
        <v>0-304L/2B-0.90X643</v>
      </c>
      <c r="C276" s="201" t="s">
        <v>5417</v>
      </c>
      <c r="D276" s="173" t="s">
        <v>836</v>
      </c>
      <c r="E276" s="173" t="s">
        <v>4291</v>
      </c>
      <c r="F276" s="201" t="s">
        <v>4292</v>
      </c>
      <c r="G276" s="173" t="s">
        <v>182</v>
      </c>
      <c r="H276" s="173" t="s">
        <v>114</v>
      </c>
      <c r="I276" s="174">
        <v>2.87</v>
      </c>
      <c r="J276" s="174">
        <v>0.9</v>
      </c>
      <c r="K276" s="174">
        <v>0.87</v>
      </c>
      <c r="L276" s="174">
        <v>0.9</v>
      </c>
      <c r="M276" s="380">
        <v>643</v>
      </c>
      <c r="N276" s="176">
        <v>10.705</v>
      </c>
      <c r="O276" s="381">
        <v>10.705</v>
      </c>
      <c r="P276" s="382"/>
      <c r="Q276" s="176"/>
      <c r="R276" s="176"/>
      <c r="S276" s="176"/>
      <c r="T276" s="383"/>
      <c r="U276" s="380">
        <v>643</v>
      </c>
      <c r="V276" s="371" t="s">
        <v>114</v>
      </c>
      <c r="W276" s="384"/>
      <c r="X276" s="178" t="s">
        <v>1210</v>
      </c>
      <c r="Y276" s="385"/>
      <c r="Z276" s="385"/>
      <c r="AA276" s="177">
        <v>44954</v>
      </c>
      <c r="AB276" s="177"/>
      <c r="AC276" s="177">
        <v>44954</v>
      </c>
      <c r="AD276" s="177"/>
      <c r="AE276" s="177"/>
      <c r="AF276" s="177">
        <v>44957</v>
      </c>
      <c r="AG276" s="177">
        <v>44957</v>
      </c>
      <c r="AH276" s="177"/>
      <c r="AI276" s="180"/>
      <c r="AJ276" s="173"/>
      <c r="AK276" s="173" t="s">
        <v>1593</v>
      </c>
      <c r="AL276" s="181" t="s">
        <v>69</v>
      </c>
      <c r="AM276" s="181" t="s">
        <v>142</v>
      </c>
      <c r="AN276" s="181" t="s">
        <v>1594</v>
      </c>
      <c r="AO276" s="181"/>
      <c r="AP276" s="181">
        <v>44849</v>
      </c>
      <c r="AQ276" s="173"/>
      <c r="AR276" s="181">
        <f t="shared" ca="1" si="34"/>
        <v>44958</v>
      </c>
      <c r="AS276" s="176">
        <f t="shared" ca="1" si="35"/>
        <v>109</v>
      </c>
      <c r="AT276" s="176" t="str">
        <f t="shared" si="36"/>
        <v/>
      </c>
      <c r="AU276" s="176"/>
      <c r="AV276" s="176" t="s">
        <v>1628</v>
      </c>
      <c r="AW276" s="176">
        <v>10.74</v>
      </c>
      <c r="AX276" s="176">
        <v>10.75</v>
      </c>
      <c r="AY276" s="173">
        <v>10.774999999999999</v>
      </c>
      <c r="AZ276" s="142">
        <v>10.78</v>
      </c>
      <c r="BA276" s="142" t="str">
        <f t="shared" si="37"/>
        <v/>
      </c>
      <c r="BB276" s="142">
        <v>456</v>
      </c>
      <c r="BD276" s="142" t="s">
        <v>123</v>
      </c>
    </row>
    <row r="277" spans="1:57" s="142" customFormat="1" ht="21" customHeight="1" x14ac:dyDescent="0.25">
      <c r="B277" s="173" t="str">
        <f>IF(C277="HOLD RM","HOLD RM",IF(C277="BAL","WIP",IF(C277="HOLD SLT","HOLD SLT",IF(C277="MILL","RM",IF(C277="RE SLT","WIP",IF(C277="RM","RM",IF(C277="RM BAL","RM",IF(C277="RM SLT","RM",IF(C277="RR","WIP",IF(C277="SKP","WIP",IF(C277="SLT","WIP",IF(C277="CTL","WIP",IF(C277="RM SLT RUST","RM SLT RUST",0)))))))))))))&amp;"-"&amp;G277&amp;"/"&amp;IF(H277="2B","2B",IF(H277="NO.1","1D",IF(H277="FH","FH",0)))&amp;"-"&amp;IF(J277="",(TEXT(I277,"0.00")),TEXT(J277,"0.00"))&amp;"X"&amp;M277</f>
        <v>0-304/2B-1.10X767</v>
      </c>
      <c r="C277" s="201" t="s">
        <v>5412</v>
      </c>
      <c r="D277" s="173" t="s">
        <v>4432</v>
      </c>
      <c r="E277" s="173" t="s">
        <v>4976</v>
      </c>
      <c r="F277" s="201" t="s">
        <v>4980</v>
      </c>
      <c r="G277" s="173">
        <v>304</v>
      </c>
      <c r="H277" s="173" t="s">
        <v>114</v>
      </c>
      <c r="I277" s="174">
        <v>2.89</v>
      </c>
      <c r="J277" s="174">
        <v>1.1000000000000001</v>
      </c>
      <c r="K277" s="174">
        <v>1.0900000000000001</v>
      </c>
      <c r="L277" s="174">
        <v>1.1000000000000001</v>
      </c>
      <c r="M277" s="380">
        <v>767</v>
      </c>
      <c r="N277" s="176">
        <v>5.26</v>
      </c>
      <c r="O277" s="381">
        <v>5.2450000000000001</v>
      </c>
      <c r="P277" s="382"/>
      <c r="Q277" s="176"/>
      <c r="R277" s="176">
        <v>1.4999999999999999E-2</v>
      </c>
      <c r="S277" s="176"/>
      <c r="T277" s="383"/>
      <c r="U277" s="380">
        <v>760</v>
      </c>
      <c r="V277" s="371" t="s">
        <v>114</v>
      </c>
      <c r="W277" s="384" t="s">
        <v>4972</v>
      </c>
      <c r="X277" s="178" t="s">
        <v>4358</v>
      </c>
      <c r="Y277" s="385"/>
      <c r="Z277" s="385"/>
      <c r="AA277" s="177">
        <v>44900</v>
      </c>
      <c r="AB277" s="177"/>
      <c r="AC277" s="177">
        <v>44900</v>
      </c>
      <c r="AD277" s="177"/>
      <c r="AE277" s="177">
        <v>44957</v>
      </c>
      <c r="AF277" s="177"/>
      <c r="AG277" s="177"/>
      <c r="AH277" s="177"/>
      <c r="AI277" s="180"/>
      <c r="AJ277" s="173"/>
      <c r="AK277" s="173" t="s">
        <v>1609</v>
      </c>
      <c r="AL277" s="181" t="s">
        <v>69</v>
      </c>
      <c r="AM277" s="181" t="s">
        <v>142</v>
      </c>
      <c r="AN277" s="181" t="s">
        <v>1653</v>
      </c>
      <c r="AO277" s="181"/>
      <c r="AP277" s="181">
        <v>44880</v>
      </c>
      <c r="AQ277" s="173"/>
      <c r="AR277" s="181">
        <f t="shared" ca="1" si="34"/>
        <v>44958</v>
      </c>
      <c r="AS277" s="176">
        <f t="shared" ca="1" si="35"/>
        <v>78</v>
      </c>
      <c r="AT277" s="176">
        <f t="shared" ca="1" si="36"/>
        <v>1</v>
      </c>
      <c r="AU277" s="176"/>
      <c r="AV277" s="176" t="s">
        <v>4978</v>
      </c>
      <c r="AW277" s="176">
        <v>10.48</v>
      </c>
      <c r="AX277" s="176">
        <v>10.49</v>
      </c>
      <c r="AY277" s="173">
        <v>10.514999999999999</v>
      </c>
      <c r="AZ277" s="142">
        <v>10.52</v>
      </c>
      <c r="BA277" s="142" t="str">
        <f t="shared" si="37"/>
        <v/>
      </c>
      <c r="BB277" s="142">
        <v>459</v>
      </c>
      <c r="BD277" s="142" t="s">
        <v>123</v>
      </c>
    </row>
    <row r="278" spans="1:57" s="142" customFormat="1" ht="21" customHeight="1" x14ac:dyDescent="0.25">
      <c r="B278" s="173" t="str">
        <f t="shared" ref="B278:B279" si="38">IF(C278="HOLD RM","HOLD RM",IF(C278="BAL","WIP",IF(C278="HOLD SLT","HOLD SLT",IF(C278="MILL","RM",IF(C278="RE SLT","WIP",IF(C278="RM","RM",IF(C278="RM BAL","RM",IF(C278="RM SLT","RM",IF(C278="RR","WIP",IF(C278="SKP","WIP",IF(C278="SLT","WIP",IF(C278="CTL","WIP",IF(C278="RM SLT RUST","RM SLT RUST",0)))))))))))))&amp;"-"&amp;G278&amp;"/"&amp;IF(H278="2B","2B",IF(H278="NO.1","1D",IF(H278="FH","FH",0)))&amp;"-"&amp;IF(J278="",(TEXT(I278,"0.00")),TEXT(J278,"0.00"))&amp;"X"&amp;M278</f>
        <v>0-J3/2B-0.45X158.8</v>
      </c>
      <c r="C278" s="201" t="s">
        <v>5412</v>
      </c>
      <c r="D278" s="173" t="s">
        <v>4432</v>
      </c>
      <c r="E278" s="173" t="s">
        <v>4664</v>
      </c>
      <c r="F278" s="201" t="s">
        <v>5418</v>
      </c>
      <c r="G278" s="173" t="s">
        <v>34</v>
      </c>
      <c r="H278" s="173" t="s">
        <v>114</v>
      </c>
      <c r="I278" s="174">
        <v>0.75</v>
      </c>
      <c r="J278" s="174">
        <v>0.45</v>
      </c>
      <c r="K278" s="174">
        <v>0.43</v>
      </c>
      <c r="L278" s="174">
        <v>0.45</v>
      </c>
      <c r="M278" s="380">
        <v>158.80000000000001</v>
      </c>
      <c r="N278" s="176">
        <v>1.145</v>
      </c>
      <c r="O278" s="381">
        <v>1.145</v>
      </c>
      <c r="P278" s="382"/>
      <c r="Q278" s="176"/>
      <c r="R278" s="176"/>
      <c r="S278" s="176"/>
      <c r="T278" s="383"/>
      <c r="U278" s="380" t="s">
        <v>5124</v>
      </c>
      <c r="V278" s="371" t="s">
        <v>114</v>
      </c>
      <c r="W278" s="384"/>
      <c r="X278" s="206" t="s">
        <v>5148</v>
      </c>
      <c r="Y278" s="206" t="s">
        <v>5149</v>
      </c>
      <c r="Z278" s="385"/>
      <c r="AA278" s="177" t="s">
        <v>4666</v>
      </c>
      <c r="AB278" s="177"/>
      <c r="AC278" s="177">
        <v>44747</v>
      </c>
      <c r="AD278" s="177">
        <v>44910</v>
      </c>
      <c r="AE278" s="177" t="s">
        <v>4667</v>
      </c>
      <c r="AF278" s="177"/>
      <c r="AG278" s="177">
        <v>44904</v>
      </c>
      <c r="AH278" s="177"/>
      <c r="AI278" s="180"/>
      <c r="AJ278" s="173"/>
      <c r="AK278" s="173"/>
      <c r="AL278" s="181" t="s">
        <v>69</v>
      </c>
      <c r="AM278" s="181" t="s">
        <v>248</v>
      </c>
      <c r="AN278" s="181" t="s">
        <v>924</v>
      </c>
      <c r="AO278" s="181">
        <v>44697</v>
      </c>
      <c r="AP278" s="181">
        <v>44721</v>
      </c>
      <c r="AQ278" s="173"/>
      <c r="AR278" s="181">
        <f t="shared" ca="1" si="34"/>
        <v>44958</v>
      </c>
      <c r="AS278" s="176">
        <f t="shared" ca="1" si="35"/>
        <v>237</v>
      </c>
      <c r="AT278" s="176">
        <f t="shared" ca="1" si="36"/>
        <v>21</v>
      </c>
      <c r="AU278" s="176" t="s">
        <v>4668</v>
      </c>
      <c r="AV278" s="176" t="s">
        <v>4669</v>
      </c>
      <c r="AW278" s="176">
        <v>10.002000000000001</v>
      </c>
      <c r="AX278" s="176">
        <v>10.042</v>
      </c>
      <c r="AY278" s="173">
        <v>10.066999999999998</v>
      </c>
      <c r="AZ278" s="142">
        <v>10.071999999999999</v>
      </c>
      <c r="BA278" s="142">
        <f ca="1">IF(ISNUMBER(AC278)=TRUE,AR278-AC278,IF(AC278="","",(AR278)-(MID(RIGHT(AC278,10),4,2)&amp;"/"&amp;LEFT((RIGHT(AC278,10)),2)&amp;"/"&amp;RIGHT(AC278,4))))</f>
        <v>211</v>
      </c>
      <c r="BB278" s="142">
        <v>440</v>
      </c>
      <c r="BD278" s="142" t="s">
        <v>123</v>
      </c>
    </row>
    <row r="279" spans="1:57" s="142" customFormat="1" ht="21" customHeight="1" x14ac:dyDescent="0.25">
      <c r="B279" s="173" t="str">
        <f t="shared" si="38"/>
        <v>0-J3/2B-0.45X158.8</v>
      </c>
      <c r="C279" s="201" t="s">
        <v>5412</v>
      </c>
      <c r="D279" s="173" t="s">
        <v>4432</v>
      </c>
      <c r="E279" s="173" t="s">
        <v>4664</v>
      </c>
      <c r="F279" s="201" t="s">
        <v>5419</v>
      </c>
      <c r="G279" s="173" t="s">
        <v>34</v>
      </c>
      <c r="H279" s="173" t="s">
        <v>114</v>
      </c>
      <c r="I279" s="174">
        <v>0.75</v>
      </c>
      <c r="J279" s="174">
        <v>0.45</v>
      </c>
      <c r="K279" s="174">
        <v>0.43</v>
      </c>
      <c r="L279" s="174">
        <v>0.45</v>
      </c>
      <c r="M279" s="380">
        <v>158.80000000000001</v>
      </c>
      <c r="N279" s="176">
        <v>1.145</v>
      </c>
      <c r="O279" s="381">
        <v>1.145</v>
      </c>
      <c r="P279" s="382"/>
      <c r="Q279" s="176"/>
      <c r="R279" s="176"/>
      <c r="S279" s="176"/>
      <c r="T279" s="383"/>
      <c r="U279" s="380" t="s">
        <v>5124</v>
      </c>
      <c r="V279" s="371" t="s">
        <v>114</v>
      </c>
      <c r="W279" s="384"/>
      <c r="X279" s="206" t="s">
        <v>5148</v>
      </c>
      <c r="Y279" s="206" t="s">
        <v>5149</v>
      </c>
      <c r="Z279" s="385"/>
      <c r="AA279" s="177" t="s">
        <v>4666</v>
      </c>
      <c r="AB279" s="177"/>
      <c r="AC279" s="177">
        <v>44747</v>
      </c>
      <c r="AD279" s="177">
        <v>44910</v>
      </c>
      <c r="AE279" s="177" t="s">
        <v>4667</v>
      </c>
      <c r="AF279" s="177"/>
      <c r="AG279" s="177">
        <v>44904</v>
      </c>
      <c r="AH279" s="177"/>
      <c r="AI279" s="180"/>
      <c r="AJ279" s="173"/>
      <c r="AK279" s="173"/>
      <c r="AL279" s="181" t="s">
        <v>69</v>
      </c>
      <c r="AM279" s="181" t="s">
        <v>248</v>
      </c>
      <c r="AN279" s="181" t="s">
        <v>924</v>
      </c>
      <c r="AO279" s="181">
        <v>44697</v>
      </c>
      <c r="AP279" s="181">
        <v>44721</v>
      </c>
      <c r="AQ279" s="173"/>
      <c r="AR279" s="181">
        <f t="shared" ca="1" si="34"/>
        <v>44958</v>
      </c>
      <c r="AS279" s="176">
        <f t="shared" ca="1" si="35"/>
        <v>237</v>
      </c>
      <c r="AT279" s="176">
        <f t="shared" ca="1" si="36"/>
        <v>21</v>
      </c>
      <c r="AU279" s="176" t="s">
        <v>4668</v>
      </c>
      <c r="AV279" s="176" t="s">
        <v>4669</v>
      </c>
      <c r="AW279" s="176">
        <v>10.002000000000001</v>
      </c>
      <c r="AX279" s="176">
        <v>10.042</v>
      </c>
      <c r="AY279" s="173">
        <v>10.066999999999998</v>
      </c>
      <c r="AZ279" s="142">
        <v>10.071999999999999</v>
      </c>
      <c r="BA279" s="142">
        <f ca="1">IF(ISNUMBER(AC279)=TRUE,AR279-AC279,IF(AC279="","",(AR279)-(MID(RIGHT(AC279,10),4,2)&amp;"/"&amp;LEFT((RIGHT(AC279,10)),2)&amp;"/"&amp;RIGHT(AC279,4))))</f>
        <v>211</v>
      </c>
      <c r="BB279" s="142">
        <v>440</v>
      </c>
      <c r="BD279" s="142" t="s">
        <v>123</v>
      </c>
    </row>
    <row r="280" spans="1:57" s="142" customFormat="1" ht="21" customHeight="1" x14ac:dyDescent="0.25">
      <c r="B280" s="173" t="str">
        <f>IF(C280="HOLD RM","HOLD RM",IF(C280="BAL","WIP",IF(C280="HOLD SLT","HOLD SLT",IF(C280="MILL","RM",IF(C280="RE SLT","WIP",IF(C280="RM","RM",IF(C280="RM BAL","RM",IF(C280="RM SLT","RM",IF(C280="RR","WIP",IF(C280="SKP","WIP",IF(C280="SLT","WIP",IF(C280="CTL","WIP",IF(C280="RM SLT RUST","RM SLT RUST",0)))))))))))))&amp;"-"&amp;G280&amp;"/"&amp;IF(H280="2B","2B",IF(H280="NO.1","1D",IF(H280="FH","FH",0)))&amp;"-"&amp;IF(J280="",(TEXT(I280,"0.00")),TEXT(J280,"0.00"))&amp;"X"&amp;M280</f>
        <v>0-J3/2B-0.91X620</v>
      </c>
      <c r="C280" s="201" t="s">
        <v>5412</v>
      </c>
      <c r="D280" s="173" t="s">
        <v>4432</v>
      </c>
      <c r="E280" s="173" t="s">
        <v>5109</v>
      </c>
      <c r="F280" s="201" t="s">
        <v>5420</v>
      </c>
      <c r="G280" s="173" t="s">
        <v>34</v>
      </c>
      <c r="H280" s="173" t="s">
        <v>114</v>
      </c>
      <c r="I280" s="174">
        <v>2.4</v>
      </c>
      <c r="J280" s="174">
        <v>0.91</v>
      </c>
      <c r="K280" s="174">
        <v>0.88</v>
      </c>
      <c r="L280" s="174">
        <v>0.91</v>
      </c>
      <c r="M280" s="380">
        <v>620</v>
      </c>
      <c r="N280" s="176">
        <v>9.8699999999999992</v>
      </c>
      <c r="O280" s="381">
        <f>4.775+4.805</f>
        <v>9.58</v>
      </c>
      <c r="P280" s="382"/>
      <c r="Q280" s="176">
        <v>0.03</v>
      </c>
      <c r="R280" s="176"/>
      <c r="S280" s="176"/>
      <c r="T280" s="383"/>
      <c r="U280" s="380" t="s">
        <v>5124</v>
      </c>
      <c r="V280" s="371" t="s">
        <v>114</v>
      </c>
      <c r="W280" s="384" t="s">
        <v>5308</v>
      </c>
      <c r="X280" s="206" t="s">
        <v>361</v>
      </c>
      <c r="Y280" s="206"/>
      <c r="Z280" s="385"/>
      <c r="AA280" s="177">
        <v>44887</v>
      </c>
      <c r="AB280" s="177"/>
      <c r="AC280" s="177"/>
      <c r="AD280" s="177">
        <v>44888</v>
      </c>
      <c r="AE280" s="177"/>
      <c r="AF280" s="177">
        <v>44956</v>
      </c>
      <c r="AG280" s="177"/>
      <c r="AH280" s="177"/>
      <c r="AI280" s="180"/>
      <c r="AJ280" s="173"/>
      <c r="AK280" s="173"/>
      <c r="AL280" s="181" t="s">
        <v>69</v>
      </c>
      <c r="AM280" s="181" t="s">
        <v>119</v>
      </c>
      <c r="AN280" s="181" t="s">
        <v>2387</v>
      </c>
      <c r="AO280" s="181">
        <v>44848</v>
      </c>
      <c r="AP280" s="181">
        <v>44880</v>
      </c>
      <c r="AQ280" s="173"/>
      <c r="AR280" s="181">
        <f ca="1">TODAY()</f>
        <v>44958</v>
      </c>
      <c r="AS280" s="176">
        <f ca="1">IF(AP280&lt;&gt;0,AR280-AP280,0)</f>
        <v>78</v>
      </c>
      <c r="AT280" s="176" t="str">
        <f>IF(ISNUMBER(AE280)=TRUE,AR280-AE280,IF(AE280="","",(AR280)-(MID(RIGHT(AE280,10),4,2)&amp;"/"&amp;LEFT((RIGHT(AE280,10)),2)&amp;"/"&amp;RIGHT(AE280,4))))</f>
        <v/>
      </c>
      <c r="AU280" s="176" t="s">
        <v>2413</v>
      </c>
      <c r="AV280" s="176" t="s">
        <v>2424</v>
      </c>
      <c r="AW280" s="176">
        <v>10.119999999999999</v>
      </c>
      <c r="AX280" s="176">
        <v>10.139999999999999</v>
      </c>
      <c r="AY280" s="173">
        <v>10.164999999999997</v>
      </c>
      <c r="AZ280" s="142">
        <v>10.169999999999998</v>
      </c>
      <c r="BA280" s="142" t="str">
        <f>IF(ISNUMBER(AB280)=TRUE,AR280-AB280,IF(AB280="","",(AR280)-(MID(RIGHT(AB280,10),4,2)&amp;"/"&amp;LEFT((RIGHT(AB280,10)),2)&amp;"/"&amp;RIGHT(AB280,4))))</f>
        <v/>
      </c>
      <c r="BB280" s="142">
        <v>461</v>
      </c>
      <c r="BD280" s="142" t="s">
        <v>123</v>
      </c>
    </row>
    <row r="281" spans="1:57" s="142" customFormat="1" ht="21" customHeight="1" x14ac:dyDescent="0.25">
      <c r="B281" s="173" t="str">
        <f>IF(C281="HOLD RM","HOLD RM",IF(C281="BAL","WIP",IF(C281="HOLD SLT","HOLD SLT",IF(C281="MILL","RM",IF(C281="RE SLT","WIP",IF(C281="RM","RM",IF(C281="RM BAL","RM",IF(C281="RM SLT","RM",IF(C281="RR","WIP",IF(C281="SKP","WIP",IF(C281="SLT","WIP",IF(C281="CTL","WIP",IF(C281="RM SLT RUST","RM SLT RUST",0)))))))))))))&amp;"-"&amp;G281&amp;"/"&amp;IF(H281="2B","2B",IF(H281="NO.1","1D",IF(H281="FH","FH",0)))&amp;"-"&amp;IF(J281="",(TEXT(I281,"0.00")),TEXT(J281,"0.00"))&amp;"X"&amp;M281</f>
        <v>0-304L/2B-1.45X644</v>
      </c>
      <c r="C281" s="201" t="s">
        <v>5412</v>
      </c>
      <c r="D281" s="173" t="s">
        <v>4432</v>
      </c>
      <c r="E281" s="173" t="s">
        <v>4279</v>
      </c>
      <c r="F281" s="201" t="s">
        <v>4983</v>
      </c>
      <c r="G281" s="173" t="s">
        <v>182</v>
      </c>
      <c r="H281" s="173" t="s">
        <v>114</v>
      </c>
      <c r="I281" s="174">
        <v>3.8</v>
      </c>
      <c r="J281" s="174">
        <v>1.45</v>
      </c>
      <c r="K281" s="174">
        <v>1.44</v>
      </c>
      <c r="L281" s="174">
        <v>1.46</v>
      </c>
      <c r="M281" s="380">
        <v>644</v>
      </c>
      <c r="N281" s="176">
        <v>3.5249999999999999</v>
      </c>
      <c r="O281" s="381">
        <v>3.4950000000000001</v>
      </c>
      <c r="P281" s="382"/>
      <c r="Q281" s="176"/>
      <c r="R281" s="176"/>
      <c r="S281" s="176"/>
      <c r="T281" s="383"/>
      <c r="U281" s="380">
        <v>635</v>
      </c>
      <c r="V281" s="371" t="s">
        <v>114</v>
      </c>
      <c r="W281" s="384"/>
      <c r="X281" s="206" t="s">
        <v>115</v>
      </c>
      <c r="Y281" s="206"/>
      <c r="Z281" s="385"/>
      <c r="AA281" s="177">
        <v>44953</v>
      </c>
      <c r="AB281" s="177"/>
      <c r="AC281" s="177">
        <v>44954</v>
      </c>
      <c r="AD281" s="177"/>
      <c r="AE281" s="177">
        <v>44957</v>
      </c>
      <c r="AF281" s="177"/>
      <c r="AG281" s="177"/>
      <c r="AH281" s="177"/>
      <c r="AI281" s="180"/>
      <c r="AJ281" s="173"/>
      <c r="AK281" s="173" t="s">
        <v>1605</v>
      </c>
      <c r="AL281" s="181" t="s">
        <v>69</v>
      </c>
      <c r="AM281" s="181" t="s">
        <v>142</v>
      </c>
      <c r="AN281" s="181" t="s">
        <v>1657</v>
      </c>
      <c r="AO281" s="181"/>
      <c r="AP281" s="181">
        <v>44849</v>
      </c>
      <c r="AQ281" s="173"/>
      <c r="AR281" s="181">
        <f ca="1">TODAY()</f>
        <v>44958</v>
      </c>
      <c r="AS281" s="176">
        <f ca="1">IF(AP281&lt;&gt;0,AR281-AP281,0)</f>
        <v>109</v>
      </c>
      <c r="AT281" s="176">
        <f ca="1">IF(ISNUMBER(AE281)=TRUE,AR281-AE281,IF(AE281="","",(AR281)-(MID(RIGHT(AE281,10),4,2)&amp;"/"&amp;LEFT((RIGHT(AE281,10)),2)&amp;"/"&amp;RIGHT(AE281,4))))</f>
        <v>1</v>
      </c>
      <c r="AU281" s="176"/>
      <c r="AV281" s="176" t="s">
        <v>1676</v>
      </c>
      <c r="AW281" s="176">
        <v>10.695</v>
      </c>
      <c r="AX281" s="176">
        <v>10.705</v>
      </c>
      <c r="AY281" s="173">
        <v>10.729999999999999</v>
      </c>
      <c r="AZ281" s="142">
        <v>10.734999999999999</v>
      </c>
      <c r="BA281" s="142" t="str">
        <f>IF(ISNUMBER(AB281)=TRUE,AR281-AB281,IF(AB281="","",(AR281)-(MID(RIGHT(AB281,10),4,2)&amp;"/"&amp;LEFT((RIGHT(AB281,10)),2)&amp;"/"&amp;RIGHT(AB281,4))))</f>
        <v/>
      </c>
      <c r="BB281" s="142">
        <v>456</v>
      </c>
      <c r="BD281" s="142" t="s">
        <v>123</v>
      </c>
    </row>
    <row r="282" spans="1:57" s="142" customFormat="1" ht="21" customHeight="1" x14ac:dyDescent="0.25">
      <c r="B282" s="173" t="str">
        <f>IF(C282="HOLD RM","HOLD RM",IF(C282="BAL","WIP",IF(C282="HOLD SLT","HOLD SLT",IF(C282="MILL","RM",IF(C282="RE SLT","WIP",IF(C282="RM","RM",IF(C282="RM BAL","RM",IF(C282="RM SLT","RM",IF(C282="RR","WIP",IF(C282="SKP","WIP",IF(C282="SLT","WIP",IF(C282="CTL","WIP",IF(C282="RM SLT RUST","RM SLT RUST",0)))))))))))))&amp;"-"&amp;G282&amp;"/"&amp;IF(H282="2B","2B",IF(H282="NO.1","1D",IF(H282="FH","FH",0)))&amp;"-"&amp;IF(J282="",(TEXT(I282,"0.00")),TEXT(J282,"0.00"))&amp;"X"&amp;M282</f>
        <v>0-304/2B-1.15X641</v>
      </c>
      <c r="C282" s="201" t="s">
        <v>5412</v>
      </c>
      <c r="D282" s="173" t="s">
        <v>4432</v>
      </c>
      <c r="E282" s="173" t="s">
        <v>4300</v>
      </c>
      <c r="F282" s="201" t="s">
        <v>5421</v>
      </c>
      <c r="G282" s="173">
        <v>304</v>
      </c>
      <c r="H282" s="173" t="s">
        <v>114</v>
      </c>
      <c r="I282" s="174">
        <v>2.93</v>
      </c>
      <c r="J282" s="174">
        <v>1.1499999999999999</v>
      </c>
      <c r="K282" s="174">
        <v>1.1299999999999999</v>
      </c>
      <c r="L282" s="174">
        <v>1.1499999999999999</v>
      </c>
      <c r="M282" s="380">
        <v>641</v>
      </c>
      <c r="N282" s="176">
        <v>10.52</v>
      </c>
      <c r="O282" s="381">
        <v>10.494999999999999</v>
      </c>
      <c r="P282" s="382"/>
      <c r="Q282" s="176">
        <v>0.05</v>
      </c>
      <c r="R282" s="176"/>
      <c r="S282" s="176"/>
      <c r="T282" s="383"/>
      <c r="U282" s="380">
        <v>635</v>
      </c>
      <c r="V282" s="371" t="s">
        <v>114</v>
      </c>
      <c r="W282" s="384" t="s">
        <v>4936</v>
      </c>
      <c r="X282" s="206" t="s">
        <v>1210</v>
      </c>
      <c r="Y282" s="206"/>
      <c r="Z282" s="385"/>
      <c r="AA282" s="177">
        <v>44955</v>
      </c>
      <c r="AB282" s="177"/>
      <c r="AC282" s="177">
        <v>44955</v>
      </c>
      <c r="AD282" s="177"/>
      <c r="AE282" s="177"/>
      <c r="AF282" s="177">
        <v>44957</v>
      </c>
      <c r="AG282" s="177"/>
      <c r="AH282" s="177"/>
      <c r="AI282" s="180"/>
      <c r="AJ282" s="173"/>
      <c r="AK282" s="173" t="s">
        <v>1593</v>
      </c>
      <c r="AL282" s="181" t="s">
        <v>69</v>
      </c>
      <c r="AM282" s="181" t="s">
        <v>142</v>
      </c>
      <c r="AN282" s="181" t="s">
        <v>1594</v>
      </c>
      <c r="AO282" s="181"/>
      <c r="AP282" s="181">
        <v>44849</v>
      </c>
      <c r="AQ282" s="173"/>
      <c r="AR282" s="181">
        <f ca="1">TODAY()</f>
        <v>44958</v>
      </c>
      <c r="AS282" s="176">
        <f ca="1">IF(AP282&lt;&gt;0,AR282-AP282,0)</f>
        <v>109</v>
      </c>
      <c r="AT282" s="176" t="str">
        <f>IF(ISNUMBER(AE282)=TRUE,AR282-AE282,IF(AE282="","",(AR282)-(MID(RIGHT(AE282,10),4,2)&amp;"/"&amp;LEFT((RIGHT(AE282,10)),2)&amp;"/"&amp;RIGHT(AE282,4))))</f>
        <v/>
      </c>
      <c r="AU282" s="176"/>
      <c r="AV282" s="176" t="s">
        <v>4032</v>
      </c>
      <c r="AW282" s="176">
        <v>10.58</v>
      </c>
      <c r="AX282" s="176">
        <v>10.59</v>
      </c>
      <c r="AY282" s="173">
        <v>10.614999999999998</v>
      </c>
      <c r="AZ282" s="142">
        <v>10.62</v>
      </c>
      <c r="BA282" s="142" t="str">
        <f>IF(ISNUMBER(AB282)=TRUE,AR282-AB282,IF(AB282="","",(AR282)-(MID(RIGHT(AB282,10),4,2)&amp;"/"&amp;LEFT((RIGHT(AB282,10)),2)&amp;"/"&amp;RIGHT(AB282,4))))</f>
        <v/>
      </c>
      <c r="BB282" s="142">
        <v>456</v>
      </c>
      <c r="BD282" s="142" t="s">
        <v>123</v>
      </c>
    </row>
    <row r="283" spans="1:57" s="142" customFormat="1" ht="21" customHeight="1" x14ac:dyDescent="0.25">
      <c r="B283" s="173" t="str">
        <f>IF(C283="HOLD RM","HOLD RM",IF(C283="BAL","WIP",IF(C283="HOLD SLT","HOLD SLT",IF(C283="MILL","RM",IF(C283="RE SLT","WIP",IF(C283="RM","RM",IF(C283="RM BAL","RM",IF(C283="RM SLT","RM",IF(C283="RR","WIP",IF(C283="SKP","WIP",IF(C283="SLT","WIP",IF(C283="CTL","WIP",IF(C283="RM SLT RUST","RM SLT RUST",0)))))))))))))&amp;"-"&amp;G283&amp;"/"&amp;IF(H283="2B","2B",IF(H283="NO.1","1D",IF(H283="FH","FH",0)))&amp;"-"&amp;IF(J283="",(TEXT(I283,"0.00")),TEXT(J283,"0.00"))&amp;"X"&amp;M283</f>
        <v>0-304L/2B-0.90X643</v>
      </c>
      <c r="C283" s="201" t="s">
        <v>5412</v>
      </c>
      <c r="D283" s="173" t="s">
        <v>4432</v>
      </c>
      <c r="E283" s="173" t="s">
        <v>4291</v>
      </c>
      <c r="F283" s="201" t="s">
        <v>5422</v>
      </c>
      <c r="G283" s="173" t="s">
        <v>182</v>
      </c>
      <c r="H283" s="173" t="s">
        <v>114</v>
      </c>
      <c r="I283" s="174">
        <v>2.87</v>
      </c>
      <c r="J283" s="174">
        <v>0.9</v>
      </c>
      <c r="K283" s="174">
        <v>0.87</v>
      </c>
      <c r="L283" s="174">
        <v>0.9</v>
      </c>
      <c r="M283" s="380">
        <v>643</v>
      </c>
      <c r="N283" s="176">
        <v>10.705</v>
      </c>
      <c r="O283" s="381">
        <v>10.635</v>
      </c>
      <c r="P283" s="382"/>
      <c r="Q283" s="176">
        <v>0.08</v>
      </c>
      <c r="R283" s="176"/>
      <c r="S283" s="176"/>
      <c r="T283" s="383"/>
      <c r="U283" s="380">
        <v>635</v>
      </c>
      <c r="V283" s="371" t="s">
        <v>114</v>
      </c>
      <c r="W283" s="384" t="s">
        <v>4936</v>
      </c>
      <c r="X283" s="206" t="s">
        <v>1210</v>
      </c>
      <c r="Y283" s="206"/>
      <c r="Z283" s="385"/>
      <c r="AA283" s="177">
        <v>44954</v>
      </c>
      <c r="AB283" s="177"/>
      <c r="AC283" s="177">
        <v>44954</v>
      </c>
      <c r="AD283" s="177"/>
      <c r="AE283" s="177"/>
      <c r="AF283" s="177">
        <v>44957</v>
      </c>
      <c r="AG283" s="177">
        <v>44957</v>
      </c>
      <c r="AH283" s="177"/>
      <c r="AI283" s="180"/>
      <c r="AJ283" s="173"/>
      <c r="AK283" s="173" t="s">
        <v>1593</v>
      </c>
      <c r="AL283" s="181" t="s">
        <v>69</v>
      </c>
      <c r="AM283" s="181" t="s">
        <v>142</v>
      </c>
      <c r="AN283" s="181" t="s">
        <v>1594</v>
      </c>
      <c r="AO283" s="181"/>
      <c r="AP283" s="181">
        <v>44849</v>
      </c>
      <c r="AQ283" s="173"/>
      <c r="AR283" s="181">
        <f ca="1">TODAY()</f>
        <v>44958</v>
      </c>
      <c r="AS283" s="176">
        <f ca="1">IF(AP283&lt;&gt;0,AR283-AP283,0)</f>
        <v>109</v>
      </c>
      <c r="AT283" s="176" t="str">
        <f>IF(ISNUMBER(AE283)=TRUE,AR283-AE283,IF(AE283="","",(AR283)-(MID(RIGHT(AE283,10),4,2)&amp;"/"&amp;LEFT((RIGHT(AE283,10)),2)&amp;"/"&amp;RIGHT(AE283,4))))</f>
        <v/>
      </c>
      <c r="AU283" s="176"/>
      <c r="AV283" s="176" t="s">
        <v>1628</v>
      </c>
      <c r="AW283" s="176">
        <v>10.74</v>
      </c>
      <c r="AX283" s="176">
        <v>10.75</v>
      </c>
      <c r="AY283" s="173">
        <v>10.774999999999999</v>
      </c>
      <c r="AZ283" s="142">
        <v>10.78</v>
      </c>
      <c r="BA283" s="142" t="str">
        <f>IF(ISNUMBER(AB283)=TRUE,AR283-AB283,IF(AB283="","",(AR283)-(MID(RIGHT(AB283,10),4,2)&amp;"/"&amp;LEFT((RIGHT(AB283,10)),2)&amp;"/"&amp;RIGHT(AB283,4))))</f>
        <v/>
      </c>
      <c r="BB283" s="142">
        <v>456</v>
      </c>
      <c r="BD283" s="142" t="s">
        <v>123</v>
      </c>
    </row>
    <row r="284" spans="1:57" s="142" customFormat="1" ht="20.25" customHeight="1" x14ac:dyDescent="0.25">
      <c r="E284" s="196"/>
      <c r="F284" s="196"/>
      <c r="I284" s="187"/>
      <c r="J284" s="187"/>
      <c r="K284" s="187"/>
      <c r="L284" s="187"/>
      <c r="M284" s="213"/>
      <c r="N284" s="149"/>
      <c r="O284" s="149"/>
      <c r="V284" s="149"/>
      <c r="W284" s="149"/>
      <c r="X284" s="214"/>
      <c r="Y284" s="214"/>
      <c r="Z284" s="215"/>
      <c r="AA284" s="216"/>
      <c r="AB284" s="216"/>
      <c r="AC284" s="216"/>
      <c r="AD284" s="216"/>
      <c r="AE284" s="216"/>
      <c r="AF284" s="216"/>
      <c r="AG284" s="216"/>
      <c r="AH284" s="216"/>
      <c r="AI284" s="216"/>
      <c r="AJ284" s="216"/>
      <c r="AK284" s="217"/>
      <c r="AM284" s="218"/>
      <c r="AN284" s="189"/>
      <c r="AO284" s="218"/>
      <c r="AP284" s="218"/>
      <c r="AQ284" s="218"/>
      <c r="AR284" s="218"/>
      <c r="AU284" s="218"/>
      <c r="AV284" s="196"/>
      <c r="AW284" s="149"/>
      <c r="AX284" s="149"/>
      <c r="AY284" s="149"/>
      <c r="AZ284" s="149"/>
    </row>
    <row r="285" spans="1:57" s="142" customFormat="1" ht="21" customHeight="1" x14ac:dyDescent="0.25">
      <c r="A285" s="386"/>
      <c r="B285" s="387"/>
      <c r="I285" s="187"/>
      <c r="J285" s="336"/>
      <c r="K285" s="336"/>
      <c r="L285" s="336"/>
      <c r="M285" s="188"/>
      <c r="N285" s="336"/>
      <c r="O285" s="215"/>
      <c r="P285" s="215"/>
      <c r="Q285" s="388"/>
      <c r="R285" s="215"/>
      <c r="S285" s="216"/>
      <c r="T285" s="389"/>
      <c r="U285" s="216"/>
      <c r="V285" s="216"/>
      <c r="W285" s="216"/>
      <c r="X285" s="216"/>
      <c r="Y285" s="217"/>
      <c r="Z285" s="390"/>
      <c r="AE285" s="218"/>
      <c r="AF285" s="218"/>
      <c r="AG285" s="218"/>
      <c r="AH285" s="218"/>
      <c r="AI285" s="218"/>
      <c r="AJ285" s="218"/>
      <c r="AK285" s="218"/>
      <c r="AM285" s="391"/>
      <c r="AP285" s="149"/>
      <c r="AQ285" s="149"/>
      <c r="AR285" s="149"/>
      <c r="AS285" s="149"/>
      <c r="AT285" s="390"/>
      <c r="BE285" s="387"/>
    </row>
    <row r="286" spans="1:57" s="361" customFormat="1" x14ac:dyDescent="0.25">
      <c r="E286" s="365" t="s">
        <v>3774</v>
      </c>
      <c r="I286" s="362"/>
      <c r="J286" s="362"/>
      <c r="K286" s="363"/>
      <c r="L286" s="214"/>
      <c r="M286" s="214"/>
      <c r="N286" s="354">
        <f>SUBTOTAL(9,N4:N285)</f>
        <v>1970.5410000000013</v>
      </c>
      <c r="O286" s="354">
        <f>SUBTOTAL(9,O4:O285)</f>
        <v>1946.5999999999992</v>
      </c>
      <c r="Q286" s="354">
        <f>SUBTOTAL(9,Q4:Q285)</f>
        <v>9.0800000000000054</v>
      </c>
      <c r="R286" s="354">
        <f>SUBTOTAL(9,R4:R285)</f>
        <v>0.53000000000000025</v>
      </c>
      <c r="S286" s="354">
        <f>SUBTOTAL(9,S4:S285)</f>
        <v>7.7550000000000008</v>
      </c>
      <c r="T286" s="392"/>
    </row>
    <row r="287" spans="1:57" x14ac:dyDescent="0.25">
      <c r="I287" s="336"/>
      <c r="J287" s="336"/>
      <c r="K287" s="352"/>
      <c r="L287" s="375"/>
      <c r="M287" s="375"/>
      <c r="N287" s="336"/>
      <c r="O287" s="353"/>
      <c r="P287" s="336"/>
      <c r="Q287" s="336"/>
      <c r="R287" s="336"/>
      <c r="S287" s="336"/>
      <c r="U287" s="336"/>
      <c r="V287" s="336"/>
      <c r="W287" s="336"/>
      <c r="X287" s="336"/>
      <c r="Y287" s="336"/>
      <c r="AA287" s="336"/>
    </row>
    <row r="288" spans="1:57" x14ac:dyDescent="0.25">
      <c r="F288" s="142"/>
      <c r="I288" s="336"/>
      <c r="J288" s="336"/>
      <c r="K288" s="352"/>
      <c r="L288" s="375"/>
      <c r="M288" s="375"/>
      <c r="N288" s="336"/>
      <c r="O288" s="353"/>
      <c r="P288" s="353"/>
      <c r="Q288" s="336"/>
      <c r="R288" s="336"/>
      <c r="S288" s="336"/>
      <c r="U288" s="336"/>
      <c r="V288" s="336"/>
      <c r="W288" s="336"/>
      <c r="X288" s="336"/>
      <c r="Y288" s="336"/>
      <c r="AA288" s="336"/>
    </row>
    <row r="289" spans="11:20" s="336" customFormat="1" x14ac:dyDescent="0.25">
      <c r="M289" s="375"/>
      <c r="O289" s="353"/>
      <c r="R289" s="353"/>
      <c r="T289" s="377"/>
    </row>
    <row r="290" spans="11:20" s="336" customFormat="1" x14ac:dyDescent="0.25">
      <c r="M290" s="375"/>
      <c r="O290" s="353"/>
      <c r="T290" s="377"/>
    </row>
    <row r="291" spans="11:20" s="336" customFormat="1" x14ac:dyDescent="0.25">
      <c r="K291" s="352"/>
      <c r="L291" s="375"/>
      <c r="M291" s="375"/>
      <c r="O291" s="353"/>
      <c r="T291" s="377"/>
    </row>
    <row r="292" spans="11:20" s="336" customFormat="1" x14ac:dyDescent="0.25">
      <c r="K292" s="352"/>
      <c r="L292" s="375"/>
      <c r="M292" s="375"/>
      <c r="O292" s="353"/>
      <c r="T292" s="377"/>
    </row>
    <row r="293" spans="11:20" s="336" customFormat="1" x14ac:dyDescent="0.25">
      <c r="K293" s="352"/>
      <c r="L293" s="375"/>
      <c r="M293" s="375"/>
      <c r="O293" s="353"/>
      <c r="T293" s="377"/>
    </row>
    <row r="294" spans="11:20" s="336" customFormat="1" x14ac:dyDescent="0.25">
      <c r="K294" s="352"/>
      <c r="L294" s="375"/>
      <c r="M294" s="375"/>
      <c r="O294" s="353"/>
      <c r="Q294" s="352"/>
      <c r="T294" s="377"/>
    </row>
    <row r="295" spans="11:20" s="336" customFormat="1" x14ac:dyDescent="0.25">
      <c r="K295" s="352"/>
      <c r="L295" s="375"/>
      <c r="M295" s="375"/>
      <c r="O295" s="353"/>
      <c r="T295" s="377"/>
    </row>
    <row r="296" spans="11:20" s="336" customFormat="1" x14ac:dyDescent="0.25">
      <c r="K296" s="352"/>
      <c r="L296" s="375"/>
      <c r="M296" s="375"/>
      <c r="O296" s="353"/>
      <c r="T296" s="377"/>
    </row>
    <row r="297" spans="11:20" s="336" customFormat="1" x14ac:dyDescent="0.25">
      <c r="K297" s="352"/>
      <c r="L297" s="375"/>
      <c r="M297" s="375"/>
      <c r="O297" s="353"/>
      <c r="P297" s="353"/>
      <c r="T297" s="377"/>
    </row>
    <row r="298" spans="11:20" s="336" customFormat="1" x14ac:dyDescent="0.25">
      <c r="K298" s="352"/>
      <c r="L298" s="375"/>
      <c r="M298" s="375"/>
      <c r="O298" s="353"/>
      <c r="Q298" s="352"/>
      <c r="T298" s="377"/>
    </row>
    <row r="299" spans="11:20" s="336" customFormat="1" x14ac:dyDescent="0.25">
      <c r="K299" s="352"/>
      <c r="L299" s="375"/>
      <c r="M299" s="375"/>
      <c r="N299" s="353"/>
      <c r="O299" s="353"/>
      <c r="T299" s="377"/>
    </row>
    <row r="300" spans="11:20" s="336" customFormat="1" x14ac:dyDescent="0.25">
      <c r="K300" s="352"/>
      <c r="L300" s="375"/>
      <c r="M300" s="375"/>
      <c r="O300" s="353"/>
      <c r="T300" s="377"/>
    </row>
    <row r="301" spans="11:20" s="336" customFormat="1" x14ac:dyDescent="0.25">
      <c r="K301" s="352"/>
      <c r="L301" s="375"/>
      <c r="M301" s="375"/>
      <c r="O301" s="353"/>
      <c r="P301" s="352"/>
      <c r="T301" s="377"/>
    </row>
    <row r="302" spans="11:20" s="336" customFormat="1" x14ac:dyDescent="0.25">
      <c r="K302" s="352"/>
      <c r="L302" s="375"/>
      <c r="M302" s="375"/>
      <c r="O302" s="353"/>
      <c r="P302" s="352"/>
      <c r="T302" s="377"/>
    </row>
    <row r="303" spans="11:20" s="336" customFormat="1" x14ac:dyDescent="0.25">
      <c r="K303" s="352"/>
      <c r="L303" s="375"/>
      <c r="M303" s="375"/>
      <c r="O303" s="353"/>
      <c r="T303" s="377"/>
    </row>
    <row r="304" spans="11:20" s="336" customFormat="1" x14ac:dyDescent="0.25">
      <c r="K304" s="352"/>
      <c r="L304" s="375"/>
      <c r="M304" s="375"/>
      <c r="O304" s="353"/>
      <c r="T304" s="377"/>
    </row>
    <row r="305" spans="9:27" x14ac:dyDescent="0.25">
      <c r="I305" s="336"/>
      <c r="J305" s="336"/>
      <c r="K305" s="352"/>
      <c r="L305" s="375"/>
      <c r="M305" s="375"/>
      <c r="N305" s="336"/>
      <c r="O305" s="353"/>
      <c r="P305" s="336"/>
      <c r="Q305" s="336"/>
      <c r="R305" s="336"/>
      <c r="S305" s="336"/>
      <c r="U305" s="336"/>
      <c r="V305" s="336"/>
      <c r="W305" s="336"/>
      <c r="X305" s="336"/>
      <c r="Y305" s="336"/>
      <c r="AA305" s="336"/>
    </row>
    <row r="306" spans="9:27" x14ac:dyDescent="0.25">
      <c r="I306" s="336"/>
      <c r="J306" s="336"/>
      <c r="K306" s="352"/>
      <c r="L306" s="375"/>
      <c r="M306" s="375"/>
      <c r="N306" s="336"/>
      <c r="O306" s="353"/>
      <c r="P306" s="336"/>
      <c r="Q306" s="336"/>
      <c r="R306" s="336"/>
      <c r="S306" s="336"/>
      <c r="U306" s="336"/>
      <c r="V306" s="336"/>
      <c r="W306" s="336"/>
      <c r="X306" s="336"/>
      <c r="Y306" s="336"/>
      <c r="AA306" s="336"/>
    </row>
    <row r="307" spans="9:27" x14ac:dyDescent="0.25">
      <c r="I307" s="336"/>
      <c r="J307" s="336"/>
      <c r="K307" s="352"/>
      <c r="L307" s="375"/>
      <c r="M307" s="375"/>
      <c r="N307" s="336"/>
      <c r="O307" s="353"/>
      <c r="P307" s="336"/>
      <c r="Q307" s="336"/>
      <c r="R307" s="336"/>
      <c r="S307" s="336"/>
      <c r="U307" s="336"/>
      <c r="V307" s="336"/>
      <c r="W307" s="336"/>
      <c r="X307" s="336"/>
      <c r="Y307" s="336"/>
      <c r="AA307" s="336"/>
    </row>
    <row r="308" spans="9:27" x14ac:dyDescent="0.25">
      <c r="I308" s="336"/>
      <c r="J308" s="336"/>
      <c r="K308" s="352"/>
      <c r="L308" s="375"/>
      <c r="M308" s="375"/>
      <c r="N308" s="336"/>
      <c r="O308" s="353"/>
      <c r="P308" s="336"/>
      <c r="Q308" s="336"/>
      <c r="R308" s="336"/>
      <c r="S308" s="336"/>
      <c r="U308" s="336"/>
      <c r="V308" s="336"/>
      <c r="W308" s="336"/>
      <c r="X308" s="336"/>
      <c r="Y308" s="336"/>
      <c r="AA308" s="336"/>
    </row>
    <row r="309" spans="9:27" x14ac:dyDescent="0.25">
      <c r="I309" s="336"/>
      <c r="J309" s="336"/>
      <c r="K309" s="352"/>
      <c r="L309" s="375"/>
      <c r="M309" s="375"/>
      <c r="N309" s="336"/>
      <c r="O309" s="353"/>
      <c r="P309" s="336"/>
      <c r="Q309" s="336"/>
      <c r="R309" s="336"/>
      <c r="S309" s="336"/>
      <c r="U309" s="336"/>
      <c r="V309" s="336"/>
      <c r="W309" s="336"/>
      <c r="X309" s="336"/>
      <c r="Y309" s="336"/>
      <c r="AA309" s="336"/>
    </row>
    <row r="310" spans="9:27" x14ac:dyDescent="0.25">
      <c r="I310" s="336"/>
      <c r="J310" s="336"/>
      <c r="K310" s="352"/>
      <c r="L310" s="375"/>
      <c r="M310" s="375"/>
      <c r="N310" s="336"/>
      <c r="O310" s="353"/>
      <c r="P310" s="336"/>
      <c r="Q310" s="336"/>
      <c r="R310" s="336"/>
      <c r="S310" s="336"/>
      <c r="U310" s="336"/>
      <c r="V310" s="336"/>
      <c r="W310" s="336"/>
      <c r="X310" s="336"/>
      <c r="Y310" s="336"/>
      <c r="AA310" s="336"/>
    </row>
    <row r="311" spans="9:27" x14ac:dyDescent="0.25">
      <c r="I311" s="336"/>
      <c r="J311" s="336"/>
      <c r="K311" s="352"/>
      <c r="L311" s="375"/>
      <c r="M311" s="375"/>
      <c r="N311" s="336"/>
      <c r="O311" s="353"/>
      <c r="P311" s="336"/>
      <c r="Q311" s="336"/>
      <c r="R311" s="336"/>
      <c r="S311" s="336"/>
      <c r="U311" s="336"/>
      <c r="V311" s="336"/>
      <c r="W311" s="336"/>
      <c r="X311" s="336"/>
      <c r="Y311" s="336"/>
      <c r="AA311" s="336"/>
    </row>
    <row r="312" spans="9:27" x14ac:dyDescent="0.25">
      <c r="I312" s="336"/>
      <c r="J312" s="336"/>
      <c r="K312" s="352"/>
      <c r="L312" s="375"/>
      <c r="M312" s="375"/>
      <c r="N312" s="336"/>
      <c r="O312" s="353"/>
      <c r="P312" s="336"/>
      <c r="Q312" s="336"/>
      <c r="R312" s="336"/>
      <c r="S312" s="336"/>
      <c r="U312" s="336"/>
      <c r="V312" s="336"/>
      <c r="W312" s="336"/>
      <c r="X312" s="336"/>
      <c r="Y312" s="336"/>
      <c r="AA312" s="336"/>
    </row>
    <row r="313" spans="9:27" x14ac:dyDescent="0.25">
      <c r="I313" s="336"/>
      <c r="J313" s="336"/>
      <c r="K313" s="352"/>
      <c r="L313" s="375"/>
      <c r="M313" s="375"/>
      <c r="N313" s="336"/>
      <c r="O313" s="353"/>
      <c r="P313" s="336"/>
      <c r="Q313" s="336"/>
      <c r="R313" s="336"/>
      <c r="S313" s="336"/>
      <c r="U313" s="336"/>
      <c r="V313" s="336"/>
      <c r="W313" s="336"/>
      <c r="X313" s="336"/>
      <c r="Y313" s="336"/>
      <c r="AA313" s="336"/>
    </row>
    <row r="314" spans="9:27" x14ac:dyDescent="0.25">
      <c r="I314" s="336"/>
      <c r="J314" s="336"/>
      <c r="K314" s="352"/>
      <c r="L314" s="375"/>
      <c r="M314" s="375"/>
      <c r="N314" s="336"/>
      <c r="O314" s="353"/>
      <c r="P314" s="336"/>
      <c r="Q314" s="336"/>
      <c r="R314" s="336"/>
      <c r="S314" s="336"/>
      <c r="U314" s="336"/>
      <c r="V314" s="336"/>
      <c r="W314" s="336"/>
      <c r="X314" s="336"/>
      <c r="Y314" s="336"/>
      <c r="AA314" s="336"/>
    </row>
    <row r="315" spans="9:27" x14ac:dyDescent="0.25">
      <c r="I315" s="336"/>
      <c r="J315" s="336"/>
      <c r="K315" s="352"/>
      <c r="L315" s="375"/>
      <c r="M315" s="375"/>
      <c r="N315" s="336"/>
      <c r="O315" s="353"/>
      <c r="P315" s="336"/>
      <c r="Q315" s="336"/>
      <c r="R315" s="336"/>
      <c r="S315" s="336"/>
      <c r="U315" s="336"/>
      <c r="V315" s="336"/>
      <c r="W315" s="336"/>
      <c r="X315" s="336"/>
      <c r="Y315" s="336"/>
      <c r="AA315" s="336"/>
    </row>
    <row r="316" spans="9:27" x14ac:dyDescent="0.25">
      <c r="I316" s="336"/>
      <c r="J316" s="336"/>
      <c r="K316" s="352"/>
      <c r="L316" s="375"/>
      <c r="M316" s="375"/>
      <c r="N316" s="336"/>
      <c r="O316" s="353"/>
      <c r="P316" s="336"/>
      <c r="Q316" s="336"/>
      <c r="R316" s="336"/>
      <c r="S316" s="336"/>
      <c r="U316" s="336"/>
      <c r="V316" s="336"/>
      <c r="W316" s="336"/>
      <c r="X316" s="336"/>
      <c r="Y316" s="336"/>
      <c r="AA316" s="336"/>
    </row>
    <row r="317" spans="9:27" x14ac:dyDescent="0.25">
      <c r="I317" s="336"/>
      <c r="J317" s="336"/>
      <c r="K317" s="352"/>
      <c r="L317" s="375"/>
      <c r="M317" s="375"/>
      <c r="N317" s="336"/>
      <c r="O317" s="353"/>
      <c r="P317" s="336"/>
      <c r="Q317" s="336"/>
      <c r="R317" s="336"/>
      <c r="S317" s="336"/>
      <c r="U317" s="336"/>
      <c r="V317" s="336"/>
      <c r="W317" s="336"/>
      <c r="X317" s="336"/>
      <c r="Y317" s="336"/>
      <c r="AA317" s="336"/>
    </row>
    <row r="318" spans="9:27" x14ac:dyDescent="0.25">
      <c r="O318" s="353"/>
    </row>
    <row r="319" spans="9:27" x14ac:dyDescent="0.25">
      <c r="O319" s="353"/>
    </row>
    <row r="320" spans="9:27" x14ac:dyDescent="0.25">
      <c r="O320" s="353"/>
    </row>
    <row r="321" spans="1:58" x14ac:dyDescent="0.25">
      <c r="O321" s="353"/>
    </row>
    <row r="322" spans="1:58" x14ac:dyDescent="0.25">
      <c r="O322" s="353"/>
    </row>
    <row r="323" spans="1:58" x14ac:dyDescent="0.25">
      <c r="O323" s="353"/>
    </row>
    <row r="324" spans="1:58" x14ac:dyDescent="0.25">
      <c r="O324" s="353"/>
    </row>
    <row r="325" spans="1:58" x14ac:dyDescent="0.25">
      <c r="O325" s="353"/>
    </row>
    <row r="326" spans="1:58" x14ac:dyDescent="0.25">
      <c r="O326" s="353"/>
    </row>
    <row r="327" spans="1:58" x14ac:dyDescent="0.25">
      <c r="O327" s="353"/>
    </row>
    <row r="328" spans="1:58" x14ac:dyDescent="0.25">
      <c r="O328" s="353"/>
    </row>
    <row r="329" spans="1:58" s="351" customFormat="1" x14ac:dyDescent="0.25">
      <c r="A329" s="336"/>
      <c r="B329" s="336"/>
      <c r="C329" s="336"/>
      <c r="D329" s="336"/>
      <c r="E329" s="336"/>
      <c r="F329" s="336"/>
      <c r="G329" s="336"/>
      <c r="H329" s="336"/>
      <c r="M329" s="352"/>
      <c r="N329" s="353"/>
      <c r="O329" s="353"/>
      <c r="T329" s="377"/>
      <c r="U329" s="352"/>
      <c r="V329" s="352"/>
      <c r="W329" s="352"/>
      <c r="X329" s="375"/>
      <c r="Y329" s="375"/>
      <c r="Z329" s="336"/>
      <c r="AA329" s="353"/>
      <c r="AB329" s="336"/>
      <c r="AC329" s="336"/>
      <c r="AD329" s="336"/>
      <c r="AE329" s="336"/>
      <c r="AF329" s="336"/>
      <c r="AG329" s="336"/>
      <c r="AH329" s="336"/>
      <c r="AI329" s="336"/>
      <c r="AJ329" s="336"/>
      <c r="AK329" s="336"/>
      <c r="AL329" s="336"/>
      <c r="AM329" s="336"/>
      <c r="AN329" s="336"/>
      <c r="AO329" s="336"/>
      <c r="AP329" s="336"/>
      <c r="AQ329" s="336"/>
      <c r="AR329" s="336"/>
      <c r="AS329" s="336"/>
      <c r="AT329" s="336"/>
      <c r="AU329" s="336"/>
      <c r="AV329" s="336"/>
      <c r="AW329" s="336"/>
      <c r="AX329" s="336"/>
      <c r="AY329" s="336"/>
      <c r="AZ329" s="336"/>
      <c r="BA329" s="336"/>
      <c r="BB329" s="336"/>
      <c r="BC329" s="336"/>
      <c r="BD329" s="336"/>
      <c r="BE329" s="336"/>
      <c r="BF329" s="336"/>
    </row>
    <row r="330" spans="1:58" s="351" customFormat="1" x14ac:dyDescent="0.25">
      <c r="A330" s="336"/>
      <c r="B330" s="336"/>
      <c r="C330" s="336"/>
      <c r="D330" s="336"/>
      <c r="E330" s="336"/>
      <c r="F330" s="336"/>
      <c r="G330" s="336"/>
      <c r="H330" s="336"/>
      <c r="M330" s="352"/>
      <c r="N330" s="353"/>
      <c r="O330" s="353"/>
      <c r="T330" s="377"/>
      <c r="U330" s="352"/>
      <c r="V330" s="352"/>
      <c r="W330" s="352"/>
      <c r="X330" s="375"/>
      <c r="Y330" s="375"/>
      <c r="Z330" s="336"/>
      <c r="AA330" s="353"/>
      <c r="AB330" s="336"/>
      <c r="AC330" s="336"/>
      <c r="AD330" s="336"/>
      <c r="AE330" s="336"/>
      <c r="AF330" s="336"/>
      <c r="AG330" s="336"/>
      <c r="AH330" s="336"/>
      <c r="AI330" s="336"/>
      <c r="AJ330" s="336"/>
      <c r="AK330" s="336"/>
      <c r="AL330" s="336"/>
      <c r="AM330" s="336"/>
      <c r="AN330" s="336"/>
      <c r="AO330" s="336"/>
      <c r="AP330" s="336"/>
      <c r="AQ330" s="336"/>
      <c r="AR330" s="336"/>
      <c r="AS330" s="336"/>
      <c r="AT330" s="336"/>
      <c r="AU330" s="336"/>
      <c r="AV330" s="336"/>
      <c r="AW330" s="336"/>
      <c r="AX330" s="336"/>
      <c r="AY330" s="336"/>
      <c r="AZ330" s="336"/>
      <c r="BA330" s="336"/>
      <c r="BB330" s="336"/>
      <c r="BC330" s="336"/>
      <c r="BD330" s="336"/>
      <c r="BE330" s="336"/>
      <c r="BF330" s="336"/>
    </row>
    <row r="331" spans="1:58" s="351" customFormat="1" x14ac:dyDescent="0.25">
      <c r="A331" s="336"/>
      <c r="B331" s="336"/>
      <c r="C331" s="336"/>
      <c r="D331" s="336"/>
      <c r="E331" s="336"/>
      <c r="F331" s="336"/>
      <c r="G331" s="336"/>
      <c r="H331" s="336"/>
      <c r="M331" s="352"/>
      <c r="N331" s="353"/>
      <c r="O331" s="353"/>
      <c r="T331" s="377"/>
      <c r="U331" s="352"/>
      <c r="V331" s="352"/>
      <c r="W331" s="352"/>
      <c r="X331" s="375"/>
      <c r="Y331" s="375"/>
      <c r="Z331" s="336"/>
      <c r="AA331" s="353"/>
      <c r="AB331" s="336"/>
      <c r="AC331" s="336"/>
      <c r="AD331" s="336"/>
      <c r="AE331" s="336"/>
      <c r="AF331" s="336"/>
      <c r="AG331" s="336"/>
      <c r="AH331" s="336"/>
      <c r="AI331" s="336"/>
      <c r="AJ331" s="336"/>
      <c r="AK331" s="336"/>
      <c r="AL331" s="336"/>
      <c r="AM331" s="336"/>
      <c r="AN331" s="336"/>
      <c r="AO331" s="336"/>
      <c r="AP331" s="336"/>
      <c r="AQ331" s="336"/>
      <c r="AR331" s="336"/>
      <c r="AS331" s="336"/>
      <c r="AT331" s="336"/>
      <c r="AU331" s="336"/>
      <c r="AV331" s="336"/>
      <c r="AW331" s="336"/>
      <c r="AX331" s="336"/>
      <c r="AY331" s="336"/>
      <c r="AZ331" s="336"/>
      <c r="BA331" s="336"/>
      <c r="BB331" s="336"/>
      <c r="BC331" s="336"/>
      <c r="BD331" s="336"/>
      <c r="BE331" s="336"/>
      <c r="BF331" s="336"/>
    </row>
    <row r="332" spans="1:58" s="351" customFormat="1" x14ac:dyDescent="0.25">
      <c r="A332" s="336"/>
      <c r="B332" s="336"/>
      <c r="C332" s="336"/>
      <c r="D332" s="336"/>
      <c r="E332" s="336"/>
      <c r="F332" s="336"/>
      <c r="G332" s="336"/>
      <c r="H332" s="336"/>
      <c r="M332" s="352"/>
      <c r="N332" s="353"/>
      <c r="O332" s="353"/>
      <c r="T332" s="377"/>
      <c r="U332" s="352"/>
      <c r="V332" s="352"/>
      <c r="W332" s="352"/>
      <c r="X332" s="375"/>
      <c r="Y332" s="375"/>
      <c r="Z332" s="336"/>
      <c r="AA332" s="353"/>
      <c r="AB332" s="336"/>
      <c r="AC332" s="336"/>
      <c r="AD332" s="336"/>
      <c r="AE332" s="336"/>
      <c r="AF332" s="336"/>
      <c r="AG332" s="336"/>
      <c r="AH332" s="336"/>
      <c r="AI332" s="336"/>
      <c r="AJ332" s="336"/>
      <c r="AK332" s="336"/>
      <c r="AL332" s="336"/>
      <c r="AM332" s="336"/>
      <c r="AN332" s="336"/>
      <c r="AO332" s="336"/>
      <c r="AP332" s="336"/>
      <c r="AQ332" s="336"/>
      <c r="AR332" s="336"/>
      <c r="AS332" s="336"/>
      <c r="AT332" s="336"/>
      <c r="AU332" s="336"/>
      <c r="AV332" s="336"/>
      <c r="AW332" s="336"/>
      <c r="AX332" s="336"/>
      <c r="AY332" s="336"/>
      <c r="AZ332" s="336"/>
      <c r="BA332" s="336"/>
      <c r="BB332" s="336"/>
      <c r="BC332" s="336"/>
      <c r="BD332" s="336"/>
      <c r="BE332" s="336"/>
      <c r="BF332" s="336"/>
    </row>
    <row r="333" spans="1:58" s="351" customFormat="1" x14ac:dyDescent="0.25">
      <c r="A333" s="336"/>
      <c r="B333" s="336"/>
      <c r="C333" s="336"/>
      <c r="D333" s="336"/>
      <c r="E333" s="336"/>
      <c r="F333" s="336"/>
      <c r="G333" s="336"/>
      <c r="H333" s="336"/>
      <c r="M333" s="352"/>
      <c r="N333" s="353"/>
      <c r="O333" s="353"/>
      <c r="T333" s="377"/>
      <c r="U333" s="352"/>
      <c r="V333" s="352"/>
      <c r="W333" s="352"/>
      <c r="X333" s="375"/>
      <c r="Y333" s="375"/>
      <c r="Z333" s="336"/>
      <c r="AA333" s="353"/>
      <c r="AB333" s="336"/>
      <c r="AC333" s="336"/>
      <c r="AD333" s="336"/>
      <c r="AE333" s="336"/>
      <c r="AF333" s="336"/>
      <c r="AG333" s="336"/>
      <c r="AH333" s="336"/>
      <c r="AI333" s="336"/>
      <c r="AJ333" s="336"/>
      <c r="AK333" s="336"/>
      <c r="AL333" s="336"/>
      <c r="AM333" s="336"/>
      <c r="AN333" s="336"/>
      <c r="AO333" s="336"/>
      <c r="AP333" s="336"/>
      <c r="AQ333" s="336"/>
      <c r="AR333" s="336"/>
      <c r="AS333" s="336"/>
      <c r="AT333" s="336"/>
      <c r="AU333" s="336"/>
      <c r="AV333" s="336"/>
      <c r="AW333" s="336"/>
      <c r="AX333" s="336"/>
      <c r="AY333" s="336"/>
      <c r="AZ333" s="336"/>
      <c r="BA333" s="336"/>
      <c r="BB333" s="336"/>
      <c r="BC333" s="336"/>
      <c r="BD333" s="336"/>
      <c r="BE333" s="336"/>
      <c r="BF333" s="336"/>
    </row>
    <row r="334" spans="1:58" s="351" customFormat="1" x14ac:dyDescent="0.25">
      <c r="A334" s="336"/>
      <c r="B334" s="336"/>
      <c r="C334" s="336"/>
      <c r="D334" s="336"/>
      <c r="E334" s="336"/>
      <c r="F334" s="336"/>
      <c r="G334" s="336"/>
      <c r="H334" s="336"/>
      <c r="M334" s="352"/>
      <c r="N334" s="353"/>
      <c r="O334" s="353"/>
      <c r="T334" s="377"/>
      <c r="U334" s="352"/>
      <c r="V334" s="352"/>
      <c r="W334" s="352"/>
      <c r="X334" s="375"/>
      <c r="Y334" s="375"/>
      <c r="Z334" s="336"/>
      <c r="AA334" s="353"/>
      <c r="AB334" s="336"/>
      <c r="AC334" s="336"/>
      <c r="AD334" s="336"/>
      <c r="AE334" s="336"/>
      <c r="AF334" s="336"/>
      <c r="AG334" s="336"/>
      <c r="AH334" s="336"/>
      <c r="AI334" s="336"/>
      <c r="AJ334" s="336"/>
      <c r="AK334" s="336"/>
      <c r="AL334" s="336"/>
      <c r="AM334" s="336"/>
      <c r="AN334" s="336"/>
      <c r="AO334" s="336"/>
      <c r="AP334" s="336"/>
      <c r="AQ334" s="336"/>
      <c r="AR334" s="336"/>
      <c r="AS334" s="336"/>
      <c r="AT334" s="336"/>
      <c r="AU334" s="336"/>
      <c r="AV334" s="336"/>
      <c r="AW334" s="336"/>
      <c r="AX334" s="336"/>
      <c r="AY334" s="336"/>
      <c r="AZ334" s="336"/>
      <c r="BA334" s="336"/>
      <c r="BB334" s="336"/>
      <c r="BC334" s="336"/>
      <c r="BD334" s="336"/>
      <c r="BE334" s="336"/>
      <c r="BF334" s="336"/>
    </row>
    <row r="335" spans="1:58" s="351" customFormat="1" x14ac:dyDescent="0.25">
      <c r="A335" s="336"/>
      <c r="B335" s="336"/>
      <c r="C335" s="336"/>
      <c r="D335" s="336"/>
      <c r="E335" s="336"/>
      <c r="F335" s="336"/>
      <c r="G335" s="336"/>
      <c r="H335" s="336"/>
      <c r="M335" s="352"/>
      <c r="N335" s="353"/>
      <c r="O335" s="353"/>
      <c r="T335" s="377"/>
      <c r="U335" s="352"/>
      <c r="V335" s="352"/>
      <c r="W335" s="352"/>
      <c r="X335" s="375"/>
      <c r="Y335" s="375"/>
      <c r="Z335" s="336"/>
      <c r="AA335" s="353"/>
      <c r="AB335" s="336"/>
      <c r="AC335" s="336"/>
      <c r="AD335" s="336"/>
      <c r="AE335" s="336"/>
      <c r="AF335" s="336"/>
      <c r="AG335" s="336"/>
      <c r="AH335" s="336"/>
      <c r="AI335" s="336"/>
      <c r="AJ335" s="336"/>
      <c r="AK335" s="336"/>
      <c r="AL335" s="336"/>
      <c r="AM335" s="336"/>
      <c r="AN335" s="336"/>
      <c r="AO335" s="336"/>
      <c r="AP335" s="336"/>
      <c r="AQ335" s="336"/>
      <c r="AR335" s="336"/>
      <c r="AS335" s="336"/>
      <c r="AT335" s="336"/>
      <c r="AU335" s="336"/>
      <c r="AV335" s="336"/>
      <c r="AW335" s="336"/>
      <c r="AX335" s="336"/>
      <c r="AY335" s="336"/>
      <c r="AZ335" s="336"/>
      <c r="BA335" s="336"/>
      <c r="BB335" s="336"/>
      <c r="BC335" s="336"/>
      <c r="BD335" s="336"/>
      <c r="BE335" s="336"/>
      <c r="BF335" s="336"/>
    </row>
    <row r="336" spans="1:58" s="351" customFormat="1" x14ac:dyDescent="0.25">
      <c r="A336" s="336"/>
      <c r="B336" s="336"/>
      <c r="C336" s="336"/>
      <c r="D336" s="336"/>
      <c r="E336" s="336"/>
      <c r="F336" s="336"/>
      <c r="G336" s="336"/>
      <c r="H336" s="336"/>
      <c r="M336" s="352"/>
      <c r="N336" s="353"/>
      <c r="O336" s="353"/>
      <c r="T336" s="377"/>
      <c r="U336" s="352"/>
      <c r="V336" s="352"/>
      <c r="W336" s="352"/>
      <c r="X336" s="375"/>
      <c r="Y336" s="375"/>
      <c r="Z336" s="336"/>
      <c r="AA336" s="353"/>
      <c r="AB336" s="336"/>
      <c r="AC336" s="336"/>
      <c r="AD336" s="336"/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336"/>
      <c r="AS336" s="336"/>
      <c r="AT336" s="336"/>
      <c r="AU336" s="336"/>
      <c r="AV336" s="336"/>
      <c r="AW336" s="336"/>
      <c r="AX336" s="336"/>
      <c r="AY336" s="336"/>
      <c r="AZ336" s="336"/>
      <c r="BA336" s="336"/>
      <c r="BB336" s="336"/>
      <c r="BC336" s="336"/>
      <c r="BD336" s="336"/>
      <c r="BE336" s="336"/>
      <c r="BF336" s="336"/>
    </row>
    <row r="337" spans="1:58" s="351" customFormat="1" x14ac:dyDescent="0.25">
      <c r="A337" s="336"/>
      <c r="B337" s="336"/>
      <c r="C337" s="336"/>
      <c r="D337" s="336"/>
      <c r="E337" s="336"/>
      <c r="F337" s="336"/>
      <c r="G337" s="336"/>
      <c r="H337" s="336"/>
      <c r="M337" s="352"/>
      <c r="N337" s="353"/>
      <c r="O337" s="353"/>
      <c r="T337" s="377"/>
      <c r="U337" s="352"/>
      <c r="V337" s="352"/>
      <c r="W337" s="352"/>
      <c r="X337" s="375"/>
      <c r="Y337" s="375"/>
      <c r="Z337" s="336"/>
      <c r="AA337" s="353"/>
      <c r="AB337" s="336"/>
      <c r="AC337" s="336"/>
      <c r="AD337" s="336"/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336"/>
      <c r="AS337" s="336"/>
      <c r="AT337" s="336"/>
      <c r="AU337" s="336"/>
      <c r="AV337" s="336"/>
      <c r="AW337" s="336"/>
      <c r="AX337" s="336"/>
      <c r="AY337" s="336"/>
      <c r="AZ337" s="336"/>
      <c r="BA337" s="336"/>
      <c r="BB337" s="336"/>
      <c r="BC337" s="336"/>
      <c r="BD337" s="336"/>
      <c r="BE337" s="336"/>
      <c r="BF337" s="336"/>
    </row>
    <row r="338" spans="1:58" s="351" customFormat="1" x14ac:dyDescent="0.25">
      <c r="A338" s="336"/>
      <c r="B338" s="336"/>
      <c r="C338" s="336"/>
      <c r="D338" s="336"/>
      <c r="E338" s="336"/>
      <c r="F338" s="336"/>
      <c r="G338" s="336"/>
      <c r="H338" s="336"/>
      <c r="M338" s="352"/>
      <c r="N338" s="353"/>
      <c r="O338" s="353"/>
      <c r="T338" s="377"/>
      <c r="U338" s="352"/>
      <c r="V338" s="352"/>
      <c r="W338" s="352"/>
      <c r="X338" s="375"/>
      <c r="Y338" s="375"/>
      <c r="Z338" s="336"/>
      <c r="AA338" s="353"/>
      <c r="AB338" s="336"/>
      <c r="AC338" s="336"/>
      <c r="AD338" s="336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336"/>
      <c r="AS338" s="336"/>
      <c r="AT338" s="336"/>
      <c r="AU338" s="336"/>
      <c r="AV338" s="336"/>
      <c r="AW338" s="336"/>
      <c r="AX338" s="336"/>
      <c r="AY338" s="336"/>
      <c r="AZ338" s="336"/>
      <c r="BA338" s="336"/>
      <c r="BB338" s="336"/>
      <c r="BC338" s="336"/>
      <c r="BD338" s="336"/>
      <c r="BE338" s="336"/>
      <c r="BF338" s="336"/>
    </row>
    <row r="339" spans="1:58" s="351" customFormat="1" x14ac:dyDescent="0.25">
      <c r="A339" s="336"/>
      <c r="B339" s="336"/>
      <c r="C339" s="336"/>
      <c r="D339" s="336"/>
      <c r="E339" s="336"/>
      <c r="F339" s="336"/>
      <c r="G339" s="336"/>
      <c r="H339" s="336"/>
      <c r="M339" s="352"/>
      <c r="N339" s="353"/>
      <c r="O339" s="353"/>
      <c r="T339" s="377"/>
      <c r="U339" s="352"/>
      <c r="V339" s="352"/>
      <c r="W339" s="352"/>
      <c r="X339" s="375"/>
      <c r="Y339" s="375"/>
      <c r="Z339" s="336"/>
      <c r="AA339" s="353"/>
      <c r="AB339" s="336"/>
      <c r="AC339" s="336"/>
      <c r="AD339" s="336"/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336"/>
      <c r="AS339" s="336"/>
      <c r="AT339" s="336"/>
      <c r="AU339" s="336"/>
      <c r="AV339" s="336"/>
      <c r="AW339" s="336"/>
      <c r="AX339" s="336"/>
      <c r="AY339" s="336"/>
      <c r="AZ339" s="336"/>
      <c r="BA339" s="336"/>
      <c r="BB339" s="336"/>
      <c r="BC339" s="336"/>
      <c r="BD339" s="336"/>
      <c r="BE339" s="336"/>
      <c r="BF339" s="336"/>
    </row>
    <row r="340" spans="1:58" s="351" customFormat="1" x14ac:dyDescent="0.25">
      <c r="A340" s="336"/>
      <c r="B340" s="336"/>
      <c r="C340" s="336"/>
      <c r="D340" s="336"/>
      <c r="E340" s="336"/>
      <c r="F340" s="336"/>
      <c r="G340" s="336"/>
      <c r="H340" s="336"/>
      <c r="M340" s="352"/>
      <c r="N340" s="353"/>
      <c r="O340" s="353"/>
      <c r="T340" s="377"/>
      <c r="U340" s="352"/>
      <c r="V340" s="352"/>
      <c r="W340" s="352"/>
      <c r="X340" s="375"/>
      <c r="Y340" s="375"/>
      <c r="Z340" s="336"/>
      <c r="AA340" s="353"/>
      <c r="AB340" s="336"/>
      <c r="AC340" s="336"/>
      <c r="AD340" s="336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336"/>
      <c r="AS340" s="336"/>
      <c r="AT340" s="336"/>
      <c r="AU340" s="336"/>
      <c r="AV340" s="336"/>
      <c r="AW340" s="336"/>
      <c r="AX340" s="336"/>
      <c r="AY340" s="336"/>
      <c r="AZ340" s="336"/>
      <c r="BA340" s="336"/>
      <c r="BB340" s="336"/>
      <c r="BC340" s="336"/>
      <c r="BD340" s="336"/>
      <c r="BE340" s="336"/>
      <c r="BF340" s="336"/>
    </row>
    <row r="341" spans="1:58" s="351" customFormat="1" x14ac:dyDescent="0.25">
      <c r="A341" s="336"/>
      <c r="B341" s="336"/>
      <c r="C341" s="336"/>
      <c r="D341" s="336"/>
      <c r="E341" s="336"/>
      <c r="F341" s="336"/>
      <c r="G341" s="336"/>
      <c r="H341" s="336"/>
      <c r="M341" s="352"/>
      <c r="N341" s="353"/>
      <c r="O341" s="353"/>
      <c r="T341" s="377"/>
      <c r="U341" s="352"/>
      <c r="V341" s="352"/>
      <c r="W341" s="352"/>
      <c r="X341" s="375"/>
      <c r="Y341" s="375"/>
      <c r="Z341" s="336"/>
      <c r="AA341" s="353"/>
      <c r="AB341" s="336"/>
      <c r="AC341" s="336"/>
      <c r="AD341" s="336"/>
      <c r="AE341" s="336"/>
      <c r="AF341" s="336"/>
      <c r="AG341" s="336"/>
      <c r="AH341" s="336"/>
      <c r="AI341" s="336"/>
      <c r="AJ341" s="336"/>
      <c r="AK341" s="336"/>
      <c r="AL341" s="336"/>
      <c r="AM341" s="336"/>
      <c r="AN341" s="336"/>
      <c r="AO341" s="336"/>
      <c r="AP341" s="336"/>
      <c r="AQ341" s="336"/>
      <c r="AR341" s="336"/>
      <c r="AS341" s="336"/>
      <c r="AT341" s="336"/>
      <c r="AU341" s="336"/>
      <c r="AV341" s="336"/>
      <c r="AW341" s="336"/>
      <c r="AX341" s="336"/>
      <c r="AY341" s="336"/>
      <c r="AZ341" s="336"/>
      <c r="BA341" s="336"/>
      <c r="BB341" s="336"/>
      <c r="BC341" s="336"/>
      <c r="BD341" s="336"/>
      <c r="BE341" s="336"/>
      <c r="BF341" s="336"/>
    </row>
    <row r="342" spans="1:58" s="351" customFormat="1" x14ac:dyDescent="0.25">
      <c r="A342" s="336"/>
      <c r="B342" s="336"/>
      <c r="C342" s="336"/>
      <c r="D342" s="336"/>
      <c r="E342" s="336"/>
      <c r="F342" s="336"/>
      <c r="G342" s="336"/>
      <c r="H342" s="336"/>
      <c r="M342" s="352"/>
      <c r="N342" s="353"/>
      <c r="O342" s="353"/>
      <c r="T342" s="377"/>
      <c r="U342" s="352"/>
      <c r="V342" s="352"/>
      <c r="W342" s="352"/>
      <c r="X342" s="375"/>
      <c r="Y342" s="375"/>
      <c r="Z342" s="336"/>
      <c r="AA342" s="353"/>
      <c r="AB342" s="336"/>
      <c r="AC342" s="336"/>
      <c r="AD342" s="336"/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336"/>
      <c r="AS342" s="336"/>
      <c r="AT342" s="336"/>
      <c r="AU342" s="336"/>
      <c r="AV342" s="336"/>
      <c r="AW342" s="336"/>
      <c r="AX342" s="336"/>
      <c r="AY342" s="336"/>
      <c r="AZ342" s="336"/>
      <c r="BA342" s="336"/>
      <c r="BB342" s="336"/>
      <c r="BC342" s="336"/>
      <c r="BD342" s="336"/>
      <c r="BE342" s="336"/>
      <c r="BF342" s="336"/>
    </row>
    <row r="343" spans="1:58" s="351" customFormat="1" x14ac:dyDescent="0.25">
      <c r="A343" s="336"/>
      <c r="B343" s="336"/>
      <c r="C343" s="336"/>
      <c r="D343" s="336"/>
      <c r="E343" s="336"/>
      <c r="F343" s="336"/>
      <c r="G343" s="336"/>
      <c r="H343" s="336"/>
      <c r="M343" s="352"/>
      <c r="N343" s="353"/>
      <c r="O343" s="353"/>
      <c r="T343" s="377"/>
      <c r="U343" s="352"/>
      <c r="V343" s="352"/>
      <c r="W343" s="352"/>
      <c r="X343" s="375"/>
      <c r="Y343" s="375"/>
      <c r="Z343" s="336"/>
      <c r="AA343" s="353"/>
      <c r="AB343" s="336"/>
      <c r="AC343" s="336"/>
      <c r="AD343" s="336"/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336"/>
      <c r="AS343" s="336"/>
      <c r="AT343" s="336"/>
      <c r="AU343" s="336"/>
      <c r="AV343" s="336"/>
      <c r="AW343" s="336"/>
      <c r="AX343" s="336"/>
      <c r="AY343" s="336"/>
      <c r="AZ343" s="336"/>
      <c r="BA343" s="336"/>
      <c r="BB343" s="336"/>
      <c r="BC343" s="336"/>
      <c r="BD343" s="336"/>
      <c r="BE343" s="336"/>
      <c r="BF343" s="336"/>
    </row>
    <row r="344" spans="1:58" s="351" customFormat="1" x14ac:dyDescent="0.25">
      <c r="A344" s="336"/>
      <c r="B344" s="336"/>
      <c r="C344" s="336"/>
      <c r="D344" s="336"/>
      <c r="E344" s="336"/>
      <c r="F344" s="336"/>
      <c r="G344" s="336"/>
      <c r="H344" s="336"/>
      <c r="M344" s="352"/>
      <c r="N344" s="353"/>
      <c r="O344" s="353"/>
      <c r="T344" s="377"/>
      <c r="U344" s="352"/>
      <c r="V344" s="352"/>
      <c r="W344" s="352"/>
      <c r="X344" s="375"/>
      <c r="Y344" s="375"/>
      <c r="Z344" s="336"/>
      <c r="AA344" s="353"/>
      <c r="AB344" s="336"/>
      <c r="AC344" s="336"/>
      <c r="AD344" s="336"/>
      <c r="AE344" s="336"/>
      <c r="AF344" s="336"/>
      <c r="AG344" s="336"/>
      <c r="AH344" s="336"/>
      <c r="AI344" s="336"/>
      <c r="AJ344" s="336"/>
      <c r="AK344" s="336"/>
      <c r="AL344" s="336"/>
      <c r="AM344" s="336"/>
      <c r="AN344" s="336"/>
      <c r="AO344" s="336"/>
      <c r="AP344" s="336"/>
      <c r="AQ344" s="336"/>
      <c r="AR344" s="336"/>
      <c r="AS344" s="336"/>
      <c r="AT344" s="336"/>
      <c r="AU344" s="336"/>
      <c r="AV344" s="336"/>
      <c r="AW344" s="336"/>
      <c r="AX344" s="336"/>
      <c r="AY344" s="336"/>
      <c r="AZ344" s="336"/>
      <c r="BA344" s="336"/>
      <c r="BB344" s="336"/>
      <c r="BC344" s="336"/>
      <c r="BD344" s="336"/>
      <c r="BE344" s="336"/>
      <c r="BF344" s="336"/>
    </row>
    <row r="345" spans="1:58" s="351" customFormat="1" x14ac:dyDescent="0.25">
      <c r="A345" s="336"/>
      <c r="B345" s="336"/>
      <c r="C345" s="336"/>
      <c r="D345" s="336"/>
      <c r="E345" s="336"/>
      <c r="F345" s="336"/>
      <c r="G345" s="336"/>
      <c r="H345" s="336"/>
      <c r="M345" s="352"/>
      <c r="N345" s="353"/>
      <c r="O345" s="353"/>
      <c r="T345" s="377"/>
      <c r="U345" s="352"/>
      <c r="V345" s="352"/>
      <c r="W345" s="352"/>
      <c r="X345" s="375"/>
      <c r="Y345" s="375"/>
      <c r="Z345" s="336"/>
      <c r="AA345" s="353"/>
      <c r="AB345" s="336"/>
      <c r="AC345" s="336"/>
      <c r="AD345" s="336"/>
      <c r="AE345" s="336"/>
      <c r="AF345" s="336"/>
      <c r="AG345" s="336"/>
      <c r="AH345" s="336"/>
      <c r="AI345" s="336"/>
      <c r="AJ345" s="336"/>
      <c r="AK345" s="336"/>
      <c r="AL345" s="336"/>
      <c r="AM345" s="336"/>
      <c r="AN345" s="336"/>
      <c r="AO345" s="336"/>
      <c r="AP345" s="336"/>
      <c r="AQ345" s="336"/>
      <c r="AR345" s="336"/>
      <c r="AS345" s="336"/>
      <c r="AT345" s="336"/>
      <c r="AU345" s="336"/>
      <c r="AV345" s="336"/>
      <c r="AW345" s="336"/>
      <c r="AX345" s="336"/>
      <c r="AY345" s="336"/>
      <c r="AZ345" s="336"/>
      <c r="BA345" s="336"/>
      <c r="BB345" s="336"/>
      <c r="BC345" s="336"/>
      <c r="BD345" s="336"/>
      <c r="BE345" s="336"/>
      <c r="BF345" s="336"/>
    </row>
    <row r="346" spans="1:58" s="351" customFormat="1" x14ac:dyDescent="0.25">
      <c r="A346" s="336"/>
      <c r="B346" s="336"/>
      <c r="C346" s="336"/>
      <c r="D346" s="336"/>
      <c r="E346" s="336"/>
      <c r="F346" s="336"/>
      <c r="G346" s="336"/>
      <c r="H346" s="336"/>
      <c r="M346" s="352"/>
      <c r="N346" s="353"/>
      <c r="O346" s="353"/>
      <c r="T346" s="377"/>
      <c r="U346" s="352"/>
      <c r="V346" s="352"/>
      <c r="W346" s="352"/>
      <c r="X346" s="375"/>
      <c r="Y346" s="375"/>
      <c r="Z346" s="336"/>
      <c r="AA346" s="353"/>
      <c r="AB346" s="336"/>
      <c r="AC346" s="336"/>
      <c r="AD346" s="336"/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336"/>
      <c r="AS346" s="336"/>
      <c r="AT346" s="336"/>
      <c r="AU346" s="336"/>
      <c r="AV346" s="336"/>
      <c r="AW346" s="336"/>
      <c r="AX346" s="336"/>
      <c r="AY346" s="336"/>
      <c r="AZ346" s="336"/>
      <c r="BA346" s="336"/>
      <c r="BB346" s="336"/>
      <c r="BC346" s="336"/>
      <c r="BD346" s="336"/>
      <c r="BE346" s="336"/>
      <c r="BF346" s="336"/>
    </row>
    <row r="347" spans="1:58" s="351" customFormat="1" x14ac:dyDescent="0.25">
      <c r="A347" s="336"/>
      <c r="B347" s="336"/>
      <c r="C347" s="336"/>
      <c r="D347" s="336"/>
      <c r="E347" s="336"/>
      <c r="F347" s="336"/>
      <c r="G347" s="336"/>
      <c r="H347" s="336"/>
      <c r="M347" s="352"/>
      <c r="N347" s="353"/>
      <c r="O347" s="353"/>
      <c r="T347" s="377"/>
      <c r="U347" s="352"/>
      <c r="V347" s="352"/>
      <c r="W347" s="352"/>
      <c r="X347" s="375"/>
      <c r="Y347" s="375"/>
      <c r="Z347" s="336"/>
      <c r="AA347" s="353"/>
      <c r="AB347" s="336"/>
      <c r="AC347" s="336"/>
      <c r="AD347" s="336"/>
      <c r="AE347" s="336"/>
      <c r="AF347" s="336"/>
      <c r="AG347" s="336"/>
      <c r="AH347" s="336"/>
      <c r="AI347" s="336"/>
      <c r="AJ347" s="336"/>
      <c r="AK347" s="336"/>
      <c r="AL347" s="336"/>
      <c r="AM347" s="336"/>
      <c r="AN347" s="336"/>
      <c r="AO347" s="336"/>
      <c r="AP347" s="336"/>
      <c r="AQ347" s="336"/>
      <c r="AR347" s="336"/>
      <c r="AS347" s="336"/>
      <c r="AT347" s="336"/>
      <c r="AU347" s="336"/>
      <c r="AV347" s="336"/>
      <c r="AW347" s="336"/>
      <c r="AX347" s="336"/>
      <c r="AY347" s="336"/>
      <c r="AZ347" s="336"/>
      <c r="BA347" s="336"/>
      <c r="BB347" s="336"/>
      <c r="BC347" s="336"/>
      <c r="BD347" s="336"/>
      <c r="BE347" s="336"/>
      <c r="BF347" s="336"/>
    </row>
    <row r="348" spans="1:58" s="351" customFormat="1" x14ac:dyDescent="0.25">
      <c r="A348" s="336"/>
      <c r="B348" s="336"/>
      <c r="C348" s="336"/>
      <c r="D348" s="336"/>
      <c r="E348" s="336"/>
      <c r="F348" s="336"/>
      <c r="G348" s="336"/>
      <c r="H348" s="336"/>
      <c r="M348" s="352"/>
      <c r="N348" s="353"/>
      <c r="O348" s="353"/>
      <c r="T348" s="377"/>
      <c r="U348" s="352"/>
      <c r="V348" s="352"/>
      <c r="W348" s="352"/>
      <c r="X348" s="375"/>
      <c r="Y348" s="375"/>
      <c r="Z348" s="336"/>
      <c r="AA348" s="353"/>
      <c r="AB348" s="336"/>
      <c r="AC348" s="336"/>
      <c r="AD348" s="336"/>
      <c r="AE348" s="336"/>
      <c r="AF348" s="336"/>
      <c r="AG348" s="336"/>
      <c r="AH348" s="336"/>
      <c r="AI348" s="336"/>
      <c r="AJ348" s="336"/>
      <c r="AK348" s="336"/>
      <c r="AL348" s="336"/>
      <c r="AM348" s="336"/>
      <c r="AN348" s="336"/>
      <c r="AO348" s="336"/>
      <c r="AP348" s="336"/>
      <c r="AQ348" s="336"/>
      <c r="AR348" s="336"/>
      <c r="AS348" s="336"/>
      <c r="AT348" s="336"/>
      <c r="AU348" s="336"/>
      <c r="AV348" s="336"/>
      <c r="AW348" s="336"/>
      <c r="AX348" s="336"/>
      <c r="AY348" s="336"/>
      <c r="AZ348" s="336"/>
      <c r="BA348" s="336"/>
      <c r="BB348" s="336"/>
      <c r="BC348" s="336"/>
      <c r="BD348" s="336"/>
      <c r="BE348" s="336"/>
      <c r="BF348" s="336"/>
    </row>
    <row r="349" spans="1:58" s="351" customFormat="1" x14ac:dyDescent="0.25">
      <c r="A349" s="336"/>
      <c r="B349" s="336"/>
      <c r="C349" s="336"/>
      <c r="D349" s="336"/>
      <c r="E349" s="336"/>
      <c r="F349" s="336"/>
      <c r="G349" s="336"/>
      <c r="H349" s="336"/>
      <c r="M349" s="352"/>
      <c r="N349" s="353"/>
      <c r="O349" s="353"/>
      <c r="T349" s="377"/>
      <c r="U349" s="352"/>
      <c r="V349" s="352"/>
      <c r="W349" s="352"/>
      <c r="X349" s="375"/>
      <c r="Y349" s="375"/>
      <c r="Z349" s="336"/>
      <c r="AA349" s="353"/>
      <c r="AB349" s="336"/>
      <c r="AC349" s="336"/>
      <c r="AD349" s="336"/>
      <c r="AE349" s="336"/>
      <c r="AF349" s="336"/>
      <c r="AG349" s="336"/>
      <c r="AH349" s="336"/>
      <c r="AI349" s="336"/>
      <c r="AJ349" s="336"/>
      <c r="AK349" s="336"/>
      <c r="AL349" s="336"/>
      <c r="AM349" s="336"/>
      <c r="AN349" s="336"/>
      <c r="AO349" s="336"/>
      <c r="AP349" s="336"/>
      <c r="AQ349" s="336"/>
      <c r="AR349" s="336"/>
      <c r="AS349" s="336"/>
      <c r="AT349" s="336"/>
      <c r="AU349" s="336"/>
      <c r="AV349" s="336"/>
      <c r="AW349" s="336"/>
      <c r="AX349" s="336"/>
      <c r="AY349" s="336"/>
      <c r="AZ349" s="336"/>
      <c r="BA349" s="336"/>
      <c r="BB349" s="336"/>
      <c r="BC349" s="336"/>
      <c r="BD349" s="336"/>
      <c r="BE349" s="336"/>
      <c r="BF349" s="336"/>
    </row>
    <row r="350" spans="1:58" s="351" customFormat="1" x14ac:dyDescent="0.25">
      <c r="A350" s="336"/>
      <c r="B350" s="336"/>
      <c r="C350" s="336"/>
      <c r="D350" s="336"/>
      <c r="E350" s="336"/>
      <c r="F350" s="336"/>
      <c r="G350" s="336"/>
      <c r="H350" s="336"/>
      <c r="M350" s="352"/>
      <c r="N350" s="353"/>
      <c r="O350" s="353"/>
      <c r="T350" s="377"/>
      <c r="U350" s="352"/>
      <c r="V350" s="352"/>
      <c r="W350" s="352"/>
      <c r="X350" s="375"/>
      <c r="Y350" s="375"/>
      <c r="Z350" s="336"/>
      <c r="AA350" s="353"/>
      <c r="AB350" s="336"/>
      <c r="AC350" s="336"/>
      <c r="AD350" s="336"/>
      <c r="AE350" s="336"/>
      <c r="AF350" s="336"/>
      <c r="AG350" s="336"/>
      <c r="AH350" s="336"/>
      <c r="AI350" s="336"/>
      <c r="AJ350" s="336"/>
      <c r="AK350" s="336"/>
      <c r="AL350" s="336"/>
      <c r="AM350" s="336"/>
      <c r="AN350" s="336"/>
      <c r="AO350" s="336"/>
      <c r="AP350" s="336"/>
      <c r="AQ350" s="336"/>
      <c r="AR350" s="336"/>
      <c r="AS350" s="336"/>
      <c r="AT350" s="336"/>
      <c r="AU350" s="336"/>
      <c r="AV350" s="336"/>
      <c r="AW350" s="336"/>
      <c r="AX350" s="336"/>
      <c r="AY350" s="336"/>
      <c r="AZ350" s="336"/>
      <c r="BA350" s="336"/>
      <c r="BB350" s="336"/>
      <c r="BC350" s="336"/>
      <c r="BD350" s="336"/>
      <c r="BE350" s="336"/>
      <c r="BF350" s="336"/>
    </row>
    <row r="351" spans="1:58" s="351" customFormat="1" x14ac:dyDescent="0.25">
      <c r="A351" s="336"/>
      <c r="B351" s="336"/>
      <c r="C351" s="336"/>
      <c r="D351" s="336"/>
      <c r="E351" s="336"/>
      <c r="F351" s="336"/>
      <c r="G351" s="336"/>
      <c r="H351" s="336"/>
      <c r="M351" s="352"/>
      <c r="N351" s="353"/>
      <c r="O351" s="353"/>
      <c r="T351" s="377"/>
      <c r="U351" s="352"/>
      <c r="V351" s="352"/>
      <c r="W351" s="352"/>
      <c r="X351" s="375"/>
      <c r="Y351" s="375"/>
      <c r="Z351" s="336"/>
      <c r="AA351" s="353"/>
      <c r="AB351" s="336"/>
      <c r="AC351" s="336"/>
      <c r="AD351" s="336"/>
      <c r="AE351" s="336"/>
      <c r="AF351" s="336"/>
      <c r="AG351" s="336"/>
      <c r="AH351" s="336"/>
      <c r="AI351" s="336"/>
      <c r="AJ351" s="336"/>
      <c r="AK351" s="336"/>
      <c r="AL351" s="336"/>
      <c r="AM351" s="336"/>
      <c r="AN351" s="336"/>
      <c r="AO351" s="336"/>
      <c r="AP351" s="336"/>
      <c r="AQ351" s="336"/>
      <c r="AR351" s="336"/>
      <c r="AS351" s="336"/>
      <c r="AT351" s="336"/>
      <c r="AU351" s="336"/>
      <c r="AV351" s="336"/>
      <c r="AW351" s="336"/>
      <c r="AX351" s="336"/>
      <c r="AY351" s="336"/>
      <c r="AZ351" s="336"/>
      <c r="BA351" s="336"/>
      <c r="BB351" s="336"/>
      <c r="BC351" s="336"/>
      <c r="BD351" s="336"/>
      <c r="BE351" s="336"/>
      <c r="BF351" s="336"/>
    </row>
    <row r="352" spans="1:58" s="351" customFormat="1" x14ac:dyDescent="0.25">
      <c r="A352" s="336"/>
      <c r="B352" s="336"/>
      <c r="C352" s="336"/>
      <c r="D352" s="336"/>
      <c r="E352" s="336"/>
      <c r="F352" s="336"/>
      <c r="G352" s="336"/>
      <c r="H352" s="336"/>
      <c r="M352" s="352"/>
      <c r="N352" s="353"/>
      <c r="O352" s="353"/>
      <c r="T352" s="377"/>
      <c r="U352" s="352"/>
      <c r="V352" s="352"/>
      <c r="W352" s="352"/>
      <c r="X352" s="375"/>
      <c r="Y352" s="375"/>
      <c r="Z352" s="336"/>
      <c r="AA352" s="353"/>
      <c r="AB352" s="336"/>
      <c r="AC352" s="336"/>
      <c r="AD352" s="336"/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336"/>
      <c r="AS352" s="336"/>
      <c r="AT352" s="336"/>
      <c r="AU352" s="336"/>
      <c r="AV352" s="336"/>
      <c r="AW352" s="336"/>
      <c r="AX352" s="336"/>
      <c r="AY352" s="336"/>
      <c r="AZ352" s="336"/>
      <c r="BA352" s="336"/>
      <c r="BB352" s="336"/>
      <c r="BC352" s="336"/>
      <c r="BD352" s="336"/>
      <c r="BE352" s="336"/>
      <c r="BF352" s="336"/>
    </row>
    <row r="353" spans="1:58" s="351" customFormat="1" x14ac:dyDescent="0.25">
      <c r="A353" s="336"/>
      <c r="B353" s="336"/>
      <c r="C353" s="336"/>
      <c r="D353" s="336"/>
      <c r="E353" s="336"/>
      <c r="F353" s="336"/>
      <c r="G353" s="336"/>
      <c r="H353" s="336"/>
      <c r="M353" s="352"/>
      <c r="N353" s="353"/>
      <c r="O353" s="353"/>
      <c r="T353" s="377"/>
      <c r="U353" s="352"/>
      <c r="V353" s="352"/>
      <c r="W353" s="352"/>
      <c r="X353" s="375"/>
      <c r="Y353" s="375"/>
      <c r="Z353" s="336"/>
      <c r="AA353" s="353"/>
      <c r="AB353" s="336"/>
      <c r="AC353" s="336"/>
      <c r="AD353" s="336"/>
      <c r="AE353" s="336"/>
      <c r="AF353" s="336"/>
      <c r="AG353" s="336"/>
      <c r="AH353" s="336"/>
      <c r="AI353" s="336"/>
      <c r="AJ353" s="336"/>
      <c r="AK353" s="336"/>
      <c r="AL353" s="336"/>
      <c r="AM353" s="336"/>
      <c r="AN353" s="336"/>
      <c r="AO353" s="336"/>
      <c r="AP353" s="336"/>
      <c r="AQ353" s="336"/>
      <c r="AR353" s="336"/>
      <c r="AS353" s="336"/>
      <c r="AT353" s="336"/>
      <c r="AU353" s="336"/>
      <c r="AV353" s="336"/>
      <c r="AW353" s="336"/>
      <c r="AX353" s="336"/>
      <c r="AY353" s="336"/>
      <c r="AZ353" s="336"/>
      <c r="BA353" s="336"/>
      <c r="BB353" s="336"/>
      <c r="BC353" s="336"/>
      <c r="BD353" s="336"/>
      <c r="BE353" s="336"/>
      <c r="BF353" s="336"/>
    </row>
    <row r="354" spans="1:58" s="351" customFormat="1" x14ac:dyDescent="0.25">
      <c r="A354" s="336"/>
      <c r="B354" s="336"/>
      <c r="C354" s="336"/>
      <c r="D354" s="336"/>
      <c r="E354" s="336"/>
      <c r="F354" s="336"/>
      <c r="G354" s="336"/>
      <c r="H354" s="336"/>
      <c r="M354" s="352"/>
      <c r="N354" s="353"/>
      <c r="O354" s="353"/>
      <c r="T354" s="377"/>
      <c r="U354" s="352"/>
      <c r="V354" s="352"/>
      <c r="W354" s="352"/>
      <c r="X354" s="375"/>
      <c r="Y354" s="375"/>
      <c r="Z354" s="336"/>
      <c r="AA354" s="353"/>
      <c r="AB354" s="336"/>
      <c r="AC354" s="336"/>
      <c r="AD354" s="336"/>
      <c r="AE354" s="336"/>
      <c r="AF354" s="336"/>
      <c r="AG354" s="336"/>
      <c r="AH354" s="336"/>
      <c r="AI354" s="336"/>
      <c r="AJ354" s="336"/>
      <c r="AK354" s="336"/>
      <c r="AL354" s="336"/>
      <c r="AM354" s="336"/>
      <c r="AN354" s="336"/>
      <c r="AO354" s="336"/>
      <c r="AP354" s="336"/>
      <c r="AQ354" s="336"/>
      <c r="AR354" s="336"/>
      <c r="AS354" s="336"/>
      <c r="AT354" s="336"/>
      <c r="AU354" s="336"/>
      <c r="AV354" s="336"/>
      <c r="AW354" s="336"/>
      <c r="AX354" s="336"/>
      <c r="AY354" s="336"/>
      <c r="AZ354" s="336"/>
      <c r="BA354" s="336"/>
      <c r="BB354" s="336"/>
      <c r="BC354" s="336"/>
      <c r="BD354" s="336"/>
      <c r="BE354" s="336"/>
      <c r="BF354" s="336"/>
    </row>
    <row r="355" spans="1:58" s="351" customFormat="1" x14ac:dyDescent="0.25">
      <c r="A355" s="336"/>
      <c r="B355" s="336"/>
      <c r="C355" s="336"/>
      <c r="D355" s="336"/>
      <c r="E355" s="336"/>
      <c r="F355" s="336"/>
      <c r="G355" s="336"/>
      <c r="H355" s="336"/>
      <c r="M355" s="352"/>
      <c r="N355" s="353"/>
      <c r="O355" s="353"/>
      <c r="T355" s="377"/>
      <c r="U355" s="352"/>
      <c r="V355" s="352"/>
      <c r="W355" s="352"/>
      <c r="X355" s="375"/>
      <c r="Y355" s="375"/>
      <c r="Z355" s="336"/>
      <c r="AA355" s="353"/>
      <c r="AB355" s="336"/>
      <c r="AC355" s="336"/>
      <c r="AD355" s="336"/>
      <c r="AE355" s="336"/>
      <c r="AF355" s="336"/>
      <c r="AG355" s="336"/>
      <c r="AH355" s="336"/>
      <c r="AI355" s="336"/>
      <c r="AJ355" s="336"/>
      <c r="AK355" s="336"/>
      <c r="AL355" s="336"/>
      <c r="AM355" s="336"/>
      <c r="AN355" s="336"/>
      <c r="AO355" s="336"/>
      <c r="AP355" s="336"/>
      <c r="AQ355" s="336"/>
      <c r="AR355" s="336"/>
      <c r="AS355" s="336"/>
      <c r="AT355" s="336"/>
      <c r="AU355" s="336"/>
      <c r="AV355" s="336"/>
      <c r="AW355" s="336"/>
      <c r="AX355" s="336"/>
      <c r="AY355" s="336"/>
      <c r="AZ355" s="336"/>
      <c r="BA355" s="336"/>
      <c r="BB355" s="336"/>
      <c r="BC355" s="336"/>
      <c r="BD355" s="336"/>
      <c r="BE355" s="336"/>
      <c r="BF355" s="336"/>
    </row>
    <row r="356" spans="1:58" s="351" customFormat="1" x14ac:dyDescent="0.25">
      <c r="A356" s="336"/>
      <c r="B356" s="336"/>
      <c r="C356" s="336"/>
      <c r="D356" s="336"/>
      <c r="E356" s="336"/>
      <c r="F356" s="336"/>
      <c r="G356" s="336"/>
      <c r="H356" s="336"/>
      <c r="M356" s="352"/>
      <c r="N356" s="353"/>
      <c r="O356" s="353"/>
      <c r="T356" s="377"/>
      <c r="U356" s="352"/>
      <c r="V356" s="352"/>
      <c r="W356" s="352"/>
      <c r="X356" s="375"/>
      <c r="Y356" s="375"/>
      <c r="Z356" s="336"/>
      <c r="AA356" s="353"/>
      <c r="AB356" s="336"/>
      <c r="AC356" s="336"/>
      <c r="AD356" s="336"/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336"/>
      <c r="AS356" s="336"/>
      <c r="AT356" s="336"/>
      <c r="AU356" s="336"/>
      <c r="AV356" s="336"/>
      <c r="AW356" s="336"/>
      <c r="AX356" s="336"/>
      <c r="AY356" s="336"/>
      <c r="AZ356" s="336"/>
      <c r="BA356" s="336"/>
      <c r="BB356" s="336"/>
      <c r="BC356" s="336"/>
      <c r="BD356" s="336"/>
      <c r="BE356" s="336"/>
      <c r="BF356" s="336"/>
    </row>
    <row r="357" spans="1:58" s="351" customFormat="1" x14ac:dyDescent="0.25">
      <c r="A357" s="336"/>
      <c r="B357" s="336"/>
      <c r="C357" s="336"/>
      <c r="D357" s="336"/>
      <c r="E357" s="336"/>
      <c r="F357" s="336"/>
      <c r="G357" s="336"/>
      <c r="H357" s="336"/>
      <c r="M357" s="352"/>
      <c r="N357" s="353"/>
      <c r="O357" s="353"/>
      <c r="T357" s="377"/>
      <c r="U357" s="352"/>
      <c r="V357" s="352"/>
      <c r="W357" s="352"/>
      <c r="X357" s="375"/>
      <c r="Y357" s="375"/>
      <c r="Z357" s="336"/>
      <c r="AA357" s="353"/>
      <c r="AB357" s="336"/>
      <c r="AC357" s="336"/>
      <c r="AD357" s="336"/>
      <c r="AE357" s="336"/>
      <c r="AF357" s="336"/>
      <c r="AG357" s="336"/>
      <c r="AH357" s="336"/>
      <c r="AI357" s="336"/>
      <c r="AJ357" s="336"/>
      <c r="AK357" s="336"/>
      <c r="AL357" s="336"/>
      <c r="AM357" s="336"/>
      <c r="AN357" s="336"/>
      <c r="AO357" s="336"/>
      <c r="AP357" s="336"/>
      <c r="AQ357" s="336"/>
      <c r="AR357" s="336"/>
      <c r="AS357" s="336"/>
      <c r="AT357" s="336"/>
      <c r="AU357" s="336"/>
      <c r="AV357" s="336"/>
      <c r="AW357" s="336"/>
      <c r="AX357" s="336"/>
      <c r="AY357" s="336"/>
      <c r="AZ357" s="336"/>
      <c r="BA357" s="336"/>
      <c r="BB357" s="336"/>
      <c r="BC357" s="336"/>
      <c r="BD357" s="336"/>
      <c r="BE357" s="336"/>
      <c r="BF357" s="336"/>
    </row>
    <row r="358" spans="1:58" s="351" customFormat="1" x14ac:dyDescent="0.25">
      <c r="A358" s="336"/>
      <c r="B358" s="336"/>
      <c r="C358" s="336"/>
      <c r="D358" s="336"/>
      <c r="E358" s="336"/>
      <c r="F358" s="336"/>
      <c r="G358" s="336"/>
      <c r="H358" s="336"/>
      <c r="M358" s="352"/>
      <c r="N358" s="353"/>
      <c r="O358" s="353"/>
      <c r="T358" s="377"/>
      <c r="U358" s="352"/>
      <c r="V358" s="352"/>
      <c r="W358" s="352"/>
      <c r="X358" s="375"/>
      <c r="Y358" s="375"/>
      <c r="Z358" s="336"/>
      <c r="AA358" s="353"/>
      <c r="AB358" s="336"/>
      <c r="AC358" s="336"/>
      <c r="AD358" s="336"/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336"/>
      <c r="AS358" s="336"/>
      <c r="AT358" s="336"/>
      <c r="AU358" s="336"/>
      <c r="AV358" s="336"/>
      <c r="AW358" s="336"/>
      <c r="AX358" s="336"/>
      <c r="AY358" s="336"/>
      <c r="AZ358" s="336"/>
      <c r="BA358" s="336"/>
      <c r="BB358" s="336"/>
      <c r="BC358" s="336"/>
      <c r="BD358" s="336"/>
      <c r="BE358" s="336"/>
      <c r="BF358" s="336"/>
    </row>
    <row r="359" spans="1:58" s="351" customFormat="1" x14ac:dyDescent="0.25">
      <c r="A359" s="336"/>
      <c r="B359" s="336"/>
      <c r="C359" s="336"/>
      <c r="D359" s="336"/>
      <c r="E359" s="336"/>
      <c r="F359" s="336"/>
      <c r="G359" s="336"/>
      <c r="H359" s="336"/>
      <c r="M359" s="352"/>
      <c r="N359" s="353"/>
      <c r="O359" s="353"/>
      <c r="T359" s="377"/>
      <c r="U359" s="352"/>
      <c r="V359" s="352"/>
      <c r="W359" s="352"/>
      <c r="X359" s="375"/>
      <c r="Y359" s="375"/>
      <c r="Z359" s="336"/>
      <c r="AA359" s="353"/>
      <c r="AB359" s="336"/>
      <c r="AC359" s="336"/>
      <c r="AD359" s="336"/>
      <c r="AE359" s="336"/>
      <c r="AF359" s="336"/>
      <c r="AG359" s="336"/>
      <c r="AH359" s="336"/>
      <c r="AI359" s="336"/>
      <c r="AJ359" s="336"/>
      <c r="AK359" s="336"/>
      <c r="AL359" s="336"/>
      <c r="AM359" s="336"/>
      <c r="AN359" s="336"/>
      <c r="AO359" s="336"/>
      <c r="AP359" s="336"/>
      <c r="AQ359" s="336"/>
      <c r="AR359" s="336"/>
      <c r="AS359" s="336"/>
      <c r="AT359" s="336"/>
      <c r="AU359" s="336"/>
      <c r="AV359" s="336"/>
      <c r="AW359" s="336"/>
      <c r="AX359" s="336"/>
      <c r="AY359" s="336"/>
      <c r="AZ359" s="336"/>
      <c r="BA359" s="336"/>
      <c r="BB359" s="336"/>
      <c r="BC359" s="336"/>
      <c r="BD359" s="336"/>
      <c r="BE359" s="336"/>
      <c r="BF359" s="336"/>
    </row>
    <row r="360" spans="1:58" s="351" customFormat="1" x14ac:dyDescent="0.25">
      <c r="A360" s="336"/>
      <c r="B360" s="336"/>
      <c r="C360" s="336"/>
      <c r="D360" s="336"/>
      <c r="E360" s="336"/>
      <c r="F360" s="336"/>
      <c r="G360" s="336"/>
      <c r="H360" s="336"/>
      <c r="M360" s="352"/>
      <c r="N360" s="353"/>
      <c r="O360" s="353"/>
      <c r="T360" s="377"/>
      <c r="U360" s="352"/>
      <c r="V360" s="352"/>
      <c r="W360" s="352"/>
      <c r="X360" s="375"/>
      <c r="Y360" s="375"/>
      <c r="Z360" s="336"/>
      <c r="AA360" s="353"/>
      <c r="AB360" s="336"/>
      <c r="AC360" s="336"/>
      <c r="AD360" s="336"/>
      <c r="AE360" s="336"/>
      <c r="AF360" s="336"/>
      <c r="AG360" s="336"/>
      <c r="AH360" s="336"/>
      <c r="AI360" s="336"/>
      <c r="AJ360" s="336"/>
      <c r="AK360" s="336"/>
      <c r="AL360" s="336"/>
      <c r="AM360" s="336"/>
      <c r="AN360" s="336"/>
      <c r="AO360" s="336"/>
      <c r="AP360" s="336"/>
      <c r="AQ360" s="336"/>
      <c r="AR360" s="336"/>
      <c r="AS360" s="336"/>
      <c r="AT360" s="336"/>
      <c r="AU360" s="336"/>
      <c r="AV360" s="336"/>
      <c r="AW360" s="336"/>
      <c r="AX360" s="336"/>
      <c r="AY360" s="336"/>
      <c r="AZ360" s="336"/>
      <c r="BA360" s="336"/>
      <c r="BB360" s="336"/>
      <c r="BC360" s="336"/>
      <c r="BD360" s="336"/>
      <c r="BE360" s="336"/>
      <c r="BF360" s="336"/>
    </row>
    <row r="361" spans="1:58" x14ac:dyDescent="0.25">
      <c r="O361" s="353"/>
    </row>
    <row r="362" spans="1:58" x14ac:dyDescent="0.25">
      <c r="O362" s="353"/>
    </row>
    <row r="363" spans="1:58" x14ac:dyDescent="0.25">
      <c r="O363" s="353"/>
    </row>
    <row r="364" spans="1:58" x14ac:dyDescent="0.25">
      <c r="O364" s="353"/>
    </row>
    <row r="365" spans="1:58" x14ac:dyDescent="0.25">
      <c r="O365" s="353"/>
    </row>
    <row r="366" spans="1:58" x14ac:dyDescent="0.25">
      <c r="O366" s="353"/>
    </row>
    <row r="367" spans="1:58" x14ac:dyDescent="0.25">
      <c r="O367" s="353"/>
    </row>
    <row r="368" spans="1:58" x14ac:dyDescent="0.25">
      <c r="O368" s="353"/>
    </row>
    <row r="369" spans="1:58" x14ac:dyDescent="0.25">
      <c r="O369" s="353"/>
    </row>
    <row r="370" spans="1:58" x14ac:dyDescent="0.25">
      <c r="O370" s="353"/>
    </row>
    <row r="371" spans="1:58" x14ac:dyDescent="0.25">
      <c r="O371" s="353"/>
    </row>
    <row r="372" spans="1:58" x14ac:dyDescent="0.25">
      <c r="O372" s="353"/>
    </row>
    <row r="373" spans="1:58" x14ac:dyDescent="0.25">
      <c r="O373" s="353"/>
    </row>
    <row r="374" spans="1:58" x14ac:dyDescent="0.25">
      <c r="O374" s="353"/>
    </row>
    <row r="375" spans="1:58" x14ac:dyDescent="0.25">
      <c r="I375" s="336"/>
      <c r="J375" s="336"/>
      <c r="K375" s="336"/>
      <c r="L375" s="336"/>
      <c r="M375" s="336"/>
      <c r="N375" s="336"/>
      <c r="O375" s="353"/>
      <c r="P375" s="336"/>
      <c r="Q375" s="336"/>
      <c r="R375" s="336"/>
      <c r="S375" s="336"/>
      <c r="U375" s="336"/>
      <c r="V375" s="336"/>
      <c r="W375" s="336"/>
      <c r="X375" s="336"/>
      <c r="Y375" s="336"/>
      <c r="AA375" s="336"/>
    </row>
    <row r="376" spans="1:58" x14ac:dyDescent="0.25">
      <c r="O376" s="353"/>
    </row>
    <row r="377" spans="1:58" s="351" customFormat="1" x14ac:dyDescent="0.25">
      <c r="A377" s="336"/>
      <c r="B377" s="336"/>
      <c r="C377" s="336"/>
      <c r="D377" s="336"/>
      <c r="E377" s="336"/>
      <c r="F377" s="336"/>
      <c r="G377" s="336"/>
      <c r="H377" s="336"/>
      <c r="M377" s="352"/>
      <c r="N377" s="353"/>
      <c r="O377" s="353"/>
      <c r="T377" s="377"/>
      <c r="U377" s="352"/>
      <c r="V377" s="352"/>
      <c r="W377" s="352"/>
      <c r="X377" s="375"/>
      <c r="Y377" s="375"/>
      <c r="Z377" s="336"/>
      <c r="AA377" s="353"/>
      <c r="AB377" s="336"/>
      <c r="AC377" s="336"/>
      <c r="AD377" s="336"/>
      <c r="AE377" s="336"/>
      <c r="AF377" s="336"/>
      <c r="AG377" s="336"/>
      <c r="AH377" s="336"/>
      <c r="AI377" s="336"/>
      <c r="AJ377" s="336"/>
      <c r="AK377" s="336"/>
      <c r="AL377" s="336"/>
      <c r="AM377" s="336"/>
      <c r="AN377" s="336"/>
      <c r="AO377" s="336"/>
      <c r="AP377" s="336"/>
      <c r="AQ377" s="336"/>
      <c r="AR377" s="336"/>
      <c r="AS377" s="336"/>
      <c r="AT377" s="336"/>
      <c r="AU377" s="336"/>
      <c r="AV377" s="336"/>
      <c r="AW377" s="336"/>
      <c r="AX377" s="336"/>
      <c r="AY377" s="336"/>
      <c r="AZ377" s="336"/>
      <c r="BA377" s="336"/>
      <c r="BB377" s="336"/>
      <c r="BC377" s="336"/>
      <c r="BD377" s="336"/>
      <c r="BE377" s="336"/>
      <c r="BF377" s="336"/>
    </row>
    <row r="378" spans="1:58" s="351" customFormat="1" x14ac:dyDescent="0.25">
      <c r="A378" s="336"/>
      <c r="B378" s="336"/>
      <c r="C378" s="336"/>
      <c r="D378" s="336"/>
      <c r="E378" s="336"/>
      <c r="F378" s="336"/>
      <c r="G378" s="336"/>
      <c r="H378" s="336"/>
      <c r="M378" s="352"/>
      <c r="N378" s="353"/>
      <c r="O378" s="353"/>
      <c r="T378" s="377"/>
      <c r="U378" s="352"/>
      <c r="V378" s="352"/>
      <c r="W378" s="352"/>
      <c r="X378" s="375"/>
      <c r="Y378" s="375"/>
      <c r="Z378" s="336"/>
      <c r="AA378" s="353"/>
      <c r="AB378" s="336"/>
      <c r="AC378" s="336"/>
      <c r="AD378" s="336"/>
      <c r="AE378" s="336"/>
      <c r="AF378" s="336"/>
      <c r="AG378" s="336"/>
      <c r="AH378" s="336"/>
      <c r="AI378" s="336"/>
      <c r="AJ378" s="336"/>
      <c r="AK378" s="336"/>
      <c r="AL378" s="336"/>
      <c r="AM378" s="336"/>
      <c r="AN378" s="336"/>
      <c r="AO378" s="336"/>
      <c r="AP378" s="336"/>
      <c r="AQ378" s="336"/>
      <c r="AR378" s="336"/>
      <c r="AS378" s="336"/>
      <c r="AT378" s="336"/>
      <c r="AU378" s="336"/>
      <c r="AV378" s="336"/>
      <c r="AW378" s="336"/>
      <c r="AX378" s="336"/>
      <c r="AY378" s="336"/>
      <c r="AZ378" s="336"/>
      <c r="BA378" s="336"/>
      <c r="BB378" s="336"/>
      <c r="BC378" s="336"/>
      <c r="BD378" s="336"/>
      <c r="BE378" s="336"/>
      <c r="BF378" s="336"/>
    </row>
    <row r="379" spans="1:58" s="351" customFormat="1" x14ac:dyDescent="0.25">
      <c r="A379" s="336"/>
      <c r="B379" s="336"/>
      <c r="C379" s="336"/>
      <c r="D379" s="336"/>
      <c r="E379" s="336"/>
      <c r="F379" s="336"/>
      <c r="G379" s="336"/>
      <c r="H379" s="336"/>
      <c r="M379" s="352"/>
      <c r="N379" s="353"/>
      <c r="O379" s="353"/>
      <c r="T379" s="377"/>
      <c r="U379" s="352"/>
      <c r="V379" s="352"/>
      <c r="W379" s="352"/>
      <c r="X379" s="375"/>
      <c r="Y379" s="375"/>
      <c r="Z379" s="336"/>
      <c r="AA379" s="353"/>
      <c r="AB379" s="336"/>
      <c r="AC379" s="336"/>
      <c r="AD379" s="336"/>
      <c r="AE379" s="336"/>
      <c r="AF379" s="336"/>
      <c r="AG379" s="336"/>
      <c r="AH379" s="336"/>
      <c r="AI379" s="336"/>
      <c r="AJ379" s="336"/>
      <c r="AK379" s="336"/>
      <c r="AL379" s="336"/>
      <c r="AM379" s="336"/>
      <c r="AN379" s="336"/>
      <c r="AO379" s="336"/>
      <c r="AP379" s="336"/>
      <c r="AQ379" s="336"/>
      <c r="AR379" s="336"/>
      <c r="AS379" s="336"/>
      <c r="AT379" s="336"/>
      <c r="AU379" s="336"/>
      <c r="AV379" s="336"/>
      <c r="AW379" s="336"/>
      <c r="AX379" s="336"/>
      <c r="AY379" s="336"/>
      <c r="AZ379" s="336"/>
      <c r="BA379" s="336"/>
      <c r="BB379" s="336"/>
      <c r="BC379" s="336"/>
      <c r="BD379" s="336"/>
      <c r="BE379" s="336"/>
      <c r="BF379" s="336"/>
    </row>
    <row r="380" spans="1:58" s="351" customFormat="1" x14ac:dyDescent="0.25">
      <c r="A380" s="336"/>
      <c r="B380" s="336"/>
      <c r="C380" s="336"/>
      <c r="D380" s="336"/>
      <c r="E380" s="336"/>
      <c r="F380" s="336"/>
      <c r="G380" s="336"/>
      <c r="H380" s="336"/>
      <c r="M380" s="352"/>
      <c r="N380" s="353"/>
      <c r="O380" s="353"/>
      <c r="T380" s="377"/>
      <c r="U380" s="352"/>
      <c r="V380" s="352"/>
      <c r="W380" s="352"/>
      <c r="X380" s="375"/>
      <c r="Y380" s="375"/>
      <c r="Z380" s="336"/>
      <c r="AA380" s="353"/>
      <c r="AB380" s="336"/>
      <c r="AC380" s="336"/>
      <c r="AD380" s="336"/>
      <c r="AE380" s="336"/>
      <c r="AF380" s="336"/>
      <c r="AG380" s="336"/>
      <c r="AH380" s="336"/>
      <c r="AI380" s="336"/>
      <c r="AJ380" s="336"/>
      <c r="AK380" s="336"/>
      <c r="AL380" s="336"/>
      <c r="AM380" s="336"/>
      <c r="AN380" s="336"/>
      <c r="AO380" s="336"/>
      <c r="AP380" s="336"/>
      <c r="AQ380" s="336"/>
      <c r="AR380" s="336"/>
      <c r="AS380" s="336"/>
      <c r="AT380" s="336"/>
      <c r="AU380" s="336"/>
      <c r="AV380" s="336"/>
      <c r="AW380" s="336"/>
      <c r="AX380" s="336"/>
      <c r="AY380" s="336"/>
      <c r="AZ380" s="336"/>
      <c r="BA380" s="336"/>
      <c r="BB380" s="336"/>
      <c r="BC380" s="336"/>
      <c r="BD380" s="336"/>
      <c r="BE380" s="336"/>
      <c r="BF380" s="336"/>
    </row>
    <row r="381" spans="1:58" s="351" customFormat="1" x14ac:dyDescent="0.25">
      <c r="A381" s="336"/>
      <c r="B381" s="336"/>
      <c r="C381" s="336"/>
      <c r="D381" s="336"/>
      <c r="E381" s="336"/>
      <c r="F381" s="336"/>
      <c r="G381" s="336"/>
      <c r="H381" s="336"/>
      <c r="M381" s="352"/>
      <c r="N381" s="353"/>
      <c r="O381" s="353"/>
      <c r="T381" s="377"/>
      <c r="U381" s="352"/>
      <c r="V381" s="352"/>
      <c r="W381" s="352"/>
      <c r="X381" s="375"/>
      <c r="Y381" s="375"/>
      <c r="Z381" s="336"/>
      <c r="AA381" s="353"/>
      <c r="AB381" s="336"/>
      <c r="AC381" s="336"/>
      <c r="AD381" s="336"/>
      <c r="AE381" s="336"/>
      <c r="AF381" s="336"/>
      <c r="AG381" s="336"/>
      <c r="AH381" s="336"/>
      <c r="AI381" s="336"/>
      <c r="AJ381" s="336"/>
      <c r="AK381" s="336"/>
      <c r="AL381" s="336"/>
      <c r="AM381" s="336"/>
      <c r="AN381" s="336"/>
      <c r="AO381" s="336"/>
      <c r="AP381" s="336"/>
      <c r="AQ381" s="336"/>
      <c r="AR381" s="336"/>
      <c r="AS381" s="336"/>
      <c r="AT381" s="336"/>
      <c r="AU381" s="336"/>
      <c r="AV381" s="336"/>
      <c r="AW381" s="336"/>
      <c r="AX381" s="336"/>
      <c r="AY381" s="336"/>
      <c r="AZ381" s="336"/>
      <c r="BA381" s="336"/>
      <c r="BB381" s="336"/>
      <c r="BC381" s="336"/>
      <c r="BD381" s="336"/>
      <c r="BE381" s="336"/>
      <c r="BF381" s="336"/>
    </row>
    <row r="382" spans="1:58" s="351" customFormat="1" x14ac:dyDescent="0.25">
      <c r="A382" s="336"/>
      <c r="B382" s="336"/>
      <c r="C382" s="336"/>
      <c r="D382" s="336"/>
      <c r="E382" s="336"/>
      <c r="F382" s="336"/>
      <c r="G382" s="336"/>
      <c r="H382" s="336"/>
      <c r="M382" s="352"/>
      <c r="N382" s="353"/>
      <c r="O382" s="353"/>
      <c r="T382" s="377"/>
      <c r="U382" s="352"/>
      <c r="V382" s="352"/>
      <c r="W382" s="352"/>
      <c r="X382" s="375"/>
      <c r="Y382" s="375"/>
      <c r="Z382" s="336"/>
      <c r="AA382" s="353"/>
      <c r="AB382" s="336"/>
      <c r="AC382" s="336"/>
      <c r="AD382" s="336"/>
      <c r="AE382" s="336"/>
      <c r="AF382" s="336"/>
      <c r="AG382" s="336"/>
      <c r="AH382" s="336"/>
      <c r="AI382" s="336"/>
      <c r="AJ382" s="336"/>
      <c r="AK382" s="336"/>
      <c r="AL382" s="336"/>
      <c r="AM382" s="336"/>
      <c r="AN382" s="336"/>
      <c r="AO382" s="336"/>
      <c r="AP382" s="336"/>
      <c r="AQ382" s="336"/>
      <c r="AR382" s="336"/>
      <c r="AS382" s="336"/>
      <c r="AT382" s="336"/>
      <c r="AU382" s="336"/>
      <c r="AV382" s="336"/>
      <c r="AW382" s="336"/>
      <c r="AX382" s="336"/>
      <c r="AY382" s="336"/>
      <c r="AZ382" s="336"/>
      <c r="BA382" s="336"/>
      <c r="BB382" s="336"/>
      <c r="BC382" s="336"/>
      <c r="BD382" s="336"/>
      <c r="BE382" s="336"/>
      <c r="BF382" s="336"/>
    </row>
    <row r="383" spans="1:58" s="351" customFormat="1" x14ac:dyDescent="0.25">
      <c r="A383" s="336"/>
      <c r="B383" s="336"/>
      <c r="C383" s="336"/>
      <c r="D383" s="336"/>
      <c r="E383" s="336"/>
      <c r="F383" s="336"/>
      <c r="G383" s="336"/>
      <c r="H383" s="336"/>
      <c r="M383" s="352"/>
      <c r="N383" s="353"/>
      <c r="O383" s="353"/>
      <c r="T383" s="377"/>
      <c r="U383" s="352"/>
      <c r="V383" s="352"/>
      <c r="W383" s="352"/>
      <c r="X383" s="375"/>
      <c r="Y383" s="375"/>
      <c r="Z383" s="336"/>
      <c r="AA383" s="353"/>
      <c r="AB383" s="336"/>
      <c r="AC383" s="336"/>
      <c r="AD383" s="336"/>
      <c r="AE383" s="336"/>
      <c r="AF383" s="336"/>
      <c r="AG383" s="336"/>
      <c r="AH383" s="336"/>
      <c r="AI383" s="336"/>
      <c r="AJ383" s="336"/>
      <c r="AK383" s="336"/>
      <c r="AL383" s="336"/>
      <c r="AM383" s="336"/>
      <c r="AN383" s="336"/>
      <c r="AO383" s="336"/>
      <c r="AP383" s="336"/>
      <c r="AQ383" s="336"/>
      <c r="AR383" s="336"/>
      <c r="AS383" s="336"/>
      <c r="AT383" s="336"/>
      <c r="AU383" s="336"/>
      <c r="AV383" s="336"/>
      <c r="AW383" s="336"/>
      <c r="AX383" s="336"/>
      <c r="AY383" s="336"/>
      <c r="AZ383" s="336"/>
      <c r="BA383" s="336"/>
      <c r="BB383" s="336"/>
      <c r="BC383" s="336"/>
      <c r="BD383" s="336"/>
      <c r="BE383" s="336"/>
      <c r="BF383" s="336"/>
    </row>
    <row r="384" spans="1:58" s="351" customFormat="1" x14ac:dyDescent="0.25">
      <c r="A384" s="336"/>
      <c r="B384" s="336"/>
      <c r="C384" s="336"/>
      <c r="D384" s="336"/>
      <c r="E384" s="336"/>
      <c r="F384" s="336"/>
      <c r="G384" s="336"/>
      <c r="H384" s="336"/>
      <c r="M384" s="352"/>
      <c r="N384" s="353"/>
      <c r="O384" s="353"/>
      <c r="T384" s="377"/>
      <c r="U384" s="352"/>
      <c r="V384" s="352"/>
      <c r="W384" s="352"/>
      <c r="X384" s="375"/>
      <c r="Y384" s="375"/>
      <c r="Z384" s="336"/>
      <c r="AA384" s="353"/>
      <c r="AB384" s="336"/>
      <c r="AC384" s="336"/>
      <c r="AD384" s="336"/>
      <c r="AE384" s="336"/>
      <c r="AF384" s="336"/>
      <c r="AG384" s="336"/>
      <c r="AH384" s="336"/>
      <c r="AI384" s="336"/>
      <c r="AJ384" s="336"/>
      <c r="AK384" s="336"/>
      <c r="AL384" s="336"/>
      <c r="AM384" s="336"/>
      <c r="AN384" s="336"/>
      <c r="AO384" s="336"/>
      <c r="AP384" s="336"/>
      <c r="AQ384" s="336"/>
      <c r="AR384" s="336"/>
      <c r="AS384" s="336"/>
      <c r="AT384" s="336"/>
      <c r="AU384" s="336"/>
      <c r="AV384" s="336"/>
      <c r="AW384" s="336"/>
      <c r="AX384" s="336"/>
      <c r="AY384" s="336"/>
      <c r="AZ384" s="336"/>
      <c r="BA384" s="336"/>
      <c r="BB384" s="336"/>
      <c r="BC384" s="336"/>
      <c r="BD384" s="336"/>
      <c r="BE384" s="336"/>
      <c r="BF384" s="336"/>
    </row>
    <row r="385" spans="1:58" s="351" customFormat="1" x14ac:dyDescent="0.25">
      <c r="A385" s="336"/>
      <c r="B385" s="336"/>
      <c r="C385" s="336"/>
      <c r="D385" s="336"/>
      <c r="E385" s="336"/>
      <c r="F385" s="336"/>
      <c r="G385" s="336"/>
      <c r="H385" s="336"/>
      <c r="M385" s="352"/>
      <c r="N385" s="353"/>
      <c r="O385" s="353"/>
      <c r="T385" s="377"/>
      <c r="U385" s="352"/>
      <c r="V385" s="352"/>
      <c r="W385" s="352"/>
      <c r="X385" s="375"/>
      <c r="Y385" s="375"/>
      <c r="Z385" s="336"/>
      <c r="AA385" s="353"/>
      <c r="AB385" s="336"/>
      <c r="AC385" s="336"/>
      <c r="AD385" s="336"/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336"/>
      <c r="AS385" s="336"/>
      <c r="AT385" s="336"/>
      <c r="AU385" s="336"/>
      <c r="AV385" s="336"/>
      <c r="AW385" s="336"/>
      <c r="AX385" s="336"/>
      <c r="AY385" s="336"/>
      <c r="AZ385" s="336"/>
      <c r="BA385" s="336"/>
      <c r="BB385" s="336"/>
      <c r="BC385" s="336"/>
      <c r="BD385" s="336"/>
      <c r="BE385" s="336"/>
      <c r="BF385" s="336"/>
    </row>
    <row r="386" spans="1:58" s="351" customFormat="1" x14ac:dyDescent="0.25">
      <c r="A386" s="336"/>
      <c r="B386" s="336"/>
      <c r="C386" s="336"/>
      <c r="D386" s="336"/>
      <c r="E386" s="336"/>
      <c r="F386" s="336"/>
      <c r="G386" s="336"/>
      <c r="H386" s="336"/>
      <c r="M386" s="352"/>
      <c r="N386" s="353"/>
      <c r="O386" s="353"/>
      <c r="T386" s="377"/>
      <c r="U386" s="352"/>
      <c r="V386" s="352"/>
      <c r="W386" s="352"/>
      <c r="X386" s="375"/>
      <c r="Y386" s="375"/>
      <c r="Z386" s="336"/>
      <c r="AA386" s="353"/>
      <c r="AB386" s="336"/>
      <c r="AC386" s="336"/>
      <c r="AD386" s="336"/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336"/>
      <c r="AS386" s="336"/>
      <c r="AT386" s="336"/>
      <c r="AU386" s="336"/>
      <c r="AV386" s="336"/>
      <c r="AW386" s="336"/>
      <c r="AX386" s="336"/>
      <c r="AY386" s="336"/>
      <c r="AZ386" s="336"/>
      <c r="BA386" s="336"/>
      <c r="BB386" s="336"/>
      <c r="BC386" s="336"/>
      <c r="BD386" s="336"/>
      <c r="BE386" s="336"/>
      <c r="BF386" s="336"/>
    </row>
    <row r="387" spans="1:58" s="351" customFormat="1" x14ac:dyDescent="0.25">
      <c r="A387" s="336"/>
      <c r="B387" s="336"/>
      <c r="C387" s="336"/>
      <c r="D387" s="336"/>
      <c r="E387" s="336"/>
      <c r="F387" s="336"/>
      <c r="G387" s="336"/>
      <c r="H387" s="336"/>
      <c r="M387" s="352"/>
      <c r="N387" s="353"/>
      <c r="O387" s="353"/>
      <c r="T387" s="377"/>
      <c r="U387" s="352"/>
      <c r="V387" s="352"/>
      <c r="W387" s="352"/>
      <c r="X387" s="375"/>
      <c r="Y387" s="375"/>
      <c r="Z387" s="336"/>
      <c r="AA387" s="353"/>
      <c r="AB387" s="336"/>
      <c r="AC387" s="336"/>
      <c r="AD387" s="336"/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336"/>
      <c r="AT387" s="336"/>
      <c r="AU387" s="336"/>
      <c r="AV387" s="336"/>
      <c r="AW387" s="336"/>
      <c r="AX387" s="336"/>
      <c r="AY387" s="336"/>
      <c r="AZ387" s="336"/>
      <c r="BA387" s="336"/>
      <c r="BB387" s="336"/>
      <c r="BC387" s="336"/>
      <c r="BD387" s="336"/>
      <c r="BE387" s="336"/>
      <c r="BF387" s="336"/>
    </row>
    <row r="388" spans="1:58" s="351" customFormat="1" x14ac:dyDescent="0.25">
      <c r="A388" s="336"/>
      <c r="B388" s="336"/>
      <c r="C388" s="336"/>
      <c r="D388" s="336"/>
      <c r="E388" s="336"/>
      <c r="F388" s="336"/>
      <c r="G388" s="336"/>
      <c r="H388" s="336"/>
      <c r="M388" s="352"/>
      <c r="N388" s="353"/>
      <c r="O388" s="353"/>
      <c r="T388" s="377"/>
      <c r="U388" s="352"/>
      <c r="V388" s="352"/>
      <c r="W388" s="352"/>
      <c r="X388" s="375"/>
      <c r="Y388" s="375"/>
      <c r="Z388" s="336"/>
      <c r="AA388" s="353"/>
      <c r="AB388" s="336"/>
      <c r="AC388" s="336"/>
      <c r="AD388" s="336"/>
      <c r="AE388" s="336"/>
      <c r="AF388" s="336"/>
      <c r="AG388" s="336"/>
      <c r="AH388" s="336"/>
      <c r="AI388" s="336"/>
      <c r="AJ388" s="336"/>
      <c r="AK388" s="336"/>
      <c r="AL388" s="336"/>
      <c r="AM388" s="336"/>
      <c r="AN388" s="336"/>
      <c r="AO388" s="336"/>
      <c r="AP388" s="336"/>
      <c r="AQ388" s="336"/>
      <c r="AR388" s="336"/>
      <c r="AS388" s="336"/>
      <c r="AT388" s="336"/>
      <c r="AU388" s="336"/>
      <c r="AV388" s="336"/>
      <c r="AW388" s="336"/>
      <c r="AX388" s="336"/>
      <c r="AY388" s="336"/>
      <c r="AZ388" s="336"/>
      <c r="BA388" s="336"/>
      <c r="BB388" s="336"/>
      <c r="BC388" s="336"/>
      <c r="BD388" s="336"/>
      <c r="BE388" s="336"/>
      <c r="BF388" s="336"/>
    </row>
    <row r="389" spans="1:58" s="351" customFormat="1" x14ac:dyDescent="0.25">
      <c r="A389" s="336"/>
      <c r="B389" s="336"/>
      <c r="C389" s="336"/>
      <c r="D389" s="336"/>
      <c r="E389" s="336"/>
      <c r="F389" s="336"/>
      <c r="G389" s="336"/>
      <c r="H389" s="336"/>
      <c r="M389" s="352"/>
      <c r="N389" s="353"/>
      <c r="O389" s="353"/>
      <c r="T389" s="377"/>
      <c r="U389" s="352"/>
      <c r="V389" s="352"/>
      <c r="W389" s="352"/>
      <c r="X389" s="375"/>
      <c r="Y389" s="375"/>
      <c r="Z389" s="336"/>
      <c r="AA389" s="353"/>
      <c r="AB389" s="336"/>
      <c r="AC389" s="336"/>
      <c r="AD389" s="336"/>
      <c r="AE389" s="336"/>
      <c r="AF389" s="336"/>
      <c r="AG389" s="336"/>
      <c r="AH389" s="336"/>
      <c r="AI389" s="336"/>
      <c r="AJ389" s="336"/>
      <c r="AK389" s="336"/>
      <c r="AL389" s="336"/>
      <c r="AM389" s="336"/>
      <c r="AN389" s="336"/>
      <c r="AO389" s="336"/>
      <c r="AP389" s="336"/>
      <c r="AQ389" s="336"/>
      <c r="AR389" s="336"/>
      <c r="AS389" s="336"/>
      <c r="AT389" s="336"/>
      <c r="AU389" s="336"/>
      <c r="AV389" s="336"/>
      <c r="AW389" s="336"/>
      <c r="AX389" s="336"/>
      <c r="AY389" s="336"/>
      <c r="AZ389" s="336"/>
      <c r="BA389" s="336"/>
      <c r="BB389" s="336"/>
      <c r="BC389" s="336"/>
      <c r="BD389" s="336"/>
      <c r="BE389" s="336"/>
      <c r="BF389" s="336"/>
    </row>
    <row r="390" spans="1:58" s="351" customFormat="1" x14ac:dyDescent="0.25">
      <c r="A390" s="336"/>
      <c r="B390" s="336"/>
      <c r="C390" s="336"/>
      <c r="D390" s="336"/>
      <c r="E390" s="336"/>
      <c r="F390" s="336"/>
      <c r="G390" s="336"/>
      <c r="H390" s="336"/>
      <c r="M390" s="352"/>
      <c r="N390" s="353"/>
      <c r="O390" s="353"/>
      <c r="T390" s="377"/>
      <c r="U390" s="352"/>
      <c r="V390" s="352"/>
      <c r="W390" s="352"/>
      <c r="X390" s="375"/>
      <c r="Y390" s="375"/>
      <c r="Z390" s="336"/>
      <c r="AA390" s="353"/>
      <c r="AB390" s="336"/>
      <c r="AC390" s="336"/>
      <c r="AD390" s="336"/>
      <c r="AE390" s="336"/>
      <c r="AF390" s="336"/>
      <c r="AG390" s="336"/>
      <c r="AH390" s="336"/>
      <c r="AI390" s="336"/>
      <c r="AJ390" s="336"/>
      <c r="AK390" s="336"/>
      <c r="AL390" s="336"/>
      <c r="AM390" s="336"/>
      <c r="AN390" s="336"/>
      <c r="AO390" s="336"/>
      <c r="AP390" s="336"/>
      <c r="AQ390" s="336"/>
      <c r="AR390" s="336"/>
      <c r="AS390" s="336"/>
      <c r="AT390" s="336"/>
      <c r="AU390" s="336"/>
      <c r="AV390" s="336"/>
      <c r="AW390" s="336"/>
      <c r="AX390" s="336"/>
      <c r="AY390" s="336"/>
      <c r="AZ390" s="336"/>
      <c r="BA390" s="336"/>
      <c r="BB390" s="336"/>
      <c r="BC390" s="336"/>
      <c r="BD390" s="336"/>
      <c r="BE390" s="336"/>
      <c r="BF390" s="336"/>
    </row>
    <row r="391" spans="1:58" s="351" customFormat="1" x14ac:dyDescent="0.25">
      <c r="A391" s="336"/>
      <c r="B391" s="336"/>
      <c r="C391" s="336"/>
      <c r="D391" s="336"/>
      <c r="E391" s="336"/>
      <c r="F391" s="336"/>
      <c r="G391" s="336"/>
      <c r="H391" s="336"/>
      <c r="M391" s="352"/>
      <c r="N391" s="353"/>
      <c r="O391" s="353"/>
      <c r="T391" s="377"/>
      <c r="U391" s="352"/>
      <c r="V391" s="352"/>
      <c r="W391" s="352"/>
      <c r="X391" s="375"/>
      <c r="Y391" s="375"/>
      <c r="Z391" s="336"/>
      <c r="AA391" s="353"/>
      <c r="AB391" s="336"/>
      <c r="AC391" s="336"/>
      <c r="AD391" s="336"/>
      <c r="AE391" s="336"/>
      <c r="AF391" s="336"/>
      <c r="AG391" s="336"/>
      <c r="AH391" s="336"/>
      <c r="AI391" s="336"/>
      <c r="AJ391" s="336"/>
      <c r="AK391" s="336"/>
      <c r="AL391" s="336"/>
      <c r="AM391" s="336"/>
      <c r="AN391" s="336"/>
      <c r="AO391" s="336"/>
      <c r="AP391" s="336"/>
      <c r="AQ391" s="336"/>
      <c r="AR391" s="336"/>
      <c r="AS391" s="336"/>
      <c r="AT391" s="336"/>
      <c r="AU391" s="336"/>
      <c r="AV391" s="336"/>
      <c r="AW391" s="336"/>
      <c r="AX391" s="336"/>
      <c r="AY391" s="336"/>
      <c r="AZ391" s="336"/>
      <c r="BA391" s="336"/>
      <c r="BB391" s="336"/>
      <c r="BC391" s="336"/>
      <c r="BD391" s="336"/>
      <c r="BE391" s="336"/>
      <c r="BF391" s="336"/>
    </row>
    <row r="392" spans="1:58" s="351" customFormat="1" x14ac:dyDescent="0.25">
      <c r="A392" s="336"/>
      <c r="B392" s="336"/>
      <c r="C392" s="336"/>
      <c r="D392" s="336"/>
      <c r="E392" s="336"/>
      <c r="F392" s="336"/>
      <c r="G392" s="336"/>
      <c r="H392" s="336"/>
      <c r="M392" s="352"/>
      <c r="N392" s="353"/>
      <c r="O392" s="353"/>
      <c r="T392" s="377"/>
      <c r="U392" s="352"/>
      <c r="V392" s="352"/>
      <c r="W392" s="352"/>
      <c r="X392" s="375"/>
      <c r="Y392" s="375"/>
      <c r="Z392" s="336"/>
      <c r="AA392" s="353"/>
      <c r="AB392" s="336"/>
      <c r="AC392" s="336"/>
      <c r="AD392" s="336"/>
      <c r="AE392" s="336"/>
      <c r="AF392" s="336"/>
      <c r="AG392" s="336"/>
      <c r="AH392" s="336"/>
      <c r="AI392" s="336"/>
      <c r="AJ392" s="336"/>
      <c r="AK392" s="336"/>
      <c r="AL392" s="336"/>
      <c r="AM392" s="336"/>
      <c r="AN392" s="336"/>
      <c r="AO392" s="336"/>
      <c r="AP392" s="336"/>
      <c r="AQ392" s="336"/>
      <c r="AR392" s="336"/>
      <c r="AS392" s="336"/>
      <c r="AT392" s="336"/>
      <c r="AU392" s="336"/>
      <c r="AV392" s="336"/>
      <c r="AW392" s="336"/>
      <c r="AX392" s="336"/>
      <c r="AY392" s="336"/>
      <c r="AZ392" s="336"/>
      <c r="BA392" s="336"/>
      <c r="BB392" s="336"/>
      <c r="BC392" s="336"/>
      <c r="BD392" s="336"/>
      <c r="BE392" s="336"/>
      <c r="BF392" s="336"/>
    </row>
    <row r="393" spans="1:58" s="351" customFormat="1" x14ac:dyDescent="0.25">
      <c r="A393" s="336"/>
      <c r="B393" s="336"/>
      <c r="C393" s="336"/>
      <c r="D393" s="336"/>
      <c r="E393" s="336"/>
      <c r="F393" s="336"/>
      <c r="G393" s="336"/>
      <c r="H393" s="336"/>
      <c r="M393" s="352"/>
      <c r="N393" s="353"/>
      <c r="O393" s="353"/>
      <c r="T393" s="377"/>
      <c r="U393" s="352"/>
      <c r="V393" s="352"/>
      <c r="W393" s="352"/>
      <c r="X393" s="375"/>
      <c r="Y393" s="375"/>
      <c r="Z393" s="336"/>
      <c r="AA393" s="353"/>
      <c r="AB393" s="336"/>
      <c r="AC393" s="336"/>
      <c r="AD393" s="336"/>
      <c r="AE393" s="336"/>
      <c r="AF393" s="336"/>
      <c r="AG393" s="336"/>
      <c r="AH393" s="336"/>
      <c r="AI393" s="336"/>
      <c r="AJ393" s="336"/>
      <c r="AK393" s="336"/>
      <c r="AL393" s="336"/>
      <c r="AM393" s="336"/>
      <c r="AN393" s="336"/>
      <c r="AO393" s="336"/>
      <c r="AP393" s="336"/>
      <c r="AQ393" s="336"/>
      <c r="AR393" s="336"/>
      <c r="AS393" s="336"/>
      <c r="AT393" s="336"/>
      <c r="AU393" s="336"/>
      <c r="AV393" s="336"/>
      <c r="AW393" s="336"/>
      <c r="AX393" s="336"/>
      <c r="AY393" s="336"/>
      <c r="AZ393" s="336"/>
      <c r="BA393" s="336"/>
      <c r="BB393" s="336"/>
      <c r="BC393" s="336"/>
      <c r="BD393" s="336"/>
      <c r="BE393" s="336"/>
      <c r="BF393" s="336"/>
    </row>
    <row r="394" spans="1:58" s="351" customFormat="1" x14ac:dyDescent="0.25">
      <c r="A394" s="336"/>
      <c r="B394" s="336"/>
      <c r="C394" s="336"/>
      <c r="D394" s="336"/>
      <c r="E394" s="336"/>
      <c r="F394" s="336"/>
      <c r="G394" s="336"/>
      <c r="H394" s="336"/>
      <c r="M394" s="352"/>
      <c r="N394" s="353"/>
      <c r="O394" s="353"/>
      <c r="T394" s="377"/>
      <c r="U394" s="352"/>
      <c r="V394" s="352"/>
      <c r="W394" s="352"/>
      <c r="X394" s="375"/>
      <c r="Y394" s="375"/>
      <c r="Z394" s="336"/>
      <c r="AA394" s="353"/>
      <c r="AB394" s="336"/>
      <c r="AC394" s="336"/>
      <c r="AD394" s="336"/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336"/>
      <c r="AT394" s="336"/>
      <c r="AU394" s="336"/>
      <c r="AV394" s="336"/>
      <c r="AW394" s="336"/>
      <c r="AX394" s="336"/>
      <c r="AY394" s="336"/>
      <c r="AZ394" s="336"/>
      <c r="BA394" s="336"/>
      <c r="BB394" s="336"/>
      <c r="BC394" s="336"/>
      <c r="BD394" s="336"/>
      <c r="BE394" s="336"/>
      <c r="BF394" s="336"/>
    </row>
    <row r="395" spans="1:58" s="351" customFormat="1" x14ac:dyDescent="0.25">
      <c r="A395" s="336"/>
      <c r="B395" s="336"/>
      <c r="C395" s="336"/>
      <c r="D395" s="336"/>
      <c r="E395" s="336"/>
      <c r="F395" s="336"/>
      <c r="G395" s="336"/>
      <c r="H395" s="336"/>
      <c r="M395" s="352"/>
      <c r="N395" s="353"/>
      <c r="O395" s="353"/>
      <c r="T395" s="377"/>
      <c r="U395" s="352"/>
      <c r="V395" s="352"/>
      <c r="W395" s="352"/>
      <c r="X395" s="375"/>
      <c r="Y395" s="375"/>
      <c r="Z395" s="336"/>
      <c r="AA395" s="353"/>
      <c r="AB395" s="336"/>
      <c r="AC395" s="336"/>
      <c r="AD395" s="336"/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336"/>
      <c r="AT395" s="336"/>
      <c r="AU395" s="336"/>
      <c r="AV395" s="336"/>
      <c r="AW395" s="336"/>
      <c r="AX395" s="336"/>
      <c r="AY395" s="336"/>
      <c r="AZ395" s="336"/>
      <c r="BA395" s="336"/>
      <c r="BB395" s="336"/>
      <c r="BC395" s="336"/>
      <c r="BD395" s="336"/>
      <c r="BE395" s="336"/>
      <c r="BF395" s="336"/>
    </row>
    <row r="396" spans="1:58" s="351" customFormat="1" x14ac:dyDescent="0.25">
      <c r="A396" s="336"/>
      <c r="B396" s="336"/>
      <c r="C396" s="336"/>
      <c r="D396" s="336"/>
      <c r="E396" s="336"/>
      <c r="F396" s="336"/>
      <c r="G396" s="336"/>
      <c r="H396" s="336"/>
      <c r="M396" s="352"/>
      <c r="N396" s="353"/>
      <c r="O396" s="353"/>
      <c r="T396" s="377"/>
      <c r="U396" s="352"/>
      <c r="V396" s="352"/>
      <c r="W396" s="352"/>
      <c r="X396" s="375"/>
      <c r="Y396" s="375"/>
      <c r="Z396" s="336"/>
      <c r="AA396" s="353"/>
      <c r="AB396" s="336"/>
      <c r="AC396" s="336"/>
      <c r="AD396" s="336"/>
      <c r="AE396" s="336"/>
      <c r="AF396" s="336"/>
      <c r="AG396" s="336"/>
      <c r="AH396" s="336"/>
      <c r="AI396" s="336"/>
      <c r="AJ396" s="336"/>
      <c r="AK396" s="336"/>
      <c r="AL396" s="336"/>
      <c r="AM396" s="336"/>
      <c r="AN396" s="336"/>
      <c r="AO396" s="336"/>
      <c r="AP396" s="336"/>
      <c r="AQ396" s="336"/>
      <c r="AR396" s="336"/>
      <c r="AS396" s="336"/>
      <c r="AT396" s="336"/>
      <c r="AU396" s="336"/>
      <c r="AV396" s="336"/>
      <c r="AW396" s="336"/>
      <c r="AX396" s="336"/>
      <c r="AY396" s="336"/>
      <c r="AZ396" s="336"/>
      <c r="BA396" s="336"/>
      <c r="BB396" s="336"/>
      <c r="BC396" s="336"/>
      <c r="BD396" s="336"/>
      <c r="BE396" s="336"/>
      <c r="BF396" s="336"/>
    </row>
    <row r="397" spans="1:58" s="351" customFormat="1" x14ac:dyDescent="0.25">
      <c r="A397" s="336"/>
      <c r="B397" s="336"/>
      <c r="C397" s="336"/>
      <c r="D397" s="336"/>
      <c r="E397" s="336"/>
      <c r="F397" s="336"/>
      <c r="G397" s="336"/>
      <c r="H397" s="336"/>
      <c r="M397" s="352"/>
      <c r="N397" s="353"/>
      <c r="O397" s="353"/>
      <c r="T397" s="377"/>
      <c r="U397" s="352"/>
      <c r="V397" s="352"/>
      <c r="W397" s="352"/>
      <c r="X397" s="375"/>
      <c r="Y397" s="375"/>
      <c r="Z397" s="336"/>
      <c r="AA397" s="353"/>
      <c r="AB397" s="336"/>
      <c r="AC397" s="336"/>
      <c r="AD397" s="336"/>
      <c r="AE397" s="336"/>
      <c r="AF397" s="336"/>
      <c r="AG397" s="336"/>
      <c r="AH397" s="336"/>
      <c r="AI397" s="336"/>
      <c r="AJ397" s="336"/>
      <c r="AK397" s="336"/>
      <c r="AL397" s="336"/>
      <c r="AM397" s="336"/>
      <c r="AN397" s="336"/>
      <c r="AO397" s="336"/>
      <c r="AP397" s="336"/>
      <c r="AQ397" s="336"/>
      <c r="AR397" s="336"/>
      <c r="AS397" s="336"/>
      <c r="AT397" s="336"/>
      <c r="AU397" s="336"/>
      <c r="AV397" s="336"/>
      <c r="AW397" s="336"/>
      <c r="AX397" s="336"/>
      <c r="AY397" s="336"/>
      <c r="AZ397" s="336"/>
      <c r="BA397" s="336"/>
      <c r="BB397" s="336"/>
      <c r="BC397" s="336"/>
      <c r="BD397" s="336"/>
      <c r="BE397" s="336"/>
      <c r="BF397" s="336"/>
    </row>
    <row r="398" spans="1:58" s="351" customFormat="1" x14ac:dyDescent="0.25">
      <c r="A398" s="336"/>
      <c r="B398" s="336"/>
      <c r="C398" s="336"/>
      <c r="D398" s="336"/>
      <c r="E398" s="336"/>
      <c r="F398" s="336"/>
      <c r="G398" s="336"/>
      <c r="H398" s="336"/>
      <c r="M398" s="352"/>
      <c r="N398" s="353"/>
      <c r="O398" s="353"/>
      <c r="T398" s="377"/>
      <c r="U398" s="352"/>
      <c r="V398" s="352"/>
      <c r="W398" s="352"/>
      <c r="X398" s="375"/>
      <c r="Y398" s="375"/>
      <c r="Z398" s="336"/>
      <c r="AA398" s="353"/>
      <c r="AB398" s="336"/>
      <c r="AC398" s="336"/>
      <c r="AD398" s="336"/>
      <c r="AE398" s="336"/>
      <c r="AF398" s="336"/>
      <c r="AG398" s="336"/>
      <c r="AH398" s="336"/>
      <c r="AI398" s="336"/>
      <c r="AJ398" s="336"/>
      <c r="AK398" s="336"/>
      <c r="AL398" s="336"/>
      <c r="AM398" s="336"/>
      <c r="AN398" s="336"/>
      <c r="AO398" s="336"/>
      <c r="AP398" s="336"/>
      <c r="AQ398" s="336"/>
      <c r="AR398" s="336"/>
      <c r="AS398" s="336"/>
      <c r="AT398" s="336"/>
      <c r="AU398" s="336"/>
      <c r="AV398" s="336"/>
      <c r="AW398" s="336"/>
      <c r="AX398" s="336"/>
      <c r="AY398" s="336"/>
      <c r="AZ398" s="336"/>
      <c r="BA398" s="336"/>
      <c r="BB398" s="336"/>
      <c r="BC398" s="336"/>
      <c r="BD398" s="336"/>
      <c r="BE398" s="336"/>
      <c r="BF398" s="336"/>
    </row>
    <row r="399" spans="1:58" s="351" customFormat="1" x14ac:dyDescent="0.25">
      <c r="A399" s="336"/>
      <c r="B399" s="336"/>
      <c r="C399" s="336"/>
      <c r="D399" s="336"/>
      <c r="E399" s="336"/>
      <c r="F399" s="336"/>
      <c r="G399" s="336"/>
      <c r="H399" s="336"/>
      <c r="M399" s="352"/>
      <c r="N399" s="353"/>
      <c r="O399" s="353"/>
      <c r="T399" s="377"/>
      <c r="U399" s="352"/>
      <c r="V399" s="352"/>
      <c r="W399" s="352"/>
      <c r="X399" s="375"/>
      <c r="Y399" s="375"/>
      <c r="Z399" s="336"/>
      <c r="AA399" s="353"/>
      <c r="AB399" s="336"/>
      <c r="AC399" s="336"/>
      <c r="AD399" s="336"/>
      <c r="AE399" s="336"/>
      <c r="AF399" s="336"/>
      <c r="AG399" s="336"/>
      <c r="AH399" s="336"/>
      <c r="AI399" s="336"/>
      <c r="AJ399" s="336"/>
      <c r="AK399" s="336"/>
      <c r="AL399" s="336"/>
      <c r="AM399" s="336"/>
      <c r="AN399" s="336"/>
      <c r="AO399" s="336"/>
      <c r="AP399" s="336"/>
      <c r="AQ399" s="336"/>
      <c r="AR399" s="336"/>
      <c r="AS399" s="336"/>
      <c r="AT399" s="336"/>
      <c r="AU399" s="336"/>
      <c r="AV399" s="336"/>
      <c r="AW399" s="336"/>
      <c r="AX399" s="336"/>
      <c r="AY399" s="336"/>
      <c r="AZ399" s="336"/>
      <c r="BA399" s="336"/>
      <c r="BB399" s="336"/>
      <c r="BC399" s="336"/>
      <c r="BD399" s="336"/>
      <c r="BE399" s="336"/>
      <c r="BF399" s="336"/>
    </row>
    <row r="400" spans="1:58" s="351" customFormat="1" x14ac:dyDescent="0.25">
      <c r="A400" s="336"/>
      <c r="B400" s="336"/>
      <c r="C400" s="336"/>
      <c r="D400" s="336"/>
      <c r="E400" s="336"/>
      <c r="F400" s="336"/>
      <c r="G400" s="336"/>
      <c r="H400" s="336"/>
      <c r="M400" s="352"/>
      <c r="N400" s="353"/>
      <c r="O400" s="353"/>
      <c r="T400" s="377"/>
      <c r="U400" s="352"/>
      <c r="V400" s="352"/>
      <c r="W400" s="352"/>
      <c r="X400" s="375"/>
      <c r="Y400" s="375"/>
      <c r="Z400" s="336"/>
      <c r="AA400" s="353"/>
      <c r="AB400" s="336"/>
      <c r="AC400" s="336"/>
      <c r="AD400" s="336"/>
      <c r="AE400" s="336"/>
      <c r="AF400" s="336"/>
      <c r="AG400" s="336"/>
      <c r="AH400" s="336"/>
      <c r="AI400" s="336"/>
      <c r="AJ400" s="336"/>
      <c r="AK400" s="336"/>
      <c r="AL400" s="336"/>
      <c r="AM400" s="336"/>
      <c r="AN400" s="336"/>
      <c r="AO400" s="336"/>
      <c r="AP400" s="336"/>
      <c r="AQ400" s="336"/>
      <c r="AR400" s="336"/>
      <c r="AS400" s="336"/>
      <c r="AT400" s="336"/>
      <c r="AU400" s="336"/>
      <c r="AV400" s="336"/>
      <c r="AW400" s="336"/>
      <c r="AX400" s="336"/>
      <c r="AY400" s="336"/>
      <c r="AZ400" s="336"/>
      <c r="BA400" s="336"/>
      <c r="BB400" s="336"/>
      <c r="BC400" s="336"/>
      <c r="BD400" s="336"/>
      <c r="BE400" s="336"/>
      <c r="BF400" s="336"/>
    </row>
    <row r="401" spans="1:58" s="351" customFormat="1" x14ac:dyDescent="0.25">
      <c r="A401" s="336"/>
      <c r="B401" s="336"/>
      <c r="C401" s="336"/>
      <c r="D401" s="336"/>
      <c r="E401" s="336"/>
      <c r="F401" s="336"/>
      <c r="G401" s="336"/>
      <c r="H401" s="336"/>
      <c r="M401" s="352"/>
      <c r="N401" s="353"/>
      <c r="O401" s="353"/>
      <c r="T401" s="377"/>
      <c r="U401" s="352"/>
      <c r="V401" s="352"/>
      <c r="W401" s="352"/>
      <c r="X401" s="375"/>
      <c r="Y401" s="375"/>
      <c r="Z401" s="336"/>
      <c r="AA401" s="353"/>
      <c r="AB401" s="336"/>
      <c r="AC401" s="336"/>
      <c r="AD401" s="336"/>
      <c r="AE401" s="336"/>
      <c r="AF401" s="336"/>
      <c r="AG401" s="336"/>
      <c r="AH401" s="336"/>
      <c r="AI401" s="336"/>
      <c r="AJ401" s="336"/>
      <c r="AK401" s="336"/>
      <c r="AL401" s="336"/>
      <c r="AM401" s="336"/>
      <c r="AN401" s="336"/>
      <c r="AO401" s="336"/>
      <c r="AP401" s="336"/>
      <c r="AQ401" s="336"/>
      <c r="AR401" s="336"/>
      <c r="AS401" s="336"/>
      <c r="AT401" s="336"/>
      <c r="AU401" s="336"/>
      <c r="AV401" s="336"/>
      <c r="AW401" s="336"/>
      <c r="AX401" s="336"/>
      <c r="AY401" s="336"/>
      <c r="AZ401" s="336"/>
      <c r="BA401" s="336"/>
      <c r="BB401" s="336"/>
      <c r="BC401" s="336"/>
      <c r="BD401" s="336"/>
      <c r="BE401" s="336"/>
      <c r="BF401" s="336"/>
    </row>
    <row r="402" spans="1:58" s="351" customFormat="1" x14ac:dyDescent="0.25">
      <c r="A402" s="336"/>
      <c r="B402" s="336"/>
      <c r="C402" s="336"/>
      <c r="D402" s="336"/>
      <c r="E402" s="336"/>
      <c r="F402" s="336"/>
      <c r="G402" s="336"/>
      <c r="H402" s="336"/>
      <c r="M402" s="352"/>
      <c r="N402" s="353"/>
      <c r="O402" s="353"/>
      <c r="T402" s="377"/>
      <c r="U402" s="352"/>
      <c r="V402" s="352"/>
      <c r="W402" s="352"/>
      <c r="X402" s="375"/>
      <c r="Y402" s="375"/>
      <c r="Z402" s="336"/>
      <c r="AA402" s="353"/>
      <c r="AB402" s="336"/>
      <c r="AC402" s="336"/>
      <c r="AD402" s="336"/>
      <c r="AE402" s="336"/>
      <c r="AF402" s="336"/>
      <c r="AG402" s="336"/>
      <c r="AH402" s="336"/>
      <c r="AI402" s="336"/>
      <c r="AJ402" s="336"/>
      <c r="AK402" s="336"/>
      <c r="AL402" s="336"/>
      <c r="AM402" s="336"/>
      <c r="AN402" s="336"/>
      <c r="AO402" s="336"/>
      <c r="AP402" s="336"/>
      <c r="AQ402" s="336"/>
      <c r="AR402" s="336"/>
      <c r="AS402" s="336"/>
      <c r="AT402" s="336"/>
      <c r="AU402" s="336"/>
      <c r="AV402" s="336"/>
      <c r="AW402" s="336"/>
      <c r="AX402" s="336"/>
      <c r="AY402" s="336"/>
      <c r="AZ402" s="336"/>
      <c r="BA402" s="336"/>
      <c r="BB402" s="336"/>
      <c r="BC402" s="336"/>
      <c r="BD402" s="336"/>
      <c r="BE402" s="336"/>
      <c r="BF402" s="336"/>
    </row>
    <row r="403" spans="1:58" s="351" customFormat="1" x14ac:dyDescent="0.25">
      <c r="A403" s="336"/>
      <c r="B403" s="336"/>
      <c r="C403" s="336"/>
      <c r="D403" s="336"/>
      <c r="E403" s="336"/>
      <c r="F403" s="336"/>
      <c r="G403" s="336"/>
      <c r="H403" s="336"/>
      <c r="M403" s="352"/>
      <c r="N403" s="353"/>
      <c r="O403" s="353"/>
      <c r="T403" s="377"/>
      <c r="U403" s="352"/>
      <c r="V403" s="352"/>
      <c r="W403" s="352"/>
      <c r="X403" s="375"/>
      <c r="Y403" s="375"/>
      <c r="Z403" s="336"/>
      <c r="AA403" s="353"/>
      <c r="AB403" s="336"/>
      <c r="AC403" s="336"/>
      <c r="AD403" s="336"/>
      <c r="AE403" s="336"/>
      <c r="AF403" s="336"/>
      <c r="AG403" s="336"/>
      <c r="AH403" s="336"/>
      <c r="AI403" s="336"/>
      <c r="AJ403" s="336"/>
      <c r="AK403" s="336"/>
      <c r="AL403" s="336"/>
      <c r="AM403" s="336"/>
      <c r="AN403" s="336"/>
      <c r="AO403" s="336"/>
      <c r="AP403" s="336"/>
      <c r="AQ403" s="336"/>
      <c r="AR403" s="336"/>
      <c r="AS403" s="336"/>
      <c r="AT403" s="336"/>
      <c r="AU403" s="336"/>
      <c r="AV403" s="336"/>
      <c r="AW403" s="336"/>
      <c r="AX403" s="336"/>
      <c r="AY403" s="336"/>
      <c r="AZ403" s="336"/>
      <c r="BA403" s="336"/>
      <c r="BB403" s="336"/>
      <c r="BC403" s="336"/>
      <c r="BD403" s="336"/>
      <c r="BE403" s="336"/>
      <c r="BF403" s="336"/>
    </row>
    <row r="404" spans="1:58" s="351" customFormat="1" x14ac:dyDescent="0.25">
      <c r="A404" s="336"/>
      <c r="B404" s="336"/>
      <c r="C404" s="336"/>
      <c r="D404" s="336"/>
      <c r="E404" s="336"/>
      <c r="F404" s="336"/>
      <c r="G404" s="336"/>
      <c r="H404" s="336"/>
      <c r="M404" s="352"/>
      <c r="N404" s="353"/>
      <c r="O404" s="353"/>
      <c r="T404" s="377"/>
      <c r="U404" s="352"/>
      <c r="V404" s="352"/>
      <c r="W404" s="352"/>
      <c r="X404" s="375"/>
      <c r="Y404" s="375"/>
      <c r="Z404" s="336"/>
      <c r="AA404" s="353"/>
      <c r="AB404" s="336"/>
      <c r="AC404" s="336"/>
      <c r="AD404" s="336"/>
      <c r="AE404" s="336"/>
      <c r="AF404" s="336"/>
      <c r="AG404" s="336"/>
      <c r="AH404" s="336"/>
      <c r="AI404" s="336"/>
      <c r="AJ404" s="336"/>
      <c r="AK404" s="336"/>
      <c r="AL404" s="336"/>
      <c r="AM404" s="336"/>
      <c r="AN404" s="336"/>
      <c r="AO404" s="336"/>
      <c r="AP404" s="336"/>
      <c r="AQ404" s="336"/>
      <c r="AR404" s="336"/>
      <c r="AS404" s="336"/>
      <c r="AT404" s="336"/>
      <c r="AU404" s="336"/>
      <c r="AV404" s="336"/>
      <c r="AW404" s="336"/>
      <c r="AX404" s="336"/>
      <c r="AY404" s="336"/>
      <c r="AZ404" s="336"/>
      <c r="BA404" s="336"/>
      <c r="BB404" s="336"/>
      <c r="BC404" s="336"/>
      <c r="BD404" s="336"/>
      <c r="BE404" s="336"/>
      <c r="BF404" s="336"/>
    </row>
    <row r="405" spans="1:58" s="351" customFormat="1" x14ac:dyDescent="0.25">
      <c r="A405" s="336"/>
      <c r="B405" s="336"/>
      <c r="C405" s="336"/>
      <c r="D405" s="336"/>
      <c r="E405" s="336"/>
      <c r="F405" s="336"/>
      <c r="G405" s="336"/>
      <c r="H405" s="336"/>
      <c r="M405" s="352"/>
      <c r="N405" s="353"/>
      <c r="O405" s="353"/>
      <c r="T405" s="377"/>
      <c r="U405" s="352"/>
      <c r="V405" s="352"/>
      <c r="W405" s="352"/>
      <c r="X405" s="375"/>
      <c r="Y405" s="375"/>
      <c r="Z405" s="336"/>
      <c r="AA405" s="353"/>
      <c r="AB405" s="336"/>
      <c r="AC405" s="336"/>
      <c r="AD405" s="336"/>
      <c r="AE405" s="336"/>
      <c r="AF405" s="336"/>
      <c r="AG405" s="336"/>
      <c r="AH405" s="336"/>
      <c r="AI405" s="336"/>
      <c r="AJ405" s="336"/>
      <c r="AK405" s="336"/>
      <c r="AL405" s="336"/>
      <c r="AM405" s="336"/>
      <c r="AN405" s="336"/>
      <c r="AO405" s="336"/>
      <c r="AP405" s="336"/>
      <c r="AQ405" s="336"/>
      <c r="AR405" s="336"/>
      <c r="AS405" s="336"/>
      <c r="AT405" s="336"/>
      <c r="AU405" s="336"/>
      <c r="AV405" s="336"/>
      <c r="AW405" s="336"/>
      <c r="AX405" s="336"/>
      <c r="AY405" s="336"/>
      <c r="AZ405" s="336"/>
      <c r="BA405" s="336"/>
      <c r="BB405" s="336"/>
      <c r="BC405" s="336"/>
      <c r="BD405" s="336"/>
      <c r="BE405" s="336"/>
      <c r="BF405" s="336"/>
    </row>
    <row r="406" spans="1:58" s="351" customFormat="1" x14ac:dyDescent="0.25">
      <c r="A406" s="336"/>
      <c r="B406" s="336"/>
      <c r="C406" s="336"/>
      <c r="D406" s="336"/>
      <c r="E406" s="336"/>
      <c r="F406" s="336"/>
      <c r="G406" s="336"/>
      <c r="H406" s="336"/>
      <c r="M406" s="352"/>
      <c r="N406" s="353"/>
      <c r="O406" s="353"/>
      <c r="T406" s="377"/>
      <c r="U406" s="352"/>
      <c r="V406" s="352"/>
      <c r="W406" s="352"/>
      <c r="X406" s="375"/>
      <c r="Y406" s="375"/>
      <c r="Z406" s="336"/>
      <c r="AA406" s="353"/>
      <c r="AB406" s="336"/>
      <c r="AC406" s="336"/>
      <c r="AD406" s="336"/>
      <c r="AE406" s="336"/>
      <c r="AF406" s="336"/>
      <c r="AG406" s="336"/>
      <c r="AH406" s="336"/>
      <c r="AI406" s="336"/>
      <c r="AJ406" s="336"/>
      <c r="AK406" s="336"/>
      <c r="AL406" s="336"/>
      <c r="AM406" s="336"/>
      <c r="AN406" s="336"/>
      <c r="AO406" s="336"/>
      <c r="AP406" s="336"/>
      <c r="AQ406" s="336"/>
      <c r="AR406" s="336"/>
      <c r="AS406" s="336"/>
      <c r="AT406" s="336"/>
      <c r="AU406" s="336"/>
      <c r="AV406" s="336"/>
      <c r="AW406" s="336"/>
      <c r="AX406" s="336"/>
      <c r="AY406" s="336"/>
      <c r="AZ406" s="336"/>
      <c r="BA406" s="336"/>
      <c r="BB406" s="336"/>
      <c r="BC406" s="336"/>
      <c r="BD406" s="336"/>
      <c r="BE406" s="336"/>
      <c r="BF406" s="336"/>
    </row>
    <row r="407" spans="1:58" s="351" customFormat="1" x14ac:dyDescent="0.25">
      <c r="A407" s="336"/>
      <c r="B407" s="336"/>
      <c r="C407" s="336"/>
      <c r="D407" s="336"/>
      <c r="E407" s="336"/>
      <c r="F407" s="336"/>
      <c r="G407" s="336"/>
      <c r="H407" s="336"/>
      <c r="M407" s="352"/>
      <c r="N407" s="353"/>
      <c r="O407" s="353"/>
      <c r="T407" s="377"/>
      <c r="U407" s="352"/>
      <c r="V407" s="352"/>
      <c r="W407" s="352"/>
      <c r="X407" s="375"/>
      <c r="Y407" s="375"/>
      <c r="Z407" s="336"/>
      <c r="AA407" s="353"/>
      <c r="AB407" s="336"/>
      <c r="AC407" s="336"/>
      <c r="AD407" s="336"/>
      <c r="AE407" s="336"/>
      <c r="AF407" s="336"/>
      <c r="AG407" s="336"/>
      <c r="AH407" s="336"/>
      <c r="AI407" s="336"/>
      <c r="AJ407" s="336"/>
      <c r="AK407" s="336"/>
      <c r="AL407" s="336"/>
      <c r="AM407" s="336"/>
      <c r="AN407" s="336"/>
      <c r="AO407" s="336"/>
      <c r="AP407" s="336"/>
      <c r="AQ407" s="336"/>
      <c r="AR407" s="336"/>
      <c r="AS407" s="336"/>
      <c r="AT407" s="336"/>
      <c r="AU407" s="336"/>
      <c r="AV407" s="336"/>
      <c r="AW407" s="336"/>
      <c r="AX407" s="336"/>
      <c r="AY407" s="336"/>
      <c r="AZ407" s="336"/>
      <c r="BA407" s="336"/>
      <c r="BB407" s="336"/>
      <c r="BC407" s="336"/>
      <c r="BD407" s="336"/>
      <c r="BE407" s="336"/>
      <c r="BF407" s="336"/>
    </row>
    <row r="408" spans="1:58" s="351" customFormat="1" x14ac:dyDescent="0.25">
      <c r="A408" s="336"/>
      <c r="B408" s="336"/>
      <c r="C408" s="336"/>
      <c r="D408" s="336"/>
      <c r="E408" s="336"/>
      <c r="F408" s="336"/>
      <c r="G408" s="336"/>
      <c r="H408" s="336"/>
      <c r="M408" s="352"/>
      <c r="N408" s="353"/>
      <c r="O408" s="353"/>
      <c r="T408" s="377"/>
      <c r="U408" s="352"/>
      <c r="V408" s="352"/>
      <c r="W408" s="352"/>
      <c r="X408" s="375"/>
      <c r="Y408" s="375"/>
      <c r="Z408" s="336"/>
      <c r="AA408" s="353"/>
      <c r="AB408" s="336"/>
      <c r="AC408" s="336"/>
      <c r="AD408" s="336"/>
      <c r="AE408" s="336"/>
      <c r="AF408" s="336"/>
      <c r="AG408" s="336"/>
      <c r="AH408" s="336"/>
      <c r="AI408" s="336"/>
      <c r="AJ408" s="336"/>
      <c r="AK408" s="336"/>
      <c r="AL408" s="336"/>
      <c r="AM408" s="336"/>
      <c r="AN408" s="336"/>
      <c r="AO408" s="336"/>
      <c r="AP408" s="336"/>
      <c r="AQ408" s="336"/>
      <c r="AR408" s="336"/>
      <c r="AS408" s="336"/>
      <c r="AT408" s="336"/>
      <c r="AU408" s="336"/>
      <c r="AV408" s="336"/>
      <c r="AW408" s="336"/>
      <c r="AX408" s="336"/>
      <c r="AY408" s="336"/>
      <c r="AZ408" s="336"/>
      <c r="BA408" s="336"/>
      <c r="BB408" s="336"/>
      <c r="BC408" s="336"/>
      <c r="BD408" s="336"/>
      <c r="BE408" s="336"/>
      <c r="BF408" s="336"/>
    </row>
    <row r="409" spans="1:58" s="351" customFormat="1" x14ac:dyDescent="0.25">
      <c r="A409" s="336"/>
      <c r="B409" s="336"/>
      <c r="C409" s="336"/>
      <c r="D409" s="336"/>
      <c r="E409" s="336"/>
      <c r="F409" s="336"/>
      <c r="G409" s="336"/>
      <c r="H409" s="336"/>
      <c r="M409" s="352"/>
      <c r="N409" s="353"/>
      <c r="O409" s="353"/>
      <c r="T409" s="377"/>
      <c r="U409" s="352"/>
      <c r="V409" s="352"/>
      <c r="W409" s="352"/>
      <c r="X409" s="375"/>
      <c r="Y409" s="375"/>
      <c r="Z409" s="336"/>
      <c r="AA409" s="353"/>
      <c r="AB409" s="336"/>
      <c r="AC409" s="336"/>
      <c r="AD409" s="336"/>
      <c r="AE409" s="336"/>
      <c r="AF409" s="336"/>
      <c r="AG409" s="336"/>
      <c r="AH409" s="336"/>
      <c r="AI409" s="336"/>
      <c r="AJ409" s="336"/>
      <c r="AK409" s="336"/>
      <c r="AL409" s="336"/>
      <c r="AM409" s="336"/>
      <c r="AN409" s="336"/>
      <c r="AO409" s="336"/>
      <c r="AP409" s="336"/>
      <c r="AQ409" s="336"/>
      <c r="AR409" s="336"/>
      <c r="AS409" s="336"/>
      <c r="AT409" s="336"/>
      <c r="AU409" s="336"/>
      <c r="AV409" s="336"/>
      <c r="AW409" s="336"/>
      <c r="AX409" s="336"/>
      <c r="AY409" s="336"/>
      <c r="AZ409" s="336"/>
      <c r="BA409" s="336"/>
      <c r="BB409" s="336"/>
      <c r="BC409" s="336"/>
      <c r="BD409" s="336"/>
      <c r="BE409" s="336"/>
      <c r="BF409" s="336"/>
    </row>
    <row r="410" spans="1:58" s="351" customFormat="1" x14ac:dyDescent="0.25">
      <c r="A410" s="336"/>
      <c r="B410" s="336"/>
      <c r="C410" s="336"/>
      <c r="D410" s="336"/>
      <c r="E410" s="336"/>
      <c r="F410" s="336"/>
      <c r="G410" s="336"/>
      <c r="H410" s="336"/>
      <c r="M410" s="352"/>
      <c r="N410" s="353"/>
      <c r="O410" s="353"/>
      <c r="T410" s="377"/>
      <c r="U410" s="352"/>
      <c r="V410" s="352"/>
      <c r="W410" s="352"/>
      <c r="X410" s="375"/>
      <c r="Y410" s="375"/>
      <c r="Z410" s="336"/>
      <c r="AA410" s="353"/>
      <c r="AB410" s="336"/>
      <c r="AC410" s="336"/>
      <c r="AD410" s="336"/>
      <c r="AE410" s="336"/>
      <c r="AF410" s="336"/>
      <c r="AG410" s="336"/>
      <c r="AH410" s="336"/>
      <c r="AI410" s="336"/>
      <c r="AJ410" s="336"/>
      <c r="AK410" s="336"/>
      <c r="AL410" s="336"/>
      <c r="AM410" s="336"/>
      <c r="AN410" s="336"/>
      <c r="AO410" s="336"/>
      <c r="AP410" s="336"/>
      <c r="AQ410" s="336"/>
      <c r="AR410" s="336"/>
      <c r="AS410" s="336"/>
      <c r="AT410" s="336"/>
      <c r="AU410" s="336"/>
      <c r="AV410" s="336"/>
      <c r="AW410" s="336"/>
      <c r="AX410" s="336"/>
      <c r="AY410" s="336"/>
      <c r="AZ410" s="336"/>
      <c r="BA410" s="336"/>
      <c r="BB410" s="336"/>
      <c r="BC410" s="336"/>
      <c r="BD410" s="336"/>
      <c r="BE410" s="336"/>
      <c r="BF410" s="336"/>
    </row>
    <row r="411" spans="1:58" s="351" customFormat="1" x14ac:dyDescent="0.25">
      <c r="A411" s="336"/>
      <c r="B411" s="336"/>
      <c r="C411" s="336"/>
      <c r="D411" s="336"/>
      <c r="E411" s="336"/>
      <c r="F411" s="336"/>
      <c r="G411" s="336"/>
      <c r="H411" s="336"/>
      <c r="M411" s="352"/>
      <c r="N411" s="353"/>
      <c r="O411" s="353"/>
      <c r="T411" s="377"/>
      <c r="U411" s="352"/>
      <c r="V411" s="352"/>
      <c r="W411" s="352"/>
      <c r="X411" s="375"/>
      <c r="Y411" s="375"/>
      <c r="Z411" s="336"/>
      <c r="AA411" s="353"/>
      <c r="AB411" s="336"/>
      <c r="AC411" s="336"/>
      <c r="AD411" s="336"/>
      <c r="AE411" s="336"/>
      <c r="AF411" s="336"/>
      <c r="AG411" s="336"/>
      <c r="AH411" s="336"/>
      <c r="AI411" s="336"/>
      <c r="AJ411" s="336"/>
      <c r="AK411" s="336"/>
      <c r="AL411" s="336"/>
      <c r="AM411" s="336"/>
      <c r="AN411" s="336"/>
      <c r="AO411" s="336"/>
      <c r="AP411" s="336"/>
      <c r="AQ411" s="336"/>
      <c r="AR411" s="336"/>
      <c r="AS411" s="336"/>
      <c r="AT411" s="336"/>
      <c r="AU411" s="336"/>
      <c r="AV411" s="336"/>
      <c r="AW411" s="336"/>
      <c r="AX411" s="336"/>
      <c r="AY411" s="336"/>
      <c r="AZ411" s="336"/>
      <c r="BA411" s="336"/>
      <c r="BB411" s="336"/>
      <c r="BC411" s="336"/>
      <c r="BD411" s="336"/>
      <c r="BE411" s="336"/>
      <c r="BF411" s="336"/>
    </row>
    <row r="412" spans="1:58" s="351" customFormat="1" x14ac:dyDescent="0.25">
      <c r="A412" s="336"/>
      <c r="B412" s="336"/>
      <c r="C412" s="336"/>
      <c r="D412" s="336"/>
      <c r="E412" s="336"/>
      <c r="F412" s="336"/>
      <c r="G412" s="336"/>
      <c r="H412" s="336"/>
      <c r="M412" s="352"/>
      <c r="N412" s="353"/>
      <c r="O412" s="353"/>
      <c r="T412" s="377"/>
      <c r="U412" s="352"/>
      <c r="V412" s="352"/>
      <c r="W412" s="352"/>
      <c r="X412" s="375"/>
      <c r="Y412" s="375"/>
      <c r="Z412" s="336"/>
      <c r="AA412" s="353"/>
      <c r="AB412" s="336"/>
      <c r="AC412" s="336"/>
      <c r="AD412" s="336"/>
      <c r="AE412" s="336"/>
      <c r="AF412" s="336"/>
      <c r="AG412" s="336"/>
      <c r="AH412" s="336"/>
      <c r="AI412" s="336"/>
      <c r="AJ412" s="336"/>
      <c r="AK412" s="336"/>
      <c r="AL412" s="336"/>
      <c r="AM412" s="336"/>
      <c r="AN412" s="336"/>
      <c r="AO412" s="336"/>
      <c r="AP412" s="336"/>
      <c r="AQ412" s="336"/>
      <c r="AR412" s="336"/>
      <c r="AS412" s="336"/>
      <c r="AT412" s="336"/>
      <c r="AU412" s="336"/>
      <c r="AV412" s="336"/>
      <c r="AW412" s="336"/>
      <c r="AX412" s="336"/>
      <c r="AY412" s="336"/>
      <c r="AZ412" s="336"/>
      <c r="BA412" s="336"/>
      <c r="BB412" s="336"/>
      <c r="BC412" s="336"/>
      <c r="BD412" s="336"/>
      <c r="BE412" s="336"/>
      <c r="BF412" s="336"/>
    </row>
    <row r="413" spans="1:58" s="351" customFormat="1" x14ac:dyDescent="0.25">
      <c r="A413" s="336"/>
      <c r="B413" s="336"/>
      <c r="C413" s="336"/>
      <c r="D413" s="336"/>
      <c r="E413" s="336"/>
      <c r="F413" s="336"/>
      <c r="G413" s="336"/>
      <c r="H413" s="336"/>
      <c r="M413" s="352"/>
      <c r="N413" s="353"/>
      <c r="O413" s="353"/>
      <c r="T413" s="377"/>
      <c r="U413" s="352"/>
      <c r="V413" s="352"/>
      <c r="W413" s="352"/>
      <c r="X413" s="375"/>
      <c r="Y413" s="375"/>
      <c r="Z413" s="336"/>
      <c r="AA413" s="353"/>
      <c r="AB413" s="336"/>
      <c r="AC413" s="336"/>
      <c r="AD413" s="336"/>
      <c r="AE413" s="336"/>
      <c r="AF413" s="336"/>
      <c r="AG413" s="336"/>
      <c r="AH413" s="336"/>
      <c r="AI413" s="336"/>
      <c r="AJ413" s="336"/>
      <c r="AK413" s="336"/>
      <c r="AL413" s="336"/>
      <c r="AM413" s="336"/>
      <c r="AN413" s="336"/>
      <c r="AO413" s="336"/>
      <c r="AP413" s="336"/>
      <c r="AQ413" s="336"/>
      <c r="AR413" s="336"/>
      <c r="AS413" s="336"/>
      <c r="AT413" s="336"/>
      <c r="AU413" s="336"/>
      <c r="AV413" s="336"/>
      <c r="AW413" s="336"/>
      <c r="AX413" s="336"/>
      <c r="AY413" s="336"/>
      <c r="AZ413" s="336"/>
      <c r="BA413" s="336"/>
      <c r="BB413" s="336"/>
      <c r="BC413" s="336"/>
      <c r="BD413" s="336"/>
      <c r="BE413" s="336"/>
      <c r="BF413" s="336"/>
    </row>
    <row r="414" spans="1:58" s="351" customFormat="1" x14ac:dyDescent="0.25">
      <c r="A414" s="336"/>
      <c r="B414" s="336"/>
      <c r="C414" s="336"/>
      <c r="D414" s="336"/>
      <c r="E414" s="336"/>
      <c r="F414" s="336"/>
      <c r="G414" s="336"/>
      <c r="H414" s="336"/>
      <c r="M414" s="352"/>
      <c r="N414" s="353"/>
      <c r="O414" s="353"/>
      <c r="T414" s="377"/>
      <c r="U414" s="352"/>
      <c r="V414" s="352"/>
      <c r="W414" s="352"/>
      <c r="X414" s="375"/>
      <c r="Y414" s="375"/>
      <c r="Z414" s="336"/>
      <c r="AA414" s="353"/>
      <c r="AB414" s="336"/>
      <c r="AC414" s="336"/>
      <c r="AD414" s="336"/>
      <c r="AE414" s="336"/>
      <c r="AF414" s="336"/>
      <c r="AG414" s="336"/>
      <c r="AH414" s="336"/>
      <c r="AI414" s="336"/>
      <c r="AJ414" s="336"/>
      <c r="AK414" s="336"/>
      <c r="AL414" s="336"/>
      <c r="AM414" s="336"/>
      <c r="AN414" s="336"/>
      <c r="AO414" s="336"/>
      <c r="AP414" s="336"/>
      <c r="AQ414" s="336"/>
      <c r="AR414" s="336"/>
      <c r="AS414" s="336"/>
      <c r="AT414" s="336"/>
      <c r="AU414" s="336"/>
      <c r="AV414" s="336"/>
      <c r="AW414" s="336"/>
      <c r="AX414" s="336"/>
      <c r="AY414" s="336"/>
      <c r="AZ414" s="336"/>
      <c r="BA414" s="336"/>
      <c r="BB414" s="336"/>
      <c r="BC414" s="336"/>
      <c r="BD414" s="336"/>
      <c r="BE414" s="336"/>
      <c r="BF414" s="336"/>
    </row>
    <row r="415" spans="1:58" s="351" customFormat="1" x14ac:dyDescent="0.25">
      <c r="A415" s="336"/>
      <c r="B415" s="336"/>
      <c r="C415" s="336"/>
      <c r="D415" s="336"/>
      <c r="E415" s="336"/>
      <c r="F415" s="336"/>
      <c r="G415" s="336"/>
      <c r="H415" s="336"/>
      <c r="M415" s="352"/>
      <c r="N415" s="353"/>
      <c r="O415" s="353"/>
      <c r="T415" s="377"/>
      <c r="U415" s="352"/>
      <c r="V415" s="352"/>
      <c r="W415" s="352"/>
      <c r="X415" s="375"/>
      <c r="Y415" s="375"/>
      <c r="Z415" s="336"/>
      <c r="AA415" s="353"/>
      <c r="AB415" s="336"/>
      <c r="AC415" s="336"/>
      <c r="AD415" s="336"/>
      <c r="AE415" s="336"/>
      <c r="AF415" s="336"/>
      <c r="AG415" s="336"/>
      <c r="AH415" s="336"/>
      <c r="AI415" s="336"/>
      <c r="AJ415" s="336"/>
      <c r="AK415" s="336"/>
      <c r="AL415" s="336"/>
      <c r="AM415" s="336"/>
      <c r="AN415" s="336"/>
      <c r="AO415" s="336"/>
      <c r="AP415" s="336"/>
      <c r="AQ415" s="336"/>
      <c r="AR415" s="336"/>
      <c r="AS415" s="336"/>
      <c r="AT415" s="336"/>
      <c r="AU415" s="336"/>
      <c r="AV415" s="336"/>
      <c r="AW415" s="336"/>
      <c r="AX415" s="336"/>
      <c r="AY415" s="336"/>
      <c r="AZ415" s="336"/>
      <c r="BA415" s="336"/>
      <c r="BB415" s="336"/>
      <c r="BC415" s="336"/>
      <c r="BD415" s="336"/>
      <c r="BE415" s="336"/>
      <c r="BF415" s="336"/>
    </row>
    <row r="416" spans="1:58" s="351" customFormat="1" x14ac:dyDescent="0.25">
      <c r="A416" s="336"/>
      <c r="B416" s="336"/>
      <c r="C416" s="336"/>
      <c r="D416" s="336"/>
      <c r="E416" s="336"/>
      <c r="F416" s="336"/>
      <c r="G416" s="336"/>
      <c r="H416" s="336"/>
      <c r="M416" s="352"/>
      <c r="N416" s="353"/>
      <c r="O416" s="353"/>
      <c r="T416" s="377"/>
      <c r="U416" s="352"/>
      <c r="V416" s="352"/>
      <c r="W416" s="352"/>
      <c r="X416" s="375"/>
      <c r="Y416" s="375"/>
      <c r="Z416" s="336"/>
      <c r="AA416" s="353"/>
      <c r="AB416" s="336"/>
      <c r="AC416" s="336"/>
      <c r="AD416" s="336"/>
      <c r="AE416" s="336"/>
      <c r="AF416" s="336"/>
      <c r="AG416" s="336"/>
      <c r="AH416" s="336"/>
      <c r="AI416" s="336"/>
      <c r="AJ416" s="336"/>
      <c r="AK416" s="336"/>
      <c r="AL416" s="336"/>
      <c r="AM416" s="336"/>
      <c r="AN416" s="336"/>
      <c r="AO416" s="336"/>
      <c r="AP416" s="336"/>
      <c r="AQ416" s="336"/>
      <c r="AR416" s="336"/>
      <c r="AS416" s="336"/>
      <c r="AT416" s="336"/>
      <c r="AU416" s="336"/>
      <c r="AV416" s="336"/>
      <c r="AW416" s="336"/>
      <c r="AX416" s="336"/>
      <c r="AY416" s="336"/>
      <c r="AZ416" s="336"/>
      <c r="BA416" s="336"/>
      <c r="BB416" s="336"/>
      <c r="BC416" s="336"/>
      <c r="BD416" s="336"/>
      <c r="BE416" s="336"/>
      <c r="BF416" s="336"/>
    </row>
    <row r="417" spans="1:58" s="351" customFormat="1" x14ac:dyDescent="0.25">
      <c r="A417" s="336"/>
      <c r="B417" s="336"/>
      <c r="C417" s="336"/>
      <c r="D417" s="336"/>
      <c r="E417" s="336"/>
      <c r="F417" s="336"/>
      <c r="G417" s="336"/>
      <c r="H417" s="336"/>
      <c r="M417" s="352"/>
      <c r="N417" s="353"/>
      <c r="O417" s="353"/>
      <c r="T417" s="377"/>
      <c r="U417" s="352"/>
      <c r="V417" s="352"/>
      <c r="W417" s="352"/>
      <c r="X417" s="375"/>
      <c r="Y417" s="375"/>
      <c r="Z417" s="336"/>
      <c r="AA417" s="353"/>
      <c r="AB417" s="336"/>
      <c r="AC417" s="336"/>
      <c r="AD417" s="336"/>
      <c r="AE417" s="336"/>
      <c r="AF417" s="336"/>
      <c r="AG417" s="336"/>
      <c r="AH417" s="336"/>
      <c r="AI417" s="336"/>
      <c r="AJ417" s="336"/>
      <c r="AK417" s="336"/>
      <c r="AL417" s="336"/>
      <c r="AM417" s="336"/>
      <c r="AN417" s="336"/>
      <c r="AO417" s="336"/>
      <c r="AP417" s="336"/>
      <c r="AQ417" s="336"/>
      <c r="AR417" s="336"/>
      <c r="AS417" s="336"/>
      <c r="AT417" s="336"/>
      <c r="AU417" s="336"/>
      <c r="AV417" s="336"/>
      <c r="AW417" s="336"/>
      <c r="AX417" s="336"/>
      <c r="AY417" s="336"/>
      <c r="AZ417" s="336"/>
      <c r="BA417" s="336"/>
      <c r="BB417" s="336"/>
      <c r="BC417" s="336"/>
      <c r="BD417" s="336"/>
      <c r="BE417" s="336"/>
      <c r="BF417" s="336"/>
    </row>
    <row r="418" spans="1:58" s="351" customFormat="1" x14ac:dyDescent="0.25">
      <c r="A418" s="336"/>
      <c r="B418" s="336"/>
      <c r="C418" s="336"/>
      <c r="D418" s="336"/>
      <c r="E418" s="336"/>
      <c r="F418" s="336"/>
      <c r="G418" s="336"/>
      <c r="H418" s="336"/>
      <c r="M418" s="352"/>
      <c r="N418" s="353"/>
      <c r="O418" s="353"/>
      <c r="T418" s="377"/>
      <c r="U418" s="352"/>
      <c r="V418" s="352"/>
      <c r="W418" s="352"/>
      <c r="X418" s="375"/>
      <c r="Y418" s="375"/>
      <c r="Z418" s="336"/>
      <c r="AA418" s="353"/>
      <c r="AB418" s="336"/>
      <c r="AC418" s="336"/>
      <c r="AD418" s="336"/>
      <c r="AE418" s="336"/>
      <c r="AF418" s="336"/>
      <c r="AG418" s="336"/>
      <c r="AH418" s="336"/>
      <c r="AI418" s="336"/>
      <c r="AJ418" s="336"/>
      <c r="AK418" s="336"/>
      <c r="AL418" s="336"/>
      <c r="AM418" s="336"/>
      <c r="AN418" s="336"/>
      <c r="AO418" s="336"/>
      <c r="AP418" s="336"/>
      <c r="AQ418" s="336"/>
      <c r="AR418" s="336"/>
      <c r="AS418" s="336"/>
      <c r="AT418" s="336"/>
      <c r="AU418" s="336"/>
      <c r="AV418" s="336"/>
      <c r="AW418" s="336"/>
      <c r="AX418" s="336"/>
      <c r="AY418" s="336"/>
      <c r="AZ418" s="336"/>
      <c r="BA418" s="336"/>
      <c r="BB418" s="336"/>
      <c r="BC418" s="336"/>
      <c r="BD418" s="336"/>
      <c r="BE418" s="336"/>
      <c r="BF418" s="336"/>
    </row>
    <row r="419" spans="1:58" s="351" customFormat="1" x14ac:dyDescent="0.25">
      <c r="A419" s="336"/>
      <c r="B419" s="336"/>
      <c r="C419" s="336"/>
      <c r="D419" s="336"/>
      <c r="E419" s="336"/>
      <c r="F419" s="336"/>
      <c r="G419" s="336"/>
      <c r="H419" s="336"/>
      <c r="M419" s="352"/>
      <c r="N419" s="353"/>
      <c r="O419" s="353"/>
      <c r="T419" s="377"/>
      <c r="U419" s="352"/>
      <c r="V419" s="352"/>
      <c r="W419" s="352"/>
      <c r="X419" s="375"/>
      <c r="Y419" s="375"/>
      <c r="Z419" s="336"/>
      <c r="AA419" s="353"/>
      <c r="AB419" s="336"/>
      <c r="AC419" s="336"/>
      <c r="AD419" s="336"/>
      <c r="AE419" s="336"/>
      <c r="AF419" s="336"/>
      <c r="AG419" s="336"/>
      <c r="AH419" s="336"/>
      <c r="AI419" s="336"/>
      <c r="AJ419" s="336"/>
      <c r="AK419" s="336"/>
      <c r="AL419" s="336"/>
      <c r="AM419" s="336"/>
      <c r="AN419" s="336"/>
      <c r="AO419" s="336"/>
      <c r="AP419" s="336"/>
      <c r="AQ419" s="336"/>
      <c r="AR419" s="336"/>
      <c r="AS419" s="336"/>
      <c r="AT419" s="336"/>
      <c r="AU419" s="336"/>
      <c r="AV419" s="336"/>
      <c r="AW419" s="336"/>
      <c r="AX419" s="336"/>
      <c r="AY419" s="336"/>
      <c r="AZ419" s="336"/>
      <c r="BA419" s="336"/>
      <c r="BB419" s="336"/>
      <c r="BC419" s="336"/>
      <c r="BD419" s="336"/>
      <c r="BE419" s="336"/>
      <c r="BF419" s="336"/>
    </row>
    <row r="420" spans="1:58" s="351" customFormat="1" x14ac:dyDescent="0.25">
      <c r="A420" s="336"/>
      <c r="B420" s="336"/>
      <c r="C420" s="336"/>
      <c r="D420" s="336"/>
      <c r="E420" s="336"/>
      <c r="F420" s="336"/>
      <c r="G420" s="336"/>
      <c r="H420" s="336"/>
      <c r="M420" s="352"/>
      <c r="N420" s="353"/>
      <c r="O420" s="353"/>
      <c r="T420" s="377"/>
      <c r="U420" s="352"/>
      <c r="V420" s="352"/>
      <c r="W420" s="352"/>
      <c r="X420" s="375"/>
      <c r="Y420" s="375"/>
      <c r="Z420" s="336"/>
      <c r="AA420" s="353"/>
      <c r="AB420" s="336"/>
      <c r="AC420" s="336"/>
      <c r="AD420" s="336"/>
      <c r="AE420" s="336"/>
      <c r="AF420" s="336"/>
      <c r="AG420" s="336"/>
      <c r="AH420" s="336"/>
      <c r="AI420" s="336"/>
      <c r="AJ420" s="336"/>
      <c r="AK420" s="336"/>
      <c r="AL420" s="336"/>
      <c r="AM420" s="336"/>
      <c r="AN420" s="336"/>
      <c r="AO420" s="336"/>
      <c r="AP420" s="336"/>
      <c r="AQ420" s="336"/>
      <c r="AR420" s="336"/>
      <c r="AS420" s="336"/>
      <c r="AT420" s="336"/>
      <c r="AU420" s="336"/>
      <c r="AV420" s="336"/>
      <c r="AW420" s="336"/>
      <c r="AX420" s="336"/>
      <c r="AY420" s="336"/>
      <c r="AZ420" s="336"/>
      <c r="BA420" s="336"/>
      <c r="BB420" s="336"/>
      <c r="BC420" s="336"/>
      <c r="BD420" s="336"/>
      <c r="BE420" s="336"/>
      <c r="BF420" s="336"/>
    </row>
    <row r="421" spans="1:58" s="351" customFormat="1" x14ac:dyDescent="0.25">
      <c r="A421" s="336"/>
      <c r="B421" s="336"/>
      <c r="C421" s="336"/>
      <c r="D421" s="336"/>
      <c r="E421" s="336"/>
      <c r="F421" s="336"/>
      <c r="G421" s="336"/>
      <c r="H421" s="336"/>
      <c r="M421" s="352"/>
      <c r="N421" s="353"/>
      <c r="O421" s="353"/>
      <c r="T421" s="377"/>
      <c r="U421" s="352"/>
      <c r="V421" s="352"/>
      <c r="W421" s="352"/>
      <c r="X421" s="375"/>
      <c r="Y421" s="375"/>
      <c r="Z421" s="336"/>
      <c r="AA421" s="353"/>
      <c r="AB421" s="336"/>
      <c r="AC421" s="336"/>
      <c r="AD421" s="336"/>
      <c r="AE421" s="336"/>
      <c r="AF421" s="336"/>
      <c r="AG421" s="336"/>
      <c r="AH421" s="336"/>
      <c r="AI421" s="336"/>
      <c r="AJ421" s="336"/>
      <c r="AK421" s="336"/>
      <c r="AL421" s="336"/>
      <c r="AM421" s="336"/>
      <c r="AN421" s="336"/>
      <c r="AO421" s="336"/>
      <c r="AP421" s="336"/>
      <c r="AQ421" s="336"/>
      <c r="AR421" s="336"/>
      <c r="AS421" s="336"/>
      <c r="AT421" s="336"/>
      <c r="AU421" s="336"/>
      <c r="AV421" s="336"/>
      <c r="AW421" s="336"/>
      <c r="AX421" s="336"/>
      <c r="AY421" s="336"/>
      <c r="AZ421" s="336"/>
      <c r="BA421" s="336"/>
      <c r="BB421" s="336"/>
      <c r="BC421" s="336"/>
      <c r="BD421" s="336"/>
      <c r="BE421" s="336"/>
      <c r="BF421" s="336"/>
    </row>
    <row r="422" spans="1:58" s="351" customFormat="1" x14ac:dyDescent="0.25">
      <c r="A422" s="336"/>
      <c r="B422" s="336"/>
      <c r="C422" s="336"/>
      <c r="D422" s="336"/>
      <c r="E422" s="336"/>
      <c r="F422" s="336"/>
      <c r="G422" s="336"/>
      <c r="H422" s="336"/>
      <c r="M422" s="352"/>
      <c r="N422" s="353"/>
      <c r="O422" s="353"/>
      <c r="T422" s="377"/>
      <c r="U422" s="352"/>
      <c r="V422" s="352"/>
      <c r="W422" s="352"/>
      <c r="X422" s="375"/>
      <c r="Y422" s="375"/>
      <c r="Z422" s="336"/>
      <c r="AA422" s="353"/>
      <c r="AB422" s="336"/>
      <c r="AC422" s="336"/>
      <c r="AD422" s="336"/>
      <c r="AE422" s="336"/>
      <c r="AF422" s="336"/>
      <c r="AG422" s="336"/>
      <c r="AH422" s="336"/>
      <c r="AI422" s="336"/>
      <c r="AJ422" s="336"/>
      <c r="AK422" s="336"/>
      <c r="AL422" s="336"/>
      <c r="AM422" s="336"/>
      <c r="AN422" s="336"/>
      <c r="AO422" s="336"/>
      <c r="AP422" s="336"/>
      <c r="AQ422" s="336"/>
      <c r="AR422" s="336"/>
      <c r="AS422" s="336"/>
      <c r="AT422" s="336"/>
      <c r="AU422" s="336"/>
      <c r="AV422" s="336"/>
      <c r="AW422" s="336"/>
      <c r="AX422" s="336"/>
      <c r="AY422" s="336"/>
      <c r="AZ422" s="336"/>
      <c r="BA422" s="336"/>
      <c r="BB422" s="336"/>
      <c r="BC422" s="336"/>
      <c r="BD422" s="336"/>
      <c r="BE422" s="336"/>
      <c r="BF422" s="336"/>
    </row>
    <row r="423" spans="1:58" s="351" customFormat="1" x14ac:dyDescent="0.25">
      <c r="A423" s="336"/>
      <c r="B423" s="336"/>
      <c r="C423" s="336"/>
      <c r="D423" s="336"/>
      <c r="E423" s="336"/>
      <c r="F423" s="336"/>
      <c r="G423" s="336"/>
      <c r="H423" s="336"/>
      <c r="M423" s="352"/>
      <c r="N423" s="353"/>
      <c r="O423" s="353"/>
      <c r="T423" s="377"/>
      <c r="U423" s="352"/>
      <c r="V423" s="352"/>
      <c r="W423" s="352"/>
      <c r="X423" s="375"/>
      <c r="Y423" s="375"/>
      <c r="Z423" s="336"/>
      <c r="AA423" s="353"/>
      <c r="AB423" s="336"/>
      <c r="AC423" s="336"/>
      <c r="AD423" s="336"/>
      <c r="AE423" s="336"/>
      <c r="AF423" s="336"/>
      <c r="AG423" s="336"/>
      <c r="AH423" s="336"/>
      <c r="AI423" s="336"/>
      <c r="AJ423" s="336"/>
      <c r="AK423" s="336"/>
      <c r="AL423" s="336"/>
      <c r="AM423" s="336"/>
      <c r="AN423" s="336"/>
      <c r="AO423" s="336"/>
      <c r="AP423" s="336"/>
      <c r="AQ423" s="336"/>
      <c r="AR423" s="336"/>
      <c r="AS423" s="336"/>
      <c r="AT423" s="336"/>
      <c r="AU423" s="336"/>
      <c r="AV423" s="336"/>
      <c r="AW423" s="336"/>
      <c r="AX423" s="336"/>
      <c r="AY423" s="336"/>
      <c r="AZ423" s="336"/>
      <c r="BA423" s="336"/>
      <c r="BB423" s="336"/>
      <c r="BC423" s="336"/>
      <c r="BD423" s="336"/>
      <c r="BE423" s="336"/>
      <c r="BF423" s="336"/>
    </row>
    <row r="424" spans="1:58" s="351" customFormat="1" x14ac:dyDescent="0.25">
      <c r="A424" s="336"/>
      <c r="B424" s="336"/>
      <c r="C424" s="336"/>
      <c r="D424" s="336"/>
      <c r="E424" s="336"/>
      <c r="F424" s="336"/>
      <c r="G424" s="336"/>
      <c r="H424" s="336"/>
      <c r="M424" s="352"/>
      <c r="N424" s="353"/>
      <c r="O424" s="353"/>
      <c r="T424" s="377"/>
      <c r="U424" s="352"/>
      <c r="V424" s="352"/>
      <c r="W424" s="352"/>
      <c r="X424" s="375"/>
      <c r="Y424" s="375"/>
      <c r="Z424" s="336"/>
      <c r="AA424" s="353"/>
      <c r="AB424" s="336"/>
      <c r="AC424" s="336"/>
      <c r="AD424" s="336"/>
      <c r="AE424" s="336"/>
      <c r="AF424" s="336"/>
      <c r="AG424" s="336"/>
      <c r="AH424" s="336"/>
      <c r="AI424" s="336"/>
      <c r="AJ424" s="336"/>
      <c r="AK424" s="336"/>
      <c r="AL424" s="336"/>
      <c r="AM424" s="336"/>
      <c r="AN424" s="336"/>
      <c r="AO424" s="336"/>
      <c r="AP424" s="336"/>
      <c r="AQ424" s="336"/>
      <c r="AR424" s="336"/>
      <c r="AS424" s="336"/>
      <c r="AT424" s="336"/>
      <c r="AU424" s="336"/>
      <c r="AV424" s="336"/>
      <c r="AW424" s="336"/>
      <c r="AX424" s="336"/>
      <c r="AY424" s="336"/>
      <c r="AZ424" s="336"/>
      <c r="BA424" s="336"/>
      <c r="BB424" s="336"/>
      <c r="BC424" s="336"/>
      <c r="BD424" s="336"/>
      <c r="BE424" s="336"/>
      <c r="BF424" s="336"/>
    </row>
    <row r="425" spans="1:58" s="351" customFormat="1" x14ac:dyDescent="0.25">
      <c r="A425" s="336"/>
      <c r="B425" s="336"/>
      <c r="C425" s="336"/>
      <c r="D425" s="336"/>
      <c r="E425" s="336"/>
      <c r="F425" s="336"/>
      <c r="G425" s="336"/>
      <c r="H425" s="336"/>
      <c r="M425" s="352"/>
      <c r="N425" s="353"/>
      <c r="O425" s="353"/>
      <c r="T425" s="377"/>
      <c r="U425" s="352"/>
      <c r="V425" s="352"/>
      <c r="W425" s="352"/>
      <c r="X425" s="375"/>
      <c r="Y425" s="375"/>
      <c r="Z425" s="336"/>
      <c r="AA425" s="353"/>
      <c r="AB425" s="336"/>
      <c r="AC425" s="336"/>
      <c r="AD425" s="336"/>
      <c r="AE425" s="336"/>
      <c r="AF425" s="336"/>
      <c r="AG425" s="336"/>
      <c r="AH425" s="336"/>
      <c r="AI425" s="336"/>
      <c r="AJ425" s="336"/>
      <c r="AK425" s="336"/>
      <c r="AL425" s="336"/>
      <c r="AM425" s="336"/>
      <c r="AN425" s="336"/>
      <c r="AO425" s="336"/>
      <c r="AP425" s="336"/>
      <c r="AQ425" s="336"/>
      <c r="AR425" s="336"/>
      <c r="AS425" s="336"/>
      <c r="AT425" s="336"/>
      <c r="AU425" s="336"/>
      <c r="AV425" s="336"/>
      <c r="AW425" s="336"/>
      <c r="AX425" s="336"/>
      <c r="AY425" s="336"/>
      <c r="AZ425" s="336"/>
      <c r="BA425" s="336"/>
      <c r="BB425" s="336"/>
      <c r="BC425" s="336"/>
      <c r="BD425" s="336"/>
      <c r="BE425" s="336"/>
      <c r="BF425" s="336"/>
    </row>
    <row r="426" spans="1:58" s="351" customFormat="1" x14ac:dyDescent="0.25">
      <c r="A426" s="336"/>
      <c r="B426" s="336"/>
      <c r="C426" s="336"/>
      <c r="D426" s="336"/>
      <c r="E426" s="336"/>
      <c r="F426" s="336"/>
      <c r="G426" s="336"/>
      <c r="H426" s="336"/>
      <c r="M426" s="352"/>
      <c r="N426" s="353"/>
      <c r="O426" s="353"/>
      <c r="T426" s="377"/>
      <c r="U426" s="352"/>
      <c r="V426" s="352"/>
      <c r="W426" s="352"/>
      <c r="X426" s="375"/>
      <c r="Y426" s="375"/>
      <c r="Z426" s="336"/>
      <c r="AA426" s="353"/>
      <c r="AB426" s="336"/>
      <c r="AC426" s="336"/>
      <c r="AD426" s="336"/>
      <c r="AE426" s="336"/>
      <c r="AF426" s="336"/>
      <c r="AG426" s="336"/>
      <c r="AH426" s="336"/>
      <c r="AI426" s="336"/>
      <c r="AJ426" s="336"/>
      <c r="AK426" s="336"/>
      <c r="AL426" s="336"/>
      <c r="AM426" s="336"/>
      <c r="AN426" s="336"/>
      <c r="AO426" s="336"/>
      <c r="AP426" s="336"/>
      <c r="AQ426" s="336"/>
      <c r="AR426" s="336"/>
      <c r="AS426" s="336"/>
      <c r="AT426" s="336"/>
      <c r="AU426" s="336"/>
      <c r="AV426" s="336"/>
      <c r="AW426" s="336"/>
      <c r="AX426" s="336"/>
      <c r="AY426" s="336"/>
      <c r="AZ426" s="336"/>
      <c r="BA426" s="336"/>
      <c r="BB426" s="336"/>
      <c r="BC426" s="336"/>
      <c r="BD426" s="336"/>
      <c r="BE426" s="336"/>
      <c r="BF426" s="336"/>
    </row>
    <row r="427" spans="1:58" s="351" customFormat="1" x14ac:dyDescent="0.25">
      <c r="A427" s="336"/>
      <c r="B427" s="336"/>
      <c r="C427" s="336"/>
      <c r="D427" s="336"/>
      <c r="E427" s="336"/>
      <c r="F427" s="336"/>
      <c r="G427" s="336"/>
      <c r="H427" s="336"/>
      <c r="M427" s="352"/>
      <c r="N427" s="353"/>
      <c r="O427" s="353"/>
      <c r="T427" s="377"/>
      <c r="U427" s="352"/>
      <c r="V427" s="352"/>
      <c r="W427" s="352"/>
      <c r="X427" s="375"/>
      <c r="Y427" s="375"/>
      <c r="Z427" s="336"/>
      <c r="AA427" s="353"/>
      <c r="AB427" s="336"/>
      <c r="AC427" s="336"/>
      <c r="AD427" s="336"/>
      <c r="AE427" s="336"/>
      <c r="AF427" s="336"/>
      <c r="AG427" s="336"/>
      <c r="AH427" s="336"/>
      <c r="AI427" s="336"/>
      <c r="AJ427" s="336"/>
      <c r="AK427" s="336"/>
      <c r="AL427" s="336"/>
      <c r="AM427" s="336"/>
      <c r="AN427" s="336"/>
      <c r="AO427" s="336"/>
      <c r="AP427" s="336"/>
      <c r="AQ427" s="336"/>
      <c r="AR427" s="336"/>
      <c r="AS427" s="336"/>
      <c r="AT427" s="336"/>
      <c r="AU427" s="336"/>
      <c r="AV427" s="336"/>
      <c r="AW427" s="336"/>
      <c r="AX427" s="336"/>
      <c r="AY427" s="336"/>
      <c r="AZ427" s="336"/>
      <c r="BA427" s="336"/>
      <c r="BB427" s="336"/>
      <c r="BC427" s="336"/>
      <c r="BD427" s="336"/>
      <c r="BE427" s="336"/>
      <c r="BF427" s="336"/>
    </row>
    <row r="428" spans="1:58" s="351" customFormat="1" x14ac:dyDescent="0.25">
      <c r="A428" s="336"/>
      <c r="B428" s="336"/>
      <c r="C428" s="336"/>
      <c r="D428" s="336"/>
      <c r="E428" s="336"/>
      <c r="F428" s="336"/>
      <c r="G428" s="336"/>
      <c r="H428" s="336"/>
      <c r="M428" s="352"/>
      <c r="N428" s="353"/>
      <c r="O428" s="353"/>
      <c r="T428" s="377"/>
      <c r="U428" s="352"/>
      <c r="V428" s="352"/>
      <c r="W428" s="352"/>
      <c r="X428" s="375"/>
      <c r="Y428" s="375"/>
      <c r="Z428" s="336"/>
      <c r="AA428" s="353"/>
      <c r="AB428" s="336"/>
      <c r="AC428" s="336"/>
      <c r="AD428" s="336"/>
      <c r="AE428" s="336"/>
      <c r="AF428" s="336"/>
      <c r="AG428" s="336"/>
      <c r="AH428" s="336"/>
      <c r="AI428" s="336"/>
      <c r="AJ428" s="336"/>
      <c r="AK428" s="336"/>
      <c r="AL428" s="336"/>
      <c r="AM428" s="336"/>
      <c r="AN428" s="336"/>
      <c r="AO428" s="336"/>
      <c r="AP428" s="336"/>
      <c r="AQ428" s="336"/>
      <c r="AR428" s="336"/>
      <c r="AS428" s="336"/>
      <c r="AT428" s="336"/>
      <c r="AU428" s="336"/>
      <c r="AV428" s="336"/>
      <c r="AW428" s="336"/>
      <c r="AX428" s="336"/>
      <c r="AY428" s="336"/>
      <c r="AZ428" s="336"/>
      <c r="BA428" s="336"/>
      <c r="BB428" s="336"/>
      <c r="BC428" s="336"/>
      <c r="BD428" s="336"/>
      <c r="BE428" s="336"/>
      <c r="BF428" s="336"/>
    </row>
    <row r="429" spans="1:58" s="351" customFormat="1" x14ac:dyDescent="0.25">
      <c r="A429" s="336"/>
      <c r="B429" s="336"/>
      <c r="C429" s="336"/>
      <c r="D429" s="336"/>
      <c r="E429" s="336"/>
      <c r="F429" s="336"/>
      <c r="G429" s="336"/>
      <c r="H429" s="336"/>
      <c r="M429" s="352"/>
      <c r="N429" s="353"/>
      <c r="O429" s="353"/>
      <c r="T429" s="377"/>
      <c r="U429" s="352"/>
      <c r="V429" s="352"/>
      <c r="W429" s="352"/>
      <c r="X429" s="375"/>
      <c r="Y429" s="375"/>
      <c r="Z429" s="336"/>
      <c r="AA429" s="353"/>
      <c r="AB429" s="336"/>
      <c r="AC429" s="336"/>
      <c r="AD429" s="336"/>
      <c r="AE429" s="336"/>
      <c r="AF429" s="336"/>
      <c r="AG429" s="336"/>
      <c r="AH429" s="336"/>
      <c r="AI429" s="336"/>
      <c r="AJ429" s="336"/>
      <c r="AK429" s="336"/>
      <c r="AL429" s="336"/>
      <c r="AM429" s="336"/>
      <c r="AN429" s="336"/>
      <c r="AO429" s="336"/>
      <c r="AP429" s="336"/>
      <c r="AQ429" s="336"/>
      <c r="AR429" s="336"/>
      <c r="AS429" s="336"/>
      <c r="AT429" s="336"/>
      <c r="AU429" s="336"/>
      <c r="AV429" s="336"/>
      <c r="AW429" s="336"/>
      <c r="AX429" s="336"/>
      <c r="AY429" s="336"/>
      <c r="AZ429" s="336"/>
      <c r="BA429" s="336"/>
      <c r="BB429" s="336"/>
      <c r="BC429" s="336"/>
      <c r="BD429" s="336"/>
      <c r="BE429" s="336"/>
      <c r="BF429" s="336"/>
    </row>
    <row r="430" spans="1:58" s="351" customFormat="1" x14ac:dyDescent="0.25">
      <c r="A430" s="336"/>
      <c r="B430" s="336"/>
      <c r="C430" s="336"/>
      <c r="D430" s="336"/>
      <c r="E430" s="336"/>
      <c r="F430" s="336"/>
      <c r="G430" s="336"/>
      <c r="H430" s="336"/>
      <c r="M430" s="352"/>
      <c r="N430" s="353"/>
      <c r="O430" s="353"/>
      <c r="T430" s="377"/>
      <c r="U430" s="352"/>
      <c r="V430" s="352"/>
      <c r="W430" s="352"/>
      <c r="X430" s="375"/>
      <c r="Y430" s="375"/>
      <c r="Z430" s="336"/>
      <c r="AA430" s="353"/>
      <c r="AB430" s="336"/>
      <c r="AC430" s="336"/>
      <c r="AD430" s="336"/>
      <c r="AE430" s="336"/>
      <c r="AF430" s="336"/>
      <c r="AG430" s="336"/>
      <c r="AH430" s="336"/>
      <c r="AI430" s="336"/>
      <c r="AJ430" s="336"/>
      <c r="AK430" s="336"/>
      <c r="AL430" s="336"/>
      <c r="AM430" s="336"/>
      <c r="AN430" s="336"/>
      <c r="AO430" s="336"/>
      <c r="AP430" s="336"/>
      <c r="AQ430" s="336"/>
      <c r="AR430" s="336"/>
      <c r="AS430" s="336"/>
      <c r="AT430" s="336"/>
      <c r="AU430" s="336"/>
      <c r="AV430" s="336"/>
      <c r="AW430" s="336"/>
      <c r="AX430" s="336"/>
      <c r="AY430" s="336"/>
      <c r="AZ430" s="336"/>
      <c r="BA430" s="336"/>
      <c r="BB430" s="336"/>
      <c r="BC430" s="336"/>
      <c r="BD430" s="336"/>
      <c r="BE430" s="336"/>
      <c r="BF430" s="336"/>
    </row>
    <row r="431" spans="1:58" s="351" customFormat="1" x14ac:dyDescent="0.25">
      <c r="A431" s="336"/>
      <c r="B431" s="336"/>
      <c r="C431" s="336"/>
      <c r="D431" s="336"/>
      <c r="E431" s="336"/>
      <c r="F431" s="336"/>
      <c r="G431" s="336"/>
      <c r="H431" s="336"/>
      <c r="M431" s="352"/>
      <c r="N431" s="353"/>
      <c r="O431" s="353"/>
      <c r="T431" s="377"/>
      <c r="U431" s="352"/>
      <c r="V431" s="352"/>
      <c r="W431" s="352"/>
      <c r="X431" s="375"/>
      <c r="Y431" s="375"/>
      <c r="Z431" s="336"/>
      <c r="AA431" s="353"/>
      <c r="AB431" s="336"/>
      <c r="AC431" s="336"/>
      <c r="AD431" s="336"/>
      <c r="AE431" s="336"/>
      <c r="AF431" s="336"/>
      <c r="AG431" s="336"/>
      <c r="AH431" s="336"/>
      <c r="AI431" s="336"/>
      <c r="AJ431" s="336"/>
      <c r="AK431" s="336"/>
      <c r="AL431" s="336"/>
      <c r="AM431" s="336"/>
      <c r="AN431" s="336"/>
      <c r="AO431" s="336"/>
      <c r="AP431" s="336"/>
      <c r="AQ431" s="336"/>
      <c r="AR431" s="336"/>
      <c r="AS431" s="336"/>
      <c r="AT431" s="336"/>
      <c r="AU431" s="336"/>
      <c r="AV431" s="336"/>
      <c r="AW431" s="336"/>
      <c r="AX431" s="336"/>
      <c r="AY431" s="336"/>
      <c r="AZ431" s="336"/>
      <c r="BA431" s="336"/>
      <c r="BB431" s="336"/>
      <c r="BC431" s="336"/>
      <c r="BD431" s="336"/>
      <c r="BE431" s="336"/>
      <c r="BF431" s="336"/>
    </row>
    <row r="432" spans="1:58" s="351" customFormat="1" x14ac:dyDescent="0.25">
      <c r="A432" s="336"/>
      <c r="B432" s="336"/>
      <c r="C432" s="336"/>
      <c r="D432" s="336"/>
      <c r="E432" s="336"/>
      <c r="F432" s="336"/>
      <c r="G432" s="336"/>
      <c r="H432" s="336"/>
      <c r="M432" s="352"/>
      <c r="N432" s="353"/>
      <c r="O432" s="353"/>
      <c r="T432" s="377"/>
      <c r="U432" s="352"/>
      <c r="V432" s="352"/>
      <c r="W432" s="352"/>
      <c r="X432" s="375"/>
      <c r="Y432" s="375"/>
      <c r="Z432" s="336"/>
      <c r="AA432" s="353"/>
      <c r="AB432" s="336"/>
      <c r="AC432" s="336"/>
      <c r="AD432" s="336"/>
      <c r="AE432" s="336"/>
      <c r="AF432" s="336"/>
      <c r="AG432" s="336"/>
      <c r="AH432" s="336"/>
      <c r="AI432" s="336"/>
      <c r="AJ432" s="336"/>
      <c r="AK432" s="336"/>
      <c r="AL432" s="336"/>
      <c r="AM432" s="336"/>
      <c r="AN432" s="336"/>
      <c r="AO432" s="336"/>
      <c r="AP432" s="336"/>
      <c r="AQ432" s="336"/>
      <c r="AR432" s="336"/>
      <c r="AS432" s="336"/>
      <c r="AT432" s="336"/>
      <c r="AU432" s="336"/>
      <c r="AV432" s="336"/>
      <c r="AW432" s="336"/>
      <c r="AX432" s="336"/>
      <c r="AY432" s="336"/>
      <c r="AZ432" s="336"/>
      <c r="BA432" s="336"/>
      <c r="BB432" s="336"/>
      <c r="BC432" s="336"/>
      <c r="BD432" s="336"/>
      <c r="BE432" s="336"/>
      <c r="BF432" s="336"/>
    </row>
    <row r="433" spans="1:58" s="351" customFormat="1" x14ac:dyDescent="0.25">
      <c r="A433" s="336"/>
      <c r="B433" s="336"/>
      <c r="C433" s="336"/>
      <c r="D433" s="336"/>
      <c r="E433" s="336"/>
      <c r="F433" s="336"/>
      <c r="G433" s="336"/>
      <c r="H433" s="336"/>
      <c r="M433" s="352"/>
      <c r="N433" s="353"/>
      <c r="O433" s="353"/>
      <c r="T433" s="377"/>
      <c r="U433" s="352"/>
      <c r="V433" s="352"/>
      <c r="W433" s="352"/>
      <c r="X433" s="375"/>
      <c r="Y433" s="375"/>
      <c r="Z433" s="336"/>
      <c r="AA433" s="353"/>
      <c r="AB433" s="336"/>
      <c r="AC433" s="336"/>
      <c r="AD433" s="336"/>
      <c r="AE433" s="336"/>
      <c r="AF433" s="336"/>
      <c r="AG433" s="336"/>
      <c r="AH433" s="336"/>
      <c r="AI433" s="336"/>
      <c r="AJ433" s="336"/>
      <c r="AK433" s="336"/>
      <c r="AL433" s="336"/>
      <c r="AM433" s="336"/>
      <c r="AN433" s="336"/>
      <c r="AO433" s="336"/>
      <c r="AP433" s="336"/>
      <c r="AQ433" s="336"/>
      <c r="AR433" s="336"/>
      <c r="AS433" s="336"/>
      <c r="AT433" s="336"/>
      <c r="AU433" s="336"/>
      <c r="AV433" s="336"/>
      <c r="AW433" s="336"/>
      <c r="AX433" s="336"/>
      <c r="AY433" s="336"/>
      <c r="AZ433" s="336"/>
      <c r="BA433" s="336"/>
      <c r="BB433" s="336"/>
      <c r="BC433" s="336"/>
      <c r="BD433" s="336"/>
      <c r="BE433" s="336"/>
      <c r="BF433" s="336"/>
    </row>
    <row r="434" spans="1:58" s="351" customFormat="1" x14ac:dyDescent="0.25">
      <c r="A434" s="336"/>
      <c r="B434" s="336"/>
      <c r="C434" s="336"/>
      <c r="D434" s="336"/>
      <c r="E434" s="336"/>
      <c r="F434" s="336"/>
      <c r="G434" s="336"/>
      <c r="H434" s="336"/>
      <c r="M434" s="352"/>
      <c r="N434" s="353"/>
      <c r="O434" s="353"/>
      <c r="T434" s="377"/>
      <c r="U434" s="352"/>
      <c r="V434" s="352"/>
      <c r="W434" s="352"/>
      <c r="X434" s="375"/>
      <c r="Y434" s="375"/>
      <c r="Z434" s="336"/>
      <c r="AA434" s="353"/>
      <c r="AB434" s="336"/>
      <c r="AC434" s="336"/>
      <c r="AD434" s="336"/>
      <c r="AE434" s="336"/>
      <c r="AF434" s="336"/>
      <c r="AG434" s="336"/>
      <c r="AH434" s="336"/>
      <c r="AI434" s="336"/>
      <c r="AJ434" s="336"/>
      <c r="AK434" s="336"/>
      <c r="AL434" s="336"/>
      <c r="AM434" s="336"/>
      <c r="AN434" s="336"/>
      <c r="AO434" s="336"/>
      <c r="AP434" s="336"/>
      <c r="AQ434" s="336"/>
      <c r="AR434" s="336"/>
      <c r="AS434" s="336"/>
      <c r="AT434" s="336"/>
      <c r="AU434" s="336"/>
      <c r="AV434" s="336"/>
      <c r="AW434" s="336"/>
      <c r="AX434" s="336"/>
      <c r="AY434" s="336"/>
      <c r="AZ434" s="336"/>
      <c r="BA434" s="336"/>
      <c r="BB434" s="336"/>
      <c r="BC434" s="336"/>
      <c r="BD434" s="336"/>
      <c r="BE434" s="336"/>
      <c r="BF434" s="336"/>
    </row>
    <row r="435" spans="1:58" s="351" customFormat="1" x14ac:dyDescent="0.25">
      <c r="A435" s="336"/>
      <c r="B435" s="336"/>
      <c r="C435" s="336"/>
      <c r="D435" s="336"/>
      <c r="E435" s="336"/>
      <c r="F435" s="336"/>
      <c r="G435" s="336"/>
      <c r="H435" s="336"/>
      <c r="M435" s="352"/>
      <c r="N435" s="353"/>
      <c r="O435" s="353"/>
      <c r="T435" s="377"/>
      <c r="U435" s="352"/>
      <c r="V435" s="352"/>
      <c r="W435" s="352"/>
      <c r="X435" s="375"/>
      <c r="Y435" s="375"/>
      <c r="Z435" s="336"/>
      <c r="AA435" s="353"/>
      <c r="AB435" s="336"/>
      <c r="AC435" s="336"/>
      <c r="AD435" s="336"/>
      <c r="AE435" s="336"/>
      <c r="AF435" s="336"/>
      <c r="AG435" s="336"/>
      <c r="AH435" s="336"/>
      <c r="AI435" s="336"/>
      <c r="AJ435" s="336"/>
      <c r="AK435" s="336"/>
      <c r="AL435" s="336"/>
      <c r="AM435" s="336"/>
      <c r="AN435" s="336"/>
      <c r="AO435" s="336"/>
      <c r="AP435" s="336"/>
      <c r="AQ435" s="336"/>
      <c r="AR435" s="336"/>
      <c r="AS435" s="336"/>
      <c r="AT435" s="336"/>
      <c r="AU435" s="336"/>
      <c r="AV435" s="336"/>
      <c r="AW435" s="336"/>
      <c r="AX435" s="336"/>
      <c r="AY435" s="336"/>
      <c r="AZ435" s="336"/>
      <c r="BA435" s="336"/>
      <c r="BB435" s="336"/>
      <c r="BC435" s="336"/>
      <c r="BD435" s="336"/>
      <c r="BE435" s="336"/>
      <c r="BF435" s="336"/>
    </row>
    <row r="436" spans="1:58" s="351" customFormat="1" x14ac:dyDescent="0.25">
      <c r="A436" s="336"/>
      <c r="B436" s="336"/>
      <c r="C436" s="336"/>
      <c r="D436" s="336"/>
      <c r="E436" s="336"/>
      <c r="F436" s="336"/>
      <c r="G436" s="336"/>
      <c r="H436" s="336"/>
      <c r="M436" s="352"/>
      <c r="N436" s="353"/>
      <c r="O436" s="353"/>
      <c r="T436" s="377"/>
      <c r="U436" s="352"/>
      <c r="V436" s="352"/>
      <c r="W436" s="352"/>
      <c r="X436" s="375"/>
      <c r="Y436" s="375"/>
      <c r="Z436" s="336"/>
      <c r="AA436" s="353"/>
      <c r="AB436" s="336"/>
      <c r="AC436" s="336"/>
      <c r="AD436" s="336"/>
      <c r="AE436" s="336"/>
      <c r="AF436" s="336"/>
      <c r="AG436" s="336"/>
      <c r="AH436" s="336"/>
      <c r="AI436" s="336"/>
      <c r="AJ436" s="336"/>
      <c r="AK436" s="336"/>
      <c r="AL436" s="336"/>
      <c r="AM436" s="336"/>
      <c r="AN436" s="336"/>
      <c r="AO436" s="336"/>
      <c r="AP436" s="336"/>
      <c r="AQ436" s="336"/>
      <c r="AR436" s="336"/>
      <c r="AS436" s="336"/>
      <c r="AT436" s="336"/>
      <c r="AU436" s="336"/>
      <c r="AV436" s="336"/>
      <c r="AW436" s="336"/>
      <c r="AX436" s="336"/>
      <c r="AY436" s="336"/>
      <c r="AZ436" s="336"/>
      <c r="BA436" s="336"/>
      <c r="BB436" s="336"/>
      <c r="BC436" s="336"/>
      <c r="BD436" s="336"/>
      <c r="BE436" s="336"/>
      <c r="BF436" s="336"/>
    </row>
    <row r="437" spans="1:58" s="351" customFormat="1" x14ac:dyDescent="0.25">
      <c r="A437" s="336"/>
      <c r="B437" s="336"/>
      <c r="C437" s="336"/>
      <c r="D437" s="336"/>
      <c r="E437" s="336"/>
      <c r="F437" s="336"/>
      <c r="G437" s="336"/>
      <c r="H437" s="336"/>
      <c r="M437" s="352"/>
      <c r="N437" s="353"/>
      <c r="O437" s="353"/>
      <c r="T437" s="377"/>
      <c r="U437" s="352"/>
      <c r="V437" s="352"/>
      <c r="W437" s="352"/>
      <c r="X437" s="375"/>
      <c r="Y437" s="375"/>
      <c r="Z437" s="336"/>
      <c r="AA437" s="353"/>
      <c r="AB437" s="336"/>
      <c r="AC437" s="336"/>
      <c r="AD437" s="336"/>
      <c r="AE437" s="336"/>
      <c r="AF437" s="336"/>
      <c r="AG437" s="336"/>
      <c r="AH437" s="336"/>
      <c r="AI437" s="336"/>
      <c r="AJ437" s="336"/>
      <c r="AK437" s="336"/>
      <c r="AL437" s="336"/>
      <c r="AM437" s="336"/>
      <c r="AN437" s="336"/>
      <c r="AO437" s="336"/>
      <c r="AP437" s="336"/>
      <c r="AQ437" s="336"/>
      <c r="AR437" s="336"/>
      <c r="AS437" s="336"/>
      <c r="AT437" s="336"/>
      <c r="AU437" s="336"/>
      <c r="AV437" s="336"/>
      <c r="AW437" s="336"/>
      <c r="AX437" s="336"/>
      <c r="AY437" s="336"/>
      <c r="AZ437" s="336"/>
      <c r="BA437" s="336"/>
      <c r="BB437" s="336"/>
      <c r="BC437" s="336"/>
      <c r="BD437" s="336"/>
      <c r="BE437" s="336"/>
      <c r="BF437" s="336"/>
    </row>
    <row r="438" spans="1:58" s="351" customFormat="1" x14ac:dyDescent="0.25">
      <c r="A438" s="336"/>
      <c r="B438" s="336"/>
      <c r="C438" s="336"/>
      <c r="D438" s="336"/>
      <c r="E438" s="336"/>
      <c r="F438" s="336"/>
      <c r="G438" s="336"/>
      <c r="H438" s="336"/>
      <c r="M438" s="352"/>
      <c r="N438" s="353"/>
      <c r="O438" s="353"/>
      <c r="T438" s="377"/>
      <c r="U438" s="352"/>
      <c r="V438" s="352"/>
      <c r="W438" s="352"/>
      <c r="X438" s="375"/>
      <c r="Y438" s="375"/>
      <c r="Z438" s="336"/>
      <c r="AA438" s="353"/>
      <c r="AB438" s="336"/>
      <c r="AC438" s="336"/>
      <c r="AD438" s="336"/>
      <c r="AE438" s="336"/>
      <c r="AF438" s="336"/>
      <c r="AG438" s="336"/>
      <c r="AH438" s="336"/>
      <c r="AI438" s="336"/>
      <c r="AJ438" s="336"/>
      <c r="AK438" s="336"/>
      <c r="AL438" s="336"/>
      <c r="AM438" s="336"/>
      <c r="AN438" s="336"/>
      <c r="AO438" s="336"/>
      <c r="AP438" s="336"/>
      <c r="AQ438" s="336"/>
      <c r="AR438" s="336"/>
      <c r="AS438" s="336"/>
      <c r="AT438" s="336"/>
      <c r="AU438" s="336"/>
      <c r="AV438" s="336"/>
      <c r="AW438" s="336"/>
      <c r="AX438" s="336"/>
      <c r="AY438" s="336"/>
      <c r="AZ438" s="336"/>
      <c r="BA438" s="336"/>
      <c r="BB438" s="336"/>
      <c r="BC438" s="336"/>
      <c r="BD438" s="336"/>
      <c r="BE438" s="336"/>
      <c r="BF438" s="336"/>
    </row>
    <row r="439" spans="1:58" s="351" customFormat="1" x14ac:dyDescent="0.25">
      <c r="A439" s="336"/>
      <c r="B439" s="336"/>
      <c r="C439" s="336"/>
      <c r="D439" s="336"/>
      <c r="E439" s="336"/>
      <c r="F439" s="336"/>
      <c r="G439" s="336"/>
      <c r="H439" s="336"/>
      <c r="M439" s="352"/>
      <c r="N439" s="353"/>
      <c r="O439" s="353"/>
      <c r="T439" s="377"/>
      <c r="U439" s="352"/>
      <c r="V439" s="352"/>
      <c r="W439" s="352"/>
      <c r="X439" s="375"/>
      <c r="Y439" s="375"/>
      <c r="Z439" s="336"/>
      <c r="AA439" s="353"/>
      <c r="AB439" s="336"/>
      <c r="AC439" s="336"/>
      <c r="AD439" s="336"/>
      <c r="AE439" s="336"/>
      <c r="AF439" s="336"/>
      <c r="AG439" s="336"/>
      <c r="AH439" s="336"/>
      <c r="AI439" s="336"/>
      <c r="AJ439" s="336"/>
      <c r="AK439" s="336"/>
      <c r="AL439" s="336"/>
      <c r="AM439" s="336"/>
      <c r="AN439" s="336"/>
      <c r="AO439" s="336"/>
      <c r="AP439" s="336"/>
      <c r="AQ439" s="336"/>
      <c r="AR439" s="336"/>
      <c r="AS439" s="336"/>
      <c r="AT439" s="336"/>
      <c r="AU439" s="336"/>
      <c r="AV439" s="336"/>
      <c r="AW439" s="336"/>
      <c r="AX439" s="336"/>
      <c r="AY439" s="336"/>
      <c r="AZ439" s="336"/>
      <c r="BA439" s="336"/>
      <c r="BB439" s="336"/>
      <c r="BC439" s="336"/>
      <c r="BD439" s="336"/>
      <c r="BE439" s="336"/>
      <c r="BF439" s="336"/>
    </row>
    <row r="440" spans="1:58" s="351" customFormat="1" x14ac:dyDescent="0.25">
      <c r="A440" s="336"/>
      <c r="B440" s="336"/>
      <c r="C440" s="336"/>
      <c r="D440" s="336"/>
      <c r="E440" s="336"/>
      <c r="F440" s="336"/>
      <c r="G440" s="336"/>
      <c r="H440" s="336"/>
      <c r="M440" s="352"/>
      <c r="N440" s="353"/>
      <c r="O440" s="353"/>
      <c r="T440" s="377"/>
      <c r="U440" s="352"/>
      <c r="V440" s="352"/>
      <c r="W440" s="352"/>
      <c r="X440" s="375"/>
      <c r="Y440" s="375"/>
      <c r="Z440" s="336"/>
      <c r="AA440" s="353"/>
      <c r="AB440" s="336"/>
      <c r="AC440" s="336"/>
      <c r="AD440" s="336"/>
      <c r="AE440" s="336"/>
      <c r="AF440" s="336"/>
      <c r="AG440" s="336"/>
      <c r="AH440" s="336"/>
      <c r="AI440" s="336"/>
      <c r="AJ440" s="336"/>
      <c r="AK440" s="336"/>
      <c r="AL440" s="336"/>
      <c r="AM440" s="336"/>
      <c r="AN440" s="336"/>
      <c r="AO440" s="336"/>
      <c r="AP440" s="336"/>
      <c r="AQ440" s="336"/>
      <c r="AR440" s="336"/>
      <c r="AS440" s="336"/>
      <c r="AT440" s="336"/>
      <c r="AU440" s="336"/>
      <c r="AV440" s="336"/>
      <c r="AW440" s="336"/>
      <c r="AX440" s="336"/>
      <c r="AY440" s="336"/>
      <c r="AZ440" s="336"/>
      <c r="BA440" s="336"/>
      <c r="BB440" s="336"/>
      <c r="BC440" s="336"/>
      <c r="BD440" s="336"/>
      <c r="BE440" s="336"/>
      <c r="BF440" s="336"/>
    </row>
    <row r="441" spans="1:58" s="351" customFormat="1" x14ac:dyDescent="0.25">
      <c r="A441" s="336"/>
      <c r="B441" s="336"/>
      <c r="C441" s="336"/>
      <c r="D441" s="336"/>
      <c r="E441" s="336"/>
      <c r="F441" s="336"/>
      <c r="G441" s="336"/>
      <c r="H441" s="336"/>
      <c r="M441" s="352"/>
      <c r="N441" s="353"/>
      <c r="O441" s="353"/>
      <c r="T441" s="377"/>
      <c r="U441" s="352"/>
      <c r="V441" s="352"/>
      <c r="W441" s="352"/>
      <c r="X441" s="375"/>
      <c r="Y441" s="375"/>
      <c r="Z441" s="336"/>
      <c r="AA441" s="353"/>
      <c r="AB441" s="336"/>
      <c r="AC441" s="336"/>
      <c r="AD441" s="336"/>
      <c r="AE441" s="336"/>
      <c r="AF441" s="336"/>
      <c r="AG441" s="336"/>
      <c r="AH441" s="336"/>
      <c r="AI441" s="336"/>
      <c r="AJ441" s="336"/>
      <c r="AK441" s="336"/>
      <c r="AL441" s="336"/>
      <c r="AM441" s="336"/>
      <c r="AN441" s="336"/>
      <c r="AO441" s="336"/>
      <c r="AP441" s="336"/>
      <c r="AQ441" s="336"/>
      <c r="AR441" s="336"/>
      <c r="AS441" s="336"/>
      <c r="AT441" s="336"/>
      <c r="AU441" s="336"/>
      <c r="AV441" s="336"/>
      <c r="AW441" s="336"/>
      <c r="AX441" s="336"/>
      <c r="AY441" s="336"/>
      <c r="AZ441" s="336"/>
      <c r="BA441" s="336"/>
      <c r="BB441" s="336"/>
      <c r="BC441" s="336"/>
      <c r="BD441" s="336"/>
      <c r="BE441" s="336"/>
      <c r="BF441" s="336"/>
    </row>
    <row r="442" spans="1:58" s="351" customFormat="1" x14ac:dyDescent="0.25">
      <c r="A442" s="336"/>
      <c r="B442" s="336"/>
      <c r="C442" s="336"/>
      <c r="D442" s="336"/>
      <c r="E442" s="336"/>
      <c r="F442" s="336"/>
      <c r="G442" s="336"/>
      <c r="H442" s="336"/>
      <c r="M442" s="352"/>
      <c r="N442" s="353"/>
      <c r="O442" s="353"/>
      <c r="T442" s="377"/>
      <c r="U442" s="352"/>
      <c r="V442" s="352"/>
      <c r="W442" s="352"/>
      <c r="X442" s="375"/>
      <c r="Y442" s="375"/>
      <c r="Z442" s="336"/>
      <c r="AA442" s="353"/>
      <c r="AB442" s="336"/>
      <c r="AC442" s="336"/>
      <c r="AD442" s="336"/>
      <c r="AE442" s="336"/>
      <c r="AF442" s="336"/>
      <c r="AG442" s="336"/>
      <c r="AH442" s="336"/>
      <c r="AI442" s="336"/>
      <c r="AJ442" s="336"/>
      <c r="AK442" s="336"/>
      <c r="AL442" s="336"/>
      <c r="AM442" s="336"/>
      <c r="AN442" s="336"/>
      <c r="AO442" s="336"/>
      <c r="AP442" s="336"/>
      <c r="AQ442" s="336"/>
      <c r="AR442" s="336"/>
      <c r="AS442" s="336"/>
      <c r="AT442" s="336"/>
      <c r="AU442" s="336"/>
      <c r="AV442" s="336"/>
      <c r="AW442" s="336"/>
      <c r="AX442" s="336"/>
      <c r="AY442" s="336"/>
      <c r="AZ442" s="336"/>
      <c r="BA442" s="336"/>
      <c r="BB442" s="336"/>
      <c r="BC442" s="336"/>
      <c r="BD442" s="336"/>
      <c r="BE442" s="336"/>
      <c r="BF442" s="336"/>
    </row>
    <row r="443" spans="1:58" s="351" customFormat="1" x14ac:dyDescent="0.25">
      <c r="A443" s="336"/>
      <c r="B443" s="336"/>
      <c r="C443" s="336"/>
      <c r="D443" s="336"/>
      <c r="E443" s="336"/>
      <c r="F443" s="336"/>
      <c r="G443" s="336"/>
      <c r="H443" s="336"/>
      <c r="M443" s="352"/>
      <c r="N443" s="353"/>
      <c r="O443" s="353"/>
      <c r="T443" s="377"/>
      <c r="U443" s="352"/>
      <c r="V443" s="352"/>
      <c r="W443" s="352"/>
      <c r="X443" s="375"/>
      <c r="Y443" s="375"/>
      <c r="Z443" s="336"/>
      <c r="AA443" s="353"/>
      <c r="AB443" s="336"/>
      <c r="AC443" s="336"/>
      <c r="AD443" s="336"/>
      <c r="AE443" s="336"/>
      <c r="AF443" s="336"/>
      <c r="AG443" s="336"/>
      <c r="AH443" s="336"/>
      <c r="AI443" s="336"/>
      <c r="AJ443" s="336"/>
      <c r="AK443" s="336"/>
      <c r="AL443" s="336"/>
      <c r="AM443" s="336"/>
      <c r="AN443" s="336"/>
      <c r="AO443" s="336"/>
      <c r="AP443" s="336"/>
      <c r="AQ443" s="336"/>
      <c r="AR443" s="336"/>
      <c r="AS443" s="336"/>
      <c r="AT443" s="336"/>
      <c r="AU443" s="336"/>
      <c r="AV443" s="336"/>
      <c r="AW443" s="336"/>
      <c r="AX443" s="336"/>
      <c r="AY443" s="336"/>
      <c r="AZ443" s="336"/>
      <c r="BA443" s="336"/>
      <c r="BB443" s="336"/>
      <c r="BC443" s="336"/>
      <c r="BD443" s="336"/>
      <c r="BE443" s="336"/>
      <c r="BF443" s="336"/>
    </row>
    <row r="444" spans="1:58" s="351" customFormat="1" x14ac:dyDescent="0.25">
      <c r="A444" s="336"/>
      <c r="B444" s="336"/>
      <c r="C444" s="336"/>
      <c r="D444" s="336"/>
      <c r="E444" s="336"/>
      <c r="F444" s="336"/>
      <c r="G444" s="336"/>
      <c r="H444" s="336"/>
      <c r="M444" s="352"/>
      <c r="N444" s="353"/>
      <c r="O444" s="353"/>
      <c r="T444" s="377"/>
      <c r="U444" s="352"/>
      <c r="V444" s="352"/>
      <c r="W444" s="352"/>
      <c r="X444" s="375"/>
      <c r="Y444" s="375"/>
      <c r="Z444" s="336"/>
      <c r="AA444" s="353"/>
      <c r="AB444" s="336"/>
      <c r="AC444" s="336"/>
      <c r="AD444" s="336"/>
      <c r="AE444" s="336"/>
      <c r="AF444" s="336"/>
      <c r="AG444" s="336"/>
      <c r="AH444" s="336"/>
      <c r="AI444" s="336"/>
      <c r="AJ444" s="336"/>
      <c r="AK444" s="336"/>
      <c r="AL444" s="336"/>
      <c r="AM444" s="336"/>
      <c r="AN444" s="336"/>
      <c r="AO444" s="336"/>
      <c r="AP444" s="336"/>
      <c r="AQ444" s="336"/>
      <c r="AR444" s="336"/>
      <c r="AS444" s="336"/>
      <c r="AT444" s="336"/>
      <c r="AU444" s="336"/>
      <c r="AV444" s="336"/>
      <c r="AW444" s="336"/>
      <c r="AX444" s="336"/>
      <c r="AY444" s="336"/>
      <c r="AZ444" s="336"/>
      <c r="BA444" s="336"/>
      <c r="BB444" s="336"/>
      <c r="BC444" s="336"/>
      <c r="BD444" s="336"/>
      <c r="BE444" s="336"/>
      <c r="BF444" s="336"/>
    </row>
    <row r="445" spans="1:58" s="351" customFormat="1" x14ac:dyDescent="0.25">
      <c r="A445" s="336"/>
      <c r="B445" s="336"/>
      <c r="C445" s="336"/>
      <c r="D445" s="336"/>
      <c r="E445" s="336"/>
      <c r="F445" s="336"/>
      <c r="G445" s="336"/>
      <c r="H445" s="336"/>
      <c r="M445" s="352"/>
      <c r="N445" s="353"/>
      <c r="O445" s="353"/>
      <c r="T445" s="377"/>
      <c r="U445" s="352"/>
      <c r="V445" s="352"/>
      <c r="W445" s="352"/>
      <c r="X445" s="375"/>
      <c r="Y445" s="375"/>
      <c r="Z445" s="336"/>
      <c r="AA445" s="353"/>
      <c r="AB445" s="336"/>
      <c r="AC445" s="336"/>
      <c r="AD445" s="336"/>
      <c r="AE445" s="336"/>
      <c r="AF445" s="336"/>
      <c r="AG445" s="336"/>
      <c r="AH445" s="336"/>
      <c r="AI445" s="336"/>
      <c r="AJ445" s="336"/>
      <c r="AK445" s="336"/>
      <c r="AL445" s="336"/>
      <c r="AM445" s="336"/>
      <c r="AN445" s="336"/>
      <c r="AO445" s="336"/>
      <c r="AP445" s="336"/>
      <c r="AQ445" s="336"/>
      <c r="AR445" s="336"/>
      <c r="AS445" s="336"/>
      <c r="AT445" s="336"/>
      <c r="AU445" s="336"/>
      <c r="AV445" s="336"/>
      <c r="AW445" s="336"/>
      <c r="AX445" s="336"/>
      <c r="AY445" s="336"/>
      <c r="AZ445" s="336"/>
      <c r="BA445" s="336"/>
      <c r="BB445" s="336"/>
      <c r="BC445" s="336"/>
      <c r="BD445" s="336"/>
      <c r="BE445" s="336"/>
      <c r="BF445" s="336"/>
    </row>
    <row r="446" spans="1:58" s="351" customFormat="1" x14ac:dyDescent="0.25">
      <c r="A446" s="336"/>
      <c r="B446" s="336"/>
      <c r="C446" s="336"/>
      <c r="D446" s="336"/>
      <c r="E446" s="336"/>
      <c r="F446" s="336"/>
      <c r="G446" s="336"/>
      <c r="H446" s="336"/>
      <c r="M446" s="352"/>
      <c r="N446" s="353"/>
      <c r="O446" s="353"/>
      <c r="T446" s="377"/>
      <c r="U446" s="352"/>
      <c r="V446" s="352"/>
      <c r="W446" s="352"/>
      <c r="X446" s="375"/>
      <c r="Y446" s="375"/>
      <c r="Z446" s="336"/>
      <c r="AA446" s="353"/>
      <c r="AB446" s="336"/>
      <c r="AC446" s="336"/>
      <c r="AD446" s="336"/>
      <c r="AE446" s="336"/>
      <c r="AF446" s="336"/>
      <c r="AG446" s="336"/>
      <c r="AH446" s="336"/>
      <c r="AI446" s="336"/>
      <c r="AJ446" s="336"/>
      <c r="AK446" s="336"/>
      <c r="AL446" s="336"/>
      <c r="AM446" s="336"/>
      <c r="AN446" s="336"/>
      <c r="AO446" s="336"/>
      <c r="AP446" s="336"/>
      <c r="AQ446" s="336"/>
      <c r="AR446" s="336"/>
      <c r="AS446" s="336"/>
      <c r="AT446" s="336"/>
      <c r="AU446" s="336"/>
      <c r="AV446" s="336"/>
      <c r="AW446" s="336"/>
      <c r="AX446" s="336"/>
      <c r="AY446" s="336"/>
      <c r="AZ446" s="336"/>
      <c r="BA446" s="336"/>
      <c r="BB446" s="336"/>
      <c r="BC446" s="336"/>
      <c r="BD446" s="336"/>
      <c r="BE446" s="336"/>
      <c r="BF446" s="336"/>
    </row>
    <row r="447" spans="1:58" s="351" customFormat="1" x14ac:dyDescent="0.25">
      <c r="A447" s="336"/>
      <c r="B447" s="336"/>
      <c r="C447" s="336"/>
      <c r="D447" s="336"/>
      <c r="E447" s="336"/>
      <c r="F447" s="336"/>
      <c r="G447" s="336"/>
      <c r="H447" s="336"/>
      <c r="M447" s="352"/>
      <c r="N447" s="353"/>
      <c r="O447" s="353"/>
      <c r="T447" s="377"/>
      <c r="U447" s="352"/>
      <c r="V447" s="352"/>
      <c r="W447" s="352"/>
      <c r="X447" s="375"/>
      <c r="Y447" s="375"/>
      <c r="Z447" s="336"/>
      <c r="AA447" s="353"/>
      <c r="AB447" s="336"/>
      <c r="AC447" s="336"/>
      <c r="AD447" s="336"/>
      <c r="AE447" s="336"/>
      <c r="AF447" s="336"/>
      <c r="AG447" s="336"/>
      <c r="AH447" s="336"/>
      <c r="AI447" s="336"/>
      <c r="AJ447" s="336"/>
      <c r="AK447" s="336"/>
      <c r="AL447" s="336"/>
      <c r="AM447" s="336"/>
      <c r="AN447" s="336"/>
      <c r="AO447" s="336"/>
      <c r="AP447" s="336"/>
      <c r="AQ447" s="336"/>
      <c r="AR447" s="336"/>
      <c r="AS447" s="336"/>
      <c r="AT447" s="336"/>
      <c r="AU447" s="336"/>
      <c r="AV447" s="336"/>
      <c r="AW447" s="336"/>
      <c r="AX447" s="336"/>
      <c r="AY447" s="336"/>
      <c r="AZ447" s="336"/>
      <c r="BA447" s="336"/>
      <c r="BB447" s="336"/>
      <c r="BC447" s="336"/>
      <c r="BD447" s="336"/>
      <c r="BE447" s="336"/>
      <c r="BF447" s="336"/>
    </row>
    <row r="448" spans="1:58" s="351" customFormat="1" x14ac:dyDescent="0.25">
      <c r="A448" s="336"/>
      <c r="B448" s="336"/>
      <c r="C448" s="336"/>
      <c r="D448" s="336"/>
      <c r="E448" s="336"/>
      <c r="F448" s="336"/>
      <c r="G448" s="336"/>
      <c r="H448" s="336"/>
      <c r="M448" s="352"/>
      <c r="N448" s="353"/>
      <c r="O448" s="353"/>
      <c r="T448" s="377"/>
      <c r="U448" s="352"/>
      <c r="V448" s="352"/>
      <c r="W448" s="352"/>
      <c r="X448" s="375"/>
      <c r="Y448" s="375"/>
      <c r="Z448" s="336"/>
      <c r="AA448" s="353"/>
      <c r="AB448" s="336"/>
      <c r="AC448" s="336"/>
      <c r="AD448" s="336"/>
      <c r="AE448" s="336"/>
      <c r="AF448" s="336"/>
      <c r="AG448" s="336"/>
      <c r="AH448" s="336"/>
      <c r="AI448" s="336"/>
      <c r="AJ448" s="336"/>
      <c r="AK448" s="336"/>
      <c r="AL448" s="336"/>
      <c r="AM448" s="336"/>
      <c r="AN448" s="336"/>
      <c r="AO448" s="336"/>
      <c r="AP448" s="336"/>
      <c r="AQ448" s="336"/>
      <c r="AR448" s="336"/>
      <c r="AS448" s="336"/>
      <c r="AT448" s="336"/>
      <c r="AU448" s="336"/>
      <c r="AV448" s="336"/>
      <c r="AW448" s="336"/>
      <c r="AX448" s="336"/>
      <c r="AY448" s="336"/>
      <c r="AZ448" s="336"/>
      <c r="BA448" s="336"/>
      <c r="BB448" s="336"/>
      <c r="BC448" s="336"/>
      <c r="BD448" s="336"/>
      <c r="BE448" s="336"/>
      <c r="BF448" s="336"/>
    </row>
    <row r="449" spans="1:58" s="351" customFormat="1" x14ac:dyDescent="0.25">
      <c r="A449" s="336"/>
      <c r="B449" s="336"/>
      <c r="C449" s="336"/>
      <c r="D449" s="336"/>
      <c r="E449" s="336"/>
      <c r="F449" s="336"/>
      <c r="G449" s="336"/>
      <c r="H449" s="336"/>
      <c r="M449" s="352"/>
      <c r="N449" s="353"/>
      <c r="O449" s="353"/>
      <c r="T449" s="377"/>
      <c r="U449" s="352"/>
      <c r="V449" s="352"/>
      <c r="W449" s="352"/>
      <c r="X449" s="375"/>
      <c r="Y449" s="375"/>
      <c r="Z449" s="336"/>
      <c r="AA449" s="353"/>
      <c r="AB449" s="336"/>
      <c r="AC449" s="336"/>
      <c r="AD449" s="336"/>
      <c r="AE449" s="336"/>
      <c r="AF449" s="336"/>
      <c r="AG449" s="336"/>
      <c r="AH449" s="336"/>
      <c r="AI449" s="336"/>
      <c r="AJ449" s="336"/>
      <c r="AK449" s="336"/>
      <c r="AL449" s="336"/>
      <c r="AM449" s="336"/>
      <c r="AN449" s="336"/>
      <c r="AO449" s="336"/>
      <c r="AP449" s="336"/>
      <c r="AQ449" s="336"/>
      <c r="AR449" s="336"/>
      <c r="AS449" s="336"/>
      <c r="AT449" s="336"/>
      <c r="AU449" s="336"/>
      <c r="AV449" s="336"/>
      <c r="AW449" s="336"/>
      <c r="AX449" s="336"/>
      <c r="AY449" s="336"/>
      <c r="AZ449" s="336"/>
      <c r="BA449" s="336"/>
      <c r="BB449" s="336"/>
      <c r="BC449" s="336"/>
      <c r="BD449" s="336"/>
      <c r="BE449" s="336"/>
      <c r="BF449" s="336"/>
    </row>
    <row r="450" spans="1:58" s="351" customFormat="1" x14ac:dyDescent="0.25">
      <c r="A450" s="336"/>
      <c r="B450" s="336"/>
      <c r="C450" s="336"/>
      <c r="D450" s="336"/>
      <c r="E450" s="336"/>
      <c r="F450" s="336"/>
      <c r="G450" s="336"/>
      <c r="H450" s="336"/>
      <c r="M450" s="352"/>
      <c r="N450" s="353"/>
      <c r="O450" s="353"/>
      <c r="T450" s="377"/>
      <c r="U450" s="352"/>
      <c r="V450" s="352"/>
      <c r="W450" s="352"/>
      <c r="X450" s="375"/>
      <c r="Y450" s="375"/>
      <c r="Z450" s="336"/>
      <c r="AA450" s="353"/>
      <c r="AB450" s="336"/>
      <c r="AC450" s="336"/>
      <c r="AD450" s="336"/>
      <c r="AE450" s="336"/>
      <c r="AF450" s="336"/>
      <c r="AG450" s="336"/>
      <c r="AH450" s="336"/>
      <c r="AI450" s="336"/>
      <c r="AJ450" s="336"/>
      <c r="AK450" s="336"/>
      <c r="AL450" s="336"/>
      <c r="AM450" s="336"/>
      <c r="AN450" s="336"/>
      <c r="AO450" s="336"/>
      <c r="AP450" s="336"/>
      <c r="AQ450" s="336"/>
      <c r="AR450" s="336"/>
      <c r="AS450" s="336"/>
      <c r="AT450" s="336"/>
      <c r="AU450" s="336"/>
      <c r="AV450" s="336"/>
      <c r="AW450" s="336"/>
      <c r="AX450" s="336"/>
      <c r="AY450" s="336"/>
      <c r="AZ450" s="336"/>
      <c r="BA450" s="336"/>
      <c r="BB450" s="336"/>
      <c r="BC450" s="336"/>
      <c r="BD450" s="336"/>
      <c r="BE450" s="336"/>
      <c r="BF450" s="336"/>
    </row>
    <row r="451" spans="1:58" s="351" customFormat="1" x14ac:dyDescent="0.25">
      <c r="A451" s="336"/>
      <c r="B451" s="336"/>
      <c r="C451" s="336"/>
      <c r="D451" s="336"/>
      <c r="E451" s="336"/>
      <c r="F451" s="336"/>
      <c r="G451" s="336"/>
      <c r="H451" s="336"/>
      <c r="M451" s="352"/>
      <c r="N451" s="353"/>
      <c r="O451" s="353"/>
      <c r="T451" s="377"/>
      <c r="U451" s="352"/>
      <c r="V451" s="352"/>
      <c r="W451" s="352"/>
      <c r="X451" s="375"/>
      <c r="Y451" s="375"/>
      <c r="Z451" s="336"/>
      <c r="AA451" s="353"/>
      <c r="AB451" s="336"/>
      <c r="AC451" s="336"/>
      <c r="AD451" s="336"/>
      <c r="AE451" s="336"/>
      <c r="AF451" s="336"/>
      <c r="AG451" s="336"/>
      <c r="AH451" s="336"/>
      <c r="AI451" s="336"/>
      <c r="AJ451" s="336"/>
      <c r="AK451" s="336"/>
      <c r="AL451" s="336"/>
      <c r="AM451" s="336"/>
      <c r="AN451" s="336"/>
      <c r="AO451" s="336"/>
      <c r="AP451" s="336"/>
      <c r="AQ451" s="336"/>
      <c r="AR451" s="336"/>
      <c r="AS451" s="336"/>
      <c r="AT451" s="336"/>
      <c r="AU451" s="336"/>
      <c r="AV451" s="336"/>
      <c r="AW451" s="336"/>
      <c r="AX451" s="336"/>
      <c r="AY451" s="336"/>
      <c r="AZ451" s="336"/>
      <c r="BA451" s="336"/>
      <c r="BB451" s="336"/>
      <c r="BC451" s="336"/>
      <c r="BD451" s="336"/>
      <c r="BE451" s="336"/>
      <c r="BF451" s="336"/>
    </row>
    <row r="452" spans="1:58" s="351" customFormat="1" x14ac:dyDescent="0.25">
      <c r="A452" s="336"/>
      <c r="B452" s="336"/>
      <c r="C452" s="336"/>
      <c r="D452" s="336"/>
      <c r="E452" s="336"/>
      <c r="F452" s="336"/>
      <c r="G452" s="336"/>
      <c r="H452" s="336"/>
      <c r="M452" s="352"/>
      <c r="N452" s="353"/>
      <c r="O452" s="353"/>
      <c r="T452" s="377"/>
      <c r="U452" s="352"/>
      <c r="V452" s="352"/>
      <c r="W452" s="352"/>
      <c r="X452" s="375"/>
      <c r="Y452" s="375"/>
      <c r="Z452" s="336"/>
      <c r="AA452" s="353"/>
      <c r="AB452" s="336"/>
      <c r="AC452" s="336"/>
      <c r="AD452" s="336"/>
      <c r="AE452" s="336"/>
      <c r="AF452" s="336"/>
      <c r="AG452" s="336"/>
      <c r="AH452" s="336"/>
      <c r="AI452" s="336"/>
      <c r="AJ452" s="336"/>
      <c r="AK452" s="336"/>
      <c r="AL452" s="336"/>
      <c r="AM452" s="336"/>
      <c r="AN452" s="336"/>
      <c r="AO452" s="336"/>
      <c r="AP452" s="336"/>
      <c r="AQ452" s="336"/>
      <c r="AR452" s="336"/>
      <c r="AS452" s="336"/>
      <c r="AT452" s="336"/>
      <c r="AU452" s="336"/>
      <c r="AV452" s="336"/>
      <c r="AW452" s="336"/>
      <c r="AX452" s="336"/>
      <c r="AY452" s="336"/>
      <c r="AZ452" s="336"/>
      <c r="BA452" s="336"/>
      <c r="BB452" s="336"/>
      <c r="BC452" s="336"/>
      <c r="BD452" s="336"/>
      <c r="BE452" s="336"/>
      <c r="BF452" s="336"/>
    </row>
    <row r="453" spans="1:58" s="351" customFormat="1" x14ac:dyDescent="0.25">
      <c r="A453" s="336"/>
      <c r="B453" s="336"/>
      <c r="C453" s="336"/>
      <c r="D453" s="336"/>
      <c r="E453" s="336"/>
      <c r="F453" s="336"/>
      <c r="G453" s="336"/>
      <c r="H453" s="336"/>
      <c r="M453" s="352"/>
      <c r="N453" s="353"/>
      <c r="O453" s="353"/>
      <c r="T453" s="377"/>
      <c r="U453" s="352"/>
      <c r="V453" s="352"/>
      <c r="W453" s="352"/>
      <c r="X453" s="375"/>
      <c r="Y453" s="375"/>
      <c r="Z453" s="336"/>
      <c r="AA453" s="353"/>
      <c r="AB453" s="336"/>
      <c r="AC453" s="336"/>
      <c r="AD453" s="336"/>
      <c r="AE453" s="336"/>
      <c r="AF453" s="336"/>
      <c r="AG453" s="336"/>
      <c r="AH453" s="336"/>
      <c r="AI453" s="336"/>
      <c r="AJ453" s="336"/>
      <c r="AK453" s="336"/>
      <c r="AL453" s="336"/>
      <c r="AM453" s="336"/>
      <c r="AN453" s="336"/>
      <c r="AO453" s="336"/>
      <c r="AP453" s="336"/>
      <c r="AQ453" s="336"/>
      <c r="AR453" s="336"/>
      <c r="AS453" s="336"/>
      <c r="AT453" s="336"/>
      <c r="AU453" s="336"/>
      <c r="AV453" s="336"/>
      <c r="AW453" s="336"/>
      <c r="AX453" s="336"/>
      <c r="AY453" s="336"/>
      <c r="AZ453" s="336"/>
      <c r="BA453" s="336"/>
      <c r="BB453" s="336"/>
      <c r="BC453" s="336"/>
      <c r="BD453" s="336"/>
      <c r="BE453" s="336"/>
      <c r="BF453" s="336"/>
    </row>
    <row r="454" spans="1:58" s="351" customFormat="1" x14ac:dyDescent="0.25">
      <c r="A454" s="336"/>
      <c r="B454" s="336"/>
      <c r="C454" s="336"/>
      <c r="D454" s="336"/>
      <c r="E454" s="336"/>
      <c r="F454" s="336"/>
      <c r="G454" s="336"/>
      <c r="H454" s="336"/>
      <c r="M454" s="352"/>
      <c r="N454" s="353"/>
      <c r="O454" s="353"/>
      <c r="T454" s="377"/>
      <c r="U454" s="352"/>
      <c r="V454" s="352"/>
      <c r="W454" s="352"/>
      <c r="X454" s="375"/>
      <c r="Y454" s="375"/>
      <c r="Z454" s="336"/>
      <c r="AA454" s="353"/>
      <c r="AB454" s="336"/>
      <c r="AC454" s="336"/>
      <c r="AD454" s="336"/>
      <c r="AE454" s="336"/>
      <c r="AF454" s="336"/>
      <c r="AG454" s="336"/>
      <c r="AH454" s="336"/>
      <c r="AI454" s="336"/>
      <c r="AJ454" s="336"/>
      <c r="AK454" s="336"/>
      <c r="AL454" s="336"/>
      <c r="AM454" s="336"/>
      <c r="AN454" s="336"/>
      <c r="AO454" s="336"/>
      <c r="AP454" s="336"/>
      <c r="AQ454" s="336"/>
      <c r="AR454" s="336"/>
      <c r="AS454" s="336"/>
      <c r="AT454" s="336"/>
      <c r="AU454" s="336"/>
      <c r="AV454" s="336"/>
      <c r="AW454" s="336"/>
      <c r="AX454" s="336"/>
      <c r="AY454" s="336"/>
      <c r="AZ454" s="336"/>
      <c r="BA454" s="336"/>
      <c r="BB454" s="336"/>
      <c r="BC454" s="336"/>
      <c r="BD454" s="336"/>
      <c r="BE454" s="336"/>
      <c r="BF454" s="336"/>
    </row>
    <row r="455" spans="1:58" s="351" customFormat="1" x14ac:dyDescent="0.25">
      <c r="A455" s="336"/>
      <c r="B455" s="336"/>
      <c r="C455" s="336"/>
      <c r="D455" s="336"/>
      <c r="E455" s="336"/>
      <c r="F455" s="336"/>
      <c r="G455" s="336"/>
      <c r="H455" s="336"/>
      <c r="M455" s="352"/>
      <c r="N455" s="353"/>
      <c r="O455" s="353"/>
      <c r="T455" s="377"/>
      <c r="U455" s="352"/>
      <c r="V455" s="352"/>
      <c r="W455" s="352"/>
      <c r="X455" s="375"/>
      <c r="Y455" s="375"/>
      <c r="Z455" s="336"/>
      <c r="AA455" s="353"/>
      <c r="AB455" s="336"/>
      <c r="AC455" s="336"/>
      <c r="AD455" s="336"/>
      <c r="AE455" s="336"/>
      <c r="AF455" s="336"/>
      <c r="AG455" s="336"/>
      <c r="AH455" s="336"/>
      <c r="AI455" s="336"/>
      <c r="AJ455" s="336"/>
      <c r="AK455" s="336"/>
      <c r="AL455" s="336"/>
      <c r="AM455" s="336"/>
      <c r="AN455" s="336"/>
      <c r="AO455" s="336"/>
      <c r="AP455" s="336"/>
      <c r="AQ455" s="336"/>
      <c r="AR455" s="336"/>
      <c r="AS455" s="336"/>
      <c r="AT455" s="336"/>
      <c r="AU455" s="336"/>
      <c r="AV455" s="336"/>
      <c r="AW455" s="336"/>
      <c r="AX455" s="336"/>
      <c r="AY455" s="336"/>
      <c r="AZ455" s="336"/>
      <c r="BA455" s="336"/>
      <c r="BB455" s="336"/>
      <c r="BC455" s="336"/>
      <c r="BD455" s="336"/>
      <c r="BE455" s="336"/>
      <c r="BF455" s="336"/>
    </row>
    <row r="456" spans="1:58" s="351" customFormat="1" x14ac:dyDescent="0.25">
      <c r="A456" s="336"/>
      <c r="B456" s="336"/>
      <c r="C456" s="336"/>
      <c r="D456" s="336"/>
      <c r="E456" s="336"/>
      <c r="F456" s="336"/>
      <c r="G456" s="336"/>
      <c r="H456" s="336"/>
      <c r="M456" s="352"/>
      <c r="N456" s="353"/>
      <c r="O456" s="353"/>
      <c r="T456" s="377"/>
      <c r="U456" s="352"/>
      <c r="V456" s="352"/>
      <c r="W456" s="352"/>
      <c r="X456" s="375"/>
      <c r="Y456" s="375"/>
      <c r="Z456" s="336"/>
      <c r="AA456" s="353"/>
      <c r="AB456" s="336"/>
      <c r="AC456" s="336"/>
      <c r="AD456" s="336"/>
      <c r="AE456" s="336"/>
      <c r="AF456" s="336"/>
      <c r="AG456" s="336"/>
      <c r="AH456" s="336"/>
      <c r="AI456" s="336"/>
      <c r="AJ456" s="336"/>
      <c r="AK456" s="336"/>
      <c r="AL456" s="336"/>
      <c r="AM456" s="336"/>
      <c r="AN456" s="336"/>
      <c r="AO456" s="336"/>
      <c r="AP456" s="336"/>
      <c r="AQ456" s="336"/>
      <c r="AR456" s="336"/>
      <c r="AS456" s="336"/>
      <c r="AT456" s="336"/>
      <c r="AU456" s="336"/>
      <c r="AV456" s="336"/>
      <c r="AW456" s="336"/>
      <c r="AX456" s="336"/>
      <c r="AY456" s="336"/>
      <c r="AZ456" s="336"/>
      <c r="BA456" s="336"/>
      <c r="BB456" s="336"/>
      <c r="BC456" s="336"/>
      <c r="BD456" s="336"/>
      <c r="BE456" s="336"/>
      <c r="BF456" s="336"/>
    </row>
    <row r="457" spans="1:58" s="351" customFormat="1" x14ac:dyDescent="0.25">
      <c r="A457" s="336"/>
      <c r="B457" s="336"/>
      <c r="C457" s="336"/>
      <c r="D457" s="336"/>
      <c r="E457" s="336"/>
      <c r="F457" s="336"/>
      <c r="G457" s="336"/>
      <c r="H457" s="336"/>
      <c r="M457" s="352"/>
      <c r="N457" s="353"/>
      <c r="O457" s="353"/>
      <c r="T457" s="377"/>
      <c r="U457" s="352"/>
      <c r="V457" s="352"/>
      <c r="W457" s="352"/>
      <c r="X457" s="375"/>
      <c r="Y457" s="375"/>
      <c r="Z457" s="336"/>
      <c r="AA457" s="353"/>
      <c r="AB457" s="336"/>
      <c r="AC457" s="336"/>
      <c r="AD457" s="336"/>
      <c r="AE457" s="336"/>
      <c r="AF457" s="336"/>
      <c r="AG457" s="336"/>
      <c r="AH457" s="336"/>
      <c r="AI457" s="336"/>
      <c r="AJ457" s="336"/>
      <c r="AK457" s="336"/>
      <c r="AL457" s="336"/>
      <c r="AM457" s="336"/>
      <c r="AN457" s="336"/>
      <c r="AO457" s="336"/>
      <c r="AP457" s="336"/>
      <c r="AQ457" s="336"/>
      <c r="AR457" s="336"/>
      <c r="AS457" s="336"/>
      <c r="AT457" s="336"/>
      <c r="AU457" s="336"/>
      <c r="AV457" s="336"/>
      <c r="AW457" s="336"/>
      <c r="AX457" s="336"/>
      <c r="AY457" s="336"/>
      <c r="AZ457" s="336"/>
      <c r="BA457" s="336"/>
      <c r="BB457" s="336"/>
      <c r="BC457" s="336"/>
      <c r="BD457" s="336"/>
      <c r="BE457" s="336"/>
      <c r="BF457" s="336"/>
    </row>
    <row r="458" spans="1:58" s="351" customFormat="1" x14ac:dyDescent="0.25">
      <c r="A458" s="336"/>
      <c r="B458" s="336"/>
      <c r="C458" s="336"/>
      <c r="D458" s="336"/>
      <c r="E458" s="336"/>
      <c r="F458" s="336"/>
      <c r="G458" s="336"/>
      <c r="H458" s="336"/>
      <c r="M458" s="352"/>
      <c r="N458" s="353"/>
      <c r="O458" s="353"/>
      <c r="T458" s="377"/>
      <c r="U458" s="352"/>
      <c r="V458" s="352"/>
      <c r="W458" s="352"/>
      <c r="X458" s="375"/>
      <c r="Y458" s="375"/>
      <c r="Z458" s="336"/>
      <c r="AA458" s="353"/>
      <c r="AB458" s="336"/>
      <c r="AC458" s="336"/>
      <c r="AD458" s="336"/>
      <c r="AE458" s="336"/>
      <c r="AF458" s="336"/>
      <c r="AG458" s="336"/>
      <c r="AH458" s="336"/>
      <c r="AI458" s="336"/>
      <c r="AJ458" s="336"/>
      <c r="AK458" s="336"/>
      <c r="AL458" s="336"/>
      <c r="AM458" s="336"/>
      <c r="AN458" s="336"/>
      <c r="AO458" s="336"/>
      <c r="AP458" s="336"/>
      <c r="AQ458" s="336"/>
      <c r="AR458" s="336"/>
      <c r="AS458" s="336"/>
      <c r="AT458" s="336"/>
      <c r="AU458" s="336"/>
      <c r="AV458" s="336"/>
      <c r="AW458" s="336"/>
      <c r="AX458" s="336"/>
      <c r="AY458" s="336"/>
      <c r="AZ458" s="336"/>
      <c r="BA458" s="336"/>
      <c r="BB458" s="336"/>
      <c r="BC458" s="336"/>
      <c r="BD458" s="336"/>
      <c r="BE458" s="336"/>
      <c r="BF458" s="336"/>
    </row>
    <row r="459" spans="1:58" s="351" customFormat="1" x14ac:dyDescent="0.25">
      <c r="A459" s="336"/>
      <c r="B459" s="336"/>
      <c r="C459" s="336"/>
      <c r="D459" s="336"/>
      <c r="E459" s="336"/>
      <c r="F459" s="336"/>
      <c r="G459" s="336"/>
      <c r="H459" s="336"/>
      <c r="M459" s="352"/>
      <c r="N459" s="353"/>
      <c r="O459" s="353"/>
      <c r="T459" s="377"/>
      <c r="U459" s="352"/>
      <c r="V459" s="352"/>
      <c r="W459" s="352"/>
      <c r="X459" s="375"/>
      <c r="Y459" s="375"/>
      <c r="Z459" s="336"/>
      <c r="AA459" s="353"/>
      <c r="AB459" s="336"/>
      <c r="AC459" s="336"/>
      <c r="AD459" s="336"/>
      <c r="AE459" s="336"/>
      <c r="AF459" s="336"/>
      <c r="AG459" s="336"/>
      <c r="AH459" s="336"/>
      <c r="AI459" s="336"/>
      <c r="AJ459" s="336"/>
      <c r="AK459" s="336"/>
      <c r="AL459" s="336"/>
      <c r="AM459" s="336"/>
      <c r="AN459" s="336"/>
      <c r="AO459" s="336"/>
      <c r="AP459" s="336"/>
      <c r="AQ459" s="336"/>
      <c r="AR459" s="336"/>
      <c r="AS459" s="336"/>
      <c r="AT459" s="336"/>
      <c r="AU459" s="336"/>
      <c r="AV459" s="336"/>
      <c r="AW459" s="336"/>
      <c r="AX459" s="336"/>
      <c r="AY459" s="336"/>
      <c r="AZ459" s="336"/>
      <c r="BA459" s="336"/>
      <c r="BB459" s="336"/>
      <c r="BC459" s="336"/>
      <c r="BD459" s="336"/>
      <c r="BE459" s="336"/>
      <c r="BF459" s="336"/>
    </row>
    <row r="460" spans="1:58" s="351" customFormat="1" x14ac:dyDescent="0.25">
      <c r="A460" s="336"/>
      <c r="B460" s="336"/>
      <c r="C460" s="336"/>
      <c r="D460" s="336"/>
      <c r="E460" s="336"/>
      <c r="F460" s="336"/>
      <c r="G460" s="336"/>
      <c r="H460" s="336"/>
      <c r="M460" s="352"/>
      <c r="N460" s="353"/>
      <c r="O460" s="353"/>
      <c r="T460" s="377"/>
      <c r="U460" s="352"/>
      <c r="V460" s="352"/>
      <c r="W460" s="352"/>
      <c r="X460" s="375"/>
      <c r="Y460" s="375"/>
      <c r="Z460" s="336"/>
      <c r="AA460" s="353"/>
      <c r="AB460" s="336"/>
      <c r="AC460" s="336"/>
      <c r="AD460" s="336"/>
      <c r="AE460" s="336"/>
      <c r="AF460" s="336"/>
      <c r="AG460" s="336"/>
      <c r="AH460" s="336"/>
      <c r="AI460" s="336"/>
      <c r="AJ460" s="336"/>
      <c r="AK460" s="336"/>
      <c r="AL460" s="336"/>
      <c r="AM460" s="336"/>
      <c r="AN460" s="336"/>
      <c r="AO460" s="336"/>
      <c r="AP460" s="336"/>
      <c r="AQ460" s="336"/>
      <c r="AR460" s="336"/>
      <c r="AS460" s="336"/>
      <c r="AT460" s="336"/>
      <c r="AU460" s="336"/>
      <c r="AV460" s="336"/>
      <c r="AW460" s="336"/>
      <c r="AX460" s="336"/>
      <c r="AY460" s="336"/>
      <c r="AZ460" s="336"/>
      <c r="BA460" s="336"/>
      <c r="BB460" s="336"/>
      <c r="BC460" s="336"/>
      <c r="BD460" s="336"/>
      <c r="BE460" s="336"/>
      <c r="BF460" s="336"/>
    </row>
    <row r="461" spans="1:58" s="351" customFormat="1" x14ac:dyDescent="0.25">
      <c r="A461" s="336"/>
      <c r="B461" s="336"/>
      <c r="C461" s="336"/>
      <c r="D461" s="336"/>
      <c r="E461" s="336"/>
      <c r="F461" s="336"/>
      <c r="G461" s="336"/>
      <c r="H461" s="336"/>
      <c r="M461" s="352"/>
      <c r="N461" s="353"/>
      <c r="O461" s="353"/>
      <c r="T461" s="377"/>
      <c r="U461" s="352"/>
      <c r="V461" s="352"/>
      <c r="W461" s="352"/>
      <c r="X461" s="375"/>
      <c r="Y461" s="375"/>
      <c r="Z461" s="336"/>
      <c r="AA461" s="353"/>
      <c r="AB461" s="336"/>
      <c r="AC461" s="336"/>
      <c r="AD461" s="336"/>
      <c r="AE461" s="336"/>
      <c r="AF461" s="336"/>
      <c r="AG461" s="336"/>
      <c r="AH461" s="336"/>
      <c r="AI461" s="336"/>
      <c r="AJ461" s="336"/>
      <c r="AK461" s="336"/>
      <c r="AL461" s="336"/>
      <c r="AM461" s="336"/>
      <c r="AN461" s="336"/>
      <c r="AO461" s="336"/>
      <c r="AP461" s="336"/>
      <c r="AQ461" s="336"/>
      <c r="AR461" s="336"/>
      <c r="AS461" s="336"/>
      <c r="AT461" s="336"/>
      <c r="AU461" s="336"/>
      <c r="AV461" s="336"/>
      <c r="AW461" s="336"/>
      <c r="AX461" s="336"/>
      <c r="AY461" s="336"/>
      <c r="AZ461" s="336"/>
      <c r="BA461" s="336"/>
      <c r="BB461" s="336"/>
      <c r="BC461" s="336"/>
      <c r="BD461" s="336"/>
      <c r="BE461" s="336"/>
      <c r="BF461" s="336"/>
    </row>
    <row r="462" spans="1:58" s="351" customFormat="1" x14ac:dyDescent="0.25">
      <c r="A462" s="336"/>
      <c r="B462" s="336"/>
      <c r="C462" s="336"/>
      <c r="D462" s="336"/>
      <c r="E462" s="336"/>
      <c r="F462" s="336"/>
      <c r="G462" s="336"/>
      <c r="H462" s="336"/>
      <c r="M462" s="352"/>
      <c r="N462" s="353"/>
      <c r="O462" s="353"/>
      <c r="T462" s="377"/>
      <c r="U462" s="352"/>
      <c r="V462" s="352"/>
      <c r="W462" s="352"/>
      <c r="X462" s="375"/>
      <c r="Y462" s="375"/>
      <c r="Z462" s="336"/>
      <c r="AA462" s="353"/>
      <c r="AB462" s="336"/>
      <c r="AC462" s="336"/>
      <c r="AD462" s="336"/>
      <c r="AE462" s="336"/>
      <c r="AF462" s="336"/>
      <c r="AG462" s="336"/>
      <c r="AH462" s="336"/>
      <c r="AI462" s="336"/>
      <c r="AJ462" s="336"/>
      <c r="AK462" s="336"/>
      <c r="AL462" s="336"/>
      <c r="AM462" s="336"/>
      <c r="AN462" s="336"/>
      <c r="AO462" s="336"/>
      <c r="AP462" s="336"/>
      <c r="AQ462" s="336"/>
      <c r="AR462" s="336"/>
      <c r="AS462" s="336"/>
      <c r="AT462" s="336"/>
      <c r="AU462" s="336"/>
      <c r="AV462" s="336"/>
      <c r="AW462" s="336"/>
      <c r="AX462" s="336"/>
      <c r="AY462" s="336"/>
      <c r="AZ462" s="336"/>
      <c r="BA462" s="336"/>
      <c r="BB462" s="336"/>
      <c r="BC462" s="336"/>
      <c r="BD462" s="336"/>
      <c r="BE462" s="336"/>
      <c r="BF462" s="336"/>
    </row>
    <row r="463" spans="1:58" s="351" customFormat="1" x14ac:dyDescent="0.25">
      <c r="A463" s="336"/>
      <c r="B463" s="336"/>
      <c r="C463" s="336"/>
      <c r="D463" s="336"/>
      <c r="E463" s="336"/>
      <c r="F463" s="336"/>
      <c r="G463" s="336"/>
      <c r="H463" s="336"/>
      <c r="M463" s="352"/>
      <c r="N463" s="353"/>
      <c r="O463" s="353"/>
      <c r="T463" s="377"/>
      <c r="U463" s="352"/>
      <c r="V463" s="352"/>
      <c r="W463" s="352"/>
      <c r="X463" s="375"/>
      <c r="Y463" s="375"/>
      <c r="Z463" s="336"/>
      <c r="AA463" s="353"/>
      <c r="AB463" s="336"/>
      <c r="AC463" s="336"/>
      <c r="AD463" s="336"/>
      <c r="AE463" s="336"/>
      <c r="AF463" s="336"/>
      <c r="AG463" s="336"/>
      <c r="AH463" s="336"/>
      <c r="AI463" s="336"/>
      <c r="AJ463" s="336"/>
      <c r="AK463" s="336"/>
      <c r="AL463" s="336"/>
      <c r="AM463" s="336"/>
      <c r="AN463" s="336"/>
      <c r="AO463" s="336"/>
      <c r="AP463" s="336"/>
      <c r="AQ463" s="336"/>
      <c r="AR463" s="336"/>
      <c r="AS463" s="336"/>
      <c r="AT463" s="336"/>
      <c r="AU463" s="336"/>
      <c r="AV463" s="336"/>
      <c r="AW463" s="336"/>
      <c r="AX463" s="336"/>
      <c r="AY463" s="336"/>
      <c r="AZ463" s="336"/>
      <c r="BA463" s="336"/>
      <c r="BB463" s="336"/>
      <c r="BC463" s="336"/>
      <c r="BD463" s="336"/>
      <c r="BE463" s="336"/>
      <c r="BF463" s="336"/>
    </row>
    <row r="464" spans="1:58" s="351" customFormat="1" x14ac:dyDescent="0.25">
      <c r="A464" s="336"/>
      <c r="B464" s="336"/>
      <c r="C464" s="336"/>
      <c r="D464" s="336"/>
      <c r="E464" s="336"/>
      <c r="F464" s="336"/>
      <c r="G464" s="336"/>
      <c r="H464" s="336"/>
      <c r="M464" s="352"/>
      <c r="N464" s="353"/>
      <c r="O464" s="353"/>
      <c r="T464" s="377"/>
      <c r="U464" s="352"/>
      <c r="V464" s="352"/>
      <c r="W464" s="352"/>
      <c r="X464" s="375"/>
      <c r="Y464" s="375"/>
      <c r="Z464" s="336"/>
      <c r="AA464" s="353"/>
      <c r="AB464" s="336"/>
      <c r="AC464" s="336"/>
      <c r="AD464" s="336"/>
      <c r="AE464" s="336"/>
      <c r="AF464" s="336"/>
      <c r="AG464" s="336"/>
      <c r="AH464" s="336"/>
      <c r="AI464" s="336"/>
      <c r="AJ464" s="336"/>
      <c r="AK464" s="336"/>
      <c r="AL464" s="336"/>
      <c r="AM464" s="336"/>
      <c r="AN464" s="336"/>
      <c r="AO464" s="336"/>
      <c r="AP464" s="336"/>
      <c r="AQ464" s="336"/>
      <c r="AR464" s="336"/>
      <c r="AS464" s="336"/>
      <c r="AT464" s="336"/>
      <c r="AU464" s="336"/>
      <c r="AV464" s="336"/>
      <c r="AW464" s="336"/>
      <c r="AX464" s="336"/>
      <c r="AY464" s="336"/>
      <c r="AZ464" s="336"/>
      <c r="BA464" s="336"/>
      <c r="BB464" s="336"/>
      <c r="BC464" s="336"/>
      <c r="BD464" s="336"/>
      <c r="BE464" s="336"/>
      <c r="BF464" s="336"/>
    </row>
    <row r="465" spans="1:58" s="351" customFormat="1" x14ac:dyDescent="0.25">
      <c r="A465" s="336"/>
      <c r="B465" s="336"/>
      <c r="C465" s="336"/>
      <c r="D465" s="336"/>
      <c r="E465" s="336"/>
      <c r="F465" s="336"/>
      <c r="G465" s="336"/>
      <c r="H465" s="336"/>
      <c r="M465" s="352"/>
      <c r="N465" s="353"/>
      <c r="O465" s="353"/>
      <c r="T465" s="377"/>
      <c r="U465" s="352"/>
      <c r="V465" s="352"/>
      <c r="W465" s="352"/>
      <c r="X465" s="375"/>
      <c r="Y465" s="375"/>
      <c r="Z465" s="336"/>
      <c r="AA465" s="353"/>
      <c r="AB465" s="336"/>
      <c r="AC465" s="336"/>
      <c r="AD465" s="336"/>
      <c r="AE465" s="336"/>
      <c r="AF465" s="336"/>
      <c r="AG465" s="336"/>
      <c r="AH465" s="336"/>
      <c r="AI465" s="336"/>
      <c r="AJ465" s="336"/>
      <c r="AK465" s="336"/>
      <c r="AL465" s="336"/>
      <c r="AM465" s="336"/>
      <c r="AN465" s="336"/>
      <c r="AO465" s="336"/>
      <c r="AP465" s="336"/>
      <c r="AQ465" s="336"/>
      <c r="AR465" s="336"/>
      <c r="AS465" s="336"/>
      <c r="AT465" s="336"/>
      <c r="AU465" s="336"/>
      <c r="AV465" s="336"/>
      <c r="AW465" s="336"/>
      <c r="AX465" s="336"/>
      <c r="AY465" s="336"/>
      <c r="AZ465" s="336"/>
      <c r="BA465" s="336"/>
      <c r="BB465" s="336"/>
      <c r="BC465" s="336"/>
      <c r="BD465" s="336"/>
      <c r="BE465" s="336"/>
      <c r="BF465" s="336"/>
    </row>
    <row r="466" spans="1:58" s="351" customFormat="1" x14ac:dyDescent="0.25">
      <c r="A466" s="336"/>
      <c r="B466" s="336"/>
      <c r="C466" s="336"/>
      <c r="D466" s="336"/>
      <c r="E466" s="336"/>
      <c r="F466" s="336"/>
      <c r="G466" s="336"/>
      <c r="H466" s="336"/>
      <c r="M466" s="352"/>
      <c r="N466" s="353"/>
      <c r="O466" s="353"/>
      <c r="T466" s="377"/>
      <c r="U466" s="352"/>
      <c r="V466" s="352"/>
      <c r="W466" s="352"/>
      <c r="X466" s="375"/>
      <c r="Y466" s="375"/>
      <c r="Z466" s="336"/>
      <c r="AA466" s="353"/>
      <c r="AB466" s="336"/>
      <c r="AC466" s="336"/>
      <c r="AD466" s="336"/>
      <c r="AE466" s="336"/>
      <c r="AF466" s="336"/>
      <c r="AG466" s="336"/>
      <c r="AH466" s="336"/>
      <c r="AI466" s="336"/>
      <c r="AJ466" s="336"/>
      <c r="AK466" s="336"/>
      <c r="AL466" s="336"/>
      <c r="AM466" s="336"/>
      <c r="AN466" s="336"/>
      <c r="AO466" s="336"/>
      <c r="AP466" s="336"/>
      <c r="AQ466" s="336"/>
      <c r="AR466" s="336"/>
      <c r="AS466" s="336"/>
      <c r="AT466" s="336"/>
      <c r="AU466" s="336"/>
      <c r="AV466" s="336"/>
      <c r="AW466" s="336"/>
      <c r="AX466" s="336"/>
      <c r="AY466" s="336"/>
      <c r="AZ466" s="336"/>
      <c r="BA466" s="336"/>
      <c r="BB466" s="336"/>
      <c r="BC466" s="336"/>
      <c r="BD466" s="336"/>
      <c r="BE466" s="336"/>
      <c r="BF466" s="336"/>
    </row>
    <row r="467" spans="1:58" s="351" customFormat="1" x14ac:dyDescent="0.25">
      <c r="A467" s="336"/>
      <c r="B467" s="336"/>
      <c r="C467" s="336"/>
      <c r="D467" s="336"/>
      <c r="E467" s="336"/>
      <c r="F467" s="336"/>
      <c r="G467" s="336"/>
      <c r="H467" s="336"/>
      <c r="M467" s="352"/>
      <c r="N467" s="353"/>
      <c r="O467" s="353"/>
      <c r="T467" s="377"/>
      <c r="U467" s="352"/>
      <c r="V467" s="352"/>
      <c r="W467" s="352"/>
      <c r="X467" s="375"/>
      <c r="Y467" s="375"/>
      <c r="Z467" s="336"/>
      <c r="AA467" s="353"/>
      <c r="AB467" s="336"/>
      <c r="AC467" s="336"/>
      <c r="AD467" s="336"/>
      <c r="AE467" s="336"/>
      <c r="AF467" s="336"/>
      <c r="AG467" s="336"/>
      <c r="AH467" s="336"/>
      <c r="AI467" s="336"/>
      <c r="AJ467" s="336"/>
      <c r="AK467" s="336"/>
      <c r="AL467" s="336"/>
      <c r="AM467" s="336"/>
      <c r="AN467" s="336"/>
      <c r="AO467" s="336"/>
      <c r="AP467" s="336"/>
      <c r="AQ467" s="336"/>
      <c r="AR467" s="336"/>
      <c r="AS467" s="336"/>
      <c r="AT467" s="336"/>
      <c r="AU467" s="336"/>
      <c r="AV467" s="336"/>
      <c r="AW467" s="336"/>
      <c r="AX467" s="336"/>
      <c r="AY467" s="336"/>
      <c r="AZ467" s="336"/>
      <c r="BA467" s="336"/>
      <c r="BB467" s="336"/>
      <c r="BC467" s="336"/>
      <c r="BD467" s="336"/>
      <c r="BE467" s="336"/>
      <c r="BF467" s="336"/>
    </row>
    <row r="468" spans="1:58" s="351" customFormat="1" x14ac:dyDescent="0.25">
      <c r="A468" s="336"/>
      <c r="B468" s="336"/>
      <c r="C468" s="336"/>
      <c r="D468" s="336"/>
      <c r="E468" s="336"/>
      <c r="F468" s="336"/>
      <c r="G468" s="336"/>
      <c r="H468" s="336"/>
      <c r="M468" s="352"/>
      <c r="N468" s="353"/>
      <c r="O468" s="353"/>
      <c r="T468" s="377"/>
      <c r="U468" s="352"/>
      <c r="V468" s="352"/>
      <c r="W468" s="352"/>
      <c r="X468" s="375"/>
      <c r="Y468" s="375"/>
      <c r="Z468" s="336"/>
      <c r="AA468" s="353"/>
      <c r="AB468" s="336"/>
      <c r="AC468" s="336"/>
      <c r="AD468" s="336"/>
      <c r="AE468" s="336"/>
      <c r="AF468" s="336"/>
      <c r="AG468" s="336"/>
      <c r="AH468" s="336"/>
      <c r="AI468" s="336"/>
      <c r="AJ468" s="336"/>
      <c r="AK468" s="336"/>
      <c r="AL468" s="336"/>
      <c r="AM468" s="336"/>
      <c r="AN468" s="336"/>
      <c r="AO468" s="336"/>
      <c r="AP468" s="336"/>
      <c r="AQ468" s="336"/>
      <c r="AR468" s="336"/>
      <c r="AS468" s="336"/>
      <c r="AT468" s="336"/>
      <c r="AU468" s="336"/>
      <c r="AV468" s="336"/>
      <c r="AW468" s="336"/>
      <c r="AX468" s="336"/>
      <c r="AY468" s="336"/>
      <c r="AZ468" s="336"/>
      <c r="BA468" s="336"/>
      <c r="BB468" s="336"/>
      <c r="BC468" s="336"/>
      <c r="BD468" s="336"/>
      <c r="BE468" s="336"/>
      <c r="BF468" s="336"/>
    </row>
    <row r="469" spans="1:58" s="351" customFormat="1" x14ac:dyDescent="0.25">
      <c r="A469" s="336"/>
      <c r="B469" s="336"/>
      <c r="C469" s="336"/>
      <c r="D469" s="336"/>
      <c r="E469" s="336"/>
      <c r="F469" s="336"/>
      <c r="G469" s="336"/>
      <c r="H469" s="336"/>
      <c r="M469" s="352"/>
      <c r="N469" s="353"/>
      <c r="O469" s="353"/>
      <c r="T469" s="377"/>
      <c r="U469" s="352"/>
      <c r="V469" s="352"/>
      <c r="W469" s="352"/>
      <c r="X469" s="375"/>
      <c r="Y469" s="375"/>
      <c r="Z469" s="336"/>
      <c r="AA469" s="353"/>
      <c r="AB469" s="336"/>
      <c r="AC469" s="336"/>
      <c r="AD469" s="336"/>
      <c r="AE469" s="336"/>
      <c r="AF469" s="336"/>
      <c r="AG469" s="336"/>
      <c r="AH469" s="336"/>
      <c r="AI469" s="336"/>
      <c r="AJ469" s="336"/>
      <c r="AK469" s="336"/>
      <c r="AL469" s="336"/>
      <c r="AM469" s="336"/>
      <c r="AN469" s="336"/>
      <c r="AO469" s="336"/>
      <c r="AP469" s="336"/>
      <c r="AQ469" s="336"/>
      <c r="AR469" s="336"/>
      <c r="AS469" s="336"/>
      <c r="AT469" s="336"/>
      <c r="AU469" s="336"/>
      <c r="AV469" s="336"/>
      <c r="AW469" s="336"/>
      <c r="AX469" s="336"/>
      <c r="AY469" s="336"/>
      <c r="AZ469" s="336"/>
      <c r="BA469" s="336"/>
      <c r="BB469" s="336"/>
      <c r="BC469" s="336"/>
      <c r="BD469" s="336"/>
      <c r="BE469" s="336"/>
      <c r="BF469" s="336"/>
    </row>
    <row r="470" spans="1:58" s="351" customFormat="1" x14ac:dyDescent="0.25">
      <c r="A470" s="336"/>
      <c r="B470" s="336"/>
      <c r="C470" s="336"/>
      <c r="D470" s="336"/>
      <c r="E470" s="336"/>
      <c r="F470" s="336"/>
      <c r="G470" s="336"/>
      <c r="H470" s="336"/>
      <c r="M470" s="352"/>
      <c r="N470" s="353"/>
      <c r="O470" s="353"/>
      <c r="T470" s="377"/>
      <c r="U470" s="352"/>
      <c r="V470" s="352"/>
      <c r="W470" s="352"/>
      <c r="X470" s="375"/>
      <c r="Y470" s="375"/>
      <c r="Z470" s="336"/>
      <c r="AA470" s="353"/>
      <c r="AB470" s="336"/>
      <c r="AC470" s="336"/>
      <c r="AD470" s="336"/>
      <c r="AE470" s="336"/>
      <c r="AF470" s="336"/>
      <c r="AG470" s="336"/>
      <c r="AH470" s="336"/>
      <c r="AI470" s="336"/>
      <c r="AJ470" s="336"/>
      <c r="AK470" s="336"/>
      <c r="AL470" s="336"/>
      <c r="AM470" s="336"/>
      <c r="AN470" s="336"/>
      <c r="AO470" s="336"/>
      <c r="AP470" s="336"/>
      <c r="AQ470" s="336"/>
      <c r="AR470" s="336"/>
      <c r="AS470" s="336"/>
      <c r="AT470" s="336"/>
      <c r="AU470" s="336"/>
      <c r="AV470" s="336"/>
      <c r="AW470" s="336"/>
      <c r="AX470" s="336"/>
      <c r="AY470" s="336"/>
      <c r="AZ470" s="336"/>
      <c r="BA470" s="336"/>
      <c r="BB470" s="336"/>
      <c r="BC470" s="336"/>
      <c r="BD470" s="336"/>
      <c r="BE470" s="336"/>
      <c r="BF470" s="336"/>
    </row>
    <row r="471" spans="1:58" s="351" customFormat="1" x14ac:dyDescent="0.25">
      <c r="A471" s="336"/>
      <c r="B471" s="336"/>
      <c r="C471" s="336"/>
      <c r="D471" s="336"/>
      <c r="E471" s="336"/>
      <c r="F471" s="336"/>
      <c r="G471" s="336"/>
      <c r="H471" s="336"/>
      <c r="M471" s="352"/>
      <c r="N471" s="353"/>
      <c r="O471" s="353"/>
      <c r="T471" s="377"/>
      <c r="U471" s="352"/>
      <c r="V471" s="352"/>
      <c r="W471" s="352"/>
      <c r="X471" s="375"/>
      <c r="Y471" s="375"/>
      <c r="Z471" s="336"/>
      <c r="AA471" s="353"/>
      <c r="AB471" s="336"/>
      <c r="AC471" s="336"/>
      <c r="AD471" s="336"/>
      <c r="AE471" s="336"/>
      <c r="AF471" s="336"/>
      <c r="AG471" s="336"/>
      <c r="AH471" s="336"/>
      <c r="AI471" s="336"/>
      <c r="AJ471" s="336"/>
      <c r="AK471" s="336"/>
      <c r="AL471" s="336"/>
      <c r="AM471" s="336"/>
      <c r="AN471" s="336"/>
      <c r="AO471" s="336"/>
      <c r="AP471" s="336"/>
      <c r="AQ471" s="336"/>
      <c r="AR471" s="336"/>
      <c r="AS471" s="336"/>
      <c r="AT471" s="336"/>
      <c r="AU471" s="336"/>
      <c r="AV471" s="336"/>
      <c r="AW471" s="336"/>
      <c r="AX471" s="336"/>
      <c r="AY471" s="336"/>
      <c r="AZ471" s="336"/>
      <c r="BA471" s="336"/>
      <c r="BB471" s="336"/>
      <c r="BC471" s="336"/>
      <c r="BD471" s="336"/>
      <c r="BE471" s="336"/>
      <c r="BF471" s="336"/>
    </row>
    <row r="472" spans="1:58" s="351" customFormat="1" x14ac:dyDescent="0.25">
      <c r="A472" s="336"/>
      <c r="B472" s="336"/>
      <c r="C472" s="336"/>
      <c r="D472" s="336"/>
      <c r="E472" s="336"/>
      <c r="F472" s="336"/>
      <c r="G472" s="336"/>
      <c r="H472" s="336"/>
      <c r="M472" s="352"/>
      <c r="N472" s="353"/>
      <c r="O472" s="353"/>
      <c r="T472" s="377"/>
      <c r="U472" s="352"/>
      <c r="V472" s="352"/>
      <c r="W472" s="352"/>
      <c r="X472" s="375"/>
      <c r="Y472" s="375"/>
      <c r="Z472" s="336"/>
      <c r="AA472" s="353"/>
      <c r="AB472" s="336"/>
      <c r="AC472" s="336"/>
      <c r="AD472" s="336"/>
      <c r="AE472" s="336"/>
      <c r="AF472" s="336"/>
      <c r="AG472" s="336"/>
      <c r="AH472" s="336"/>
      <c r="AI472" s="336"/>
      <c r="AJ472" s="336"/>
      <c r="AK472" s="336"/>
      <c r="AL472" s="336"/>
      <c r="AM472" s="336"/>
      <c r="AN472" s="336"/>
      <c r="AO472" s="336"/>
      <c r="AP472" s="336"/>
      <c r="AQ472" s="336"/>
      <c r="AR472" s="336"/>
      <c r="AS472" s="336"/>
      <c r="AT472" s="336"/>
      <c r="AU472" s="336"/>
      <c r="AV472" s="336"/>
      <c r="AW472" s="336"/>
      <c r="AX472" s="336"/>
      <c r="AY472" s="336"/>
      <c r="AZ472" s="336"/>
      <c r="BA472" s="336"/>
      <c r="BB472" s="336"/>
      <c r="BC472" s="336"/>
      <c r="BD472" s="336"/>
      <c r="BE472" s="336"/>
      <c r="BF472" s="336"/>
    </row>
    <row r="473" spans="1:58" s="351" customFormat="1" x14ac:dyDescent="0.25">
      <c r="A473" s="336"/>
      <c r="B473" s="336"/>
      <c r="C473" s="336"/>
      <c r="D473" s="336"/>
      <c r="E473" s="336"/>
      <c r="F473" s="336"/>
      <c r="G473" s="336"/>
      <c r="H473" s="336"/>
      <c r="M473" s="352"/>
      <c r="N473" s="353"/>
      <c r="O473" s="353"/>
      <c r="T473" s="377"/>
      <c r="U473" s="352"/>
      <c r="V473" s="352"/>
      <c r="W473" s="352"/>
      <c r="X473" s="375"/>
      <c r="Y473" s="375"/>
      <c r="Z473" s="336"/>
      <c r="AA473" s="353"/>
      <c r="AB473" s="336"/>
      <c r="AC473" s="336"/>
      <c r="AD473" s="336"/>
      <c r="AE473" s="336"/>
      <c r="AF473" s="336"/>
      <c r="AG473" s="336"/>
      <c r="AH473" s="336"/>
      <c r="AI473" s="336"/>
      <c r="AJ473" s="336"/>
      <c r="AK473" s="336"/>
      <c r="AL473" s="336"/>
      <c r="AM473" s="336"/>
      <c r="AN473" s="336"/>
      <c r="AO473" s="336"/>
      <c r="AP473" s="336"/>
      <c r="AQ473" s="336"/>
      <c r="AR473" s="336"/>
      <c r="AS473" s="336"/>
      <c r="AT473" s="336"/>
      <c r="AU473" s="336"/>
      <c r="AV473" s="336"/>
      <c r="AW473" s="336"/>
      <c r="AX473" s="336"/>
      <c r="AY473" s="336"/>
      <c r="AZ473" s="336"/>
      <c r="BA473" s="336"/>
      <c r="BB473" s="336"/>
      <c r="BC473" s="336"/>
      <c r="BD473" s="336"/>
      <c r="BE473" s="336"/>
      <c r="BF473" s="336"/>
    </row>
    <row r="474" spans="1:58" s="351" customFormat="1" x14ac:dyDescent="0.25">
      <c r="A474" s="336"/>
      <c r="B474" s="336"/>
      <c r="C474" s="336"/>
      <c r="D474" s="336"/>
      <c r="E474" s="336"/>
      <c r="F474" s="336"/>
      <c r="G474" s="336"/>
      <c r="H474" s="336"/>
      <c r="M474" s="352"/>
      <c r="N474" s="353"/>
      <c r="O474" s="353"/>
      <c r="T474" s="377"/>
      <c r="U474" s="352"/>
      <c r="V474" s="352"/>
      <c r="W474" s="352"/>
      <c r="X474" s="375"/>
      <c r="Y474" s="375"/>
      <c r="Z474" s="336"/>
      <c r="AA474" s="353"/>
      <c r="AB474" s="336"/>
      <c r="AC474" s="336"/>
      <c r="AD474" s="336"/>
      <c r="AE474" s="336"/>
      <c r="AF474" s="336"/>
      <c r="AG474" s="336"/>
      <c r="AH474" s="336"/>
      <c r="AI474" s="336"/>
      <c r="AJ474" s="336"/>
      <c r="AK474" s="336"/>
      <c r="AL474" s="336"/>
      <c r="AM474" s="336"/>
      <c r="AN474" s="336"/>
      <c r="AO474" s="336"/>
      <c r="AP474" s="336"/>
      <c r="AQ474" s="336"/>
      <c r="AR474" s="336"/>
      <c r="AS474" s="336"/>
      <c r="AT474" s="336"/>
      <c r="AU474" s="336"/>
      <c r="AV474" s="336"/>
      <c r="AW474" s="336"/>
      <c r="AX474" s="336"/>
      <c r="AY474" s="336"/>
      <c r="AZ474" s="336"/>
      <c r="BA474" s="336"/>
      <c r="BB474" s="336"/>
      <c r="BC474" s="336"/>
      <c r="BD474" s="336"/>
      <c r="BE474" s="336"/>
      <c r="BF474" s="336"/>
    </row>
    <row r="475" spans="1:58" s="351" customFormat="1" x14ac:dyDescent="0.25">
      <c r="A475" s="336"/>
      <c r="B475" s="336"/>
      <c r="C475" s="336"/>
      <c r="D475" s="336"/>
      <c r="E475" s="336"/>
      <c r="F475" s="336"/>
      <c r="G475" s="336"/>
      <c r="H475" s="336"/>
      <c r="M475" s="352"/>
      <c r="N475" s="353"/>
      <c r="O475" s="353"/>
      <c r="T475" s="377"/>
      <c r="U475" s="352"/>
      <c r="V475" s="352"/>
      <c r="W475" s="352"/>
      <c r="X475" s="375"/>
      <c r="Y475" s="375"/>
      <c r="Z475" s="336"/>
      <c r="AA475" s="353"/>
      <c r="AB475" s="336"/>
      <c r="AC475" s="336"/>
      <c r="AD475" s="336"/>
      <c r="AE475" s="336"/>
      <c r="AF475" s="336"/>
      <c r="AG475" s="336"/>
      <c r="AH475" s="336"/>
      <c r="AI475" s="336"/>
      <c r="AJ475" s="336"/>
      <c r="AK475" s="336"/>
      <c r="AL475" s="336"/>
      <c r="AM475" s="336"/>
      <c r="AN475" s="336"/>
      <c r="AO475" s="336"/>
      <c r="AP475" s="336"/>
      <c r="AQ475" s="336"/>
      <c r="AR475" s="336"/>
      <c r="AS475" s="336"/>
      <c r="AT475" s="336"/>
      <c r="AU475" s="336"/>
      <c r="AV475" s="336"/>
      <c r="AW475" s="336"/>
      <c r="AX475" s="336"/>
      <c r="AY475" s="336"/>
      <c r="AZ475" s="336"/>
      <c r="BA475" s="336"/>
      <c r="BB475" s="336"/>
      <c r="BC475" s="336"/>
      <c r="BD475" s="336"/>
      <c r="BE475" s="336"/>
      <c r="BF475" s="336"/>
    </row>
    <row r="476" spans="1:58" s="351" customFormat="1" x14ac:dyDescent="0.25">
      <c r="A476" s="336"/>
      <c r="B476" s="336"/>
      <c r="C476" s="336"/>
      <c r="D476" s="336"/>
      <c r="E476" s="336"/>
      <c r="F476" s="336"/>
      <c r="G476" s="336"/>
      <c r="H476" s="336"/>
      <c r="M476" s="352"/>
      <c r="N476" s="353"/>
      <c r="O476" s="353"/>
      <c r="T476" s="377"/>
      <c r="U476" s="352"/>
      <c r="V476" s="352"/>
      <c r="W476" s="352"/>
      <c r="X476" s="375"/>
      <c r="Y476" s="375"/>
      <c r="Z476" s="336"/>
      <c r="AA476" s="353"/>
      <c r="AB476" s="336"/>
      <c r="AC476" s="336"/>
      <c r="AD476" s="336"/>
      <c r="AE476" s="336"/>
      <c r="AF476" s="336"/>
      <c r="AG476" s="336"/>
      <c r="AH476" s="336"/>
      <c r="AI476" s="336"/>
      <c r="AJ476" s="336"/>
      <c r="AK476" s="336"/>
      <c r="AL476" s="336"/>
      <c r="AM476" s="336"/>
      <c r="AN476" s="336"/>
      <c r="AO476" s="336"/>
      <c r="AP476" s="336"/>
      <c r="AQ476" s="336"/>
      <c r="AR476" s="336"/>
      <c r="AS476" s="336"/>
      <c r="AT476" s="336"/>
      <c r="AU476" s="336"/>
      <c r="AV476" s="336"/>
      <c r="AW476" s="336"/>
      <c r="AX476" s="336"/>
      <c r="AY476" s="336"/>
      <c r="AZ476" s="336"/>
      <c r="BA476" s="336"/>
      <c r="BB476" s="336"/>
      <c r="BC476" s="336"/>
      <c r="BD476" s="336"/>
      <c r="BE476" s="336"/>
      <c r="BF476" s="336"/>
    </row>
    <row r="477" spans="1:58" s="351" customFormat="1" x14ac:dyDescent="0.25">
      <c r="A477" s="336"/>
      <c r="B477" s="336"/>
      <c r="C477" s="336"/>
      <c r="D477" s="336"/>
      <c r="E477" s="336"/>
      <c r="F477" s="336"/>
      <c r="G477" s="336"/>
      <c r="H477" s="336"/>
      <c r="M477" s="352"/>
      <c r="N477" s="353"/>
      <c r="O477" s="353"/>
      <c r="T477" s="377"/>
      <c r="U477" s="352"/>
      <c r="V477" s="352"/>
      <c r="W477" s="352"/>
      <c r="X477" s="375"/>
      <c r="Y477" s="375"/>
      <c r="Z477" s="336"/>
      <c r="AA477" s="353"/>
      <c r="AB477" s="336"/>
      <c r="AC477" s="336"/>
      <c r="AD477" s="336"/>
      <c r="AE477" s="336"/>
      <c r="AF477" s="336"/>
      <c r="AG477" s="336"/>
      <c r="AH477" s="336"/>
      <c r="AI477" s="336"/>
      <c r="AJ477" s="336"/>
      <c r="AK477" s="336"/>
      <c r="AL477" s="336"/>
      <c r="AM477" s="336"/>
      <c r="AN477" s="336"/>
      <c r="AO477" s="336"/>
      <c r="AP477" s="336"/>
      <c r="AQ477" s="336"/>
      <c r="AR477" s="336"/>
      <c r="AS477" s="336"/>
      <c r="AT477" s="336"/>
      <c r="AU477" s="336"/>
      <c r="AV477" s="336"/>
      <c r="AW477" s="336"/>
      <c r="AX477" s="336"/>
      <c r="AY477" s="336"/>
      <c r="AZ477" s="336"/>
      <c r="BA477" s="336"/>
      <c r="BB477" s="336"/>
      <c r="BC477" s="336"/>
      <c r="BD477" s="336"/>
      <c r="BE477" s="336"/>
      <c r="BF477" s="336"/>
    </row>
    <row r="478" spans="1:58" s="351" customFormat="1" x14ac:dyDescent="0.25">
      <c r="A478" s="336"/>
      <c r="B478" s="336"/>
      <c r="C478" s="336"/>
      <c r="D478" s="336"/>
      <c r="E478" s="336"/>
      <c r="F478" s="336"/>
      <c r="G478" s="336"/>
      <c r="H478" s="336"/>
      <c r="M478" s="352"/>
      <c r="N478" s="353"/>
      <c r="O478" s="353"/>
      <c r="T478" s="377"/>
      <c r="U478" s="352"/>
      <c r="V478" s="352"/>
      <c r="W478" s="352"/>
      <c r="X478" s="375"/>
      <c r="Y478" s="375"/>
      <c r="Z478" s="336"/>
      <c r="AA478" s="353"/>
      <c r="AB478" s="336"/>
      <c r="AC478" s="336"/>
      <c r="AD478" s="336"/>
      <c r="AE478" s="336"/>
      <c r="AF478" s="336"/>
      <c r="AG478" s="336"/>
      <c r="AH478" s="336"/>
      <c r="AI478" s="336"/>
      <c r="AJ478" s="336"/>
      <c r="AK478" s="336"/>
      <c r="AL478" s="336"/>
      <c r="AM478" s="336"/>
      <c r="AN478" s="336"/>
      <c r="AO478" s="336"/>
      <c r="AP478" s="336"/>
      <c r="AQ478" s="336"/>
      <c r="AR478" s="336"/>
      <c r="AS478" s="336"/>
      <c r="AT478" s="336"/>
      <c r="AU478" s="336"/>
      <c r="AV478" s="336"/>
      <c r="AW478" s="336"/>
      <c r="AX478" s="336"/>
      <c r="AY478" s="336"/>
      <c r="AZ478" s="336"/>
      <c r="BA478" s="336"/>
      <c r="BB478" s="336"/>
      <c r="BC478" s="336"/>
      <c r="BD478" s="336"/>
      <c r="BE478" s="336"/>
      <c r="BF478" s="336"/>
    </row>
    <row r="479" spans="1:58" s="351" customFormat="1" x14ac:dyDescent="0.25">
      <c r="A479" s="336"/>
      <c r="B479" s="336"/>
      <c r="C479" s="336"/>
      <c r="D479" s="336"/>
      <c r="E479" s="336"/>
      <c r="F479" s="336"/>
      <c r="G479" s="336"/>
      <c r="H479" s="336"/>
      <c r="M479" s="352"/>
      <c r="N479" s="353"/>
      <c r="O479" s="353"/>
      <c r="T479" s="377"/>
      <c r="U479" s="352"/>
      <c r="V479" s="352"/>
      <c r="W479" s="352"/>
      <c r="X479" s="375"/>
      <c r="Y479" s="375"/>
      <c r="Z479" s="336"/>
      <c r="AA479" s="353"/>
      <c r="AB479" s="336"/>
      <c r="AC479" s="336"/>
      <c r="AD479" s="336"/>
      <c r="AE479" s="336"/>
      <c r="AF479" s="336"/>
      <c r="AG479" s="336"/>
      <c r="AH479" s="336"/>
      <c r="AI479" s="336"/>
      <c r="AJ479" s="336"/>
      <c r="AK479" s="336"/>
      <c r="AL479" s="336"/>
      <c r="AM479" s="336"/>
      <c r="AN479" s="336"/>
      <c r="AO479" s="336"/>
      <c r="AP479" s="336"/>
      <c r="AQ479" s="336"/>
      <c r="AR479" s="336"/>
      <c r="AS479" s="336"/>
      <c r="AT479" s="336"/>
      <c r="AU479" s="336"/>
      <c r="AV479" s="336"/>
      <c r="AW479" s="336"/>
      <c r="AX479" s="336"/>
      <c r="AY479" s="336"/>
      <c r="AZ479" s="336"/>
      <c r="BA479" s="336"/>
      <c r="BB479" s="336"/>
      <c r="BC479" s="336"/>
      <c r="BD479" s="336"/>
      <c r="BE479" s="336"/>
      <c r="BF479" s="336"/>
    </row>
    <row r="480" spans="1:58" s="351" customFormat="1" x14ac:dyDescent="0.25">
      <c r="A480" s="336"/>
      <c r="B480" s="336"/>
      <c r="C480" s="336"/>
      <c r="D480" s="336"/>
      <c r="E480" s="336"/>
      <c r="F480" s="336"/>
      <c r="G480" s="336"/>
      <c r="H480" s="336"/>
      <c r="M480" s="352"/>
      <c r="N480" s="353"/>
      <c r="O480" s="353"/>
      <c r="T480" s="377"/>
      <c r="U480" s="352"/>
      <c r="V480" s="352"/>
      <c r="W480" s="352"/>
      <c r="X480" s="375"/>
      <c r="Y480" s="375"/>
      <c r="Z480" s="336"/>
      <c r="AA480" s="353"/>
      <c r="AB480" s="336"/>
      <c r="AC480" s="336"/>
      <c r="AD480" s="336"/>
      <c r="AE480" s="336"/>
      <c r="AF480" s="336"/>
      <c r="AG480" s="336"/>
      <c r="AH480" s="336"/>
      <c r="AI480" s="336"/>
      <c r="AJ480" s="336"/>
      <c r="AK480" s="336"/>
      <c r="AL480" s="336"/>
      <c r="AM480" s="336"/>
      <c r="AN480" s="336"/>
      <c r="AO480" s="336"/>
      <c r="AP480" s="336"/>
      <c r="AQ480" s="336"/>
      <c r="AR480" s="336"/>
      <c r="AS480" s="336"/>
      <c r="AT480" s="336"/>
      <c r="AU480" s="336"/>
      <c r="AV480" s="336"/>
      <c r="AW480" s="336"/>
      <c r="AX480" s="336"/>
      <c r="AY480" s="336"/>
      <c r="AZ480" s="336"/>
      <c r="BA480" s="336"/>
      <c r="BB480" s="336"/>
      <c r="BC480" s="336"/>
      <c r="BD480" s="336"/>
      <c r="BE480" s="336"/>
      <c r="BF480" s="336"/>
    </row>
    <row r="481" spans="1:58" s="351" customFormat="1" x14ac:dyDescent="0.25">
      <c r="A481" s="336"/>
      <c r="B481" s="336"/>
      <c r="C481" s="336"/>
      <c r="D481" s="336"/>
      <c r="E481" s="336"/>
      <c r="F481" s="336"/>
      <c r="G481" s="336"/>
      <c r="H481" s="336"/>
      <c r="M481" s="352"/>
      <c r="N481" s="353"/>
      <c r="O481" s="353"/>
      <c r="T481" s="377"/>
      <c r="U481" s="352"/>
      <c r="V481" s="352"/>
      <c r="W481" s="352"/>
      <c r="X481" s="375"/>
      <c r="Y481" s="375"/>
      <c r="Z481" s="336"/>
      <c r="AA481" s="353"/>
      <c r="AB481" s="336"/>
      <c r="AC481" s="336"/>
      <c r="AD481" s="336"/>
      <c r="AE481" s="336"/>
      <c r="AF481" s="336"/>
      <c r="AG481" s="336"/>
      <c r="AH481" s="336"/>
      <c r="AI481" s="336"/>
      <c r="AJ481" s="336"/>
      <c r="AK481" s="336"/>
      <c r="AL481" s="336"/>
      <c r="AM481" s="336"/>
      <c r="AN481" s="336"/>
      <c r="AO481" s="336"/>
      <c r="AP481" s="336"/>
      <c r="AQ481" s="336"/>
      <c r="AR481" s="336"/>
      <c r="AS481" s="336"/>
      <c r="AT481" s="336"/>
      <c r="AU481" s="336"/>
      <c r="AV481" s="336"/>
      <c r="AW481" s="336"/>
      <c r="AX481" s="336"/>
      <c r="AY481" s="336"/>
      <c r="AZ481" s="336"/>
      <c r="BA481" s="336"/>
      <c r="BB481" s="336"/>
      <c r="BC481" s="336"/>
      <c r="BD481" s="336"/>
      <c r="BE481" s="336"/>
      <c r="BF481" s="336"/>
    </row>
    <row r="482" spans="1:58" s="351" customFormat="1" x14ac:dyDescent="0.25">
      <c r="A482" s="336"/>
      <c r="B482" s="336"/>
      <c r="C482" s="336"/>
      <c r="D482" s="336"/>
      <c r="E482" s="336"/>
      <c r="F482" s="336"/>
      <c r="G482" s="336"/>
      <c r="H482" s="336"/>
      <c r="M482" s="352"/>
      <c r="N482" s="353"/>
      <c r="O482" s="353"/>
      <c r="T482" s="377"/>
      <c r="U482" s="352"/>
      <c r="V482" s="352"/>
      <c r="W482" s="352"/>
      <c r="X482" s="375"/>
      <c r="Y482" s="375"/>
      <c r="Z482" s="336"/>
      <c r="AA482" s="353"/>
      <c r="AB482" s="336"/>
      <c r="AC482" s="336"/>
      <c r="AD482" s="336"/>
      <c r="AE482" s="336"/>
      <c r="AF482" s="336"/>
      <c r="AG482" s="336"/>
      <c r="AH482" s="336"/>
      <c r="AI482" s="336"/>
      <c r="AJ482" s="336"/>
      <c r="AK482" s="336"/>
      <c r="AL482" s="336"/>
      <c r="AM482" s="336"/>
      <c r="AN482" s="336"/>
      <c r="AO482" s="336"/>
      <c r="AP482" s="336"/>
      <c r="AQ482" s="336"/>
      <c r="AR482" s="336"/>
      <c r="AS482" s="336"/>
      <c r="AT482" s="336"/>
      <c r="AU482" s="336"/>
      <c r="AV482" s="336"/>
      <c r="AW482" s="336"/>
      <c r="AX482" s="336"/>
      <c r="AY482" s="336"/>
      <c r="AZ482" s="336"/>
      <c r="BA482" s="336"/>
      <c r="BB482" s="336"/>
      <c r="BC482" s="336"/>
      <c r="BD482" s="336"/>
      <c r="BE482" s="336"/>
      <c r="BF482" s="336"/>
    </row>
    <row r="483" spans="1:58" s="351" customFormat="1" x14ac:dyDescent="0.25">
      <c r="A483" s="336"/>
      <c r="B483" s="336"/>
      <c r="C483" s="336"/>
      <c r="D483" s="336"/>
      <c r="E483" s="336"/>
      <c r="F483" s="336"/>
      <c r="G483" s="336"/>
      <c r="H483" s="336"/>
      <c r="M483" s="352"/>
      <c r="N483" s="353"/>
      <c r="O483" s="353"/>
      <c r="T483" s="377"/>
      <c r="U483" s="352"/>
      <c r="V483" s="352"/>
      <c r="W483" s="352"/>
      <c r="X483" s="375"/>
      <c r="Y483" s="375"/>
      <c r="Z483" s="336"/>
      <c r="AA483" s="353"/>
      <c r="AB483" s="336"/>
      <c r="AC483" s="336"/>
      <c r="AD483" s="336"/>
      <c r="AE483" s="336"/>
      <c r="AF483" s="336"/>
      <c r="AG483" s="336"/>
      <c r="AH483" s="336"/>
      <c r="AI483" s="336"/>
      <c r="AJ483" s="336"/>
      <c r="AK483" s="336"/>
      <c r="AL483" s="336"/>
      <c r="AM483" s="336"/>
      <c r="AN483" s="336"/>
      <c r="AO483" s="336"/>
      <c r="AP483" s="336"/>
      <c r="AQ483" s="336"/>
      <c r="AR483" s="336"/>
      <c r="AS483" s="336"/>
      <c r="AT483" s="336"/>
      <c r="AU483" s="336"/>
      <c r="AV483" s="336"/>
      <c r="AW483" s="336"/>
      <c r="AX483" s="336"/>
      <c r="AY483" s="336"/>
      <c r="AZ483" s="336"/>
      <c r="BA483" s="336"/>
      <c r="BB483" s="336"/>
      <c r="BC483" s="336"/>
      <c r="BD483" s="336"/>
      <c r="BE483" s="336"/>
      <c r="BF483" s="336"/>
    </row>
    <row r="484" spans="1:58" s="351" customFormat="1" x14ac:dyDescent="0.25">
      <c r="A484" s="336"/>
      <c r="B484" s="336"/>
      <c r="C484" s="336"/>
      <c r="D484" s="336"/>
      <c r="E484" s="336"/>
      <c r="F484" s="336"/>
      <c r="G484" s="336"/>
      <c r="H484" s="336"/>
      <c r="M484" s="352"/>
      <c r="N484" s="353"/>
      <c r="O484" s="353"/>
      <c r="T484" s="377"/>
      <c r="U484" s="352"/>
      <c r="V484" s="352"/>
      <c r="W484" s="352"/>
      <c r="X484" s="375"/>
      <c r="Y484" s="375"/>
      <c r="Z484" s="336"/>
      <c r="AA484" s="353"/>
      <c r="AB484" s="336"/>
      <c r="AC484" s="336"/>
      <c r="AD484" s="336"/>
      <c r="AE484" s="336"/>
      <c r="AF484" s="336"/>
      <c r="AG484" s="336"/>
      <c r="AH484" s="336"/>
      <c r="AI484" s="336"/>
      <c r="AJ484" s="336"/>
      <c r="AK484" s="336"/>
      <c r="AL484" s="336"/>
      <c r="AM484" s="336"/>
      <c r="AN484" s="336"/>
      <c r="AO484" s="336"/>
      <c r="AP484" s="336"/>
      <c r="AQ484" s="336"/>
      <c r="AR484" s="336"/>
      <c r="AS484" s="336"/>
      <c r="AT484" s="336"/>
      <c r="AU484" s="336"/>
      <c r="AV484" s="336"/>
      <c r="AW484" s="336"/>
      <c r="AX484" s="336"/>
      <c r="AY484" s="336"/>
      <c r="AZ484" s="336"/>
      <c r="BA484" s="336"/>
      <c r="BB484" s="336"/>
      <c r="BC484" s="336"/>
      <c r="BD484" s="336"/>
      <c r="BE484" s="336"/>
      <c r="BF484" s="336"/>
    </row>
    <row r="485" spans="1:58" s="351" customFormat="1" x14ac:dyDescent="0.25">
      <c r="A485" s="336"/>
      <c r="B485" s="336"/>
      <c r="C485" s="336"/>
      <c r="D485" s="336"/>
      <c r="E485" s="336"/>
      <c r="F485" s="336"/>
      <c r="G485" s="336"/>
      <c r="H485" s="336"/>
      <c r="M485" s="352"/>
      <c r="N485" s="353"/>
      <c r="O485" s="353"/>
      <c r="T485" s="377"/>
      <c r="U485" s="352"/>
      <c r="V485" s="352"/>
      <c r="W485" s="352"/>
      <c r="X485" s="375"/>
      <c r="Y485" s="375"/>
      <c r="Z485" s="336"/>
      <c r="AA485" s="353"/>
      <c r="AB485" s="336"/>
      <c r="AC485" s="336"/>
      <c r="AD485" s="336"/>
      <c r="AE485" s="336"/>
      <c r="AF485" s="336"/>
      <c r="AG485" s="336"/>
      <c r="AH485" s="336"/>
      <c r="AI485" s="336"/>
      <c r="AJ485" s="336"/>
      <c r="AK485" s="336"/>
      <c r="AL485" s="336"/>
      <c r="AM485" s="336"/>
      <c r="AN485" s="336"/>
      <c r="AO485" s="336"/>
      <c r="AP485" s="336"/>
      <c r="AQ485" s="336"/>
      <c r="AR485" s="336"/>
      <c r="AS485" s="336"/>
      <c r="AT485" s="336"/>
      <c r="AU485" s="336"/>
      <c r="AV485" s="336"/>
      <c r="AW485" s="336"/>
      <c r="AX485" s="336"/>
      <c r="AY485" s="336"/>
      <c r="AZ485" s="336"/>
      <c r="BA485" s="336"/>
      <c r="BB485" s="336"/>
      <c r="BC485" s="336"/>
      <c r="BD485" s="336"/>
      <c r="BE485" s="336"/>
      <c r="BF485" s="336"/>
    </row>
    <row r="486" spans="1:58" s="351" customFormat="1" x14ac:dyDescent="0.25">
      <c r="A486" s="336"/>
      <c r="B486" s="336"/>
      <c r="C486" s="336"/>
      <c r="D486" s="336"/>
      <c r="E486" s="336"/>
      <c r="F486" s="336"/>
      <c r="G486" s="336"/>
      <c r="H486" s="336"/>
      <c r="M486" s="352"/>
      <c r="N486" s="353"/>
      <c r="O486" s="353"/>
      <c r="T486" s="377"/>
      <c r="U486" s="352"/>
      <c r="V486" s="352"/>
      <c r="W486" s="352"/>
      <c r="X486" s="375"/>
      <c r="Y486" s="375"/>
      <c r="Z486" s="336"/>
      <c r="AA486" s="353"/>
      <c r="AB486" s="336"/>
      <c r="AC486" s="336"/>
      <c r="AD486" s="336"/>
      <c r="AE486" s="336"/>
      <c r="AF486" s="336"/>
      <c r="AG486" s="336"/>
      <c r="AH486" s="336"/>
      <c r="AI486" s="336"/>
      <c r="AJ486" s="336"/>
      <c r="AK486" s="336"/>
      <c r="AL486" s="336"/>
      <c r="AM486" s="336"/>
      <c r="AN486" s="336"/>
      <c r="AO486" s="336"/>
      <c r="AP486" s="336"/>
      <c r="AQ486" s="336"/>
      <c r="AR486" s="336"/>
      <c r="AS486" s="336"/>
      <c r="AT486" s="336"/>
      <c r="AU486" s="336"/>
      <c r="AV486" s="336"/>
      <c r="AW486" s="336"/>
      <c r="AX486" s="336"/>
      <c r="AY486" s="336"/>
      <c r="AZ486" s="336"/>
      <c r="BA486" s="336"/>
      <c r="BB486" s="336"/>
      <c r="BC486" s="336"/>
      <c r="BD486" s="336"/>
      <c r="BE486" s="336"/>
      <c r="BF486" s="336"/>
    </row>
    <row r="487" spans="1:58" s="351" customFormat="1" x14ac:dyDescent="0.25">
      <c r="A487" s="336"/>
      <c r="B487" s="336"/>
      <c r="C487" s="336"/>
      <c r="D487" s="336"/>
      <c r="E487" s="336"/>
      <c r="F487" s="336"/>
      <c r="G487" s="336"/>
      <c r="H487" s="336"/>
      <c r="M487" s="352"/>
      <c r="N487" s="353"/>
      <c r="O487" s="353"/>
      <c r="T487" s="377"/>
      <c r="U487" s="352"/>
      <c r="V487" s="352"/>
      <c r="W487" s="352"/>
      <c r="X487" s="375"/>
      <c r="Y487" s="375"/>
      <c r="Z487" s="336"/>
      <c r="AA487" s="353"/>
      <c r="AB487" s="336"/>
      <c r="AC487" s="336"/>
      <c r="AD487" s="336"/>
      <c r="AE487" s="336"/>
      <c r="AF487" s="336"/>
      <c r="AG487" s="336"/>
      <c r="AH487" s="336"/>
      <c r="AI487" s="336"/>
      <c r="AJ487" s="336"/>
      <c r="AK487" s="336"/>
      <c r="AL487" s="336"/>
      <c r="AM487" s="336"/>
      <c r="AN487" s="336"/>
      <c r="AO487" s="336"/>
      <c r="AP487" s="336"/>
      <c r="AQ487" s="336"/>
      <c r="AR487" s="336"/>
      <c r="AS487" s="336"/>
      <c r="AT487" s="336"/>
      <c r="AU487" s="336"/>
      <c r="AV487" s="336"/>
      <c r="AW487" s="336"/>
      <c r="AX487" s="336"/>
      <c r="AY487" s="336"/>
      <c r="AZ487" s="336"/>
      <c r="BA487" s="336"/>
      <c r="BB487" s="336"/>
      <c r="BC487" s="336"/>
      <c r="BD487" s="336"/>
      <c r="BE487" s="336"/>
      <c r="BF487" s="336"/>
    </row>
    <row r="488" spans="1:58" s="351" customFormat="1" x14ac:dyDescent="0.25">
      <c r="A488" s="336"/>
      <c r="B488" s="336"/>
      <c r="C488" s="336"/>
      <c r="D488" s="336"/>
      <c r="E488" s="336"/>
      <c r="F488" s="336"/>
      <c r="G488" s="336"/>
      <c r="H488" s="336"/>
      <c r="M488" s="352"/>
      <c r="N488" s="353"/>
      <c r="O488" s="353"/>
      <c r="T488" s="377"/>
      <c r="U488" s="352"/>
      <c r="V488" s="352"/>
      <c r="W488" s="352"/>
      <c r="X488" s="375"/>
      <c r="Y488" s="375"/>
      <c r="Z488" s="336"/>
      <c r="AA488" s="353"/>
      <c r="AB488" s="336"/>
      <c r="AC488" s="336"/>
      <c r="AD488" s="336"/>
      <c r="AE488" s="336"/>
      <c r="AF488" s="336"/>
      <c r="AG488" s="336"/>
      <c r="AH488" s="336"/>
      <c r="AI488" s="336"/>
      <c r="AJ488" s="336"/>
      <c r="AK488" s="336"/>
      <c r="AL488" s="336"/>
      <c r="AM488" s="336"/>
      <c r="AN488" s="336"/>
      <c r="AO488" s="336"/>
      <c r="AP488" s="336"/>
      <c r="AQ488" s="336"/>
      <c r="AR488" s="336"/>
      <c r="AS488" s="336"/>
      <c r="AT488" s="336"/>
      <c r="AU488" s="336"/>
      <c r="AV488" s="336"/>
      <c r="AW488" s="336"/>
      <c r="AX488" s="336"/>
      <c r="AY488" s="336"/>
      <c r="AZ488" s="336"/>
      <c r="BA488" s="336"/>
      <c r="BB488" s="336"/>
      <c r="BC488" s="336"/>
      <c r="BD488" s="336"/>
      <c r="BE488" s="336"/>
      <c r="BF488" s="336"/>
    </row>
    <row r="489" spans="1:58" s="351" customFormat="1" x14ac:dyDescent="0.25">
      <c r="A489" s="336"/>
      <c r="B489" s="336"/>
      <c r="C489" s="336"/>
      <c r="D489" s="336"/>
      <c r="E489" s="336"/>
      <c r="F489" s="336"/>
      <c r="G489" s="336"/>
      <c r="H489" s="336"/>
      <c r="M489" s="352"/>
      <c r="N489" s="353"/>
      <c r="O489" s="353"/>
      <c r="T489" s="377"/>
      <c r="U489" s="352"/>
      <c r="V489" s="352"/>
      <c r="W489" s="352"/>
      <c r="X489" s="375"/>
      <c r="Y489" s="375"/>
      <c r="Z489" s="336"/>
      <c r="AA489" s="353"/>
      <c r="AB489" s="336"/>
      <c r="AC489" s="336"/>
      <c r="AD489" s="336"/>
      <c r="AE489" s="336"/>
      <c r="AF489" s="336"/>
      <c r="AG489" s="336"/>
      <c r="AH489" s="336"/>
      <c r="AI489" s="336"/>
      <c r="AJ489" s="336"/>
      <c r="AK489" s="336"/>
      <c r="AL489" s="336"/>
      <c r="AM489" s="336"/>
      <c r="AN489" s="336"/>
      <c r="AO489" s="336"/>
      <c r="AP489" s="336"/>
      <c r="AQ489" s="336"/>
      <c r="AR489" s="336"/>
      <c r="AS489" s="336"/>
      <c r="AT489" s="336"/>
      <c r="AU489" s="336"/>
      <c r="AV489" s="336"/>
      <c r="AW489" s="336"/>
      <c r="AX489" s="336"/>
      <c r="AY489" s="336"/>
      <c r="AZ489" s="336"/>
      <c r="BA489" s="336"/>
      <c r="BB489" s="336"/>
      <c r="BC489" s="336"/>
      <c r="BD489" s="336"/>
      <c r="BE489" s="336"/>
      <c r="BF489" s="336"/>
    </row>
    <row r="490" spans="1:58" s="351" customFormat="1" x14ac:dyDescent="0.25">
      <c r="A490" s="336"/>
      <c r="B490" s="336"/>
      <c r="C490" s="336"/>
      <c r="D490" s="336"/>
      <c r="E490" s="336"/>
      <c r="F490" s="336"/>
      <c r="G490" s="336"/>
      <c r="H490" s="336"/>
      <c r="M490" s="352"/>
      <c r="N490" s="353"/>
      <c r="O490" s="353"/>
      <c r="T490" s="377"/>
      <c r="U490" s="352"/>
      <c r="V490" s="352"/>
      <c r="W490" s="352"/>
      <c r="X490" s="375"/>
      <c r="Y490" s="375"/>
      <c r="Z490" s="336"/>
      <c r="AA490" s="353"/>
      <c r="AB490" s="336"/>
      <c r="AC490" s="336"/>
      <c r="AD490" s="336"/>
      <c r="AE490" s="336"/>
      <c r="AF490" s="336"/>
      <c r="AG490" s="336"/>
      <c r="AH490" s="336"/>
      <c r="AI490" s="336"/>
      <c r="AJ490" s="336"/>
      <c r="AK490" s="336"/>
      <c r="AL490" s="336"/>
      <c r="AM490" s="336"/>
      <c r="AN490" s="336"/>
      <c r="AO490" s="336"/>
      <c r="AP490" s="336"/>
      <c r="AQ490" s="336"/>
      <c r="AR490" s="336"/>
      <c r="AS490" s="336"/>
      <c r="AT490" s="336"/>
      <c r="AU490" s="336"/>
      <c r="AV490" s="336"/>
      <c r="AW490" s="336"/>
      <c r="AX490" s="336"/>
      <c r="AY490" s="336"/>
      <c r="AZ490" s="336"/>
      <c r="BA490" s="336"/>
      <c r="BB490" s="336"/>
      <c r="BC490" s="336"/>
      <c r="BD490" s="336"/>
      <c r="BE490" s="336"/>
      <c r="BF490" s="336"/>
    </row>
    <row r="491" spans="1:58" s="351" customFormat="1" x14ac:dyDescent="0.25">
      <c r="A491" s="336"/>
      <c r="B491" s="336"/>
      <c r="C491" s="336"/>
      <c r="D491" s="336"/>
      <c r="E491" s="336"/>
      <c r="F491" s="336"/>
      <c r="G491" s="336"/>
      <c r="H491" s="336"/>
      <c r="M491" s="352"/>
      <c r="N491" s="353"/>
      <c r="O491" s="353"/>
      <c r="T491" s="377"/>
      <c r="U491" s="352"/>
      <c r="V491" s="352"/>
      <c r="W491" s="352"/>
      <c r="X491" s="375"/>
      <c r="Y491" s="375"/>
      <c r="Z491" s="336"/>
      <c r="AA491" s="353"/>
      <c r="AB491" s="336"/>
      <c r="AC491" s="336"/>
      <c r="AD491" s="336"/>
      <c r="AE491" s="336"/>
      <c r="AF491" s="336"/>
      <c r="AG491" s="336"/>
      <c r="AH491" s="336"/>
      <c r="AI491" s="336"/>
      <c r="AJ491" s="336"/>
      <c r="AK491" s="336"/>
      <c r="AL491" s="336"/>
      <c r="AM491" s="336"/>
      <c r="AN491" s="336"/>
      <c r="AO491" s="336"/>
      <c r="AP491" s="336"/>
      <c r="AQ491" s="336"/>
      <c r="AR491" s="336"/>
      <c r="AS491" s="336"/>
      <c r="AT491" s="336"/>
      <c r="AU491" s="336"/>
      <c r="AV491" s="336"/>
      <c r="AW491" s="336"/>
      <c r="AX491" s="336"/>
      <c r="AY491" s="336"/>
      <c r="AZ491" s="336"/>
      <c r="BA491" s="336"/>
      <c r="BB491" s="336"/>
      <c r="BC491" s="336"/>
      <c r="BD491" s="336"/>
      <c r="BE491" s="336"/>
      <c r="BF491" s="336"/>
    </row>
    <row r="492" spans="1:58" s="351" customFormat="1" x14ac:dyDescent="0.25">
      <c r="A492" s="336"/>
      <c r="B492" s="336"/>
      <c r="C492" s="336"/>
      <c r="D492" s="336"/>
      <c r="E492" s="336"/>
      <c r="F492" s="336"/>
      <c r="G492" s="336"/>
      <c r="H492" s="336"/>
      <c r="M492" s="352"/>
      <c r="N492" s="353"/>
      <c r="O492" s="353"/>
      <c r="T492" s="377"/>
      <c r="U492" s="352"/>
      <c r="V492" s="352"/>
      <c r="W492" s="352"/>
      <c r="X492" s="375"/>
      <c r="Y492" s="375"/>
      <c r="Z492" s="336"/>
      <c r="AA492" s="353"/>
      <c r="AB492" s="336"/>
      <c r="AC492" s="336"/>
      <c r="AD492" s="336"/>
      <c r="AE492" s="336"/>
      <c r="AF492" s="336"/>
      <c r="AG492" s="336"/>
      <c r="AH492" s="336"/>
      <c r="AI492" s="336"/>
      <c r="AJ492" s="336"/>
      <c r="AK492" s="336"/>
      <c r="AL492" s="336"/>
      <c r="AM492" s="336"/>
      <c r="AN492" s="336"/>
      <c r="AO492" s="336"/>
      <c r="AP492" s="336"/>
      <c r="AQ492" s="336"/>
      <c r="AR492" s="336"/>
      <c r="AS492" s="336"/>
      <c r="AT492" s="336"/>
      <c r="AU492" s="336"/>
      <c r="AV492" s="336"/>
      <c r="AW492" s="336"/>
      <c r="AX492" s="336"/>
      <c r="AY492" s="336"/>
      <c r="AZ492" s="336"/>
      <c r="BA492" s="336"/>
      <c r="BB492" s="336"/>
      <c r="BC492" s="336"/>
      <c r="BD492" s="336"/>
      <c r="BE492" s="336"/>
      <c r="BF492" s="336"/>
    </row>
    <row r="493" spans="1:58" s="351" customFormat="1" x14ac:dyDescent="0.25">
      <c r="A493" s="336"/>
      <c r="B493" s="336"/>
      <c r="C493" s="336"/>
      <c r="D493" s="336"/>
      <c r="E493" s="336"/>
      <c r="F493" s="336"/>
      <c r="G493" s="336"/>
      <c r="H493" s="336"/>
      <c r="M493" s="352"/>
      <c r="N493" s="353"/>
      <c r="O493" s="353"/>
      <c r="T493" s="377"/>
      <c r="U493" s="352"/>
      <c r="V493" s="352"/>
      <c r="W493" s="352"/>
      <c r="X493" s="375"/>
      <c r="Y493" s="375"/>
      <c r="Z493" s="336"/>
      <c r="AA493" s="353"/>
      <c r="AB493" s="336"/>
      <c r="AC493" s="336"/>
      <c r="AD493" s="336"/>
      <c r="AE493" s="336"/>
      <c r="AF493" s="336"/>
      <c r="AG493" s="336"/>
      <c r="AH493" s="336"/>
      <c r="AI493" s="336"/>
      <c r="AJ493" s="336"/>
      <c r="AK493" s="336"/>
      <c r="AL493" s="336"/>
      <c r="AM493" s="336"/>
      <c r="AN493" s="336"/>
      <c r="AO493" s="336"/>
      <c r="AP493" s="336"/>
      <c r="AQ493" s="336"/>
      <c r="AR493" s="336"/>
      <c r="AS493" s="336"/>
      <c r="AT493" s="336"/>
      <c r="AU493" s="336"/>
      <c r="AV493" s="336"/>
      <c r="AW493" s="336"/>
      <c r="AX493" s="336"/>
      <c r="AY493" s="336"/>
      <c r="AZ493" s="336"/>
      <c r="BA493" s="336"/>
      <c r="BB493" s="336"/>
      <c r="BC493" s="336"/>
      <c r="BD493" s="336"/>
      <c r="BE493" s="336"/>
      <c r="BF493" s="336"/>
    </row>
    <row r="494" spans="1:58" s="351" customFormat="1" x14ac:dyDescent="0.25">
      <c r="A494" s="336"/>
      <c r="B494" s="336"/>
      <c r="C494" s="336"/>
      <c r="D494" s="336"/>
      <c r="E494" s="336"/>
      <c r="F494" s="336"/>
      <c r="G494" s="336"/>
      <c r="H494" s="336"/>
      <c r="M494" s="352"/>
      <c r="N494" s="353"/>
      <c r="O494" s="353"/>
      <c r="T494" s="377"/>
      <c r="U494" s="352"/>
      <c r="V494" s="352"/>
      <c r="W494" s="352"/>
      <c r="X494" s="375"/>
      <c r="Y494" s="375"/>
      <c r="Z494" s="336"/>
      <c r="AA494" s="353"/>
      <c r="AB494" s="336"/>
      <c r="AC494" s="336"/>
      <c r="AD494" s="336"/>
      <c r="AE494" s="336"/>
      <c r="AF494" s="336"/>
      <c r="AG494" s="336"/>
      <c r="AH494" s="336"/>
      <c r="AI494" s="336"/>
      <c r="AJ494" s="336"/>
      <c r="AK494" s="336"/>
      <c r="AL494" s="336"/>
      <c r="AM494" s="336"/>
      <c r="AN494" s="336"/>
      <c r="AO494" s="336"/>
      <c r="AP494" s="336"/>
      <c r="AQ494" s="336"/>
      <c r="AR494" s="336"/>
      <c r="AS494" s="336"/>
      <c r="AT494" s="336"/>
      <c r="AU494" s="336"/>
      <c r="AV494" s="336"/>
      <c r="AW494" s="336"/>
      <c r="AX494" s="336"/>
      <c r="AY494" s="336"/>
      <c r="AZ494" s="336"/>
      <c r="BA494" s="336"/>
      <c r="BB494" s="336"/>
      <c r="BC494" s="336"/>
      <c r="BD494" s="336"/>
      <c r="BE494" s="336"/>
      <c r="BF494" s="336"/>
    </row>
    <row r="495" spans="1:58" s="351" customFormat="1" x14ac:dyDescent="0.25">
      <c r="A495" s="336"/>
      <c r="B495" s="336"/>
      <c r="C495" s="336"/>
      <c r="D495" s="336"/>
      <c r="E495" s="336"/>
      <c r="F495" s="336"/>
      <c r="G495" s="336"/>
      <c r="H495" s="336"/>
      <c r="M495" s="352"/>
      <c r="N495" s="353"/>
      <c r="O495" s="353"/>
      <c r="T495" s="377"/>
      <c r="U495" s="352"/>
      <c r="V495" s="352"/>
      <c r="W495" s="352"/>
      <c r="X495" s="375"/>
      <c r="Y495" s="375"/>
      <c r="Z495" s="336"/>
      <c r="AA495" s="353"/>
      <c r="AB495" s="336"/>
      <c r="AC495" s="336"/>
      <c r="AD495" s="336"/>
      <c r="AE495" s="336"/>
      <c r="AF495" s="336"/>
      <c r="AG495" s="336"/>
      <c r="AH495" s="336"/>
      <c r="AI495" s="336"/>
      <c r="AJ495" s="336"/>
      <c r="AK495" s="336"/>
      <c r="AL495" s="336"/>
      <c r="AM495" s="336"/>
      <c r="AN495" s="336"/>
      <c r="AO495" s="336"/>
      <c r="AP495" s="336"/>
      <c r="AQ495" s="336"/>
      <c r="AR495" s="336"/>
      <c r="AS495" s="336"/>
      <c r="AT495" s="336"/>
      <c r="AU495" s="336"/>
      <c r="AV495" s="336"/>
      <c r="AW495" s="336"/>
      <c r="AX495" s="336"/>
      <c r="AY495" s="336"/>
      <c r="AZ495" s="336"/>
      <c r="BA495" s="336"/>
      <c r="BB495" s="336"/>
      <c r="BC495" s="336"/>
      <c r="BD495" s="336"/>
      <c r="BE495" s="336"/>
      <c r="BF495" s="336"/>
    </row>
    <row r="496" spans="1:58" s="351" customFormat="1" x14ac:dyDescent="0.25">
      <c r="A496" s="336"/>
      <c r="B496" s="336"/>
      <c r="C496" s="336"/>
      <c r="D496" s="336"/>
      <c r="E496" s="336"/>
      <c r="F496" s="336"/>
      <c r="G496" s="336"/>
      <c r="H496" s="336"/>
      <c r="M496" s="352"/>
      <c r="N496" s="353"/>
      <c r="O496" s="353"/>
      <c r="T496" s="377"/>
      <c r="U496" s="352"/>
      <c r="V496" s="352"/>
      <c r="W496" s="352"/>
      <c r="X496" s="375"/>
      <c r="Y496" s="375"/>
      <c r="Z496" s="336"/>
      <c r="AA496" s="353"/>
      <c r="AB496" s="336"/>
      <c r="AC496" s="336"/>
      <c r="AD496" s="336"/>
      <c r="AE496" s="336"/>
      <c r="AF496" s="336"/>
      <c r="AG496" s="336"/>
      <c r="AH496" s="336"/>
      <c r="AI496" s="336"/>
      <c r="AJ496" s="336"/>
      <c r="AK496" s="336"/>
      <c r="AL496" s="336"/>
      <c r="AM496" s="336"/>
      <c r="AN496" s="336"/>
      <c r="AO496" s="336"/>
      <c r="AP496" s="336"/>
      <c r="AQ496" s="336"/>
      <c r="AR496" s="336"/>
      <c r="AS496" s="336"/>
      <c r="AT496" s="336"/>
      <c r="AU496" s="336"/>
      <c r="AV496" s="336"/>
      <c r="AW496" s="336"/>
      <c r="AX496" s="336"/>
      <c r="AY496" s="336"/>
      <c r="AZ496" s="336"/>
      <c r="BA496" s="336"/>
      <c r="BB496" s="336"/>
      <c r="BC496" s="336"/>
      <c r="BD496" s="336"/>
      <c r="BE496" s="336"/>
      <c r="BF496" s="336"/>
    </row>
    <row r="497" spans="1:58" s="351" customFormat="1" x14ac:dyDescent="0.25">
      <c r="A497" s="336"/>
      <c r="B497" s="336"/>
      <c r="C497" s="336"/>
      <c r="D497" s="336"/>
      <c r="E497" s="336"/>
      <c r="F497" s="336"/>
      <c r="G497" s="336"/>
      <c r="H497" s="336"/>
      <c r="M497" s="352"/>
      <c r="N497" s="353"/>
      <c r="O497" s="353"/>
      <c r="T497" s="377"/>
      <c r="U497" s="352"/>
      <c r="V497" s="352"/>
      <c r="W497" s="352"/>
      <c r="X497" s="375"/>
      <c r="Y497" s="375"/>
      <c r="Z497" s="336"/>
      <c r="AA497" s="353"/>
      <c r="AB497" s="336"/>
      <c r="AC497" s="336"/>
      <c r="AD497" s="336"/>
      <c r="AE497" s="336"/>
      <c r="AF497" s="336"/>
      <c r="AG497" s="336"/>
      <c r="AH497" s="336"/>
      <c r="AI497" s="336"/>
      <c r="AJ497" s="336"/>
      <c r="AK497" s="336"/>
      <c r="AL497" s="336"/>
      <c r="AM497" s="336"/>
      <c r="AN497" s="336"/>
      <c r="AO497" s="336"/>
      <c r="AP497" s="336"/>
      <c r="AQ497" s="336"/>
      <c r="AR497" s="336"/>
      <c r="AS497" s="336"/>
      <c r="AT497" s="336"/>
      <c r="AU497" s="336"/>
      <c r="AV497" s="336"/>
      <c r="AW497" s="336"/>
      <c r="AX497" s="336"/>
      <c r="AY497" s="336"/>
      <c r="AZ497" s="336"/>
      <c r="BA497" s="336"/>
      <c r="BB497" s="336"/>
      <c r="BC497" s="336"/>
      <c r="BD497" s="336"/>
      <c r="BE497" s="336"/>
      <c r="BF497" s="336"/>
    </row>
    <row r="498" spans="1:58" s="351" customFormat="1" x14ac:dyDescent="0.25">
      <c r="A498" s="336"/>
      <c r="B498" s="336"/>
      <c r="C498" s="336"/>
      <c r="D498" s="336"/>
      <c r="E498" s="336"/>
      <c r="F498" s="336"/>
      <c r="G498" s="336"/>
      <c r="H498" s="336"/>
      <c r="M498" s="352"/>
      <c r="N498" s="353"/>
      <c r="O498" s="353"/>
      <c r="T498" s="377"/>
      <c r="U498" s="352"/>
      <c r="V498" s="352"/>
      <c r="W498" s="352"/>
      <c r="X498" s="375"/>
      <c r="Y498" s="375"/>
      <c r="Z498" s="336"/>
      <c r="AA498" s="353"/>
      <c r="AB498" s="336"/>
      <c r="AC498" s="336"/>
      <c r="AD498" s="336"/>
      <c r="AE498" s="336"/>
      <c r="AF498" s="336"/>
      <c r="AG498" s="336"/>
      <c r="AH498" s="336"/>
      <c r="AI498" s="336"/>
      <c r="AJ498" s="336"/>
      <c r="AK498" s="336"/>
      <c r="AL498" s="336"/>
      <c r="AM498" s="336"/>
      <c r="AN498" s="336"/>
      <c r="AO498" s="336"/>
      <c r="AP498" s="336"/>
      <c r="AQ498" s="336"/>
      <c r="AR498" s="336"/>
      <c r="AS498" s="336"/>
      <c r="AT498" s="336"/>
      <c r="AU498" s="336"/>
      <c r="AV498" s="336"/>
      <c r="AW498" s="336"/>
      <c r="AX498" s="336"/>
      <c r="AY498" s="336"/>
      <c r="AZ498" s="336"/>
      <c r="BA498" s="336"/>
      <c r="BB498" s="336"/>
      <c r="BC498" s="336"/>
      <c r="BD498" s="336"/>
      <c r="BE498" s="336"/>
      <c r="BF498" s="336"/>
    </row>
    <row r="499" spans="1:58" s="351" customFormat="1" x14ac:dyDescent="0.25">
      <c r="A499" s="336"/>
      <c r="B499" s="336"/>
      <c r="C499" s="336"/>
      <c r="D499" s="336"/>
      <c r="E499" s="336"/>
      <c r="F499" s="336"/>
      <c r="G499" s="336"/>
      <c r="H499" s="336"/>
      <c r="M499" s="352"/>
      <c r="N499" s="353"/>
      <c r="O499" s="353"/>
      <c r="T499" s="377"/>
      <c r="U499" s="352"/>
      <c r="V499" s="352"/>
      <c r="W499" s="352"/>
      <c r="X499" s="375"/>
      <c r="Y499" s="375"/>
      <c r="Z499" s="336"/>
      <c r="AA499" s="353"/>
      <c r="AB499" s="336"/>
      <c r="AC499" s="336"/>
      <c r="AD499" s="336"/>
      <c r="AE499" s="336"/>
      <c r="AF499" s="336"/>
      <c r="AG499" s="336"/>
      <c r="AH499" s="336"/>
      <c r="AI499" s="336"/>
      <c r="AJ499" s="336"/>
      <c r="AK499" s="336"/>
      <c r="AL499" s="336"/>
      <c r="AM499" s="336"/>
      <c r="AN499" s="336"/>
      <c r="AO499" s="336"/>
      <c r="AP499" s="336"/>
      <c r="AQ499" s="336"/>
      <c r="AR499" s="336"/>
      <c r="AS499" s="336"/>
      <c r="AT499" s="336"/>
      <c r="AU499" s="336"/>
      <c r="AV499" s="336"/>
      <c r="AW499" s="336"/>
      <c r="AX499" s="336"/>
      <c r="AY499" s="336"/>
      <c r="AZ499" s="336"/>
      <c r="BA499" s="336"/>
      <c r="BB499" s="336"/>
      <c r="BC499" s="336"/>
      <c r="BD499" s="336"/>
      <c r="BE499" s="336"/>
      <c r="BF499" s="336"/>
    </row>
    <row r="500" spans="1:58" s="351" customFormat="1" x14ac:dyDescent="0.25">
      <c r="A500" s="336"/>
      <c r="B500" s="336"/>
      <c r="C500" s="336"/>
      <c r="D500" s="336"/>
      <c r="E500" s="336"/>
      <c r="F500" s="336"/>
      <c r="G500" s="336"/>
      <c r="H500" s="336"/>
      <c r="M500" s="352"/>
      <c r="N500" s="353"/>
      <c r="O500" s="353"/>
      <c r="T500" s="377"/>
      <c r="U500" s="352"/>
      <c r="V500" s="352"/>
      <c r="W500" s="352"/>
      <c r="X500" s="375"/>
      <c r="Y500" s="375"/>
      <c r="Z500" s="336"/>
      <c r="AA500" s="353"/>
      <c r="AB500" s="336"/>
      <c r="AC500" s="336"/>
      <c r="AD500" s="336"/>
      <c r="AE500" s="336"/>
      <c r="AF500" s="336"/>
      <c r="AG500" s="336"/>
      <c r="AH500" s="336"/>
      <c r="AI500" s="336"/>
      <c r="AJ500" s="336"/>
      <c r="AK500" s="336"/>
      <c r="AL500" s="336"/>
      <c r="AM500" s="336"/>
      <c r="AN500" s="336"/>
      <c r="AO500" s="336"/>
      <c r="AP500" s="336"/>
      <c r="AQ500" s="336"/>
      <c r="AR500" s="336"/>
      <c r="AS500" s="336"/>
      <c r="AT500" s="336"/>
      <c r="AU500" s="336"/>
      <c r="AV500" s="336"/>
      <c r="AW500" s="336"/>
      <c r="AX500" s="336"/>
      <c r="AY500" s="336"/>
      <c r="AZ500" s="336"/>
      <c r="BA500" s="336"/>
      <c r="BB500" s="336"/>
      <c r="BC500" s="336"/>
      <c r="BD500" s="336"/>
      <c r="BE500" s="336"/>
      <c r="BF500" s="336"/>
    </row>
    <row r="501" spans="1:58" s="351" customFormat="1" x14ac:dyDescent="0.25">
      <c r="A501" s="336"/>
      <c r="B501" s="336"/>
      <c r="C501" s="336"/>
      <c r="D501" s="336"/>
      <c r="E501" s="336"/>
      <c r="F501" s="336"/>
      <c r="G501" s="336"/>
      <c r="H501" s="336"/>
      <c r="M501" s="352"/>
      <c r="N501" s="353"/>
      <c r="O501" s="353"/>
      <c r="T501" s="377"/>
      <c r="U501" s="352"/>
      <c r="V501" s="352"/>
      <c r="W501" s="352"/>
      <c r="X501" s="375"/>
      <c r="Y501" s="375"/>
      <c r="Z501" s="336"/>
      <c r="AA501" s="353"/>
      <c r="AB501" s="336"/>
      <c r="AC501" s="336"/>
      <c r="AD501" s="336"/>
      <c r="AE501" s="336"/>
      <c r="AF501" s="336"/>
      <c r="AG501" s="336"/>
      <c r="AH501" s="336"/>
      <c r="AI501" s="336"/>
      <c r="AJ501" s="336"/>
      <c r="AK501" s="336"/>
      <c r="AL501" s="336"/>
      <c r="AM501" s="336"/>
      <c r="AN501" s="336"/>
      <c r="AO501" s="336"/>
      <c r="AP501" s="336"/>
      <c r="AQ501" s="336"/>
      <c r="AR501" s="336"/>
      <c r="AS501" s="336"/>
      <c r="AT501" s="336"/>
      <c r="AU501" s="336"/>
      <c r="AV501" s="336"/>
      <c r="AW501" s="336"/>
      <c r="AX501" s="336"/>
      <c r="AY501" s="336"/>
      <c r="AZ501" s="336"/>
      <c r="BA501" s="336"/>
      <c r="BB501" s="336"/>
      <c r="BC501" s="336"/>
      <c r="BD501" s="336"/>
      <c r="BE501" s="336"/>
      <c r="BF501" s="336"/>
    </row>
    <row r="502" spans="1:58" s="351" customFormat="1" x14ac:dyDescent="0.25">
      <c r="A502" s="336"/>
      <c r="B502" s="336"/>
      <c r="C502" s="336"/>
      <c r="D502" s="336"/>
      <c r="E502" s="336"/>
      <c r="F502" s="336"/>
      <c r="G502" s="336"/>
      <c r="H502" s="336"/>
      <c r="M502" s="352"/>
      <c r="N502" s="353"/>
      <c r="O502" s="353"/>
      <c r="T502" s="377"/>
      <c r="U502" s="352"/>
      <c r="V502" s="352"/>
      <c r="W502" s="352"/>
      <c r="X502" s="375"/>
      <c r="Y502" s="375"/>
      <c r="Z502" s="336"/>
      <c r="AA502" s="353"/>
      <c r="AB502" s="336"/>
      <c r="AC502" s="336"/>
      <c r="AD502" s="336"/>
      <c r="AE502" s="336"/>
      <c r="AF502" s="336"/>
      <c r="AG502" s="336"/>
      <c r="AH502" s="336"/>
      <c r="AI502" s="336"/>
      <c r="AJ502" s="336"/>
      <c r="AK502" s="336"/>
      <c r="AL502" s="336"/>
      <c r="AM502" s="336"/>
      <c r="AN502" s="336"/>
      <c r="AO502" s="336"/>
      <c r="AP502" s="336"/>
      <c r="AQ502" s="336"/>
      <c r="AR502" s="336"/>
      <c r="AS502" s="336"/>
      <c r="AT502" s="336"/>
      <c r="AU502" s="336"/>
      <c r="AV502" s="336"/>
      <c r="AW502" s="336"/>
      <c r="AX502" s="336"/>
      <c r="AY502" s="336"/>
      <c r="AZ502" s="336"/>
      <c r="BA502" s="336"/>
      <c r="BB502" s="336"/>
      <c r="BC502" s="336"/>
      <c r="BD502" s="336"/>
      <c r="BE502" s="336"/>
      <c r="BF502" s="336"/>
    </row>
    <row r="503" spans="1:58" s="351" customFormat="1" x14ac:dyDescent="0.25">
      <c r="A503" s="336"/>
      <c r="B503" s="336"/>
      <c r="C503" s="336"/>
      <c r="D503" s="336"/>
      <c r="E503" s="336"/>
      <c r="F503" s="336"/>
      <c r="G503" s="336"/>
      <c r="H503" s="336"/>
      <c r="M503" s="352"/>
      <c r="N503" s="353"/>
      <c r="O503" s="353"/>
      <c r="T503" s="377"/>
      <c r="U503" s="352"/>
      <c r="V503" s="352"/>
      <c r="W503" s="352"/>
      <c r="X503" s="375"/>
      <c r="Y503" s="375"/>
      <c r="Z503" s="336"/>
      <c r="AA503" s="353"/>
      <c r="AB503" s="336"/>
      <c r="AC503" s="336"/>
      <c r="AD503" s="336"/>
      <c r="AE503" s="336"/>
      <c r="AF503" s="336"/>
      <c r="AG503" s="336"/>
      <c r="AH503" s="336"/>
      <c r="AI503" s="336"/>
      <c r="AJ503" s="336"/>
      <c r="AK503" s="336"/>
      <c r="AL503" s="336"/>
      <c r="AM503" s="336"/>
      <c r="AN503" s="336"/>
      <c r="AO503" s="336"/>
      <c r="AP503" s="336"/>
      <c r="AQ503" s="336"/>
      <c r="AR503" s="336"/>
      <c r="AS503" s="336"/>
      <c r="AT503" s="336"/>
      <c r="AU503" s="336"/>
      <c r="AV503" s="336"/>
      <c r="AW503" s="336"/>
      <c r="AX503" s="336"/>
      <c r="AY503" s="336"/>
      <c r="AZ503" s="336"/>
      <c r="BA503" s="336"/>
      <c r="BB503" s="336"/>
      <c r="BC503" s="336"/>
      <c r="BD503" s="336"/>
      <c r="BE503" s="336"/>
      <c r="BF503" s="336"/>
    </row>
    <row r="504" spans="1:58" s="351" customFormat="1" x14ac:dyDescent="0.25">
      <c r="A504" s="336"/>
      <c r="B504" s="336"/>
      <c r="C504" s="336"/>
      <c r="D504" s="336"/>
      <c r="E504" s="336"/>
      <c r="F504" s="336"/>
      <c r="G504" s="336"/>
      <c r="H504" s="336"/>
      <c r="M504" s="352"/>
      <c r="N504" s="353"/>
      <c r="O504" s="353"/>
      <c r="T504" s="377"/>
      <c r="U504" s="352"/>
      <c r="V504" s="352"/>
      <c r="W504" s="352"/>
      <c r="X504" s="375"/>
      <c r="Y504" s="375"/>
      <c r="Z504" s="336"/>
      <c r="AA504" s="353"/>
      <c r="AB504" s="336"/>
      <c r="AC504" s="336"/>
      <c r="AD504" s="336"/>
      <c r="AE504" s="336"/>
      <c r="AF504" s="336"/>
      <c r="AG504" s="336"/>
      <c r="AH504" s="336"/>
      <c r="AI504" s="336"/>
      <c r="AJ504" s="336"/>
      <c r="AK504" s="336"/>
      <c r="AL504" s="336"/>
      <c r="AM504" s="336"/>
      <c r="AN504" s="336"/>
      <c r="AO504" s="336"/>
      <c r="AP504" s="336"/>
      <c r="AQ504" s="336"/>
      <c r="AR504" s="336"/>
      <c r="AS504" s="336"/>
      <c r="AT504" s="336"/>
      <c r="AU504" s="336"/>
      <c r="AV504" s="336"/>
      <c r="AW504" s="336"/>
      <c r="AX504" s="336"/>
      <c r="AY504" s="336"/>
      <c r="AZ504" s="336"/>
      <c r="BA504" s="336"/>
      <c r="BB504" s="336"/>
      <c r="BC504" s="336"/>
      <c r="BD504" s="336"/>
      <c r="BE504" s="336"/>
      <c r="BF504" s="336"/>
    </row>
    <row r="505" spans="1:58" s="351" customFormat="1" x14ac:dyDescent="0.25">
      <c r="A505" s="336"/>
      <c r="B505" s="336"/>
      <c r="C505" s="336"/>
      <c r="D505" s="336"/>
      <c r="E505" s="336"/>
      <c r="F505" s="336"/>
      <c r="G505" s="336"/>
      <c r="H505" s="336"/>
      <c r="M505" s="352"/>
      <c r="N505" s="353"/>
      <c r="O505" s="353"/>
      <c r="T505" s="377"/>
      <c r="U505" s="352"/>
      <c r="V505" s="352"/>
      <c r="W505" s="352"/>
      <c r="X505" s="375"/>
      <c r="Y505" s="375"/>
      <c r="Z505" s="336"/>
      <c r="AA505" s="353"/>
      <c r="AB505" s="336"/>
      <c r="AC505" s="336"/>
      <c r="AD505" s="336"/>
      <c r="AE505" s="336"/>
      <c r="AF505" s="336"/>
      <c r="AG505" s="336"/>
      <c r="AH505" s="336"/>
      <c r="AI505" s="336"/>
      <c r="AJ505" s="336"/>
      <c r="AK505" s="336"/>
      <c r="AL505" s="336"/>
      <c r="AM505" s="336"/>
      <c r="AN505" s="336"/>
      <c r="AO505" s="336"/>
      <c r="AP505" s="336"/>
      <c r="AQ505" s="336"/>
      <c r="AR505" s="336"/>
      <c r="AS505" s="336"/>
      <c r="AT505" s="336"/>
      <c r="AU505" s="336"/>
      <c r="AV505" s="336"/>
      <c r="AW505" s="336"/>
      <c r="AX505" s="336"/>
      <c r="AY505" s="336"/>
      <c r="AZ505" s="336"/>
      <c r="BA505" s="336"/>
      <c r="BB505" s="336"/>
      <c r="BC505" s="336"/>
      <c r="BD505" s="336"/>
      <c r="BE505" s="336"/>
      <c r="BF505" s="336"/>
    </row>
    <row r="506" spans="1:58" s="351" customFormat="1" x14ac:dyDescent="0.25">
      <c r="A506" s="336"/>
      <c r="B506" s="336"/>
      <c r="C506" s="336"/>
      <c r="D506" s="336"/>
      <c r="E506" s="336"/>
      <c r="F506" s="336"/>
      <c r="G506" s="336"/>
      <c r="H506" s="336"/>
      <c r="M506" s="352"/>
      <c r="N506" s="353"/>
      <c r="O506" s="353"/>
      <c r="T506" s="377"/>
      <c r="U506" s="352"/>
      <c r="V506" s="352"/>
      <c r="W506" s="352"/>
      <c r="X506" s="375"/>
      <c r="Y506" s="375"/>
      <c r="Z506" s="336"/>
      <c r="AA506" s="353"/>
      <c r="AB506" s="336"/>
      <c r="AC506" s="336"/>
      <c r="AD506" s="336"/>
      <c r="AE506" s="336"/>
      <c r="AF506" s="336"/>
      <c r="AG506" s="336"/>
      <c r="AH506" s="336"/>
      <c r="AI506" s="336"/>
      <c r="AJ506" s="336"/>
      <c r="AK506" s="336"/>
      <c r="AL506" s="336"/>
      <c r="AM506" s="336"/>
      <c r="AN506" s="336"/>
      <c r="AO506" s="336"/>
      <c r="AP506" s="336"/>
      <c r="AQ506" s="336"/>
      <c r="AR506" s="336"/>
      <c r="AS506" s="336"/>
      <c r="AT506" s="336"/>
      <c r="AU506" s="336"/>
      <c r="AV506" s="336"/>
      <c r="AW506" s="336"/>
      <c r="AX506" s="336"/>
      <c r="AY506" s="336"/>
      <c r="AZ506" s="336"/>
      <c r="BA506" s="336"/>
      <c r="BB506" s="336"/>
      <c r="BC506" s="336"/>
      <c r="BD506" s="336"/>
      <c r="BE506" s="336"/>
      <c r="BF506" s="336"/>
    </row>
    <row r="507" spans="1:58" s="351" customFormat="1" x14ac:dyDescent="0.25">
      <c r="A507" s="336"/>
      <c r="B507" s="336"/>
      <c r="C507" s="336"/>
      <c r="D507" s="336"/>
      <c r="E507" s="336"/>
      <c r="F507" s="336"/>
      <c r="G507" s="336"/>
      <c r="H507" s="336"/>
      <c r="M507" s="352"/>
      <c r="N507" s="353"/>
      <c r="O507" s="353"/>
      <c r="T507" s="377"/>
      <c r="U507" s="352"/>
      <c r="V507" s="352"/>
      <c r="W507" s="352"/>
      <c r="X507" s="375"/>
      <c r="Y507" s="375"/>
      <c r="Z507" s="336"/>
      <c r="AA507" s="353"/>
      <c r="AB507" s="336"/>
      <c r="AC507" s="336"/>
      <c r="AD507" s="336"/>
      <c r="AE507" s="336"/>
      <c r="AF507" s="336"/>
      <c r="AG507" s="336"/>
      <c r="AH507" s="336"/>
      <c r="AI507" s="336"/>
      <c r="AJ507" s="336"/>
      <c r="AK507" s="336"/>
      <c r="AL507" s="336"/>
      <c r="AM507" s="336"/>
      <c r="AN507" s="336"/>
      <c r="AO507" s="336"/>
      <c r="AP507" s="336"/>
      <c r="AQ507" s="336"/>
      <c r="AR507" s="336"/>
      <c r="AS507" s="336"/>
      <c r="AT507" s="336"/>
      <c r="AU507" s="336"/>
      <c r="AV507" s="336"/>
      <c r="AW507" s="336"/>
      <c r="AX507" s="336"/>
      <c r="AY507" s="336"/>
      <c r="AZ507" s="336"/>
      <c r="BA507" s="336"/>
      <c r="BB507" s="336"/>
      <c r="BC507" s="336"/>
      <c r="BD507" s="336"/>
      <c r="BE507" s="336"/>
      <c r="BF507" s="336"/>
    </row>
    <row r="508" spans="1:58" s="351" customFormat="1" x14ac:dyDescent="0.25">
      <c r="A508" s="336"/>
      <c r="B508" s="336"/>
      <c r="C508" s="336"/>
      <c r="D508" s="336"/>
      <c r="E508" s="336"/>
      <c r="F508" s="336"/>
      <c r="G508" s="336"/>
      <c r="H508" s="336"/>
      <c r="M508" s="352"/>
      <c r="N508" s="353"/>
      <c r="O508" s="353"/>
      <c r="T508" s="377"/>
      <c r="U508" s="352"/>
      <c r="V508" s="352"/>
      <c r="W508" s="352"/>
      <c r="X508" s="375"/>
      <c r="Y508" s="375"/>
      <c r="Z508" s="336"/>
      <c r="AA508" s="353"/>
      <c r="AB508" s="336"/>
      <c r="AC508" s="336"/>
      <c r="AD508" s="336"/>
      <c r="AE508" s="336"/>
      <c r="AF508" s="336"/>
      <c r="AG508" s="336"/>
      <c r="AH508" s="336"/>
      <c r="AI508" s="336"/>
      <c r="AJ508" s="336"/>
      <c r="AK508" s="336"/>
      <c r="AL508" s="336"/>
      <c r="AM508" s="336"/>
      <c r="AN508" s="336"/>
      <c r="AO508" s="336"/>
      <c r="AP508" s="336"/>
      <c r="AQ508" s="336"/>
      <c r="AR508" s="336"/>
      <c r="AS508" s="336"/>
      <c r="AT508" s="336"/>
      <c r="AU508" s="336"/>
      <c r="AV508" s="336"/>
      <c r="AW508" s="336"/>
      <c r="AX508" s="336"/>
      <c r="AY508" s="336"/>
      <c r="AZ508" s="336"/>
      <c r="BA508" s="336"/>
      <c r="BB508" s="336"/>
      <c r="BC508" s="336"/>
      <c r="BD508" s="336"/>
      <c r="BE508" s="336"/>
      <c r="BF508" s="336"/>
    </row>
    <row r="509" spans="1:58" s="351" customFormat="1" x14ac:dyDescent="0.25">
      <c r="A509" s="336"/>
      <c r="B509" s="336"/>
      <c r="C509" s="336"/>
      <c r="D509" s="336"/>
      <c r="E509" s="336"/>
      <c r="F509" s="336"/>
      <c r="G509" s="336"/>
      <c r="H509" s="336"/>
      <c r="M509" s="352"/>
      <c r="N509" s="353"/>
      <c r="O509" s="353"/>
      <c r="T509" s="377"/>
      <c r="U509" s="352"/>
      <c r="V509" s="352"/>
      <c r="W509" s="352"/>
      <c r="X509" s="375"/>
      <c r="Y509" s="375"/>
      <c r="Z509" s="336"/>
      <c r="AA509" s="353"/>
      <c r="AB509" s="336"/>
      <c r="AC509" s="336"/>
      <c r="AD509" s="336"/>
      <c r="AE509" s="336"/>
      <c r="AF509" s="336"/>
      <c r="AG509" s="336"/>
      <c r="AH509" s="336"/>
      <c r="AI509" s="336"/>
      <c r="AJ509" s="336"/>
      <c r="AK509" s="336"/>
      <c r="AL509" s="336"/>
      <c r="AM509" s="336"/>
      <c r="AN509" s="336"/>
      <c r="AO509" s="336"/>
      <c r="AP509" s="336"/>
      <c r="AQ509" s="336"/>
      <c r="AR509" s="336"/>
      <c r="AS509" s="336"/>
      <c r="AT509" s="336"/>
      <c r="AU509" s="336"/>
      <c r="AV509" s="336"/>
      <c r="AW509" s="336"/>
      <c r="AX509" s="336"/>
      <c r="AY509" s="336"/>
      <c r="AZ509" s="336"/>
      <c r="BA509" s="336"/>
      <c r="BB509" s="336"/>
      <c r="BC509" s="336"/>
      <c r="BD509" s="336"/>
      <c r="BE509" s="336"/>
      <c r="BF509" s="336"/>
    </row>
    <row r="510" spans="1:58" s="351" customFormat="1" x14ac:dyDescent="0.25">
      <c r="A510" s="336"/>
      <c r="B510" s="336"/>
      <c r="C510" s="336"/>
      <c r="D510" s="336"/>
      <c r="E510" s="336"/>
      <c r="F510" s="336"/>
      <c r="G510" s="336"/>
      <c r="H510" s="336"/>
      <c r="M510" s="352"/>
      <c r="N510" s="353"/>
      <c r="O510" s="353"/>
      <c r="T510" s="377"/>
      <c r="U510" s="352"/>
      <c r="V510" s="352"/>
      <c r="W510" s="352"/>
      <c r="X510" s="375"/>
      <c r="Y510" s="375"/>
      <c r="Z510" s="336"/>
      <c r="AA510" s="353"/>
      <c r="AB510" s="336"/>
      <c r="AC510" s="336"/>
      <c r="AD510" s="336"/>
      <c r="AE510" s="336"/>
      <c r="AF510" s="336"/>
      <c r="AG510" s="336"/>
      <c r="AH510" s="336"/>
      <c r="AI510" s="336"/>
      <c r="AJ510" s="336"/>
      <c r="AK510" s="336"/>
      <c r="AL510" s="336"/>
      <c r="AM510" s="336"/>
      <c r="AN510" s="336"/>
      <c r="AO510" s="336"/>
      <c r="AP510" s="336"/>
      <c r="AQ510" s="336"/>
      <c r="AR510" s="336"/>
      <c r="AS510" s="336"/>
      <c r="AT510" s="336"/>
      <c r="AU510" s="336"/>
      <c r="AV510" s="336"/>
      <c r="AW510" s="336"/>
      <c r="AX510" s="336"/>
      <c r="AY510" s="336"/>
      <c r="AZ510" s="336"/>
      <c r="BA510" s="336"/>
      <c r="BB510" s="336"/>
      <c r="BC510" s="336"/>
      <c r="BD510" s="336"/>
      <c r="BE510" s="336"/>
      <c r="BF510" s="336"/>
    </row>
    <row r="511" spans="1:58" s="351" customFormat="1" x14ac:dyDescent="0.25">
      <c r="A511" s="336"/>
      <c r="B511" s="336"/>
      <c r="C511" s="336"/>
      <c r="D511" s="336"/>
      <c r="E511" s="336"/>
      <c r="F511" s="336"/>
      <c r="G511" s="336"/>
      <c r="H511" s="336"/>
      <c r="M511" s="352"/>
      <c r="N511" s="353"/>
      <c r="O511" s="353"/>
      <c r="T511" s="377"/>
      <c r="U511" s="352"/>
      <c r="V511" s="352"/>
      <c r="W511" s="352"/>
      <c r="X511" s="375"/>
      <c r="Y511" s="375"/>
      <c r="Z511" s="336"/>
      <c r="AA511" s="353"/>
      <c r="AB511" s="336"/>
      <c r="AC511" s="336"/>
      <c r="AD511" s="336"/>
      <c r="AE511" s="336"/>
      <c r="AF511" s="336"/>
      <c r="AG511" s="336"/>
      <c r="AH511" s="336"/>
      <c r="AI511" s="336"/>
      <c r="AJ511" s="336"/>
      <c r="AK511" s="336"/>
      <c r="AL511" s="336"/>
      <c r="AM511" s="336"/>
      <c r="AN511" s="336"/>
      <c r="AO511" s="336"/>
      <c r="AP511" s="336"/>
      <c r="AQ511" s="336"/>
      <c r="AR511" s="336"/>
      <c r="AS511" s="336"/>
      <c r="AT511" s="336"/>
      <c r="AU511" s="336"/>
      <c r="AV511" s="336"/>
      <c r="AW511" s="336"/>
      <c r="AX511" s="336"/>
      <c r="AY511" s="336"/>
      <c r="AZ511" s="336"/>
      <c r="BA511" s="336"/>
      <c r="BB511" s="336"/>
      <c r="BC511" s="336"/>
      <c r="BD511" s="336"/>
      <c r="BE511" s="336"/>
      <c r="BF511" s="336"/>
    </row>
    <row r="512" spans="1:58" s="351" customFormat="1" x14ac:dyDescent="0.25">
      <c r="A512" s="336"/>
      <c r="B512" s="336"/>
      <c r="C512" s="336"/>
      <c r="D512" s="336"/>
      <c r="E512" s="336"/>
      <c r="F512" s="336"/>
      <c r="G512" s="336"/>
      <c r="H512" s="336"/>
      <c r="M512" s="352"/>
      <c r="N512" s="353"/>
      <c r="O512" s="353"/>
      <c r="T512" s="377"/>
      <c r="U512" s="352"/>
      <c r="V512" s="352"/>
      <c r="W512" s="352"/>
      <c r="X512" s="375"/>
      <c r="Y512" s="375"/>
      <c r="Z512" s="336"/>
      <c r="AA512" s="353"/>
      <c r="AB512" s="336"/>
      <c r="AC512" s="336"/>
      <c r="AD512" s="336"/>
      <c r="AE512" s="336"/>
      <c r="AF512" s="336"/>
      <c r="AG512" s="336"/>
      <c r="AH512" s="336"/>
      <c r="AI512" s="336"/>
      <c r="AJ512" s="336"/>
      <c r="AK512" s="336"/>
      <c r="AL512" s="336"/>
      <c r="AM512" s="336"/>
      <c r="AN512" s="336"/>
      <c r="AO512" s="336"/>
      <c r="AP512" s="336"/>
      <c r="AQ512" s="336"/>
      <c r="AR512" s="336"/>
      <c r="AS512" s="336"/>
      <c r="AT512" s="336"/>
      <c r="AU512" s="336"/>
      <c r="AV512" s="336"/>
      <c r="AW512" s="336"/>
      <c r="AX512" s="336"/>
      <c r="AY512" s="336"/>
      <c r="AZ512" s="336"/>
      <c r="BA512" s="336"/>
      <c r="BB512" s="336"/>
      <c r="BC512" s="336"/>
      <c r="BD512" s="336"/>
      <c r="BE512" s="336"/>
      <c r="BF512" s="336"/>
    </row>
    <row r="513" spans="1:58" s="351" customFormat="1" x14ac:dyDescent="0.25">
      <c r="A513" s="336"/>
      <c r="B513" s="336"/>
      <c r="C513" s="336"/>
      <c r="D513" s="336"/>
      <c r="E513" s="336"/>
      <c r="F513" s="336"/>
      <c r="G513" s="336"/>
      <c r="H513" s="336"/>
      <c r="M513" s="352"/>
      <c r="N513" s="353"/>
      <c r="O513" s="353"/>
      <c r="T513" s="377"/>
      <c r="U513" s="352"/>
      <c r="V513" s="352"/>
      <c r="W513" s="352"/>
      <c r="X513" s="375"/>
      <c r="Y513" s="375"/>
      <c r="Z513" s="336"/>
      <c r="AA513" s="353"/>
      <c r="AB513" s="336"/>
      <c r="AC513" s="336"/>
      <c r="AD513" s="336"/>
      <c r="AE513" s="336"/>
      <c r="AF513" s="336"/>
      <c r="AG513" s="336"/>
      <c r="AH513" s="336"/>
      <c r="AI513" s="336"/>
      <c r="AJ513" s="336"/>
      <c r="AK513" s="336"/>
      <c r="AL513" s="336"/>
      <c r="AM513" s="336"/>
      <c r="AN513" s="336"/>
      <c r="AO513" s="336"/>
      <c r="AP513" s="336"/>
      <c r="AQ513" s="336"/>
      <c r="AR513" s="336"/>
      <c r="AS513" s="336"/>
      <c r="AT513" s="336"/>
      <c r="AU513" s="336"/>
      <c r="AV513" s="336"/>
      <c r="AW513" s="336"/>
      <c r="AX513" s="336"/>
      <c r="AY513" s="336"/>
      <c r="AZ513" s="336"/>
      <c r="BA513" s="336"/>
      <c r="BB513" s="336"/>
      <c r="BC513" s="336"/>
      <c r="BD513" s="336"/>
      <c r="BE513" s="336"/>
      <c r="BF513" s="336"/>
    </row>
    <row r="514" spans="1:58" s="351" customFormat="1" x14ac:dyDescent="0.25">
      <c r="A514" s="336"/>
      <c r="B514" s="336"/>
      <c r="C514" s="336"/>
      <c r="D514" s="336"/>
      <c r="E514" s="336"/>
      <c r="F514" s="336"/>
      <c r="G514" s="336"/>
      <c r="H514" s="336"/>
      <c r="M514" s="352"/>
      <c r="N514" s="353"/>
      <c r="O514" s="353"/>
      <c r="T514" s="377"/>
      <c r="U514" s="352"/>
      <c r="V514" s="352"/>
      <c r="W514" s="352"/>
      <c r="X514" s="375"/>
      <c r="Y514" s="375"/>
      <c r="Z514" s="336"/>
      <c r="AA514" s="353"/>
      <c r="AB514" s="336"/>
      <c r="AC514" s="336"/>
      <c r="AD514" s="336"/>
      <c r="AE514" s="336"/>
      <c r="AF514" s="336"/>
      <c r="AG514" s="336"/>
      <c r="AH514" s="336"/>
      <c r="AI514" s="336"/>
      <c r="AJ514" s="336"/>
      <c r="AK514" s="336"/>
      <c r="AL514" s="336"/>
      <c r="AM514" s="336"/>
      <c r="AN514" s="336"/>
      <c r="AO514" s="336"/>
      <c r="AP514" s="336"/>
      <c r="AQ514" s="336"/>
      <c r="AR514" s="336"/>
      <c r="AS514" s="336"/>
      <c r="AT514" s="336"/>
      <c r="AU514" s="336"/>
      <c r="AV514" s="336"/>
      <c r="AW514" s="336"/>
      <c r="AX514" s="336"/>
      <c r="AY514" s="336"/>
      <c r="AZ514" s="336"/>
      <c r="BA514" s="336"/>
      <c r="BB514" s="336"/>
      <c r="BC514" s="336"/>
      <c r="BD514" s="336"/>
      <c r="BE514" s="336"/>
      <c r="BF514" s="336"/>
    </row>
    <row r="515" spans="1:58" s="351" customFormat="1" x14ac:dyDescent="0.25">
      <c r="A515" s="336"/>
      <c r="B515" s="336"/>
      <c r="C515" s="336"/>
      <c r="D515" s="336"/>
      <c r="E515" s="336"/>
      <c r="F515" s="336"/>
      <c r="G515" s="336"/>
      <c r="H515" s="336"/>
      <c r="M515" s="352"/>
      <c r="N515" s="353"/>
      <c r="O515" s="353"/>
      <c r="T515" s="377"/>
      <c r="U515" s="352"/>
      <c r="V515" s="352"/>
      <c r="W515" s="352"/>
      <c r="X515" s="375"/>
      <c r="Y515" s="375"/>
      <c r="Z515" s="336"/>
      <c r="AA515" s="353"/>
      <c r="AB515" s="336"/>
      <c r="AC515" s="336"/>
      <c r="AD515" s="336"/>
      <c r="AE515" s="336"/>
      <c r="AF515" s="336"/>
      <c r="AG515" s="336"/>
      <c r="AH515" s="336"/>
      <c r="AI515" s="336"/>
      <c r="AJ515" s="336"/>
      <c r="AK515" s="336"/>
      <c r="AL515" s="336"/>
      <c r="AM515" s="336"/>
      <c r="AN515" s="336"/>
      <c r="AO515" s="336"/>
      <c r="AP515" s="336"/>
      <c r="AQ515" s="336"/>
      <c r="AR515" s="336"/>
      <c r="AS515" s="336"/>
      <c r="AT515" s="336"/>
      <c r="AU515" s="336"/>
      <c r="AV515" s="336"/>
      <c r="AW515" s="336"/>
      <c r="AX515" s="336"/>
      <c r="AY515" s="336"/>
      <c r="AZ515" s="336"/>
      <c r="BA515" s="336"/>
      <c r="BB515" s="336"/>
      <c r="BC515" s="336"/>
      <c r="BD515" s="336"/>
      <c r="BE515" s="336"/>
      <c r="BF515" s="336"/>
    </row>
    <row r="516" spans="1:58" s="351" customFormat="1" x14ac:dyDescent="0.25">
      <c r="A516" s="336"/>
      <c r="B516" s="336"/>
      <c r="C516" s="336"/>
      <c r="D516" s="336"/>
      <c r="E516" s="336"/>
      <c r="F516" s="336"/>
      <c r="G516" s="336"/>
      <c r="H516" s="336"/>
      <c r="M516" s="352"/>
      <c r="N516" s="353"/>
      <c r="O516" s="353"/>
      <c r="T516" s="377"/>
      <c r="U516" s="352"/>
      <c r="V516" s="352"/>
      <c r="W516" s="352"/>
      <c r="X516" s="375"/>
      <c r="Y516" s="375"/>
      <c r="Z516" s="336"/>
      <c r="AA516" s="353"/>
      <c r="AB516" s="336"/>
      <c r="AC516" s="336"/>
      <c r="AD516" s="336"/>
      <c r="AE516" s="336"/>
      <c r="AF516" s="336"/>
      <c r="AG516" s="336"/>
      <c r="AH516" s="336"/>
      <c r="AI516" s="336"/>
      <c r="AJ516" s="336"/>
      <c r="AK516" s="336"/>
      <c r="AL516" s="336"/>
      <c r="AM516" s="336"/>
      <c r="AN516" s="336"/>
      <c r="AO516" s="336"/>
      <c r="AP516" s="336"/>
      <c r="AQ516" s="336"/>
      <c r="AR516" s="336"/>
      <c r="AS516" s="336"/>
      <c r="AT516" s="336"/>
      <c r="AU516" s="336"/>
      <c r="AV516" s="336"/>
      <c r="AW516" s="336"/>
      <c r="AX516" s="336"/>
      <c r="AY516" s="336"/>
      <c r="AZ516" s="336"/>
      <c r="BA516" s="336"/>
      <c r="BB516" s="336"/>
      <c r="BC516" s="336"/>
      <c r="BD516" s="336"/>
      <c r="BE516" s="336"/>
      <c r="BF516" s="336"/>
    </row>
    <row r="517" spans="1:58" s="351" customFormat="1" x14ac:dyDescent="0.25">
      <c r="A517" s="336"/>
      <c r="B517" s="336"/>
      <c r="C517" s="336"/>
      <c r="D517" s="336"/>
      <c r="E517" s="336"/>
      <c r="F517" s="336"/>
      <c r="G517" s="336"/>
      <c r="H517" s="336"/>
      <c r="M517" s="352"/>
      <c r="N517" s="353"/>
      <c r="O517" s="353"/>
      <c r="T517" s="377"/>
      <c r="U517" s="352"/>
      <c r="V517" s="352"/>
      <c r="W517" s="352"/>
      <c r="X517" s="375"/>
      <c r="Y517" s="375"/>
      <c r="Z517" s="336"/>
      <c r="AA517" s="353"/>
      <c r="AB517" s="336"/>
      <c r="AC517" s="336"/>
      <c r="AD517" s="336"/>
      <c r="AE517" s="336"/>
      <c r="AF517" s="336"/>
      <c r="AG517" s="336"/>
      <c r="AH517" s="336"/>
      <c r="AI517" s="336"/>
      <c r="AJ517" s="336"/>
      <c r="AK517" s="336"/>
      <c r="AL517" s="336"/>
      <c r="AM517" s="336"/>
      <c r="AN517" s="336"/>
      <c r="AO517" s="336"/>
      <c r="AP517" s="336"/>
      <c r="AQ517" s="336"/>
      <c r="AR517" s="336"/>
      <c r="AS517" s="336"/>
      <c r="AT517" s="336"/>
      <c r="AU517" s="336"/>
      <c r="AV517" s="336"/>
      <c r="AW517" s="336"/>
      <c r="AX517" s="336"/>
      <c r="AY517" s="336"/>
      <c r="AZ517" s="336"/>
      <c r="BA517" s="336"/>
      <c r="BB517" s="336"/>
      <c r="BC517" s="336"/>
      <c r="BD517" s="336"/>
      <c r="BE517" s="336"/>
      <c r="BF517" s="336"/>
    </row>
    <row r="518" spans="1:58" s="351" customFormat="1" x14ac:dyDescent="0.25">
      <c r="A518" s="336"/>
      <c r="B518" s="336"/>
      <c r="C518" s="336"/>
      <c r="D518" s="336"/>
      <c r="E518" s="336"/>
      <c r="F518" s="336"/>
      <c r="G518" s="336"/>
      <c r="H518" s="336"/>
      <c r="M518" s="352"/>
      <c r="N518" s="353"/>
      <c r="O518" s="353"/>
      <c r="T518" s="377"/>
      <c r="U518" s="352"/>
      <c r="V518" s="352"/>
      <c r="W518" s="352"/>
      <c r="X518" s="375"/>
      <c r="Y518" s="375"/>
      <c r="Z518" s="336"/>
      <c r="AA518" s="353"/>
      <c r="AB518" s="336"/>
      <c r="AC518" s="336"/>
      <c r="AD518" s="336"/>
      <c r="AE518" s="336"/>
      <c r="AF518" s="336"/>
      <c r="AG518" s="336"/>
      <c r="AH518" s="336"/>
      <c r="AI518" s="336"/>
      <c r="AJ518" s="336"/>
      <c r="AK518" s="336"/>
      <c r="AL518" s="336"/>
      <c r="AM518" s="336"/>
      <c r="AN518" s="336"/>
      <c r="AO518" s="336"/>
      <c r="AP518" s="336"/>
      <c r="AQ518" s="336"/>
      <c r="AR518" s="336"/>
      <c r="AS518" s="336"/>
      <c r="AT518" s="336"/>
      <c r="AU518" s="336"/>
      <c r="AV518" s="336"/>
      <c r="AW518" s="336"/>
      <c r="AX518" s="336"/>
      <c r="AY518" s="336"/>
      <c r="AZ518" s="336"/>
      <c r="BA518" s="336"/>
      <c r="BB518" s="336"/>
      <c r="BC518" s="336"/>
      <c r="BD518" s="336"/>
      <c r="BE518" s="336"/>
      <c r="BF518" s="336"/>
    </row>
    <row r="519" spans="1:58" s="351" customFormat="1" x14ac:dyDescent="0.25">
      <c r="A519" s="336"/>
      <c r="B519" s="336"/>
      <c r="C519" s="336"/>
      <c r="D519" s="336"/>
      <c r="E519" s="336"/>
      <c r="F519" s="336"/>
      <c r="G519" s="336"/>
      <c r="H519" s="336"/>
      <c r="M519" s="352"/>
      <c r="N519" s="353"/>
      <c r="O519" s="353"/>
      <c r="T519" s="377"/>
      <c r="U519" s="352"/>
      <c r="V519" s="352"/>
      <c r="W519" s="352"/>
      <c r="X519" s="375"/>
      <c r="Y519" s="375"/>
      <c r="Z519" s="336"/>
      <c r="AA519" s="353"/>
      <c r="AB519" s="336"/>
      <c r="AC519" s="336"/>
      <c r="AD519" s="336"/>
      <c r="AE519" s="336"/>
      <c r="AF519" s="336"/>
      <c r="AG519" s="336"/>
      <c r="AH519" s="336"/>
      <c r="AI519" s="336"/>
      <c r="AJ519" s="336"/>
      <c r="AK519" s="336"/>
      <c r="AL519" s="336"/>
      <c r="AM519" s="336"/>
      <c r="AN519" s="336"/>
      <c r="AO519" s="336"/>
      <c r="AP519" s="336"/>
      <c r="AQ519" s="336"/>
      <c r="AR519" s="336"/>
      <c r="AS519" s="336"/>
      <c r="AT519" s="336"/>
      <c r="AU519" s="336"/>
      <c r="AV519" s="336"/>
      <c r="AW519" s="336"/>
      <c r="AX519" s="336"/>
      <c r="AY519" s="336"/>
      <c r="AZ519" s="336"/>
      <c r="BA519" s="336"/>
      <c r="BB519" s="336"/>
      <c r="BC519" s="336"/>
      <c r="BD519" s="336"/>
      <c r="BE519" s="336"/>
      <c r="BF519" s="336"/>
    </row>
    <row r="520" spans="1:58" s="351" customFormat="1" x14ac:dyDescent="0.25">
      <c r="A520" s="336"/>
      <c r="B520" s="336"/>
      <c r="C520" s="336"/>
      <c r="D520" s="336"/>
      <c r="E520" s="336"/>
      <c r="F520" s="336"/>
      <c r="G520" s="336"/>
      <c r="H520" s="336"/>
      <c r="M520" s="352"/>
      <c r="N520" s="353"/>
      <c r="O520" s="353"/>
      <c r="T520" s="377"/>
      <c r="U520" s="352"/>
      <c r="V520" s="352"/>
      <c r="W520" s="352"/>
      <c r="X520" s="375"/>
      <c r="Y520" s="375"/>
      <c r="Z520" s="336"/>
      <c r="AA520" s="353"/>
      <c r="AB520" s="336"/>
      <c r="AC520" s="336"/>
      <c r="AD520" s="336"/>
      <c r="AE520" s="336"/>
      <c r="AF520" s="336"/>
      <c r="AG520" s="336"/>
      <c r="AH520" s="336"/>
      <c r="AI520" s="336"/>
      <c r="AJ520" s="336"/>
      <c r="AK520" s="336"/>
      <c r="AL520" s="336"/>
      <c r="AM520" s="336"/>
      <c r="AN520" s="336"/>
      <c r="AO520" s="336"/>
      <c r="AP520" s="336"/>
      <c r="AQ520" s="336"/>
      <c r="AR520" s="336"/>
      <c r="AS520" s="336"/>
      <c r="AT520" s="336"/>
      <c r="AU520" s="336"/>
      <c r="AV520" s="336"/>
      <c r="AW520" s="336"/>
      <c r="AX520" s="336"/>
      <c r="AY520" s="336"/>
      <c r="AZ520" s="336"/>
      <c r="BA520" s="336"/>
      <c r="BB520" s="336"/>
      <c r="BC520" s="336"/>
      <c r="BD520" s="336"/>
      <c r="BE520" s="336"/>
      <c r="BF520" s="336"/>
    </row>
    <row r="521" spans="1:58" s="351" customFormat="1" x14ac:dyDescent="0.25">
      <c r="A521" s="336"/>
      <c r="B521" s="336"/>
      <c r="C521" s="336"/>
      <c r="D521" s="336"/>
      <c r="E521" s="336"/>
      <c r="F521" s="336"/>
      <c r="G521" s="336"/>
      <c r="H521" s="336"/>
      <c r="M521" s="352"/>
      <c r="N521" s="353"/>
      <c r="O521" s="353"/>
      <c r="T521" s="377"/>
      <c r="U521" s="352"/>
      <c r="V521" s="352"/>
      <c r="W521" s="352"/>
      <c r="X521" s="375"/>
      <c r="Y521" s="375"/>
      <c r="Z521" s="336"/>
      <c r="AA521" s="353"/>
      <c r="AB521" s="336"/>
      <c r="AC521" s="336"/>
      <c r="AD521" s="336"/>
      <c r="AE521" s="336"/>
      <c r="AF521" s="336"/>
      <c r="AG521" s="336"/>
      <c r="AH521" s="336"/>
      <c r="AI521" s="336"/>
      <c r="AJ521" s="336"/>
      <c r="AK521" s="336"/>
      <c r="AL521" s="336"/>
      <c r="AM521" s="336"/>
      <c r="AN521" s="336"/>
      <c r="AO521" s="336"/>
      <c r="AP521" s="336"/>
      <c r="AQ521" s="336"/>
      <c r="AR521" s="336"/>
      <c r="AS521" s="336"/>
      <c r="AT521" s="336"/>
      <c r="AU521" s="336"/>
      <c r="AV521" s="336"/>
      <c r="AW521" s="336"/>
      <c r="AX521" s="336"/>
      <c r="AY521" s="336"/>
      <c r="AZ521" s="336"/>
      <c r="BA521" s="336"/>
      <c r="BB521" s="336"/>
      <c r="BC521" s="336"/>
      <c r="BD521" s="336"/>
      <c r="BE521" s="336"/>
      <c r="BF521" s="336"/>
    </row>
    <row r="522" spans="1:58" s="351" customFormat="1" x14ac:dyDescent="0.25">
      <c r="A522" s="336"/>
      <c r="B522" s="336"/>
      <c r="C522" s="336"/>
      <c r="D522" s="336"/>
      <c r="E522" s="336"/>
      <c r="F522" s="336"/>
      <c r="G522" s="336"/>
      <c r="H522" s="336"/>
      <c r="M522" s="352"/>
      <c r="N522" s="353"/>
      <c r="O522" s="353"/>
      <c r="T522" s="377"/>
      <c r="U522" s="352"/>
      <c r="V522" s="352"/>
      <c r="W522" s="352"/>
      <c r="X522" s="375"/>
      <c r="Y522" s="375"/>
      <c r="Z522" s="336"/>
      <c r="AA522" s="353"/>
      <c r="AB522" s="336"/>
      <c r="AC522" s="336"/>
      <c r="AD522" s="336"/>
      <c r="AE522" s="336"/>
      <c r="AF522" s="336"/>
      <c r="AG522" s="336"/>
      <c r="AH522" s="336"/>
      <c r="AI522" s="336"/>
      <c r="AJ522" s="336"/>
      <c r="AK522" s="336"/>
      <c r="AL522" s="336"/>
      <c r="AM522" s="336"/>
      <c r="AN522" s="336"/>
      <c r="AO522" s="336"/>
      <c r="AP522" s="336"/>
      <c r="AQ522" s="336"/>
      <c r="AR522" s="336"/>
      <c r="AS522" s="336"/>
      <c r="AT522" s="336"/>
      <c r="AU522" s="336"/>
      <c r="AV522" s="336"/>
      <c r="AW522" s="336"/>
      <c r="AX522" s="336"/>
      <c r="AY522" s="336"/>
      <c r="AZ522" s="336"/>
      <c r="BA522" s="336"/>
      <c r="BB522" s="336"/>
      <c r="BC522" s="336"/>
      <c r="BD522" s="336"/>
      <c r="BE522" s="336"/>
      <c r="BF522" s="336"/>
    </row>
    <row r="523" spans="1:58" s="351" customFormat="1" x14ac:dyDescent="0.25">
      <c r="A523" s="336"/>
      <c r="B523" s="336"/>
      <c r="C523" s="336"/>
      <c r="D523" s="336"/>
      <c r="E523" s="336"/>
      <c r="F523" s="336"/>
      <c r="G523" s="336"/>
      <c r="H523" s="336"/>
      <c r="M523" s="352"/>
      <c r="N523" s="353"/>
      <c r="O523" s="353"/>
      <c r="T523" s="377"/>
      <c r="U523" s="352"/>
      <c r="V523" s="352"/>
      <c r="W523" s="352"/>
      <c r="X523" s="375"/>
      <c r="Y523" s="375"/>
      <c r="Z523" s="336"/>
      <c r="AA523" s="353"/>
      <c r="AB523" s="336"/>
      <c r="AC523" s="336"/>
      <c r="AD523" s="336"/>
      <c r="AE523" s="336"/>
      <c r="AF523" s="336"/>
      <c r="AG523" s="336"/>
      <c r="AH523" s="336"/>
      <c r="AI523" s="336"/>
      <c r="AJ523" s="336"/>
      <c r="AK523" s="336"/>
      <c r="AL523" s="336"/>
      <c r="AM523" s="336"/>
      <c r="AN523" s="336"/>
      <c r="AO523" s="336"/>
      <c r="AP523" s="336"/>
      <c r="AQ523" s="336"/>
      <c r="AR523" s="336"/>
      <c r="AS523" s="336"/>
      <c r="AT523" s="336"/>
      <c r="AU523" s="336"/>
      <c r="AV523" s="336"/>
      <c r="AW523" s="336"/>
      <c r="AX523" s="336"/>
      <c r="AY523" s="336"/>
      <c r="AZ523" s="336"/>
      <c r="BA523" s="336"/>
      <c r="BB523" s="336"/>
      <c r="BC523" s="336"/>
      <c r="BD523" s="336"/>
      <c r="BE523" s="336"/>
      <c r="BF523" s="336"/>
    </row>
    <row r="524" spans="1:58" s="351" customFormat="1" x14ac:dyDescent="0.25">
      <c r="A524" s="336"/>
      <c r="B524" s="336"/>
      <c r="C524" s="336"/>
      <c r="D524" s="336"/>
      <c r="E524" s="336"/>
      <c r="F524" s="336"/>
      <c r="G524" s="336"/>
      <c r="H524" s="336"/>
      <c r="M524" s="352"/>
      <c r="N524" s="353"/>
      <c r="O524" s="353"/>
      <c r="T524" s="377"/>
      <c r="U524" s="352"/>
      <c r="V524" s="352"/>
      <c r="W524" s="352"/>
      <c r="X524" s="375"/>
      <c r="Y524" s="375"/>
      <c r="Z524" s="336"/>
      <c r="AA524" s="353"/>
      <c r="AB524" s="336"/>
      <c r="AC524" s="336"/>
      <c r="AD524" s="336"/>
      <c r="AE524" s="336"/>
      <c r="AF524" s="336"/>
      <c r="AG524" s="336"/>
      <c r="AH524" s="336"/>
      <c r="AI524" s="336"/>
      <c r="AJ524" s="336"/>
      <c r="AK524" s="336"/>
      <c r="AL524" s="336"/>
      <c r="AM524" s="336"/>
      <c r="AN524" s="336"/>
      <c r="AO524" s="336"/>
      <c r="AP524" s="336"/>
      <c r="AQ524" s="336"/>
      <c r="AR524" s="336"/>
      <c r="AS524" s="336"/>
      <c r="AT524" s="336"/>
      <c r="AU524" s="336"/>
      <c r="AV524" s="336"/>
      <c r="AW524" s="336"/>
      <c r="AX524" s="336"/>
      <c r="AY524" s="336"/>
      <c r="AZ524" s="336"/>
      <c r="BA524" s="336"/>
      <c r="BB524" s="336"/>
      <c r="BC524" s="336"/>
      <c r="BD524" s="336"/>
      <c r="BE524" s="336"/>
      <c r="BF524" s="336"/>
    </row>
    <row r="525" spans="1:58" s="351" customFormat="1" x14ac:dyDescent="0.25">
      <c r="A525" s="336"/>
      <c r="B525" s="336"/>
      <c r="C525" s="336"/>
      <c r="D525" s="336"/>
      <c r="E525" s="336"/>
      <c r="F525" s="336"/>
      <c r="G525" s="336"/>
      <c r="H525" s="336"/>
      <c r="M525" s="352"/>
      <c r="N525" s="353"/>
      <c r="O525" s="353"/>
      <c r="T525" s="377"/>
      <c r="U525" s="352"/>
      <c r="V525" s="352"/>
      <c r="W525" s="352"/>
      <c r="X525" s="375"/>
      <c r="Y525" s="375"/>
      <c r="Z525" s="336"/>
      <c r="AA525" s="353"/>
      <c r="AB525" s="336"/>
      <c r="AC525" s="336"/>
      <c r="AD525" s="336"/>
      <c r="AE525" s="336"/>
      <c r="AF525" s="336"/>
      <c r="AG525" s="336"/>
      <c r="AH525" s="336"/>
      <c r="AI525" s="336"/>
      <c r="AJ525" s="336"/>
      <c r="AK525" s="336"/>
      <c r="AL525" s="336"/>
      <c r="AM525" s="336"/>
      <c r="AN525" s="336"/>
      <c r="AO525" s="336"/>
      <c r="AP525" s="336"/>
      <c r="AQ525" s="336"/>
      <c r="AR525" s="336"/>
      <c r="AS525" s="336"/>
      <c r="AT525" s="336"/>
      <c r="AU525" s="336"/>
      <c r="AV525" s="336"/>
      <c r="AW525" s="336"/>
      <c r="AX525" s="336"/>
      <c r="AY525" s="336"/>
      <c r="AZ525" s="336"/>
      <c r="BA525" s="336"/>
      <c r="BB525" s="336"/>
      <c r="BC525" s="336"/>
      <c r="BD525" s="336"/>
      <c r="BE525" s="336"/>
      <c r="BF525" s="336"/>
    </row>
    <row r="526" spans="1:58" s="351" customFormat="1" x14ac:dyDescent="0.25">
      <c r="A526" s="336"/>
      <c r="B526" s="336"/>
      <c r="C526" s="336"/>
      <c r="D526" s="336"/>
      <c r="E526" s="336"/>
      <c r="F526" s="336"/>
      <c r="G526" s="336"/>
      <c r="H526" s="336"/>
      <c r="M526" s="352"/>
      <c r="N526" s="353"/>
      <c r="O526" s="353"/>
      <c r="T526" s="377"/>
      <c r="U526" s="352"/>
      <c r="V526" s="352"/>
      <c r="W526" s="352"/>
      <c r="X526" s="375"/>
      <c r="Y526" s="375"/>
      <c r="Z526" s="336"/>
      <c r="AA526" s="353"/>
      <c r="AB526" s="336"/>
      <c r="AC526" s="336"/>
      <c r="AD526" s="336"/>
      <c r="AE526" s="336"/>
      <c r="AF526" s="336"/>
      <c r="AG526" s="336"/>
      <c r="AH526" s="336"/>
      <c r="AI526" s="336"/>
      <c r="AJ526" s="336"/>
      <c r="AK526" s="336"/>
      <c r="AL526" s="336"/>
      <c r="AM526" s="336"/>
      <c r="AN526" s="336"/>
      <c r="AO526" s="336"/>
      <c r="AP526" s="336"/>
      <c r="AQ526" s="336"/>
      <c r="AR526" s="336"/>
      <c r="AS526" s="336"/>
      <c r="AT526" s="336"/>
      <c r="AU526" s="336"/>
      <c r="AV526" s="336"/>
      <c r="AW526" s="336"/>
      <c r="AX526" s="336"/>
      <c r="AY526" s="336"/>
      <c r="AZ526" s="336"/>
      <c r="BA526" s="336"/>
      <c r="BB526" s="336"/>
      <c r="BC526" s="336"/>
      <c r="BD526" s="336"/>
      <c r="BE526" s="336"/>
      <c r="BF526" s="336"/>
    </row>
    <row r="527" spans="1:58" s="351" customFormat="1" x14ac:dyDescent="0.25">
      <c r="A527" s="336"/>
      <c r="B527" s="336"/>
      <c r="C527" s="336"/>
      <c r="D527" s="336"/>
      <c r="E527" s="336"/>
      <c r="F527" s="336"/>
      <c r="G527" s="336"/>
      <c r="H527" s="336"/>
      <c r="M527" s="352"/>
      <c r="N527" s="353"/>
      <c r="O527" s="353"/>
      <c r="T527" s="377"/>
      <c r="U527" s="352"/>
      <c r="V527" s="352"/>
      <c r="W527" s="352"/>
      <c r="X527" s="375"/>
      <c r="Y527" s="375"/>
      <c r="Z527" s="336"/>
      <c r="AA527" s="353"/>
      <c r="AB527" s="336"/>
      <c r="AC527" s="336"/>
      <c r="AD527" s="336"/>
      <c r="AE527" s="336"/>
      <c r="AF527" s="336"/>
      <c r="AG527" s="336"/>
      <c r="AH527" s="336"/>
      <c r="AI527" s="336"/>
      <c r="AJ527" s="336"/>
      <c r="AK527" s="336"/>
      <c r="AL527" s="336"/>
      <c r="AM527" s="336"/>
      <c r="AN527" s="336"/>
      <c r="AO527" s="336"/>
      <c r="AP527" s="336"/>
      <c r="AQ527" s="336"/>
      <c r="AR527" s="336"/>
      <c r="AS527" s="336"/>
      <c r="AT527" s="336"/>
      <c r="AU527" s="336"/>
      <c r="AV527" s="336"/>
      <c r="AW527" s="336"/>
      <c r="AX527" s="336"/>
      <c r="AY527" s="336"/>
      <c r="AZ527" s="336"/>
      <c r="BA527" s="336"/>
      <c r="BB527" s="336"/>
      <c r="BC527" s="336"/>
      <c r="BD527" s="336"/>
      <c r="BE527" s="336"/>
      <c r="BF527" s="336"/>
    </row>
    <row r="528" spans="1:58" s="351" customFormat="1" x14ac:dyDescent="0.25">
      <c r="A528" s="336"/>
      <c r="B528" s="336"/>
      <c r="C528" s="336"/>
      <c r="D528" s="336"/>
      <c r="E528" s="336"/>
      <c r="F528" s="336"/>
      <c r="G528" s="336"/>
      <c r="H528" s="336"/>
      <c r="M528" s="352"/>
      <c r="N528" s="353"/>
      <c r="O528" s="353"/>
      <c r="T528" s="377"/>
      <c r="U528" s="352"/>
      <c r="V528" s="352"/>
      <c r="W528" s="352"/>
      <c r="X528" s="375"/>
      <c r="Y528" s="375"/>
      <c r="Z528" s="336"/>
      <c r="AA528" s="353"/>
      <c r="AB528" s="336"/>
      <c r="AC528" s="336"/>
      <c r="AD528" s="336"/>
      <c r="AE528" s="336"/>
      <c r="AF528" s="336"/>
      <c r="AG528" s="336"/>
      <c r="AH528" s="336"/>
      <c r="AI528" s="336"/>
      <c r="AJ528" s="336"/>
      <c r="AK528" s="336"/>
      <c r="AL528" s="336"/>
      <c r="AM528" s="336"/>
      <c r="AN528" s="336"/>
      <c r="AO528" s="336"/>
      <c r="AP528" s="336"/>
      <c r="AQ528" s="336"/>
      <c r="AR528" s="336"/>
      <c r="AS528" s="336"/>
      <c r="AT528" s="336"/>
      <c r="AU528" s="336"/>
      <c r="AV528" s="336"/>
      <c r="AW528" s="336"/>
      <c r="AX528" s="336"/>
      <c r="AY528" s="336"/>
      <c r="AZ528" s="336"/>
      <c r="BA528" s="336"/>
      <c r="BB528" s="336"/>
      <c r="BC528" s="336"/>
      <c r="BD528" s="336"/>
      <c r="BE528" s="336"/>
      <c r="BF528" s="336"/>
    </row>
    <row r="529" spans="1:58" s="351" customFormat="1" x14ac:dyDescent="0.25">
      <c r="A529" s="336"/>
      <c r="B529" s="336"/>
      <c r="C529" s="336"/>
      <c r="D529" s="336"/>
      <c r="E529" s="336"/>
      <c r="F529" s="336"/>
      <c r="G529" s="336"/>
      <c r="H529" s="336"/>
      <c r="M529" s="352"/>
      <c r="N529" s="353"/>
      <c r="O529" s="353"/>
      <c r="T529" s="377"/>
      <c r="U529" s="352"/>
      <c r="V529" s="352"/>
      <c r="W529" s="352"/>
      <c r="X529" s="375"/>
      <c r="Y529" s="375"/>
      <c r="Z529" s="336"/>
      <c r="AA529" s="353"/>
      <c r="AB529" s="336"/>
      <c r="AC529" s="336"/>
      <c r="AD529" s="336"/>
      <c r="AE529" s="336"/>
      <c r="AF529" s="336"/>
      <c r="AG529" s="336"/>
      <c r="AH529" s="336"/>
      <c r="AI529" s="336"/>
      <c r="AJ529" s="336"/>
      <c r="AK529" s="336"/>
      <c r="AL529" s="336"/>
      <c r="AM529" s="336"/>
      <c r="AN529" s="336"/>
      <c r="AO529" s="336"/>
      <c r="AP529" s="336"/>
      <c r="AQ529" s="336"/>
      <c r="AR529" s="336"/>
      <c r="AS529" s="336"/>
      <c r="AT529" s="336"/>
      <c r="AU529" s="336"/>
      <c r="AV529" s="336"/>
      <c r="AW529" s="336"/>
      <c r="AX529" s="336"/>
      <c r="AY529" s="336"/>
      <c r="AZ529" s="336"/>
      <c r="BA529" s="336"/>
      <c r="BB529" s="336"/>
      <c r="BC529" s="336"/>
      <c r="BD529" s="336"/>
      <c r="BE529" s="336"/>
      <c r="BF529" s="336"/>
    </row>
    <row r="530" spans="1:58" s="351" customFormat="1" x14ac:dyDescent="0.25">
      <c r="A530" s="336"/>
      <c r="B530" s="336"/>
      <c r="C530" s="336"/>
      <c r="D530" s="336"/>
      <c r="E530" s="336"/>
      <c r="F530" s="336"/>
      <c r="G530" s="336"/>
      <c r="H530" s="336"/>
      <c r="M530" s="352"/>
      <c r="N530" s="353"/>
      <c r="O530" s="353"/>
      <c r="T530" s="377"/>
      <c r="U530" s="352"/>
      <c r="V530" s="352"/>
      <c r="W530" s="352"/>
      <c r="X530" s="375"/>
      <c r="Y530" s="375"/>
      <c r="Z530" s="336"/>
      <c r="AA530" s="353"/>
      <c r="AB530" s="336"/>
      <c r="AC530" s="336"/>
      <c r="AD530" s="336"/>
      <c r="AE530" s="336"/>
      <c r="AF530" s="336"/>
      <c r="AG530" s="336"/>
      <c r="AH530" s="336"/>
      <c r="AI530" s="336"/>
      <c r="AJ530" s="336"/>
      <c r="AK530" s="336"/>
      <c r="AL530" s="336"/>
      <c r="AM530" s="336"/>
      <c r="AN530" s="336"/>
      <c r="AO530" s="336"/>
      <c r="AP530" s="336"/>
      <c r="AQ530" s="336"/>
      <c r="AR530" s="336"/>
      <c r="AS530" s="336"/>
      <c r="AT530" s="336"/>
      <c r="AU530" s="336"/>
      <c r="AV530" s="336"/>
      <c r="AW530" s="336"/>
      <c r="AX530" s="336"/>
      <c r="AY530" s="336"/>
      <c r="AZ530" s="336"/>
      <c r="BA530" s="336"/>
      <c r="BB530" s="336"/>
      <c r="BC530" s="336"/>
      <c r="BD530" s="336"/>
      <c r="BE530" s="336"/>
      <c r="BF530" s="336"/>
    </row>
    <row r="531" spans="1:58" s="351" customFormat="1" x14ac:dyDescent="0.25">
      <c r="A531" s="336"/>
      <c r="B531" s="336"/>
      <c r="C531" s="336"/>
      <c r="D531" s="336"/>
      <c r="E531" s="336"/>
      <c r="F531" s="336"/>
      <c r="G531" s="336"/>
      <c r="H531" s="336"/>
      <c r="M531" s="352"/>
      <c r="N531" s="353"/>
      <c r="O531" s="353"/>
      <c r="T531" s="377"/>
      <c r="U531" s="352"/>
      <c r="V531" s="352"/>
      <c r="W531" s="352"/>
      <c r="X531" s="375"/>
      <c r="Y531" s="375"/>
      <c r="Z531" s="336"/>
      <c r="AA531" s="353"/>
      <c r="AB531" s="336"/>
      <c r="AC531" s="336"/>
      <c r="AD531" s="336"/>
      <c r="AE531" s="336"/>
      <c r="AF531" s="336"/>
      <c r="AG531" s="336"/>
      <c r="AH531" s="336"/>
      <c r="AI531" s="336"/>
      <c r="AJ531" s="336"/>
      <c r="AK531" s="336"/>
      <c r="AL531" s="336"/>
      <c r="AM531" s="336"/>
      <c r="AN531" s="336"/>
      <c r="AO531" s="336"/>
      <c r="AP531" s="336"/>
      <c r="AQ531" s="336"/>
      <c r="AR531" s="336"/>
      <c r="AS531" s="336"/>
      <c r="AT531" s="336"/>
      <c r="AU531" s="336"/>
      <c r="AV531" s="336"/>
      <c r="AW531" s="336"/>
      <c r="AX531" s="336"/>
      <c r="AY531" s="336"/>
      <c r="AZ531" s="336"/>
      <c r="BA531" s="336"/>
      <c r="BB531" s="336"/>
      <c r="BC531" s="336"/>
      <c r="BD531" s="336"/>
      <c r="BE531" s="336"/>
      <c r="BF531" s="336"/>
    </row>
    <row r="532" spans="1:58" s="351" customFormat="1" x14ac:dyDescent="0.25">
      <c r="A532" s="336"/>
      <c r="B532" s="336"/>
      <c r="C532" s="336"/>
      <c r="D532" s="336"/>
      <c r="E532" s="336"/>
      <c r="F532" s="336"/>
      <c r="G532" s="336"/>
      <c r="H532" s="336"/>
      <c r="M532" s="352"/>
      <c r="N532" s="353"/>
      <c r="O532" s="353"/>
      <c r="T532" s="377"/>
      <c r="U532" s="352"/>
      <c r="V532" s="352"/>
      <c r="W532" s="352"/>
      <c r="X532" s="375"/>
      <c r="Y532" s="375"/>
      <c r="Z532" s="336"/>
      <c r="AA532" s="353"/>
      <c r="AB532" s="336"/>
      <c r="AC532" s="336"/>
      <c r="AD532" s="336"/>
      <c r="AE532" s="336"/>
      <c r="AF532" s="336"/>
      <c r="AG532" s="336"/>
      <c r="AH532" s="336"/>
      <c r="AI532" s="336"/>
      <c r="AJ532" s="336"/>
      <c r="AK532" s="336"/>
      <c r="AL532" s="336"/>
      <c r="AM532" s="336"/>
      <c r="AN532" s="336"/>
      <c r="AO532" s="336"/>
      <c r="AP532" s="336"/>
      <c r="AQ532" s="336"/>
      <c r="AR532" s="336"/>
      <c r="AS532" s="336"/>
      <c r="AT532" s="336"/>
      <c r="AU532" s="336"/>
      <c r="AV532" s="336"/>
      <c r="AW532" s="336"/>
      <c r="AX532" s="336"/>
      <c r="AY532" s="336"/>
      <c r="AZ532" s="336"/>
      <c r="BA532" s="336"/>
      <c r="BB532" s="336"/>
      <c r="BC532" s="336"/>
      <c r="BD532" s="336"/>
      <c r="BE532" s="336"/>
      <c r="BF532" s="336"/>
    </row>
    <row r="533" spans="1:58" s="351" customFormat="1" x14ac:dyDescent="0.25">
      <c r="A533" s="336"/>
      <c r="B533" s="336"/>
      <c r="C533" s="336"/>
      <c r="D533" s="336"/>
      <c r="E533" s="336"/>
      <c r="F533" s="336"/>
      <c r="G533" s="336"/>
      <c r="H533" s="336"/>
      <c r="M533" s="352"/>
      <c r="N533" s="353"/>
      <c r="O533" s="353"/>
      <c r="T533" s="377"/>
      <c r="U533" s="352"/>
      <c r="V533" s="352"/>
      <c r="W533" s="352"/>
      <c r="X533" s="375"/>
      <c r="Y533" s="375"/>
      <c r="Z533" s="336"/>
      <c r="AA533" s="353"/>
      <c r="AB533" s="336"/>
      <c r="AC533" s="336"/>
      <c r="AD533" s="336"/>
      <c r="AE533" s="336"/>
      <c r="AF533" s="336"/>
      <c r="AG533" s="336"/>
      <c r="AH533" s="336"/>
      <c r="AI533" s="336"/>
      <c r="AJ533" s="336"/>
      <c r="AK533" s="336"/>
      <c r="AL533" s="336"/>
      <c r="AM533" s="336"/>
      <c r="AN533" s="336"/>
      <c r="AO533" s="336"/>
      <c r="AP533" s="336"/>
      <c r="AQ533" s="336"/>
      <c r="AR533" s="336"/>
      <c r="AS533" s="336"/>
      <c r="AT533" s="336"/>
      <c r="AU533" s="336"/>
      <c r="AV533" s="336"/>
      <c r="AW533" s="336"/>
      <c r="AX533" s="336"/>
      <c r="AY533" s="336"/>
      <c r="AZ533" s="336"/>
      <c r="BA533" s="336"/>
      <c r="BB533" s="336"/>
      <c r="BC533" s="336"/>
      <c r="BD533" s="336"/>
      <c r="BE533" s="336"/>
      <c r="BF533" s="336"/>
    </row>
    <row r="534" spans="1:58" s="351" customFormat="1" x14ac:dyDescent="0.25">
      <c r="A534" s="336"/>
      <c r="B534" s="336"/>
      <c r="C534" s="336"/>
      <c r="D534" s="336"/>
      <c r="E534" s="336"/>
      <c r="F534" s="336"/>
      <c r="G534" s="336"/>
      <c r="H534" s="336"/>
      <c r="M534" s="352"/>
      <c r="N534" s="353"/>
      <c r="O534" s="353"/>
      <c r="T534" s="377"/>
      <c r="U534" s="352"/>
      <c r="V534" s="352"/>
      <c r="W534" s="352"/>
      <c r="X534" s="375"/>
      <c r="Y534" s="375"/>
      <c r="Z534" s="336"/>
      <c r="AA534" s="353"/>
      <c r="AB534" s="336"/>
      <c r="AC534" s="336"/>
      <c r="AD534" s="336"/>
      <c r="AE534" s="336"/>
      <c r="AF534" s="336"/>
      <c r="AG534" s="336"/>
      <c r="AH534" s="336"/>
      <c r="AI534" s="336"/>
      <c r="AJ534" s="336"/>
      <c r="AK534" s="336"/>
      <c r="AL534" s="336"/>
      <c r="AM534" s="336"/>
      <c r="AN534" s="336"/>
      <c r="AO534" s="336"/>
      <c r="AP534" s="336"/>
      <c r="AQ534" s="336"/>
      <c r="AR534" s="336"/>
      <c r="AS534" s="336"/>
      <c r="AT534" s="336"/>
      <c r="AU534" s="336"/>
      <c r="AV534" s="336"/>
      <c r="AW534" s="336"/>
      <c r="AX534" s="336"/>
      <c r="AY534" s="336"/>
      <c r="AZ534" s="336"/>
      <c r="BA534" s="336"/>
      <c r="BB534" s="336"/>
      <c r="BC534" s="336"/>
      <c r="BD534" s="336"/>
      <c r="BE534" s="336"/>
      <c r="BF534" s="336"/>
    </row>
    <row r="535" spans="1:58" s="351" customFormat="1" x14ac:dyDescent="0.25">
      <c r="A535" s="336"/>
      <c r="B535" s="336"/>
      <c r="C535" s="336"/>
      <c r="D535" s="336"/>
      <c r="E535" s="336"/>
      <c r="F535" s="336"/>
      <c r="G535" s="336"/>
      <c r="H535" s="336"/>
      <c r="M535" s="352"/>
      <c r="N535" s="353"/>
      <c r="O535" s="353"/>
      <c r="T535" s="377"/>
      <c r="U535" s="352"/>
      <c r="V535" s="352"/>
      <c r="W535" s="352"/>
      <c r="X535" s="375"/>
      <c r="Y535" s="375"/>
      <c r="Z535" s="336"/>
      <c r="AA535" s="353"/>
      <c r="AB535" s="336"/>
      <c r="AC535" s="336"/>
      <c r="AD535" s="336"/>
      <c r="AE535" s="336"/>
      <c r="AF535" s="336"/>
      <c r="AG535" s="336"/>
      <c r="AH535" s="336"/>
      <c r="AI535" s="336"/>
      <c r="AJ535" s="336"/>
      <c r="AK535" s="336"/>
      <c r="AL535" s="336"/>
      <c r="AM535" s="336"/>
      <c r="AN535" s="336"/>
      <c r="AO535" s="336"/>
      <c r="AP535" s="336"/>
      <c r="AQ535" s="336"/>
      <c r="AR535" s="336"/>
      <c r="AS535" s="336"/>
      <c r="AT535" s="336"/>
      <c r="AU535" s="336"/>
      <c r="AV535" s="336"/>
      <c r="AW535" s="336"/>
      <c r="AX535" s="336"/>
      <c r="AY535" s="336"/>
      <c r="AZ535" s="336"/>
      <c r="BA535" s="336"/>
      <c r="BB535" s="336"/>
      <c r="BC535" s="336"/>
      <c r="BD535" s="336"/>
      <c r="BE535" s="336"/>
      <c r="BF535" s="336"/>
    </row>
    <row r="536" spans="1:58" s="351" customFormat="1" x14ac:dyDescent="0.25">
      <c r="A536" s="336"/>
      <c r="B536" s="336"/>
      <c r="C536" s="336"/>
      <c r="D536" s="336"/>
      <c r="E536" s="336"/>
      <c r="F536" s="336"/>
      <c r="G536" s="336"/>
      <c r="H536" s="336"/>
      <c r="M536" s="352"/>
      <c r="N536" s="353"/>
      <c r="O536" s="353"/>
      <c r="T536" s="377"/>
      <c r="U536" s="352"/>
      <c r="V536" s="352"/>
      <c r="W536" s="352"/>
      <c r="X536" s="375"/>
      <c r="Y536" s="375"/>
      <c r="Z536" s="336"/>
      <c r="AA536" s="353"/>
      <c r="AB536" s="336"/>
      <c r="AC536" s="336"/>
      <c r="AD536" s="336"/>
      <c r="AE536" s="336"/>
      <c r="AF536" s="336"/>
      <c r="AG536" s="336"/>
      <c r="AH536" s="336"/>
      <c r="AI536" s="336"/>
      <c r="AJ536" s="336"/>
      <c r="AK536" s="336"/>
      <c r="AL536" s="336"/>
      <c r="AM536" s="336"/>
      <c r="AN536" s="336"/>
      <c r="AO536" s="336"/>
      <c r="AP536" s="336"/>
      <c r="AQ536" s="336"/>
      <c r="AR536" s="336"/>
      <c r="AS536" s="336"/>
      <c r="AT536" s="336"/>
      <c r="AU536" s="336"/>
      <c r="AV536" s="336"/>
      <c r="AW536" s="336"/>
      <c r="AX536" s="336"/>
      <c r="AY536" s="336"/>
      <c r="AZ536" s="336"/>
      <c r="BA536" s="336"/>
      <c r="BB536" s="336"/>
      <c r="BC536" s="336"/>
      <c r="BD536" s="336"/>
      <c r="BE536" s="336"/>
      <c r="BF536" s="336"/>
    </row>
    <row r="537" spans="1:58" s="351" customFormat="1" x14ac:dyDescent="0.25">
      <c r="A537" s="336"/>
      <c r="B537" s="336"/>
      <c r="C537" s="336"/>
      <c r="D537" s="336"/>
      <c r="E537" s="336"/>
      <c r="F537" s="336"/>
      <c r="G537" s="336"/>
      <c r="H537" s="336"/>
      <c r="M537" s="352"/>
      <c r="N537" s="353"/>
      <c r="O537" s="353"/>
      <c r="T537" s="377"/>
      <c r="U537" s="352"/>
      <c r="V537" s="352"/>
      <c r="W537" s="352"/>
      <c r="X537" s="375"/>
      <c r="Y537" s="375"/>
      <c r="Z537" s="336"/>
      <c r="AA537" s="353"/>
      <c r="AB537" s="336"/>
      <c r="AC537" s="336"/>
      <c r="AD537" s="336"/>
      <c r="AE537" s="336"/>
      <c r="AF537" s="336"/>
      <c r="AG537" s="336"/>
      <c r="AH537" s="336"/>
      <c r="AI537" s="336"/>
      <c r="AJ537" s="336"/>
      <c r="AK537" s="336"/>
      <c r="AL537" s="336"/>
      <c r="AM537" s="336"/>
      <c r="AN537" s="336"/>
      <c r="AO537" s="336"/>
      <c r="AP537" s="336"/>
      <c r="AQ537" s="336"/>
      <c r="AR537" s="336"/>
      <c r="AS537" s="336"/>
      <c r="AT537" s="336"/>
      <c r="AU537" s="336"/>
      <c r="AV537" s="336"/>
      <c r="AW537" s="336"/>
      <c r="AX537" s="336"/>
      <c r="AY537" s="336"/>
      <c r="AZ537" s="336"/>
      <c r="BA537" s="336"/>
      <c r="BB537" s="336"/>
      <c r="BC537" s="336"/>
      <c r="BD537" s="336"/>
      <c r="BE537" s="336"/>
      <c r="BF537" s="336"/>
    </row>
    <row r="538" spans="1:58" s="351" customFormat="1" x14ac:dyDescent="0.25">
      <c r="A538" s="336"/>
      <c r="B538" s="336"/>
      <c r="C538" s="336"/>
      <c r="D538" s="336"/>
      <c r="E538" s="336"/>
      <c r="F538" s="336"/>
      <c r="G538" s="336"/>
      <c r="H538" s="336"/>
      <c r="M538" s="352"/>
      <c r="N538" s="353"/>
      <c r="O538" s="353"/>
      <c r="T538" s="377"/>
      <c r="U538" s="352"/>
      <c r="V538" s="352"/>
      <c r="W538" s="352"/>
      <c r="X538" s="375"/>
      <c r="Y538" s="375"/>
      <c r="Z538" s="336"/>
      <c r="AA538" s="353"/>
      <c r="AB538" s="336"/>
      <c r="AC538" s="336"/>
      <c r="AD538" s="336"/>
      <c r="AE538" s="336"/>
      <c r="AF538" s="336"/>
      <c r="AG538" s="336"/>
      <c r="AH538" s="336"/>
      <c r="AI538" s="336"/>
      <c r="AJ538" s="336"/>
      <c r="AK538" s="336"/>
      <c r="AL538" s="336"/>
      <c r="AM538" s="336"/>
      <c r="AN538" s="336"/>
      <c r="AO538" s="336"/>
      <c r="AP538" s="336"/>
      <c r="AQ538" s="336"/>
      <c r="AR538" s="336"/>
      <c r="AS538" s="336"/>
      <c r="AT538" s="336"/>
      <c r="AU538" s="336"/>
      <c r="AV538" s="336"/>
      <c r="AW538" s="336"/>
      <c r="AX538" s="336"/>
      <c r="AY538" s="336"/>
      <c r="AZ538" s="336"/>
      <c r="BA538" s="336"/>
      <c r="BB538" s="336"/>
      <c r="BC538" s="336"/>
      <c r="BD538" s="336"/>
      <c r="BE538" s="336"/>
      <c r="BF538" s="336"/>
    </row>
    <row r="539" spans="1:58" s="351" customFormat="1" x14ac:dyDescent="0.25">
      <c r="A539" s="336"/>
      <c r="B539" s="336"/>
      <c r="C539" s="336"/>
      <c r="D539" s="336"/>
      <c r="E539" s="336"/>
      <c r="F539" s="336"/>
      <c r="G539" s="336"/>
      <c r="H539" s="336"/>
      <c r="M539" s="352"/>
      <c r="N539" s="353"/>
      <c r="O539" s="353"/>
      <c r="T539" s="377"/>
      <c r="U539" s="352"/>
      <c r="V539" s="352"/>
      <c r="W539" s="352"/>
      <c r="X539" s="375"/>
      <c r="Y539" s="375"/>
      <c r="Z539" s="336"/>
      <c r="AA539" s="353"/>
      <c r="AB539" s="336"/>
      <c r="AC539" s="336"/>
      <c r="AD539" s="336"/>
      <c r="AE539" s="336"/>
      <c r="AF539" s="336"/>
      <c r="AG539" s="336"/>
      <c r="AH539" s="336"/>
      <c r="AI539" s="336"/>
      <c r="AJ539" s="336"/>
      <c r="AK539" s="336"/>
      <c r="AL539" s="336"/>
      <c r="AM539" s="336"/>
      <c r="AN539" s="336"/>
      <c r="AO539" s="336"/>
      <c r="AP539" s="336"/>
      <c r="AQ539" s="336"/>
      <c r="AR539" s="336"/>
      <c r="AS539" s="336"/>
      <c r="AT539" s="336"/>
      <c r="AU539" s="336"/>
      <c r="AV539" s="336"/>
      <c r="AW539" s="336"/>
      <c r="AX539" s="336"/>
      <c r="AY539" s="336"/>
      <c r="AZ539" s="336"/>
      <c r="BA539" s="336"/>
      <c r="BB539" s="336"/>
      <c r="BC539" s="336"/>
      <c r="BD539" s="336"/>
      <c r="BE539" s="336"/>
      <c r="BF539" s="336"/>
    </row>
    <row r="540" spans="1:58" s="351" customFormat="1" x14ac:dyDescent="0.25">
      <c r="A540" s="336"/>
      <c r="B540" s="336"/>
      <c r="C540" s="336"/>
      <c r="D540" s="336"/>
      <c r="E540" s="336"/>
      <c r="F540" s="336"/>
      <c r="G540" s="336"/>
      <c r="H540" s="336"/>
      <c r="M540" s="352"/>
      <c r="N540" s="353"/>
      <c r="O540" s="353"/>
      <c r="T540" s="377"/>
      <c r="U540" s="352"/>
      <c r="V540" s="352"/>
      <c r="W540" s="352"/>
      <c r="X540" s="375"/>
      <c r="Y540" s="375"/>
      <c r="Z540" s="336"/>
      <c r="AA540" s="353"/>
      <c r="AB540" s="336"/>
      <c r="AC540" s="336"/>
      <c r="AD540" s="336"/>
      <c r="AE540" s="336"/>
      <c r="AF540" s="336"/>
      <c r="AG540" s="336"/>
      <c r="AH540" s="336"/>
      <c r="AI540" s="336"/>
      <c r="AJ540" s="336"/>
      <c r="AK540" s="336"/>
      <c r="AL540" s="336"/>
      <c r="AM540" s="336"/>
      <c r="AN540" s="336"/>
      <c r="AO540" s="336"/>
      <c r="AP540" s="336"/>
      <c r="AQ540" s="336"/>
      <c r="AR540" s="336"/>
      <c r="AS540" s="336"/>
      <c r="AT540" s="336"/>
      <c r="AU540" s="336"/>
      <c r="AV540" s="336"/>
      <c r="AW540" s="336"/>
      <c r="AX540" s="336"/>
      <c r="AY540" s="336"/>
      <c r="AZ540" s="336"/>
      <c r="BA540" s="336"/>
      <c r="BB540" s="336"/>
      <c r="BC540" s="336"/>
      <c r="BD540" s="336"/>
      <c r="BE540" s="336"/>
      <c r="BF540" s="336"/>
    </row>
    <row r="541" spans="1:58" s="351" customFormat="1" x14ac:dyDescent="0.25">
      <c r="A541" s="336"/>
      <c r="B541" s="336"/>
      <c r="C541" s="336"/>
      <c r="D541" s="336"/>
      <c r="E541" s="336"/>
      <c r="F541" s="336"/>
      <c r="G541" s="336"/>
      <c r="H541" s="336"/>
      <c r="M541" s="352"/>
      <c r="N541" s="353"/>
      <c r="O541" s="353"/>
      <c r="T541" s="377"/>
      <c r="U541" s="352"/>
      <c r="V541" s="352"/>
      <c r="W541" s="352"/>
      <c r="X541" s="375"/>
      <c r="Y541" s="375"/>
      <c r="Z541" s="336"/>
      <c r="AA541" s="353"/>
      <c r="AB541" s="336"/>
      <c r="AC541" s="336"/>
      <c r="AD541" s="336"/>
      <c r="AE541" s="336"/>
      <c r="AF541" s="336"/>
      <c r="AG541" s="336"/>
      <c r="AH541" s="336"/>
      <c r="AI541" s="336"/>
      <c r="AJ541" s="336"/>
      <c r="AK541" s="336"/>
      <c r="AL541" s="336"/>
      <c r="AM541" s="336"/>
      <c r="AN541" s="336"/>
      <c r="AO541" s="336"/>
      <c r="AP541" s="336"/>
      <c r="AQ541" s="336"/>
      <c r="AR541" s="336"/>
      <c r="AS541" s="336"/>
      <c r="AT541" s="336"/>
      <c r="AU541" s="336"/>
      <c r="AV541" s="336"/>
      <c r="AW541" s="336"/>
      <c r="AX541" s="336"/>
      <c r="AY541" s="336"/>
      <c r="AZ541" s="336"/>
      <c r="BA541" s="336"/>
      <c r="BB541" s="336"/>
      <c r="BC541" s="336"/>
      <c r="BD541" s="336"/>
      <c r="BE541" s="336"/>
      <c r="BF541" s="336"/>
    </row>
    <row r="542" spans="1:58" s="351" customFormat="1" x14ac:dyDescent="0.25">
      <c r="A542" s="336"/>
      <c r="B542" s="336"/>
      <c r="C542" s="336"/>
      <c r="D542" s="336"/>
      <c r="E542" s="336"/>
      <c r="F542" s="336"/>
      <c r="G542" s="336"/>
      <c r="H542" s="336"/>
      <c r="M542" s="352"/>
      <c r="N542" s="353"/>
      <c r="O542" s="353"/>
      <c r="T542" s="377"/>
      <c r="U542" s="352"/>
      <c r="V542" s="352"/>
      <c r="W542" s="352"/>
      <c r="X542" s="375"/>
      <c r="Y542" s="375"/>
      <c r="Z542" s="336"/>
      <c r="AA542" s="353"/>
      <c r="AB542" s="336"/>
      <c r="AC542" s="336"/>
      <c r="AD542" s="336"/>
      <c r="AE542" s="336"/>
      <c r="AF542" s="336"/>
      <c r="AG542" s="336"/>
      <c r="AH542" s="336"/>
      <c r="AI542" s="336"/>
      <c r="AJ542" s="336"/>
      <c r="AK542" s="336"/>
      <c r="AL542" s="336"/>
      <c r="AM542" s="336"/>
      <c r="AN542" s="336"/>
      <c r="AO542" s="336"/>
      <c r="AP542" s="336"/>
      <c r="AQ542" s="336"/>
      <c r="AR542" s="336"/>
      <c r="AS542" s="336"/>
      <c r="AT542" s="336"/>
      <c r="AU542" s="336"/>
      <c r="AV542" s="336"/>
      <c r="AW542" s="336"/>
      <c r="AX542" s="336"/>
      <c r="AY542" s="336"/>
      <c r="AZ542" s="336"/>
      <c r="BA542" s="336"/>
      <c r="BB542" s="336"/>
      <c r="BC542" s="336"/>
      <c r="BD542" s="336"/>
      <c r="BE542" s="336"/>
      <c r="BF542" s="336"/>
    </row>
    <row r="543" spans="1:58" s="351" customFormat="1" x14ac:dyDescent="0.25">
      <c r="A543" s="336"/>
      <c r="B543" s="336"/>
      <c r="C543" s="336"/>
      <c r="D543" s="336"/>
      <c r="E543" s="336"/>
      <c r="F543" s="336"/>
      <c r="G543" s="336"/>
      <c r="H543" s="336"/>
      <c r="M543" s="352"/>
      <c r="N543" s="353"/>
      <c r="O543" s="353"/>
      <c r="T543" s="377"/>
      <c r="U543" s="352"/>
      <c r="V543" s="352"/>
      <c r="W543" s="352"/>
      <c r="X543" s="375"/>
      <c r="Y543" s="375"/>
      <c r="Z543" s="336"/>
      <c r="AA543" s="353"/>
      <c r="AB543" s="336"/>
      <c r="AC543" s="336"/>
      <c r="AD543" s="336"/>
      <c r="AE543" s="336"/>
      <c r="AF543" s="336"/>
      <c r="AG543" s="336"/>
      <c r="AH543" s="336"/>
      <c r="AI543" s="336"/>
      <c r="AJ543" s="336"/>
      <c r="AK543" s="336"/>
      <c r="AL543" s="336"/>
      <c r="AM543" s="336"/>
      <c r="AN543" s="336"/>
      <c r="AO543" s="336"/>
      <c r="AP543" s="336"/>
      <c r="AQ543" s="336"/>
      <c r="AR543" s="336"/>
      <c r="AS543" s="336"/>
      <c r="AT543" s="336"/>
      <c r="AU543" s="336"/>
      <c r="AV543" s="336"/>
      <c r="AW543" s="336"/>
      <c r="AX543" s="336"/>
      <c r="AY543" s="336"/>
      <c r="AZ543" s="336"/>
      <c r="BA543" s="336"/>
      <c r="BB543" s="336"/>
      <c r="BC543" s="336"/>
      <c r="BD543" s="336"/>
      <c r="BE543" s="336"/>
      <c r="BF543" s="336"/>
    </row>
    <row r="544" spans="1:58" s="351" customFormat="1" x14ac:dyDescent="0.25">
      <c r="A544" s="336"/>
      <c r="B544" s="336"/>
      <c r="C544" s="336"/>
      <c r="D544" s="336"/>
      <c r="E544" s="336"/>
      <c r="F544" s="336"/>
      <c r="G544" s="336"/>
      <c r="H544" s="336"/>
      <c r="M544" s="352"/>
      <c r="N544" s="353"/>
      <c r="O544" s="353"/>
      <c r="T544" s="377"/>
      <c r="U544" s="352"/>
      <c r="V544" s="352"/>
      <c r="W544" s="352"/>
      <c r="X544" s="375"/>
      <c r="Y544" s="375"/>
      <c r="Z544" s="336"/>
      <c r="AA544" s="353"/>
      <c r="AB544" s="336"/>
      <c r="AC544" s="336"/>
      <c r="AD544" s="336"/>
      <c r="AE544" s="336"/>
      <c r="AF544" s="336"/>
      <c r="AG544" s="336"/>
      <c r="AH544" s="336"/>
      <c r="AI544" s="336"/>
      <c r="AJ544" s="336"/>
      <c r="AK544" s="336"/>
      <c r="AL544" s="336"/>
      <c r="AM544" s="336"/>
      <c r="AN544" s="336"/>
      <c r="AO544" s="336"/>
      <c r="AP544" s="336"/>
      <c r="AQ544" s="336"/>
      <c r="AR544" s="336"/>
      <c r="AS544" s="336"/>
      <c r="AT544" s="336"/>
      <c r="AU544" s="336"/>
      <c r="AV544" s="336"/>
      <c r="AW544" s="336"/>
      <c r="AX544" s="336"/>
      <c r="AY544" s="336"/>
      <c r="AZ544" s="336"/>
      <c r="BA544" s="336"/>
      <c r="BB544" s="336"/>
      <c r="BC544" s="336"/>
      <c r="BD544" s="336"/>
      <c r="BE544" s="336"/>
      <c r="BF544" s="336"/>
    </row>
    <row r="545" spans="1:58" s="351" customFormat="1" x14ac:dyDescent="0.25">
      <c r="A545" s="336"/>
      <c r="B545" s="336"/>
      <c r="C545" s="336"/>
      <c r="D545" s="336"/>
      <c r="E545" s="336"/>
      <c r="F545" s="336"/>
      <c r="G545" s="336"/>
      <c r="H545" s="336"/>
      <c r="M545" s="352"/>
      <c r="N545" s="353"/>
      <c r="O545" s="353"/>
      <c r="T545" s="377"/>
      <c r="U545" s="352"/>
      <c r="V545" s="352"/>
      <c r="W545" s="352"/>
      <c r="X545" s="375"/>
      <c r="Y545" s="375"/>
      <c r="Z545" s="336"/>
      <c r="AA545" s="353"/>
      <c r="AB545" s="336"/>
      <c r="AC545" s="336"/>
      <c r="AD545" s="336"/>
      <c r="AE545" s="336"/>
      <c r="AF545" s="336"/>
      <c r="AG545" s="336"/>
      <c r="AH545" s="336"/>
      <c r="AI545" s="336"/>
      <c r="AJ545" s="336"/>
      <c r="AK545" s="336"/>
      <c r="AL545" s="336"/>
      <c r="AM545" s="336"/>
      <c r="AN545" s="336"/>
      <c r="AO545" s="336"/>
      <c r="AP545" s="336"/>
      <c r="AQ545" s="336"/>
      <c r="AR545" s="336"/>
      <c r="AS545" s="336"/>
      <c r="AT545" s="336"/>
      <c r="AU545" s="336"/>
      <c r="AV545" s="336"/>
      <c r="AW545" s="336"/>
      <c r="AX545" s="336"/>
      <c r="AY545" s="336"/>
      <c r="AZ545" s="336"/>
      <c r="BA545" s="336"/>
      <c r="BB545" s="336"/>
      <c r="BC545" s="336"/>
      <c r="BD545" s="336"/>
      <c r="BE545" s="336"/>
      <c r="BF545" s="336"/>
    </row>
    <row r="546" spans="1:58" s="351" customFormat="1" x14ac:dyDescent="0.25">
      <c r="A546" s="336"/>
      <c r="B546" s="336"/>
      <c r="C546" s="336"/>
      <c r="D546" s="336"/>
      <c r="E546" s="336"/>
      <c r="F546" s="336"/>
      <c r="G546" s="336"/>
      <c r="H546" s="336"/>
      <c r="M546" s="352"/>
      <c r="N546" s="353"/>
      <c r="O546" s="353"/>
      <c r="T546" s="377"/>
      <c r="U546" s="352"/>
      <c r="V546" s="352"/>
      <c r="W546" s="352"/>
      <c r="X546" s="375"/>
      <c r="Y546" s="375"/>
      <c r="Z546" s="336"/>
      <c r="AA546" s="353"/>
      <c r="AB546" s="336"/>
      <c r="AC546" s="336"/>
      <c r="AD546" s="336"/>
      <c r="AE546" s="336"/>
      <c r="AF546" s="336"/>
      <c r="AG546" s="336"/>
      <c r="AH546" s="336"/>
      <c r="AI546" s="336"/>
      <c r="AJ546" s="336"/>
      <c r="AK546" s="336"/>
      <c r="AL546" s="336"/>
      <c r="AM546" s="336"/>
      <c r="AN546" s="336"/>
      <c r="AO546" s="336"/>
      <c r="AP546" s="336"/>
      <c r="AQ546" s="336"/>
      <c r="AR546" s="336"/>
      <c r="AS546" s="336"/>
      <c r="AT546" s="336"/>
      <c r="AU546" s="336"/>
      <c r="AV546" s="336"/>
      <c r="AW546" s="336"/>
      <c r="AX546" s="336"/>
      <c r="AY546" s="336"/>
      <c r="AZ546" s="336"/>
      <c r="BA546" s="336"/>
      <c r="BB546" s="336"/>
      <c r="BC546" s="336"/>
      <c r="BD546" s="336"/>
      <c r="BE546" s="336"/>
      <c r="BF546" s="336"/>
    </row>
    <row r="547" spans="1:58" s="351" customFormat="1" x14ac:dyDescent="0.25">
      <c r="A547" s="336"/>
      <c r="B547" s="336"/>
      <c r="C547" s="336"/>
      <c r="D547" s="336"/>
      <c r="E547" s="336"/>
      <c r="F547" s="336"/>
      <c r="G547" s="336"/>
      <c r="H547" s="336"/>
      <c r="M547" s="352"/>
      <c r="N547" s="353"/>
      <c r="O547" s="353"/>
      <c r="T547" s="377"/>
      <c r="U547" s="352"/>
      <c r="V547" s="352"/>
      <c r="W547" s="352"/>
      <c r="X547" s="375"/>
      <c r="Y547" s="375"/>
      <c r="Z547" s="336"/>
      <c r="AA547" s="353"/>
      <c r="AB547" s="336"/>
      <c r="AC547" s="336"/>
      <c r="AD547" s="336"/>
      <c r="AE547" s="336"/>
      <c r="AF547" s="336"/>
      <c r="AG547" s="336"/>
      <c r="AH547" s="336"/>
      <c r="AI547" s="336"/>
      <c r="AJ547" s="336"/>
      <c r="AK547" s="336"/>
      <c r="AL547" s="336"/>
      <c r="AM547" s="336"/>
      <c r="AN547" s="336"/>
      <c r="AO547" s="336"/>
      <c r="AP547" s="336"/>
      <c r="AQ547" s="336"/>
      <c r="AR547" s="336"/>
      <c r="AS547" s="336"/>
      <c r="AT547" s="336"/>
      <c r="AU547" s="336"/>
      <c r="AV547" s="336"/>
      <c r="AW547" s="336"/>
      <c r="AX547" s="336"/>
      <c r="AY547" s="336"/>
      <c r="AZ547" s="336"/>
      <c r="BA547" s="336"/>
      <c r="BB547" s="336"/>
      <c r="BC547" s="336"/>
      <c r="BD547" s="336"/>
      <c r="BE547" s="336"/>
      <c r="BF547" s="336"/>
    </row>
    <row r="548" spans="1:58" s="351" customFormat="1" x14ac:dyDescent="0.25">
      <c r="A548" s="336"/>
      <c r="B548" s="336"/>
      <c r="C548" s="336"/>
      <c r="D548" s="336"/>
      <c r="E548" s="336"/>
      <c r="F548" s="336"/>
      <c r="G548" s="336"/>
      <c r="H548" s="336"/>
      <c r="M548" s="352"/>
      <c r="N548" s="353"/>
      <c r="O548" s="353"/>
      <c r="T548" s="377"/>
      <c r="U548" s="352"/>
      <c r="V548" s="352"/>
      <c r="W548" s="352"/>
      <c r="X548" s="375"/>
      <c r="Y548" s="375"/>
      <c r="Z548" s="336"/>
      <c r="AA548" s="353"/>
      <c r="AB548" s="336"/>
      <c r="AC548" s="336"/>
      <c r="AD548" s="336"/>
      <c r="AE548" s="336"/>
      <c r="AF548" s="336"/>
      <c r="AG548" s="336"/>
      <c r="AH548" s="336"/>
      <c r="AI548" s="336"/>
      <c r="AJ548" s="336"/>
      <c r="AK548" s="336"/>
      <c r="AL548" s="336"/>
      <c r="AM548" s="336"/>
      <c r="AN548" s="336"/>
      <c r="AO548" s="336"/>
      <c r="AP548" s="336"/>
      <c r="AQ548" s="336"/>
      <c r="AR548" s="336"/>
      <c r="AS548" s="336"/>
      <c r="AT548" s="336"/>
      <c r="AU548" s="336"/>
      <c r="AV548" s="336"/>
      <c r="AW548" s="336"/>
      <c r="AX548" s="336"/>
      <c r="AY548" s="336"/>
      <c r="AZ548" s="336"/>
      <c r="BA548" s="336"/>
      <c r="BB548" s="336"/>
      <c r="BC548" s="336"/>
      <c r="BD548" s="336"/>
      <c r="BE548" s="336"/>
      <c r="BF548" s="336"/>
    </row>
    <row r="549" spans="1:58" s="351" customFormat="1" x14ac:dyDescent="0.25">
      <c r="A549" s="336"/>
      <c r="B549" s="336"/>
      <c r="C549" s="336"/>
      <c r="D549" s="336"/>
      <c r="E549" s="336"/>
      <c r="F549" s="336"/>
      <c r="G549" s="336"/>
      <c r="H549" s="336"/>
      <c r="M549" s="352"/>
      <c r="N549" s="353"/>
      <c r="O549" s="353"/>
      <c r="T549" s="377"/>
      <c r="U549" s="352"/>
      <c r="V549" s="352"/>
      <c r="W549" s="352"/>
      <c r="X549" s="375"/>
      <c r="Y549" s="375"/>
      <c r="Z549" s="336"/>
      <c r="AA549" s="353"/>
      <c r="AB549" s="336"/>
      <c r="AC549" s="336"/>
      <c r="AD549" s="336"/>
      <c r="AE549" s="336"/>
      <c r="AF549" s="336"/>
      <c r="AG549" s="336"/>
      <c r="AH549" s="336"/>
      <c r="AI549" s="336"/>
      <c r="AJ549" s="336"/>
      <c r="AK549" s="336"/>
      <c r="AL549" s="336"/>
      <c r="AM549" s="336"/>
      <c r="AN549" s="336"/>
      <c r="AO549" s="336"/>
      <c r="AP549" s="336"/>
      <c r="AQ549" s="336"/>
      <c r="AR549" s="336"/>
      <c r="AS549" s="336"/>
      <c r="AT549" s="336"/>
      <c r="AU549" s="336"/>
      <c r="AV549" s="336"/>
      <c r="AW549" s="336"/>
      <c r="AX549" s="336"/>
      <c r="AY549" s="336"/>
      <c r="AZ549" s="336"/>
      <c r="BA549" s="336"/>
      <c r="BB549" s="336"/>
      <c r="BC549" s="336"/>
      <c r="BD549" s="336"/>
      <c r="BE549" s="336"/>
      <c r="BF549" s="336"/>
    </row>
    <row r="550" spans="1:58" s="351" customFormat="1" x14ac:dyDescent="0.25">
      <c r="A550" s="336"/>
      <c r="B550" s="336"/>
      <c r="C550" s="336"/>
      <c r="D550" s="336"/>
      <c r="E550" s="336"/>
      <c r="F550" s="336"/>
      <c r="G550" s="336"/>
      <c r="H550" s="336"/>
      <c r="M550" s="352"/>
      <c r="N550" s="353"/>
      <c r="O550" s="353"/>
      <c r="T550" s="377"/>
      <c r="U550" s="352"/>
      <c r="V550" s="352"/>
      <c r="W550" s="352"/>
      <c r="X550" s="375"/>
      <c r="Y550" s="375"/>
      <c r="Z550" s="336"/>
      <c r="AA550" s="353"/>
      <c r="AB550" s="336"/>
      <c r="AC550" s="336"/>
      <c r="AD550" s="336"/>
      <c r="AE550" s="336"/>
      <c r="AF550" s="336"/>
      <c r="AG550" s="336"/>
      <c r="AH550" s="336"/>
      <c r="AI550" s="336"/>
      <c r="AJ550" s="336"/>
      <c r="AK550" s="336"/>
      <c r="AL550" s="336"/>
      <c r="AM550" s="336"/>
      <c r="AN550" s="336"/>
      <c r="AO550" s="336"/>
      <c r="AP550" s="336"/>
      <c r="AQ550" s="336"/>
      <c r="AR550" s="336"/>
      <c r="AS550" s="336"/>
      <c r="AT550" s="336"/>
      <c r="AU550" s="336"/>
      <c r="AV550" s="336"/>
      <c r="AW550" s="336"/>
      <c r="AX550" s="336"/>
      <c r="AY550" s="336"/>
      <c r="AZ550" s="336"/>
      <c r="BA550" s="336"/>
      <c r="BB550" s="336"/>
      <c r="BC550" s="336"/>
      <c r="BD550" s="336"/>
      <c r="BE550" s="336"/>
      <c r="BF550" s="336"/>
    </row>
    <row r="551" spans="1:58" s="351" customFormat="1" x14ac:dyDescent="0.25">
      <c r="A551" s="336"/>
      <c r="B551" s="336"/>
      <c r="C551" s="336"/>
      <c r="D551" s="336"/>
      <c r="E551" s="336"/>
      <c r="F551" s="336"/>
      <c r="G551" s="336"/>
      <c r="H551" s="336"/>
      <c r="M551" s="352"/>
      <c r="N551" s="353"/>
      <c r="O551" s="353"/>
      <c r="T551" s="377"/>
      <c r="U551" s="352"/>
      <c r="V551" s="352"/>
      <c r="W551" s="352"/>
      <c r="X551" s="375"/>
      <c r="Y551" s="375"/>
      <c r="Z551" s="336"/>
      <c r="AA551" s="353"/>
      <c r="AB551" s="336"/>
      <c r="AC551" s="336"/>
      <c r="AD551" s="336"/>
      <c r="AE551" s="336"/>
      <c r="AF551" s="336"/>
      <c r="AG551" s="336"/>
      <c r="AH551" s="336"/>
      <c r="AI551" s="336"/>
      <c r="AJ551" s="336"/>
      <c r="AK551" s="336"/>
      <c r="AL551" s="336"/>
      <c r="AM551" s="336"/>
      <c r="AN551" s="336"/>
      <c r="AO551" s="336"/>
      <c r="AP551" s="336"/>
      <c r="AQ551" s="336"/>
      <c r="AR551" s="336"/>
      <c r="AS551" s="336"/>
      <c r="AT551" s="336"/>
      <c r="AU551" s="336"/>
      <c r="AV551" s="336"/>
      <c r="AW551" s="336"/>
      <c r="AX551" s="336"/>
      <c r="AY551" s="336"/>
      <c r="AZ551" s="336"/>
      <c r="BA551" s="336"/>
      <c r="BB551" s="336"/>
      <c r="BC551" s="336"/>
      <c r="BD551" s="336"/>
      <c r="BE551" s="336"/>
      <c r="BF551" s="336"/>
    </row>
    <row r="552" spans="1:58" s="351" customFormat="1" x14ac:dyDescent="0.25">
      <c r="A552" s="336"/>
      <c r="B552" s="336"/>
      <c r="C552" s="336"/>
      <c r="D552" s="336"/>
      <c r="E552" s="336"/>
      <c r="F552" s="336"/>
      <c r="G552" s="336"/>
      <c r="H552" s="336"/>
      <c r="M552" s="352"/>
      <c r="N552" s="353"/>
      <c r="O552" s="353"/>
      <c r="T552" s="377"/>
      <c r="U552" s="352"/>
      <c r="V552" s="352"/>
      <c r="W552" s="352"/>
      <c r="X552" s="375"/>
      <c r="Y552" s="375"/>
      <c r="Z552" s="336"/>
      <c r="AA552" s="353"/>
      <c r="AB552" s="336"/>
      <c r="AC552" s="336"/>
      <c r="AD552" s="336"/>
      <c r="AE552" s="336"/>
      <c r="AF552" s="336"/>
      <c r="AG552" s="336"/>
      <c r="AH552" s="336"/>
      <c r="AI552" s="336"/>
      <c r="AJ552" s="336"/>
      <c r="AK552" s="336"/>
      <c r="AL552" s="336"/>
      <c r="AM552" s="336"/>
      <c r="AN552" s="336"/>
      <c r="AO552" s="336"/>
      <c r="AP552" s="336"/>
      <c r="AQ552" s="336"/>
      <c r="AR552" s="336"/>
      <c r="AS552" s="336"/>
      <c r="AT552" s="336"/>
      <c r="AU552" s="336"/>
      <c r="AV552" s="336"/>
      <c r="AW552" s="336"/>
      <c r="AX552" s="336"/>
      <c r="AY552" s="336"/>
      <c r="AZ552" s="336"/>
      <c r="BA552" s="336"/>
      <c r="BB552" s="336"/>
      <c r="BC552" s="336"/>
      <c r="BD552" s="336"/>
      <c r="BE552" s="336"/>
      <c r="BF552" s="336"/>
    </row>
    <row r="553" spans="1:58" s="351" customFormat="1" x14ac:dyDescent="0.25">
      <c r="A553" s="336"/>
      <c r="B553" s="336"/>
      <c r="C553" s="336"/>
      <c r="D553" s="336"/>
      <c r="E553" s="336"/>
      <c r="F553" s="336"/>
      <c r="G553" s="336"/>
      <c r="H553" s="336"/>
      <c r="M553" s="352"/>
      <c r="N553" s="353"/>
      <c r="O553" s="353"/>
      <c r="T553" s="377"/>
      <c r="U553" s="352"/>
      <c r="V553" s="352"/>
      <c r="W553" s="352"/>
      <c r="X553" s="375"/>
      <c r="Y553" s="375"/>
      <c r="Z553" s="336"/>
      <c r="AA553" s="353"/>
      <c r="AB553" s="336"/>
      <c r="AC553" s="336"/>
      <c r="AD553" s="336"/>
      <c r="AE553" s="336"/>
      <c r="AF553" s="336"/>
      <c r="AG553" s="336"/>
      <c r="AH553" s="336"/>
      <c r="AI553" s="336"/>
      <c r="AJ553" s="336"/>
      <c r="AK553" s="336"/>
      <c r="AL553" s="336"/>
      <c r="AM553" s="336"/>
      <c r="AN553" s="336"/>
      <c r="AO553" s="336"/>
      <c r="AP553" s="336"/>
      <c r="AQ553" s="336"/>
      <c r="AR553" s="336"/>
      <c r="AS553" s="336"/>
      <c r="AT553" s="336"/>
      <c r="AU553" s="336"/>
      <c r="AV553" s="336"/>
      <c r="AW553" s="336"/>
      <c r="AX553" s="336"/>
      <c r="AY553" s="336"/>
      <c r="AZ553" s="336"/>
      <c r="BA553" s="336"/>
      <c r="BB553" s="336"/>
      <c r="BC553" s="336"/>
      <c r="BD553" s="336"/>
      <c r="BE553" s="336"/>
      <c r="BF553" s="336"/>
    </row>
    <row r="554" spans="1:58" s="351" customFormat="1" x14ac:dyDescent="0.25">
      <c r="A554" s="336"/>
      <c r="B554" s="336"/>
      <c r="C554" s="336"/>
      <c r="D554" s="336"/>
      <c r="E554" s="336"/>
      <c r="F554" s="336"/>
      <c r="G554" s="336"/>
      <c r="H554" s="336"/>
      <c r="M554" s="352"/>
      <c r="N554" s="353"/>
      <c r="O554" s="353"/>
      <c r="T554" s="377"/>
      <c r="U554" s="352"/>
      <c r="V554" s="352"/>
      <c r="W554" s="352"/>
      <c r="X554" s="375"/>
      <c r="Y554" s="375"/>
      <c r="Z554" s="336"/>
      <c r="AA554" s="353"/>
      <c r="AB554" s="336"/>
      <c r="AC554" s="336"/>
      <c r="AD554" s="336"/>
      <c r="AE554" s="336"/>
      <c r="AF554" s="336"/>
      <c r="AG554" s="336"/>
      <c r="AH554" s="336"/>
      <c r="AI554" s="336"/>
      <c r="AJ554" s="336"/>
      <c r="AK554" s="336"/>
      <c r="AL554" s="336"/>
      <c r="AM554" s="336"/>
      <c r="AN554" s="336"/>
      <c r="AO554" s="336"/>
      <c r="AP554" s="336"/>
      <c r="AQ554" s="336"/>
      <c r="AR554" s="336"/>
      <c r="AS554" s="336"/>
      <c r="AT554" s="336"/>
      <c r="AU554" s="336"/>
      <c r="AV554" s="336"/>
      <c r="AW554" s="336"/>
      <c r="AX554" s="336"/>
      <c r="AY554" s="336"/>
      <c r="AZ554" s="336"/>
      <c r="BA554" s="336"/>
      <c r="BB554" s="336"/>
      <c r="BC554" s="336"/>
      <c r="BD554" s="336"/>
      <c r="BE554" s="336"/>
      <c r="BF554" s="336"/>
    </row>
    <row r="555" spans="1:58" s="351" customFormat="1" x14ac:dyDescent="0.25">
      <c r="A555" s="336"/>
      <c r="B555" s="336"/>
      <c r="C555" s="336"/>
      <c r="D555" s="336"/>
      <c r="E555" s="336"/>
      <c r="F555" s="336"/>
      <c r="G555" s="336"/>
      <c r="H555" s="336"/>
      <c r="M555" s="352"/>
      <c r="N555" s="353"/>
      <c r="O555" s="353"/>
      <c r="T555" s="377"/>
      <c r="U555" s="352"/>
      <c r="V555" s="352"/>
      <c r="W555" s="352"/>
      <c r="X555" s="375"/>
      <c r="Y555" s="375"/>
      <c r="Z555" s="336"/>
      <c r="AA555" s="353"/>
      <c r="AB555" s="336"/>
      <c r="AC555" s="336"/>
      <c r="AD555" s="336"/>
      <c r="AE555" s="336"/>
      <c r="AF555" s="336"/>
      <c r="AG555" s="336"/>
      <c r="AH555" s="336"/>
      <c r="AI555" s="336"/>
      <c r="AJ555" s="336"/>
      <c r="AK555" s="336"/>
      <c r="AL555" s="336"/>
      <c r="AM555" s="336"/>
      <c r="AN555" s="336"/>
      <c r="AO555" s="336"/>
      <c r="AP555" s="336"/>
      <c r="AQ555" s="336"/>
      <c r="AR555" s="336"/>
      <c r="AS555" s="336"/>
      <c r="AT555" s="336"/>
      <c r="AU555" s="336"/>
      <c r="AV555" s="336"/>
      <c r="AW555" s="336"/>
      <c r="AX555" s="336"/>
      <c r="AY555" s="336"/>
      <c r="AZ555" s="336"/>
      <c r="BA555" s="336"/>
      <c r="BB555" s="336"/>
      <c r="BC555" s="336"/>
      <c r="BD555" s="336"/>
      <c r="BE555" s="336"/>
      <c r="BF555" s="336"/>
    </row>
    <row r="556" spans="1:58" s="351" customFormat="1" x14ac:dyDescent="0.25">
      <c r="A556" s="336"/>
      <c r="B556" s="336"/>
      <c r="C556" s="336"/>
      <c r="D556" s="336"/>
      <c r="E556" s="336"/>
      <c r="F556" s="336"/>
      <c r="G556" s="336"/>
      <c r="H556" s="336"/>
      <c r="M556" s="352"/>
      <c r="N556" s="353"/>
      <c r="O556" s="353"/>
      <c r="T556" s="377"/>
      <c r="U556" s="352"/>
      <c r="V556" s="352"/>
      <c r="W556" s="352"/>
      <c r="X556" s="375"/>
      <c r="Y556" s="375"/>
      <c r="Z556" s="336"/>
      <c r="AA556" s="353"/>
      <c r="AB556" s="336"/>
      <c r="AC556" s="336"/>
      <c r="AD556" s="336"/>
      <c r="AE556" s="336"/>
      <c r="AF556" s="336"/>
      <c r="AG556" s="336"/>
      <c r="AH556" s="336"/>
      <c r="AI556" s="336"/>
      <c r="AJ556" s="336"/>
      <c r="AK556" s="336"/>
      <c r="AL556" s="336"/>
      <c r="AM556" s="336"/>
      <c r="AN556" s="336"/>
      <c r="AO556" s="336"/>
      <c r="AP556" s="336"/>
      <c r="AQ556" s="336"/>
      <c r="AR556" s="336"/>
      <c r="AS556" s="336"/>
      <c r="AT556" s="336"/>
      <c r="AU556" s="336"/>
      <c r="AV556" s="336"/>
      <c r="AW556" s="336"/>
      <c r="AX556" s="336"/>
      <c r="AY556" s="336"/>
      <c r="AZ556" s="336"/>
      <c r="BA556" s="336"/>
      <c r="BB556" s="336"/>
      <c r="BC556" s="336"/>
      <c r="BD556" s="336"/>
      <c r="BE556" s="336"/>
      <c r="BF556" s="336"/>
    </row>
    <row r="557" spans="1:58" s="351" customFormat="1" x14ac:dyDescent="0.25">
      <c r="A557" s="336"/>
      <c r="B557" s="336"/>
      <c r="C557" s="336"/>
      <c r="D557" s="336"/>
      <c r="E557" s="336"/>
      <c r="F557" s="336"/>
      <c r="G557" s="336"/>
      <c r="H557" s="336"/>
      <c r="M557" s="352"/>
      <c r="N557" s="353"/>
      <c r="O557" s="353"/>
      <c r="T557" s="377"/>
      <c r="U557" s="352"/>
      <c r="V557" s="352"/>
      <c r="W557" s="352"/>
      <c r="X557" s="375"/>
      <c r="Y557" s="375"/>
      <c r="Z557" s="336"/>
      <c r="AA557" s="353"/>
      <c r="AB557" s="336"/>
      <c r="AC557" s="336"/>
      <c r="AD557" s="336"/>
      <c r="AE557" s="336"/>
      <c r="AF557" s="336"/>
      <c r="AG557" s="336"/>
      <c r="AH557" s="336"/>
      <c r="AI557" s="336"/>
      <c r="AJ557" s="336"/>
      <c r="AK557" s="336"/>
      <c r="AL557" s="336"/>
      <c r="AM557" s="336"/>
      <c r="AN557" s="336"/>
      <c r="AO557" s="336"/>
      <c r="AP557" s="336"/>
      <c r="AQ557" s="336"/>
      <c r="AR557" s="336"/>
      <c r="AS557" s="336"/>
      <c r="AT557" s="336"/>
      <c r="AU557" s="336"/>
      <c r="AV557" s="336"/>
      <c r="AW557" s="336"/>
      <c r="AX557" s="336"/>
      <c r="AY557" s="336"/>
      <c r="AZ557" s="336"/>
      <c r="BA557" s="336"/>
      <c r="BB557" s="336"/>
      <c r="BC557" s="336"/>
      <c r="BD557" s="336"/>
      <c r="BE557" s="336"/>
      <c r="BF557" s="336"/>
    </row>
    <row r="558" spans="1:58" s="351" customFormat="1" x14ac:dyDescent="0.25">
      <c r="A558" s="336"/>
      <c r="B558" s="336"/>
      <c r="C558" s="336"/>
      <c r="D558" s="336"/>
      <c r="E558" s="336"/>
      <c r="F558" s="336"/>
      <c r="G558" s="336"/>
      <c r="H558" s="336"/>
      <c r="M558" s="352"/>
      <c r="N558" s="353"/>
      <c r="O558" s="353"/>
      <c r="T558" s="377"/>
      <c r="U558" s="352"/>
      <c r="V558" s="352"/>
      <c r="W558" s="352"/>
      <c r="X558" s="375"/>
      <c r="Y558" s="375"/>
      <c r="Z558" s="336"/>
      <c r="AA558" s="353"/>
      <c r="AB558" s="336"/>
      <c r="AC558" s="336"/>
      <c r="AD558" s="336"/>
      <c r="AE558" s="336"/>
      <c r="AF558" s="336"/>
      <c r="AG558" s="336"/>
      <c r="AH558" s="336"/>
      <c r="AI558" s="336"/>
      <c r="AJ558" s="336"/>
      <c r="AK558" s="336"/>
      <c r="AL558" s="336"/>
      <c r="AM558" s="336"/>
      <c r="AN558" s="336"/>
      <c r="AO558" s="336"/>
      <c r="AP558" s="336"/>
      <c r="AQ558" s="336"/>
      <c r="AR558" s="336"/>
      <c r="AS558" s="336"/>
      <c r="AT558" s="336"/>
      <c r="AU558" s="336"/>
      <c r="AV558" s="336"/>
      <c r="AW558" s="336"/>
      <c r="AX558" s="336"/>
      <c r="AY558" s="336"/>
      <c r="AZ558" s="336"/>
      <c r="BA558" s="336"/>
      <c r="BB558" s="336"/>
      <c r="BC558" s="336"/>
      <c r="BD558" s="336"/>
      <c r="BE558" s="336"/>
      <c r="BF558" s="336"/>
    </row>
    <row r="559" spans="1:58" s="351" customFormat="1" x14ac:dyDescent="0.25">
      <c r="A559" s="336"/>
      <c r="B559" s="336"/>
      <c r="C559" s="336"/>
      <c r="D559" s="336"/>
      <c r="E559" s="336"/>
      <c r="F559" s="336"/>
      <c r="G559" s="336"/>
      <c r="H559" s="336"/>
      <c r="M559" s="352"/>
      <c r="N559" s="353"/>
      <c r="O559" s="353"/>
      <c r="T559" s="377"/>
      <c r="U559" s="352"/>
      <c r="V559" s="352"/>
      <c r="W559" s="352"/>
      <c r="X559" s="375"/>
      <c r="Y559" s="375"/>
      <c r="Z559" s="336"/>
      <c r="AA559" s="353"/>
      <c r="AB559" s="336"/>
      <c r="AC559" s="336"/>
      <c r="AD559" s="336"/>
      <c r="AE559" s="336"/>
      <c r="AF559" s="336"/>
      <c r="AG559" s="336"/>
      <c r="AH559" s="336"/>
      <c r="AI559" s="336"/>
      <c r="AJ559" s="336"/>
      <c r="AK559" s="336"/>
      <c r="AL559" s="336"/>
      <c r="AM559" s="336"/>
      <c r="AN559" s="336"/>
      <c r="AO559" s="336"/>
      <c r="AP559" s="336"/>
      <c r="AQ559" s="336"/>
      <c r="AR559" s="336"/>
      <c r="AS559" s="336"/>
      <c r="AT559" s="336"/>
      <c r="AU559" s="336"/>
      <c r="AV559" s="336"/>
      <c r="AW559" s="336"/>
      <c r="AX559" s="336"/>
      <c r="AY559" s="336"/>
      <c r="AZ559" s="336"/>
      <c r="BA559" s="336"/>
      <c r="BB559" s="336"/>
      <c r="BC559" s="336"/>
      <c r="BD559" s="336"/>
      <c r="BE559" s="336"/>
      <c r="BF559" s="336"/>
    </row>
    <row r="560" spans="1:58" s="351" customFormat="1" x14ac:dyDescent="0.25">
      <c r="A560" s="336"/>
      <c r="B560" s="336"/>
      <c r="C560" s="336"/>
      <c r="D560" s="336"/>
      <c r="E560" s="336"/>
      <c r="F560" s="336"/>
      <c r="G560" s="336"/>
      <c r="H560" s="336"/>
      <c r="M560" s="352"/>
      <c r="N560" s="353"/>
      <c r="O560" s="353"/>
      <c r="T560" s="377"/>
      <c r="U560" s="352"/>
      <c r="V560" s="352"/>
      <c r="W560" s="352"/>
      <c r="X560" s="375"/>
      <c r="Y560" s="375"/>
      <c r="Z560" s="336"/>
      <c r="AA560" s="353"/>
      <c r="AB560" s="336"/>
      <c r="AC560" s="336"/>
      <c r="AD560" s="336"/>
      <c r="AE560" s="336"/>
      <c r="AF560" s="336"/>
      <c r="AG560" s="336"/>
      <c r="AH560" s="336"/>
      <c r="AI560" s="336"/>
      <c r="AJ560" s="336"/>
      <c r="AK560" s="336"/>
      <c r="AL560" s="336"/>
      <c r="AM560" s="336"/>
      <c r="AN560" s="336"/>
      <c r="AO560" s="336"/>
      <c r="AP560" s="336"/>
      <c r="AQ560" s="336"/>
      <c r="AR560" s="336"/>
      <c r="AS560" s="336"/>
      <c r="AT560" s="336"/>
      <c r="AU560" s="336"/>
      <c r="AV560" s="336"/>
      <c r="AW560" s="336"/>
      <c r="AX560" s="336"/>
      <c r="AY560" s="336"/>
      <c r="AZ560" s="336"/>
      <c r="BA560" s="336"/>
      <c r="BB560" s="336"/>
      <c r="BC560" s="336"/>
      <c r="BD560" s="336"/>
      <c r="BE560" s="336"/>
      <c r="BF560" s="336"/>
    </row>
    <row r="561" spans="1:58" s="351" customFormat="1" x14ac:dyDescent="0.25">
      <c r="A561" s="336"/>
      <c r="B561" s="336"/>
      <c r="C561" s="336"/>
      <c r="D561" s="336"/>
      <c r="E561" s="336"/>
      <c r="F561" s="336"/>
      <c r="G561" s="336"/>
      <c r="H561" s="336"/>
      <c r="M561" s="352"/>
      <c r="N561" s="353"/>
      <c r="O561" s="353"/>
      <c r="T561" s="377"/>
      <c r="U561" s="352"/>
      <c r="V561" s="352"/>
      <c r="W561" s="352"/>
      <c r="X561" s="375"/>
      <c r="Y561" s="375"/>
      <c r="Z561" s="336"/>
      <c r="AA561" s="353"/>
      <c r="AB561" s="336"/>
      <c r="AC561" s="336"/>
      <c r="AD561" s="336"/>
      <c r="AE561" s="336"/>
      <c r="AF561" s="336"/>
      <c r="AG561" s="336"/>
      <c r="AH561" s="336"/>
      <c r="AI561" s="336"/>
      <c r="AJ561" s="336"/>
      <c r="AK561" s="336"/>
      <c r="AL561" s="336"/>
      <c r="AM561" s="336"/>
      <c r="AN561" s="336"/>
      <c r="AO561" s="336"/>
      <c r="AP561" s="336"/>
      <c r="AQ561" s="336"/>
      <c r="AR561" s="336"/>
      <c r="AS561" s="336"/>
      <c r="AT561" s="336"/>
      <c r="AU561" s="336"/>
      <c r="AV561" s="336"/>
      <c r="AW561" s="336"/>
      <c r="AX561" s="336"/>
      <c r="AY561" s="336"/>
      <c r="AZ561" s="336"/>
      <c r="BA561" s="336"/>
      <c r="BB561" s="336"/>
      <c r="BC561" s="336"/>
      <c r="BD561" s="336"/>
      <c r="BE561" s="336"/>
      <c r="BF561" s="336"/>
    </row>
    <row r="562" spans="1:58" s="351" customFormat="1" x14ac:dyDescent="0.25">
      <c r="A562" s="336"/>
      <c r="B562" s="336"/>
      <c r="C562" s="336"/>
      <c r="D562" s="336"/>
      <c r="E562" s="336"/>
      <c r="F562" s="336"/>
      <c r="G562" s="336"/>
      <c r="H562" s="336"/>
      <c r="M562" s="352"/>
      <c r="N562" s="353"/>
      <c r="O562" s="353"/>
      <c r="T562" s="377"/>
      <c r="U562" s="352"/>
      <c r="V562" s="352"/>
      <c r="W562" s="352"/>
      <c r="X562" s="375"/>
      <c r="Y562" s="375"/>
      <c r="Z562" s="336"/>
      <c r="AA562" s="353"/>
      <c r="AB562" s="336"/>
      <c r="AC562" s="336"/>
      <c r="AD562" s="336"/>
      <c r="AE562" s="336"/>
      <c r="AF562" s="336"/>
      <c r="AG562" s="336"/>
      <c r="AH562" s="336"/>
      <c r="AI562" s="336"/>
      <c r="AJ562" s="336"/>
      <c r="AK562" s="336"/>
      <c r="AL562" s="336"/>
      <c r="AM562" s="336"/>
      <c r="AN562" s="336"/>
      <c r="AO562" s="336"/>
      <c r="AP562" s="336"/>
      <c r="AQ562" s="336"/>
      <c r="AR562" s="336"/>
      <c r="AS562" s="336"/>
      <c r="AT562" s="336"/>
      <c r="AU562" s="336"/>
      <c r="AV562" s="336"/>
      <c r="AW562" s="336"/>
      <c r="AX562" s="336"/>
      <c r="AY562" s="336"/>
      <c r="AZ562" s="336"/>
      <c r="BA562" s="336"/>
      <c r="BB562" s="336"/>
      <c r="BC562" s="336"/>
      <c r="BD562" s="336"/>
      <c r="BE562" s="336"/>
      <c r="BF562" s="336"/>
    </row>
    <row r="563" spans="1:58" s="351" customFormat="1" x14ac:dyDescent="0.25">
      <c r="A563" s="336"/>
      <c r="B563" s="336"/>
      <c r="C563" s="336"/>
      <c r="D563" s="336"/>
      <c r="E563" s="336"/>
      <c r="F563" s="336"/>
      <c r="G563" s="336"/>
      <c r="H563" s="336"/>
      <c r="M563" s="352"/>
      <c r="N563" s="353"/>
      <c r="O563" s="353"/>
      <c r="T563" s="377"/>
      <c r="U563" s="352"/>
      <c r="V563" s="352"/>
      <c r="W563" s="352"/>
      <c r="X563" s="375"/>
      <c r="Y563" s="375"/>
      <c r="Z563" s="336"/>
      <c r="AA563" s="353"/>
      <c r="AB563" s="336"/>
      <c r="AC563" s="336"/>
      <c r="AD563" s="336"/>
      <c r="AE563" s="336"/>
      <c r="AF563" s="336"/>
      <c r="AG563" s="336"/>
      <c r="AH563" s="336"/>
      <c r="AI563" s="336"/>
      <c r="AJ563" s="336"/>
      <c r="AK563" s="336"/>
      <c r="AL563" s="336"/>
      <c r="AM563" s="336"/>
      <c r="AN563" s="336"/>
      <c r="AO563" s="336"/>
      <c r="AP563" s="336"/>
      <c r="AQ563" s="336"/>
      <c r="AR563" s="336"/>
      <c r="AS563" s="336"/>
      <c r="AT563" s="336"/>
      <c r="AU563" s="336"/>
      <c r="AV563" s="336"/>
      <c r="AW563" s="336"/>
      <c r="AX563" s="336"/>
      <c r="AY563" s="336"/>
      <c r="AZ563" s="336"/>
      <c r="BA563" s="336"/>
      <c r="BB563" s="336"/>
      <c r="BC563" s="336"/>
      <c r="BD563" s="336"/>
      <c r="BE563" s="336"/>
      <c r="BF563" s="336"/>
    </row>
    <row r="564" spans="1:58" s="351" customFormat="1" x14ac:dyDescent="0.25">
      <c r="A564" s="336"/>
      <c r="B564" s="336"/>
      <c r="C564" s="336"/>
      <c r="D564" s="336"/>
      <c r="E564" s="336"/>
      <c r="F564" s="336"/>
      <c r="G564" s="336"/>
      <c r="H564" s="336"/>
      <c r="M564" s="352"/>
      <c r="N564" s="353"/>
      <c r="O564" s="353"/>
      <c r="T564" s="377"/>
      <c r="U564" s="352"/>
      <c r="V564" s="352"/>
      <c r="W564" s="352"/>
      <c r="X564" s="375"/>
      <c r="Y564" s="375"/>
      <c r="Z564" s="336"/>
      <c r="AA564" s="353"/>
      <c r="AB564" s="336"/>
      <c r="AC564" s="336"/>
      <c r="AD564" s="336"/>
      <c r="AE564" s="336"/>
      <c r="AF564" s="336"/>
      <c r="AG564" s="336"/>
      <c r="AH564" s="336"/>
      <c r="AI564" s="336"/>
      <c r="AJ564" s="336"/>
      <c r="AK564" s="336"/>
      <c r="AL564" s="336"/>
      <c r="AM564" s="336"/>
      <c r="AN564" s="336"/>
      <c r="AO564" s="336"/>
      <c r="AP564" s="336"/>
      <c r="AQ564" s="336"/>
      <c r="AR564" s="336"/>
      <c r="AS564" s="336"/>
      <c r="AT564" s="336"/>
      <c r="AU564" s="336"/>
      <c r="AV564" s="336"/>
      <c r="AW564" s="336"/>
      <c r="AX564" s="336"/>
      <c r="AY564" s="336"/>
      <c r="AZ564" s="336"/>
      <c r="BA564" s="336"/>
      <c r="BB564" s="336"/>
      <c r="BC564" s="336"/>
      <c r="BD564" s="336"/>
      <c r="BE564" s="336"/>
      <c r="BF564" s="336"/>
    </row>
    <row r="565" spans="1:58" s="351" customFormat="1" x14ac:dyDescent="0.25">
      <c r="A565" s="336"/>
      <c r="B565" s="336"/>
      <c r="C565" s="336"/>
      <c r="D565" s="336"/>
      <c r="E565" s="336"/>
      <c r="F565" s="336"/>
      <c r="G565" s="336"/>
      <c r="H565" s="336"/>
      <c r="M565" s="352"/>
      <c r="N565" s="353"/>
      <c r="O565" s="353"/>
      <c r="T565" s="377"/>
      <c r="U565" s="352"/>
      <c r="V565" s="352"/>
      <c r="W565" s="352"/>
      <c r="X565" s="375"/>
      <c r="Y565" s="375"/>
      <c r="Z565" s="336"/>
      <c r="AA565" s="353"/>
      <c r="AB565" s="336"/>
      <c r="AC565" s="336"/>
      <c r="AD565" s="336"/>
      <c r="AE565" s="336"/>
      <c r="AF565" s="336"/>
      <c r="AG565" s="336"/>
      <c r="AH565" s="336"/>
      <c r="AI565" s="336"/>
      <c r="AJ565" s="336"/>
      <c r="AK565" s="336"/>
      <c r="AL565" s="336"/>
      <c r="AM565" s="336"/>
      <c r="AN565" s="336"/>
      <c r="AO565" s="336"/>
      <c r="AP565" s="336"/>
      <c r="AQ565" s="336"/>
      <c r="AR565" s="336"/>
      <c r="AS565" s="336"/>
      <c r="AT565" s="336"/>
      <c r="AU565" s="336"/>
      <c r="AV565" s="336"/>
      <c r="AW565" s="336"/>
      <c r="AX565" s="336"/>
      <c r="AY565" s="336"/>
      <c r="AZ565" s="336"/>
      <c r="BA565" s="336"/>
      <c r="BB565" s="336"/>
      <c r="BC565" s="336"/>
      <c r="BD565" s="336"/>
      <c r="BE565" s="336"/>
      <c r="BF565" s="336"/>
    </row>
    <row r="566" spans="1:58" s="351" customFormat="1" x14ac:dyDescent="0.25">
      <c r="A566" s="336"/>
      <c r="B566" s="336"/>
      <c r="C566" s="336"/>
      <c r="D566" s="336"/>
      <c r="E566" s="336"/>
      <c r="F566" s="336"/>
      <c r="G566" s="336"/>
      <c r="H566" s="336"/>
      <c r="M566" s="352"/>
      <c r="N566" s="353"/>
      <c r="O566" s="353"/>
      <c r="T566" s="377"/>
      <c r="U566" s="352"/>
      <c r="V566" s="352"/>
      <c r="W566" s="352"/>
      <c r="X566" s="375"/>
      <c r="Y566" s="375"/>
      <c r="Z566" s="336"/>
      <c r="AA566" s="353"/>
      <c r="AB566" s="336"/>
      <c r="AC566" s="336"/>
      <c r="AD566" s="336"/>
      <c r="AE566" s="336"/>
      <c r="AF566" s="336"/>
      <c r="AG566" s="336"/>
      <c r="AH566" s="336"/>
      <c r="AI566" s="336"/>
      <c r="AJ566" s="336"/>
      <c r="AK566" s="336"/>
      <c r="AL566" s="336"/>
      <c r="AM566" s="336"/>
      <c r="AN566" s="336"/>
      <c r="AO566" s="336"/>
      <c r="AP566" s="336"/>
      <c r="AQ566" s="336"/>
      <c r="AR566" s="336"/>
      <c r="AS566" s="336"/>
      <c r="AT566" s="336"/>
      <c r="AU566" s="336"/>
      <c r="AV566" s="336"/>
      <c r="AW566" s="336"/>
      <c r="AX566" s="336"/>
      <c r="AY566" s="336"/>
      <c r="AZ566" s="336"/>
      <c r="BA566" s="336"/>
      <c r="BB566" s="336"/>
      <c r="BC566" s="336"/>
      <c r="BD566" s="336"/>
      <c r="BE566" s="336"/>
      <c r="BF566" s="336"/>
    </row>
    <row r="567" spans="1:58" s="351" customFormat="1" x14ac:dyDescent="0.25">
      <c r="A567" s="336"/>
      <c r="B567" s="336"/>
      <c r="C567" s="336"/>
      <c r="D567" s="336"/>
      <c r="E567" s="336"/>
      <c r="F567" s="336"/>
      <c r="G567" s="336"/>
      <c r="H567" s="336"/>
      <c r="M567" s="352"/>
      <c r="N567" s="353"/>
      <c r="O567" s="353"/>
      <c r="T567" s="377"/>
      <c r="U567" s="352"/>
      <c r="V567" s="352"/>
      <c r="W567" s="352"/>
      <c r="X567" s="375"/>
      <c r="Y567" s="375"/>
      <c r="Z567" s="336"/>
      <c r="AA567" s="353"/>
      <c r="AB567" s="336"/>
      <c r="AC567" s="336"/>
      <c r="AD567" s="336"/>
      <c r="AE567" s="336"/>
      <c r="AF567" s="336"/>
      <c r="AG567" s="336"/>
      <c r="AH567" s="336"/>
      <c r="AI567" s="336"/>
      <c r="AJ567" s="336"/>
      <c r="AK567" s="336"/>
      <c r="AL567" s="336"/>
      <c r="AM567" s="336"/>
      <c r="AN567" s="336"/>
      <c r="AO567" s="336"/>
      <c r="AP567" s="336"/>
      <c r="AQ567" s="336"/>
      <c r="AR567" s="336"/>
      <c r="AS567" s="336"/>
      <c r="AT567" s="336"/>
      <c r="AU567" s="336"/>
      <c r="AV567" s="336"/>
      <c r="AW567" s="336"/>
      <c r="AX567" s="336"/>
      <c r="AY567" s="336"/>
      <c r="AZ567" s="336"/>
      <c r="BA567" s="336"/>
      <c r="BB567" s="336"/>
      <c r="BC567" s="336"/>
      <c r="BD567" s="336"/>
      <c r="BE567" s="336"/>
      <c r="BF567" s="336"/>
    </row>
    <row r="568" spans="1:58" s="351" customFormat="1" x14ac:dyDescent="0.25">
      <c r="A568" s="336"/>
      <c r="B568" s="336"/>
      <c r="C568" s="336"/>
      <c r="D568" s="336"/>
      <c r="E568" s="336"/>
      <c r="F568" s="336"/>
      <c r="G568" s="336"/>
      <c r="H568" s="336"/>
      <c r="M568" s="352"/>
      <c r="N568" s="353"/>
      <c r="O568" s="353"/>
      <c r="T568" s="377"/>
      <c r="U568" s="352"/>
      <c r="V568" s="352"/>
      <c r="W568" s="352"/>
      <c r="X568" s="375"/>
      <c r="Y568" s="375"/>
      <c r="Z568" s="336"/>
      <c r="AA568" s="353"/>
      <c r="AB568" s="336"/>
      <c r="AC568" s="336"/>
      <c r="AD568" s="336"/>
      <c r="AE568" s="336"/>
      <c r="AF568" s="336"/>
      <c r="AG568" s="336"/>
      <c r="AH568" s="336"/>
      <c r="AI568" s="336"/>
      <c r="AJ568" s="336"/>
      <c r="AK568" s="336"/>
      <c r="AL568" s="336"/>
      <c r="AM568" s="336"/>
      <c r="AN568" s="336"/>
      <c r="AO568" s="336"/>
      <c r="AP568" s="336"/>
      <c r="AQ568" s="336"/>
      <c r="AR568" s="336"/>
      <c r="AS568" s="336"/>
      <c r="AT568" s="336"/>
      <c r="AU568" s="336"/>
      <c r="AV568" s="336"/>
      <c r="AW568" s="336"/>
      <c r="AX568" s="336"/>
      <c r="AY568" s="336"/>
      <c r="AZ568" s="336"/>
      <c r="BA568" s="336"/>
      <c r="BB568" s="336"/>
      <c r="BC568" s="336"/>
      <c r="BD568" s="336"/>
      <c r="BE568" s="336"/>
      <c r="BF568" s="336"/>
    </row>
    <row r="569" spans="1:58" s="351" customFormat="1" x14ac:dyDescent="0.25">
      <c r="A569" s="336"/>
      <c r="B569" s="336"/>
      <c r="C569" s="336"/>
      <c r="D569" s="336"/>
      <c r="E569" s="336"/>
      <c r="F569" s="336"/>
      <c r="G569" s="336"/>
      <c r="H569" s="336"/>
      <c r="M569" s="352"/>
      <c r="N569" s="353"/>
      <c r="O569" s="353"/>
      <c r="T569" s="377"/>
      <c r="U569" s="352"/>
      <c r="V569" s="352"/>
      <c r="W569" s="352"/>
      <c r="X569" s="375"/>
      <c r="Y569" s="375"/>
      <c r="Z569" s="336"/>
      <c r="AA569" s="353"/>
      <c r="AB569" s="336"/>
      <c r="AC569" s="336"/>
      <c r="AD569" s="336"/>
      <c r="AE569" s="336"/>
      <c r="AF569" s="336"/>
      <c r="AG569" s="336"/>
      <c r="AH569" s="336"/>
      <c r="AI569" s="336"/>
      <c r="AJ569" s="336"/>
      <c r="AK569" s="336"/>
      <c r="AL569" s="336"/>
      <c r="AM569" s="336"/>
      <c r="AN569" s="336"/>
      <c r="AO569" s="336"/>
      <c r="AP569" s="336"/>
      <c r="AQ569" s="336"/>
      <c r="AR569" s="336"/>
      <c r="AS569" s="336"/>
      <c r="AT569" s="336"/>
      <c r="AU569" s="336"/>
      <c r="AV569" s="336"/>
      <c r="AW569" s="336"/>
      <c r="AX569" s="336"/>
      <c r="AY569" s="336"/>
      <c r="AZ569" s="336"/>
      <c r="BA569" s="336"/>
      <c r="BB569" s="336"/>
      <c r="BC569" s="336"/>
      <c r="BD569" s="336"/>
      <c r="BE569" s="336"/>
      <c r="BF569" s="336"/>
    </row>
    <row r="570" spans="1:58" s="351" customFormat="1" x14ac:dyDescent="0.25">
      <c r="A570" s="336"/>
      <c r="B570" s="336"/>
      <c r="C570" s="336"/>
      <c r="D570" s="336"/>
      <c r="E570" s="336"/>
      <c r="F570" s="336"/>
      <c r="G570" s="336"/>
      <c r="H570" s="336"/>
      <c r="M570" s="352"/>
      <c r="N570" s="353"/>
      <c r="O570" s="353"/>
      <c r="T570" s="377"/>
      <c r="U570" s="352"/>
      <c r="V570" s="352"/>
      <c r="W570" s="352"/>
      <c r="X570" s="375"/>
      <c r="Y570" s="375"/>
      <c r="Z570" s="336"/>
      <c r="AA570" s="353"/>
      <c r="AB570" s="336"/>
      <c r="AC570" s="336"/>
      <c r="AD570" s="336"/>
      <c r="AE570" s="336"/>
      <c r="AF570" s="336"/>
      <c r="AG570" s="336"/>
      <c r="AH570" s="336"/>
      <c r="AI570" s="336"/>
      <c r="AJ570" s="336"/>
      <c r="AK570" s="336"/>
      <c r="AL570" s="336"/>
      <c r="AM570" s="336"/>
      <c r="AN570" s="336"/>
      <c r="AO570" s="336"/>
      <c r="AP570" s="336"/>
      <c r="AQ570" s="336"/>
      <c r="AR570" s="336"/>
      <c r="AS570" s="336"/>
      <c r="AT570" s="336"/>
      <c r="AU570" s="336"/>
      <c r="AV570" s="336"/>
      <c r="AW570" s="336"/>
      <c r="AX570" s="336"/>
      <c r="AY570" s="336"/>
      <c r="AZ570" s="336"/>
      <c r="BA570" s="336"/>
      <c r="BB570" s="336"/>
      <c r="BC570" s="336"/>
      <c r="BD570" s="336"/>
      <c r="BE570" s="336"/>
      <c r="BF570" s="336"/>
    </row>
    <row r="571" spans="1:58" s="351" customFormat="1" x14ac:dyDescent="0.25">
      <c r="A571" s="336"/>
      <c r="B571" s="336"/>
      <c r="C571" s="336"/>
      <c r="D571" s="336"/>
      <c r="E571" s="336"/>
      <c r="F571" s="336"/>
      <c r="G571" s="336"/>
      <c r="H571" s="336"/>
      <c r="M571" s="352"/>
      <c r="N571" s="353"/>
      <c r="O571" s="353"/>
      <c r="T571" s="377"/>
      <c r="U571" s="352"/>
      <c r="V571" s="352"/>
      <c r="W571" s="352"/>
      <c r="X571" s="375"/>
      <c r="Y571" s="375"/>
      <c r="Z571" s="336"/>
      <c r="AA571" s="353"/>
      <c r="AB571" s="336"/>
      <c r="AC571" s="336"/>
      <c r="AD571" s="336"/>
      <c r="AE571" s="336"/>
      <c r="AF571" s="336"/>
      <c r="AG571" s="336"/>
      <c r="AH571" s="336"/>
      <c r="AI571" s="336"/>
      <c r="AJ571" s="336"/>
      <c r="AK571" s="336"/>
      <c r="AL571" s="336"/>
      <c r="AM571" s="336"/>
      <c r="AN571" s="336"/>
      <c r="AO571" s="336"/>
      <c r="AP571" s="336"/>
      <c r="AQ571" s="336"/>
      <c r="AR571" s="336"/>
      <c r="AS571" s="336"/>
      <c r="AT571" s="336"/>
      <c r="AU571" s="336"/>
      <c r="AV571" s="336"/>
      <c r="AW571" s="336"/>
      <c r="AX571" s="336"/>
      <c r="AY571" s="336"/>
      <c r="AZ571" s="336"/>
      <c r="BA571" s="336"/>
      <c r="BB571" s="336"/>
      <c r="BC571" s="336"/>
      <c r="BD571" s="336"/>
      <c r="BE571" s="336"/>
      <c r="BF571" s="336"/>
    </row>
    <row r="572" spans="1:58" s="351" customFormat="1" x14ac:dyDescent="0.25">
      <c r="A572" s="336"/>
      <c r="B572" s="336"/>
      <c r="C572" s="336"/>
      <c r="D572" s="336"/>
      <c r="E572" s="336"/>
      <c r="F572" s="336"/>
      <c r="G572" s="336"/>
      <c r="H572" s="336"/>
      <c r="M572" s="352"/>
      <c r="N572" s="353"/>
      <c r="O572" s="353"/>
      <c r="T572" s="377"/>
      <c r="U572" s="352"/>
      <c r="V572" s="352"/>
      <c r="W572" s="352"/>
      <c r="X572" s="375"/>
      <c r="Y572" s="375"/>
      <c r="Z572" s="336"/>
      <c r="AA572" s="353"/>
      <c r="AB572" s="336"/>
      <c r="AC572" s="336"/>
      <c r="AD572" s="336"/>
      <c r="AE572" s="336"/>
      <c r="AF572" s="336"/>
      <c r="AG572" s="336"/>
      <c r="AH572" s="336"/>
      <c r="AI572" s="336"/>
      <c r="AJ572" s="336"/>
      <c r="AK572" s="336"/>
      <c r="AL572" s="336"/>
      <c r="AM572" s="336"/>
      <c r="AN572" s="336"/>
      <c r="AO572" s="336"/>
      <c r="AP572" s="336"/>
      <c r="AQ572" s="336"/>
      <c r="AR572" s="336"/>
      <c r="AS572" s="336"/>
      <c r="AT572" s="336"/>
      <c r="AU572" s="336"/>
      <c r="AV572" s="336"/>
      <c r="AW572" s="336"/>
      <c r="AX572" s="336"/>
      <c r="AY572" s="336"/>
      <c r="AZ572" s="336"/>
      <c r="BA572" s="336"/>
      <c r="BB572" s="336"/>
      <c r="BC572" s="336"/>
      <c r="BD572" s="336"/>
      <c r="BE572" s="336"/>
      <c r="BF572" s="336"/>
    </row>
    <row r="573" spans="1:58" s="351" customFormat="1" x14ac:dyDescent="0.25">
      <c r="A573" s="336"/>
      <c r="B573" s="336"/>
      <c r="C573" s="336"/>
      <c r="D573" s="336"/>
      <c r="E573" s="336"/>
      <c r="F573" s="336"/>
      <c r="G573" s="336"/>
      <c r="H573" s="336"/>
      <c r="M573" s="352"/>
      <c r="N573" s="353"/>
      <c r="O573" s="353"/>
      <c r="T573" s="377"/>
      <c r="U573" s="352"/>
      <c r="V573" s="352"/>
      <c r="W573" s="352"/>
      <c r="X573" s="375"/>
      <c r="Y573" s="375"/>
      <c r="Z573" s="336"/>
      <c r="AA573" s="353"/>
      <c r="AB573" s="336"/>
      <c r="AC573" s="336"/>
      <c r="AD573" s="336"/>
      <c r="AE573" s="336"/>
      <c r="AF573" s="336"/>
      <c r="AG573" s="336"/>
      <c r="AH573" s="336"/>
      <c r="AI573" s="336"/>
      <c r="AJ573" s="336"/>
      <c r="AK573" s="336"/>
      <c r="AL573" s="336"/>
      <c r="AM573" s="336"/>
      <c r="AN573" s="336"/>
      <c r="AO573" s="336"/>
      <c r="AP573" s="336"/>
      <c r="AQ573" s="336"/>
      <c r="AR573" s="336"/>
      <c r="AS573" s="336"/>
      <c r="AT573" s="336"/>
      <c r="AU573" s="336"/>
      <c r="AV573" s="336"/>
      <c r="AW573" s="336"/>
      <c r="AX573" s="336"/>
      <c r="AY573" s="336"/>
      <c r="AZ573" s="336"/>
      <c r="BA573" s="336"/>
      <c r="BB573" s="336"/>
      <c r="BC573" s="336"/>
      <c r="BD573" s="336"/>
      <c r="BE573" s="336"/>
      <c r="BF573" s="336"/>
    </row>
    <row r="574" spans="1:58" s="351" customFormat="1" x14ac:dyDescent="0.25">
      <c r="A574" s="336"/>
      <c r="B574" s="336"/>
      <c r="C574" s="336"/>
      <c r="D574" s="336"/>
      <c r="E574" s="336"/>
      <c r="F574" s="336"/>
      <c r="G574" s="336"/>
      <c r="H574" s="336"/>
      <c r="M574" s="352"/>
      <c r="N574" s="353"/>
      <c r="O574" s="353"/>
      <c r="T574" s="377"/>
      <c r="U574" s="352"/>
      <c r="V574" s="352"/>
      <c r="W574" s="352"/>
      <c r="X574" s="375"/>
      <c r="Y574" s="375"/>
      <c r="Z574" s="336"/>
      <c r="AA574" s="353"/>
      <c r="AB574" s="336"/>
      <c r="AC574" s="336"/>
      <c r="AD574" s="336"/>
      <c r="AE574" s="336"/>
      <c r="AF574" s="336"/>
      <c r="AG574" s="336"/>
      <c r="AH574" s="336"/>
      <c r="AI574" s="336"/>
      <c r="AJ574" s="336"/>
      <c r="AK574" s="336"/>
      <c r="AL574" s="336"/>
      <c r="AM574" s="336"/>
      <c r="AN574" s="336"/>
      <c r="AO574" s="336"/>
      <c r="AP574" s="336"/>
      <c r="AQ574" s="336"/>
      <c r="AR574" s="336"/>
      <c r="AS574" s="336"/>
      <c r="AT574" s="336"/>
      <c r="AU574" s="336"/>
      <c r="AV574" s="336"/>
      <c r="AW574" s="336"/>
      <c r="AX574" s="336"/>
      <c r="AY574" s="336"/>
      <c r="AZ574" s="336"/>
      <c r="BA574" s="336"/>
      <c r="BB574" s="336"/>
      <c r="BC574" s="336"/>
      <c r="BD574" s="336"/>
      <c r="BE574" s="336"/>
      <c r="BF574" s="336"/>
    </row>
    <row r="575" spans="1:58" s="351" customFormat="1" x14ac:dyDescent="0.25">
      <c r="A575" s="336"/>
      <c r="B575" s="336"/>
      <c r="C575" s="336"/>
      <c r="D575" s="336"/>
      <c r="E575" s="336"/>
      <c r="F575" s="336"/>
      <c r="G575" s="336"/>
      <c r="H575" s="336"/>
      <c r="M575" s="352"/>
      <c r="N575" s="353"/>
      <c r="O575" s="353"/>
      <c r="T575" s="377"/>
      <c r="U575" s="352"/>
      <c r="V575" s="352"/>
      <c r="W575" s="352"/>
      <c r="X575" s="375"/>
      <c r="Y575" s="375"/>
      <c r="Z575" s="336"/>
      <c r="AA575" s="353"/>
      <c r="AB575" s="336"/>
      <c r="AC575" s="336"/>
      <c r="AD575" s="336"/>
      <c r="AE575" s="336"/>
      <c r="AF575" s="336"/>
      <c r="AG575" s="336"/>
      <c r="AH575" s="336"/>
      <c r="AI575" s="336"/>
      <c r="AJ575" s="336"/>
      <c r="AK575" s="336"/>
      <c r="AL575" s="336"/>
      <c r="AM575" s="336"/>
      <c r="AN575" s="336"/>
      <c r="AO575" s="336"/>
      <c r="AP575" s="336"/>
      <c r="AQ575" s="336"/>
      <c r="AR575" s="336"/>
      <c r="AS575" s="336"/>
      <c r="AT575" s="336"/>
      <c r="AU575" s="336"/>
      <c r="AV575" s="336"/>
      <c r="AW575" s="336"/>
      <c r="AX575" s="336"/>
      <c r="AY575" s="336"/>
      <c r="AZ575" s="336"/>
      <c r="BA575" s="336"/>
      <c r="BB575" s="336"/>
      <c r="BC575" s="336"/>
      <c r="BD575" s="336"/>
      <c r="BE575" s="336"/>
      <c r="BF575" s="336"/>
    </row>
    <row r="576" spans="1:58" s="351" customFormat="1" x14ac:dyDescent="0.25">
      <c r="A576" s="336"/>
      <c r="B576" s="336"/>
      <c r="C576" s="336"/>
      <c r="D576" s="336"/>
      <c r="E576" s="336"/>
      <c r="F576" s="336"/>
      <c r="G576" s="336"/>
      <c r="H576" s="336"/>
      <c r="M576" s="352"/>
      <c r="N576" s="353"/>
      <c r="O576" s="353"/>
      <c r="T576" s="377"/>
      <c r="U576" s="352"/>
      <c r="V576" s="352"/>
      <c r="W576" s="352"/>
      <c r="X576" s="375"/>
      <c r="Y576" s="375"/>
      <c r="Z576" s="336"/>
      <c r="AA576" s="353"/>
      <c r="AB576" s="336"/>
      <c r="AC576" s="336"/>
      <c r="AD576" s="336"/>
      <c r="AE576" s="336"/>
      <c r="AF576" s="336"/>
      <c r="AG576" s="336"/>
      <c r="AH576" s="336"/>
      <c r="AI576" s="336"/>
      <c r="AJ576" s="336"/>
      <c r="AK576" s="336"/>
      <c r="AL576" s="336"/>
      <c r="AM576" s="336"/>
      <c r="AN576" s="336"/>
      <c r="AO576" s="336"/>
      <c r="AP576" s="336"/>
      <c r="AQ576" s="336"/>
      <c r="AR576" s="336"/>
      <c r="AS576" s="336"/>
      <c r="AT576" s="336"/>
      <c r="AU576" s="336"/>
      <c r="AV576" s="336"/>
      <c r="AW576" s="336"/>
      <c r="AX576" s="336"/>
      <c r="AY576" s="336"/>
      <c r="AZ576" s="336"/>
      <c r="BA576" s="336"/>
      <c r="BB576" s="336"/>
      <c r="BC576" s="336"/>
      <c r="BD576" s="336"/>
      <c r="BE576" s="336"/>
      <c r="BF576" s="336"/>
    </row>
    <row r="577" spans="1:58" s="351" customFormat="1" x14ac:dyDescent="0.25">
      <c r="A577" s="336"/>
      <c r="B577" s="336"/>
      <c r="C577" s="336"/>
      <c r="D577" s="336"/>
      <c r="E577" s="336"/>
      <c r="F577" s="336"/>
      <c r="G577" s="336"/>
      <c r="H577" s="336"/>
      <c r="M577" s="352"/>
      <c r="N577" s="353"/>
      <c r="O577" s="353"/>
      <c r="T577" s="377"/>
      <c r="U577" s="352"/>
      <c r="V577" s="352"/>
      <c r="W577" s="352"/>
      <c r="X577" s="375"/>
      <c r="Y577" s="375"/>
      <c r="Z577" s="336"/>
      <c r="AA577" s="353"/>
      <c r="AB577" s="336"/>
      <c r="AC577" s="336"/>
      <c r="AD577" s="336"/>
      <c r="AE577" s="336"/>
      <c r="AF577" s="336"/>
      <c r="AG577" s="336"/>
      <c r="AH577" s="336"/>
      <c r="AI577" s="336"/>
      <c r="AJ577" s="336"/>
      <c r="AK577" s="336"/>
      <c r="AL577" s="336"/>
      <c r="AM577" s="336"/>
      <c r="AN577" s="336"/>
      <c r="AO577" s="336"/>
      <c r="AP577" s="336"/>
      <c r="AQ577" s="336"/>
      <c r="AR577" s="336"/>
      <c r="AS577" s="336"/>
      <c r="AT577" s="336"/>
      <c r="AU577" s="336"/>
      <c r="AV577" s="336"/>
      <c r="AW577" s="336"/>
      <c r="AX577" s="336"/>
      <c r="AY577" s="336"/>
      <c r="AZ577" s="336"/>
      <c r="BA577" s="336"/>
      <c r="BB577" s="336"/>
      <c r="BC577" s="336"/>
      <c r="BD577" s="336"/>
      <c r="BE577" s="336"/>
      <c r="BF577" s="336"/>
    </row>
    <row r="578" spans="1:58" s="351" customFormat="1" x14ac:dyDescent="0.25">
      <c r="A578" s="336"/>
      <c r="B578" s="336"/>
      <c r="C578" s="336"/>
      <c r="D578" s="336"/>
      <c r="E578" s="336"/>
      <c r="F578" s="336"/>
      <c r="G578" s="336"/>
      <c r="H578" s="336"/>
      <c r="M578" s="352"/>
      <c r="N578" s="353"/>
      <c r="O578" s="353"/>
      <c r="T578" s="377"/>
      <c r="U578" s="352"/>
      <c r="V578" s="352"/>
      <c r="W578" s="352"/>
      <c r="X578" s="375"/>
      <c r="Y578" s="375"/>
      <c r="Z578" s="336"/>
      <c r="AA578" s="353"/>
      <c r="AB578" s="336"/>
      <c r="AC578" s="336"/>
      <c r="AD578" s="336"/>
      <c r="AE578" s="336"/>
      <c r="AF578" s="336"/>
      <c r="AG578" s="336"/>
      <c r="AH578" s="336"/>
      <c r="AI578" s="336"/>
      <c r="AJ578" s="336"/>
      <c r="AK578" s="336"/>
      <c r="AL578" s="336"/>
      <c r="AM578" s="336"/>
      <c r="AN578" s="336"/>
      <c r="AO578" s="336"/>
      <c r="AP578" s="336"/>
      <c r="AQ578" s="336"/>
      <c r="AR578" s="336"/>
      <c r="AS578" s="336"/>
      <c r="AT578" s="336"/>
      <c r="AU578" s="336"/>
      <c r="AV578" s="336"/>
      <c r="AW578" s="336"/>
      <c r="AX578" s="336"/>
      <c r="AY578" s="336"/>
      <c r="AZ578" s="336"/>
      <c r="BA578" s="336"/>
      <c r="BB578" s="336"/>
      <c r="BC578" s="336"/>
      <c r="BD578" s="336"/>
      <c r="BE578" s="336"/>
      <c r="BF578" s="336"/>
    </row>
    <row r="579" spans="1:58" s="351" customFormat="1" x14ac:dyDescent="0.25">
      <c r="A579" s="336"/>
      <c r="B579" s="336"/>
      <c r="C579" s="336"/>
      <c r="D579" s="336"/>
      <c r="E579" s="336"/>
      <c r="F579" s="336"/>
      <c r="G579" s="336"/>
      <c r="H579" s="336"/>
      <c r="M579" s="352"/>
      <c r="N579" s="353"/>
      <c r="O579" s="353"/>
      <c r="T579" s="377"/>
      <c r="U579" s="352"/>
      <c r="V579" s="352"/>
      <c r="W579" s="352"/>
      <c r="X579" s="375"/>
      <c r="Y579" s="375"/>
      <c r="Z579" s="336"/>
      <c r="AA579" s="353"/>
      <c r="AB579" s="336"/>
      <c r="AC579" s="336"/>
      <c r="AD579" s="336"/>
      <c r="AE579" s="336"/>
      <c r="AF579" s="336"/>
      <c r="AG579" s="336"/>
      <c r="AH579" s="336"/>
      <c r="AI579" s="336"/>
      <c r="AJ579" s="336"/>
      <c r="AK579" s="336"/>
      <c r="AL579" s="336"/>
      <c r="AM579" s="336"/>
      <c r="AN579" s="336"/>
      <c r="AO579" s="336"/>
      <c r="AP579" s="336"/>
      <c r="AQ579" s="336"/>
      <c r="AR579" s="336"/>
      <c r="AS579" s="336"/>
      <c r="AT579" s="336"/>
      <c r="AU579" s="336"/>
      <c r="AV579" s="336"/>
      <c r="AW579" s="336"/>
      <c r="AX579" s="336"/>
      <c r="AY579" s="336"/>
      <c r="AZ579" s="336"/>
      <c r="BA579" s="336"/>
      <c r="BB579" s="336"/>
      <c r="BC579" s="336"/>
      <c r="BD579" s="336"/>
      <c r="BE579" s="336"/>
      <c r="BF579" s="336"/>
    </row>
    <row r="580" spans="1:58" s="351" customFormat="1" x14ac:dyDescent="0.25">
      <c r="A580" s="336"/>
      <c r="B580" s="336"/>
      <c r="C580" s="336"/>
      <c r="D580" s="336"/>
      <c r="E580" s="336"/>
      <c r="F580" s="336"/>
      <c r="G580" s="336"/>
      <c r="H580" s="336"/>
      <c r="M580" s="352"/>
      <c r="N580" s="353"/>
      <c r="O580" s="353"/>
      <c r="T580" s="377"/>
      <c r="U580" s="352"/>
      <c r="V580" s="352"/>
      <c r="W580" s="352"/>
      <c r="X580" s="375"/>
      <c r="Y580" s="375"/>
      <c r="Z580" s="336"/>
      <c r="AA580" s="353"/>
      <c r="AB580" s="336"/>
      <c r="AC580" s="336"/>
      <c r="AD580" s="336"/>
      <c r="AE580" s="336"/>
      <c r="AF580" s="336"/>
      <c r="AG580" s="336"/>
      <c r="AH580" s="336"/>
      <c r="AI580" s="336"/>
      <c r="AJ580" s="336"/>
      <c r="AK580" s="336"/>
      <c r="AL580" s="336"/>
      <c r="AM580" s="336"/>
      <c r="AN580" s="336"/>
      <c r="AO580" s="336"/>
      <c r="AP580" s="336"/>
      <c r="AQ580" s="336"/>
      <c r="AR580" s="336"/>
      <c r="AS580" s="336"/>
      <c r="AT580" s="336"/>
      <c r="AU580" s="336"/>
      <c r="AV580" s="336"/>
      <c r="AW580" s="336"/>
      <c r="AX580" s="336"/>
      <c r="AY580" s="336"/>
      <c r="AZ580" s="336"/>
      <c r="BA580" s="336"/>
      <c r="BB580" s="336"/>
      <c r="BC580" s="336"/>
      <c r="BD580" s="336"/>
      <c r="BE580" s="336"/>
      <c r="BF580" s="336"/>
    </row>
    <row r="581" spans="1:58" s="351" customFormat="1" x14ac:dyDescent="0.25">
      <c r="A581" s="336"/>
      <c r="B581" s="336"/>
      <c r="C581" s="336"/>
      <c r="D581" s="336"/>
      <c r="E581" s="336"/>
      <c r="F581" s="336"/>
      <c r="G581" s="336"/>
      <c r="H581" s="336"/>
      <c r="M581" s="352"/>
      <c r="N581" s="353"/>
      <c r="O581" s="353"/>
      <c r="T581" s="377"/>
      <c r="U581" s="352"/>
      <c r="V581" s="352"/>
      <c r="W581" s="352"/>
      <c r="X581" s="375"/>
      <c r="Y581" s="375"/>
      <c r="Z581" s="336"/>
      <c r="AA581" s="353"/>
      <c r="AB581" s="336"/>
      <c r="AC581" s="336"/>
      <c r="AD581" s="336"/>
      <c r="AE581" s="336"/>
      <c r="AF581" s="336"/>
      <c r="AG581" s="336"/>
      <c r="AH581" s="336"/>
      <c r="AI581" s="336"/>
      <c r="AJ581" s="336"/>
      <c r="AK581" s="336"/>
      <c r="AL581" s="336"/>
      <c r="AM581" s="336"/>
      <c r="AN581" s="336"/>
      <c r="AO581" s="336"/>
      <c r="AP581" s="336"/>
      <c r="AQ581" s="336"/>
      <c r="AR581" s="336"/>
      <c r="AS581" s="336"/>
      <c r="AT581" s="336"/>
      <c r="AU581" s="336"/>
      <c r="AV581" s="336"/>
      <c r="AW581" s="336"/>
      <c r="AX581" s="336"/>
      <c r="AY581" s="336"/>
      <c r="AZ581" s="336"/>
      <c r="BA581" s="336"/>
      <c r="BB581" s="336"/>
      <c r="BC581" s="336"/>
      <c r="BD581" s="336"/>
      <c r="BE581" s="336"/>
      <c r="BF581" s="336"/>
    </row>
    <row r="582" spans="1:58" s="351" customFormat="1" x14ac:dyDescent="0.25">
      <c r="A582" s="336"/>
      <c r="B582" s="336"/>
      <c r="C582" s="336"/>
      <c r="D582" s="336"/>
      <c r="E582" s="336"/>
      <c r="F582" s="336"/>
      <c r="G582" s="336"/>
      <c r="H582" s="336"/>
      <c r="M582" s="352"/>
      <c r="N582" s="353"/>
      <c r="O582" s="353"/>
      <c r="T582" s="377"/>
      <c r="U582" s="352"/>
      <c r="V582" s="352"/>
      <c r="W582" s="352"/>
      <c r="X582" s="375"/>
      <c r="Y582" s="375"/>
      <c r="Z582" s="336"/>
      <c r="AA582" s="353"/>
      <c r="AB582" s="336"/>
      <c r="AC582" s="336"/>
      <c r="AD582" s="336"/>
      <c r="AE582" s="336"/>
      <c r="AF582" s="336"/>
      <c r="AG582" s="336"/>
      <c r="AH582" s="336"/>
      <c r="AI582" s="336"/>
      <c r="AJ582" s="336"/>
      <c r="AK582" s="336"/>
      <c r="AL582" s="336"/>
      <c r="AM582" s="336"/>
      <c r="AN582" s="336"/>
      <c r="AO582" s="336"/>
      <c r="AP582" s="336"/>
      <c r="AQ582" s="336"/>
      <c r="AR582" s="336"/>
      <c r="AS582" s="336"/>
      <c r="AT582" s="336"/>
      <c r="AU582" s="336"/>
      <c r="AV582" s="336"/>
      <c r="AW582" s="336"/>
      <c r="AX582" s="336"/>
      <c r="AY582" s="336"/>
      <c r="AZ582" s="336"/>
      <c r="BA582" s="336"/>
      <c r="BB582" s="336"/>
      <c r="BC582" s="336"/>
      <c r="BD582" s="336"/>
      <c r="BE582" s="336"/>
      <c r="BF582" s="336"/>
    </row>
    <row r="583" spans="1:58" s="351" customFormat="1" x14ac:dyDescent="0.25">
      <c r="A583" s="336"/>
      <c r="B583" s="336"/>
      <c r="C583" s="336"/>
      <c r="D583" s="336"/>
      <c r="E583" s="336"/>
      <c r="F583" s="336"/>
      <c r="G583" s="336"/>
      <c r="H583" s="336"/>
      <c r="M583" s="352"/>
      <c r="N583" s="353"/>
      <c r="O583" s="353"/>
      <c r="T583" s="377"/>
      <c r="U583" s="352"/>
      <c r="V583" s="352"/>
      <c r="W583" s="352"/>
      <c r="X583" s="375"/>
      <c r="Y583" s="375"/>
      <c r="Z583" s="336"/>
      <c r="AA583" s="353"/>
      <c r="AB583" s="336"/>
      <c r="AC583" s="336"/>
      <c r="AD583" s="336"/>
      <c r="AE583" s="336"/>
      <c r="AF583" s="336"/>
      <c r="AG583" s="336"/>
      <c r="AH583" s="336"/>
      <c r="AI583" s="336"/>
      <c r="AJ583" s="336"/>
      <c r="AK583" s="336"/>
      <c r="AL583" s="336"/>
      <c r="AM583" s="336"/>
      <c r="AN583" s="336"/>
      <c r="AO583" s="336"/>
      <c r="AP583" s="336"/>
      <c r="AQ583" s="336"/>
      <c r="AR583" s="336"/>
      <c r="AS583" s="336"/>
      <c r="AT583" s="336"/>
      <c r="AU583" s="336"/>
      <c r="AV583" s="336"/>
      <c r="AW583" s="336"/>
      <c r="AX583" s="336"/>
      <c r="AY583" s="336"/>
      <c r="AZ583" s="336"/>
      <c r="BA583" s="336"/>
      <c r="BB583" s="336"/>
      <c r="BC583" s="336"/>
      <c r="BD583" s="336"/>
      <c r="BE583" s="336"/>
      <c r="BF583" s="336"/>
    </row>
    <row r="584" spans="1:58" s="351" customFormat="1" x14ac:dyDescent="0.25">
      <c r="A584" s="336"/>
      <c r="B584" s="336"/>
      <c r="C584" s="336"/>
      <c r="D584" s="336"/>
      <c r="E584" s="336"/>
      <c r="F584" s="336"/>
      <c r="G584" s="336"/>
      <c r="H584" s="336"/>
      <c r="M584" s="352"/>
      <c r="N584" s="353"/>
      <c r="O584" s="353"/>
      <c r="T584" s="377"/>
      <c r="U584" s="352"/>
      <c r="V584" s="352"/>
      <c r="W584" s="352"/>
      <c r="X584" s="375"/>
      <c r="Y584" s="375"/>
      <c r="Z584" s="336"/>
      <c r="AA584" s="353"/>
      <c r="AB584" s="336"/>
      <c r="AC584" s="336"/>
      <c r="AD584" s="336"/>
      <c r="AE584" s="336"/>
      <c r="AF584" s="336"/>
      <c r="AG584" s="336"/>
      <c r="AH584" s="336"/>
      <c r="AI584" s="336"/>
      <c r="AJ584" s="336"/>
      <c r="AK584" s="336"/>
      <c r="AL584" s="336"/>
      <c r="AM584" s="336"/>
      <c r="AN584" s="336"/>
      <c r="AO584" s="336"/>
      <c r="AP584" s="336"/>
      <c r="AQ584" s="336"/>
      <c r="AR584" s="336"/>
      <c r="AS584" s="336"/>
      <c r="AT584" s="336"/>
      <c r="AU584" s="336"/>
      <c r="AV584" s="336"/>
      <c r="AW584" s="336"/>
      <c r="AX584" s="336"/>
      <c r="AY584" s="336"/>
      <c r="AZ584" s="336"/>
      <c r="BA584" s="336"/>
      <c r="BB584" s="336"/>
      <c r="BC584" s="336"/>
      <c r="BD584" s="336"/>
      <c r="BE584" s="336"/>
      <c r="BF584" s="336"/>
    </row>
    <row r="585" spans="1:58" s="351" customFormat="1" x14ac:dyDescent="0.25">
      <c r="A585" s="336"/>
      <c r="B585" s="336"/>
      <c r="C585" s="336"/>
      <c r="D585" s="336"/>
      <c r="E585" s="336"/>
      <c r="F585" s="336"/>
      <c r="G585" s="336"/>
      <c r="H585" s="336"/>
      <c r="M585" s="352"/>
      <c r="N585" s="353"/>
      <c r="O585" s="353"/>
      <c r="T585" s="377"/>
      <c r="U585" s="352"/>
      <c r="V585" s="352"/>
      <c r="W585" s="352"/>
      <c r="X585" s="375"/>
      <c r="Y585" s="375"/>
      <c r="Z585" s="336"/>
      <c r="AA585" s="353"/>
      <c r="AB585" s="336"/>
      <c r="AC585" s="336"/>
      <c r="AD585" s="336"/>
      <c r="AE585" s="336"/>
      <c r="AF585" s="336"/>
      <c r="AG585" s="336"/>
      <c r="AH585" s="336"/>
      <c r="AI585" s="336"/>
      <c r="AJ585" s="336"/>
      <c r="AK585" s="336"/>
      <c r="AL585" s="336"/>
      <c r="AM585" s="336"/>
      <c r="AN585" s="336"/>
      <c r="AO585" s="336"/>
      <c r="AP585" s="336"/>
      <c r="AQ585" s="336"/>
      <c r="AR585" s="336"/>
      <c r="AS585" s="336"/>
      <c r="AT585" s="336"/>
      <c r="AU585" s="336"/>
      <c r="AV585" s="336"/>
      <c r="AW585" s="336"/>
      <c r="AX585" s="336"/>
      <c r="AY585" s="336"/>
      <c r="AZ585" s="336"/>
      <c r="BA585" s="336"/>
      <c r="BB585" s="336"/>
      <c r="BC585" s="336"/>
      <c r="BD585" s="336"/>
      <c r="BE585" s="336"/>
      <c r="BF585" s="336"/>
    </row>
    <row r="586" spans="1:58" s="351" customFormat="1" x14ac:dyDescent="0.25">
      <c r="A586" s="336"/>
      <c r="B586" s="336"/>
      <c r="C586" s="336"/>
      <c r="D586" s="336"/>
      <c r="E586" s="336"/>
      <c r="F586" s="336"/>
      <c r="G586" s="336"/>
      <c r="H586" s="336"/>
      <c r="M586" s="352"/>
      <c r="N586" s="353"/>
      <c r="O586" s="353"/>
      <c r="T586" s="377"/>
      <c r="U586" s="352"/>
      <c r="V586" s="352"/>
      <c r="W586" s="352"/>
      <c r="X586" s="375"/>
      <c r="Y586" s="375"/>
      <c r="Z586" s="336"/>
      <c r="AA586" s="353"/>
      <c r="AB586" s="336"/>
      <c r="AC586" s="336"/>
      <c r="AD586" s="336"/>
      <c r="AE586" s="336"/>
      <c r="AF586" s="336"/>
      <c r="AG586" s="336"/>
      <c r="AH586" s="336"/>
      <c r="AI586" s="336"/>
      <c r="AJ586" s="336"/>
      <c r="AK586" s="336"/>
      <c r="AL586" s="336"/>
      <c r="AM586" s="336"/>
      <c r="AN586" s="336"/>
      <c r="AO586" s="336"/>
      <c r="AP586" s="336"/>
      <c r="AQ586" s="336"/>
      <c r="AR586" s="336"/>
      <c r="AS586" s="336"/>
      <c r="AT586" s="336"/>
      <c r="AU586" s="336"/>
      <c r="AV586" s="336"/>
      <c r="AW586" s="336"/>
      <c r="AX586" s="336"/>
      <c r="AY586" s="336"/>
      <c r="AZ586" s="336"/>
      <c r="BA586" s="336"/>
      <c r="BB586" s="336"/>
      <c r="BC586" s="336"/>
      <c r="BD586" s="336"/>
      <c r="BE586" s="336"/>
      <c r="BF586" s="336"/>
    </row>
    <row r="587" spans="1:58" s="351" customFormat="1" x14ac:dyDescent="0.25">
      <c r="A587" s="336"/>
      <c r="B587" s="336"/>
      <c r="C587" s="336"/>
      <c r="D587" s="336"/>
      <c r="E587" s="336"/>
      <c r="F587" s="336"/>
      <c r="G587" s="336"/>
      <c r="H587" s="336"/>
      <c r="M587" s="352"/>
      <c r="N587" s="353"/>
      <c r="O587" s="353"/>
      <c r="T587" s="377"/>
      <c r="U587" s="352"/>
      <c r="V587" s="352"/>
      <c r="W587" s="352"/>
      <c r="X587" s="375"/>
      <c r="Y587" s="375"/>
      <c r="Z587" s="336"/>
      <c r="AA587" s="353"/>
      <c r="AB587" s="336"/>
      <c r="AC587" s="336"/>
      <c r="AD587" s="336"/>
      <c r="AE587" s="336"/>
      <c r="AF587" s="336"/>
      <c r="AG587" s="336"/>
      <c r="AH587" s="336"/>
      <c r="AI587" s="336"/>
      <c r="AJ587" s="336"/>
      <c r="AK587" s="336"/>
      <c r="AL587" s="336"/>
      <c r="AM587" s="336"/>
      <c r="AN587" s="336"/>
      <c r="AO587" s="336"/>
      <c r="AP587" s="336"/>
      <c r="AQ587" s="336"/>
      <c r="AR587" s="336"/>
      <c r="AS587" s="336"/>
      <c r="AT587" s="336"/>
      <c r="AU587" s="336"/>
      <c r="AV587" s="336"/>
      <c r="AW587" s="336"/>
      <c r="AX587" s="336"/>
      <c r="AY587" s="336"/>
      <c r="AZ587" s="336"/>
      <c r="BA587" s="336"/>
      <c r="BB587" s="336"/>
      <c r="BC587" s="336"/>
      <c r="BD587" s="336"/>
      <c r="BE587" s="336"/>
      <c r="BF587" s="336"/>
    </row>
    <row r="588" spans="1:58" s="351" customFormat="1" x14ac:dyDescent="0.25">
      <c r="A588" s="336"/>
      <c r="B588" s="336"/>
      <c r="C588" s="336"/>
      <c r="D588" s="336"/>
      <c r="E588" s="336"/>
      <c r="F588" s="336"/>
      <c r="G588" s="336"/>
      <c r="H588" s="336"/>
      <c r="M588" s="352"/>
      <c r="N588" s="353"/>
      <c r="O588" s="353"/>
      <c r="T588" s="377"/>
      <c r="U588" s="352"/>
      <c r="V588" s="352"/>
      <c r="W588" s="352"/>
      <c r="X588" s="375"/>
      <c r="Y588" s="375"/>
      <c r="Z588" s="336"/>
      <c r="AA588" s="353"/>
      <c r="AB588" s="336"/>
      <c r="AC588" s="336"/>
      <c r="AD588" s="336"/>
      <c r="AE588" s="336"/>
      <c r="AF588" s="336"/>
      <c r="AG588" s="336"/>
      <c r="AH588" s="336"/>
      <c r="AI588" s="336"/>
      <c r="AJ588" s="336"/>
      <c r="AK588" s="336"/>
      <c r="AL588" s="336"/>
      <c r="AM588" s="336"/>
      <c r="AN588" s="336"/>
      <c r="AO588" s="336"/>
      <c r="AP588" s="336"/>
      <c r="AQ588" s="336"/>
      <c r="AR588" s="336"/>
      <c r="AS588" s="336"/>
      <c r="AT588" s="336"/>
      <c r="AU588" s="336"/>
      <c r="AV588" s="336"/>
      <c r="AW588" s="336"/>
      <c r="AX588" s="336"/>
      <c r="AY588" s="336"/>
      <c r="AZ588" s="336"/>
      <c r="BA588" s="336"/>
      <c r="BB588" s="336"/>
      <c r="BC588" s="336"/>
      <c r="BD588" s="336"/>
      <c r="BE588" s="336"/>
      <c r="BF588" s="336"/>
    </row>
    <row r="589" spans="1:58" s="351" customFormat="1" x14ac:dyDescent="0.25">
      <c r="A589" s="336"/>
      <c r="B589" s="336"/>
      <c r="C589" s="336"/>
      <c r="D589" s="336"/>
      <c r="E589" s="336"/>
      <c r="F589" s="336"/>
      <c r="G589" s="336"/>
      <c r="H589" s="336"/>
      <c r="M589" s="352"/>
      <c r="N589" s="353"/>
      <c r="O589" s="353"/>
      <c r="T589" s="377"/>
      <c r="U589" s="352"/>
      <c r="V589" s="352"/>
      <c r="W589" s="352"/>
      <c r="X589" s="375"/>
      <c r="Y589" s="375"/>
      <c r="Z589" s="336"/>
      <c r="AA589" s="353"/>
      <c r="AB589" s="336"/>
      <c r="AC589" s="336"/>
      <c r="AD589" s="336"/>
      <c r="AE589" s="336"/>
      <c r="AF589" s="336"/>
      <c r="AG589" s="336"/>
      <c r="AH589" s="336"/>
      <c r="AI589" s="336"/>
      <c r="AJ589" s="336"/>
      <c r="AK589" s="336"/>
      <c r="AL589" s="336"/>
      <c r="AM589" s="336"/>
      <c r="AN589" s="336"/>
      <c r="AO589" s="336"/>
      <c r="AP589" s="336"/>
      <c r="AQ589" s="336"/>
      <c r="AR589" s="336"/>
      <c r="AS589" s="336"/>
      <c r="AT589" s="336"/>
      <c r="AU589" s="336"/>
      <c r="AV589" s="336"/>
      <c r="AW589" s="336"/>
      <c r="AX589" s="336"/>
      <c r="AY589" s="336"/>
      <c r="AZ589" s="336"/>
      <c r="BA589" s="336"/>
      <c r="BB589" s="336"/>
      <c r="BC589" s="336"/>
      <c r="BD589" s="336"/>
      <c r="BE589" s="336"/>
      <c r="BF589" s="336"/>
    </row>
    <row r="590" spans="1:58" s="351" customFormat="1" x14ac:dyDescent="0.25">
      <c r="A590" s="336"/>
      <c r="B590" s="336"/>
      <c r="C590" s="336"/>
      <c r="D590" s="336"/>
      <c r="E590" s="336"/>
      <c r="F590" s="336"/>
      <c r="G590" s="336"/>
      <c r="H590" s="336"/>
      <c r="M590" s="352"/>
      <c r="N590" s="353"/>
      <c r="O590" s="353"/>
      <c r="T590" s="377"/>
      <c r="U590" s="352"/>
      <c r="V590" s="352"/>
      <c r="W590" s="352"/>
      <c r="X590" s="375"/>
      <c r="Y590" s="375"/>
      <c r="Z590" s="336"/>
      <c r="AA590" s="353"/>
      <c r="AB590" s="336"/>
      <c r="AC590" s="336"/>
      <c r="AD590" s="336"/>
      <c r="AE590" s="336"/>
      <c r="AF590" s="336"/>
      <c r="AG590" s="336"/>
      <c r="AH590" s="336"/>
      <c r="AI590" s="336"/>
      <c r="AJ590" s="336"/>
      <c r="AK590" s="336"/>
      <c r="AL590" s="336"/>
      <c r="AM590" s="336"/>
      <c r="AN590" s="336"/>
      <c r="AO590" s="336"/>
      <c r="AP590" s="336"/>
      <c r="AQ590" s="336"/>
      <c r="AR590" s="336"/>
      <c r="AS590" s="336"/>
      <c r="AT590" s="336"/>
      <c r="AU590" s="336"/>
      <c r="AV590" s="336"/>
      <c r="AW590" s="336"/>
      <c r="AX590" s="336"/>
      <c r="AY590" s="336"/>
      <c r="AZ590" s="336"/>
      <c r="BA590" s="336"/>
      <c r="BB590" s="336"/>
      <c r="BC590" s="336"/>
      <c r="BD590" s="336"/>
      <c r="BE590" s="336"/>
      <c r="BF590" s="336"/>
    </row>
    <row r="591" spans="1:58" s="351" customFormat="1" x14ac:dyDescent="0.25">
      <c r="A591" s="336"/>
      <c r="B591" s="336"/>
      <c r="C591" s="336"/>
      <c r="D591" s="336"/>
      <c r="E591" s="336"/>
      <c r="F591" s="336"/>
      <c r="G591" s="336"/>
      <c r="H591" s="336"/>
      <c r="M591" s="352"/>
      <c r="N591" s="353"/>
      <c r="O591" s="353"/>
      <c r="T591" s="377"/>
      <c r="U591" s="352"/>
      <c r="V591" s="352"/>
      <c r="W591" s="352"/>
      <c r="X591" s="375"/>
      <c r="Y591" s="375"/>
      <c r="Z591" s="336"/>
      <c r="AA591" s="353"/>
      <c r="AB591" s="336"/>
      <c r="AC591" s="336"/>
      <c r="AD591" s="336"/>
      <c r="AE591" s="336"/>
      <c r="AF591" s="336"/>
      <c r="AG591" s="336"/>
      <c r="AH591" s="336"/>
      <c r="AI591" s="336"/>
      <c r="AJ591" s="336"/>
      <c r="AK591" s="336"/>
      <c r="AL591" s="336"/>
      <c r="AM591" s="336"/>
      <c r="AN591" s="336"/>
      <c r="AO591" s="336"/>
      <c r="AP591" s="336"/>
      <c r="AQ591" s="336"/>
      <c r="AR591" s="336"/>
      <c r="AS591" s="336"/>
      <c r="AT591" s="336"/>
      <c r="AU591" s="336"/>
      <c r="AV591" s="336"/>
      <c r="AW591" s="336"/>
      <c r="AX591" s="336"/>
      <c r="AY591" s="336"/>
      <c r="AZ591" s="336"/>
      <c r="BA591" s="336"/>
      <c r="BB591" s="336"/>
      <c r="BC591" s="336"/>
      <c r="BD591" s="336"/>
      <c r="BE591" s="336"/>
      <c r="BF591" s="336"/>
    </row>
    <row r="592" spans="1:58" s="351" customFormat="1" x14ac:dyDescent="0.25">
      <c r="A592" s="336"/>
      <c r="B592" s="336"/>
      <c r="C592" s="336"/>
      <c r="D592" s="336"/>
      <c r="E592" s="336"/>
      <c r="F592" s="336"/>
      <c r="G592" s="336"/>
      <c r="H592" s="336"/>
      <c r="M592" s="352"/>
      <c r="N592" s="353"/>
      <c r="O592" s="353"/>
      <c r="T592" s="377"/>
      <c r="U592" s="352"/>
      <c r="V592" s="352"/>
      <c r="W592" s="352"/>
      <c r="X592" s="375"/>
      <c r="Y592" s="375"/>
      <c r="Z592" s="336"/>
      <c r="AA592" s="353"/>
      <c r="AB592" s="336"/>
      <c r="AC592" s="336"/>
      <c r="AD592" s="336"/>
      <c r="AE592" s="336"/>
      <c r="AF592" s="336"/>
      <c r="AG592" s="336"/>
      <c r="AH592" s="336"/>
      <c r="AI592" s="336"/>
      <c r="AJ592" s="336"/>
      <c r="AK592" s="336"/>
      <c r="AL592" s="336"/>
      <c r="AM592" s="336"/>
      <c r="AN592" s="336"/>
      <c r="AO592" s="336"/>
      <c r="AP592" s="336"/>
      <c r="AQ592" s="336"/>
      <c r="AR592" s="336"/>
      <c r="AS592" s="336"/>
      <c r="AT592" s="336"/>
      <c r="AU592" s="336"/>
      <c r="AV592" s="336"/>
      <c r="AW592" s="336"/>
      <c r="AX592" s="336"/>
      <c r="AY592" s="336"/>
      <c r="AZ592" s="336"/>
      <c r="BA592" s="336"/>
      <c r="BB592" s="336"/>
      <c r="BC592" s="336"/>
      <c r="BD592" s="336"/>
      <c r="BE592" s="336"/>
      <c r="BF592" s="336"/>
    </row>
    <row r="593" spans="1:58" s="351" customFormat="1" x14ac:dyDescent="0.25">
      <c r="A593" s="336"/>
      <c r="B593" s="336"/>
      <c r="C593" s="336"/>
      <c r="D593" s="336"/>
      <c r="E593" s="336"/>
      <c r="F593" s="336"/>
      <c r="G593" s="336"/>
      <c r="H593" s="336"/>
      <c r="M593" s="352"/>
      <c r="N593" s="353"/>
      <c r="O593" s="353"/>
      <c r="T593" s="377"/>
      <c r="U593" s="352"/>
      <c r="V593" s="352"/>
      <c r="W593" s="352"/>
      <c r="X593" s="375"/>
      <c r="Y593" s="375"/>
      <c r="Z593" s="336"/>
      <c r="AA593" s="353"/>
      <c r="AB593" s="336"/>
      <c r="AC593" s="336"/>
      <c r="AD593" s="336"/>
      <c r="AE593" s="336"/>
      <c r="AF593" s="336"/>
      <c r="AG593" s="336"/>
      <c r="AH593" s="336"/>
      <c r="AI593" s="336"/>
      <c r="AJ593" s="336"/>
      <c r="AK593" s="336"/>
      <c r="AL593" s="336"/>
      <c r="AM593" s="336"/>
      <c r="AN593" s="336"/>
      <c r="AO593" s="336"/>
      <c r="AP593" s="336"/>
      <c r="AQ593" s="336"/>
      <c r="AR593" s="336"/>
      <c r="AS593" s="336"/>
      <c r="AT593" s="336"/>
      <c r="AU593" s="336"/>
      <c r="AV593" s="336"/>
      <c r="AW593" s="336"/>
      <c r="AX593" s="336"/>
      <c r="AY593" s="336"/>
      <c r="AZ593" s="336"/>
      <c r="BA593" s="336"/>
      <c r="BB593" s="336"/>
      <c r="BC593" s="336"/>
      <c r="BD593" s="336"/>
      <c r="BE593" s="336"/>
      <c r="BF593" s="336"/>
    </row>
    <row r="594" spans="1:58" s="351" customFormat="1" x14ac:dyDescent="0.25">
      <c r="A594" s="336"/>
      <c r="B594" s="336"/>
      <c r="C594" s="336"/>
      <c r="D594" s="336"/>
      <c r="E594" s="336"/>
      <c r="F594" s="336"/>
      <c r="G594" s="336"/>
      <c r="H594" s="336"/>
      <c r="M594" s="352"/>
      <c r="N594" s="353"/>
      <c r="O594" s="353"/>
      <c r="T594" s="377"/>
      <c r="U594" s="352"/>
      <c r="V594" s="352"/>
      <c r="W594" s="352"/>
      <c r="X594" s="375"/>
      <c r="Y594" s="375"/>
      <c r="Z594" s="336"/>
      <c r="AA594" s="353"/>
      <c r="AB594" s="336"/>
      <c r="AC594" s="336"/>
      <c r="AD594" s="336"/>
      <c r="AE594" s="336"/>
      <c r="AF594" s="336"/>
      <c r="AG594" s="336"/>
      <c r="AH594" s="336"/>
      <c r="AI594" s="336"/>
      <c r="AJ594" s="336"/>
      <c r="AK594" s="336"/>
      <c r="AL594" s="336"/>
      <c r="AM594" s="336"/>
      <c r="AN594" s="336"/>
      <c r="AO594" s="336"/>
      <c r="AP594" s="336"/>
      <c r="AQ594" s="336"/>
      <c r="AR594" s="336"/>
      <c r="AS594" s="336"/>
      <c r="AT594" s="336"/>
      <c r="AU594" s="336"/>
      <c r="AV594" s="336"/>
      <c r="AW594" s="336"/>
      <c r="AX594" s="336"/>
      <c r="AY594" s="336"/>
      <c r="AZ594" s="336"/>
      <c r="BA594" s="336"/>
      <c r="BB594" s="336"/>
      <c r="BC594" s="336"/>
      <c r="BD594" s="336"/>
      <c r="BE594" s="336"/>
      <c r="BF594" s="336"/>
    </row>
    <row r="595" spans="1:58" s="351" customFormat="1" x14ac:dyDescent="0.25">
      <c r="A595" s="336"/>
      <c r="B595" s="336"/>
      <c r="C595" s="336"/>
      <c r="D595" s="336"/>
      <c r="E595" s="336"/>
      <c r="F595" s="336"/>
      <c r="G595" s="336"/>
      <c r="H595" s="336"/>
      <c r="M595" s="352"/>
      <c r="N595" s="353"/>
      <c r="O595" s="353"/>
      <c r="T595" s="377"/>
      <c r="U595" s="352"/>
      <c r="V595" s="352"/>
      <c r="W595" s="352"/>
      <c r="X595" s="375"/>
      <c r="Y595" s="375"/>
      <c r="Z595" s="336"/>
      <c r="AA595" s="353"/>
      <c r="AB595" s="336"/>
      <c r="AC595" s="336"/>
      <c r="AD595" s="336"/>
      <c r="AE595" s="336"/>
      <c r="AF595" s="336"/>
      <c r="AG595" s="336"/>
      <c r="AH595" s="336"/>
      <c r="AI595" s="336"/>
      <c r="AJ595" s="336"/>
      <c r="AK595" s="336"/>
      <c r="AL595" s="336"/>
      <c r="AM595" s="336"/>
      <c r="AN595" s="336"/>
      <c r="AO595" s="336"/>
      <c r="AP595" s="336"/>
      <c r="AQ595" s="336"/>
      <c r="AR595" s="336"/>
      <c r="AS595" s="336"/>
      <c r="AT595" s="336"/>
      <c r="AU595" s="336"/>
      <c r="AV595" s="336"/>
      <c r="AW595" s="336"/>
      <c r="AX595" s="336"/>
      <c r="AY595" s="336"/>
      <c r="AZ595" s="336"/>
      <c r="BA595" s="336"/>
      <c r="BB595" s="336"/>
      <c r="BC595" s="336"/>
      <c r="BD595" s="336"/>
      <c r="BE595" s="336"/>
      <c r="BF595" s="336"/>
    </row>
    <row r="596" spans="1:58" s="351" customFormat="1" x14ac:dyDescent="0.25">
      <c r="A596" s="336"/>
      <c r="B596" s="336"/>
      <c r="C596" s="336"/>
      <c r="D596" s="336"/>
      <c r="E596" s="336"/>
      <c r="F596" s="336"/>
      <c r="G596" s="336"/>
      <c r="H596" s="336"/>
      <c r="M596" s="352"/>
      <c r="N596" s="353"/>
      <c r="O596" s="353"/>
      <c r="T596" s="377"/>
      <c r="U596" s="352"/>
      <c r="V596" s="352"/>
      <c r="W596" s="352"/>
      <c r="X596" s="375"/>
      <c r="Y596" s="375"/>
      <c r="Z596" s="336"/>
      <c r="AA596" s="353"/>
      <c r="AB596" s="336"/>
      <c r="AC596" s="336"/>
      <c r="AD596" s="336"/>
      <c r="AE596" s="336"/>
      <c r="AF596" s="336"/>
      <c r="AG596" s="336"/>
      <c r="AH596" s="336"/>
      <c r="AI596" s="336"/>
      <c r="AJ596" s="336"/>
      <c r="AK596" s="336"/>
      <c r="AL596" s="336"/>
      <c r="AM596" s="336"/>
      <c r="AN596" s="336"/>
      <c r="AO596" s="336"/>
      <c r="AP596" s="336"/>
      <c r="AQ596" s="336"/>
      <c r="AR596" s="336"/>
      <c r="AS596" s="336"/>
      <c r="AT596" s="336"/>
      <c r="AU596" s="336"/>
      <c r="AV596" s="336"/>
      <c r="AW596" s="336"/>
      <c r="AX596" s="336"/>
      <c r="AY596" s="336"/>
      <c r="AZ596" s="336"/>
      <c r="BA596" s="336"/>
      <c r="BB596" s="336"/>
      <c r="BC596" s="336"/>
      <c r="BD596" s="336"/>
      <c r="BE596" s="336"/>
      <c r="BF596" s="336"/>
    </row>
    <row r="597" spans="1:58" s="351" customFormat="1" x14ac:dyDescent="0.25">
      <c r="A597" s="336"/>
      <c r="B597" s="336"/>
      <c r="C597" s="336"/>
      <c r="D597" s="336"/>
      <c r="E597" s="336"/>
      <c r="F597" s="336"/>
      <c r="G597" s="336"/>
      <c r="H597" s="336"/>
      <c r="M597" s="352"/>
      <c r="N597" s="353"/>
      <c r="O597" s="353"/>
      <c r="T597" s="377"/>
      <c r="U597" s="352"/>
      <c r="V597" s="352"/>
      <c r="W597" s="352"/>
      <c r="X597" s="375"/>
      <c r="Y597" s="375"/>
      <c r="Z597" s="336"/>
      <c r="AA597" s="353"/>
      <c r="AB597" s="336"/>
      <c r="AC597" s="336"/>
      <c r="AD597" s="336"/>
      <c r="AE597" s="336"/>
      <c r="AF597" s="336"/>
      <c r="AG597" s="336"/>
      <c r="AH597" s="336"/>
      <c r="AI597" s="336"/>
      <c r="AJ597" s="336"/>
      <c r="AK597" s="336"/>
      <c r="AL597" s="336"/>
      <c r="AM597" s="336"/>
      <c r="AN597" s="336"/>
      <c r="AO597" s="336"/>
      <c r="AP597" s="336"/>
      <c r="AQ597" s="336"/>
      <c r="AR597" s="336"/>
      <c r="AS597" s="336"/>
      <c r="AT597" s="336"/>
      <c r="AU597" s="336"/>
      <c r="AV597" s="336"/>
      <c r="AW597" s="336"/>
      <c r="AX597" s="336"/>
      <c r="AY597" s="336"/>
      <c r="AZ597" s="336"/>
      <c r="BA597" s="336"/>
      <c r="BB597" s="336"/>
      <c r="BC597" s="336"/>
      <c r="BD597" s="336"/>
      <c r="BE597" s="336"/>
      <c r="BF597" s="336"/>
    </row>
    <row r="598" spans="1:58" s="351" customFormat="1" x14ac:dyDescent="0.25">
      <c r="A598" s="336"/>
      <c r="B598" s="336"/>
      <c r="C598" s="336"/>
      <c r="D598" s="336"/>
      <c r="E598" s="336"/>
      <c r="F598" s="336"/>
      <c r="G598" s="336"/>
      <c r="H598" s="336"/>
      <c r="M598" s="352"/>
      <c r="N598" s="353"/>
      <c r="O598" s="353"/>
      <c r="T598" s="377"/>
      <c r="U598" s="352"/>
      <c r="V598" s="352"/>
      <c r="W598" s="352"/>
      <c r="X598" s="375"/>
      <c r="Y598" s="375"/>
      <c r="Z598" s="336"/>
      <c r="AA598" s="353"/>
      <c r="AB598" s="336"/>
      <c r="AC598" s="336"/>
      <c r="AD598" s="336"/>
      <c r="AE598" s="336"/>
      <c r="AF598" s="336"/>
      <c r="AG598" s="336"/>
      <c r="AH598" s="336"/>
      <c r="AI598" s="336"/>
      <c r="AJ598" s="336"/>
      <c r="AK598" s="336"/>
      <c r="AL598" s="336"/>
      <c r="AM598" s="336"/>
      <c r="AN598" s="336"/>
      <c r="AO598" s="336"/>
      <c r="AP598" s="336"/>
      <c r="AQ598" s="336"/>
      <c r="AR598" s="336"/>
      <c r="AS598" s="336"/>
      <c r="AT598" s="336"/>
      <c r="AU598" s="336"/>
      <c r="AV598" s="336"/>
      <c r="AW598" s="336"/>
      <c r="AX598" s="336"/>
      <c r="AY598" s="336"/>
      <c r="AZ598" s="336"/>
      <c r="BA598" s="336"/>
      <c r="BB598" s="336"/>
      <c r="BC598" s="336"/>
      <c r="BD598" s="336"/>
      <c r="BE598" s="336"/>
      <c r="BF598" s="336"/>
    </row>
    <row r="599" spans="1:58" s="351" customFormat="1" x14ac:dyDescent="0.25">
      <c r="A599" s="336"/>
      <c r="B599" s="336"/>
      <c r="C599" s="336"/>
      <c r="D599" s="336"/>
      <c r="E599" s="336"/>
      <c r="F599" s="336"/>
      <c r="G599" s="336"/>
      <c r="H599" s="336"/>
      <c r="M599" s="352"/>
      <c r="N599" s="353"/>
      <c r="O599" s="353"/>
      <c r="T599" s="377"/>
      <c r="U599" s="352"/>
      <c r="V599" s="352"/>
      <c r="W599" s="352"/>
      <c r="X599" s="375"/>
      <c r="Y599" s="375"/>
      <c r="Z599" s="336"/>
      <c r="AA599" s="353"/>
      <c r="AB599" s="336"/>
      <c r="AC599" s="336"/>
      <c r="AD599" s="336"/>
      <c r="AE599" s="336"/>
      <c r="AF599" s="336"/>
      <c r="AG599" s="336"/>
      <c r="AH599" s="336"/>
      <c r="AI599" s="336"/>
      <c r="AJ599" s="336"/>
      <c r="AK599" s="336"/>
      <c r="AL599" s="336"/>
      <c r="AM599" s="336"/>
      <c r="AN599" s="336"/>
      <c r="AO599" s="336"/>
      <c r="AP599" s="336"/>
      <c r="AQ599" s="336"/>
      <c r="AR599" s="336"/>
      <c r="AS599" s="336"/>
      <c r="AT599" s="336"/>
      <c r="AU599" s="336"/>
      <c r="AV599" s="336"/>
      <c r="AW599" s="336"/>
      <c r="AX599" s="336"/>
      <c r="AY599" s="336"/>
      <c r="AZ599" s="336"/>
      <c r="BA599" s="336"/>
      <c r="BB599" s="336"/>
      <c r="BC599" s="336"/>
      <c r="BD599" s="336"/>
      <c r="BE599" s="336"/>
      <c r="BF599" s="336"/>
    </row>
    <row r="600" spans="1:58" s="351" customFormat="1" x14ac:dyDescent="0.25">
      <c r="A600" s="336"/>
      <c r="B600" s="336"/>
      <c r="C600" s="336"/>
      <c r="D600" s="336"/>
      <c r="E600" s="336"/>
      <c r="F600" s="336"/>
      <c r="G600" s="336"/>
      <c r="H600" s="336"/>
      <c r="M600" s="352"/>
      <c r="N600" s="353"/>
      <c r="O600" s="353"/>
      <c r="T600" s="377"/>
      <c r="U600" s="352"/>
      <c r="V600" s="352"/>
      <c r="W600" s="352"/>
      <c r="X600" s="375"/>
      <c r="Y600" s="375"/>
      <c r="Z600" s="336"/>
      <c r="AA600" s="353"/>
      <c r="AB600" s="336"/>
      <c r="AC600" s="336"/>
      <c r="AD600" s="336"/>
      <c r="AE600" s="336"/>
      <c r="AF600" s="336"/>
      <c r="AG600" s="336"/>
      <c r="AH600" s="336"/>
      <c r="AI600" s="336"/>
      <c r="AJ600" s="336"/>
      <c r="AK600" s="336"/>
      <c r="AL600" s="336"/>
      <c r="AM600" s="336"/>
      <c r="AN600" s="336"/>
      <c r="AO600" s="336"/>
      <c r="AP600" s="336"/>
      <c r="AQ600" s="336"/>
      <c r="AR600" s="336"/>
      <c r="AS600" s="336"/>
      <c r="AT600" s="336"/>
      <c r="AU600" s="336"/>
      <c r="AV600" s="336"/>
      <c r="AW600" s="336"/>
      <c r="AX600" s="336"/>
      <c r="AY600" s="336"/>
      <c r="AZ600" s="336"/>
      <c r="BA600" s="336"/>
      <c r="BB600" s="336"/>
      <c r="BC600" s="336"/>
      <c r="BD600" s="336"/>
      <c r="BE600" s="336"/>
      <c r="BF600" s="336"/>
    </row>
    <row r="601" spans="1:58" s="351" customFormat="1" x14ac:dyDescent="0.25">
      <c r="A601" s="336"/>
      <c r="B601" s="336"/>
      <c r="C601" s="336"/>
      <c r="D601" s="336"/>
      <c r="E601" s="336"/>
      <c r="F601" s="336"/>
      <c r="G601" s="336"/>
      <c r="H601" s="336"/>
      <c r="M601" s="352"/>
      <c r="N601" s="353"/>
      <c r="O601" s="353"/>
      <c r="T601" s="377"/>
      <c r="U601" s="352"/>
      <c r="V601" s="352"/>
      <c r="W601" s="352"/>
      <c r="X601" s="375"/>
      <c r="Y601" s="375"/>
      <c r="Z601" s="336"/>
      <c r="AA601" s="353"/>
      <c r="AB601" s="336"/>
      <c r="AC601" s="336"/>
      <c r="AD601" s="336"/>
      <c r="AE601" s="336"/>
      <c r="AF601" s="336"/>
      <c r="AG601" s="336"/>
      <c r="AH601" s="336"/>
      <c r="AI601" s="336"/>
      <c r="AJ601" s="336"/>
      <c r="AK601" s="336"/>
      <c r="AL601" s="336"/>
      <c r="AM601" s="336"/>
      <c r="AN601" s="336"/>
      <c r="AO601" s="336"/>
      <c r="AP601" s="336"/>
      <c r="AQ601" s="336"/>
      <c r="AR601" s="336"/>
      <c r="AS601" s="336"/>
      <c r="AT601" s="336"/>
      <c r="AU601" s="336"/>
      <c r="AV601" s="336"/>
      <c r="AW601" s="336"/>
      <c r="AX601" s="336"/>
      <c r="AY601" s="336"/>
      <c r="AZ601" s="336"/>
      <c r="BA601" s="336"/>
      <c r="BB601" s="336"/>
      <c r="BC601" s="336"/>
      <c r="BD601" s="336"/>
      <c r="BE601" s="336"/>
      <c r="BF601" s="336"/>
    </row>
    <row r="602" spans="1:58" s="351" customFormat="1" x14ac:dyDescent="0.25">
      <c r="A602" s="336"/>
      <c r="B602" s="336"/>
      <c r="C602" s="336"/>
      <c r="D602" s="336"/>
      <c r="E602" s="336"/>
      <c r="F602" s="336"/>
      <c r="G602" s="336"/>
      <c r="H602" s="336"/>
      <c r="M602" s="352"/>
      <c r="N602" s="353"/>
      <c r="O602" s="353"/>
      <c r="T602" s="377"/>
      <c r="U602" s="352"/>
      <c r="V602" s="352"/>
      <c r="W602" s="352"/>
      <c r="X602" s="375"/>
      <c r="Y602" s="375"/>
      <c r="Z602" s="336"/>
      <c r="AA602" s="353"/>
      <c r="AB602" s="336"/>
      <c r="AC602" s="336"/>
      <c r="AD602" s="336"/>
      <c r="AE602" s="336"/>
      <c r="AF602" s="336"/>
      <c r="AG602" s="336"/>
      <c r="AH602" s="336"/>
      <c r="AI602" s="336"/>
      <c r="AJ602" s="336"/>
      <c r="AK602" s="336"/>
      <c r="AL602" s="336"/>
      <c r="AM602" s="336"/>
      <c r="AN602" s="336"/>
      <c r="AO602" s="336"/>
      <c r="AP602" s="336"/>
      <c r="AQ602" s="336"/>
      <c r="AR602" s="336"/>
      <c r="AS602" s="336"/>
      <c r="AT602" s="336"/>
      <c r="AU602" s="336"/>
      <c r="AV602" s="336"/>
      <c r="AW602" s="336"/>
      <c r="AX602" s="336"/>
      <c r="AY602" s="336"/>
      <c r="AZ602" s="336"/>
      <c r="BA602" s="336"/>
      <c r="BB602" s="336"/>
      <c r="BC602" s="336"/>
      <c r="BD602" s="336"/>
      <c r="BE602" s="336"/>
      <c r="BF602" s="336"/>
    </row>
    <row r="603" spans="1:58" s="351" customFormat="1" x14ac:dyDescent="0.25">
      <c r="A603" s="336"/>
      <c r="B603" s="336"/>
      <c r="C603" s="336"/>
      <c r="D603" s="336"/>
      <c r="E603" s="336"/>
      <c r="F603" s="336"/>
      <c r="G603" s="336"/>
      <c r="H603" s="336"/>
      <c r="M603" s="352"/>
      <c r="N603" s="353"/>
      <c r="O603" s="353"/>
      <c r="T603" s="377"/>
      <c r="U603" s="352"/>
      <c r="V603" s="352"/>
      <c r="W603" s="352"/>
      <c r="X603" s="375"/>
      <c r="Y603" s="375"/>
      <c r="Z603" s="336"/>
      <c r="AA603" s="353"/>
      <c r="AB603" s="336"/>
      <c r="AC603" s="336"/>
      <c r="AD603" s="336"/>
      <c r="AE603" s="336"/>
      <c r="AF603" s="336"/>
      <c r="AG603" s="336"/>
      <c r="AH603" s="336"/>
      <c r="AI603" s="336"/>
      <c r="AJ603" s="336"/>
      <c r="AK603" s="336"/>
      <c r="AL603" s="336"/>
      <c r="AM603" s="336"/>
      <c r="AN603" s="336"/>
      <c r="AO603" s="336"/>
      <c r="AP603" s="336"/>
      <c r="AQ603" s="336"/>
      <c r="AR603" s="336"/>
      <c r="AS603" s="336"/>
      <c r="AT603" s="336"/>
      <c r="AU603" s="336"/>
      <c r="AV603" s="336"/>
      <c r="AW603" s="336"/>
      <c r="AX603" s="336"/>
      <c r="AY603" s="336"/>
      <c r="AZ603" s="336"/>
      <c r="BA603" s="336"/>
      <c r="BB603" s="336"/>
      <c r="BC603" s="336"/>
      <c r="BD603" s="336"/>
      <c r="BE603" s="336"/>
      <c r="BF603" s="336"/>
    </row>
    <row r="604" spans="1:58" s="351" customFormat="1" x14ac:dyDescent="0.25">
      <c r="A604" s="336"/>
      <c r="B604" s="336"/>
      <c r="C604" s="336"/>
      <c r="D604" s="336"/>
      <c r="E604" s="336"/>
      <c r="F604" s="336"/>
      <c r="G604" s="336"/>
      <c r="H604" s="336"/>
      <c r="M604" s="352"/>
      <c r="N604" s="353"/>
      <c r="O604" s="353"/>
      <c r="T604" s="377"/>
      <c r="U604" s="352"/>
      <c r="V604" s="352"/>
      <c r="W604" s="352"/>
      <c r="X604" s="375"/>
      <c r="Y604" s="375"/>
      <c r="Z604" s="336"/>
      <c r="AA604" s="353"/>
      <c r="AB604" s="336"/>
      <c r="AC604" s="336"/>
      <c r="AD604" s="336"/>
      <c r="AE604" s="336"/>
      <c r="AF604" s="336"/>
      <c r="AG604" s="336"/>
      <c r="AH604" s="336"/>
      <c r="AI604" s="336"/>
      <c r="AJ604" s="336"/>
      <c r="AK604" s="336"/>
      <c r="AL604" s="336"/>
      <c r="AM604" s="336"/>
      <c r="AN604" s="336"/>
      <c r="AO604" s="336"/>
      <c r="AP604" s="336"/>
      <c r="AQ604" s="336"/>
      <c r="AR604" s="336"/>
      <c r="AS604" s="336"/>
      <c r="AT604" s="336"/>
      <c r="AU604" s="336"/>
      <c r="AV604" s="336"/>
      <c r="AW604" s="336"/>
      <c r="AX604" s="336"/>
      <c r="AY604" s="336"/>
      <c r="AZ604" s="336"/>
      <c r="BA604" s="336"/>
      <c r="BB604" s="336"/>
      <c r="BC604" s="336"/>
      <c r="BD604" s="336"/>
      <c r="BE604" s="336"/>
      <c r="BF604" s="336"/>
    </row>
    <row r="605" spans="1:58" s="351" customFormat="1" x14ac:dyDescent="0.25">
      <c r="A605" s="336"/>
      <c r="B605" s="336"/>
      <c r="C605" s="336"/>
      <c r="D605" s="336"/>
      <c r="E605" s="336"/>
      <c r="F605" s="336"/>
      <c r="G605" s="336"/>
      <c r="H605" s="336"/>
      <c r="M605" s="352"/>
      <c r="N605" s="353"/>
      <c r="O605" s="353"/>
      <c r="T605" s="377"/>
      <c r="U605" s="352"/>
      <c r="V605" s="352"/>
      <c r="W605" s="352"/>
      <c r="X605" s="375"/>
      <c r="Y605" s="375"/>
      <c r="Z605" s="336"/>
      <c r="AA605" s="353"/>
      <c r="AB605" s="336"/>
      <c r="AC605" s="336"/>
      <c r="AD605" s="336"/>
      <c r="AE605" s="336"/>
      <c r="AF605" s="336"/>
      <c r="AG605" s="336"/>
      <c r="AH605" s="336"/>
      <c r="AI605" s="336"/>
      <c r="AJ605" s="336"/>
      <c r="AK605" s="336"/>
      <c r="AL605" s="336"/>
      <c r="AM605" s="336"/>
      <c r="AN605" s="336"/>
      <c r="AO605" s="336"/>
      <c r="AP605" s="336"/>
      <c r="AQ605" s="336"/>
      <c r="AR605" s="336"/>
      <c r="AS605" s="336"/>
      <c r="AT605" s="336"/>
      <c r="AU605" s="336"/>
      <c r="AV605" s="336"/>
      <c r="AW605" s="336"/>
      <c r="AX605" s="336"/>
      <c r="AY605" s="336"/>
      <c r="AZ605" s="336"/>
      <c r="BA605" s="336"/>
      <c r="BB605" s="336"/>
      <c r="BC605" s="336"/>
      <c r="BD605" s="336"/>
      <c r="BE605" s="336"/>
      <c r="BF605" s="336"/>
    </row>
    <row r="606" spans="1:58" s="351" customFormat="1" x14ac:dyDescent="0.25">
      <c r="A606" s="336"/>
      <c r="B606" s="336"/>
      <c r="C606" s="336"/>
      <c r="D606" s="336"/>
      <c r="E606" s="336"/>
      <c r="F606" s="336"/>
      <c r="G606" s="336"/>
      <c r="H606" s="336"/>
      <c r="M606" s="352"/>
      <c r="N606" s="353"/>
      <c r="O606" s="353"/>
      <c r="T606" s="377"/>
      <c r="U606" s="352"/>
      <c r="V606" s="352"/>
      <c r="W606" s="352"/>
      <c r="X606" s="375"/>
      <c r="Y606" s="375"/>
      <c r="Z606" s="336"/>
      <c r="AA606" s="353"/>
      <c r="AB606" s="336"/>
      <c r="AC606" s="336"/>
      <c r="AD606" s="336"/>
      <c r="AE606" s="336"/>
      <c r="AF606" s="336"/>
      <c r="AG606" s="336"/>
      <c r="AH606" s="336"/>
      <c r="AI606" s="336"/>
      <c r="AJ606" s="336"/>
      <c r="AK606" s="336"/>
      <c r="AL606" s="336"/>
      <c r="AM606" s="336"/>
      <c r="AN606" s="336"/>
      <c r="AO606" s="336"/>
      <c r="AP606" s="336"/>
      <c r="AQ606" s="336"/>
      <c r="AR606" s="336"/>
      <c r="AS606" s="336"/>
      <c r="AT606" s="336"/>
      <c r="AU606" s="336"/>
      <c r="AV606" s="336"/>
      <c r="AW606" s="336"/>
      <c r="AX606" s="336"/>
      <c r="AY606" s="336"/>
      <c r="AZ606" s="336"/>
      <c r="BA606" s="336"/>
      <c r="BB606" s="336"/>
      <c r="BC606" s="336"/>
      <c r="BD606" s="336"/>
      <c r="BE606" s="336"/>
      <c r="BF606" s="336"/>
    </row>
    <row r="607" spans="1:58" s="351" customFormat="1" x14ac:dyDescent="0.25">
      <c r="A607" s="336"/>
      <c r="B607" s="336"/>
      <c r="C607" s="336"/>
      <c r="D607" s="336"/>
      <c r="E607" s="336"/>
      <c r="F607" s="336"/>
      <c r="G607" s="336"/>
      <c r="H607" s="336"/>
      <c r="M607" s="352"/>
      <c r="N607" s="353"/>
      <c r="O607" s="353"/>
      <c r="T607" s="377"/>
      <c r="U607" s="352"/>
      <c r="V607" s="352"/>
      <c r="W607" s="352"/>
      <c r="X607" s="375"/>
      <c r="Y607" s="375"/>
      <c r="Z607" s="336"/>
      <c r="AA607" s="353"/>
      <c r="AB607" s="336"/>
      <c r="AC607" s="336"/>
      <c r="AD607" s="336"/>
      <c r="AE607" s="336"/>
      <c r="AF607" s="336"/>
      <c r="AG607" s="336"/>
      <c r="AH607" s="336"/>
      <c r="AI607" s="336"/>
      <c r="AJ607" s="336"/>
      <c r="AK607" s="336"/>
      <c r="AL607" s="336"/>
      <c r="AM607" s="336"/>
      <c r="AN607" s="336"/>
      <c r="AO607" s="336"/>
      <c r="AP607" s="336"/>
      <c r="AQ607" s="336"/>
      <c r="AR607" s="336"/>
      <c r="AS607" s="336"/>
      <c r="AT607" s="336"/>
      <c r="AU607" s="336"/>
      <c r="AV607" s="336"/>
      <c r="AW607" s="336"/>
      <c r="AX607" s="336"/>
      <c r="AY607" s="336"/>
      <c r="AZ607" s="336"/>
      <c r="BA607" s="336"/>
      <c r="BB607" s="336"/>
      <c r="BC607" s="336"/>
      <c r="BD607" s="336"/>
      <c r="BE607" s="336"/>
      <c r="BF607" s="336"/>
    </row>
    <row r="608" spans="1:58" s="351" customFormat="1" x14ac:dyDescent="0.25">
      <c r="A608" s="336"/>
      <c r="B608" s="336"/>
      <c r="C608" s="336"/>
      <c r="D608" s="336"/>
      <c r="E608" s="336"/>
      <c r="F608" s="336"/>
      <c r="G608" s="336"/>
      <c r="H608" s="336"/>
      <c r="M608" s="352"/>
      <c r="N608" s="353"/>
      <c r="O608" s="353"/>
      <c r="T608" s="377"/>
      <c r="U608" s="352"/>
      <c r="V608" s="352"/>
      <c r="W608" s="352"/>
      <c r="X608" s="375"/>
      <c r="Y608" s="375"/>
      <c r="Z608" s="336"/>
      <c r="AA608" s="353"/>
      <c r="AB608" s="336"/>
      <c r="AC608" s="336"/>
      <c r="AD608" s="336"/>
      <c r="AE608" s="336"/>
      <c r="AF608" s="336"/>
      <c r="AG608" s="336"/>
      <c r="AH608" s="336"/>
      <c r="AI608" s="336"/>
      <c r="AJ608" s="336"/>
      <c r="AK608" s="336"/>
      <c r="AL608" s="336"/>
      <c r="AM608" s="336"/>
      <c r="AN608" s="336"/>
      <c r="AO608" s="336"/>
      <c r="AP608" s="336"/>
      <c r="AQ608" s="336"/>
      <c r="AR608" s="336"/>
      <c r="AS608" s="336"/>
      <c r="AT608" s="336"/>
      <c r="AU608" s="336"/>
      <c r="AV608" s="336"/>
      <c r="AW608" s="336"/>
      <c r="AX608" s="336"/>
      <c r="AY608" s="336"/>
      <c r="AZ608" s="336"/>
      <c r="BA608" s="336"/>
      <c r="BB608" s="336"/>
      <c r="BC608" s="336"/>
      <c r="BD608" s="336"/>
      <c r="BE608" s="336"/>
      <c r="BF608" s="336"/>
    </row>
    <row r="609" spans="1:58" s="351" customFormat="1" x14ac:dyDescent="0.25">
      <c r="A609" s="336"/>
      <c r="B609" s="336"/>
      <c r="C609" s="336"/>
      <c r="D609" s="336"/>
      <c r="E609" s="336"/>
      <c r="F609" s="336"/>
      <c r="G609" s="336"/>
      <c r="H609" s="336"/>
      <c r="M609" s="352"/>
      <c r="N609" s="353"/>
      <c r="O609" s="353"/>
      <c r="T609" s="377"/>
      <c r="U609" s="352"/>
      <c r="V609" s="352"/>
      <c r="W609" s="352"/>
      <c r="X609" s="375"/>
      <c r="Y609" s="375"/>
      <c r="Z609" s="336"/>
      <c r="AA609" s="353"/>
      <c r="AB609" s="336"/>
      <c r="AC609" s="336"/>
      <c r="AD609" s="336"/>
      <c r="AE609" s="336"/>
      <c r="AF609" s="336"/>
      <c r="AG609" s="336"/>
      <c r="AH609" s="336"/>
      <c r="AI609" s="336"/>
      <c r="AJ609" s="336"/>
      <c r="AK609" s="336"/>
      <c r="AL609" s="336"/>
      <c r="AM609" s="336"/>
      <c r="AN609" s="336"/>
      <c r="AO609" s="336"/>
      <c r="AP609" s="336"/>
      <c r="AQ609" s="336"/>
      <c r="AR609" s="336"/>
      <c r="AS609" s="336"/>
      <c r="AT609" s="336"/>
      <c r="AU609" s="336"/>
      <c r="AV609" s="336"/>
      <c r="AW609" s="336"/>
      <c r="AX609" s="336"/>
      <c r="AY609" s="336"/>
      <c r="AZ609" s="336"/>
      <c r="BA609" s="336"/>
      <c r="BB609" s="336"/>
      <c r="BC609" s="336"/>
      <c r="BD609" s="336"/>
      <c r="BE609" s="336"/>
      <c r="BF609" s="336"/>
    </row>
    <row r="610" spans="1:58" s="351" customFormat="1" x14ac:dyDescent="0.25">
      <c r="A610" s="336"/>
      <c r="B610" s="336"/>
      <c r="C610" s="336"/>
      <c r="D610" s="336"/>
      <c r="E610" s="336"/>
      <c r="F610" s="336"/>
      <c r="G610" s="336"/>
      <c r="H610" s="336"/>
      <c r="M610" s="352"/>
      <c r="N610" s="353"/>
      <c r="O610" s="353"/>
      <c r="T610" s="377"/>
      <c r="U610" s="352"/>
      <c r="V610" s="352"/>
      <c r="W610" s="352"/>
      <c r="X610" s="375"/>
      <c r="Y610" s="375"/>
      <c r="Z610" s="336"/>
      <c r="AA610" s="353"/>
      <c r="AB610" s="336"/>
      <c r="AC610" s="336"/>
      <c r="AD610" s="336"/>
      <c r="AE610" s="336"/>
      <c r="AF610" s="336"/>
      <c r="AG610" s="336"/>
      <c r="AH610" s="336"/>
      <c r="AI610" s="336"/>
      <c r="AJ610" s="336"/>
      <c r="AK610" s="336"/>
      <c r="AL610" s="336"/>
      <c r="AM610" s="336"/>
      <c r="AN610" s="336"/>
      <c r="AO610" s="336"/>
      <c r="AP610" s="336"/>
      <c r="AQ610" s="336"/>
      <c r="AR610" s="336"/>
      <c r="AS610" s="336"/>
      <c r="AT610" s="336"/>
      <c r="AU610" s="336"/>
      <c r="AV610" s="336"/>
      <c r="AW610" s="336"/>
      <c r="AX610" s="336"/>
      <c r="AY610" s="336"/>
      <c r="AZ610" s="336"/>
      <c r="BA610" s="336"/>
      <c r="BB610" s="336"/>
      <c r="BC610" s="336"/>
      <c r="BD610" s="336"/>
      <c r="BE610" s="336"/>
      <c r="BF610" s="336"/>
    </row>
    <row r="611" spans="1:58" s="351" customFormat="1" x14ac:dyDescent="0.25">
      <c r="A611" s="336"/>
      <c r="B611" s="336"/>
      <c r="C611" s="336"/>
      <c r="D611" s="336"/>
      <c r="E611" s="336"/>
      <c r="F611" s="336"/>
      <c r="G611" s="336"/>
      <c r="H611" s="336"/>
      <c r="M611" s="352"/>
      <c r="N611" s="353"/>
      <c r="O611" s="353"/>
      <c r="T611" s="377"/>
      <c r="U611" s="352"/>
      <c r="V611" s="352"/>
      <c r="W611" s="352"/>
      <c r="X611" s="375"/>
      <c r="Y611" s="375"/>
      <c r="Z611" s="336"/>
      <c r="AA611" s="353"/>
      <c r="AB611" s="336"/>
      <c r="AC611" s="336"/>
      <c r="AD611" s="336"/>
      <c r="AE611" s="336"/>
      <c r="AF611" s="336"/>
      <c r="AG611" s="336"/>
      <c r="AH611" s="336"/>
      <c r="AI611" s="336"/>
      <c r="AJ611" s="336"/>
      <c r="AK611" s="336"/>
      <c r="AL611" s="336"/>
      <c r="AM611" s="336"/>
      <c r="AN611" s="336"/>
      <c r="AO611" s="336"/>
      <c r="AP611" s="336"/>
      <c r="AQ611" s="336"/>
      <c r="AR611" s="336"/>
      <c r="AS611" s="336"/>
      <c r="AT611" s="336"/>
      <c r="AU611" s="336"/>
      <c r="AV611" s="336"/>
      <c r="AW611" s="336"/>
      <c r="AX611" s="336"/>
      <c r="AY611" s="336"/>
      <c r="AZ611" s="336"/>
      <c r="BA611" s="336"/>
      <c r="BB611" s="336"/>
      <c r="BC611" s="336"/>
      <c r="BD611" s="336"/>
      <c r="BE611" s="336"/>
      <c r="BF611" s="336"/>
    </row>
    <row r="612" spans="1:58" s="351" customFormat="1" x14ac:dyDescent="0.25">
      <c r="A612" s="336"/>
      <c r="B612" s="336"/>
      <c r="C612" s="336"/>
      <c r="D612" s="336"/>
      <c r="E612" s="336"/>
      <c r="F612" s="336"/>
      <c r="G612" s="336"/>
      <c r="H612" s="336"/>
      <c r="M612" s="352"/>
      <c r="N612" s="353"/>
      <c r="O612" s="353"/>
      <c r="T612" s="377"/>
      <c r="U612" s="352"/>
      <c r="V612" s="352"/>
      <c r="W612" s="352"/>
      <c r="X612" s="375"/>
      <c r="Y612" s="375"/>
      <c r="Z612" s="336"/>
      <c r="AA612" s="353"/>
      <c r="AB612" s="336"/>
      <c r="AC612" s="336"/>
      <c r="AD612" s="336"/>
      <c r="AE612" s="336"/>
      <c r="AF612" s="336"/>
      <c r="AG612" s="336"/>
      <c r="AH612" s="336"/>
      <c r="AI612" s="336"/>
      <c r="AJ612" s="336"/>
      <c r="AK612" s="336"/>
      <c r="AL612" s="336"/>
      <c r="AM612" s="336"/>
      <c r="AN612" s="336"/>
      <c r="AO612" s="336"/>
      <c r="AP612" s="336"/>
      <c r="AQ612" s="336"/>
      <c r="AR612" s="336"/>
      <c r="AS612" s="336"/>
      <c r="AT612" s="336"/>
      <c r="AU612" s="336"/>
      <c r="AV612" s="336"/>
      <c r="AW612" s="336"/>
      <c r="AX612" s="336"/>
      <c r="AY612" s="336"/>
      <c r="AZ612" s="336"/>
      <c r="BA612" s="336"/>
      <c r="BB612" s="336"/>
      <c r="BC612" s="336"/>
      <c r="BD612" s="336"/>
      <c r="BE612" s="336"/>
      <c r="BF612" s="336"/>
    </row>
    <row r="613" spans="1:58" s="351" customFormat="1" x14ac:dyDescent="0.25">
      <c r="A613" s="336"/>
      <c r="B613" s="336"/>
      <c r="C613" s="336"/>
      <c r="D613" s="336"/>
      <c r="E613" s="336"/>
      <c r="F613" s="336"/>
      <c r="G613" s="336"/>
      <c r="H613" s="336"/>
      <c r="M613" s="352"/>
      <c r="N613" s="353"/>
      <c r="O613" s="353"/>
      <c r="T613" s="377"/>
      <c r="U613" s="352"/>
      <c r="V613" s="352"/>
      <c r="W613" s="352"/>
      <c r="X613" s="375"/>
      <c r="Y613" s="375"/>
      <c r="Z613" s="336"/>
      <c r="AA613" s="353"/>
      <c r="AB613" s="336"/>
      <c r="AC613" s="336"/>
      <c r="AD613" s="336"/>
      <c r="AE613" s="336"/>
      <c r="AF613" s="336"/>
      <c r="AG613" s="336"/>
      <c r="AH613" s="336"/>
      <c r="AI613" s="336"/>
      <c r="AJ613" s="336"/>
      <c r="AK613" s="336"/>
      <c r="AL613" s="336"/>
      <c r="AM613" s="336"/>
      <c r="AN613" s="336"/>
      <c r="AO613" s="336"/>
      <c r="AP613" s="336"/>
      <c r="AQ613" s="336"/>
      <c r="AR613" s="336"/>
      <c r="AS613" s="336"/>
      <c r="AT613" s="336"/>
      <c r="AU613" s="336"/>
      <c r="AV613" s="336"/>
      <c r="AW613" s="336"/>
      <c r="AX613" s="336"/>
      <c r="AY613" s="336"/>
      <c r="AZ613" s="336"/>
      <c r="BA613" s="336"/>
      <c r="BB613" s="336"/>
      <c r="BC613" s="336"/>
      <c r="BD613" s="336"/>
      <c r="BE613" s="336"/>
      <c r="BF613" s="336"/>
    </row>
    <row r="614" spans="1:58" s="351" customFormat="1" x14ac:dyDescent="0.25">
      <c r="A614" s="336"/>
      <c r="B614" s="336"/>
      <c r="C614" s="336"/>
      <c r="D614" s="336"/>
      <c r="E614" s="336"/>
      <c r="F614" s="336"/>
      <c r="G614" s="336"/>
      <c r="H614" s="336"/>
      <c r="M614" s="352"/>
      <c r="N614" s="353"/>
      <c r="O614" s="353"/>
      <c r="T614" s="377"/>
      <c r="U614" s="352"/>
      <c r="V614" s="352"/>
      <c r="W614" s="352"/>
      <c r="X614" s="375"/>
      <c r="Y614" s="375"/>
      <c r="Z614" s="336"/>
      <c r="AA614" s="353"/>
      <c r="AB614" s="336"/>
      <c r="AC614" s="336"/>
      <c r="AD614" s="336"/>
      <c r="AE614" s="336"/>
      <c r="AF614" s="336"/>
      <c r="AG614" s="336"/>
      <c r="AH614" s="336"/>
      <c r="AI614" s="336"/>
      <c r="AJ614" s="336"/>
      <c r="AK614" s="336"/>
      <c r="AL614" s="336"/>
      <c r="AM614" s="336"/>
      <c r="AN614" s="336"/>
      <c r="AO614" s="336"/>
      <c r="AP614" s="336"/>
      <c r="AQ614" s="336"/>
      <c r="AR614" s="336"/>
      <c r="AS614" s="336"/>
      <c r="AT614" s="336"/>
      <c r="AU614" s="336"/>
      <c r="AV614" s="336"/>
      <c r="AW614" s="336"/>
      <c r="AX614" s="336"/>
      <c r="AY614" s="336"/>
      <c r="AZ614" s="336"/>
      <c r="BA614" s="336"/>
      <c r="BB614" s="336"/>
      <c r="BC614" s="336"/>
      <c r="BD614" s="336"/>
      <c r="BE614" s="336"/>
      <c r="BF614" s="336"/>
    </row>
    <row r="615" spans="1:58" s="351" customFormat="1" x14ac:dyDescent="0.25">
      <c r="A615" s="336"/>
      <c r="B615" s="336"/>
      <c r="C615" s="336"/>
      <c r="D615" s="336"/>
      <c r="E615" s="336"/>
      <c r="F615" s="336"/>
      <c r="G615" s="336"/>
      <c r="H615" s="336"/>
      <c r="M615" s="352"/>
      <c r="N615" s="353"/>
      <c r="O615" s="353"/>
      <c r="T615" s="377"/>
      <c r="U615" s="352"/>
      <c r="V615" s="352"/>
      <c r="W615" s="352"/>
      <c r="X615" s="375"/>
      <c r="Y615" s="375"/>
      <c r="Z615" s="336"/>
      <c r="AA615" s="353"/>
      <c r="AB615" s="336"/>
      <c r="AC615" s="336"/>
      <c r="AD615" s="336"/>
      <c r="AE615" s="336"/>
      <c r="AF615" s="336"/>
      <c r="AG615" s="336"/>
      <c r="AH615" s="336"/>
      <c r="AI615" s="336"/>
      <c r="AJ615" s="336"/>
      <c r="AK615" s="336"/>
      <c r="AL615" s="336"/>
      <c r="AM615" s="336"/>
      <c r="AN615" s="336"/>
      <c r="AO615" s="336"/>
      <c r="AP615" s="336"/>
      <c r="AQ615" s="336"/>
      <c r="AR615" s="336"/>
      <c r="AS615" s="336"/>
      <c r="AT615" s="336"/>
      <c r="AU615" s="336"/>
      <c r="AV615" s="336"/>
      <c r="AW615" s="336"/>
      <c r="AX615" s="336"/>
      <c r="AY615" s="336"/>
      <c r="AZ615" s="336"/>
      <c r="BA615" s="336"/>
      <c r="BB615" s="336"/>
      <c r="BC615" s="336"/>
      <c r="BD615" s="336"/>
      <c r="BE615" s="336"/>
      <c r="BF615" s="336"/>
    </row>
    <row r="616" spans="1:58" s="351" customFormat="1" x14ac:dyDescent="0.25">
      <c r="A616" s="336"/>
      <c r="B616" s="336"/>
      <c r="C616" s="336"/>
      <c r="D616" s="336"/>
      <c r="E616" s="336"/>
      <c r="F616" s="336"/>
      <c r="G616" s="336"/>
      <c r="H616" s="336"/>
      <c r="M616" s="352"/>
      <c r="N616" s="353"/>
      <c r="O616" s="353"/>
      <c r="T616" s="377"/>
      <c r="U616" s="352"/>
      <c r="V616" s="352"/>
      <c r="W616" s="352"/>
      <c r="X616" s="375"/>
      <c r="Y616" s="375"/>
      <c r="Z616" s="336"/>
      <c r="AA616" s="353"/>
      <c r="AB616" s="336"/>
      <c r="AC616" s="336"/>
      <c r="AD616" s="336"/>
      <c r="AE616" s="336"/>
      <c r="AF616" s="336"/>
      <c r="AG616" s="336"/>
      <c r="AH616" s="336"/>
      <c r="AI616" s="336"/>
      <c r="AJ616" s="336"/>
      <c r="AK616" s="336"/>
      <c r="AL616" s="336"/>
      <c r="AM616" s="336"/>
      <c r="AN616" s="336"/>
      <c r="AO616" s="336"/>
      <c r="AP616" s="336"/>
      <c r="AQ616" s="336"/>
      <c r="AR616" s="336"/>
      <c r="AS616" s="336"/>
      <c r="AT616" s="336"/>
      <c r="AU616" s="336"/>
      <c r="AV616" s="336"/>
      <c r="AW616" s="336"/>
      <c r="AX616" s="336"/>
      <c r="AY616" s="336"/>
      <c r="AZ616" s="336"/>
      <c r="BA616" s="336"/>
      <c r="BB616" s="336"/>
      <c r="BC616" s="336"/>
      <c r="BD616" s="336"/>
      <c r="BE616" s="336"/>
      <c r="BF616" s="336"/>
    </row>
    <row r="617" spans="1:58" s="351" customFormat="1" x14ac:dyDescent="0.25">
      <c r="A617" s="336"/>
      <c r="B617" s="336"/>
      <c r="C617" s="336"/>
      <c r="D617" s="336"/>
      <c r="E617" s="336"/>
      <c r="F617" s="336"/>
      <c r="G617" s="336"/>
      <c r="H617" s="336"/>
      <c r="M617" s="352"/>
      <c r="N617" s="353"/>
      <c r="O617" s="353"/>
      <c r="T617" s="377"/>
      <c r="U617" s="352"/>
      <c r="V617" s="352"/>
      <c r="W617" s="352"/>
      <c r="X617" s="375"/>
      <c r="Y617" s="375"/>
      <c r="Z617" s="336"/>
      <c r="AA617" s="353"/>
      <c r="AB617" s="336"/>
      <c r="AC617" s="336"/>
      <c r="AD617" s="336"/>
      <c r="AE617" s="336"/>
      <c r="AF617" s="336"/>
      <c r="AG617" s="336"/>
      <c r="AH617" s="336"/>
      <c r="AI617" s="336"/>
      <c r="AJ617" s="336"/>
      <c r="AK617" s="336"/>
      <c r="AL617" s="336"/>
      <c r="AM617" s="336"/>
      <c r="AN617" s="336"/>
      <c r="AO617" s="336"/>
      <c r="AP617" s="336"/>
      <c r="AQ617" s="336"/>
      <c r="AR617" s="336"/>
      <c r="AS617" s="336"/>
      <c r="AT617" s="336"/>
      <c r="AU617" s="336"/>
      <c r="AV617" s="336"/>
      <c r="AW617" s="336"/>
      <c r="AX617" s="336"/>
      <c r="AY617" s="336"/>
      <c r="AZ617" s="336"/>
      <c r="BA617" s="336"/>
      <c r="BB617" s="336"/>
      <c r="BC617" s="336"/>
      <c r="BD617" s="336"/>
      <c r="BE617" s="336"/>
      <c r="BF617" s="336"/>
    </row>
    <row r="618" spans="1:58" s="351" customFormat="1" x14ac:dyDescent="0.25">
      <c r="A618" s="336"/>
      <c r="B618" s="336"/>
      <c r="C618" s="336"/>
      <c r="D618" s="336"/>
      <c r="E618" s="336"/>
      <c r="F618" s="336"/>
      <c r="G618" s="336"/>
      <c r="H618" s="336"/>
      <c r="M618" s="352"/>
      <c r="N618" s="353"/>
      <c r="O618" s="353"/>
      <c r="T618" s="377"/>
      <c r="U618" s="352"/>
      <c r="V618" s="352"/>
      <c r="W618" s="352"/>
      <c r="X618" s="375"/>
      <c r="Y618" s="375"/>
      <c r="Z618" s="336"/>
      <c r="AA618" s="353"/>
      <c r="AB618" s="336"/>
      <c r="AC618" s="336"/>
      <c r="AD618" s="336"/>
      <c r="AE618" s="336"/>
      <c r="AF618" s="336"/>
      <c r="AG618" s="336"/>
      <c r="AH618" s="336"/>
      <c r="AI618" s="336"/>
      <c r="AJ618" s="336"/>
      <c r="AK618" s="336"/>
      <c r="AL618" s="336"/>
      <c r="AM618" s="336"/>
      <c r="AN618" s="336"/>
      <c r="AO618" s="336"/>
      <c r="AP618" s="336"/>
      <c r="AQ618" s="336"/>
      <c r="AR618" s="336"/>
      <c r="AS618" s="336"/>
      <c r="AT618" s="336"/>
      <c r="AU618" s="336"/>
      <c r="AV618" s="336"/>
      <c r="AW618" s="336"/>
      <c r="AX618" s="336"/>
      <c r="AY618" s="336"/>
      <c r="AZ618" s="336"/>
      <c r="BA618" s="336"/>
      <c r="BB618" s="336"/>
      <c r="BC618" s="336"/>
      <c r="BD618" s="336"/>
      <c r="BE618" s="336"/>
      <c r="BF618" s="336"/>
    </row>
    <row r="619" spans="1:58" s="351" customFormat="1" x14ac:dyDescent="0.25">
      <c r="A619" s="336"/>
      <c r="B619" s="336"/>
      <c r="C619" s="336"/>
      <c r="D619" s="336"/>
      <c r="E619" s="336"/>
      <c r="F619" s="336"/>
      <c r="G619" s="336"/>
      <c r="H619" s="336"/>
      <c r="M619" s="352"/>
      <c r="N619" s="353"/>
      <c r="O619" s="353"/>
      <c r="T619" s="377"/>
      <c r="U619" s="352"/>
      <c r="V619" s="352"/>
      <c r="W619" s="352"/>
      <c r="X619" s="375"/>
      <c r="Y619" s="375"/>
      <c r="Z619" s="336"/>
      <c r="AA619" s="353"/>
      <c r="AB619" s="336"/>
      <c r="AC619" s="336"/>
      <c r="AD619" s="336"/>
      <c r="AE619" s="336"/>
      <c r="AF619" s="336"/>
      <c r="AG619" s="336"/>
      <c r="AH619" s="336"/>
      <c r="AI619" s="336"/>
      <c r="AJ619" s="336"/>
      <c r="AK619" s="336"/>
      <c r="AL619" s="336"/>
      <c r="AM619" s="336"/>
      <c r="AN619" s="336"/>
      <c r="AO619" s="336"/>
      <c r="AP619" s="336"/>
      <c r="AQ619" s="336"/>
      <c r="AR619" s="336"/>
      <c r="AS619" s="336"/>
      <c r="AT619" s="336"/>
      <c r="AU619" s="336"/>
      <c r="AV619" s="336"/>
      <c r="AW619" s="336"/>
      <c r="AX619" s="336"/>
      <c r="AY619" s="336"/>
      <c r="AZ619" s="336"/>
      <c r="BA619" s="336"/>
      <c r="BB619" s="336"/>
      <c r="BC619" s="336"/>
      <c r="BD619" s="336"/>
      <c r="BE619" s="336"/>
      <c r="BF619" s="336"/>
    </row>
    <row r="620" spans="1:58" s="351" customFormat="1" x14ac:dyDescent="0.25">
      <c r="A620" s="336"/>
      <c r="B620" s="336"/>
      <c r="C620" s="336"/>
      <c r="D620" s="336"/>
      <c r="E620" s="336"/>
      <c r="F620" s="336"/>
      <c r="G620" s="336"/>
      <c r="H620" s="336"/>
      <c r="M620" s="352"/>
      <c r="N620" s="353"/>
      <c r="O620" s="353"/>
      <c r="T620" s="377"/>
      <c r="U620" s="352"/>
      <c r="V620" s="352"/>
      <c r="W620" s="352"/>
      <c r="X620" s="375"/>
      <c r="Y620" s="375"/>
      <c r="Z620" s="336"/>
      <c r="AA620" s="353"/>
      <c r="AB620" s="336"/>
      <c r="AC620" s="336"/>
      <c r="AD620" s="336"/>
      <c r="AE620" s="336"/>
      <c r="AF620" s="336"/>
      <c r="AG620" s="336"/>
      <c r="AH620" s="336"/>
      <c r="AI620" s="336"/>
      <c r="AJ620" s="336"/>
      <c r="AK620" s="336"/>
      <c r="AL620" s="336"/>
      <c r="AM620" s="336"/>
      <c r="AN620" s="336"/>
      <c r="AO620" s="336"/>
      <c r="AP620" s="336"/>
      <c r="AQ620" s="336"/>
      <c r="AR620" s="336"/>
      <c r="AS620" s="336"/>
      <c r="AT620" s="336"/>
      <c r="AU620" s="336"/>
      <c r="AV620" s="336"/>
      <c r="AW620" s="336"/>
      <c r="AX620" s="336"/>
      <c r="AY620" s="336"/>
      <c r="AZ620" s="336"/>
      <c r="BA620" s="336"/>
      <c r="BB620" s="336"/>
      <c r="BC620" s="336"/>
      <c r="BD620" s="336"/>
      <c r="BE620" s="336"/>
      <c r="BF620" s="336"/>
    </row>
    <row r="621" spans="1:58" s="351" customFormat="1" x14ac:dyDescent="0.25">
      <c r="A621" s="336"/>
      <c r="B621" s="336"/>
      <c r="C621" s="336"/>
      <c r="D621" s="336"/>
      <c r="E621" s="336"/>
      <c r="F621" s="336"/>
      <c r="G621" s="336"/>
      <c r="H621" s="336"/>
      <c r="M621" s="352"/>
      <c r="N621" s="353"/>
      <c r="O621" s="353"/>
      <c r="T621" s="377"/>
      <c r="U621" s="352"/>
      <c r="V621" s="352"/>
      <c r="W621" s="352"/>
      <c r="X621" s="375"/>
      <c r="Y621" s="375"/>
      <c r="Z621" s="336"/>
      <c r="AA621" s="353"/>
      <c r="AB621" s="336"/>
      <c r="AC621" s="336"/>
      <c r="AD621" s="336"/>
      <c r="AE621" s="336"/>
      <c r="AF621" s="336"/>
      <c r="AG621" s="336"/>
      <c r="AH621" s="336"/>
      <c r="AI621" s="336"/>
      <c r="AJ621" s="336"/>
      <c r="AK621" s="336"/>
      <c r="AL621" s="336"/>
      <c r="AM621" s="336"/>
      <c r="AN621" s="336"/>
      <c r="AO621" s="336"/>
      <c r="AP621" s="336"/>
      <c r="AQ621" s="336"/>
      <c r="AR621" s="336"/>
      <c r="AS621" s="336"/>
      <c r="AT621" s="336"/>
      <c r="AU621" s="336"/>
      <c r="AV621" s="336"/>
      <c r="AW621" s="336"/>
      <c r="AX621" s="336"/>
      <c r="AY621" s="336"/>
      <c r="AZ621" s="336"/>
      <c r="BA621" s="336"/>
      <c r="BB621" s="336"/>
      <c r="BC621" s="336"/>
      <c r="BD621" s="336"/>
      <c r="BE621" s="336"/>
      <c r="BF621" s="336"/>
    </row>
    <row r="622" spans="1:58" s="351" customFormat="1" x14ac:dyDescent="0.25">
      <c r="A622" s="336"/>
      <c r="B622" s="336"/>
      <c r="C622" s="336"/>
      <c r="D622" s="336"/>
      <c r="E622" s="336"/>
      <c r="F622" s="336"/>
      <c r="G622" s="336"/>
      <c r="H622" s="336"/>
      <c r="M622" s="352"/>
      <c r="N622" s="353"/>
      <c r="O622" s="353"/>
      <c r="T622" s="377"/>
      <c r="U622" s="352"/>
      <c r="V622" s="352"/>
      <c r="W622" s="352"/>
      <c r="X622" s="375"/>
      <c r="Y622" s="375"/>
      <c r="Z622" s="336"/>
      <c r="AA622" s="353"/>
      <c r="AB622" s="336"/>
      <c r="AC622" s="336"/>
      <c r="AD622" s="336"/>
      <c r="AE622" s="336"/>
      <c r="AF622" s="336"/>
      <c r="AG622" s="336"/>
      <c r="AH622" s="336"/>
      <c r="AI622" s="336"/>
      <c r="AJ622" s="336"/>
      <c r="AK622" s="336"/>
      <c r="AL622" s="336"/>
      <c r="AM622" s="336"/>
      <c r="AN622" s="336"/>
      <c r="AO622" s="336"/>
      <c r="AP622" s="336"/>
      <c r="AQ622" s="336"/>
      <c r="AR622" s="336"/>
      <c r="AS622" s="336"/>
      <c r="AT622" s="336"/>
      <c r="AU622" s="336"/>
      <c r="AV622" s="336"/>
      <c r="AW622" s="336"/>
      <c r="AX622" s="336"/>
      <c r="AY622" s="336"/>
      <c r="AZ622" s="336"/>
      <c r="BA622" s="336"/>
      <c r="BB622" s="336"/>
      <c r="BC622" s="336"/>
      <c r="BD622" s="336"/>
      <c r="BE622" s="336"/>
      <c r="BF622" s="336"/>
    </row>
    <row r="623" spans="1:58" s="351" customFormat="1" x14ac:dyDescent="0.25">
      <c r="A623" s="336"/>
      <c r="B623" s="336"/>
      <c r="C623" s="336"/>
      <c r="D623" s="336"/>
      <c r="E623" s="336"/>
      <c r="F623" s="336"/>
      <c r="G623" s="336"/>
      <c r="H623" s="336"/>
      <c r="M623" s="352"/>
      <c r="N623" s="353"/>
      <c r="O623" s="353"/>
      <c r="T623" s="377"/>
      <c r="U623" s="352"/>
      <c r="V623" s="352"/>
      <c r="W623" s="352"/>
      <c r="X623" s="375"/>
      <c r="Y623" s="375"/>
      <c r="Z623" s="336"/>
      <c r="AA623" s="353"/>
      <c r="AB623" s="336"/>
      <c r="AC623" s="336"/>
      <c r="AD623" s="336"/>
      <c r="AE623" s="336"/>
      <c r="AF623" s="336"/>
      <c r="AG623" s="336"/>
      <c r="AH623" s="336"/>
      <c r="AI623" s="336"/>
      <c r="AJ623" s="336"/>
      <c r="AK623" s="336"/>
      <c r="AL623" s="336"/>
      <c r="AM623" s="336"/>
      <c r="AN623" s="336"/>
      <c r="AO623" s="336"/>
      <c r="AP623" s="336"/>
      <c r="AQ623" s="336"/>
      <c r="AR623" s="336"/>
      <c r="AS623" s="336"/>
      <c r="AT623" s="336"/>
      <c r="AU623" s="336"/>
      <c r="AV623" s="336"/>
      <c r="AW623" s="336"/>
      <c r="AX623" s="336"/>
      <c r="AY623" s="336"/>
      <c r="AZ623" s="336"/>
      <c r="BA623" s="336"/>
      <c r="BB623" s="336"/>
      <c r="BC623" s="336"/>
      <c r="BD623" s="336"/>
      <c r="BE623" s="336"/>
      <c r="BF623" s="336"/>
    </row>
  </sheetData>
  <autoFilter ref="A3:AZ154" xr:uid="{00000000-0009-0000-0000-000003000000}"/>
  <mergeCells count="15">
    <mergeCell ref="N216:N217"/>
    <mergeCell ref="N229:N230"/>
    <mergeCell ref="N267:N268"/>
    <mergeCell ref="N97:N98"/>
    <mergeCell ref="N121:N122"/>
    <mergeCell ref="N127:N128"/>
    <mergeCell ref="N132:N133"/>
    <mergeCell ref="N157:N158"/>
    <mergeCell ref="N174:N175"/>
    <mergeCell ref="N28:N29"/>
    <mergeCell ref="N34:N35"/>
    <mergeCell ref="N45:N46"/>
    <mergeCell ref="N48:N49"/>
    <mergeCell ref="N72:N73"/>
    <mergeCell ref="N75:N77"/>
  </mergeCells>
  <pageMargins left="0" right="0" top="0.75" bottom="0" header="0.3" footer="0.3"/>
  <pageSetup scale="55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5ABC8-FB05-40EE-A4C0-34218D2A1EE1}">
  <dimension ref="A1:BI421"/>
  <sheetViews>
    <sheetView topLeftCell="V1" zoomScale="70" zoomScaleNormal="70" workbookViewId="0">
      <pane ySplit="3" topLeftCell="A43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1" width="8.5703125" style="336" customWidth="1"/>
    <col min="2" max="2" width="20.42578125" style="336" customWidth="1"/>
    <col min="3" max="3" width="27.28515625" style="336" customWidth="1"/>
    <col min="4" max="4" width="20.28515625" style="336" customWidth="1"/>
    <col min="5" max="5" width="21.42578125" style="336" customWidth="1"/>
    <col min="6" max="6" width="23.85546875" style="336" customWidth="1"/>
    <col min="7" max="7" width="9.7109375" style="336" customWidth="1"/>
    <col min="8" max="8" width="9.140625" style="336"/>
    <col min="9" max="12" width="12.42578125" style="351" customWidth="1"/>
    <col min="13" max="13" width="9.7109375" style="352" customWidth="1"/>
    <col min="14" max="14" width="15.140625" style="353" customWidth="1"/>
    <col min="15" max="15" width="14.42578125" style="351" customWidth="1"/>
    <col min="16" max="16" width="14.28515625" style="351" customWidth="1"/>
    <col min="17" max="19" width="10.42578125" style="351" customWidth="1"/>
    <col min="20" max="20" width="12.7109375" style="377" customWidth="1"/>
    <col min="21" max="22" width="11.7109375" style="352" customWidth="1"/>
    <col min="23" max="23" width="18.140625" style="352" customWidth="1"/>
    <col min="24" max="24" width="36" style="375" customWidth="1"/>
    <col min="25" max="25" width="19.140625" style="375" customWidth="1"/>
    <col min="26" max="26" width="29.85546875" style="336" customWidth="1"/>
    <col min="27" max="27" width="12.140625" style="353" customWidth="1"/>
    <col min="28" max="32" width="11.5703125" style="336" customWidth="1"/>
    <col min="33" max="35" width="12.5703125" style="336" customWidth="1"/>
    <col min="36" max="36" width="14.140625" style="336" customWidth="1"/>
    <col min="37" max="37" width="14.7109375" style="336" customWidth="1"/>
    <col min="38" max="38" width="11.140625" style="336" customWidth="1"/>
    <col min="39" max="39" width="19" style="336" customWidth="1"/>
    <col min="40" max="40" width="14.5703125" style="336" customWidth="1"/>
    <col min="41" max="41" width="14" style="336" customWidth="1"/>
    <col min="42" max="42" width="11.28515625" style="336" customWidth="1"/>
    <col min="43" max="46" width="13.42578125" style="336" customWidth="1"/>
    <col min="47" max="47" width="17.140625" style="336" customWidth="1"/>
    <col min="48" max="48" width="9.140625" style="336" customWidth="1"/>
    <col min="49" max="51" width="12" style="336" customWidth="1"/>
    <col min="52" max="52" width="11.28515625" style="336" customWidth="1"/>
    <col min="53" max="66" width="9.140625" style="336" customWidth="1"/>
    <col min="67" max="16384" width="9.140625" style="336"/>
  </cols>
  <sheetData>
    <row r="1" spans="1:61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73"/>
      <c r="R1" s="334" t="s">
        <v>18</v>
      </c>
      <c r="S1" s="334" t="s">
        <v>5116</v>
      </c>
      <c r="T1" s="374"/>
      <c r="U1" s="334"/>
      <c r="V1" s="334"/>
      <c r="W1" s="334"/>
      <c r="AA1" s="334"/>
      <c r="AB1" s="334"/>
      <c r="AC1" s="334"/>
      <c r="AD1" s="334"/>
      <c r="AE1" s="334"/>
      <c r="AF1" s="334"/>
      <c r="AQ1" s="334"/>
      <c r="AR1" s="334"/>
      <c r="AS1" s="334"/>
      <c r="AT1" s="334"/>
    </row>
    <row r="2" spans="1:61" ht="20.25" x14ac:dyDescent="0.25">
      <c r="Q2" s="376"/>
      <c r="R2" s="334" t="s">
        <v>13</v>
      </c>
      <c r="S2" s="334" t="s">
        <v>5117</v>
      </c>
    </row>
    <row r="3" spans="1:61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5118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78" t="s">
        <v>5119</v>
      </c>
      <c r="P3" s="338" t="s">
        <v>5120</v>
      </c>
      <c r="Q3" s="366" t="s">
        <v>4190</v>
      </c>
      <c r="R3" s="366" t="s">
        <v>9</v>
      </c>
      <c r="S3" s="366" t="s">
        <v>10</v>
      </c>
      <c r="T3" s="379"/>
      <c r="U3" s="338" t="s">
        <v>5121</v>
      </c>
      <c r="V3" s="338"/>
      <c r="W3" s="338"/>
      <c r="X3" s="338" t="s">
        <v>88</v>
      </c>
      <c r="Y3" s="338"/>
      <c r="Z3" s="338"/>
      <c r="AA3" s="342" t="s">
        <v>3801</v>
      </c>
      <c r="AB3" s="343" t="s">
        <v>3802</v>
      </c>
      <c r="AC3" s="161" t="s">
        <v>3803</v>
      </c>
      <c r="AD3" s="162" t="s">
        <v>3804</v>
      </c>
      <c r="AE3" s="344" t="s">
        <v>3805</v>
      </c>
      <c r="AF3" s="164" t="s">
        <v>3806</v>
      </c>
      <c r="AG3" s="345" t="s">
        <v>3807</v>
      </c>
      <c r="AH3" s="346" t="s">
        <v>3808</v>
      </c>
      <c r="AI3" s="167" t="s">
        <v>3809</v>
      </c>
      <c r="AJ3" s="343" t="s">
        <v>3810</v>
      </c>
      <c r="AK3" s="338" t="s">
        <v>91</v>
      </c>
      <c r="AL3" s="338" t="s">
        <v>92</v>
      </c>
      <c r="AM3" s="337" t="s">
        <v>93</v>
      </c>
      <c r="AN3" s="337" t="s">
        <v>94</v>
      </c>
      <c r="AO3" s="347" t="s">
        <v>95</v>
      </c>
      <c r="AP3" s="347" t="s">
        <v>96</v>
      </c>
      <c r="AU3" s="337" t="s">
        <v>100</v>
      </c>
      <c r="AV3" s="337" t="s">
        <v>101</v>
      </c>
      <c r="AW3" s="348" t="s">
        <v>3814</v>
      </c>
      <c r="AX3" s="348" t="s">
        <v>3815</v>
      </c>
      <c r="AY3" s="348" t="s">
        <v>4351</v>
      </c>
      <c r="AZ3" s="348" t="s">
        <v>3817</v>
      </c>
    </row>
    <row r="4" spans="1:61" s="142" customFormat="1" ht="21" customHeight="1" x14ac:dyDescent="0.25">
      <c r="B4" s="173" t="str">
        <f t="shared" ref="B4:B67" si="0">IF(C4="HOLD RM","HOLD RM",IF(C4="BAL","WIP",IF(C4="HOLD SLT","HOLD SLT",IF(C4="MILL","RM",IF(C4="RE SLT","WIP",IF(C4="RM","RM",IF(C4="RM BAL","RM",IF(C4="RM SLT","RM",IF(C4="RR","WIP",IF(C4="SKP","WIP",IF(C4="SLT","WIP",IF(C4="CTL","WIP",IF(C4="RM SLT RUST","RM SLT RUST",0)))))))))))))&amp;"-"&amp;G4&amp;"/"&amp;IF(H4="2B","2B",IF(H4="NO.1","1D",IF(H4="FH","FH",0)))&amp;"-"&amp;IF(J4="",(TEXT(I4,"0.00")),TEXT(J4,"0.00"))&amp;"X"&amp;M4</f>
        <v>0-304/1D-2.96X1554</v>
      </c>
      <c r="C4" s="201" t="s">
        <v>5423</v>
      </c>
      <c r="D4" s="173" t="s">
        <v>48</v>
      </c>
      <c r="E4" s="173" t="s">
        <v>3914</v>
      </c>
      <c r="F4" s="201" t="s">
        <v>3920</v>
      </c>
      <c r="G4" s="173">
        <v>304</v>
      </c>
      <c r="H4" s="173" t="s">
        <v>127</v>
      </c>
      <c r="I4" s="174">
        <v>2.96</v>
      </c>
      <c r="J4" s="174"/>
      <c r="K4" s="174"/>
      <c r="L4" s="174"/>
      <c r="M4" s="380">
        <v>1554</v>
      </c>
      <c r="N4" s="349">
        <v>21.39</v>
      </c>
      <c r="O4" s="381">
        <v>10.69</v>
      </c>
      <c r="P4" s="382"/>
      <c r="Q4" s="176"/>
      <c r="R4" s="176"/>
      <c r="S4" s="383"/>
      <c r="T4" s="176"/>
      <c r="U4" s="173">
        <v>777</v>
      </c>
      <c r="V4" s="383"/>
      <c r="W4" s="380"/>
      <c r="X4" s="173" t="s">
        <v>5424</v>
      </c>
      <c r="Y4" s="384"/>
      <c r="Z4" s="173"/>
      <c r="AA4" s="173"/>
      <c r="AB4" s="173"/>
      <c r="AC4" s="173"/>
      <c r="AD4" s="173"/>
      <c r="AE4" s="173"/>
      <c r="AF4" s="173"/>
      <c r="AG4" s="177"/>
      <c r="AH4" s="177">
        <v>44928</v>
      </c>
      <c r="AI4" s="177"/>
      <c r="AJ4" s="385"/>
      <c r="AK4" s="385" t="s">
        <v>1345</v>
      </c>
      <c r="AL4" s="177" t="s">
        <v>69</v>
      </c>
      <c r="AM4" s="177" t="s">
        <v>142</v>
      </c>
      <c r="AN4" s="177" t="s">
        <v>1346</v>
      </c>
      <c r="AO4" s="177"/>
      <c r="AP4" s="177">
        <v>44813</v>
      </c>
      <c r="AQ4" s="177"/>
      <c r="AR4" s="177">
        <f t="shared" ref="AR4:AR67" ca="1" si="1">TODAY()</f>
        <v>44958</v>
      </c>
      <c r="AS4" s="177">
        <f t="shared" ref="AS4:AS67" ca="1" si="2">IF(AP4&lt;&gt;0,AR4-AP4,0)</f>
        <v>145</v>
      </c>
      <c r="AT4" s="180" t="e">
        <f t="shared" ref="AT4:AT65" ca="1" si="3">IF(ISNUMBER(X4)=TRUE,AR4-X4,IF(X4="","",(AR4)-(MID(RIGHT(X4,10),4,2)&amp;"/"&amp;LEFT((RIGHT(X4,10)),2)&amp;"/"&amp;RIGHT(X4,4))))</f>
        <v>#VALUE!</v>
      </c>
      <c r="AU4" s="173"/>
      <c r="AV4" s="173" t="s">
        <v>3916</v>
      </c>
      <c r="AW4" s="181">
        <v>21.39</v>
      </c>
      <c r="AX4" s="181">
        <v>21.45</v>
      </c>
      <c r="AY4" s="181">
        <v>21.475000000000001</v>
      </c>
      <c r="AZ4" s="181">
        <v>21.48</v>
      </c>
      <c r="BA4" s="181">
        <f t="shared" ref="BA4:BA65" ca="1" si="4">IF(ISNUMBER(U4)=TRUE,AR4-U4,IF(U4="","",(AR4)-(MID(RIGHT(U4,10),4,2)&amp;"/"&amp;LEFT((RIGHT(U4,10)),2)&amp;"/"&amp;RIGHT(U4,4))))</f>
        <v>44181</v>
      </c>
      <c r="BB4" s="173">
        <v>451</v>
      </c>
      <c r="BC4" s="181"/>
      <c r="BD4" s="176" t="s">
        <v>123</v>
      </c>
      <c r="BE4" s="176"/>
      <c r="BF4" s="176"/>
      <c r="BG4" s="176"/>
      <c r="BH4" s="176"/>
      <c r="BI4" s="176"/>
    </row>
    <row r="5" spans="1:61" s="142" customFormat="1" ht="21" customHeight="1" x14ac:dyDescent="0.25">
      <c r="B5" s="173" t="str">
        <f t="shared" si="0"/>
        <v>0-304/1D-2.96X1554</v>
      </c>
      <c r="C5" s="201" t="s">
        <v>5423</v>
      </c>
      <c r="D5" s="173" t="s">
        <v>48</v>
      </c>
      <c r="E5" s="173" t="s">
        <v>3914</v>
      </c>
      <c r="F5" s="201" t="s">
        <v>3915</v>
      </c>
      <c r="G5" s="173">
        <v>304</v>
      </c>
      <c r="H5" s="173" t="s">
        <v>127</v>
      </c>
      <c r="I5" s="174">
        <v>2.96</v>
      </c>
      <c r="J5" s="174"/>
      <c r="K5" s="174"/>
      <c r="L5" s="174"/>
      <c r="M5" s="380">
        <v>1554</v>
      </c>
      <c r="N5" s="350"/>
      <c r="O5" s="381">
        <v>10.734999999999999</v>
      </c>
      <c r="P5" s="382"/>
      <c r="Q5" s="176"/>
      <c r="R5" s="176"/>
      <c r="S5" s="383"/>
      <c r="T5" s="176"/>
      <c r="U5" s="173">
        <v>777</v>
      </c>
      <c r="V5" s="383"/>
      <c r="W5" s="380"/>
      <c r="X5" s="173" t="s">
        <v>5424</v>
      </c>
      <c r="Y5" s="384"/>
      <c r="Z5" s="173"/>
      <c r="AA5" s="173"/>
      <c r="AB5" s="173"/>
      <c r="AC5" s="173"/>
      <c r="AD5" s="173"/>
      <c r="AE5" s="173"/>
      <c r="AF5" s="173"/>
      <c r="AG5" s="177"/>
      <c r="AH5" s="177">
        <v>44928</v>
      </c>
      <c r="AI5" s="177"/>
      <c r="AJ5" s="385"/>
      <c r="AK5" s="385" t="s">
        <v>1345</v>
      </c>
      <c r="AL5" s="177" t="s">
        <v>69</v>
      </c>
      <c r="AM5" s="177" t="s">
        <v>142</v>
      </c>
      <c r="AN5" s="177" t="s">
        <v>1346</v>
      </c>
      <c r="AO5" s="177"/>
      <c r="AP5" s="177">
        <v>44813</v>
      </c>
      <c r="AQ5" s="177"/>
      <c r="AR5" s="177">
        <f t="shared" ca="1" si="1"/>
        <v>44958</v>
      </c>
      <c r="AS5" s="177">
        <f t="shared" ca="1" si="2"/>
        <v>145</v>
      </c>
      <c r="AT5" s="180" t="e">
        <f t="shared" ca="1" si="3"/>
        <v>#VALUE!</v>
      </c>
      <c r="AU5" s="173"/>
      <c r="AV5" s="173" t="s">
        <v>3916</v>
      </c>
      <c r="AW5" s="181">
        <v>21.39</v>
      </c>
      <c r="AX5" s="181">
        <v>21.45</v>
      </c>
      <c r="AY5" s="181">
        <v>21.475000000000001</v>
      </c>
      <c r="AZ5" s="181">
        <v>21.48</v>
      </c>
      <c r="BA5" s="181">
        <f t="shared" ca="1" si="4"/>
        <v>44181</v>
      </c>
      <c r="BB5" s="173">
        <v>451</v>
      </c>
      <c r="BC5" s="181"/>
      <c r="BD5" s="176" t="s">
        <v>123</v>
      </c>
      <c r="BE5" s="176"/>
      <c r="BF5" s="176"/>
      <c r="BG5" s="176"/>
      <c r="BH5" s="176"/>
      <c r="BI5" s="176"/>
    </row>
    <row r="6" spans="1:61" s="142" customFormat="1" ht="21" customHeight="1" x14ac:dyDescent="0.25">
      <c r="B6" s="173" t="str">
        <f t="shared" si="0"/>
        <v>0-304/1D-3.18X1555</v>
      </c>
      <c r="C6" s="201" t="s">
        <v>5423</v>
      </c>
      <c r="D6" s="173" t="s">
        <v>48</v>
      </c>
      <c r="E6" s="173" t="s">
        <v>3884</v>
      </c>
      <c r="F6" s="201" t="s">
        <v>3885</v>
      </c>
      <c r="G6" s="173">
        <v>304</v>
      </c>
      <c r="H6" s="173" t="s">
        <v>127</v>
      </c>
      <c r="I6" s="174">
        <v>3.18</v>
      </c>
      <c r="J6" s="174"/>
      <c r="K6" s="174"/>
      <c r="L6" s="174"/>
      <c r="M6" s="380">
        <v>1555</v>
      </c>
      <c r="N6" s="349">
        <v>21.445</v>
      </c>
      <c r="O6" s="381">
        <v>10.69</v>
      </c>
      <c r="P6" s="382"/>
      <c r="Q6" s="176"/>
      <c r="R6" s="176"/>
      <c r="S6" s="383"/>
      <c r="T6" s="176"/>
      <c r="U6" s="173">
        <v>777</v>
      </c>
      <c r="V6" s="383"/>
      <c r="W6" s="380"/>
      <c r="X6" s="173" t="s">
        <v>5424</v>
      </c>
      <c r="Y6" s="384"/>
      <c r="Z6" s="173"/>
      <c r="AA6" s="173"/>
      <c r="AB6" s="173"/>
      <c r="AC6" s="173"/>
      <c r="AD6" s="173"/>
      <c r="AE6" s="173"/>
      <c r="AF6" s="173"/>
      <c r="AG6" s="177"/>
      <c r="AH6" s="177">
        <v>44928</v>
      </c>
      <c r="AI6" s="177"/>
      <c r="AJ6" s="385"/>
      <c r="AK6" s="385" t="s">
        <v>1345</v>
      </c>
      <c r="AL6" s="177" t="s">
        <v>69</v>
      </c>
      <c r="AM6" s="177" t="s">
        <v>142</v>
      </c>
      <c r="AN6" s="177" t="s">
        <v>1346</v>
      </c>
      <c r="AO6" s="177"/>
      <c r="AP6" s="177">
        <v>44813</v>
      </c>
      <c r="AQ6" s="177"/>
      <c r="AR6" s="177">
        <f t="shared" ca="1" si="1"/>
        <v>44958</v>
      </c>
      <c r="AS6" s="177">
        <f t="shared" ca="1" si="2"/>
        <v>145</v>
      </c>
      <c r="AT6" s="180" t="e">
        <f t="shared" ca="1" si="3"/>
        <v>#VALUE!</v>
      </c>
      <c r="AU6" s="173"/>
      <c r="AV6" s="173" t="s">
        <v>3886</v>
      </c>
      <c r="AW6" s="181">
        <v>21.445</v>
      </c>
      <c r="AX6" s="181">
        <v>21.504999999999999</v>
      </c>
      <c r="AY6" s="181">
        <v>21.53</v>
      </c>
      <c r="AZ6" s="181">
        <v>21.535</v>
      </c>
      <c r="BA6" s="181">
        <f t="shared" ca="1" si="4"/>
        <v>44181</v>
      </c>
      <c r="BB6" s="173">
        <v>451</v>
      </c>
      <c r="BC6" s="181"/>
      <c r="BD6" s="176" t="s">
        <v>123</v>
      </c>
      <c r="BE6" s="176"/>
      <c r="BF6" s="176"/>
      <c r="BG6" s="176"/>
      <c r="BH6" s="176"/>
      <c r="BI6" s="176"/>
    </row>
    <row r="7" spans="1:61" s="142" customFormat="1" ht="21" customHeight="1" x14ac:dyDescent="0.25">
      <c r="B7" s="173" t="str">
        <f t="shared" si="0"/>
        <v>0-304/1D-3.18X1555</v>
      </c>
      <c r="C7" s="201" t="s">
        <v>5423</v>
      </c>
      <c r="D7" s="173" t="s">
        <v>48</v>
      </c>
      <c r="E7" s="173" t="s">
        <v>3884</v>
      </c>
      <c r="F7" s="201" t="s">
        <v>3888</v>
      </c>
      <c r="G7" s="173">
        <v>304</v>
      </c>
      <c r="H7" s="173" t="s">
        <v>127</v>
      </c>
      <c r="I7" s="174">
        <v>3.18</v>
      </c>
      <c r="J7" s="174"/>
      <c r="K7" s="174"/>
      <c r="L7" s="174"/>
      <c r="M7" s="380">
        <v>1555</v>
      </c>
      <c r="N7" s="350"/>
      <c r="O7" s="381">
        <v>10.744999999999999</v>
      </c>
      <c r="P7" s="382"/>
      <c r="Q7" s="176"/>
      <c r="R7" s="176"/>
      <c r="S7" s="383"/>
      <c r="T7" s="176"/>
      <c r="U7" s="173">
        <v>777</v>
      </c>
      <c r="V7" s="383"/>
      <c r="W7" s="380"/>
      <c r="X7" s="173" t="s">
        <v>5424</v>
      </c>
      <c r="Y7" s="384"/>
      <c r="Z7" s="173"/>
      <c r="AA7" s="173"/>
      <c r="AB7" s="173"/>
      <c r="AC7" s="173"/>
      <c r="AD7" s="173"/>
      <c r="AE7" s="173"/>
      <c r="AF7" s="173"/>
      <c r="AG7" s="177"/>
      <c r="AH7" s="177">
        <v>44928</v>
      </c>
      <c r="AI7" s="177"/>
      <c r="AJ7" s="385"/>
      <c r="AK7" s="385" t="s">
        <v>1345</v>
      </c>
      <c r="AL7" s="177" t="s">
        <v>69</v>
      </c>
      <c r="AM7" s="177" t="s">
        <v>142</v>
      </c>
      <c r="AN7" s="177" t="s">
        <v>1346</v>
      </c>
      <c r="AO7" s="177"/>
      <c r="AP7" s="177">
        <v>44813</v>
      </c>
      <c r="AQ7" s="177"/>
      <c r="AR7" s="177">
        <f t="shared" ca="1" si="1"/>
        <v>44958</v>
      </c>
      <c r="AS7" s="177">
        <f t="shared" ca="1" si="2"/>
        <v>145</v>
      </c>
      <c r="AT7" s="180" t="e">
        <f t="shared" ca="1" si="3"/>
        <v>#VALUE!</v>
      </c>
      <c r="AU7" s="173"/>
      <c r="AV7" s="173" t="s">
        <v>3886</v>
      </c>
      <c r="AW7" s="181">
        <v>21.445</v>
      </c>
      <c r="AX7" s="181">
        <v>21.504999999999999</v>
      </c>
      <c r="AY7" s="181">
        <v>21.53</v>
      </c>
      <c r="AZ7" s="181">
        <v>21.535</v>
      </c>
      <c r="BA7" s="181">
        <f t="shared" ca="1" si="4"/>
        <v>44181</v>
      </c>
      <c r="BB7" s="173">
        <v>451</v>
      </c>
      <c r="BC7" s="181"/>
      <c r="BD7" s="176" t="s">
        <v>123</v>
      </c>
      <c r="BE7" s="176"/>
      <c r="BF7" s="176"/>
      <c r="BG7" s="176"/>
      <c r="BH7" s="176"/>
      <c r="BI7" s="176"/>
    </row>
    <row r="8" spans="1:61" s="142" customFormat="1" ht="21" customHeight="1" x14ac:dyDescent="0.25">
      <c r="B8" s="173" t="str">
        <f t="shared" si="0"/>
        <v>0-304/1D-2.94X1555</v>
      </c>
      <c r="C8" s="201" t="s">
        <v>5423</v>
      </c>
      <c r="D8" s="173" t="s">
        <v>48</v>
      </c>
      <c r="E8" s="173" t="s">
        <v>1342</v>
      </c>
      <c r="F8" s="201" t="s">
        <v>3869</v>
      </c>
      <c r="G8" s="173">
        <v>304</v>
      </c>
      <c r="H8" s="173" t="s">
        <v>127</v>
      </c>
      <c r="I8" s="174">
        <v>2.94</v>
      </c>
      <c r="J8" s="174"/>
      <c r="K8" s="174"/>
      <c r="L8" s="174"/>
      <c r="M8" s="380">
        <v>1555</v>
      </c>
      <c r="N8" s="349">
        <v>21.414999999999999</v>
      </c>
      <c r="O8" s="381">
        <v>10.675000000000001</v>
      </c>
      <c r="P8" s="382"/>
      <c r="Q8" s="176"/>
      <c r="R8" s="176"/>
      <c r="S8" s="383"/>
      <c r="T8" s="176"/>
      <c r="U8" s="173">
        <v>777</v>
      </c>
      <c r="V8" s="383"/>
      <c r="W8" s="380"/>
      <c r="X8" s="173" t="s">
        <v>5424</v>
      </c>
      <c r="Y8" s="384"/>
      <c r="Z8" s="173"/>
      <c r="AA8" s="173"/>
      <c r="AB8" s="173"/>
      <c r="AC8" s="173"/>
      <c r="AD8" s="173"/>
      <c r="AE8" s="173"/>
      <c r="AF8" s="173"/>
      <c r="AG8" s="177"/>
      <c r="AH8" s="177">
        <v>44928</v>
      </c>
      <c r="AI8" s="177"/>
      <c r="AJ8" s="385"/>
      <c r="AK8" s="385" t="s">
        <v>1345</v>
      </c>
      <c r="AL8" s="177" t="s">
        <v>69</v>
      </c>
      <c r="AM8" s="177" t="s">
        <v>142</v>
      </c>
      <c r="AN8" s="177" t="s">
        <v>1346</v>
      </c>
      <c r="AO8" s="177"/>
      <c r="AP8" s="177">
        <v>44813</v>
      </c>
      <c r="AQ8" s="177"/>
      <c r="AR8" s="177">
        <f t="shared" ca="1" si="1"/>
        <v>44958</v>
      </c>
      <c r="AS8" s="177">
        <f t="shared" ca="1" si="2"/>
        <v>145</v>
      </c>
      <c r="AT8" s="180" t="e">
        <f t="shared" ca="1" si="3"/>
        <v>#VALUE!</v>
      </c>
      <c r="AU8" s="173"/>
      <c r="AV8" s="173" t="s">
        <v>1347</v>
      </c>
      <c r="AW8" s="181">
        <v>21.414999999999999</v>
      </c>
      <c r="AX8" s="181">
        <v>21.475000000000001</v>
      </c>
      <c r="AY8" s="181">
        <v>21.500000000000004</v>
      </c>
      <c r="AZ8" s="181">
        <v>21.505000000000003</v>
      </c>
      <c r="BA8" s="181">
        <f t="shared" ca="1" si="4"/>
        <v>44181</v>
      </c>
      <c r="BB8" s="173">
        <v>451</v>
      </c>
      <c r="BC8" s="181"/>
      <c r="BD8" s="176" t="s">
        <v>123</v>
      </c>
      <c r="BE8" s="176"/>
      <c r="BF8" s="176"/>
      <c r="BG8" s="176"/>
      <c r="BH8" s="176"/>
      <c r="BI8" s="176"/>
    </row>
    <row r="9" spans="1:61" s="142" customFormat="1" ht="21" customHeight="1" x14ac:dyDescent="0.25">
      <c r="B9" s="173" t="str">
        <f t="shared" si="0"/>
        <v>0-304/1D-2.94X1555</v>
      </c>
      <c r="C9" s="201" t="s">
        <v>5423</v>
      </c>
      <c r="D9" s="173" t="s">
        <v>48</v>
      </c>
      <c r="E9" s="173" t="s">
        <v>1342</v>
      </c>
      <c r="F9" s="201" t="s">
        <v>1349</v>
      </c>
      <c r="G9" s="173">
        <v>304</v>
      </c>
      <c r="H9" s="173" t="s">
        <v>127</v>
      </c>
      <c r="I9" s="174">
        <v>2.94</v>
      </c>
      <c r="J9" s="174"/>
      <c r="K9" s="174"/>
      <c r="L9" s="174"/>
      <c r="M9" s="380">
        <v>1555</v>
      </c>
      <c r="N9" s="350"/>
      <c r="O9" s="381">
        <v>10.73</v>
      </c>
      <c r="P9" s="382"/>
      <c r="Q9" s="176"/>
      <c r="R9" s="176"/>
      <c r="S9" s="383"/>
      <c r="T9" s="176"/>
      <c r="U9" s="173">
        <v>777</v>
      </c>
      <c r="V9" s="383"/>
      <c r="W9" s="380"/>
      <c r="X9" s="173" t="s">
        <v>5424</v>
      </c>
      <c r="Y9" s="384"/>
      <c r="Z9" s="173"/>
      <c r="AA9" s="173"/>
      <c r="AB9" s="173"/>
      <c r="AC9" s="173"/>
      <c r="AD9" s="173"/>
      <c r="AE9" s="173"/>
      <c r="AF9" s="173"/>
      <c r="AG9" s="177"/>
      <c r="AH9" s="177">
        <v>44928</v>
      </c>
      <c r="AI9" s="177"/>
      <c r="AJ9" s="385"/>
      <c r="AK9" s="385" t="s">
        <v>1345</v>
      </c>
      <c r="AL9" s="177" t="s">
        <v>69</v>
      </c>
      <c r="AM9" s="177" t="s">
        <v>142</v>
      </c>
      <c r="AN9" s="177" t="s">
        <v>1346</v>
      </c>
      <c r="AO9" s="177"/>
      <c r="AP9" s="177">
        <v>44813</v>
      </c>
      <c r="AQ9" s="177"/>
      <c r="AR9" s="177">
        <f t="shared" ca="1" si="1"/>
        <v>44958</v>
      </c>
      <c r="AS9" s="177">
        <f t="shared" ca="1" si="2"/>
        <v>145</v>
      </c>
      <c r="AT9" s="180" t="e">
        <f t="shared" ca="1" si="3"/>
        <v>#VALUE!</v>
      </c>
      <c r="AU9" s="173"/>
      <c r="AV9" s="173" t="s">
        <v>1347</v>
      </c>
      <c r="AW9" s="181">
        <v>21.414999999999999</v>
      </c>
      <c r="AX9" s="181">
        <v>21.475000000000001</v>
      </c>
      <c r="AY9" s="181">
        <v>21.500000000000004</v>
      </c>
      <c r="AZ9" s="181">
        <v>21.505000000000003</v>
      </c>
      <c r="BA9" s="181">
        <f t="shared" ca="1" si="4"/>
        <v>44181</v>
      </c>
      <c r="BB9" s="173">
        <v>451</v>
      </c>
      <c r="BC9" s="181"/>
      <c r="BD9" s="176" t="s">
        <v>123</v>
      </c>
      <c r="BE9" s="176"/>
      <c r="BF9" s="176"/>
      <c r="BG9" s="176"/>
      <c r="BH9" s="176"/>
      <c r="BI9" s="176"/>
    </row>
    <row r="10" spans="1:61" s="142" customFormat="1" ht="21" customHeight="1" x14ac:dyDescent="0.25">
      <c r="B10" s="173" t="str">
        <f t="shared" si="0"/>
        <v>0-304/1D-3.18X1554</v>
      </c>
      <c r="C10" s="201" t="s">
        <v>5425</v>
      </c>
      <c r="D10" s="173" t="s">
        <v>48</v>
      </c>
      <c r="E10" s="173" t="s">
        <v>3877</v>
      </c>
      <c r="F10" s="201" t="s">
        <v>3878</v>
      </c>
      <c r="G10" s="173">
        <v>304</v>
      </c>
      <c r="H10" s="173" t="s">
        <v>127</v>
      </c>
      <c r="I10" s="174">
        <v>3.18</v>
      </c>
      <c r="J10" s="174"/>
      <c r="K10" s="174"/>
      <c r="L10" s="174"/>
      <c r="M10" s="380">
        <v>1554</v>
      </c>
      <c r="N10" s="349">
        <v>21.465</v>
      </c>
      <c r="O10" s="381">
        <v>10.695</v>
      </c>
      <c r="P10" s="382"/>
      <c r="Q10" s="176"/>
      <c r="R10" s="176"/>
      <c r="S10" s="383"/>
      <c r="T10" s="176"/>
      <c r="U10" s="173">
        <v>777</v>
      </c>
      <c r="V10" s="383"/>
      <c r="W10" s="380"/>
      <c r="X10" s="173" t="s">
        <v>5424</v>
      </c>
      <c r="Y10" s="384"/>
      <c r="Z10" s="173"/>
      <c r="AA10" s="173"/>
      <c r="AB10" s="173"/>
      <c r="AC10" s="173"/>
      <c r="AD10" s="173"/>
      <c r="AE10" s="173"/>
      <c r="AF10" s="173"/>
      <c r="AG10" s="177"/>
      <c r="AH10" s="177">
        <v>44929</v>
      </c>
      <c r="AI10" s="177"/>
      <c r="AJ10" s="385"/>
      <c r="AK10" s="385" t="s">
        <v>1345</v>
      </c>
      <c r="AL10" s="177" t="s">
        <v>69</v>
      </c>
      <c r="AM10" s="177" t="s">
        <v>142</v>
      </c>
      <c r="AN10" s="177" t="s">
        <v>1346</v>
      </c>
      <c r="AO10" s="177"/>
      <c r="AP10" s="177">
        <v>44813</v>
      </c>
      <c r="AQ10" s="177"/>
      <c r="AR10" s="177">
        <f t="shared" ca="1" si="1"/>
        <v>44958</v>
      </c>
      <c r="AS10" s="177">
        <f t="shared" ca="1" si="2"/>
        <v>145</v>
      </c>
      <c r="AT10" s="180" t="e">
        <f t="shared" ca="1" si="3"/>
        <v>#VALUE!</v>
      </c>
      <c r="AU10" s="173"/>
      <c r="AV10" s="173" t="s">
        <v>3879</v>
      </c>
      <c r="AW10" s="181">
        <v>21.465</v>
      </c>
      <c r="AX10" s="181">
        <v>21.524999999999999</v>
      </c>
      <c r="AY10" s="181">
        <v>21.55</v>
      </c>
      <c r="AZ10" s="181">
        <v>21.555</v>
      </c>
      <c r="BA10" s="181">
        <f t="shared" ca="1" si="4"/>
        <v>44181</v>
      </c>
      <c r="BB10" s="173">
        <v>451</v>
      </c>
      <c r="BC10" s="181"/>
      <c r="BD10" s="176" t="s">
        <v>123</v>
      </c>
      <c r="BE10" s="176"/>
      <c r="BF10" s="176"/>
      <c r="BG10" s="176"/>
      <c r="BH10" s="176"/>
      <c r="BI10" s="176"/>
    </row>
    <row r="11" spans="1:61" s="142" customFormat="1" ht="21" customHeight="1" x14ac:dyDescent="0.25">
      <c r="B11" s="173" t="str">
        <f t="shared" si="0"/>
        <v>0-304/1D-3.18X1554</v>
      </c>
      <c r="C11" s="201" t="s">
        <v>5425</v>
      </c>
      <c r="D11" s="173" t="s">
        <v>48</v>
      </c>
      <c r="E11" s="173" t="s">
        <v>3877</v>
      </c>
      <c r="F11" s="201" t="s">
        <v>3905</v>
      </c>
      <c r="G11" s="173">
        <v>304</v>
      </c>
      <c r="H11" s="173" t="s">
        <v>127</v>
      </c>
      <c r="I11" s="174">
        <v>3.18</v>
      </c>
      <c r="J11" s="174"/>
      <c r="K11" s="174"/>
      <c r="L11" s="174"/>
      <c r="M11" s="380">
        <v>1554</v>
      </c>
      <c r="N11" s="350"/>
      <c r="O11" s="381">
        <v>10.775</v>
      </c>
      <c r="P11" s="382"/>
      <c r="Q11" s="176"/>
      <c r="R11" s="176"/>
      <c r="S11" s="383"/>
      <c r="T11" s="176"/>
      <c r="U11" s="173">
        <v>780</v>
      </c>
      <c r="V11" s="383"/>
      <c r="W11" s="380"/>
      <c r="X11" s="173" t="s">
        <v>5424</v>
      </c>
      <c r="Y11" s="384"/>
      <c r="Z11" s="173"/>
      <c r="AA11" s="173"/>
      <c r="AB11" s="173"/>
      <c r="AC11" s="173"/>
      <c r="AD11" s="173"/>
      <c r="AE11" s="173"/>
      <c r="AF11" s="173"/>
      <c r="AG11" s="177"/>
      <c r="AH11" s="177">
        <v>44929</v>
      </c>
      <c r="AI11" s="177"/>
      <c r="AJ11" s="385"/>
      <c r="AK11" s="385" t="s">
        <v>1345</v>
      </c>
      <c r="AL11" s="177" t="s">
        <v>69</v>
      </c>
      <c r="AM11" s="177" t="s">
        <v>142</v>
      </c>
      <c r="AN11" s="177" t="s">
        <v>1346</v>
      </c>
      <c r="AO11" s="177"/>
      <c r="AP11" s="177">
        <v>44813</v>
      </c>
      <c r="AQ11" s="177"/>
      <c r="AR11" s="177">
        <f t="shared" ca="1" si="1"/>
        <v>44958</v>
      </c>
      <c r="AS11" s="177">
        <f t="shared" ca="1" si="2"/>
        <v>145</v>
      </c>
      <c r="AT11" s="180" t="e">
        <f t="shared" ca="1" si="3"/>
        <v>#VALUE!</v>
      </c>
      <c r="AU11" s="173"/>
      <c r="AV11" s="173" t="s">
        <v>3879</v>
      </c>
      <c r="AW11" s="181">
        <v>21.465</v>
      </c>
      <c r="AX11" s="181">
        <v>21.524999999999999</v>
      </c>
      <c r="AY11" s="181">
        <v>21.55</v>
      </c>
      <c r="AZ11" s="181">
        <v>21.555</v>
      </c>
      <c r="BA11" s="181">
        <f t="shared" ca="1" si="4"/>
        <v>44178</v>
      </c>
      <c r="BB11" s="173">
        <v>451</v>
      </c>
      <c r="BC11" s="181"/>
      <c r="BD11" s="176" t="s">
        <v>123</v>
      </c>
      <c r="BE11" s="176"/>
      <c r="BF11" s="176"/>
      <c r="BG11" s="176"/>
      <c r="BH11" s="176"/>
      <c r="BI11" s="176"/>
    </row>
    <row r="12" spans="1:61" s="142" customFormat="1" ht="21" customHeight="1" x14ac:dyDescent="0.25">
      <c r="B12" s="173" t="str">
        <f t="shared" si="0"/>
        <v>0-304/1D-2.92X1554</v>
      </c>
      <c r="C12" s="201" t="s">
        <v>5425</v>
      </c>
      <c r="D12" s="173" t="s">
        <v>48</v>
      </c>
      <c r="E12" s="173" t="s">
        <v>3902</v>
      </c>
      <c r="F12" s="201" t="s">
        <v>3980</v>
      </c>
      <c r="G12" s="173">
        <v>304</v>
      </c>
      <c r="H12" s="173" t="s">
        <v>127</v>
      </c>
      <c r="I12" s="174">
        <v>2.92</v>
      </c>
      <c r="J12" s="174"/>
      <c r="K12" s="174"/>
      <c r="L12" s="174"/>
      <c r="M12" s="380">
        <v>1554</v>
      </c>
      <c r="N12" s="349">
        <v>21.43</v>
      </c>
      <c r="O12" s="381">
        <v>10.734999999999999</v>
      </c>
      <c r="P12" s="382"/>
      <c r="Q12" s="176"/>
      <c r="R12" s="176"/>
      <c r="S12" s="383"/>
      <c r="T12" s="176"/>
      <c r="U12" s="173">
        <v>780</v>
      </c>
      <c r="V12" s="383"/>
      <c r="W12" s="380"/>
      <c r="X12" s="173" t="s">
        <v>5424</v>
      </c>
      <c r="Y12" s="384"/>
      <c r="Z12" s="173"/>
      <c r="AA12" s="173"/>
      <c r="AB12" s="173"/>
      <c r="AC12" s="173"/>
      <c r="AD12" s="173"/>
      <c r="AE12" s="173"/>
      <c r="AF12" s="173"/>
      <c r="AG12" s="177"/>
      <c r="AH12" s="177">
        <v>44929</v>
      </c>
      <c r="AI12" s="177"/>
      <c r="AJ12" s="385"/>
      <c r="AK12" s="385" t="s">
        <v>1345</v>
      </c>
      <c r="AL12" s="177" t="s">
        <v>69</v>
      </c>
      <c r="AM12" s="177" t="s">
        <v>142</v>
      </c>
      <c r="AN12" s="177" t="s">
        <v>1346</v>
      </c>
      <c r="AO12" s="177"/>
      <c r="AP12" s="177">
        <v>44813</v>
      </c>
      <c r="AQ12" s="177"/>
      <c r="AR12" s="177">
        <f t="shared" ca="1" si="1"/>
        <v>44958</v>
      </c>
      <c r="AS12" s="177">
        <f t="shared" ca="1" si="2"/>
        <v>145</v>
      </c>
      <c r="AT12" s="180" t="e">
        <f t="shared" ca="1" si="3"/>
        <v>#VALUE!</v>
      </c>
      <c r="AU12" s="173"/>
      <c r="AV12" s="173" t="s">
        <v>3904</v>
      </c>
      <c r="AW12" s="181">
        <v>21.43</v>
      </c>
      <c r="AX12" s="181">
        <v>21.49</v>
      </c>
      <c r="AY12" s="181">
        <v>21.515000000000001</v>
      </c>
      <c r="AZ12" s="181">
        <v>21.52</v>
      </c>
      <c r="BA12" s="181">
        <f t="shared" ca="1" si="4"/>
        <v>44178</v>
      </c>
      <c r="BB12" s="173">
        <v>451</v>
      </c>
      <c r="BC12" s="181"/>
      <c r="BD12" s="176" t="s">
        <v>123</v>
      </c>
      <c r="BE12" s="176"/>
      <c r="BF12" s="176"/>
      <c r="BG12" s="176"/>
      <c r="BH12" s="176"/>
      <c r="BI12" s="176"/>
    </row>
    <row r="13" spans="1:61" s="142" customFormat="1" ht="21" customHeight="1" x14ac:dyDescent="0.25">
      <c r="B13" s="173" t="str">
        <f t="shared" si="0"/>
        <v>0-304/1D-2.92X1554</v>
      </c>
      <c r="C13" s="201" t="s">
        <v>5425</v>
      </c>
      <c r="D13" s="173" t="s">
        <v>48</v>
      </c>
      <c r="E13" s="173" t="s">
        <v>3902</v>
      </c>
      <c r="F13" s="201" t="s">
        <v>3903</v>
      </c>
      <c r="G13" s="173">
        <v>304</v>
      </c>
      <c r="H13" s="173" t="s">
        <v>127</v>
      </c>
      <c r="I13" s="174">
        <v>2.92</v>
      </c>
      <c r="J13" s="174"/>
      <c r="K13" s="174"/>
      <c r="L13" s="174"/>
      <c r="M13" s="380">
        <v>1554</v>
      </c>
      <c r="N13" s="350"/>
      <c r="O13" s="381">
        <v>10.725</v>
      </c>
      <c r="P13" s="382"/>
      <c r="Q13" s="176"/>
      <c r="R13" s="176"/>
      <c r="S13" s="383"/>
      <c r="T13" s="176"/>
      <c r="U13" s="173">
        <v>777</v>
      </c>
      <c r="V13" s="383"/>
      <c r="W13" s="380"/>
      <c r="X13" s="173" t="s">
        <v>5424</v>
      </c>
      <c r="Y13" s="384"/>
      <c r="Z13" s="173"/>
      <c r="AA13" s="173"/>
      <c r="AB13" s="173"/>
      <c r="AC13" s="173"/>
      <c r="AD13" s="173"/>
      <c r="AE13" s="173"/>
      <c r="AF13" s="173"/>
      <c r="AG13" s="177"/>
      <c r="AH13" s="177">
        <v>44929</v>
      </c>
      <c r="AI13" s="177"/>
      <c r="AJ13" s="385"/>
      <c r="AK13" s="385" t="s">
        <v>1345</v>
      </c>
      <c r="AL13" s="177" t="s">
        <v>69</v>
      </c>
      <c r="AM13" s="177" t="s">
        <v>142</v>
      </c>
      <c r="AN13" s="177" t="s">
        <v>1346</v>
      </c>
      <c r="AO13" s="177"/>
      <c r="AP13" s="177">
        <v>44813</v>
      </c>
      <c r="AQ13" s="177"/>
      <c r="AR13" s="177">
        <f t="shared" ca="1" si="1"/>
        <v>44958</v>
      </c>
      <c r="AS13" s="177">
        <f t="shared" ca="1" si="2"/>
        <v>145</v>
      </c>
      <c r="AT13" s="180" t="e">
        <f t="shared" ca="1" si="3"/>
        <v>#VALUE!</v>
      </c>
      <c r="AU13" s="173"/>
      <c r="AV13" s="173" t="s">
        <v>3904</v>
      </c>
      <c r="AW13" s="181">
        <v>21.43</v>
      </c>
      <c r="AX13" s="181">
        <v>21.49</v>
      </c>
      <c r="AY13" s="181">
        <v>21.515000000000001</v>
      </c>
      <c r="AZ13" s="181">
        <v>21.52</v>
      </c>
      <c r="BA13" s="181">
        <f t="shared" ca="1" si="4"/>
        <v>44181</v>
      </c>
      <c r="BB13" s="173">
        <v>451</v>
      </c>
      <c r="BC13" s="181"/>
      <c r="BD13" s="176" t="s">
        <v>123</v>
      </c>
      <c r="BE13" s="176"/>
      <c r="BF13" s="176"/>
      <c r="BG13" s="176"/>
      <c r="BH13" s="176"/>
      <c r="BI13" s="176"/>
    </row>
    <row r="14" spans="1:61" s="142" customFormat="1" ht="21" customHeight="1" x14ac:dyDescent="0.25">
      <c r="B14" s="173" t="str">
        <f t="shared" si="0"/>
        <v>0-304L/1D-3.57X1531</v>
      </c>
      <c r="C14" s="201" t="s">
        <v>5425</v>
      </c>
      <c r="D14" s="173" t="s">
        <v>48</v>
      </c>
      <c r="E14" s="173" t="s">
        <v>1586</v>
      </c>
      <c r="F14" s="201" t="s">
        <v>3898</v>
      </c>
      <c r="G14" s="173" t="s">
        <v>182</v>
      </c>
      <c r="H14" s="173" t="s">
        <v>127</v>
      </c>
      <c r="I14" s="174">
        <v>3.57</v>
      </c>
      <c r="J14" s="174"/>
      <c r="K14" s="174"/>
      <c r="L14" s="174"/>
      <c r="M14" s="380">
        <v>1531</v>
      </c>
      <c r="N14" s="349">
        <v>20.92</v>
      </c>
      <c r="O14" s="381">
        <v>10.44</v>
      </c>
      <c r="P14" s="382"/>
      <c r="Q14" s="176"/>
      <c r="R14" s="176"/>
      <c r="S14" s="383"/>
      <c r="T14" s="176"/>
      <c r="U14" s="173">
        <v>766</v>
      </c>
      <c r="V14" s="383"/>
      <c r="W14" s="380"/>
      <c r="X14" s="173" t="s">
        <v>5424</v>
      </c>
      <c r="Y14" s="384"/>
      <c r="Z14" s="173"/>
      <c r="AA14" s="173"/>
      <c r="AB14" s="173"/>
      <c r="AC14" s="173"/>
      <c r="AD14" s="173"/>
      <c r="AE14" s="173"/>
      <c r="AF14" s="173"/>
      <c r="AG14" s="177"/>
      <c r="AH14" s="177">
        <v>44929</v>
      </c>
      <c r="AI14" s="177"/>
      <c r="AJ14" s="385"/>
      <c r="AK14" s="385" t="s">
        <v>1345</v>
      </c>
      <c r="AL14" s="177" t="s">
        <v>69</v>
      </c>
      <c r="AM14" s="177" t="s">
        <v>142</v>
      </c>
      <c r="AN14" s="177" t="s">
        <v>1508</v>
      </c>
      <c r="AO14" s="177"/>
      <c r="AP14" s="177">
        <v>44849</v>
      </c>
      <c r="AQ14" s="177"/>
      <c r="AR14" s="177">
        <f t="shared" ca="1" si="1"/>
        <v>44958</v>
      </c>
      <c r="AS14" s="177">
        <f t="shared" ca="1" si="2"/>
        <v>109</v>
      </c>
      <c r="AT14" s="180" t="e">
        <f t="shared" ca="1" si="3"/>
        <v>#VALUE!</v>
      </c>
      <c r="AU14" s="173"/>
      <c r="AV14" s="173" t="s">
        <v>1588</v>
      </c>
      <c r="AW14" s="181">
        <v>20.92</v>
      </c>
      <c r="AX14" s="181">
        <v>20.98</v>
      </c>
      <c r="AY14" s="181">
        <v>21.005000000000003</v>
      </c>
      <c r="AZ14" s="181">
        <v>21.01</v>
      </c>
      <c r="BA14" s="181">
        <f t="shared" ca="1" si="4"/>
        <v>44192</v>
      </c>
      <c r="BB14" s="173">
        <v>456</v>
      </c>
      <c r="BC14" s="181"/>
      <c r="BD14" s="176" t="s">
        <v>123</v>
      </c>
      <c r="BE14" s="176"/>
      <c r="BF14" s="176"/>
      <c r="BG14" s="176"/>
      <c r="BH14" s="176"/>
      <c r="BI14" s="176"/>
    </row>
    <row r="15" spans="1:61" s="142" customFormat="1" ht="21" customHeight="1" x14ac:dyDescent="0.25">
      <c r="B15" s="173" t="str">
        <f t="shared" si="0"/>
        <v>0-304L/1D-3.57X1531</v>
      </c>
      <c r="C15" s="201" t="s">
        <v>5425</v>
      </c>
      <c r="D15" s="173" t="s">
        <v>48</v>
      </c>
      <c r="E15" s="173" t="s">
        <v>1586</v>
      </c>
      <c r="F15" s="201" t="s">
        <v>3964</v>
      </c>
      <c r="G15" s="173" t="s">
        <v>182</v>
      </c>
      <c r="H15" s="173" t="s">
        <v>127</v>
      </c>
      <c r="I15" s="174">
        <v>3.57</v>
      </c>
      <c r="J15" s="174"/>
      <c r="K15" s="174"/>
      <c r="L15" s="174"/>
      <c r="M15" s="380">
        <v>1531</v>
      </c>
      <c r="N15" s="350"/>
      <c r="O15" s="381">
        <v>10.48</v>
      </c>
      <c r="P15" s="382"/>
      <c r="Q15" s="176"/>
      <c r="R15" s="176"/>
      <c r="S15" s="383"/>
      <c r="T15" s="176"/>
      <c r="U15" s="173">
        <v>765</v>
      </c>
      <c r="V15" s="383"/>
      <c r="W15" s="380"/>
      <c r="X15" s="173" t="s">
        <v>5424</v>
      </c>
      <c r="Y15" s="384"/>
      <c r="Z15" s="173"/>
      <c r="AA15" s="173"/>
      <c r="AB15" s="173"/>
      <c r="AC15" s="173"/>
      <c r="AD15" s="173"/>
      <c r="AE15" s="173"/>
      <c r="AF15" s="173"/>
      <c r="AG15" s="177"/>
      <c r="AH15" s="177">
        <v>44929</v>
      </c>
      <c r="AI15" s="177"/>
      <c r="AJ15" s="385"/>
      <c r="AK15" s="385" t="s">
        <v>1345</v>
      </c>
      <c r="AL15" s="177" t="s">
        <v>69</v>
      </c>
      <c r="AM15" s="177" t="s">
        <v>142</v>
      </c>
      <c r="AN15" s="177" t="s">
        <v>1508</v>
      </c>
      <c r="AO15" s="177"/>
      <c r="AP15" s="177">
        <v>44849</v>
      </c>
      <c r="AQ15" s="177"/>
      <c r="AR15" s="177">
        <f t="shared" ca="1" si="1"/>
        <v>44958</v>
      </c>
      <c r="AS15" s="177">
        <f t="shared" ca="1" si="2"/>
        <v>109</v>
      </c>
      <c r="AT15" s="180" t="e">
        <f t="shared" ca="1" si="3"/>
        <v>#VALUE!</v>
      </c>
      <c r="AU15" s="173"/>
      <c r="AV15" s="173" t="s">
        <v>1588</v>
      </c>
      <c r="AW15" s="181">
        <v>20.92</v>
      </c>
      <c r="AX15" s="181">
        <v>20.98</v>
      </c>
      <c r="AY15" s="181">
        <v>21.005000000000003</v>
      </c>
      <c r="AZ15" s="181">
        <v>21.01</v>
      </c>
      <c r="BA15" s="181">
        <f t="shared" ca="1" si="4"/>
        <v>44193</v>
      </c>
      <c r="BB15" s="173">
        <v>456</v>
      </c>
      <c r="BC15" s="181"/>
      <c r="BD15" s="176" t="s">
        <v>123</v>
      </c>
      <c r="BE15" s="176"/>
      <c r="BF15" s="176"/>
      <c r="BG15" s="176"/>
      <c r="BH15" s="176"/>
      <c r="BI15" s="176"/>
    </row>
    <row r="16" spans="1:61" s="142" customFormat="1" ht="21" customHeight="1" x14ac:dyDescent="0.25">
      <c r="B16" s="173" t="str">
        <f t="shared" si="0"/>
        <v>0-304/1D-3.49X1555</v>
      </c>
      <c r="C16" s="201" t="s">
        <v>5425</v>
      </c>
      <c r="D16" s="173" t="s">
        <v>48</v>
      </c>
      <c r="E16" s="173" t="s">
        <v>3945</v>
      </c>
      <c r="F16" s="201" t="s">
        <v>3946</v>
      </c>
      <c r="G16" s="173">
        <v>304</v>
      </c>
      <c r="H16" s="173" t="s">
        <v>127</v>
      </c>
      <c r="I16" s="174">
        <v>3.49</v>
      </c>
      <c r="J16" s="174"/>
      <c r="K16" s="174"/>
      <c r="L16" s="174"/>
      <c r="M16" s="380">
        <v>1555</v>
      </c>
      <c r="N16" s="349">
        <v>21.434999999999999</v>
      </c>
      <c r="O16" s="381">
        <v>10.685</v>
      </c>
      <c r="P16" s="382"/>
      <c r="Q16" s="176"/>
      <c r="R16" s="176"/>
      <c r="S16" s="383"/>
      <c r="T16" s="176"/>
      <c r="U16" s="173">
        <v>778</v>
      </c>
      <c r="V16" s="383"/>
      <c r="W16" s="380"/>
      <c r="X16" s="173" t="s">
        <v>5424</v>
      </c>
      <c r="Y16" s="384"/>
      <c r="Z16" s="173"/>
      <c r="AA16" s="173"/>
      <c r="AB16" s="173"/>
      <c r="AC16" s="173"/>
      <c r="AD16" s="173"/>
      <c r="AE16" s="173"/>
      <c r="AF16" s="173"/>
      <c r="AG16" s="177"/>
      <c r="AH16" s="177">
        <v>44929</v>
      </c>
      <c r="AI16" s="177"/>
      <c r="AJ16" s="385"/>
      <c r="AK16" s="385" t="s">
        <v>1345</v>
      </c>
      <c r="AL16" s="177" t="s">
        <v>69</v>
      </c>
      <c r="AM16" s="177" t="s">
        <v>142</v>
      </c>
      <c r="AN16" s="177" t="s">
        <v>1346</v>
      </c>
      <c r="AO16" s="177"/>
      <c r="AP16" s="177">
        <v>44813</v>
      </c>
      <c r="AQ16" s="177"/>
      <c r="AR16" s="177">
        <f t="shared" ca="1" si="1"/>
        <v>44958</v>
      </c>
      <c r="AS16" s="177">
        <f t="shared" ca="1" si="2"/>
        <v>145</v>
      </c>
      <c r="AT16" s="180" t="e">
        <f t="shared" ca="1" si="3"/>
        <v>#VALUE!</v>
      </c>
      <c r="AU16" s="173"/>
      <c r="AV16" s="173" t="s">
        <v>3947</v>
      </c>
      <c r="AW16" s="181">
        <v>21.434999999999999</v>
      </c>
      <c r="AX16" s="181">
        <v>21.495000000000001</v>
      </c>
      <c r="AY16" s="181">
        <v>21.520000000000003</v>
      </c>
      <c r="AZ16" s="181">
        <v>21.525000000000002</v>
      </c>
      <c r="BA16" s="181">
        <f t="shared" ca="1" si="4"/>
        <v>44180</v>
      </c>
      <c r="BB16" s="173">
        <v>451</v>
      </c>
      <c r="BC16" s="181"/>
      <c r="BD16" s="176" t="s">
        <v>123</v>
      </c>
      <c r="BE16" s="176"/>
      <c r="BF16" s="176"/>
      <c r="BG16" s="176"/>
      <c r="BH16" s="176"/>
      <c r="BI16" s="176"/>
    </row>
    <row r="17" spans="2:61" s="142" customFormat="1" ht="21" customHeight="1" x14ac:dyDescent="0.25">
      <c r="B17" s="173" t="str">
        <f t="shared" si="0"/>
        <v>0-304/1D-3.49X1555</v>
      </c>
      <c r="C17" s="201" t="s">
        <v>5425</v>
      </c>
      <c r="D17" s="173" t="s">
        <v>48</v>
      </c>
      <c r="E17" s="173" t="s">
        <v>3945</v>
      </c>
      <c r="F17" s="201" t="s">
        <v>3955</v>
      </c>
      <c r="G17" s="173">
        <v>304</v>
      </c>
      <c r="H17" s="173" t="s">
        <v>127</v>
      </c>
      <c r="I17" s="174">
        <v>3.49</v>
      </c>
      <c r="J17" s="174"/>
      <c r="K17" s="174"/>
      <c r="L17" s="174"/>
      <c r="M17" s="380">
        <v>1555</v>
      </c>
      <c r="N17" s="350"/>
      <c r="O17" s="381">
        <v>10.79</v>
      </c>
      <c r="P17" s="382"/>
      <c r="Q17" s="176"/>
      <c r="R17" s="176"/>
      <c r="S17" s="383"/>
      <c r="T17" s="176"/>
      <c r="U17" s="173">
        <v>777</v>
      </c>
      <c r="V17" s="383"/>
      <c r="W17" s="380"/>
      <c r="X17" s="173" t="s">
        <v>5424</v>
      </c>
      <c r="Y17" s="384"/>
      <c r="Z17" s="173"/>
      <c r="AA17" s="173"/>
      <c r="AB17" s="173"/>
      <c r="AC17" s="173"/>
      <c r="AD17" s="173"/>
      <c r="AE17" s="173"/>
      <c r="AF17" s="173"/>
      <c r="AG17" s="177"/>
      <c r="AH17" s="177">
        <v>44929</v>
      </c>
      <c r="AI17" s="177"/>
      <c r="AJ17" s="385"/>
      <c r="AK17" s="385" t="s">
        <v>1345</v>
      </c>
      <c r="AL17" s="177" t="s">
        <v>69</v>
      </c>
      <c r="AM17" s="177" t="s">
        <v>142</v>
      </c>
      <c r="AN17" s="177" t="s">
        <v>1346</v>
      </c>
      <c r="AO17" s="177"/>
      <c r="AP17" s="177">
        <v>44813</v>
      </c>
      <c r="AQ17" s="177"/>
      <c r="AR17" s="177">
        <f t="shared" ca="1" si="1"/>
        <v>44958</v>
      </c>
      <c r="AS17" s="177">
        <f t="shared" ca="1" si="2"/>
        <v>145</v>
      </c>
      <c r="AT17" s="180" t="e">
        <f t="shared" ca="1" si="3"/>
        <v>#VALUE!</v>
      </c>
      <c r="AU17" s="173"/>
      <c r="AV17" s="173" t="s">
        <v>3947</v>
      </c>
      <c r="AW17" s="181">
        <v>21.434999999999999</v>
      </c>
      <c r="AX17" s="181">
        <v>21.495000000000001</v>
      </c>
      <c r="AY17" s="181">
        <v>21.520000000000003</v>
      </c>
      <c r="AZ17" s="181">
        <v>21.525000000000002</v>
      </c>
      <c r="BA17" s="181">
        <f t="shared" ca="1" si="4"/>
        <v>44181</v>
      </c>
      <c r="BB17" s="173">
        <v>451</v>
      </c>
      <c r="BC17" s="181"/>
      <c r="BD17" s="176" t="s">
        <v>123</v>
      </c>
      <c r="BE17" s="176"/>
      <c r="BF17" s="176"/>
      <c r="BG17" s="176"/>
      <c r="BH17" s="176"/>
      <c r="BI17" s="176"/>
    </row>
    <row r="18" spans="2:61" s="142" customFormat="1" ht="21" customHeight="1" x14ac:dyDescent="0.25">
      <c r="B18" s="173" t="str">
        <f t="shared" si="0"/>
        <v>0-304L/1D-2.92X1537</v>
      </c>
      <c r="C18" s="201" t="s">
        <v>5426</v>
      </c>
      <c r="D18" s="173" t="s">
        <v>48</v>
      </c>
      <c r="E18" s="173" t="s">
        <v>3906</v>
      </c>
      <c r="F18" s="201" t="s">
        <v>3979</v>
      </c>
      <c r="G18" s="173" t="s">
        <v>182</v>
      </c>
      <c r="H18" s="173" t="s">
        <v>127</v>
      </c>
      <c r="I18" s="174">
        <v>2.92</v>
      </c>
      <c r="J18" s="174"/>
      <c r="K18" s="174"/>
      <c r="L18" s="174"/>
      <c r="M18" s="380">
        <v>1537</v>
      </c>
      <c r="N18" s="349">
        <v>24.495000000000001</v>
      </c>
      <c r="O18" s="381">
        <v>12.25</v>
      </c>
      <c r="P18" s="382"/>
      <c r="Q18" s="176"/>
      <c r="R18" s="176"/>
      <c r="S18" s="383"/>
      <c r="T18" s="176"/>
      <c r="U18" s="173">
        <v>768</v>
      </c>
      <c r="V18" s="383"/>
      <c r="W18" s="380"/>
      <c r="X18" s="173" t="s">
        <v>5424</v>
      </c>
      <c r="Y18" s="384"/>
      <c r="Z18" s="173"/>
      <c r="AA18" s="173"/>
      <c r="AB18" s="173"/>
      <c r="AC18" s="173"/>
      <c r="AD18" s="173"/>
      <c r="AE18" s="173"/>
      <c r="AF18" s="173"/>
      <c r="AG18" s="177"/>
      <c r="AH18" s="177">
        <v>44930</v>
      </c>
      <c r="AI18" s="177"/>
      <c r="AJ18" s="385"/>
      <c r="AK18" s="385" t="s">
        <v>1345</v>
      </c>
      <c r="AL18" s="177" t="s">
        <v>69</v>
      </c>
      <c r="AM18" s="177" t="s">
        <v>142</v>
      </c>
      <c r="AN18" s="177" t="s">
        <v>1508</v>
      </c>
      <c r="AO18" s="177"/>
      <c r="AP18" s="177">
        <v>44849</v>
      </c>
      <c r="AQ18" s="177"/>
      <c r="AR18" s="177">
        <f t="shared" ca="1" si="1"/>
        <v>44958</v>
      </c>
      <c r="AS18" s="177">
        <f t="shared" ca="1" si="2"/>
        <v>109</v>
      </c>
      <c r="AT18" s="180" t="e">
        <f t="shared" ca="1" si="3"/>
        <v>#VALUE!</v>
      </c>
      <c r="AU18" s="173"/>
      <c r="AV18" s="173" t="s">
        <v>3908</v>
      </c>
      <c r="AW18" s="181">
        <v>24.495000000000001</v>
      </c>
      <c r="AX18" s="181">
        <v>24.555</v>
      </c>
      <c r="AY18" s="181">
        <v>24.580000000000002</v>
      </c>
      <c r="AZ18" s="181">
        <v>24.585000000000001</v>
      </c>
      <c r="BA18" s="181">
        <f t="shared" ca="1" si="4"/>
        <v>44190</v>
      </c>
      <c r="BB18" s="173">
        <v>456</v>
      </c>
      <c r="BC18" s="181"/>
      <c r="BD18" s="176" t="s">
        <v>123</v>
      </c>
      <c r="BE18" s="176"/>
      <c r="BF18" s="176"/>
      <c r="BG18" s="176"/>
      <c r="BH18" s="176"/>
      <c r="BI18" s="176"/>
    </row>
    <row r="19" spans="2:61" s="142" customFormat="1" ht="21" customHeight="1" x14ac:dyDescent="0.25">
      <c r="B19" s="173" t="str">
        <f t="shared" si="0"/>
        <v>0-304L/1D-2.92X1537</v>
      </c>
      <c r="C19" s="201" t="s">
        <v>5426</v>
      </c>
      <c r="D19" s="173" t="s">
        <v>48</v>
      </c>
      <c r="E19" s="173" t="s">
        <v>3906</v>
      </c>
      <c r="F19" s="201" t="s">
        <v>3907</v>
      </c>
      <c r="G19" s="173" t="s">
        <v>182</v>
      </c>
      <c r="H19" s="173" t="s">
        <v>127</v>
      </c>
      <c r="I19" s="174">
        <v>2.92</v>
      </c>
      <c r="J19" s="174"/>
      <c r="K19" s="174"/>
      <c r="L19" s="174"/>
      <c r="M19" s="380">
        <v>1537</v>
      </c>
      <c r="N19" s="350"/>
      <c r="O19" s="381">
        <v>12.255000000000001</v>
      </c>
      <c r="P19" s="382"/>
      <c r="Q19" s="176"/>
      <c r="R19" s="176"/>
      <c r="S19" s="383"/>
      <c r="T19" s="176"/>
      <c r="U19" s="173">
        <v>769</v>
      </c>
      <c r="V19" s="383"/>
      <c r="W19" s="380"/>
      <c r="X19" s="173" t="s">
        <v>5424</v>
      </c>
      <c r="Y19" s="384"/>
      <c r="Z19" s="173"/>
      <c r="AA19" s="173"/>
      <c r="AB19" s="173"/>
      <c r="AC19" s="173"/>
      <c r="AD19" s="173"/>
      <c r="AE19" s="173"/>
      <c r="AF19" s="173"/>
      <c r="AG19" s="177"/>
      <c r="AH19" s="177">
        <v>44930</v>
      </c>
      <c r="AI19" s="177"/>
      <c r="AJ19" s="385"/>
      <c r="AK19" s="385" t="s">
        <v>1345</v>
      </c>
      <c r="AL19" s="177" t="s">
        <v>69</v>
      </c>
      <c r="AM19" s="177" t="s">
        <v>142</v>
      </c>
      <c r="AN19" s="177" t="s">
        <v>1508</v>
      </c>
      <c r="AO19" s="177"/>
      <c r="AP19" s="177">
        <v>44849</v>
      </c>
      <c r="AQ19" s="177"/>
      <c r="AR19" s="177">
        <f t="shared" ca="1" si="1"/>
        <v>44958</v>
      </c>
      <c r="AS19" s="177">
        <f t="shared" ca="1" si="2"/>
        <v>109</v>
      </c>
      <c r="AT19" s="180" t="e">
        <f t="shared" ca="1" si="3"/>
        <v>#VALUE!</v>
      </c>
      <c r="AU19" s="173"/>
      <c r="AV19" s="173" t="s">
        <v>3908</v>
      </c>
      <c r="AW19" s="181">
        <v>24.495000000000001</v>
      </c>
      <c r="AX19" s="181">
        <v>24.555</v>
      </c>
      <c r="AY19" s="181">
        <v>24.580000000000002</v>
      </c>
      <c r="AZ19" s="181">
        <v>24.585000000000001</v>
      </c>
      <c r="BA19" s="181">
        <f t="shared" ca="1" si="4"/>
        <v>44189</v>
      </c>
      <c r="BB19" s="173">
        <v>456</v>
      </c>
      <c r="BC19" s="181"/>
      <c r="BD19" s="176" t="s">
        <v>123</v>
      </c>
      <c r="BE19" s="176"/>
      <c r="BF19" s="176"/>
      <c r="BG19" s="176"/>
      <c r="BH19" s="176"/>
      <c r="BI19" s="176"/>
    </row>
    <row r="20" spans="2:61" s="142" customFormat="1" ht="21" customHeight="1" x14ac:dyDescent="0.25">
      <c r="B20" s="173" t="str">
        <f t="shared" si="0"/>
        <v>0-304/1D-3.51X1555</v>
      </c>
      <c r="C20" s="201" t="s">
        <v>5426</v>
      </c>
      <c r="D20" s="173" t="s">
        <v>48</v>
      </c>
      <c r="E20" s="173" t="s">
        <v>3949</v>
      </c>
      <c r="F20" s="201" t="s">
        <v>3950</v>
      </c>
      <c r="G20" s="173">
        <v>304</v>
      </c>
      <c r="H20" s="173" t="s">
        <v>127</v>
      </c>
      <c r="I20" s="174">
        <v>3.51</v>
      </c>
      <c r="J20" s="174"/>
      <c r="K20" s="174"/>
      <c r="L20" s="174"/>
      <c r="M20" s="380">
        <v>1555</v>
      </c>
      <c r="N20" s="349">
        <v>21.465</v>
      </c>
      <c r="O20" s="381">
        <v>10.715</v>
      </c>
      <c r="P20" s="382"/>
      <c r="Q20" s="176"/>
      <c r="R20" s="176"/>
      <c r="S20" s="383"/>
      <c r="T20" s="176"/>
      <c r="U20" s="173">
        <v>777</v>
      </c>
      <c r="V20" s="383"/>
      <c r="W20" s="380"/>
      <c r="X20" s="173" t="s">
        <v>5424</v>
      </c>
      <c r="Y20" s="384"/>
      <c r="Z20" s="173"/>
      <c r="AA20" s="173"/>
      <c r="AB20" s="173"/>
      <c r="AC20" s="173"/>
      <c r="AD20" s="173"/>
      <c r="AE20" s="173"/>
      <c r="AF20" s="173"/>
      <c r="AG20" s="177"/>
      <c r="AH20" s="177">
        <v>44930</v>
      </c>
      <c r="AI20" s="177"/>
      <c r="AJ20" s="385"/>
      <c r="AK20" s="385" t="s">
        <v>1345</v>
      </c>
      <c r="AL20" s="177" t="s">
        <v>69</v>
      </c>
      <c r="AM20" s="177" t="s">
        <v>142</v>
      </c>
      <c r="AN20" s="177" t="s">
        <v>1346</v>
      </c>
      <c r="AO20" s="177"/>
      <c r="AP20" s="177">
        <v>44813</v>
      </c>
      <c r="AQ20" s="177"/>
      <c r="AR20" s="177">
        <f t="shared" ca="1" si="1"/>
        <v>44958</v>
      </c>
      <c r="AS20" s="177">
        <f t="shared" ca="1" si="2"/>
        <v>145</v>
      </c>
      <c r="AT20" s="180" t="e">
        <f t="shared" ca="1" si="3"/>
        <v>#VALUE!</v>
      </c>
      <c r="AU20" s="173"/>
      <c r="AV20" s="173" t="s">
        <v>3951</v>
      </c>
      <c r="AW20" s="181">
        <v>21.465</v>
      </c>
      <c r="AX20" s="181">
        <v>21.524999999999999</v>
      </c>
      <c r="AY20" s="181">
        <v>21.55</v>
      </c>
      <c r="AZ20" s="181">
        <v>21.555</v>
      </c>
      <c r="BA20" s="181">
        <f t="shared" ca="1" si="4"/>
        <v>44181</v>
      </c>
      <c r="BB20" s="173">
        <v>451</v>
      </c>
      <c r="BC20" s="181"/>
      <c r="BD20" s="176" t="s">
        <v>123</v>
      </c>
      <c r="BE20" s="176"/>
      <c r="BF20" s="176"/>
      <c r="BG20" s="176"/>
      <c r="BH20" s="176"/>
      <c r="BI20" s="176"/>
    </row>
    <row r="21" spans="2:61" s="142" customFormat="1" ht="21" customHeight="1" x14ac:dyDescent="0.25">
      <c r="B21" s="173" t="str">
        <f t="shared" si="0"/>
        <v>0-304/1D-3.51X1555</v>
      </c>
      <c r="C21" s="201" t="s">
        <v>5426</v>
      </c>
      <c r="D21" s="173" t="s">
        <v>48</v>
      </c>
      <c r="E21" s="173" t="s">
        <v>3949</v>
      </c>
      <c r="F21" s="201" t="s">
        <v>3981</v>
      </c>
      <c r="G21" s="173">
        <v>304</v>
      </c>
      <c r="H21" s="173" t="s">
        <v>127</v>
      </c>
      <c r="I21" s="174">
        <v>3.51</v>
      </c>
      <c r="J21" s="174"/>
      <c r="K21" s="174"/>
      <c r="L21" s="174"/>
      <c r="M21" s="380">
        <v>1555</v>
      </c>
      <c r="N21" s="350"/>
      <c r="O21" s="381">
        <v>10.734999999999999</v>
      </c>
      <c r="P21" s="382"/>
      <c r="Q21" s="176"/>
      <c r="R21" s="176"/>
      <c r="S21" s="383"/>
      <c r="T21" s="176"/>
      <c r="U21" s="173">
        <v>778</v>
      </c>
      <c r="V21" s="383"/>
      <c r="W21" s="380"/>
      <c r="X21" s="173" t="s">
        <v>5424</v>
      </c>
      <c r="Y21" s="384"/>
      <c r="Z21" s="173"/>
      <c r="AA21" s="173"/>
      <c r="AB21" s="173"/>
      <c r="AC21" s="173"/>
      <c r="AD21" s="173"/>
      <c r="AE21" s="173"/>
      <c r="AF21" s="173"/>
      <c r="AG21" s="177"/>
      <c r="AH21" s="177">
        <v>44930</v>
      </c>
      <c r="AI21" s="177"/>
      <c r="AJ21" s="385"/>
      <c r="AK21" s="385" t="s">
        <v>1345</v>
      </c>
      <c r="AL21" s="177" t="s">
        <v>69</v>
      </c>
      <c r="AM21" s="177" t="s">
        <v>142</v>
      </c>
      <c r="AN21" s="177" t="s">
        <v>1346</v>
      </c>
      <c r="AO21" s="177"/>
      <c r="AP21" s="177">
        <v>44813</v>
      </c>
      <c r="AQ21" s="177"/>
      <c r="AR21" s="177">
        <f t="shared" ca="1" si="1"/>
        <v>44958</v>
      </c>
      <c r="AS21" s="177">
        <f t="shared" ca="1" si="2"/>
        <v>145</v>
      </c>
      <c r="AT21" s="180" t="e">
        <f t="shared" ca="1" si="3"/>
        <v>#VALUE!</v>
      </c>
      <c r="AU21" s="173"/>
      <c r="AV21" s="173" t="s">
        <v>3951</v>
      </c>
      <c r="AW21" s="181">
        <v>21.465</v>
      </c>
      <c r="AX21" s="181">
        <v>21.524999999999999</v>
      </c>
      <c r="AY21" s="181">
        <v>21.55</v>
      </c>
      <c r="AZ21" s="181">
        <v>21.555</v>
      </c>
      <c r="BA21" s="181">
        <f t="shared" ca="1" si="4"/>
        <v>44180</v>
      </c>
      <c r="BB21" s="173">
        <v>451</v>
      </c>
      <c r="BC21" s="181"/>
      <c r="BD21" s="176" t="s">
        <v>123</v>
      </c>
      <c r="BE21" s="176"/>
      <c r="BF21" s="176"/>
      <c r="BG21" s="176"/>
      <c r="BH21" s="176"/>
      <c r="BI21" s="176"/>
    </row>
    <row r="22" spans="2:61" s="142" customFormat="1" ht="21" customHeight="1" x14ac:dyDescent="0.25">
      <c r="B22" s="173" t="str">
        <f t="shared" si="0"/>
        <v>0-304L/1D-3.40X1531</v>
      </c>
      <c r="C22" s="201" t="s">
        <v>5426</v>
      </c>
      <c r="D22" s="173" t="s">
        <v>48</v>
      </c>
      <c r="E22" s="173" t="s">
        <v>1579</v>
      </c>
      <c r="F22" s="201" t="s">
        <v>1580</v>
      </c>
      <c r="G22" s="173" t="s">
        <v>182</v>
      </c>
      <c r="H22" s="173" t="s">
        <v>127</v>
      </c>
      <c r="I22" s="174">
        <v>3.4</v>
      </c>
      <c r="J22" s="174"/>
      <c r="K22" s="174"/>
      <c r="L22" s="174"/>
      <c r="M22" s="380">
        <v>1531</v>
      </c>
      <c r="N22" s="349">
        <v>20.74</v>
      </c>
      <c r="O22" s="381">
        <v>10.345000000000001</v>
      </c>
      <c r="P22" s="382"/>
      <c r="Q22" s="176"/>
      <c r="R22" s="176"/>
      <c r="S22" s="383"/>
      <c r="T22" s="176"/>
      <c r="U22" s="173">
        <v>765</v>
      </c>
      <c r="V22" s="383"/>
      <c r="W22" s="380"/>
      <c r="X22" s="173" t="s">
        <v>5424</v>
      </c>
      <c r="Y22" s="384"/>
      <c r="Z22" s="173"/>
      <c r="AA22" s="173"/>
      <c r="AB22" s="173"/>
      <c r="AC22" s="173"/>
      <c r="AD22" s="173"/>
      <c r="AE22" s="173"/>
      <c r="AF22" s="173"/>
      <c r="AG22" s="177"/>
      <c r="AH22" s="177">
        <v>44930</v>
      </c>
      <c r="AI22" s="177"/>
      <c r="AJ22" s="385"/>
      <c r="AK22" s="385" t="s">
        <v>1345</v>
      </c>
      <c r="AL22" s="177" t="s">
        <v>69</v>
      </c>
      <c r="AM22" s="177" t="s">
        <v>142</v>
      </c>
      <c r="AN22" s="177" t="s">
        <v>1508</v>
      </c>
      <c r="AO22" s="177"/>
      <c r="AP22" s="177">
        <v>44849</v>
      </c>
      <c r="AQ22" s="177"/>
      <c r="AR22" s="177">
        <f t="shared" ca="1" si="1"/>
        <v>44958</v>
      </c>
      <c r="AS22" s="177">
        <f t="shared" ca="1" si="2"/>
        <v>109</v>
      </c>
      <c r="AT22" s="180" t="e">
        <f t="shared" ca="1" si="3"/>
        <v>#VALUE!</v>
      </c>
      <c r="AU22" s="173"/>
      <c r="AV22" s="173" t="s">
        <v>1581</v>
      </c>
      <c r="AW22" s="181">
        <v>20.74</v>
      </c>
      <c r="AX22" s="181">
        <v>20.8</v>
      </c>
      <c r="AY22" s="181">
        <v>20.825000000000003</v>
      </c>
      <c r="AZ22" s="181">
        <v>20.830000000000002</v>
      </c>
      <c r="BA22" s="181">
        <f t="shared" ca="1" si="4"/>
        <v>44193</v>
      </c>
      <c r="BB22" s="173">
        <v>456</v>
      </c>
      <c r="BC22" s="181"/>
      <c r="BD22" s="176" t="s">
        <v>123</v>
      </c>
      <c r="BE22" s="176"/>
      <c r="BF22" s="176"/>
      <c r="BG22" s="176"/>
      <c r="BH22" s="176"/>
      <c r="BI22" s="176"/>
    </row>
    <row r="23" spans="2:61" s="142" customFormat="1" ht="21" customHeight="1" x14ac:dyDescent="0.25">
      <c r="B23" s="173" t="str">
        <f t="shared" si="0"/>
        <v>0-304L/1D-3.40X1531</v>
      </c>
      <c r="C23" s="201" t="s">
        <v>5426</v>
      </c>
      <c r="D23" s="173" t="s">
        <v>48</v>
      </c>
      <c r="E23" s="173" t="s">
        <v>1579</v>
      </c>
      <c r="F23" s="201" t="s">
        <v>3957</v>
      </c>
      <c r="G23" s="173" t="s">
        <v>182</v>
      </c>
      <c r="H23" s="173" t="s">
        <v>127</v>
      </c>
      <c r="I23" s="174">
        <v>3.4</v>
      </c>
      <c r="J23" s="174"/>
      <c r="K23" s="174"/>
      <c r="L23" s="174"/>
      <c r="M23" s="380">
        <v>1531</v>
      </c>
      <c r="N23" s="350"/>
      <c r="O23" s="381">
        <v>10.385</v>
      </c>
      <c r="P23" s="382"/>
      <c r="Q23" s="176"/>
      <c r="R23" s="176"/>
      <c r="S23" s="383"/>
      <c r="T23" s="176"/>
      <c r="U23" s="173">
        <v>766</v>
      </c>
      <c r="V23" s="383"/>
      <c r="W23" s="380"/>
      <c r="X23" s="173" t="s">
        <v>5424</v>
      </c>
      <c r="Y23" s="384"/>
      <c r="Z23" s="173"/>
      <c r="AA23" s="173"/>
      <c r="AB23" s="173"/>
      <c r="AC23" s="173"/>
      <c r="AD23" s="173"/>
      <c r="AE23" s="173"/>
      <c r="AF23" s="173"/>
      <c r="AG23" s="177"/>
      <c r="AH23" s="177">
        <v>44930</v>
      </c>
      <c r="AI23" s="177"/>
      <c r="AJ23" s="385"/>
      <c r="AK23" s="385" t="s">
        <v>1345</v>
      </c>
      <c r="AL23" s="177" t="s">
        <v>69</v>
      </c>
      <c r="AM23" s="177" t="s">
        <v>142</v>
      </c>
      <c r="AN23" s="177" t="s">
        <v>1508</v>
      </c>
      <c r="AO23" s="177"/>
      <c r="AP23" s="177">
        <v>44849</v>
      </c>
      <c r="AQ23" s="177"/>
      <c r="AR23" s="177">
        <f t="shared" ca="1" si="1"/>
        <v>44958</v>
      </c>
      <c r="AS23" s="177">
        <f t="shared" ca="1" si="2"/>
        <v>109</v>
      </c>
      <c r="AT23" s="180" t="e">
        <f t="shared" ca="1" si="3"/>
        <v>#VALUE!</v>
      </c>
      <c r="AU23" s="173"/>
      <c r="AV23" s="173" t="s">
        <v>1581</v>
      </c>
      <c r="AW23" s="181">
        <v>20.74</v>
      </c>
      <c r="AX23" s="181">
        <v>20.8</v>
      </c>
      <c r="AY23" s="181">
        <v>20.825000000000003</v>
      </c>
      <c r="AZ23" s="181">
        <v>20.830000000000002</v>
      </c>
      <c r="BA23" s="181">
        <f t="shared" ca="1" si="4"/>
        <v>44192</v>
      </c>
      <c r="BB23" s="173">
        <v>456</v>
      </c>
      <c r="BC23" s="181"/>
      <c r="BD23" s="176" t="s">
        <v>123</v>
      </c>
      <c r="BE23" s="176"/>
      <c r="BF23" s="176"/>
      <c r="BG23" s="176"/>
      <c r="BH23" s="176"/>
      <c r="BI23" s="176"/>
    </row>
    <row r="24" spans="2:61" s="142" customFormat="1" ht="21" customHeight="1" x14ac:dyDescent="0.25">
      <c r="B24" s="173" t="str">
        <f t="shared" si="0"/>
        <v>0-304/1D-3.45X1535</v>
      </c>
      <c r="C24" s="201" t="s">
        <v>5427</v>
      </c>
      <c r="D24" s="173" t="s">
        <v>48</v>
      </c>
      <c r="E24" s="173" t="s">
        <v>3924</v>
      </c>
      <c r="F24" s="201" t="s">
        <v>3925</v>
      </c>
      <c r="G24" s="173">
        <v>304</v>
      </c>
      <c r="H24" s="173" t="s">
        <v>127</v>
      </c>
      <c r="I24" s="174">
        <v>3.45</v>
      </c>
      <c r="J24" s="174"/>
      <c r="K24" s="174"/>
      <c r="L24" s="174"/>
      <c r="M24" s="380">
        <v>1535</v>
      </c>
      <c r="N24" s="349">
        <v>24.335000000000001</v>
      </c>
      <c r="O24" s="381">
        <v>12.185</v>
      </c>
      <c r="P24" s="382"/>
      <c r="Q24" s="176"/>
      <c r="R24" s="176"/>
      <c r="S24" s="383"/>
      <c r="T24" s="176"/>
      <c r="U24" s="173">
        <v>767</v>
      </c>
      <c r="V24" s="383"/>
      <c r="W24" s="380"/>
      <c r="X24" s="173" t="s">
        <v>5424</v>
      </c>
      <c r="Y24" s="384"/>
      <c r="Z24" s="173"/>
      <c r="AA24" s="173"/>
      <c r="AB24" s="173"/>
      <c r="AC24" s="173"/>
      <c r="AD24" s="173"/>
      <c r="AE24" s="173"/>
      <c r="AF24" s="173"/>
      <c r="AG24" s="177"/>
      <c r="AH24" s="177">
        <v>44931</v>
      </c>
      <c r="AI24" s="177"/>
      <c r="AJ24" s="385"/>
      <c r="AK24" s="385" t="s">
        <v>1345</v>
      </c>
      <c r="AL24" s="177" t="s">
        <v>69</v>
      </c>
      <c r="AM24" s="177" t="s">
        <v>142</v>
      </c>
      <c r="AN24" s="177" t="s">
        <v>1508</v>
      </c>
      <c r="AO24" s="177"/>
      <c r="AP24" s="177">
        <v>44849</v>
      </c>
      <c r="AQ24" s="177"/>
      <c r="AR24" s="177">
        <f t="shared" ca="1" si="1"/>
        <v>44958</v>
      </c>
      <c r="AS24" s="177">
        <f t="shared" ca="1" si="2"/>
        <v>109</v>
      </c>
      <c r="AT24" s="180" t="e">
        <f t="shared" ca="1" si="3"/>
        <v>#VALUE!</v>
      </c>
      <c r="AU24" s="173"/>
      <c r="AV24" s="173" t="s">
        <v>3926</v>
      </c>
      <c r="AW24" s="181">
        <v>24.335000000000001</v>
      </c>
      <c r="AX24" s="181">
        <v>24.395</v>
      </c>
      <c r="AY24" s="181">
        <v>24.42</v>
      </c>
      <c r="AZ24" s="181">
        <v>24.425000000000001</v>
      </c>
      <c r="BA24" s="181">
        <f t="shared" ca="1" si="4"/>
        <v>44191</v>
      </c>
      <c r="BB24" s="173">
        <v>456</v>
      </c>
      <c r="BC24" s="181"/>
      <c r="BD24" s="176" t="s">
        <v>123</v>
      </c>
      <c r="BE24" s="176"/>
      <c r="BF24" s="176"/>
      <c r="BG24" s="176"/>
      <c r="BH24" s="176"/>
      <c r="BI24" s="176"/>
    </row>
    <row r="25" spans="2:61" s="142" customFormat="1" ht="21" customHeight="1" x14ac:dyDescent="0.25">
      <c r="B25" s="173" t="str">
        <f t="shared" si="0"/>
        <v>0-304/1D-3.45X1535</v>
      </c>
      <c r="C25" s="201" t="s">
        <v>5427</v>
      </c>
      <c r="D25" s="173" t="s">
        <v>48</v>
      </c>
      <c r="E25" s="173" t="s">
        <v>3924</v>
      </c>
      <c r="F25" s="201" t="s">
        <v>3982</v>
      </c>
      <c r="G25" s="173">
        <v>304</v>
      </c>
      <c r="H25" s="173" t="s">
        <v>127</v>
      </c>
      <c r="I25" s="174">
        <v>3.45</v>
      </c>
      <c r="J25" s="174"/>
      <c r="K25" s="174"/>
      <c r="L25" s="174"/>
      <c r="M25" s="380">
        <v>1535</v>
      </c>
      <c r="N25" s="350"/>
      <c r="O25" s="381">
        <v>12.275</v>
      </c>
      <c r="P25" s="382"/>
      <c r="Q25" s="176"/>
      <c r="R25" s="176"/>
      <c r="S25" s="383"/>
      <c r="T25" s="176"/>
      <c r="U25" s="173">
        <v>767</v>
      </c>
      <c r="V25" s="383"/>
      <c r="W25" s="380"/>
      <c r="X25" s="173" t="s">
        <v>5424</v>
      </c>
      <c r="Y25" s="384"/>
      <c r="Z25" s="173"/>
      <c r="AA25" s="173"/>
      <c r="AB25" s="173"/>
      <c r="AC25" s="173"/>
      <c r="AD25" s="173"/>
      <c r="AE25" s="173"/>
      <c r="AF25" s="173"/>
      <c r="AG25" s="177"/>
      <c r="AH25" s="177">
        <v>44931</v>
      </c>
      <c r="AI25" s="177"/>
      <c r="AJ25" s="385"/>
      <c r="AK25" s="385" t="s">
        <v>1345</v>
      </c>
      <c r="AL25" s="177" t="s">
        <v>69</v>
      </c>
      <c r="AM25" s="177" t="s">
        <v>142</v>
      </c>
      <c r="AN25" s="177" t="s">
        <v>1508</v>
      </c>
      <c r="AO25" s="177"/>
      <c r="AP25" s="177">
        <v>44849</v>
      </c>
      <c r="AQ25" s="177"/>
      <c r="AR25" s="177">
        <f t="shared" ca="1" si="1"/>
        <v>44958</v>
      </c>
      <c r="AS25" s="177">
        <f t="shared" ca="1" si="2"/>
        <v>109</v>
      </c>
      <c r="AT25" s="180" t="e">
        <f t="shared" ca="1" si="3"/>
        <v>#VALUE!</v>
      </c>
      <c r="AU25" s="173"/>
      <c r="AV25" s="173" t="s">
        <v>3926</v>
      </c>
      <c r="AW25" s="181">
        <v>24.335000000000001</v>
      </c>
      <c r="AX25" s="181">
        <v>24.395</v>
      </c>
      <c r="AY25" s="181">
        <v>24.42</v>
      </c>
      <c r="AZ25" s="181">
        <v>24.425000000000001</v>
      </c>
      <c r="BA25" s="181">
        <f t="shared" ca="1" si="4"/>
        <v>44191</v>
      </c>
      <c r="BB25" s="173">
        <v>456</v>
      </c>
      <c r="BC25" s="181"/>
      <c r="BD25" s="176" t="s">
        <v>123</v>
      </c>
      <c r="BE25" s="176"/>
      <c r="BF25" s="176"/>
      <c r="BG25" s="176"/>
      <c r="BH25" s="176"/>
      <c r="BI25" s="176"/>
    </row>
    <row r="26" spans="2:61" s="142" customFormat="1" ht="21" customHeight="1" x14ac:dyDescent="0.25">
      <c r="B26" s="173" t="str">
        <f t="shared" si="0"/>
        <v>0-304L/1D-3.79X1533</v>
      </c>
      <c r="C26" s="201" t="s">
        <v>5428</v>
      </c>
      <c r="D26" s="173" t="s">
        <v>48</v>
      </c>
      <c r="E26" s="173" t="s">
        <v>1515</v>
      </c>
      <c r="F26" s="201" t="s">
        <v>1516</v>
      </c>
      <c r="G26" s="173" t="s">
        <v>182</v>
      </c>
      <c r="H26" s="173" t="s">
        <v>127</v>
      </c>
      <c r="I26" s="174">
        <v>3.79</v>
      </c>
      <c r="J26" s="174"/>
      <c r="K26" s="174"/>
      <c r="L26" s="174"/>
      <c r="M26" s="380">
        <v>1533</v>
      </c>
      <c r="N26" s="349">
        <v>24.25</v>
      </c>
      <c r="O26" s="381">
        <v>12.14</v>
      </c>
      <c r="P26" s="382"/>
      <c r="Q26" s="176"/>
      <c r="R26" s="176"/>
      <c r="S26" s="383"/>
      <c r="T26" s="176"/>
      <c r="U26" s="173">
        <v>770</v>
      </c>
      <c r="V26" s="383"/>
      <c r="W26" s="380"/>
      <c r="X26" s="173" t="s">
        <v>5424</v>
      </c>
      <c r="Y26" s="384"/>
      <c r="Z26" s="173"/>
      <c r="AA26" s="173"/>
      <c r="AB26" s="173"/>
      <c r="AC26" s="173"/>
      <c r="AD26" s="173"/>
      <c r="AE26" s="173"/>
      <c r="AF26" s="173"/>
      <c r="AG26" s="177"/>
      <c r="AH26" s="177">
        <v>44932</v>
      </c>
      <c r="AI26" s="177"/>
      <c r="AJ26" s="385"/>
      <c r="AK26" s="385" t="s">
        <v>1507</v>
      </c>
      <c r="AL26" s="177" t="s">
        <v>69</v>
      </c>
      <c r="AM26" s="177" t="s">
        <v>142</v>
      </c>
      <c r="AN26" s="177" t="s">
        <v>1508</v>
      </c>
      <c r="AO26" s="177"/>
      <c r="AP26" s="177">
        <v>44849</v>
      </c>
      <c r="AQ26" s="177"/>
      <c r="AR26" s="177">
        <f t="shared" ca="1" si="1"/>
        <v>44958</v>
      </c>
      <c r="AS26" s="177">
        <f t="shared" ca="1" si="2"/>
        <v>109</v>
      </c>
      <c r="AT26" s="180" t="e">
        <f t="shared" ca="1" si="3"/>
        <v>#VALUE!</v>
      </c>
      <c r="AU26" s="173"/>
      <c r="AV26" s="173" t="s">
        <v>1517</v>
      </c>
      <c r="AW26" s="181">
        <v>24.25</v>
      </c>
      <c r="AX26" s="181">
        <v>24.31</v>
      </c>
      <c r="AY26" s="181">
        <v>24.335000000000001</v>
      </c>
      <c r="AZ26" s="181">
        <v>24.34</v>
      </c>
      <c r="BA26" s="181">
        <f t="shared" ca="1" si="4"/>
        <v>44188</v>
      </c>
      <c r="BB26" s="173">
        <v>456</v>
      </c>
      <c r="BC26" s="181"/>
      <c r="BD26" s="176" t="s">
        <v>123</v>
      </c>
      <c r="BE26" s="176"/>
      <c r="BF26" s="176"/>
      <c r="BG26" s="176"/>
      <c r="BH26" s="176"/>
      <c r="BI26" s="176"/>
    </row>
    <row r="27" spans="2:61" s="142" customFormat="1" ht="21" customHeight="1" x14ac:dyDescent="0.25">
      <c r="B27" s="173" t="str">
        <f t="shared" si="0"/>
        <v>0-304L/1D-3.79X1533</v>
      </c>
      <c r="C27" s="201" t="s">
        <v>5428</v>
      </c>
      <c r="D27" s="173" t="s">
        <v>48</v>
      </c>
      <c r="E27" s="173" t="s">
        <v>1515</v>
      </c>
      <c r="F27" s="201" t="s">
        <v>1518</v>
      </c>
      <c r="G27" s="173" t="s">
        <v>182</v>
      </c>
      <c r="H27" s="173" t="s">
        <v>127</v>
      </c>
      <c r="I27" s="174">
        <v>3.79</v>
      </c>
      <c r="J27" s="174"/>
      <c r="K27" s="174"/>
      <c r="L27" s="174"/>
      <c r="M27" s="380">
        <v>1533</v>
      </c>
      <c r="N27" s="350"/>
      <c r="O27" s="381">
        <v>12.13</v>
      </c>
      <c r="P27" s="382"/>
      <c r="Q27" s="176"/>
      <c r="R27" s="176"/>
      <c r="S27" s="383"/>
      <c r="T27" s="176"/>
      <c r="U27" s="173">
        <v>767</v>
      </c>
      <c r="V27" s="383"/>
      <c r="W27" s="380"/>
      <c r="X27" s="173" t="s">
        <v>5424</v>
      </c>
      <c r="Y27" s="384"/>
      <c r="Z27" s="173"/>
      <c r="AA27" s="173"/>
      <c r="AB27" s="173"/>
      <c r="AC27" s="173"/>
      <c r="AD27" s="173"/>
      <c r="AE27" s="173"/>
      <c r="AF27" s="173"/>
      <c r="AG27" s="177"/>
      <c r="AH27" s="177">
        <v>44932</v>
      </c>
      <c r="AI27" s="177"/>
      <c r="AJ27" s="385"/>
      <c r="AK27" s="385" t="s">
        <v>1507</v>
      </c>
      <c r="AL27" s="177" t="s">
        <v>69</v>
      </c>
      <c r="AM27" s="177" t="s">
        <v>142</v>
      </c>
      <c r="AN27" s="177" t="s">
        <v>1508</v>
      </c>
      <c r="AO27" s="177"/>
      <c r="AP27" s="177">
        <v>44849</v>
      </c>
      <c r="AQ27" s="177"/>
      <c r="AR27" s="177">
        <f t="shared" ca="1" si="1"/>
        <v>44958</v>
      </c>
      <c r="AS27" s="177">
        <f t="shared" ca="1" si="2"/>
        <v>109</v>
      </c>
      <c r="AT27" s="180" t="e">
        <f t="shared" ca="1" si="3"/>
        <v>#VALUE!</v>
      </c>
      <c r="AU27" s="173"/>
      <c r="AV27" s="173" t="s">
        <v>1517</v>
      </c>
      <c r="AW27" s="181">
        <v>24.25</v>
      </c>
      <c r="AX27" s="181">
        <v>24.31</v>
      </c>
      <c r="AY27" s="181">
        <v>24.335000000000001</v>
      </c>
      <c r="AZ27" s="181">
        <v>24.34</v>
      </c>
      <c r="BA27" s="181">
        <f t="shared" ca="1" si="4"/>
        <v>44191</v>
      </c>
      <c r="BB27" s="173">
        <v>456</v>
      </c>
      <c r="BC27" s="181"/>
      <c r="BD27" s="176" t="s">
        <v>123</v>
      </c>
      <c r="BE27" s="176"/>
      <c r="BF27" s="176"/>
      <c r="BG27" s="176"/>
      <c r="BH27" s="176"/>
      <c r="BI27" s="176"/>
    </row>
    <row r="28" spans="2:61" s="142" customFormat="1" ht="21" customHeight="1" x14ac:dyDescent="0.25">
      <c r="B28" s="173" t="str">
        <f t="shared" si="0"/>
        <v>0-304L/1D-3.78X1536</v>
      </c>
      <c r="C28" s="201" t="s">
        <v>5428</v>
      </c>
      <c r="D28" s="173" t="s">
        <v>48</v>
      </c>
      <c r="E28" s="173" t="s">
        <v>1561</v>
      </c>
      <c r="F28" s="201" t="s">
        <v>1562</v>
      </c>
      <c r="G28" s="173" t="s">
        <v>182</v>
      </c>
      <c r="H28" s="173" t="s">
        <v>127</v>
      </c>
      <c r="I28" s="174">
        <v>3.78</v>
      </c>
      <c r="J28" s="174"/>
      <c r="K28" s="174"/>
      <c r="L28" s="174"/>
      <c r="M28" s="380">
        <v>1536</v>
      </c>
      <c r="N28" s="349">
        <v>24.54</v>
      </c>
      <c r="O28" s="381">
        <v>12.335000000000001</v>
      </c>
      <c r="P28" s="382"/>
      <c r="Q28" s="176"/>
      <c r="R28" s="176"/>
      <c r="S28" s="383"/>
      <c r="T28" s="176"/>
      <c r="U28" s="173">
        <v>770</v>
      </c>
      <c r="V28" s="383"/>
      <c r="W28" s="380"/>
      <c r="X28" s="173" t="s">
        <v>5424</v>
      </c>
      <c r="Y28" s="384"/>
      <c r="Z28" s="173"/>
      <c r="AA28" s="173"/>
      <c r="AB28" s="173"/>
      <c r="AC28" s="173"/>
      <c r="AD28" s="173"/>
      <c r="AE28" s="173"/>
      <c r="AF28" s="173"/>
      <c r="AG28" s="177"/>
      <c r="AH28" s="177">
        <v>44932</v>
      </c>
      <c r="AI28" s="177"/>
      <c r="AJ28" s="385"/>
      <c r="AK28" s="385" t="s">
        <v>1507</v>
      </c>
      <c r="AL28" s="177" t="s">
        <v>69</v>
      </c>
      <c r="AM28" s="177" t="s">
        <v>142</v>
      </c>
      <c r="AN28" s="177" t="s">
        <v>1508</v>
      </c>
      <c r="AO28" s="177"/>
      <c r="AP28" s="177">
        <v>44849</v>
      </c>
      <c r="AQ28" s="177"/>
      <c r="AR28" s="177">
        <f t="shared" ca="1" si="1"/>
        <v>44958</v>
      </c>
      <c r="AS28" s="177">
        <f t="shared" ca="1" si="2"/>
        <v>109</v>
      </c>
      <c r="AT28" s="180" t="e">
        <f t="shared" ca="1" si="3"/>
        <v>#VALUE!</v>
      </c>
      <c r="AU28" s="173"/>
      <c r="AV28" s="173" t="s">
        <v>1563</v>
      </c>
      <c r="AW28" s="181">
        <v>24.54</v>
      </c>
      <c r="AX28" s="181">
        <v>24.6</v>
      </c>
      <c r="AY28" s="181">
        <v>24.625000000000004</v>
      </c>
      <c r="AZ28" s="181">
        <v>24.630000000000003</v>
      </c>
      <c r="BA28" s="181">
        <f t="shared" ca="1" si="4"/>
        <v>44188</v>
      </c>
      <c r="BB28" s="173">
        <v>456</v>
      </c>
      <c r="BC28" s="181"/>
      <c r="BD28" s="176" t="s">
        <v>123</v>
      </c>
      <c r="BE28" s="176"/>
      <c r="BF28" s="176"/>
      <c r="BG28" s="176"/>
      <c r="BH28" s="176"/>
      <c r="BI28" s="176"/>
    </row>
    <row r="29" spans="2:61" s="142" customFormat="1" ht="21" customHeight="1" x14ac:dyDescent="0.25">
      <c r="B29" s="173" t="str">
        <f t="shared" si="0"/>
        <v>0-304L/1D-3.78X1536</v>
      </c>
      <c r="C29" s="201" t="s">
        <v>5428</v>
      </c>
      <c r="D29" s="173" t="s">
        <v>48</v>
      </c>
      <c r="E29" s="173" t="s">
        <v>1561</v>
      </c>
      <c r="F29" s="201" t="s">
        <v>1564</v>
      </c>
      <c r="G29" s="173" t="s">
        <v>182</v>
      </c>
      <c r="H29" s="173" t="s">
        <v>127</v>
      </c>
      <c r="I29" s="174">
        <v>3.78</v>
      </c>
      <c r="J29" s="174"/>
      <c r="K29" s="174"/>
      <c r="L29" s="174"/>
      <c r="M29" s="380">
        <v>1536</v>
      </c>
      <c r="N29" s="350"/>
      <c r="O29" s="381">
        <v>12.28</v>
      </c>
      <c r="P29" s="382"/>
      <c r="Q29" s="176"/>
      <c r="R29" s="176"/>
      <c r="S29" s="383"/>
      <c r="T29" s="176"/>
      <c r="U29" s="173">
        <v>768</v>
      </c>
      <c r="V29" s="383"/>
      <c r="W29" s="380"/>
      <c r="X29" s="173" t="s">
        <v>5424</v>
      </c>
      <c r="Y29" s="384"/>
      <c r="Z29" s="173"/>
      <c r="AA29" s="173"/>
      <c r="AB29" s="173"/>
      <c r="AC29" s="173"/>
      <c r="AD29" s="173"/>
      <c r="AE29" s="173"/>
      <c r="AF29" s="173"/>
      <c r="AG29" s="177"/>
      <c r="AH29" s="177">
        <v>44932</v>
      </c>
      <c r="AI29" s="177"/>
      <c r="AJ29" s="385"/>
      <c r="AK29" s="385" t="s">
        <v>1507</v>
      </c>
      <c r="AL29" s="177" t="s">
        <v>69</v>
      </c>
      <c r="AM29" s="177" t="s">
        <v>142</v>
      </c>
      <c r="AN29" s="177" t="s">
        <v>1508</v>
      </c>
      <c r="AO29" s="177"/>
      <c r="AP29" s="177">
        <v>44849</v>
      </c>
      <c r="AQ29" s="177"/>
      <c r="AR29" s="177">
        <f t="shared" ca="1" si="1"/>
        <v>44958</v>
      </c>
      <c r="AS29" s="177">
        <f t="shared" ca="1" si="2"/>
        <v>109</v>
      </c>
      <c r="AT29" s="180" t="e">
        <f t="shared" ca="1" si="3"/>
        <v>#VALUE!</v>
      </c>
      <c r="AU29" s="173"/>
      <c r="AV29" s="173" t="s">
        <v>1563</v>
      </c>
      <c r="AW29" s="181">
        <v>24.54</v>
      </c>
      <c r="AX29" s="181">
        <v>24.6</v>
      </c>
      <c r="AY29" s="181">
        <v>24.625000000000004</v>
      </c>
      <c r="AZ29" s="181">
        <v>24.630000000000003</v>
      </c>
      <c r="BA29" s="181">
        <f t="shared" ca="1" si="4"/>
        <v>44190</v>
      </c>
      <c r="BB29" s="173">
        <v>456</v>
      </c>
      <c r="BC29" s="181"/>
      <c r="BD29" s="176" t="s">
        <v>123</v>
      </c>
      <c r="BE29" s="176"/>
      <c r="BF29" s="176"/>
      <c r="BG29" s="176"/>
      <c r="BH29" s="176"/>
      <c r="BI29" s="176"/>
    </row>
    <row r="30" spans="2:61" s="142" customFormat="1" ht="21" customHeight="1" x14ac:dyDescent="0.25">
      <c r="B30" s="173" t="str">
        <f t="shared" si="0"/>
        <v>0-304L/1D-3.80X1535</v>
      </c>
      <c r="C30" s="201" t="s">
        <v>5428</v>
      </c>
      <c r="D30" s="173" t="s">
        <v>48</v>
      </c>
      <c r="E30" s="173" t="s">
        <v>4025</v>
      </c>
      <c r="F30" s="201" t="s">
        <v>4054</v>
      </c>
      <c r="G30" s="173" t="s">
        <v>182</v>
      </c>
      <c r="H30" s="173" t="s">
        <v>127</v>
      </c>
      <c r="I30" s="174">
        <v>3.8</v>
      </c>
      <c r="J30" s="174"/>
      <c r="K30" s="174"/>
      <c r="L30" s="174"/>
      <c r="M30" s="380">
        <v>1535</v>
      </c>
      <c r="N30" s="349">
        <v>24.6</v>
      </c>
      <c r="O30" s="381">
        <v>12.29</v>
      </c>
      <c r="P30" s="382"/>
      <c r="Q30" s="176"/>
      <c r="R30" s="176"/>
      <c r="S30" s="383"/>
      <c r="T30" s="176"/>
      <c r="U30" s="173">
        <v>767</v>
      </c>
      <c r="V30" s="383"/>
      <c r="W30" s="380"/>
      <c r="X30" s="173" t="s">
        <v>5424</v>
      </c>
      <c r="Y30" s="384"/>
      <c r="Z30" s="173"/>
      <c r="AA30" s="173"/>
      <c r="AB30" s="173"/>
      <c r="AC30" s="173"/>
      <c r="AD30" s="173"/>
      <c r="AE30" s="173"/>
      <c r="AF30" s="173"/>
      <c r="AG30" s="177"/>
      <c r="AH30" s="177">
        <v>44932</v>
      </c>
      <c r="AI30" s="177"/>
      <c r="AJ30" s="385"/>
      <c r="AK30" s="385" t="s">
        <v>1507</v>
      </c>
      <c r="AL30" s="177" t="s">
        <v>69</v>
      </c>
      <c r="AM30" s="177" t="s">
        <v>142</v>
      </c>
      <c r="AN30" s="177" t="s">
        <v>1508</v>
      </c>
      <c r="AO30" s="177"/>
      <c r="AP30" s="177">
        <v>44849</v>
      </c>
      <c r="AQ30" s="177"/>
      <c r="AR30" s="177">
        <f t="shared" ca="1" si="1"/>
        <v>44958</v>
      </c>
      <c r="AS30" s="177">
        <f t="shared" ca="1" si="2"/>
        <v>109</v>
      </c>
      <c r="AT30" s="180" t="e">
        <f t="shared" ca="1" si="3"/>
        <v>#VALUE!</v>
      </c>
      <c r="AU30" s="173"/>
      <c r="AV30" s="173" t="s">
        <v>4027</v>
      </c>
      <c r="AW30" s="181">
        <v>24.6</v>
      </c>
      <c r="AX30" s="181">
        <v>24.66</v>
      </c>
      <c r="AY30" s="181">
        <v>24.685000000000002</v>
      </c>
      <c r="AZ30" s="181">
        <v>24.69</v>
      </c>
      <c r="BA30" s="181">
        <f t="shared" ca="1" si="4"/>
        <v>44191</v>
      </c>
      <c r="BB30" s="173">
        <v>456</v>
      </c>
      <c r="BC30" s="181"/>
      <c r="BD30" s="176" t="s">
        <v>123</v>
      </c>
      <c r="BE30" s="176"/>
      <c r="BF30" s="176"/>
      <c r="BG30" s="176"/>
      <c r="BH30" s="176"/>
      <c r="BI30" s="176"/>
    </row>
    <row r="31" spans="2:61" s="142" customFormat="1" ht="21" customHeight="1" x14ac:dyDescent="0.25">
      <c r="B31" s="173" t="str">
        <f t="shared" si="0"/>
        <v>0-304L/1D-3.80X1535</v>
      </c>
      <c r="C31" s="201" t="s">
        <v>5428</v>
      </c>
      <c r="D31" s="173" t="s">
        <v>48</v>
      </c>
      <c r="E31" s="173" t="s">
        <v>4025</v>
      </c>
      <c r="F31" s="201" t="s">
        <v>4026</v>
      </c>
      <c r="G31" s="173" t="s">
        <v>182</v>
      </c>
      <c r="H31" s="173" t="s">
        <v>127</v>
      </c>
      <c r="I31" s="174">
        <v>3.8</v>
      </c>
      <c r="J31" s="174"/>
      <c r="K31" s="174"/>
      <c r="L31" s="174"/>
      <c r="M31" s="380">
        <v>1535</v>
      </c>
      <c r="N31" s="350"/>
      <c r="O31" s="381">
        <v>12.324999999999999</v>
      </c>
      <c r="P31" s="382"/>
      <c r="Q31" s="176"/>
      <c r="R31" s="176"/>
      <c r="S31" s="383"/>
      <c r="T31" s="176"/>
      <c r="U31" s="173">
        <v>768</v>
      </c>
      <c r="V31" s="383"/>
      <c r="W31" s="380"/>
      <c r="X31" s="173" t="s">
        <v>5424</v>
      </c>
      <c r="Y31" s="384"/>
      <c r="Z31" s="173"/>
      <c r="AA31" s="173"/>
      <c r="AB31" s="173"/>
      <c r="AC31" s="173"/>
      <c r="AD31" s="173"/>
      <c r="AE31" s="173"/>
      <c r="AF31" s="173"/>
      <c r="AG31" s="177"/>
      <c r="AH31" s="177">
        <v>44932</v>
      </c>
      <c r="AI31" s="177"/>
      <c r="AJ31" s="385"/>
      <c r="AK31" s="385" t="s">
        <v>1507</v>
      </c>
      <c r="AL31" s="177" t="s">
        <v>69</v>
      </c>
      <c r="AM31" s="177" t="s">
        <v>142</v>
      </c>
      <c r="AN31" s="177" t="s">
        <v>1508</v>
      </c>
      <c r="AO31" s="177"/>
      <c r="AP31" s="177">
        <v>44849</v>
      </c>
      <c r="AQ31" s="177"/>
      <c r="AR31" s="177">
        <f t="shared" ca="1" si="1"/>
        <v>44958</v>
      </c>
      <c r="AS31" s="177">
        <f t="shared" ca="1" si="2"/>
        <v>109</v>
      </c>
      <c r="AT31" s="180" t="e">
        <f t="shared" ca="1" si="3"/>
        <v>#VALUE!</v>
      </c>
      <c r="AU31" s="173"/>
      <c r="AV31" s="173" t="s">
        <v>4027</v>
      </c>
      <c r="AW31" s="181">
        <v>24.6</v>
      </c>
      <c r="AX31" s="181">
        <v>24.66</v>
      </c>
      <c r="AY31" s="181">
        <v>24.685000000000002</v>
      </c>
      <c r="AZ31" s="181">
        <v>24.69</v>
      </c>
      <c r="BA31" s="181">
        <f t="shared" ca="1" si="4"/>
        <v>44190</v>
      </c>
      <c r="BB31" s="173">
        <v>456</v>
      </c>
      <c r="BC31" s="181"/>
      <c r="BD31" s="176" t="s">
        <v>123</v>
      </c>
      <c r="BE31" s="176"/>
      <c r="BF31" s="176"/>
      <c r="BG31" s="176"/>
      <c r="BH31" s="176"/>
      <c r="BI31" s="176"/>
    </row>
    <row r="32" spans="2:61" s="142" customFormat="1" ht="21" customHeight="1" x14ac:dyDescent="0.25">
      <c r="B32" s="173" t="str">
        <f t="shared" si="0"/>
        <v>0-304L/1D-3.82X1536</v>
      </c>
      <c r="C32" s="201" t="s">
        <v>5429</v>
      </c>
      <c r="D32" s="173" t="s">
        <v>48</v>
      </c>
      <c r="E32" s="173" t="s">
        <v>1526</v>
      </c>
      <c r="F32" s="201" t="s">
        <v>1527</v>
      </c>
      <c r="G32" s="173" t="s">
        <v>182</v>
      </c>
      <c r="H32" s="173" t="s">
        <v>127</v>
      </c>
      <c r="I32" s="174">
        <v>3.82</v>
      </c>
      <c r="J32" s="174"/>
      <c r="K32" s="174"/>
      <c r="L32" s="174"/>
      <c r="M32" s="380">
        <v>1536</v>
      </c>
      <c r="N32" s="349">
        <v>24.565000000000001</v>
      </c>
      <c r="O32" s="381">
        <v>12.285</v>
      </c>
      <c r="P32" s="382"/>
      <c r="Q32" s="176"/>
      <c r="R32" s="176"/>
      <c r="S32" s="383"/>
      <c r="T32" s="176"/>
      <c r="U32" s="173">
        <v>769</v>
      </c>
      <c r="V32" s="383"/>
      <c r="W32" s="380"/>
      <c r="X32" s="173" t="s">
        <v>5424</v>
      </c>
      <c r="Y32" s="384"/>
      <c r="Z32" s="173"/>
      <c r="AA32" s="173"/>
      <c r="AB32" s="173"/>
      <c r="AC32" s="173"/>
      <c r="AD32" s="173"/>
      <c r="AE32" s="173"/>
      <c r="AF32" s="173"/>
      <c r="AG32" s="177"/>
      <c r="AH32" s="177">
        <v>44933</v>
      </c>
      <c r="AI32" s="177"/>
      <c r="AJ32" s="385"/>
      <c r="AK32" s="385" t="s">
        <v>1507</v>
      </c>
      <c r="AL32" s="177" t="s">
        <v>69</v>
      </c>
      <c r="AM32" s="177" t="s">
        <v>142</v>
      </c>
      <c r="AN32" s="177" t="s">
        <v>1508</v>
      </c>
      <c r="AO32" s="177"/>
      <c r="AP32" s="177">
        <v>44849</v>
      </c>
      <c r="AQ32" s="177"/>
      <c r="AR32" s="177">
        <f t="shared" ca="1" si="1"/>
        <v>44958</v>
      </c>
      <c r="AS32" s="177">
        <f t="shared" ca="1" si="2"/>
        <v>109</v>
      </c>
      <c r="AT32" s="180" t="e">
        <f t="shared" ca="1" si="3"/>
        <v>#VALUE!</v>
      </c>
      <c r="AU32" s="173"/>
      <c r="AV32" s="173" t="s">
        <v>1528</v>
      </c>
      <c r="AW32" s="181">
        <v>24.565000000000001</v>
      </c>
      <c r="AX32" s="181">
        <v>24.625</v>
      </c>
      <c r="AY32" s="181">
        <v>24.650000000000002</v>
      </c>
      <c r="AZ32" s="181">
        <v>24.655000000000001</v>
      </c>
      <c r="BA32" s="181">
        <f t="shared" ca="1" si="4"/>
        <v>44189</v>
      </c>
      <c r="BB32" s="173">
        <v>456</v>
      </c>
      <c r="BC32" s="181"/>
      <c r="BD32" s="176" t="s">
        <v>123</v>
      </c>
      <c r="BE32" s="176"/>
      <c r="BF32" s="176"/>
      <c r="BG32" s="176"/>
      <c r="BH32" s="176"/>
      <c r="BI32" s="176"/>
    </row>
    <row r="33" spans="2:61" s="142" customFormat="1" ht="21" customHeight="1" x14ac:dyDescent="0.25">
      <c r="B33" s="173" t="str">
        <f t="shared" si="0"/>
        <v>0-304L/1D-3.82X1536</v>
      </c>
      <c r="C33" s="201" t="s">
        <v>5429</v>
      </c>
      <c r="D33" s="173" t="s">
        <v>48</v>
      </c>
      <c r="E33" s="173" t="s">
        <v>1526</v>
      </c>
      <c r="F33" s="201" t="s">
        <v>1529</v>
      </c>
      <c r="G33" s="173" t="s">
        <v>182</v>
      </c>
      <c r="H33" s="173" t="s">
        <v>127</v>
      </c>
      <c r="I33" s="174">
        <v>3.82</v>
      </c>
      <c r="J33" s="174"/>
      <c r="K33" s="174"/>
      <c r="L33" s="174"/>
      <c r="M33" s="380">
        <v>1536</v>
      </c>
      <c r="N33" s="350"/>
      <c r="O33" s="381">
        <v>12.3</v>
      </c>
      <c r="P33" s="382"/>
      <c r="Q33" s="176"/>
      <c r="R33" s="176"/>
      <c r="S33" s="383"/>
      <c r="T33" s="176"/>
      <c r="U33" s="173">
        <v>770</v>
      </c>
      <c r="V33" s="383"/>
      <c r="W33" s="380"/>
      <c r="X33" s="173" t="s">
        <v>5424</v>
      </c>
      <c r="Y33" s="384"/>
      <c r="Z33" s="173"/>
      <c r="AA33" s="173"/>
      <c r="AB33" s="173"/>
      <c r="AC33" s="173"/>
      <c r="AD33" s="173"/>
      <c r="AE33" s="173"/>
      <c r="AF33" s="173"/>
      <c r="AG33" s="177"/>
      <c r="AH33" s="177">
        <v>44933</v>
      </c>
      <c r="AI33" s="177"/>
      <c r="AJ33" s="385"/>
      <c r="AK33" s="385" t="s">
        <v>1507</v>
      </c>
      <c r="AL33" s="177" t="s">
        <v>69</v>
      </c>
      <c r="AM33" s="177" t="s">
        <v>142</v>
      </c>
      <c r="AN33" s="177" t="s">
        <v>1508</v>
      </c>
      <c r="AO33" s="177"/>
      <c r="AP33" s="177">
        <v>44849</v>
      </c>
      <c r="AQ33" s="177"/>
      <c r="AR33" s="177">
        <f t="shared" ca="1" si="1"/>
        <v>44958</v>
      </c>
      <c r="AS33" s="177">
        <f t="shared" ca="1" si="2"/>
        <v>109</v>
      </c>
      <c r="AT33" s="180" t="e">
        <f t="shared" ca="1" si="3"/>
        <v>#VALUE!</v>
      </c>
      <c r="AU33" s="173"/>
      <c r="AV33" s="173" t="s">
        <v>1528</v>
      </c>
      <c r="AW33" s="181">
        <v>24.565000000000001</v>
      </c>
      <c r="AX33" s="181">
        <v>24.625</v>
      </c>
      <c r="AY33" s="181">
        <v>24.650000000000002</v>
      </c>
      <c r="AZ33" s="181">
        <v>24.655000000000001</v>
      </c>
      <c r="BA33" s="181">
        <f t="shared" ca="1" si="4"/>
        <v>44188</v>
      </c>
      <c r="BB33" s="173">
        <v>456</v>
      </c>
      <c r="BC33" s="181"/>
      <c r="BD33" s="176" t="s">
        <v>123</v>
      </c>
      <c r="BE33" s="176"/>
      <c r="BF33" s="176"/>
      <c r="BG33" s="176"/>
      <c r="BH33" s="176"/>
      <c r="BI33" s="176"/>
    </row>
    <row r="34" spans="2:61" s="142" customFormat="1" ht="21" customHeight="1" x14ac:dyDescent="0.25">
      <c r="B34" s="173" t="str">
        <f t="shared" si="0"/>
        <v>0-304L/1D-3.80X1535</v>
      </c>
      <c r="C34" s="201" t="s">
        <v>5429</v>
      </c>
      <c r="D34" s="173" t="s">
        <v>48</v>
      </c>
      <c r="E34" s="173" t="s">
        <v>3975</v>
      </c>
      <c r="F34" s="201" t="s">
        <v>3976</v>
      </c>
      <c r="G34" s="173" t="s">
        <v>182</v>
      </c>
      <c r="H34" s="173" t="s">
        <v>127</v>
      </c>
      <c r="I34" s="174">
        <v>3.8</v>
      </c>
      <c r="J34" s="174"/>
      <c r="K34" s="174"/>
      <c r="L34" s="174"/>
      <c r="M34" s="380">
        <v>1535</v>
      </c>
      <c r="N34" s="349">
        <v>24.56</v>
      </c>
      <c r="O34" s="381">
        <v>12.275</v>
      </c>
      <c r="P34" s="382"/>
      <c r="Q34" s="176"/>
      <c r="R34" s="176"/>
      <c r="S34" s="383"/>
      <c r="T34" s="176"/>
      <c r="U34" s="173">
        <v>767</v>
      </c>
      <c r="V34" s="383"/>
      <c r="W34" s="380"/>
      <c r="X34" s="173" t="s">
        <v>5424</v>
      </c>
      <c r="Y34" s="384"/>
      <c r="Z34" s="173"/>
      <c r="AA34" s="173"/>
      <c r="AB34" s="173"/>
      <c r="AC34" s="173"/>
      <c r="AD34" s="173"/>
      <c r="AE34" s="173"/>
      <c r="AF34" s="173"/>
      <c r="AG34" s="177"/>
      <c r="AH34" s="177">
        <v>44933</v>
      </c>
      <c r="AI34" s="177"/>
      <c r="AJ34" s="385"/>
      <c r="AK34" s="385" t="s">
        <v>1507</v>
      </c>
      <c r="AL34" s="177" t="s">
        <v>69</v>
      </c>
      <c r="AM34" s="177" t="s">
        <v>142</v>
      </c>
      <c r="AN34" s="177" t="s">
        <v>1508</v>
      </c>
      <c r="AO34" s="177"/>
      <c r="AP34" s="177">
        <v>44849</v>
      </c>
      <c r="AQ34" s="177"/>
      <c r="AR34" s="177">
        <f t="shared" ca="1" si="1"/>
        <v>44958</v>
      </c>
      <c r="AS34" s="177">
        <f t="shared" ca="1" si="2"/>
        <v>109</v>
      </c>
      <c r="AT34" s="180" t="e">
        <f t="shared" ca="1" si="3"/>
        <v>#VALUE!</v>
      </c>
      <c r="AU34" s="173"/>
      <c r="AV34" s="173" t="s">
        <v>3977</v>
      </c>
      <c r="AW34" s="181">
        <v>24.56</v>
      </c>
      <c r="AX34" s="181">
        <v>24.62</v>
      </c>
      <c r="AY34" s="181">
        <v>24.645000000000003</v>
      </c>
      <c r="AZ34" s="181">
        <v>24.650000000000002</v>
      </c>
      <c r="BA34" s="181">
        <f t="shared" ca="1" si="4"/>
        <v>44191</v>
      </c>
      <c r="BB34" s="173">
        <v>456</v>
      </c>
      <c r="BC34" s="181"/>
      <c r="BD34" s="176" t="s">
        <v>123</v>
      </c>
      <c r="BE34" s="176"/>
      <c r="BF34" s="176"/>
      <c r="BG34" s="176"/>
      <c r="BH34" s="176"/>
      <c r="BI34" s="176"/>
    </row>
    <row r="35" spans="2:61" s="142" customFormat="1" ht="21" customHeight="1" x14ac:dyDescent="0.25">
      <c r="B35" s="173" t="str">
        <f t="shared" si="0"/>
        <v>0-304L/1D-3.80X1535</v>
      </c>
      <c r="C35" s="201" t="s">
        <v>5429</v>
      </c>
      <c r="D35" s="173" t="s">
        <v>48</v>
      </c>
      <c r="E35" s="173" t="s">
        <v>3975</v>
      </c>
      <c r="F35" s="201" t="s">
        <v>4018</v>
      </c>
      <c r="G35" s="173" t="s">
        <v>182</v>
      </c>
      <c r="H35" s="173" t="s">
        <v>127</v>
      </c>
      <c r="I35" s="174">
        <v>3.8</v>
      </c>
      <c r="J35" s="174"/>
      <c r="K35" s="174"/>
      <c r="L35" s="174"/>
      <c r="M35" s="380">
        <v>1535</v>
      </c>
      <c r="N35" s="350"/>
      <c r="O35" s="381">
        <v>12.305</v>
      </c>
      <c r="P35" s="382"/>
      <c r="Q35" s="176"/>
      <c r="R35" s="176"/>
      <c r="S35" s="383"/>
      <c r="T35" s="176"/>
      <c r="U35" s="173">
        <v>770</v>
      </c>
      <c r="V35" s="383"/>
      <c r="W35" s="380"/>
      <c r="X35" s="173" t="s">
        <v>5424</v>
      </c>
      <c r="Y35" s="384"/>
      <c r="Z35" s="173"/>
      <c r="AA35" s="173"/>
      <c r="AB35" s="173"/>
      <c r="AC35" s="173"/>
      <c r="AD35" s="173"/>
      <c r="AE35" s="173"/>
      <c r="AF35" s="173"/>
      <c r="AG35" s="177"/>
      <c r="AH35" s="177">
        <v>44933</v>
      </c>
      <c r="AI35" s="177"/>
      <c r="AJ35" s="385"/>
      <c r="AK35" s="385" t="s">
        <v>1507</v>
      </c>
      <c r="AL35" s="177" t="s">
        <v>69</v>
      </c>
      <c r="AM35" s="177" t="s">
        <v>142</v>
      </c>
      <c r="AN35" s="177" t="s">
        <v>1508</v>
      </c>
      <c r="AO35" s="177"/>
      <c r="AP35" s="177">
        <v>44849</v>
      </c>
      <c r="AQ35" s="177"/>
      <c r="AR35" s="177">
        <f t="shared" ca="1" si="1"/>
        <v>44958</v>
      </c>
      <c r="AS35" s="177">
        <f t="shared" ca="1" si="2"/>
        <v>109</v>
      </c>
      <c r="AT35" s="180" t="e">
        <f t="shared" ca="1" si="3"/>
        <v>#VALUE!</v>
      </c>
      <c r="AU35" s="173"/>
      <c r="AV35" s="173" t="s">
        <v>3977</v>
      </c>
      <c r="AW35" s="181">
        <v>24.56</v>
      </c>
      <c r="AX35" s="181">
        <v>24.62</v>
      </c>
      <c r="AY35" s="181">
        <v>24.645000000000003</v>
      </c>
      <c r="AZ35" s="181">
        <v>24.650000000000002</v>
      </c>
      <c r="BA35" s="181">
        <f t="shared" ca="1" si="4"/>
        <v>44188</v>
      </c>
      <c r="BB35" s="173">
        <v>456</v>
      </c>
      <c r="BC35" s="181"/>
      <c r="BD35" s="176" t="s">
        <v>123</v>
      </c>
      <c r="BE35" s="176"/>
      <c r="BF35" s="176"/>
      <c r="BG35" s="176"/>
      <c r="BH35" s="176"/>
      <c r="BI35" s="176"/>
    </row>
    <row r="36" spans="2:61" s="142" customFormat="1" ht="21" customHeight="1" x14ac:dyDescent="0.25">
      <c r="B36" s="173" t="str">
        <f t="shared" si="0"/>
        <v>0-304L/1D-3.79X1536</v>
      </c>
      <c r="C36" s="201" t="s">
        <v>5429</v>
      </c>
      <c r="D36" s="173" t="s">
        <v>48</v>
      </c>
      <c r="E36" s="173" t="s">
        <v>1565</v>
      </c>
      <c r="F36" s="201" t="s">
        <v>1566</v>
      </c>
      <c r="G36" s="173" t="s">
        <v>182</v>
      </c>
      <c r="H36" s="173" t="s">
        <v>127</v>
      </c>
      <c r="I36" s="174">
        <v>3.79</v>
      </c>
      <c r="J36" s="174"/>
      <c r="K36" s="174"/>
      <c r="L36" s="174"/>
      <c r="M36" s="380">
        <v>1536</v>
      </c>
      <c r="N36" s="349">
        <v>24.59</v>
      </c>
      <c r="O36" s="381">
        <v>12.27</v>
      </c>
      <c r="P36" s="382"/>
      <c r="Q36" s="176"/>
      <c r="R36" s="176"/>
      <c r="S36" s="383"/>
      <c r="T36" s="176"/>
      <c r="U36" s="173">
        <v>768</v>
      </c>
      <c r="V36" s="383"/>
      <c r="W36" s="380"/>
      <c r="X36" s="173" t="s">
        <v>5424</v>
      </c>
      <c r="Y36" s="384"/>
      <c r="Z36" s="173"/>
      <c r="AA36" s="173"/>
      <c r="AB36" s="173"/>
      <c r="AC36" s="173"/>
      <c r="AD36" s="173"/>
      <c r="AE36" s="173"/>
      <c r="AF36" s="173"/>
      <c r="AG36" s="177"/>
      <c r="AH36" s="177">
        <v>44933</v>
      </c>
      <c r="AI36" s="177"/>
      <c r="AJ36" s="385"/>
      <c r="AK36" s="385" t="s">
        <v>1507</v>
      </c>
      <c r="AL36" s="177" t="s">
        <v>69</v>
      </c>
      <c r="AM36" s="177" t="s">
        <v>142</v>
      </c>
      <c r="AN36" s="177" t="s">
        <v>1508</v>
      </c>
      <c r="AO36" s="177"/>
      <c r="AP36" s="177">
        <v>44849</v>
      </c>
      <c r="AQ36" s="177"/>
      <c r="AR36" s="177">
        <f t="shared" ca="1" si="1"/>
        <v>44958</v>
      </c>
      <c r="AS36" s="177">
        <f t="shared" ca="1" si="2"/>
        <v>109</v>
      </c>
      <c r="AT36" s="180" t="e">
        <f t="shared" ca="1" si="3"/>
        <v>#VALUE!</v>
      </c>
      <c r="AU36" s="173"/>
      <c r="AV36" s="173" t="s">
        <v>1567</v>
      </c>
      <c r="AW36" s="181">
        <v>24.59</v>
      </c>
      <c r="AX36" s="181">
        <v>24.65</v>
      </c>
      <c r="AY36" s="181">
        <v>24.675000000000001</v>
      </c>
      <c r="AZ36" s="181">
        <v>24.68</v>
      </c>
      <c r="BA36" s="181">
        <f t="shared" ca="1" si="4"/>
        <v>44190</v>
      </c>
      <c r="BB36" s="173">
        <v>456</v>
      </c>
      <c r="BC36" s="181"/>
      <c r="BD36" s="176" t="s">
        <v>123</v>
      </c>
      <c r="BE36" s="176"/>
      <c r="BF36" s="176"/>
      <c r="BG36" s="176"/>
      <c r="BH36" s="176"/>
      <c r="BI36" s="176"/>
    </row>
    <row r="37" spans="2:61" s="142" customFormat="1" ht="21" customHeight="1" x14ac:dyDescent="0.25">
      <c r="B37" s="173" t="str">
        <f t="shared" si="0"/>
        <v>0-304L/1D-3.79X1536</v>
      </c>
      <c r="C37" s="201" t="s">
        <v>5429</v>
      </c>
      <c r="D37" s="173" t="s">
        <v>48</v>
      </c>
      <c r="E37" s="173" t="s">
        <v>1565</v>
      </c>
      <c r="F37" s="201" t="s">
        <v>1568</v>
      </c>
      <c r="G37" s="173" t="s">
        <v>182</v>
      </c>
      <c r="H37" s="173" t="s">
        <v>127</v>
      </c>
      <c r="I37" s="174">
        <v>3.79</v>
      </c>
      <c r="J37" s="174"/>
      <c r="K37" s="174"/>
      <c r="L37" s="174"/>
      <c r="M37" s="380">
        <v>1536</v>
      </c>
      <c r="N37" s="350"/>
      <c r="O37" s="381">
        <v>12.315</v>
      </c>
      <c r="P37" s="382"/>
      <c r="Q37" s="176"/>
      <c r="R37" s="176"/>
      <c r="S37" s="383"/>
      <c r="T37" s="176"/>
      <c r="U37" s="173">
        <v>769</v>
      </c>
      <c r="V37" s="383"/>
      <c r="W37" s="380"/>
      <c r="X37" s="173" t="s">
        <v>5424</v>
      </c>
      <c r="Y37" s="384"/>
      <c r="Z37" s="173"/>
      <c r="AA37" s="173"/>
      <c r="AB37" s="173"/>
      <c r="AC37" s="173"/>
      <c r="AD37" s="173"/>
      <c r="AE37" s="173"/>
      <c r="AF37" s="173"/>
      <c r="AG37" s="177"/>
      <c r="AH37" s="177">
        <v>44933</v>
      </c>
      <c r="AI37" s="177"/>
      <c r="AJ37" s="385"/>
      <c r="AK37" s="385" t="s">
        <v>1507</v>
      </c>
      <c r="AL37" s="177" t="s">
        <v>69</v>
      </c>
      <c r="AM37" s="177" t="s">
        <v>142</v>
      </c>
      <c r="AN37" s="177" t="s">
        <v>1508</v>
      </c>
      <c r="AO37" s="177"/>
      <c r="AP37" s="177">
        <v>44849</v>
      </c>
      <c r="AQ37" s="177"/>
      <c r="AR37" s="177">
        <f t="shared" ca="1" si="1"/>
        <v>44958</v>
      </c>
      <c r="AS37" s="177">
        <f t="shared" ca="1" si="2"/>
        <v>109</v>
      </c>
      <c r="AT37" s="180" t="e">
        <f t="shared" ca="1" si="3"/>
        <v>#VALUE!</v>
      </c>
      <c r="AU37" s="173"/>
      <c r="AV37" s="173" t="s">
        <v>1567</v>
      </c>
      <c r="AW37" s="181">
        <v>24.59</v>
      </c>
      <c r="AX37" s="181">
        <v>24.65</v>
      </c>
      <c r="AY37" s="181">
        <v>24.675000000000001</v>
      </c>
      <c r="AZ37" s="181">
        <v>24.68</v>
      </c>
      <c r="BA37" s="181">
        <f t="shared" ca="1" si="4"/>
        <v>44189</v>
      </c>
      <c r="BB37" s="173">
        <v>456</v>
      </c>
      <c r="BC37" s="181"/>
      <c r="BD37" s="176" t="s">
        <v>123</v>
      </c>
      <c r="BE37" s="176"/>
      <c r="BF37" s="176"/>
      <c r="BG37" s="176"/>
      <c r="BH37" s="176"/>
      <c r="BI37" s="176"/>
    </row>
    <row r="38" spans="2:61" s="142" customFormat="1" ht="21" customHeight="1" x14ac:dyDescent="0.25">
      <c r="B38" s="173" t="str">
        <f t="shared" si="0"/>
        <v>0-304L/1D-3.79X1534</v>
      </c>
      <c r="C38" s="201" t="s">
        <v>5429</v>
      </c>
      <c r="D38" s="173" t="s">
        <v>48</v>
      </c>
      <c r="E38" s="173" t="s">
        <v>4042</v>
      </c>
      <c r="F38" s="201" t="s">
        <v>4043</v>
      </c>
      <c r="G38" s="173" t="s">
        <v>182</v>
      </c>
      <c r="H38" s="173" t="s">
        <v>127</v>
      </c>
      <c r="I38" s="174">
        <v>3.79</v>
      </c>
      <c r="J38" s="174"/>
      <c r="K38" s="174"/>
      <c r="L38" s="174"/>
      <c r="M38" s="380">
        <v>1534</v>
      </c>
      <c r="N38" s="349">
        <v>24.504999999999999</v>
      </c>
      <c r="O38" s="381">
        <v>12.19</v>
      </c>
      <c r="P38" s="382"/>
      <c r="Q38" s="176"/>
      <c r="R38" s="176"/>
      <c r="S38" s="383"/>
      <c r="T38" s="176"/>
      <c r="U38" s="173">
        <v>767</v>
      </c>
      <c r="V38" s="383"/>
      <c r="W38" s="380"/>
      <c r="X38" s="173" t="s">
        <v>5424</v>
      </c>
      <c r="Y38" s="384"/>
      <c r="Z38" s="173"/>
      <c r="AA38" s="173"/>
      <c r="AB38" s="173"/>
      <c r="AC38" s="173"/>
      <c r="AD38" s="173"/>
      <c r="AE38" s="173"/>
      <c r="AF38" s="173"/>
      <c r="AG38" s="177"/>
      <c r="AH38" s="177">
        <v>44933</v>
      </c>
      <c r="AI38" s="177"/>
      <c r="AJ38" s="385"/>
      <c r="AK38" s="385" t="s">
        <v>1507</v>
      </c>
      <c r="AL38" s="177" t="s">
        <v>69</v>
      </c>
      <c r="AM38" s="177" t="s">
        <v>142</v>
      </c>
      <c r="AN38" s="177" t="s">
        <v>1508</v>
      </c>
      <c r="AO38" s="177"/>
      <c r="AP38" s="177">
        <v>44849</v>
      </c>
      <c r="AQ38" s="177"/>
      <c r="AR38" s="177">
        <f t="shared" ca="1" si="1"/>
        <v>44958</v>
      </c>
      <c r="AS38" s="177">
        <f t="shared" ca="1" si="2"/>
        <v>109</v>
      </c>
      <c r="AT38" s="180" t="e">
        <f t="shared" ca="1" si="3"/>
        <v>#VALUE!</v>
      </c>
      <c r="AU38" s="173"/>
      <c r="AV38" s="173" t="s">
        <v>4044</v>
      </c>
      <c r="AW38" s="181">
        <v>24.504999999999999</v>
      </c>
      <c r="AX38" s="181">
        <v>24.565000000000001</v>
      </c>
      <c r="AY38" s="181">
        <v>24.590000000000003</v>
      </c>
      <c r="AZ38" s="181">
        <v>24.595000000000002</v>
      </c>
      <c r="BA38" s="181">
        <f t="shared" ca="1" si="4"/>
        <v>44191</v>
      </c>
      <c r="BB38" s="173">
        <v>456</v>
      </c>
      <c r="BC38" s="181"/>
      <c r="BD38" s="176" t="s">
        <v>123</v>
      </c>
      <c r="BE38" s="176"/>
      <c r="BF38" s="176"/>
      <c r="BG38" s="176"/>
      <c r="BH38" s="176"/>
      <c r="BI38" s="176"/>
    </row>
    <row r="39" spans="2:61" s="142" customFormat="1" ht="21" customHeight="1" x14ac:dyDescent="0.25">
      <c r="B39" s="173" t="str">
        <f t="shared" si="0"/>
        <v>0-304L/1D-3.79X1534</v>
      </c>
      <c r="C39" s="201" t="s">
        <v>5429</v>
      </c>
      <c r="D39" s="173" t="s">
        <v>48</v>
      </c>
      <c r="E39" s="173" t="s">
        <v>4042</v>
      </c>
      <c r="F39" s="201" t="s">
        <v>4084</v>
      </c>
      <c r="G39" s="173" t="s">
        <v>182</v>
      </c>
      <c r="H39" s="173" t="s">
        <v>127</v>
      </c>
      <c r="I39" s="174">
        <v>3.79</v>
      </c>
      <c r="J39" s="174"/>
      <c r="K39" s="174"/>
      <c r="L39" s="174"/>
      <c r="M39" s="380">
        <v>1534</v>
      </c>
      <c r="N39" s="350"/>
      <c r="O39" s="381">
        <v>12.29</v>
      </c>
      <c r="P39" s="382"/>
      <c r="Q39" s="176"/>
      <c r="R39" s="176"/>
      <c r="S39" s="383"/>
      <c r="T39" s="176"/>
      <c r="U39" s="173">
        <v>770</v>
      </c>
      <c r="V39" s="383"/>
      <c r="W39" s="380"/>
      <c r="X39" s="173" t="s">
        <v>5424</v>
      </c>
      <c r="Y39" s="384"/>
      <c r="Z39" s="173"/>
      <c r="AA39" s="173"/>
      <c r="AB39" s="173"/>
      <c r="AC39" s="173"/>
      <c r="AD39" s="173"/>
      <c r="AE39" s="173"/>
      <c r="AF39" s="173"/>
      <c r="AG39" s="177"/>
      <c r="AH39" s="177">
        <v>44933</v>
      </c>
      <c r="AI39" s="177"/>
      <c r="AJ39" s="385"/>
      <c r="AK39" s="385" t="s">
        <v>1507</v>
      </c>
      <c r="AL39" s="177" t="s">
        <v>69</v>
      </c>
      <c r="AM39" s="177" t="s">
        <v>142</v>
      </c>
      <c r="AN39" s="177" t="s">
        <v>1508</v>
      </c>
      <c r="AO39" s="177"/>
      <c r="AP39" s="177">
        <v>44849</v>
      </c>
      <c r="AQ39" s="177"/>
      <c r="AR39" s="177">
        <f t="shared" ca="1" si="1"/>
        <v>44958</v>
      </c>
      <c r="AS39" s="177">
        <f t="shared" ca="1" si="2"/>
        <v>109</v>
      </c>
      <c r="AT39" s="180" t="e">
        <f t="shared" ca="1" si="3"/>
        <v>#VALUE!</v>
      </c>
      <c r="AU39" s="173"/>
      <c r="AV39" s="173" t="s">
        <v>4044</v>
      </c>
      <c r="AW39" s="181">
        <v>24.504999999999999</v>
      </c>
      <c r="AX39" s="181">
        <v>24.565000000000001</v>
      </c>
      <c r="AY39" s="181">
        <v>24.590000000000003</v>
      </c>
      <c r="AZ39" s="181">
        <v>24.595000000000002</v>
      </c>
      <c r="BA39" s="181">
        <f t="shared" ca="1" si="4"/>
        <v>44188</v>
      </c>
      <c r="BB39" s="173">
        <v>456</v>
      </c>
      <c r="BC39" s="181"/>
      <c r="BD39" s="176" t="s">
        <v>123</v>
      </c>
      <c r="BE39" s="176"/>
      <c r="BF39" s="176"/>
      <c r="BG39" s="176"/>
      <c r="BH39" s="176"/>
      <c r="BI39" s="176"/>
    </row>
    <row r="40" spans="2:61" s="142" customFormat="1" ht="21" customHeight="1" x14ac:dyDescent="0.25">
      <c r="B40" s="173" t="str">
        <f t="shared" si="0"/>
        <v>0-304L/1D-3.79X1536</v>
      </c>
      <c r="C40" s="201" t="s">
        <v>5430</v>
      </c>
      <c r="D40" s="173" t="s">
        <v>48</v>
      </c>
      <c r="E40" s="173" t="s">
        <v>1551</v>
      </c>
      <c r="F40" s="201" t="s">
        <v>1552</v>
      </c>
      <c r="G40" s="173" t="s">
        <v>182</v>
      </c>
      <c r="H40" s="173" t="s">
        <v>127</v>
      </c>
      <c r="I40" s="174">
        <v>3.79</v>
      </c>
      <c r="J40" s="174"/>
      <c r="K40" s="174"/>
      <c r="L40" s="174"/>
      <c r="M40" s="380">
        <v>1536</v>
      </c>
      <c r="N40" s="349">
        <v>24.51</v>
      </c>
      <c r="O40" s="381">
        <v>12.265000000000001</v>
      </c>
      <c r="P40" s="382"/>
      <c r="Q40" s="176"/>
      <c r="R40" s="176"/>
      <c r="S40" s="383"/>
      <c r="T40" s="176"/>
      <c r="U40" s="173">
        <v>768</v>
      </c>
      <c r="V40" s="383"/>
      <c r="W40" s="380"/>
      <c r="X40" s="173" t="s">
        <v>5424</v>
      </c>
      <c r="Y40" s="384"/>
      <c r="Z40" s="173"/>
      <c r="AA40" s="173"/>
      <c r="AB40" s="173"/>
      <c r="AC40" s="173"/>
      <c r="AD40" s="173"/>
      <c r="AE40" s="173"/>
      <c r="AF40" s="173"/>
      <c r="AG40" s="177"/>
      <c r="AH40" s="177">
        <v>44934</v>
      </c>
      <c r="AI40" s="177"/>
      <c r="AJ40" s="385"/>
      <c r="AK40" s="385" t="s">
        <v>1507</v>
      </c>
      <c r="AL40" s="177" t="s">
        <v>69</v>
      </c>
      <c r="AM40" s="177" t="s">
        <v>142</v>
      </c>
      <c r="AN40" s="177" t="s">
        <v>1508</v>
      </c>
      <c r="AO40" s="177"/>
      <c r="AP40" s="177">
        <v>44849</v>
      </c>
      <c r="AQ40" s="177"/>
      <c r="AR40" s="177">
        <f t="shared" ca="1" si="1"/>
        <v>44958</v>
      </c>
      <c r="AS40" s="177">
        <f t="shared" ca="1" si="2"/>
        <v>109</v>
      </c>
      <c r="AT40" s="180" t="e">
        <f t="shared" ca="1" si="3"/>
        <v>#VALUE!</v>
      </c>
      <c r="AU40" s="173"/>
      <c r="AV40" s="173" t="s">
        <v>1553</v>
      </c>
      <c r="AW40" s="181">
        <v>24.51</v>
      </c>
      <c r="AX40" s="181">
        <v>24.57</v>
      </c>
      <c r="AY40" s="181">
        <v>24.595000000000002</v>
      </c>
      <c r="AZ40" s="181">
        <v>24.6</v>
      </c>
      <c r="BA40" s="181">
        <f t="shared" ca="1" si="4"/>
        <v>44190</v>
      </c>
      <c r="BB40" s="173">
        <v>456</v>
      </c>
      <c r="BC40" s="181"/>
      <c r="BD40" s="176" t="s">
        <v>123</v>
      </c>
      <c r="BE40" s="176"/>
      <c r="BF40" s="176"/>
      <c r="BG40" s="176"/>
      <c r="BH40" s="176"/>
      <c r="BI40" s="176"/>
    </row>
    <row r="41" spans="2:61" s="142" customFormat="1" ht="21" customHeight="1" x14ac:dyDescent="0.25">
      <c r="B41" s="173" t="str">
        <f t="shared" si="0"/>
        <v>0-304L/1D-3.79X1536</v>
      </c>
      <c r="C41" s="201" t="s">
        <v>5429</v>
      </c>
      <c r="D41" s="173" t="s">
        <v>48</v>
      </c>
      <c r="E41" s="173" t="s">
        <v>1551</v>
      </c>
      <c r="F41" s="201" t="s">
        <v>4063</v>
      </c>
      <c r="G41" s="173" t="s">
        <v>182</v>
      </c>
      <c r="H41" s="173" t="s">
        <v>127</v>
      </c>
      <c r="I41" s="174">
        <v>3.79</v>
      </c>
      <c r="J41" s="174"/>
      <c r="K41" s="174"/>
      <c r="L41" s="174"/>
      <c r="M41" s="380">
        <v>1536</v>
      </c>
      <c r="N41" s="350"/>
      <c r="O41" s="381">
        <v>12.25</v>
      </c>
      <c r="P41" s="382"/>
      <c r="Q41" s="176"/>
      <c r="R41" s="176"/>
      <c r="S41" s="383"/>
      <c r="T41" s="176"/>
      <c r="U41" s="173">
        <v>768</v>
      </c>
      <c r="V41" s="383"/>
      <c r="W41" s="380"/>
      <c r="X41" s="173" t="s">
        <v>5424</v>
      </c>
      <c r="Y41" s="384"/>
      <c r="Z41" s="173"/>
      <c r="AA41" s="173"/>
      <c r="AB41" s="173"/>
      <c r="AC41" s="173"/>
      <c r="AD41" s="173"/>
      <c r="AE41" s="173"/>
      <c r="AF41" s="173"/>
      <c r="AG41" s="177"/>
      <c r="AH41" s="177">
        <v>44934</v>
      </c>
      <c r="AI41" s="177"/>
      <c r="AJ41" s="385"/>
      <c r="AK41" s="385" t="s">
        <v>1507</v>
      </c>
      <c r="AL41" s="177" t="s">
        <v>69</v>
      </c>
      <c r="AM41" s="177" t="s">
        <v>142</v>
      </c>
      <c r="AN41" s="177" t="s">
        <v>1508</v>
      </c>
      <c r="AO41" s="177"/>
      <c r="AP41" s="177">
        <v>44849</v>
      </c>
      <c r="AQ41" s="177"/>
      <c r="AR41" s="177">
        <f t="shared" ca="1" si="1"/>
        <v>44958</v>
      </c>
      <c r="AS41" s="177">
        <f t="shared" ca="1" si="2"/>
        <v>109</v>
      </c>
      <c r="AT41" s="180" t="e">
        <f t="shared" ca="1" si="3"/>
        <v>#VALUE!</v>
      </c>
      <c r="AU41" s="173"/>
      <c r="AV41" s="173" t="s">
        <v>1553</v>
      </c>
      <c r="AW41" s="181">
        <v>24.51</v>
      </c>
      <c r="AX41" s="181">
        <v>24.57</v>
      </c>
      <c r="AY41" s="181">
        <v>24.595000000000002</v>
      </c>
      <c r="AZ41" s="181">
        <v>24.6</v>
      </c>
      <c r="BA41" s="181">
        <f t="shared" ca="1" si="4"/>
        <v>44190</v>
      </c>
      <c r="BB41" s="173">
        <v>456</v>
      </c>
      <c r="BC41" s="181"/>
      <c r="BD41" s="176" t="s">
        <v>123</v>
      </c>
      <c r="BE41" s="176"/>
      <c r="BF41" s="176"/>
      <c r="BG41" s="176"/>
      <c r="BH41" s="176"/>
      <c r="BI41" s="176"/>
    </row>
    <row r="42" spans="2:61" s="142" customFormat="1" ht="21" customHeight="1" x14ac:dyDescent="0.25">
      <c r="B42" s="173" t="str">
        <f t="shared" si="0"/>
        <v>0-304L/1D-3.80X1535</v>
      </c>
      <c r="C42" s="201" t="s">
        <v>5430</v>
      </c>
      <c r="D42" s="173" t="s">
        <v>48</v>
      </c>
      <c r="E42" s="173" t="s">
        <v>1519</v>
      </c>
      <c r="F42" s="201" t="s">
        <v>1520</v>
      </c>
      <c r="G42" s="173" t="s">
        <v>182</v>
      </c>
      <c r="H42" s="173" t="s">
        <v>127</v>
      </c>
      <c r="I42" s="174">
        <v>3.8</v>
      </c>
      <c r="J42" s="174"/>
      <c r="K42" s="174"/>
      <c r="L42" s="174"/>
      <c r="M42" s="380">
        <v>1535</v>
      </c>
      <c r="N42" s="349">
        <v>24.605</v>
      </c>
      <c r="O42" s="381">
        <v>12.315</v>
      </c>
      <c r="P42" s="382"/>
      <c r="Q42" s="176"/>
      <c r="R42" s="176"/>
      <c r="S42" s="383"/>
      <c r="T42" s="176"/>
      <c r="U42" s="173">
        <v>768</v>
      </c>
      <c r="V42" s="383"/>
      <c r="W42" s="380"/>
      <c r="X42" s="173" t="s">
        <v>5424</v>
      </c>
      <c r="Y42" s="384"/>
      <c r="Z42" s="173"/>
      <c r="AA42" s="173"/>
      <c r="AB42" s="173"/>
      <c r="AC42" s="173"/>
      <c r="AD42" s="173"/>
      <c r="AE42" s="173"/>
      <c r="AF42" s="173"/>
      <c r="AG42" s="177"/>
      <c r="AH42" s="177">
        <v>44934</v>
      </c>
      <c r="AI42" s="177"/>
      <c r="AJ42" s="385"/>
      <c r="AK42" s="385" t="s">
        <v>1507</v>
      </c>
      <c r="AL42" s="177" t="s">
        <v>69</v>
      </c>
      <c r="AM42" s="177" t="s">
        <v>142</v>
      </c>
      <c r="AN42" s="177" t="s">
        <v>1508</v>
      </c>
      <c r="AO42" s="177"/>
      <c r="AP42" s="177">
        <v>44849</v>
      </c>
      <c r="AQ42" s="177"/>
      <c r="AR42" s="177">
        <f t="shared" ca="1" si="1"/>
        <v>44958</v>
      </c>
      <c r="AS42" s="177">
        <f t="shared" ca="1" si="2"/>
        <v>109</v>
      </c>
      <c r="AT42" s="180" t="e">
        <f t="shared" ca="1" si="3"/>
        <v>#VALUE!</v>
      </c>
      <c r="AU42" s="173"/>
      <c r="AV42" s="173" t="s">
        <v>1521</v>
      </c>
      <c r="AW42" s="181">
        <v>24.605</v>
      </c>
      <c r="AX42" s="181">
        <v>24.664999999999999</v>
      </c>
      <c r="AY42" s="181">
        <v>24.69</v>
      </c>
      <c r="AZ42" s="181">
        <v>24.695</v>
      </c>
      <c r="BA42" s="181">
        <f t="shared" ca="1" si="4"/>
        <v>44190</v>
      </c>
      <c r="BB42" s="173">
        <v>456</v>
      </c>
      <c r="BC42" s="181"/>
      <c r="BD42" s="176" t="s">
        <v>123</v>
      </c>
      <c r="BE42" s="176"/>
      <c r="BF42" s="176"/>
      <c r="BG42" s="176"/>
      <c r="BH42" s="176"/>
      <c r="BI42" s="176"/>
    </row>
    <row r="43" spans="2:61" s="142" customFormat="1" ht="21" customHeight="1" x14ac:dyDescent="0.25">
      <c r="B43" s="173" t="str">
        <f t="shared" si="0"/>
        <v>0-304L/1D-3.80X1535</v>
      </c>
      <c r="C43" s="201" t="s">
        <v>5430</v>
      </c>
      <c r="D43" s="173" t="s">
        <v>48</v>
      </c>
      <c r="E43" s="173" t="s">
        <v>1519</v>
      </c>
      <c r="F43" s="201" t="s">
        <v>3996</v>
      </c>
      <c r="G43" s="173" t="s">
        <v>182</v>
      </c>
      <c r="H43" s="173" t="s">
        <v>127</v>
      </c>
      <c r="I43" s="174">
        <v>3.8</v>
      </c>
      <c r="J43" s="174"/>
      <c r="K43" s="174"/>
      <c r="L43" s="174"/>
      <c r="M43" s="380">
        <v>1535</v>
      </c>
      <c r="N43" s="350"/>
      <c r="O43" s="381">
        <v>12.234999999999999</v>
      </c>
      <c r="P43" s="382"/>
      <c r="Q43" s="176"/>
      <c r="R43" s="176"/>
      <c r="S43" s="383"/>
      <c r="T43" s="176"/>
      <c r="U43" s="173">
        <v>767</v>
      </c>
      <c r="V43" s="383"/>
      <c r="W43" s="380"/>
      <c r="X43" s="173" t="s">
        <v>5424</v>
      </c>
      <c r="Y43" s="384"/>
      <c r="Z43" s="173"/>
      <c r="AA43" s="173"/>
      <c r="AB43" s="173"/>
      <c r="AC43" s="173"/>
      <c r="AD43" s="173"/>
      <c r="AE43" s="173"/>
      <c r="AF43" s="173"/>
      <c r="AG43" s="177"/>
      <c r="AH43" s="177">
        <v>44934</v>
      </c>
      <c r="AI43" s="177"/>
      <c r="AJ43" s="385"/>
      <c r="AK43" s="385" t="s">
        <v>1507</v>
      </c>
      <c r="AL43" s="177" t="s">
        <v>69</v>
      </c>
      <c r="AM43" s="177" t="s">
        <v>142</v>
      </c>
      <c r="AN43" s="177" t="s">
        <v>1508</v>
      </c>
      <c r="AO43" s="177"/>
      <c r="AP43" s="177">
        <v>44849</v>
      </c>
      <c r="AQ43" s="177"/>
      <c r="AR43" s="177">
        <f t="shared" ca="1" si="1"/>
        <v>44958</v>
      </c>
      <c r="AS43" s="177">
        <f t="shared" ca="1" si="2"/>
        <v>109</v>
      </c>
      <c r="AT43" s="180" t="e">
        <f t="shared" ca="1" si="3"/>
        <v>#VALUE!</v>
      </c>
      <c r="AU43" s="173"/>
      <c r="AV43" s="173" t="s">
        <v>1521</v>
      </c>
      <c r="AW43" s="181">
        <v>24.605</v>
      </c>
      <c r="AX43" s="181">
        <v>24.664999999999999</v>
      </c>
      <c r="AY43" s="181">
        <v>24.69</v>
      </c>
      <c r="AZ43" s="181">
        <v>24.695</v>
      </c>
      <c r="BA43" s="181">
        <f t="shared" ca="1" si="4"/>
        <v>44191</v>
      </c>
      <c r="BB43" s="173">
        <v>456</v>
      </c>
      <c r="BC43" s="181"/>
      <c r="BD43" s="176" t="s">
        <v>123</v>
      </c>
      <c r="BE43" s="176"/>
      <c r="BF43" s="176"/>
      <c r="BG43" s="176"/>
      <c r="BH43" s="176"/>
      <c r="BI43" s="176"/>
    </row>
    <row r="44" spans="2:61" s="142" customFormat="1" ht="21" customHeight="1" x14ac:dyDescent="0.25">
      <c r="B44" s="173" t="str">
        <f t="shared" si="0"/>
        <v>0-304L/1D-3.78X1536</v>
      </c>
      <c r="C44" s="201" t="s">
        <v>5430</v>
      </c>
      <c r="D44" s="173" t="s">
        <v>48</v>
      </c>
      <c r="E44" s="173" t="s">
        <v>1558</v>
      </c>
      <c r="F44" s="201" t="s">
        <v>4093</v>
      </c>
      <c r="G44" s="173" t="s">
        <v>182</v>
      </c>
      <c r="H44" s="173" t="s">
        <v>127</v>
      </c>
      <c r="I44" s="174">
        <v>3.78</v>
      </c>
      <c r="J44" s="174"/>
      <c r="K44" s="174"/>
      <c r="L44" s="174"/>
      <c r="M44" s="380">
        <v>1536</v>
      </c>
      <c r="N44" s="349">
        <v>24.535</v>
      </c>
      <c r="O44" s="381">
        <v>12.285</v>
      </c>
      <c r="P44" s="382"/>
      <c r="Q44" s="176"/>
      <c r="R44" s="176"/>
      <c r="S44" s="383"/>
      <c r="T44" s="176"/>
      <c r="U44" s="173">
        <v>768</v>
      </c>
      <c r="V44" s="383"/>
      <c r="W44" s="380"/>
      <c r="X44" s="173" t="s">
        <v>5424</v>
      </c>
      <c r="Y44" s="384"/>
      <c r="Z44" s="173"/>
      <c r="AA44" s="173"/>
      <c r="AB44" s="173"/>
      <c r="AC44" s="173"/>
      <c r="AD44" s="173"/>
      <c r="AE44" s="173"/>
      <c r="AF44" s="173"/>
      <c r="AG44" s="177"/>
      <c r="AH44" s="177">
        <v>44934</v>
      </c>
      <c r="AI44" s="177"/>
      <c r="AJ44" s="385"/>
      <c r="AK44" s="385" t="s">
        <v>1507</v>
      </c>
      <c r="AL44" s="177" t="s">
        <v>69</v>
      </c>
      <c r="AM44" s="177" t="s">
        <v>142</v>
      </c>
      <c r="AN44" s="177" t="s">
        <v>1508</v>
      </c>
      <c r="AO44" s="177"/>
      <c r="AP44" s="177">
        <v>44849</v>
      </c>
      <c r="AQ44" s="177"/>
      <c r="AR44" s="177">
        <f t="shared" ca="1" si="1"/>
        <v>44958</v>
      </c>
      <c r="AS44" s="177">
        <f t="shared" ca="1" si="2"/>
        <v>109</v>
      </c>
      <c r="AT44" s="180" t="e">
        <f t="shared" ca="1" si="3"/>
        <v>#VALUE!</v>
      </c>
      <c r="AU44" s="173"/>
      <c r="AV44" s="173" t="s">
        <v>1560</v>
      </c>
      <c r="AW44" s="181">
        <v>24.535</v>
      </c>
      <c r="AX44" s="181">
        <v>24.594999999999999</v>
      </c>
      <c r="AY44" s="181">
        <v>24.62</v>
      </c>
      <c r="AZ44" s="181">
        <v>24.625</v>
      </c>
      <c r="BA44" s="181">
        <f t="shared" ca="1" si="4"/>
        <v>44190</v>
      </c>
      <c r="BB44" s="173">
        <v>456</v>
      </c>
      <c r="BC44" s="181"/>
      <c r="BD44" s="176" t="s">
        <v>123</v>
      </c>
      <c r="BE44" s="176"/>
      <c r="BF44" s="176"/>
      <c r="BG44" s="176"/>
      <c r="BH44" s="176"/>
      <c r="BI44" s="176"/>
    </row>
    <row r="45" spans="2:61" s="142" customFormat="1" ht="21" customHeight="1" x14ac:dyDescent="0.25">
      <c r="B45" s="173" t="str">
        <f t="shared" si="0"/>
        <v>0-304L/1D-3.78X1536</v>
      </c>
      <c r="C45" s="201" t="s">
        <v>5430</v>
      </c>
      <c r="D45" s="173" t="s">
        <v>48</v>
      </c>
      <c r="E45" s="173" t="s">
        <v>1558</v>
      </c>
      <c r="F45" s="201" t="s">
        <v>4047</v>
      </c>
      <c r="G45" s="173" t="s">
        <v>182</v>
      </c>
      <c r="H45" s="173" t="s">
        <v>127</v>
      </c>
      <c r="I45" s="174">
        <v>3.78</v>
      </c>
      <c r="J45" s="174"/>
      <c r="K45" s="174"/>
      <c r="L45" s="174"/>
      <c r="M45" s="380">
        <v>1536</v>
      </c>
      <c r="N45" s="350"/>
      <c r="O45" s="381">
        <v>12.295</v>
      </c>
      <c r="P45" s="382"/>
      <c r="Q45" s="176"/>
      <c r="R45" s="176"/>
      <c r="S45" s="383"/>
      <c r="T45" s="176"/>
      <c r="U45" s="173">
        <v>768</v>
      </c>
      <c r="V45" s="383"/>
      <c r="W45" s="380"/>
      <c r="X45" s="173" t="s">
        <v>5424</v>
      </c>
      <c r="Y45" s="384"/>
      <c r="Z45" s="173"/>
      <c r="AA45" s="173"/>
      <c r="AB45" s="173"/>
      <c r="AC45" s="173"/>
      <c r="AD45" s="173"/>
      <c r="AE45" s="173"/>
      <c r="AF45" s="173"/>
      <c r="AG45" s="177"/>
      <c r="AH45" s="177">
        <v>44934</v>
      </c>
      <c r="AI45" s="177"/>
      <c r="AJ45" s="385"/>
      <c r="AK45" s="385" t="s">
        <v>1507</v>
      </c>
      <c r="AL45" s="177" t="s">
        <v>69</v>
      </c>
      <c r="AM45" s="177" t="s">
        <v>142</v>
      </c>
      <c r="AN45" s="177" t="s">
        <v>1508</v>
      </c>
      <c r="AO45" s="177"/>
      <c r="AP45" s="177">
        <v>44849</v>
      </c>
      <c r="AQ45" s="177"/>
      <c r="AR45" s="177">
        <f t="shared" ca="1" si="1"/>
        <v>44958</v>
      </c>
      <c r="AS45" s="177">
        <f t="shared" ca="1" si="2"/>
        <v>109</v>
      </c>
      <c r="AT45" s="180" t="e">
        <f t="shared" ca="1" si="3"/>
        <v>#VALUE!</v>
      </c>
      <c r="AU45" s="173"/>
      <c r="AV45" s="173" t="s">
        <v>1560</v>
      </c>
      <c r="AW45" s="181">
        <v>24.535</v>
      </c>
      <c r="AX45" s="181">
        <v>24.594999999999999</v>
      </c>
      <c r="AY45" s="181">
        <v>24.62</v>
      </c>
      <c r="AZ45" s="181">
        <v>24.625</v>
      </c>
      <c r="BA45" s="181">
        <f t="shared" ca="1" si="4"/>
        <v>44190</v>
      </c>
      <c r="BB45" s="173">
        <v>456</v>
      </c>
      <c r="BC45" s="181"/>
      <c r="BD45" s="176" t="s">
        <v>123</v>
      </c>
      <c r="BE45" s="176"/>
      <c r="BF45" s="176"/>
      <c r="BG45" s="176"/>
      <c r="BH45" s="176"/>
      <c r="BI45" s="176"/>
    </row>
    <row r="46" spans="2:61" s="142" customFormat="1" ht="21" customHeight="1" x14ac:dyDescent="0.25">
      <c r="B46" s="173" t="str">
        <f t="shared" si="0"/>
        <v>0-304L/1D-3.79X1536</v>
      </c>
      <c r="C46" s="201" t="s">
        <v>5430</v>
      </c>
      <c r="D46" s="173" t="s">
        <v>48</v>
      </c>
      <c r="E46" s="173" t="s">
        <v>1544</v>
      </c>
      <c r="F46" s="201" t="s">
        <v>4101</v>
      </c>
      <c r="G46" s="173" t="s">
        <v>182</v>
      </c>
      <c r="H46" s="173" t="s">
        <v>127</v>
      </c>
      <c r="I46" s="174">
        <v>3.79</v>
      </c>
      <c r="J46" s="174"/>
      <c r="K46" s="174"/>
      <c r="L46" s="174"/>
      <c r="M46" s="380">
        <v>1536</v>
      </c>
      <c r="N46" s="349">
        <v>24.535</v>
      </c>
      <c r="O46" s="381">
        <v>12.27</v>
      </c>
      <c r="P46" s="382"/>
      <c r="Q46" s="176"/>
      <c r="R46" s="176"/>
      <c r="S46" s="383"/>
      <c r="T46" s="176"/>
      <c r="U46" s="173">
        <v>768</v>
      </c>
      <c r="V46" s="383"/>
      <c r="W46" s="380"/>
      <c r="X46" s="173" t="s">
        <v>5424</v>
      </c>
      <c r="Y46" s="384"/>
      <c r="Z46" s="173"/>
      <c r="AA46" s="173"/>
      <c r="AB46" s="173"/>
      <c r="AC46" s="173"/>
      <c r="AD46" s="173"/>
      <c r="AE46" s="173"/>
      <c r="AF46" s="173"/>
      <c r="AG46" s="177"/>
      <c r="AH46" s="177">
        <v>44934</v>
      </c>
      <c r="AI46" s="177"/>
      <c r="AJ46" s="385"/>
      <c r="AK46" s="385" t="s">
        <v>1507</v>
      </c>
      <c r="AL46" s="177" t="s">
        <v>69</v>
      </c>
      <c r="AM46" s="177" t="s">
        <v>142</v>
      </c>
      <c r="AN46" s="177" t="s">
        <v>1508</v>
      </c>
      <c r="AO46" s="177"/>
      <c r="AP46" s="177">
        <v>44849</v>
      </c>
      <c r="AQ46" s="177"/>
      <c r="AR46" s="177">
        <f t="shared" ca="1" si="1"/>
        <v>44958</v>
      </c>
      <c r="AS46" s="177">
        <f t="shared" ca="1" si="2"/>
        <v>109</v>
      </c>
      <c r="AT46" s="180" t="e">
        <f t="shared" ca="1" si="3"/>
        <v>#VALUE!</v>
      </c>
      <c r="AU46" s="173"/>
      <c r="AV46" s="173" t="s">
        <v>1548</v>
      </c>
      <c r="AW46" s="181">
        <v>24.535</v>
      </c>
      <c r="AX46" s="181">
        <v>24.594999999999999</v>
      </c>
      <c r="AY46" s="181">
        <v>24.62</v>
      </c>
      <c r="AZ46" s="181">
        <v>24.625</v>
      </c>
      <c r="BA46" s="181">
        <f t="shared" ca="1" si="4"/>
        <v>44190</v>
      </c>
      <c r="BB46" s="173">
        <v>456</v>
      </c>
      <c r="BC46" s="181"/>
      <c r="BD46" s="176" t="s">
        <v>123</v>
      </c>
      <c r="BE46" s="176"/>
      <c r="BF46" s="176"/>
      <c r="BG46" s="176"/>
      <c r="BH46" s="176"/>
      <c r="BI46" s="176"/>
    </row>
    <row r="47" spans="2:61" s="142" customFormat="1" ht="21" customHeight="1" x14ac:dyDescent="0.25">
      <c r="B47" s="173" t="str">
        <f t="shared" si="0"/>
        <v>0-304L/1D-3.79X1536</v>
      </c>
      <c r="C47" s="201" t="s">
        <v>5430</v>
      </c>
      <c r="D47" s="173" t="s">
        <v>48</v>
      </c>
      <c r="E47" s="173" t="s">
        <v>1544</v>
      </c>
      <c r="F47" s="201" t="s">
        <v>1549</v>
      </c>
      <c r="G47" s="173" t="s">
        <v>182</v>
      </c>
      <c r="H47" s="173" t="s">
        <v>127</v>
      </c>
      <c r="I47" s="174">
        <v>3.79</v>
      </c>
      <c r="J47" s="174"/>
      <c r="K47" s="174"/>
      <c r="L47" s="174"/>
      <c r="M47" s="380">
        <v>1536</v>
      </c>
      <c r="N47" s="350"/>
      <c r="O47" s="381">
        <v>12.27</v>
      </c>
      <c r="P47" s="382"/>
      <c r="Q47" s="176"/>
      <c r="R47" s="176"/>
      <c r="S47" s="383"/>
      <c r="T47" s="176"/>
      <c r="U47" s="173">
        <v>768</v>
      </c>
      <c r="V47" s="383"/>
      <c r="W47" s="380"/>
      <c r="X47" s="173" t="s">
        <v>5424</v>
      </c>
      <c r="Y47" s="384"/>
      <c r="Z47" s="173"/>
      <c r="AA47" s="173"/>
      <c r="AB47" s="173"/>
      <c r="AC47" s="173"/>
      <c r="AD47" s="173"/>
      <c r="AE47" s="173"/>
      <c r="AF47" s="173"/>
      <c r="AG47" s="177"/>
      <c r="AH47" s="177">
        <v>44934</v>
      </c>
      <c r="AI47" s="177"/>
      <c r="AJ47" s="385"/>
      <c r="AK47" s="385" t="s">
        <v>1507</v>
      </c>
      <c r="AL47" s="177" t="s">
        <v>69</v>
      </c>
      <c r="AM47" s="177" t="s">
        <v>142</v>
      </c>
      <c r="AN47" s="177" t="s">
        <v>1508</v>
      </c>
      <c r="AO47" s="177"/>
      <c r="AP47" s="177">
        <v>44849</v>
      </c>
      <c r="AQ47" s="177"/>
      <c r="AR47" s="177">
        <f t="shared" ca="1" si="1"/>
        <v>44958</v>
      </c>
      <c r="AS47" s="177">
        <f t="shared" ca="1" si="2"/>
        <v>109</v>
      </c>
      <c r="AT47" s="180" t="e">
        <f t="shared" ca="1" si="3"/>
        <v>#VALUE!</v>
      </c>
      <c r="AU47" s="173"/>
      <c r="AV47" s="173" t="s">
        <v>1548</v>
      </c>
      <c r="AW47" s="181">
        <v>24.535</v>
      </c>
      <c r="AX47" s="181">
        <v>24.594999999999999</v>
      </c>
      <c r="AY47" s="181">
        <v>24.62</v>
      </c>
      <c r="AZ47" s="181">
        <v>24.625</v>
      </c>
      <c r="BA47" s="181">
        <f t="shared" ca="1" si="4"/>
        <v>44190</v>
      </c>
      <c r="BB47" s="173">
        <v>456</v>
      </c>
      <c r="BC47" s="181"/>
      <c r="BD47" s="176" t="s">
        <v>123</v>
      </c>
      <c r="BE47" s="176"/>
      <c r="BF47" s="176"/>
      <c r="BG47" s="176"/>
      <c r="BH47" s="176"/>
      <c r="BI47" s="176"/>
    </row>
    <row r="48" spans="2:61" s="142" customFormat="1" ht="21" customHeight="1" x14ac:dyDescent="0.25">
      <c r="B48" s="173" t="str">
        <f t="shared" si="0"/>
        <v>0-304L/1D-3.79X1537</v>
      </c>
      <c r="C48" s="201" t="s">
        <v>5430</v>
      </c>
      <c r="D48" s="173" t="s">
        <v>48</v>
      </c>
      <c r="E48" s="173" t="s">
        <v>1573</v>
      </c>
      <c r="F48" s="201" t="s">
        <v>4072</v>
      </c>
      <c r="G48" s="173" t="s">
        <v>182</v>
      </c>
      <c r="H48" s="173" t="s">
        <v>127</v>
      </c>
      <c r="I48" s="174">
        <v>3.79</v>
      </c>
      <c r="J48" s="174"/>
      <c r="K48" s="174"/>
      <c r="L48" s="174"/>
      <c r="M48" s="380">
        <v>1537</v>
      </c>
      <c r="N48" s="349">
        <v>24.63</v>
      </c>
      <c r="O48" s="381">
        <v>12.305</v>
      </c>
      <c r="P48" s="382"/>
      <c r="Q48" s="176"/>
      <c r="R48" s="176"/>
      <c r="S48" s="383"/>
      <c r="T48" s="176"/>
      <c r="U48" s="173">
        <v>768</v>
      </c>
      <c r="V48" s="383"/>
      <c r="W48" s="380"/>
      <c r="X48" s="173" t="s">
        <v>5424</v>
      </c>
      <c r="Y48" s="384"/>
      <c r="Z48" s="173"/>
      <c r="AA48" s="173"/>
      <c r="AB48" s="173"/>
      <c r="AC48" s="173"/>
      <c r="AD48" s="173"/>
      <c r="AE48" s="173"/>
      <c r="AF48" s="173"/>
      <c r="AG48" s="177"/>
      <c r="AH48" s="177">
        <v>44934</v>
      </c>
      <c r="AI48" s="177"/>
      <c r="AJ48" s="385"/>
      <c r="AK48" s="385" t="s">
        <v>1507</v>
      </c>
      <c r="AL48" s="177" t="s">
        <v>69</v>
      </c>
      <c r="AM48" s="177" t="s">
        <v>142</v>
      </c>
      <c r="AN48" s="177" t="s">
        <v>1508</v>
      </c>
      <c r="AO48" s="177"/>
      <c r="AP48" s="177">
        <v>44849</v>
      </c>
      <c r="AQ48" s="177"/>
      <c r="AR48" s="177">
        <f t="shared" ca="1" si="1"/>
        <v>44958</v>
      </c>
      <c r="AS48" s="177">
        <f t="shared" ca="1" si="2"/>
        <v>109</v>
      </c>
      <c r="AT48" s="180" t="e">
        <f t="shared" ca="1" si="3"/>
        <v>#VALUE!</v>
      </c>
      <c r="AU48" s="173"/>
      <c r="AV48" s="173" t="s">
        <v>1575</v>
      </c>
      <c r="AW48" s="181">
        <v>24.63</v>
      </c>
      <c r="AX48" s="181">
        <v>24.69</v>
      </c>
      <c r="AY48" s="181">
        <v>24.715000000000003</v>
      </c>
      <c r="AZ48" s="181">
        <v>24.720000000000002</v>
      </c>
      <c r="BA48" s="181">
        <f t="shared" ca="1" si="4"/>
        <v>44190</v>
      </c>
      <c r="BB48" s="173">
        <v>456</v>
      </c>
      <c r="BC48" s="181"/>
      <c r="BD48" s="176" t="s">
        <v>123</v>
      </c>
      <c r="BE48" s="176"/>
      <c r="BF48" s="176"/>
      <c r="BG48" s="176"/>
      <c r="BH48" s="176"/>
      <c r="BI48" s="176"/>
    </row>
    <row r="49" spans="2:61" s="142" customFormat="1" ht="21" customHeight="1" x14ac:dyDescent="0.25">
      <c r="B49" s="173" t="str">
        <f t="shared" si="0"/>
        <v>0-304L/1D-3.79X1537</v>
      </c>
      <c r="C49" s="201" t="s">
        <v>5430</v>
      </c>
      <c r="D49" s="173" t="s">
        <v>48</v>
      </c>
      <c r="E49" s="173" t="s">
        <v>1573</v>
      </c>
      <c r="F49" s="201" t="s">
        <v>4076</v>
      </c>
      <c r="G49" s="173" t="s">
        <v>182</v>
      </c>
      <c r="H49" s="173" t="s">
        <v>127</v>
      </c>
      <c r="I49" s="174">
        <v>3.79</v>
      </c>
      <c r="J49" s="174"/>
      <c r="K49" s="174"/>
      <c r="L49" s="174"/>
      <c r="M49" s="380">
        <v>1537</v>
      </c>
      <c r="N49" s="350"/>
      <c r="O49" s="381">
        <v>12.34</v>
      </c>
      <c r="P49" s="382"/>
      <c r="Q49" s="176"/>
      <c r="R49" s="176"/>
      <c r="S49" s="383"/>
      <c r="T49" s="176"/>
      <c r="U49" s="173">
        <v>769</v>
      </c>
      <c r="V49" s="383"/>
      <c r="W49" s="380"/>
      <c r="X49" s="173" t="s">
        <v>5424</v>
      </c>
      <c r="Y49" s="384"/>
      <c r="Z49" s="173"/>
      <c r="AA49" s="173"/>
      <c r="AB49" s="173"/>
      <c r="AC49" s="173"/>
      <c r="AD49" s="173"/>
      <c r="AE49" s="173"/>
      <c r="AF49" s="173"/>
      <c r="AG49" s="177"/>
      <c r="AH49" s="177">
        <v>44934</v>
      </c>
      <c r="AI49" s="177"/>
      <c r="AJ49" s="385"/>
      <c r="AK49" s="385" t="s">
        <v>1507</v>
      </c>
      <c r="AL49" s="177" t="s">
        <v>69</v>
      </c>
      <c r="AM49" s="177" t="s">
        <v>142</v>
      </c>
      <c r="AN49" s="177" t="s">
        <v>1508</v>
      </c>
      <c r="AO49" s="177"/>
      <c r="AP49" s="177">
        <v>44849</v>
      </c>
      <c r="AQ49" s="177"/>
      <c r="AR49" s="177">
        <f t="shared" ca="1" si="1"/>
        <v>44958</v>
      </c>
      <c r="AS49" s="177">
        <f t="shared" ca="1" si="2"/>
        <v>109</v>
      </c>
      <c r="AT49" s="180" t="e">
        <f t="shared" ca="1" si="3"/>
        <v>#VALUE!</v>
      </c>
      <c r="AU49" s="173"/>
      <c r="AV49" s="173" t="s">
        <v>1575</v>
      </c>
      <c r="AW49" s="181">
        <v>24.63</v>
      </c>
      <c r="AX49" s="181">
        <v>24.69</v>
      </c>
      <c r="AY49" s="181">
        <v>24.715000000000003</v>
      </c>
      <c r="AZ49" s="181">
        <v>24.720000000000002</v>
      </c>
      <c r="BA49" s="181">
        <f t="shared" ca="1" si="4"/>
        <v>44189</v>
      </c>
      <c r="BB49" s="173">
        <v>456</v>
      </c>
      <c r="BC49" s="181"/>
      <c r="BD49" s="176" t="s">
        <v>123</v>
      </c>
      <c r="BE49" s="176"/>
      <c r="BF49" s="176"/>
      <c r="BG49" s="176"/>
      <c r="BH49" s="176"/>
      <c r="BI49" s="176"/>
    </row>
    <row r="50" spans="2:61" s="142" customFormat="1" ht="21" customHeight="1" x14ac:dyDescent="0.25">
      <c r="B50" s="173" t="str">
        <f t="shared" si="0"/>
        <v>0-304L/1D-3.81X1536</v>
      </c>
      <c r="C50" s="201" t="s">
        <v>5430</v>
      </c>
      <c r="D50" s="173" t="s">
        <v>48</v>
      </c>
      <c r="E50" s="173" t="s">
        <v>1569</v>
      </c>
      <c r="F50" s="201" t="s">
        <v>1570</v>
      </c>
      <c r="G50" s="173" t="s">
        <v>182</v>
      </c>
      <c r="H50" s="173" t="s">
        <v>127</v>
      </c>
      <c r="I50" s="174">
        <v>3.81</v>
      </c>
      <c r="J50" s="174"/>
      <c r="K50" s="174"/>
      <c r="L50" s="174"/>
      <c r="M50" s="380">
        <v>1536</v>
      </c>
      <c r="N50" s="349">
        <v>24.53</v>
      </c>
      <c r="O50" s="381">
        <v>12.3</v>
      </c>
      <c r="P50" s="382"/>
      <c r="Q50" s="176"/>
      <c r="R50" s="176"/>
      <c r="S50" s="383"/>
      <c r="T50" s="176"/>
      <c r="U50" s="173">
        <v>768</v>
      </c>
      <c r="V50" s="383"/>
      <c r="W50" s="380"/>
      <c r="X50" s="173" t="s">
        <v>5424</v>
      </c>
      <c r="Y50" s="384"/>
      <c r="Z50" s="173"/>
      <c r="AA50" s="173"/>
      <c r="AB50" s="173"/>
      <c r="AC50" s="173"/>
      <c r="AD50" s="173"/>
      <c r="AE50" s="173"/>
      <c r="AF50" s="173"/>
      <c r="AG50" s="177"/>
      <c r="AH50" s="177">
        <v>44934</v>
      </c>
      <c r="AI50" s="177"/>
      <c r="AJ50" s="385"/>
      <c r="AK50" s="385" t="s">
        <v>1507</v>
      </c>
      <c r="AL50" s="177" t="s">
        <v>69</v>
      </c>
      <c r="AM50" s="177" t="s">
        <v>142</v>
      </c>
      <c r="AN50" s="177" t="s">
        <v>1508</v>
      </c>
      <c r="AO50" s="177"/>
      <c r="AP50" s="177">
        <v>44849</v>
      </c>
      <c r="AQ50" s="177"/>
      <c r="AR50" s="177">
        <f t="shared" ca="1" si="1"/>
        <v>44958</v>
      </c>
      <c r="AS50" s="177">
        <f t="shared" ca="1" si="2"/>
        <v>109</v>
      </c>
      <c r="AT50" s="180" t="e">
        <f t="shared" ca="1" si="3"/>
        <v>#VALUE!</v>
      </c>
      <c r="AU50" s="173"/>
      <c r="AV50" s="173" t="s">
        <v>1572</v>
      </c>
      <c r="AW50" s="181">
        <v>24.53</v>
      </c>
      <c r="AX50" s="181">
        <v>24.59</v>
      </c>
      <c r="AY50" s="181">
        <v>24.615000000000002</v>
      </c>
      <c r="AZ50" s="181">
        <v>24.62</v>
      </c>
      <c r="BA50" s="181">
        <f t="shared" ca="1" si="4"/>
        <v>44190</v>
      </c>
      <c r="BB50" s="173">
        <v>456</v>
      </c>
      <c r="BC50" s="181"/>
      <c r="BD50" s="176" t="s">
        <v>123</v>
      </c>
      <c r="BE50" s="176"/>
      <c r="BF50" s="176"/>
      <c r="BG50" s="176"/>
      <c r="BH50" s="176"/>
      <c r="BI50" s="176"/>
    </row>
    <row r="51" spans="2:61" s="142" customFormat="1" ht="21" customHeight="1" x14ac:dyDescent="0.25">
      <c r="B51" s="173" t="str">
        <f t="shared" si="0"/>
        <v>0-304L/1D-3.81X1536</v>
      </c>
      <c r="C51" s="201" t="s">
        <v>5430</v>
      </c>
      <c r="D51" s="173" t="s">
        <v>48</v>
      </c>
      <c r="E51" s="173" t="s">
        <v>1569</v>
      </c>
      <c r="F51" s="201" t="s">
        <v>4112</v>
      </c>
      <c r="G51" s="173" t="s">
        <v>182</v>
      </c>
      <c r="H51" s="173" t="s">
        <v>127</v>
      </c>
      <c r="I51" s="174">
        <v>3.81</v>
      </c>
      <c r="J51" s="174"/>
      <c r="K51" s="174"/>
      <c r="L51" s="174"/>
      <c r="M51" s="380">
        <v>1536</v>
      </c>
      <c r="N51" s="350"/>
      <c r="O51" s="381">
        <v>12.285</v>
      </c>
      <c r="P51" s="382"/>
      <c r="Q51" s="176"/>
      <c r="R51" s="176"/>
      <c r="S51" s="383"/>
      <c r="T51" s="176"/>
      <c r="U51" s="173">
        <v>768</v>
      </c>
      <c r="V51" s="383"/>
      <c r="W51" s="380"/>
      <c r="X51" s="173" t="s">
        <v>5424</v>
      </c>
      <c r="Y51" s="384"/>
      <c r="Z51" s="173"/>
      <c r="AA51" s="173"/>
      <c r="AB51" s="173"/>
      <c r="AC51" s="173"/>
      <c r="AD51" s="173"/>
      <c r="AE51" s="173"/>
      <c r="AF51" s="173"/>
      <c r="AG51" s="177"/>
      <c r="AH51" s="177">
        <v>44934</v>
      </c>
      <c r="AI51" s="177"/>
      <c r="AJ51" s="385"/>
      <c r="AK51" s="385" t="s">
        <v>1507</v>
      </c>
      <c r="AL51" s="177" t="s">
        <v>69</v>
      </c>
      <c r="AM51" s="177" t="s">
        <v>142</v>
      </c>
      <c r="AN51" s="177" t="s">
        <v>1508</v>
      </c>
      <c r="AO51" s="177"/>
      <c r="AP51" s="177">
        <v>44849</v>
      </c>
      <c r="AQ51" s="177"/>
      <c r="AR51" s="177">
        <f t="shared" ca="1" si="1"/>
        <v>44958</v>
      </c>
      <c r="AS51" s="177">
        <f t="shared" ca="1" si="2"/>
        <v>109</v>
      </c>
      <c r="AT51" s="180" t="e">
        <f t="shared" ca="1" si="3"/>
        <v>#VALUE!</v>
      </c>
      <c r="AU51" s="173"/>
      <c r="AV51" s="173" t="s">
        <v>1572</v>
      </c>
      <c r="AW51" s="181">
        <v>24.53</v>
      </c>
      <c r="AX51" s="181">
        <v>24.59</v>
      </c>
      <c r="AY51" s="181">
        <v>24.615000000000002</v>
      </c>
      <c r="AZ51" s="181">
        <v>24.62</v>
      </c>
      <c r="BA51" s="181">
        <f t="shared" ca="1" si="4"/>
        <v>44190</v>
      </c>
      <c r="BB51" s="173">
        <v>456</v>
      </c>
      <c r="BC51" s="181"/>
      <c r="BD51" s="176" t="s">
        <v>123</v>
      </c>
      <c r="BE51" s="176"/>
      <c r="BF51" s="176"/>
      <c r="BG51" s="176"/>
      <c r="BH51" s="176"/>
      <c r="BI51" s="176"/>
    </row>
    <row r="52" spans="2:61" s="142" customFormat="1" ht="21" customHeight="1" x14ac:dyDescent="0.25">
      <c r="B52" s="173" t="str">
        <f t="shared" si="0"/>
        <v>0-304L/1D-3.80X1531</v>
      </c>
      <c r="C52" s="201" t="s">
        <v>5431</v>
      </c>
      <c r="D52" s="173" t="s">
        <v>48</v>
      </c>
      <c r="E52" s="173" t="s">
        <v>1576</v>
      </c>
      <c r="F52" s="201" t="s">
        <v>4034</v>
      </c>
      <c r="G52" s="173" t="s">
        <v>182</v>
      </c>
      <c r="H52" s="173" t="s">
        <v>127</v>
      </c>
      <c r="I52" s="174">
        <v>3.79666666666667</v>
      </c>
      <c r="J52" s="174"/>
      <c r="K52" s="174"/>
      <c r="L52" s="174"/>
      <c r="M52" s="380">
        <v>1531</v>
      </c>
      <c r="N52" s="349">
        <v>20.625</v>
      </c>
      <c r="O52" s="381">
        <v>10.33</v>
      </c>
      <c r="P52" s="382"/>
      <c r="Q52" s="176"/>
      <c r="R52" s="176"/>
      <c r="S52" s="383"/>
      <c r="T52" s="176"/>
      <c r="U52" s="173">
        <v>765</v>
      </c>
      <c r="V52" s="383"/>
      <c r="W52" s="380"/>
      <c r="X52" s="173" t="s">
        <v>5424</v>
      </c>
      <c r="Y52" s="384"/>
      <c r="Z52" s="173"/>
      <c r="AA52" s="173"/>
      <c r="AB52" s="173"/>
      <c r="AC52" s="173"/>
      <c r="AD52" s="173"/>
      <c r="AE52" s="173"/>
      <c r="AF52" s="173"/>
      <c r="AG52" s="177"/>
      <c r="AH52" s="177">
        <v>44935</v>
      </c>
      <c r="AI52" s="177"/>
      <c r="AJ52" s="385"/>
      <c r="AK52" s="385" t="s">
        <v>1507</v>
      </c>
      <c r="AL52" s="177" t="s">
        <v>69</v>
      </c>
      <c r="AM52" s="177" t="s">
        <v>142</v>
      </c>
      <c r="AN52" s="177" t="s">
        <v>1508</v>
      </c>
      <c r="AO52" s="177"/>
      <c r="AP52" s="177">
        <v>44849</v>
      </c>
      <c r="AQ52" s="177"/>
      <c r="AR52" s="177">
        <f t="shared" ca="1" si="1"/>
        <v>44958</v>
      </c>
      <c r="AS52" s="177">
        <f t="shared" ca="1" si="2"/>
        <v>109</v>
      </c>
      <c r="AT52" s="180" t="e">
        <f t="shared" ca="1" si="3"/>
        <v>#VALUE!</v>
      </c>
      <c r="AU52" s="173"/>
      <c r="AV52" s="173" t="s">
        <v>1578</v>
      </c>
      <c r="AW52" s="181">
        <v>20.625</v>
      </c>
      <c r="AX52" s="181">
        <v>20.684999999999999</v>
      </c>
      <c r="AY52" s="181">
        <v>20.71</v>
      </c>
      <c r="AZ52" s="181">
        <v>20.715</v>
      </c>
      <c r="BA52" s="181">
        <f t="shared" ca="1" si="4"/>
        <v>44193</v>
      </c>
      <c r="BB52" s="173">
        <v>456</v>
      </c>
      <c r="BC52" s="181"/>
      <c r="BD52" s="176" t="s">
        <v>123</v>
      </c>
      <c r="BE52" s="176"/>
      <c r="BF52" s="176"/>
      <c r="BG52" s="176"/>
      <c r="BH52" s="176"/>
      <c r="BI52" s="176"/>
    </row>
    <row r="53" spans="2:61" s="142" customFormat="1" ht="21" customHeight="1" x14ac:dyDescent="0.25">
      <c r="B53" s="173" t="str">
        <f t="shared" si="0"/>
        <v>0-304L/1D-3.80X1531</v>
      </c>
      <c r="C53" s="201" t="s">
        <v>5431</v>
      </c>
      <c r="D53" s="173" t="s">
        <v>48</v>
      </c>
      <c r="E53" s="173" t="s">
        <v>1576</v>
      </c>
      <c r="F53" s="201" t="s">
        <v>1577</v>
      </c>
      <c r="G53" s="173" t="s">
        <v>182</v>
      </c>
      <c r="H53" s="173" t="s">
        <v>127</v>
      </c>
      <c r="I53" s="174">
        <v>3.79666666666667</v>
      </c>
      <c r="J53" s="174"/>
      <c r="K53" s="174"/>
      <c r="L53" s="174"/>
      <c r="M53" s="380">
        <v>1531</v>
      </c>
      <c r="N53" s="350"/>
      <c r="O53" s="381">
        <v>10.31</v>
      </c>
      <c r="P53" s="382"/>
      <c r="Q53" s="176"/>
      <c r="R53" s="176"/>
      <c r="S53" s="383"/>
      <c r="T53" s="176"/>
      <c r="U53" s="173">
        <v>767</v>
      </c>
      <c r="V53" s="383"/>
      <c r="W53" s="380"/>
      <c r="X53" s="173" t="s">
        <v>5424</v>
      </c>
      <c r="Y53" s="384"/>
      <c r="Z53" s="173"/>
      <c r="AA53" s="173"/>
      <c r="AB53" s="173"/>
      <c r="AC53" s="173"/>
      <c r="AD53" s="173"/>
      <c r="AE53" s="173"/>
      <c r="AF53" s="173"/>
      <c r="AG53" s="177"/>
      <c r="AH53" s="177">
        <v>44935</v>
      </c>
      <c r="AI53" s="177"/>
      <c r="AJ53" s="385"/>
      <c r="AK53" s="385" t="s">
        <v>1507</v>
      </c>
      <c r="AL53" s="177" t="s">
        <v>69</v>
      </c>
      <c r="AM53" s="177" t="s">
        <v>142</v>
      </c>
      <c r="AN53" s="177" t="s">
        <v>1508</v>
      </c>
      <c r="AO53" s="177"/>
      <c r="AP53" s="177">
        <v>44849</v>
      </c>
      <c r="AQ53" s="177"/>
      <c r="AR53" s="177">
        <f t="shared" ca="1" si="1"/>
        <v>44958</v>
      </c>
      <c r="AS53" s="177">
        <f t="shared" ca="1" si="2"/>
        <v>109</v>
      </c>
      <c r="AT53" s="180" t="e">
        <f t="shared" ca="1" si="3"/>
        <v>#VALUE!</v>
      </c>
      <c r="AU53" s="173"/>
      <c r="AV53" s="173" t="s">
        <v>1578</v>
      </c>
      <c r="AW53" s="181">
        <v>20.625</v>
      </c>
      <c r="AX53" s="181">
        <v>20.684999999999999</v>
      </c>
      <c r="AY53" s="181">
        <v>20.71</v>
      </c>
      <c r="AZ53" s="181">
        <v>20.715</v>
      </c>
      <c r="BA53" s="181">
        <f t="shared" ca="1" si="4"/>
        <v>44191</v>
      </c>
      <c r="BB53" s="173">
        <v>456</v>
      </c>
      <c r="BC53" s="181"/>
      <c r="BD53" s="176" t="s">
        <v>123</v>
      </c>
      <c r="BE53" s="176"/>
      <c r="BF53" s="176"/>
      <c r="BG53" s="176"/>
      <c r="BH53" s="176"/>
      <c r="BI53" s="176"/>
    </row>
    <row r="54" spans="2:61" s="142" customFormat="1" ht="21" customHeight="1" x14ac:dyDescent="0.25">
      <c r="B54" s="173" t="str">
        <f t="shared" si="0"/>
        <v>0-304L/1D-3.80X1534</v>
      </c>
      <c r="C54" s="201" t="s">
        <v>5431</v>
      </c>
      <c r="D54" s="173" t="s">
        <v>48</v>
      </c>
      <c r="E54" s="173" t="s">
        <v>1522</v>
      </c>
      <c r="F54" s="201" t="s">
        <v>4022</v>
      </c>
      <c r="G54" s="173" t="s">
        <v>182</v>
      </c>
      <c r="H54" s="173" t="s">
        <v>127</v>
      </c>
      <c r="I54" s="174">
        <v>3.8</v>
      </c>
      <c r="J54" s="174"/>
      <c r="K54" s="174"/>
      <c r="L54" s="174"/>
      <c r="M54" s="380">
        <v>1534</v>
      </c>
      <c r="N54" s="349">
        <v>24.204999999999998</v>
      </c>
      <c r="O54" s="381">
        <v>12.1</v>
      </c>
      <c r="P54" s="382"/>
      <c r="Q54" s="176"/>
      <c r="R54" s="176"/>
      <c r="S54" s="383"/>
      <c r="T54" s="176"/>
      <c r="U54" s="173">
        <v>767</v>
      </c>
      <c r="V54" s="383"/>
      <c r="W54" s="380"/>
      <c r="X54" s="173" t="s">
        <v>5424</v>
      </c>
      <c r="Y54" s="384"/>
      <c r="Z54" s="173"/>
      <c r="AA54" s="173"/>
      <c r="AB54" s="173"/>
      <c r="AC54" s="173"/>
      <c r="AD54" s="173"/>
      <c r="AE54" s="173"/>
      <c r="AF54" s="173"/>
      <c r="AG54" s="177"/>
      <c r="AH54" s="177">
        <v>44935</v>
      </c>
      <c r="AI54" s="177"/>
      <c r="AJ54" s="385"/>
      <c r="AK54" s="385" t="s">
        <v>1507</v>
      </c>
      <c r="AL54" s="177" t="s">
        <v>69</v>
      </c>
      <c r="AM54" s="177" t="s">
        <v>142</v>
      </c>
      <c r="AN54" s="177" t="s">
        <v>1508</v>
      </c>
      <c r="AO54" s="177"/>
      <c r="AP54" s="177">
        <v>44849</v>
      </c>
      <c r="AQ54" s="177"/>
      <c r="AR54" s="177">
        <f t="shared" ca="1" si="1"/>
        <v>44958</v>
      </c>
      <c r="AS54" s="177">
        <f t="shared" ca="1" si="2"/>
        <v>109</v>
      </c>
      <c r="AT54" s="180" t="e">
        <f t="shared" ca="1" si="3"/>
        <v>#VALUE!</v>
      </c>
      <c r="AU54" s="173"/>
      <c r="AV54" s="173" t="s">
        <v>1525</v>
      </c>
      <c r="AW54" s="181">
        <v>24.204999999999998</v>
      </c>
      <c r="AX54" s="181">
        <v>24.265000000000001</v>
      </c>
      <c r="AY54" s="181">
        <v>24.290000000000003</v>
      </c>
      <c r="AZ54" s="181">
        <v>24.295000000000002</v>
      </c>
      <c r="BA54" s="181">
        <f t="shared" ca="1" si="4"/>
        <v>44191</v>
      </c>
      <c r="BB54" s="173">
        <v>456</v>
      </c>
      <c r="BC54" s="181"/>
      <c r="BD54" s="176" t="s">
        <v>123</v>
      </c>
      <c r="BE54" s="176"/>
      <c r="BF54" s="176"/>
      <c r="BG54" s="176"/>
      <c r="BH54" s="176"/>
      <c r="BI54" s="176"/>
    </row>
    <row r="55" spans="2:61" s="142" customFormat="1" ht="21" customHeight="1" x14ac:dyDescent="0.25">
      <c r="B55" s="173" t="str">
        <f t="shared" si="0"/>
        <v>0-304L/1D-3.80X1534</v>
      </c>
      <c r="C55" s="201" t="s">
        <v>5431</v>
      </c>
      <c r="D55" s="173" t="s">
        <v>48</v>
      </c>
      <c r="E55" s="173" t="s">
        <v>1522</v>
      </c>
      <c r="F55" s="201" t="s">
        <v>1523</v>
      </c>
      <c r="G55" s="173" t="s">
        <v>182</v>
      </c>
      <c r="H55" s="173" t="s">
        <v>127</v>
      </c>
      <c r="I55" s="174">
        <v>3.8</v>
      </c>
      <c r="J55" s="174"/>
      <c r="K55" s="174"/>
      <c r="L55" s="174"/>
      <c r="M55" s="380">
        <v>1534</v>
      </c>
      <c r="N55" s="350"/>
      <c r="O55" s="381">
        <v>12.15</v>
      </c>
      <c r="P55" s="382"/>
      <c r="Q55" s="176"/>
      <c r="R55" s="176"/>
      <c r="S55" s="383"/>
      <c r="T55" s="176"/>
      <c r="U55" s="173">
        <v>767</v>
      </c>
      <c r="V55" s="383"/>
      <c r="W55" s="380"/>
      <c r="X55" s="173" t="s">
        <v>5424</v>
      </c>
      <c r="Y55" s="384"/>
      <c r="Z55" s="173"/>
      <c r="AA55" s="173"/>
      <c r="AB55" s="173"/>
      <c r="AC55" s="173"/>
      <c r="AD55" s="173"/>
      <c r="AE55" s="173"/>
      <c r="AF55" s="173"/>
      <c r="AG55" s="177"/>
      <c r="AH55" s="177">
        <v>44935</v>
      </c>
      <c r="AI55" s="177"/>
      <c r="AJ55" s="385"/>
      <c r="AK55" s="385" t="s">
        <v>1507</v>
      </c>
      <c r="AL55" s="177" t="s">
        <v>69</v>
      </c>
      <c r="AM55" s="177" t="s">
        <v>142</v>
      </c>
      <c r="AN55" s="177" t="s">
        <v>1508</v>
      </c>
      <c r="AO55" s="177"/>
      <c r="AP55" s="177">
        <v>44849</v>
      </c>
      <c r="AQ55" s="177"/>
      <c r="AR55" s="177">
        <f t="shared" ca="1" si="1"/>
        <v>44958</v>
      </c>
      <c r="AS55" s="177">
        <f t="shared" ca="1" si="2"/>
        <v>109</v>
      </c>
      <c r="AT55" s="180" t="e">
        <f t="shared" ca="1" si="3"/>
        <v>#VALUE!</v>
      </c>
      <c r="AU55" s="173"/>
      <c r="AV55" s="173" t="s">
        <v>1525</v>
      </c>
      <c r="AW55" s="181">
        <v>24.204999999999998</v>
      </c>
      <c r="AX55" s="181">
        <v>24.265000000000001</v>
      </c>
      <c r="AY55" s="181">
        <v>24.290000000000003</v>
      </c>
      <c r="AZ55" s="181">
        <v>24.295000000000002</v>
      </c>
      <c r="BA55" s="181">
        <f t="shared" ca="1" si="4"/>
        <v>44191</v>
      </c>
      <c r="BB55" s="173">
        <v>456</v>
      </c>
      <c r="BC55" s="181"/>
      <c r="BD55" s="176" t="s">
        <v>123</v>
      </c>
      <c r="BE55" s="176"/>
      <c r="BF55" s="176"/>
      <c r="BG55" s="176"/>
      <c r="BH55" s="176"/>
      <c r="BI55" s="176"/>
    </row>
    <row r="56" spans="2:61" s="142" customFormat="1" ht="21" customHeight="1" x14ac:dyDescent="0.25">
      <c r="B56" s="173" t="str">
        <f t="shared" si="0"/>
        <v>0-304L/1D-3.80X1537</v>
      </c>
      <c r="C56" s="201" t="s">
        <v>5431</v>
      </c>
      <c r="D56" s="173" t="s">
        <v>48</v>
      </c>
      <c r="E56" s="173" t="s">
        <v>1530</v>
      </c>
      <c r="F56" s="201" t="s">
        <v>1531</v>
      </c>
      <c r="G56" s="173" t="s">
        <v>182</v>
      </c>
      <c r="H56" s="173" t="s">
        <v>127</v>
      </c>
      <c r="I56" s="174">
        <v>3.8</v>
      </c>
      <c r="J56" s="174"/>
      <c r="K56" s="174"/>
      <c r="L56" s="174"/>
      <c r="M56" s="380">
        <v>1537</v>
      </c>
      <c r="N56" s="349">
        <v>24.57</v>
      </c>
      <c r="O56" s="381">
        <v>12.28</v>
      </c>
      <c r="P56" s="382"/>
      <c r="Q56" s="176"/>
      <c r="R56" s="176"/>
      <c r="S56" s="383"/>
      <c r="T56" s="176"/>
      <c r="U56" s="173">
        <v>769</v>
      </c>
      <c r="V56" s="383"/>
      <c r="W56" s="380"/>
      <c r="X56" s="173" t="s">
        <v>5424</v>
      </c>
      <c r="Y56" s="384"/>
      <c r="Z56" s="173"/>
      <c r="AA56" s="173"/>
      <c r="AB56" s="173"/>
      <c r="AC56" s="173"/>
      <c r="AD56" s="173"/>
      <c r="AE56" s="173"/>
      <c r="AF56" s="173"/>
      <c r="AG56" s="177"/>
      <c r="AH56" s="177">
        <v>44935</v>
      </c>
      <c r="AI56" s="177"/>
      <c r="AJ56" s="385"/>
      <c r="AK56" s="385" t="s">
        <v>1507</v>
      </c>
      <c r="AL56" s="177" t="s">
        <v>69</v>
      </c>
      <c r="AM56" s="177" t="s">
        <v>142</v>
      </c>
      <c r="AN56" s="177" t="s">
        <v>1508</v>
      </c>
      <c r="AO56" s="177"/>
      <c r="AP56" s="177">
        <v>44849</v>
      </c>
      <c r="AQ56" s="177"/>
      <c r="AR56" s="177">
        <f t="shared" ca="1" si="1"/>
        <v>44958</v>
      </c>
      <c r="AS56" s="177">
        <f t="shared" ca="1" si="2"/>
        <v>109</v>
      </c>
      <c r="AT56" s="180" t="e">
        <f t="shared" ca="1" si="3"/>
        <v>#VALUE!</v>
      </c>
      <c r="AU56" s="173"/>
      <c r="AV56" s="173" t="s">
        <v>1532</v>
      </c>
      <c r="AW56" s="181">
        <v>24.57</v>
      </c>
      <c r="AX56" s="181">
        <v>24.63</v>
      </c>
      <c r="AY56" s="181">
        <v>24.655000000000001</v>
      </c>
      <c r="AZ56" s="181">
        <v>24.66</v>
      </c>
      <c r="BA56" s="181">
        <f t="shared" ca="1" si="4"/>
        <v>44189</v>
      </c>
      <c r="BB56" s="173">
        <v>456</v>
      </c>
      <c r="BC56" s="181"/>
      <c r="BD56" s="176" t="s">
        <v>123</v>
      </c>
      <c r="BE56" s="176"/>
      <c r="BF56" s="176"/>
      <c r="BG56" s="176"/>
      <c r="BH56" s="176"/>
      <c r="BI56" s="176"/>
    </row>
    <row r="57" spans="2:61" s="142" customFormat="1" ht="21" customHeight="1" x14ac:dyDescent="0.25">
      <c r="B57" s="173" t="str">
        <f t="shared" si="0"/>
        <v>0-304L/1D-3.80X1537</v>
      </c>
      <c r="C57" s="201" t="s">
        <v>5431</v>
      </c>
      <c r="D57" s="173" t="s">
        <v>48</v>
      </c>
      <c r="E57" s="173" t="s">
        <v>1530</v>
      </c>
      <c r="F57" s="201" t="s">
        <v>1533</v>
      </c>
      <c r="G57" s="173" t="s">
        <v>182</v>
      </c>
      <c r="H57" s="173" t="s">
        <v>127</v>
      </c>
      <c r="I57" s="174">
        <v>3.8</v>
      </c>
      <c r="J57" s="174"/>
      <c r="K57" s="174"/>
      <c r="L57" s="174"/>
      <c r="M57" s="380">
        <v>1537</v>
      </c>
      <c r="N57" s="350"/>
      <c r="O57" s="381">
        <v>12.34</v>
      </c>
      <c r="P57" s="382"/>
      <c r="Q57" s="176"/>
      <c r="R57" s="176"/>
      <c r="S57" s="383"/>
      <c r="T57" s="176"/>
      <c r="U57" s="173">
        <v>769</v>
      </c>
      <c r="V57" s="383"/>
      <c r="W57" s="380"/>
      <c r="X57" s="173" t="s">
        <v>5424</v>
      </c>
      <c r="Y57" s="384"/>
      <c r="Z57" s="173"/>
      <c r="AA57" s="173"/>
      <c r="AB57" s="173"/>
      <c r="AC57" s="173"/>
      <c r="AD57" s="173"/>
      <c r="AE57" s="173"/>
      <c r="AF57" s="173"/>
      <c r="AG57" s="177"/>
      <c r="AH57" s="177">
        <v>44935</v>
      </c>
      <c r="AI57" s="177"/>
      <c r="AJ57" s="385"/>
      <c r="AK57" s="385" t="s">
        <v>1507</v>
      </c>
      <c r="AL57" s="177" t="s">
        <v>69</v>
      </c>
      <c r="AM57" s="177" t="s">
        <v>142</v>
      </c>
      <c r="AN57" s="177" t="s">
        <v>1508</v>
      </c>
      <c r="AO57" s="177"/>
      <c r="AP57" s="177">
        <v>44849</v>
      </c>
      <c r="AQ57" s="177"/>
      <c r="AR57" s="177">
        <f t="shared" ca="1" si="1"/>
        <v>44958</v>
      </c>
      <c r="AS57" s="177">
        <f t="shared" ca="1" si="2"/>
        <v>109</v>
      </c>
      <c r="AT57" s="180" t="e">
        <f t="shared" ca="1" si="3"/>
        <v>#VALUE!</v>
      </c>
      <c r="AU57" s="173"/>
      <c r="AV57" s="173" t="s">
        <v>1532</v>
      </c>
      <c r="AW57" s="181">
        <v>24.57</v>
      </c>
      <c r="AX57" s="181">
        <v>24.63</v>
      </c>
      <c r="AY57" s="181">
        <v>24.655000000000001</v>
      </c>
      <c r="AZ57" s="181">
        <v>24.66</v>
      </c>
      <c r="BA57" s="181">
        <f t="shared" ca="1" si="4"/>
        <v>44189</v>
      </c>
      <c r="BB57" s="173">
        <v>456</v>
      </c>
      <c r="BC57" s="181"/>
      <c r="BD57" s="176" t="s">
        <v>123</v>
      </c>
      <c r="BE57" s="176"/>
      <c r="BF57" s="176"/>
      <c r="BG57" s="176"/>
      <c r="BH57" s="176"/>
      <c r="BI57" s="176"/>
    </row>
    <row r="58" spans="2:61" s="142" customFormat="1" ht="21" customHeight="1" x14ac:dyDescent="0.25">
      <c r="B58" s="173" t="str">
        <f t="shared" si="0"/>
        <v>0-304L/1D-3.77X1535</v>
      </c>
      <c r="C58" s="201" t="s">
        <v>5432</v>
      </c>
      <c r="D58" s="173" t="s">
        <v>48</v>
      </c>
      <c r="E58" s="173" t="s">
        <v>1511</v>
      </c>
      <c r="F58" s="201" t="s">
        <v>1512</v>
      </c>
      <c r="G58" s="173" t="s">
        <v>182</v>
      </c>
      <c r="H58" s="173" t="s">
        <v>127</v>
      </c>
      <c r="I58" s="174">
        <v>3.77</v>
      </c>
      <c r="J58" s="174"/>
      <c r="K58" s="174"/>
      <c r="L58" s="174"/>
      <c r="M58" s="380">
        <v>1535</v>
      </c>
      <c r="N58" s="349">
        <v>24.54</v>
      </c>
      <c r="O58" s="381">
        <v>12.28</v>
      </c>
      <c r="P58" s="382"/>
      <c r="Q58" s="176"/>
      <c r="R58" s="176"/>
      <c r="S58" s="383"/>
      <c r="T58" s="176"/>
      <c r="U58" s="173">
        <v>768</v>
      </c>
      <c r="V58" s="383"/>
      <c r="W58" s="380"/>
      <c r="X58" s="173" t="s">
        <v>5424</v>
      </c>
      <c r="Y58" s="384"/>
      <c r="Z58" s="173"/>
      <c r="AA58" s="173"/>
      <c r="AB58" s="173"/>
      <c r="AC58" s="173"/>
      <c r="AD58" s="173"/>
      <c r="AE58" s="173"/>
      <c r="AF58" s="173"/>
      <c r="AG58" s="177"/>
      <c r="AH58" s="177">
        <v>44939</v>
      </c>
      <c r="AI58" s="177"/>
      <c r="AJ58" s="385"/>
      <c r="AK58" s="385" t="s">
        <v>1507</v>
      </c>
      <c r="AL58" s="177" t="s">
        <v>69</v>
      </c>
      <c r="AM58" s="177" t="s">
        <v>142</v>
      </c>
      <c r="AN58" s="177" t="s">
        <v>1508</v>
      </c>
      <c r="AO58" s="177"/>
      <c r="AP58" s="177">
        <v>44849</v>
      </c>
      <c r="AQ58" s="177"/>
      <c r="AR58" s="177">
        <f t="shared" ca="1" si="1"/>
        <v>44958</v>
      </c>
      <c r="AS58" s="177">
        <f t="shared" ca="1" si="2"/>
        <v>109</v>
      </c>
      <c r="AT58" s="180" t="e">
        <f t="shared" ca="1" si="3"/>
        <v>#VALUE!</v>
      </c>
      <c r="AU58" s="173"/>
      <c r="AV58" s="173" t="s">
        <v>1514</v>
      </c>
      <c r="AW58" s="181">
        <v>24.54</v>
      </c>
      <c r="AX58" s="181">
        <v>24.6</v>
      </c>
      <c r="AY58" s="181">
        <v>24.625000000000004</v>
      </c>
      <c r="AZ58" s="181">
        <v>24.630000000000003</v>
      </c>
      <c r="BA58" s="181">
        <f t="shared" ca="1" si="4"/>
        <v>44190</v>
      </c>
      <c r="BB58" s="173">
        <v>456</v>
      </c>
      <c r="BC58" s="181"/>
      <c r="BD58" s="176" t="s">
        <v>123</v>
      </c>
      <c r="BE58" s="176"/>
      <c r="BF58" s="176"/>
      <c r="BG58" s="176"/>
      <c r="BH58" s="176"/>
      <c r="BI58" s="176"/>
    </row>
    <row r="59" spans="2:61" s="142" customFormat="1" ht="21" customHeight="1" x14ac:dyDescent="0.25">
      <c r="B59" s="173" t="str">
        <f t="shared" si="0"/>
        <v>0-304L/1D-3.77X1535</v>
      </c>
      <c r="C59" s="201" t="s">
        <v>5432</v>
      </c>
      <c r="D59" s="173" t="s">
        <v>48</v>
      </c>
      <c r="E59" s="173" t="s">
        <v>1511</v>
      </c>
      <c r="F59" s="201" t="s">
        <v>4062</v>
      </c>
      <c r="G59" s="173" t="s">
        <v>182</v>
      </c>
      <c r="H59" s="173" t="s">
        <v>127</v>
      </c>
      <c r="I59" s="174">
        <v>3.77</v>
      </c>
      <c r="J59" s="174"/>
      <c r="K59" s="174"/>
      <c r="L59" s="174"/>
      <c r="M59" s="380">
        <v>1535</v>
      </c>
      <c r="N59" s="350"/>
      <c r="O59" s="381">
        <v>12.26</v>
      </c>
      <c r="P59" s="382"/>
      <c r="Q59" s="176"/>
      <c r="R59" s="176"/>
      <c r="S59" s="383"/>
      <c r="T59" s="176"/>
      <c r="U59" s="173">
        <v>767</v>
      </c>
      <c r="V59" s="383"/>
      <c r="W59" s="380"/>
      <c r="X59" s="173" t="s">
        <v>5424</v>
      </c>
      <c r="Y59" s="384"/>
      <c r="Z59" s="173"/>
      <c r="AA59" s="173"/>
      <c r="AB59" s="173"/>
      <c r="AC59" s="173"/>
      <c r="AD59" s="173"/>
      <c r="AE59" s="173"/>
      <c r="AF59" s="173"/>
      <c r="AG59" s="177"/>
      <c r="AH59" s="177">
        <v>44939</v>
      </c>
      <c r="AI59" s="177"/>
      <c r="AJ59" s="385"/>
      <c r="AK59" s="385" t="s">
        <v>1507</v>
      </c>
      <c r="AL59" s="177" t="s">
        <v>69</v>
      </c>
      <c r="AM59" s="177" t="s">
        <v>142</v>
      </c>
      <c r="AN59" s="177" t="s">
        <v>1508</v>
      </c>
      <c r="AO59" s="177"/>
      <c r="AP59" s="177">
        <v>44849</v>
      </c>
      <c r="AQ59" s="177"/>
      <c r="AR59" s="177">
        <f t="shared" ca="1" si="1"/>
        <v>44958</v>
      </c>
      <c r="AS59" s="177">
        <f t="shared" ca="1" si="2"/>
        <v>109</v>
      </c>
      <c r="AT59" s="180" t="e">
        <f t="shared" ca="1" si="3"/>
        <v>#VALUE!</v>
      </c>
      <c r="AU59" s="173"/>
      <c r="AV59" s="173" t="s">
        <v>1514</v>
      </c>
      <c r="AW59" s="181">
        <v>24.54</v>
      </c>
      <c r="AX59" s="181">
        <v>24.6</v>
      </c>
      <c r="AY59" s="181">
        <v>24.625000000000004</v>
      </c>
      <c r="AZ59" s="181">
        <v>24.630000000000003</v>
      </c>
      <c r="BA59" s="181">
        <f t="shared" ca="1" si="4"/>
        <v>44191</v>
      </c>
      <c r="BB59" s="173">
        <v>456</v>
      </c>
      <c r="BC59" s="181"/>
      <c r="BD59" s="176" t="s">
        <v>123</v>
      </c>
      <c r="BE59" s="176"/>
      <c r="BF59" s="176"/>
      <c r="BG59" s="176"/>
      <c r="BH59" s="176"/>
      <c r="BI59" s="176"/>
    </row>
    <row r="60" spans="2:61" s="142" customFormat="1" ht="21" customHeight="1" x14ac:dyDescent="0.25">
      <c r="B60" s="173" t="str">
        <f t="shared" si="0"/>
        <v>0-304L/1D-3.79X1536</v>
      </c>
      <c r="C60" s="201" t="s">
        <v>5433</v>
      </c>
      <c r="D60" s="173" t="s">
        <v>48</v>
      </c>
      <c r="E60" s="173" t="s">
        <v>1541</v>
      </c>
      <c r="F60" s="201" t="s">
        <v>1542</v>
      </c>
      <c r="G60" s="173" t="s">
        <v>182</v>
      </c>
      <c r="H60" s="173" t="s">
        <v>127</v>
      </c>
      <c r="I60" s="174">
        <v>3.79</v>
      </c>
      <c r="J60" s="174"/>
      <c r="K60" s="174"/>
      <c r="L60" s="174"/>
      <c r="M60" s="380">
        <v>1536</v>
      </c>
      <c r="N60" s="349">
        <v>24.51</v>
      </c>
      <c r="O60" s="381">
        <v>12.244999999999999</v>
      </c>
      <c r="P60" s="382"/>
      <c r="Q60" s="176"/>
      <c r="R60" s="176"/>
      <c r="S60" s="383"/>
      <c r="T60" s="176"/>
      <c r="U60" s="173">
        <v>768</v>
      </c>
      <c r="V60" s="383"/>
      <c r="W60" s="380"/>
      <c r="X60" s="173" t="s">
        <v>5424</v>
      </c>
      <c r="Y60" s="384"/>
      <c r="Z60" s="173"/>
      <c r="AA60" s="173"/>
      <c r="AB60" s="173"/>
      <c r="AC60" s="173"/>
      <c r="AD60" s="173"/>
      <c r="AE60" s="173"/>
      <c r="AF60" s="173"/>
      <c r="AG60" s="177"/>
      <c r="AH60" s="177">
        <v>44940</v>
      </c>
      <c r="AI60" s="177"/>
      <c r="AJ60" s="385"/>
      <c r="AK60" s="385" t="s">
        <v>1507</v>
      </c>
      <c r="AL60" s="177" t="s">
        <v>69</v>
      </c>
      <c r="AM60" s="177" t="s">
        <v>142</v>
      </c>
      <c r="AN60" s="177" t="s">
        <v>1508</v>
      </c>
      <c r="AO60" s="177"/>
      <c r="AP60" s="177">
        <v>44849</v>
      </c>
      <c r="AQ60" s="177"/>
      <c r="AR60" s="177">
        <f t="shared" ca="1" si="1"/>
        <v>44958</v>
      </c>
      <c r="AS60" s="177">
        <f t="shared" ca="1" si="2"/>
        <v>109</v>
      </c>
      <c r="AT60" s="180" t="e">
        <f t="shared" ca="1" si="3"/>
        <v>#VALUE!</v>
      </c>
      <c r="AU60" s="173"/>
      <c r="AV60" s="173" t="s">
        <v>1543</v>
      </c>
      <c r="AW60" s="181">
        <v>24.51</v>
      </c>
      <c r="AX60" s="181">
        <v>24.57</v>
      </c>
      <c r="AY60" s="181">
        <v>24.595000000000002</v>
      </c>
      <c r="AZ60" s="181">
        <v>24.6</v>
      </c>
      <c r="BA60" s="181">
        <f t="shared" ca="1" si="4"/>
        <v>44190</v>
      </c>
      <c r="BB60" s="173">
        <v>456</v>
      </c>
      <c r="BC60" s="181"/>
      <c r="BD60" s="176" t="s">
        <v>123</v>
      </c>
      <c r="BE60" s="176"/>
      <c r="BF60" s="176"/>
      <c r="BG60" s="176"/>
      <c r="BH60" s="176"/>
      <c r="BI60" s="176"/>
    </row>
    <row r="61" spans="2:61" s="142" customFormat="1" ht="21" customHeight="1" x14ac:dyDescent="0.25">
      <c r="B61" s="173" t="str">
        <f t="shared" si="0"/>
        <v>0-304L/1D-3.79X1536</v>
      </c>
      <c r="C61" s="201" t="s">
        <v>5433</v>
      </c>
      <c r="D61" s="173" t="s">
        <v>48</v>
      </c>
      <c r="E61" s="173" t="s">
        <v>1541</v>
      </c>
      <c r="F61" s="201" t="s">
        <v>4179</v>
      </c>
      <c r="G61" s="173" t="s">
        <v>182</v>
      </c>
      <c r="H61" s="173" t="s">
        <v>127</v>
      </c>
      <c r="I61" s="174">
        <v>3.79</v>
      </c>
      <c r="J61" s="174"/>
      <c r="K61" s="174"/>
      <c r="L61" s="174"/>
      <c r="M61" s="380">
        <v>1536</v>
      </c>
      <c r="N61" s="350"/>
      <c r="O61" s="381">
        <v>12.285</v>
      </c>
      <c r="P61" s="382"/>
      <c r="Q61" s="176"/>
      <c r="R61" s="176"/>
      <c r="S61" s="383"/>
      <c r="T61" s="176"/>
      <c r="U61" s="173">
        <v>768</v>
      </c>
      <c r="V61" s="383"/>
      <c r="W61" s="380"/>
      <c r="X61" s="173" t="s">
        <v>5424</v>
      </c>
      <c r="Y61" s="384"/>
      <c r="Z61" s="173"/>
      <c r="AA61" s="173"/>
      <c r="AB61" s="173"/>
      <c r="AC61" s="173"/>
      <c r="AD61" s="173"/>
      <c r="AE61" s="173"/>
      <c r="AF61" s="173"/>
      <c r="AG61" s="177"/>
      <c r="AH61" s="177">
        <v>44940</v>
      </c>
      <c r="AI61" s="177"/>
      <c r="AJ61" s="385"/>
      <c r="AK61" s="385" t="s">
        <v>1507</v>
      </c>
      <c r="AL61" s="177" t="s">
        <v>69</v>
      </c>
      <c r="AM61" s="177" t="s">
        <v>142</v>
      </c>
      <c r="AN61" s="177" t="s">
        <v>1508</v>
      </c>
      <c r="AO61" s="177"/>
      <c r="AP61" s="177">
        <v>44849</v>
      </c>
      <c r="AQ61" s="177"/>
      <c r="AR61" s="177">
        <f t="shared" ca="1" si="1"/>
        <v>44958</v>
      </c>
      <c r="AS61" s="177">
        <f t="shared" ca="1" si="2"/>
        <v>109</v>
      </c>
      <c r="AT61" s="180" t="e">
        <f t="shared" ca="1" si="3"/>
        <v>#VALUE!</v>
      </c>
      <c r="AU61" s="173"/>
      <c r="AV61" s="173" t="s">
        <v>1543</v>
      </c>
      <c r="AW61" s="181">
        <v>24.51</v>
      </c>
      <c r="AX61" s="181">
        <v>24.57</v>
      </c>
      <c r="AY61" s="181">
        <v>24.595000000000002</v>
      </c>
      <c r="AZ61" s="181">
        <v>24.6</v>
      </c>
      <c r="BA61" s="181">
        <f t="shared" ca="1" si="4"/>
        <v>44190</v>
      </c>
      <c r="BB61" s="173">
        <v>456</v>
      </c>
      <c r="BC61" s="181"/>
      <c r="BD61" s="176" t="s">
        <v>123</v>
      </c>
      <c r="BE61" s="176"/>
      <c r="BF61" s="176"/>
      <c r="BG61" s="176"/>
      <c r="BH61" s="176"/>
      <c r="BI61" s="176"/>
    </row>
    <row r="62" spans="2:61" s="142" customFormat="1" ht="21" customHeight="1" x14ac:dyDescent="0.25">
      <c r="B62" s="173" t="str">
        <f t="shared" si="0"/>
        <v>0-304L/1D-3.79X1537</v>
      </c>
      <c r="C62" s="201" t="s">
        <v>5433</v>
      </c>
      <c r="D62" s="173" t="s">
        <v>48</v>
      </c>
      <c r="E62" s="173" t="s">
        <v>1534</v>
      </c>
      <c r="F62" s="201" t="s">
        <v>1535</v>
      </c>
      <c r="G62" s="173" t="s">
        <v>182</v>
      </c>
      <c r="H62" s="173" t="s">
        <v>127</v>
      </c>
      <c r="I62" s="174">
        <v>3.79</v>
      </c>
      <c r="J62" s="174"/>
      <c r="K62" s="174"/>
      <c r="L62" s="174"/>
      <c r="M62" s="380">
        <v>1537</v>
      </c>
      <c r="N62" s="349">
        <v>24.545000000000002</v>
      </c>
      <c r="O62" s="381">
        <v>12.27</v>
      </c>
      <c r="P62" s="382"/>
      <c r="Q62" s="176"/>
      <c r="R62" s="176"/>
      <c r="S62" s="383"/>
      <c r="T62" s="176"/>
      <c r="U62" s="173">
        <v>768</v>
      </c>
      <c r="V62" s="383"/>
      <c r="W62" s="380"/>
      <c r="X62" s="173" t="s">
        <v>5424</v>
      </c>
      <c r="Y62" s="384"/>
      <c r="Z62" s="173"/>
      <c r="AA62" s="173"/>
      <c r="AB62" s="173"/>
      <c r="AC62" s="173"/>
      <c r="AD62" s="173"/>
      <c r="AE62" s="173"/>
      <c r="AF62" s="173"/>
      <c r="AG62" s="177"/>
      <c r="AH62" s="177">
        <v>44940</v>
      </c>
      <c r="AI62" s="177"/>
      <c r="AJ62" s="385"/>
      <c r="AK62" s="385" t="s">
        <v>1507</v>
      </c>
      <c r="AL62" s="177" t="s">
        <v>69</v>
      </c>
      <c r="AM62" s="177" t="s">
        <v>142</v>
      </c>
      <c r="AN62" s="177" t="s">
        <v>1508</v>
      </c>
      <c r="AO62" s="177"/>
      <c r="AP62" s="177">
        <v>44849</v>
      </c>
      <c r="AQ62" s="177"/>
      <c r="AR62" s="177">
        <f t="shared" ca="1" si="1"/>
        <v>44958</v>
      </c>
      <c r="AS62" s="177">
        <f t="shared" ca="1" si="2"/>
        <v>109</v>
      </c>
      <c r="AT62" s="180" t="e">
        <f t="shared" ca="1" si="3"/>
        <v>#VALUE!</v>
      </c>
      <c r="AU62" s="173"/>
      <c r="AV62" s="173" t="s">
        <v>1537</v>
      </c>
      <c r="AW62" s="181">
        <v>24.545000000000002</v>
      </c>
      <c r="AX62" s="181">
        <v>24.605</v>
      </c>
      <c r="AY62" s="181">
        <v>24.630000000000003</v>
      </c>
      <c r="AZ62" s="181">
        <v>24.635000000000002</v>
      </c>
      <c r="BA62" s="181">
        <f t="shared" ca="1" si="4"/>
        <v>44190</v>
      </c>
      <c r="BB62" s="173">
        <v>456</v>
      </c>
      <c r="BC62" s="181"/>
      <c r="BD62" s="176" t="s">
        <v>123</v>
      </c>
      <c r="BE62" s="176"/>
      <c r="BF62" s="176"/>
      <c r="BG62" s="176"/>
      <c r="BH62" s="176"/>
      <c r="BI62" s="176"/>
    </row>
    <row r="63" spans="2:61" s="142" customFormat="1" ht="21" customHeight="1" x14ac:dyDescent="0.25">
      <c r="B63" s="173" t="str">
        <f t="shared" si="0"/>
        <v>0-304L/1D-3.79X1537</v>
      </c>
      <c r="C63" s="201" t="s">
        <v>5433</v>
      </c>
      <c r="D63" s="173" t="s">
        <v>48</v>
      </c>
      <c r="E63" s="173" t="s">
        <v>1534</v>
      </c>
      <c r="F63" s="201" t="s">
        <v>4165</v>
      </c>
      <c r="G63" s="173" t="s">
        <v>182</v>
      </c>
      <c r="H63" s="173" t="s">
        <v>127</v>
      </c>
      <c r="I63" s="174">
        <v>3.79</v>
      </c>
      <c r="J63" s="174"/>
      <c r="K63" s="174"/>
      <c r="L63" s="174"/>
      <c r="M63" s="380">
        <v>1537</v>
      </c>
      <c r="N63" s="350"/>
      <c r="O63" s="381">
        <v>12.285</v>
      </c>
      <c r="P63" s="382"/>
      <c r="Q63" s="176"/>
      <c r="R63" s="176"/>
      <c r="S63" s="383"/>
      <c r="T63" s="176"/>
      <c r="U63" s="173">
        <v>769</v>
      </c>
      <c r="V63" s="383"/>
      <c r="W63" s="380"/>
      <c r="X63" s="173" t="s">
        <v>5424</v>
      </c>
      <c r="Y63" s="384"/>
      <c r="Z63" s="173"/>
      <c r="AA63" s="173"/>
      <c r="AB63" s="173"/>
      <c r="AC63" s="173"/>
      <c r="AD63" s="173"/>
      <c r="AE63" s="173"/>
      <c r="AF63" s="173"/>
      <c r="AG63" s="177"/>
      <c r="AH63" s="177">
        <v>44940</v>
      </c>
      <c r="AI63" s="177"/>
      <c r="AJ63" s="385"/>
      <c r="AK63" s="385" t="s">
        <v>1507</v>
      </c>
      <c r="AL63" s="177" t="s">
        <v>69</v>
      </c>
      <c r="AM63" s="177" t="s">
        <v>142</v>
      </c>
      <c r="AN63" s="177" t="s">
        <v>1508</v>
      </c>
      <c r="AO63" s="177"/>
      <c r="AP63" s="177">
        <v>44849</v>
      </c>
      <c r="AQ63" s="177"/>
      <c r="AR63" s="177">
        <f t="shared" ca="1" si="1"/>
        <v>44958</v>
      </c>
      <c r="AS63" s="177">
        <f t="shared" ca="1" si="2"/>
        <v>109</v>
      </c>
      <c r="AT63" s="180" t="e">
        <f t="shared" ca="1" si="3"/>
        <v>#VALUE!</v>
      </c>
      <c r="AU63" s="173"/>
      <c r="AV63" s="173" t="s">
        <v>1537</v>
      </c>
      <c r="AW63" s="181">
        <v>24.545000000000002</v>
      </c>
      <c r="AX63" s="181">
        <v>24.605</v>
      </c>
      <c r="AY63" s="181">
        <v>24.630000000000003</v>
      </c>
      <c r="AZ63" s="181">
        <v>24.635000000000002</v>
      </c>
      <c r="BA63" s="181">
        <f t="shared" ca="1" si="4"/>
        <v>44189</v>
      </c>
      <c r="BB63" s="173">
        <v>456</v>
      </c>
      <c r="BC63" s="181"/>
      <c r="BD63" s="176" t="s">
        <v>123</v>
      </c>
      <c r="BE63" s="176"/>
      <c r="BF63" s="176"/>
      <c r="BG63" s="176"/>
      <c r="BH63" s="176"/>
      <c r="BI63" s="176"/>
    </row>
    <row r="64" spans="2:61" s="142" customFormat="1" ht="21" customHeight="1" x14ac:dyDescent="0.25">
      <c r="B64" s="173" t="str">
        <f t="shared" si="0"/>
        <v>0-304L/1D-3.81X1535</v>
      </c>
      <c r="C64" s="201" t="s">
        <v>5433</v>
      </c>
      <c r="D64" s="173" t="s">
        <v>48</v>
      </c>
      <c r="E64" s="173" t="s">
        <v>1504</v>
      </c>
      <c r="F64" s="201" t="s">
        <v>1505</v>
      </c>
      <c r="G64" s="173" t="s">
        <v>182</v>
      </c>
      <c r="H64" s="173" t="s">
        <v>127</v>
      </c>
      <c r="I64" s="174">
        <v>3.81</v>
      </c>
      <c r="J64" s="174"/>
      <c r="K64" s="174"/>
      <c r="L64" s="174"/>
      <c r="M64" s="380">
        <v>1535</v>
      </c>
      <c r="N64" s="349">
        <v>24.504999999999999</v>
      </c>
      <c r="O64" s="381">
        <v>12.26</v>
      </c>
      <c r="P64" s="382"/>
      <c r="Q64" s="176"/>
      <c r="R64" s="176"/>
      <c r="S64" s="383"/>
      <c r="T64" s="176"/>
      <c r="U64" s="173">
        <v>768</v>
      </c>
      <c r="V64" s="383"/>
      <c r="W64" s="380"/>
      <c r="X64" s="173" t="s">
        <v>5424</v>
      </c>
      <c r="Y64" s="384"/>
      <c r="Z64" s="173"/>
      <c r="AA64" s="173"/>
      <c r="AB64" s="173"/>
      <c r="AC64" s="173"/>
      <c r="AD64" s="173"/>
      <c r="AE64" s="173"/>
      <c r="AF64" s="173"/>
      <c r="AG64" s="177"/>
      <c r="AH64" s="177">
        <v>44940</v>
      </c>
      <c r="AI64" s="177"/>
      <c r="AJ64" s="385"/>
      <c r="AK64" s="385" t="s">
        <v>1507</v>
      </c>
      <c r="AL64" s="177" t="s">
        <v>69</v>
      </c>
      <c r="AM64" s="177" t="s">
        <v>142</v>
      </c>
      <c r="AN64" s="177" t="s">
        <v>1508</v>
      </c>
      <c r="AO64" s="177"/>
      <c r="AP64" s="177">
        <v>44849</v>
      </c>
      <c r="AQ64" s="177"/>
      <c r="AR64" s="177">
        <f t="shared" ca="1" si="1"/>
        <v>44958</v>
      </c>
      <c r="AS64" s="177">
        <f t="shared" ca="1" si="2"/>
        <v>109</v>
      </c>
      <c r="AT64" s="180" t="e">
        <f t="shared" ca="1" si="3"/>
        <v>#VALUE!</v>
      </c>
      <c r="AU64" s="173"/>
      <c r="AV64" s="173" t="s">
        <v>1509</v>
      </c>
      <c r="AW64" s="181">
        <v>24.504999999999999</v>
      </c>
      <c r="AX64" s="181">
        <v>24.565000000000001</v>
      </c>
      <c r="AY64" s="181">
        <v>24.590000000000003</v>
      </c>
      <c r="AZ64" s="181">
        <v>24.595000000000002</v>
      </c>
      <c r="BA64" s="181">
        <f t="shared" ca="1" si="4"/>
        <v>44190</v>
      </c>
      <c r="BB64" s="173">
        <v>456</v>
      </c>
      <c r="BC64" s="181"/>
      <c r="BD64" s="176" t="s">
        <v>123</v>
      </c>
      <c r="BE64" s="176"/>
      <c r="BF64" s="176"/>
      <c r="BG64" s="176"/>
      <c r="BH64" s="176"/>
      <c r="BI64" s="176"/>
    </row>
    <row r="65" spans="2:61" s="142" customFormat="1" ht="21" customHeight="1" x14ac:dyDescent="0.25">
      <c r="B65" s="173" t="str">
        <f t="shared" si="0"/>
        <v>0-304L/1D-3.81X1535</v>
      </c>
      <c r="C65" s="201" t="s">
        <v>5433</v>
      </c>
      <c r="D65" s="173" t="s">
        <v>48</v>
      </c>
      <c r="E65" s="173" t="s">
        <v>1504</v>
      </c>
      <c r="F65" s="201" t="s">
        <v>1510</v>
      </c>
      <c r="G65" s="173" t="s">
        <v>182</v>
      </c>
      <c r="H65" s="173" t="s">
        <v>127</v>
      </c>
      <c r="I65" s="174">
        <v>3.81</v>
      </c>
      <c r="J65" s="174"/>
      <c r="K65" s="174"/>
      <c r="L65" s="174"/>
      <c r="M65" s="380">
        <v>1535</v>
      </c>
      <c r="N65" s="350"/>
      <c r="O65" s="381">
        <v>12.26</v>
      </c>
      <c r="P65" s="382"/>
      <c r="Q65" s="176"/>
      <c r="R65" s="176"/>
      <c r="S65" s="383"/>
      <c r="T65" s="176"/>
      <c r="U65" s="173">
        <v>769</v>
      </c>
      <c r="V65" s="383"/>
      <c r="W65" s="380"/>
      <c r="X65" s="173" t="s">
        <v>5424</v>
      </c>
      <c r="Y65" s="384"/>
      <c r="Z65" s="173"/>
      <c r="AA65" s="173"/>
      <c r="AB65" s="173"/>
      <c r="AC65" s="173"/>
      <c r="AD65" s="173"/>
      <c r="AE65" s="173"/>
      <c r="AF65" s="173"/>
      <c r="AG65" s="177"/>
      <c r="AH65" s="177">
        <v>44940</v>
      </c>
      <c r="AI65" s="177"/>
      <c r="AJ65" s="385"/>
      <c r="AK65" s="385" t="s">
        <v>1507</v>
      </c>
      <c r="AL65" s="177" t="s">
        <v>69</v>
      </c>
      <c r="AM65" s="177" t="s">
        <v>142</v>
      </c>
      <c r="AN65" s="177" t="s">
        <v>1508</v>
      </c>
      <c r="AO65" s="177"/>
      <c r="AP65" s="177">
        <v>44849</v>
      </c>
      <c r="AQ65" s="177"/>
      <c r="AR65" s="177">
        <f t="shared" ca="1" si="1"/>
        <v>44958</v>
      </c>
      <c r="AS65" s="177">
        <f t="shared" ca="1" si="2"/>
        <v>109</v>
      </c>
      <c r="AT65" s="180" t="e">
        <f t="shared" ca="1" si="3"/>
        <v>#VALUE!</v>
      </c>
      <c r="AU65" s="173"/>
      <c r="AV65" s="173" t="s">
        <v>1509</v>
      </c>
      <c r="AW65" s="181">
        <v>24.504999999999999</v>
      </c>
      <c r="AX65" s="181">
        <v>24.565000000000001</v>
      </c>
      <c r="AY65" s="181">
        <v>24.590000000000003</v>
      </c>
      <c r="AZ65" s="181">
        <v>24.595000000000002</v>
      </c>
      <c r="BA65" s="181">
        <f t="shared" ca="1" si="4"/>
        <v>44189</v>
      </c>
      <c r="BB65" s="173">
        <v>456</v>
      </c>
      <c r="BC65" s="181"/>
      <c r="BD65" s="176" t="s">
        <v>123</v>
      </c>
      <c r="BE65" s="176"/>
      <c r="BF65" s="176"/>
      <c r="BG65" s="176"/>
      <c r="BH65" s="176"/>
      <c r="BI65" s="176"/>
    </row>
    <row r="66" spans="2:61" s="142" customFormat="1" ht="21" customHeight="1" x14ac:dyDescent="0.25">
      <c r="B66" s="173" t="str">
        <f t="shared" si="0"/>
        <v>0-304L/2B-1.00X779</v>
      </c>
      <c r="C66" s="201" t="s">
        <v>5434</v>
      </c>
      <c r="D66" s="173" t="s">
        <v>836</v>
      </c>
      <c r="E66" s="173" t="s">
        <v>4180</v>
      </c>
      <c r="F66" s="201" t="s">
        <v>5318</v>
      </c>
      <c r="G66" s="173" t="s">
        <v>182</v>
      </c>
      <c r="H66" s="173" t="s">
        <v>114</v>
      </c>
      <c r="I66" s="174">
        <v>2.82</v>
      </c>
      <c r="J66" s="174">
        <v>1</v>
      </c>
      <c r="K66" s="174">
        <v>0.99</v>
      </c>
      <c r="L66" s="174">
        <v>1</v>
      </c>
      <c r="M66" s="380">
        <v>779</v>
      </c>
      <c r="N66" s="176">
        <v>5.0199999999999996</v>
      </c>
      <c r="O66" s="381">
        <v>5.0199999999999996</v>
      </c>
      <c r="P66" s="382"/>
      <c r="Q66" s="176"/>
      <c r="R66" s="176"/>
      <c r="S66" s="176"/>
      <c r="T66" s="383"/>
      <c r="U66" s="380">
        <v>779</v>
      </c>
      <c r="V66" s="371"/>
      <c r="W66" s="384"/>
      <c r="X66" s="178" t="s">
        <v>4580</v>
      </c>
      <c r="Y66" s="385"/>
      <c r="Z66" s="385"/>
      <c r="AA66" s="177">
        <v>44946</v>
      </c>
      <c r="AB66" s="177"/>
      <c r="AC66" s="177">
        <v>44947</v>
      </c>
      <c r="AD66" s="177"/>
      <c r="AE66" s="177"/>
      <c r="AF66" s="177">
        <v>44949</v>
      </c>
      <c r="AG66" s="177"/>
      <c r="AH66" s="177">
        <v>44950</v>
      </c>
      <c r="AI66" s="180"/>
      <c r="AJ66" s="173"/>
      <c r="AK66" s="173" t="s">
        <v>1605</v>
      </c>
      <c r="AL66" s="181" t="s">
        <v>69</v>
      </c>
      <c r="AM66" s="181" t="s">
        <v>142</v>
      </c>
      <c r="AN66" s="181" t="s">
        <v>1584</v>
      </c>
      <c r="AO66" s="181"/>
      <c r="AP66" s="181">
        <v>44914</v>
      </c>
      <c r="AQ66" s="173"/>
      <c r="AR66" s="181">
        <f t="shared" ca="1" si="1"/>
        <v>44958</v>
      </c>
      <c r="AS66" s="176">
        <f t="shared" ca="1" si="2"/>
        <v>44</v>
      </c>
      <c r="AT66" s="176" t="str">
        <f t="shared" ref="AT66:AT77" si="5">IF(ISNUMBER(AE66)=TRUE,AR66-AE66,IF(AE66="","",(AR66)-(MID(RIGHT(AE66,10),4,2)&amp;"/"&amp;LEFT((RIGHT(AE66,10)),2)&amp;"/"&amp;RIGHT(AE66,4))))</f>
        <v/>
      </c>
      <c r="AU66" s="176"/>
      <c r="AV66" s="176" t="s">
        <v>4107</v>
      </c>
      <c r="AW66" s="176">
        <v>9</v>
      </c>
      <c r="AX66" s="176">
        <v>9.01</v>
      </c>
      <c r="AY66" s="173">
        <v>9.0349999999999984</v>
      </c>
      <c r="AZ66" s="142">
        <v>9.0399999999999991</v>
      </c>
      <c r="BA66" s="142">
        <f t="shared" ref="BA66:BA81" ca="1" si="6">IF(ISNUMBER(AC66)=TRUE,AR66-AC66,IF(AC66="","",(AR66)-(MID(RIGHT(AC66,10),4,2)&amp;"/"&amp;LEFT((RIGHT(AC66,10)),2)&amp;"/"&amp;RIGHT(AC66,4))))</f>
        <v>11</v>
      </c>
      <c r="BB66" s="142">
        <v>462</v>
      </c>
      <c r="BD66" s="142" t="s">
        <v>123</v>
      </c>
    </row>
    <row r="67" spans="2:61" s="142" customFormat="1" ht="21" customHeight="1" x14ac:dyDescent="0.25">
      <c r="B67" s="173" t="str">
        <f t="shared" si="0"/>
        <v>0-304/2B-1.00X770</v>
      </c>
      <c r="C67" s="201" t="s">
        <v>5435</v>
      </c>
      <c r="D67" s="173" t="s">
        <v>4432</v>
      </c>
      <c r="E67" s="173" t="s">
        <v>2665</v>
      </c>
      <c r="F67" s="201" t="s">
        <v>5436</v>
      </c>
      <c r="G67" s="173">
        <v>304</v>
      </c>
      <c r="H67" s="173" t="s">
        <v>114</v>
      </c>
      <c r="I67" s="174">
        <v>2.89</v>
      </c>
      <c r="J67" s="174">
        <v>1</v>
      </c>
      <c r="K67" s="174">
        <v>0.99</v>
      </c>
      <c r="L67" s="174">
        <v>1.01</v>
      </c>
      <c r="M67" s="380">
        <v>770</v>
      </c>
      <c r="N67" s="349">
        <v>10.44</v>
      </c>
      <c r="O67" s="381">
        <f>2.83+2.6+2.605</f>
        <v>8.0350000000000001</v>
      </c>
      <c r="P67" s="382"/>
      <c r="Q67" s="176"/>
      <c r="R67" s="176"/>
      <c r="S67" s="176"/>
      <c r="T67" s="383"/>
      <c r="U67" s="380">
        <v>770</v>
      </c>
      <c r="V67" s="371" t="s">
        <v>114</v>
      </c>
      <c r="W67" s="384" t="s">
        <v>4890</v>
      </c>
      <c r="X67" s="178" t="s">
        <v>511</v>
      </c>
      <c r="Y67" s="385"/>
      <c r="Z67" s="385"/>
      <c r="AA67" s="177">
        <v>44944</v>
      </c>
      <c r="AB67" s="177"/>
      <c r="AC67" s="177">
        <v>44945</v>
      </c>
      <c r="AD67" s="177"/>
      <c r="AE67" s="177"/>
      <c r="AF67" s="177">
        <v>44949</v>
      </c>
      <c r="AG67" s="177"/>
      <c r="AH67" s="177"/>
      <c r="AI67" s="180"/>
      <c r="AJ67" s="173"/>
      <c r="AK67" s="173" t="s">
        <v>2448</v>
      </c>
      <c r="AL67" s="181" t="s">
        <v>69</v>
      </c>
      <c r="AM67" s="181" t="s">
        <v>142</v>
      </c>
      <c r="AN67" s="181" t="s">
        <v>1584</v>
      </c>
      <c r="AO67" s="181"/>
      <c r="AP67" s="181">
        <v>44914</v>
      </c>
      <c r="AQ67" s="173"/>
      <c r="AR67" s="181">
        <f t="shared" ca="1" si="1"/>
        <v>44958</v>
      </c>
      <c r="AS67" s="176">
        <f t="shared" ca="1" si="2"/>
        <v>44</v>
      </c>
      <c r="AT67" s="176" t="str">
        <f t="shared" si="5"/>
        <v/>
      </c>
      <c r="AU67" s="176"/>
      <c r="AV67" s="176" t="s">
        <v>2667</v>
      </c>
      <c r="AW67" s="176">
        <v>10.525</v>
      </c>
      <c r="AX67" s="176">
        <v>10.535</v>
      </c>
      <c r="AY67" s="173">
        <v>10.559999999999999</v>
      </c>
      <c r="AZ67" s="142">
        <v>10.565</v>
      </c>
      <c r="BA67" s="142">
        <f t="shared" ca="1" si="6"/>
        <v>13</v>
      </c>
      <c r="BB67" s="142">
        <v>462</v>
      </c>
      <c r="BD67" s="142" t="s">
        <v>123</v>
      </c>
    </row>
    <row r="68" spans="2:61" s="142" customFormat="1" ht="21" customHeight="1" x14ac:dyDescent="0.25">
      <c r="B68" s="173" t="str">
        <f t="shared" ref="B68:B77" si="7">IF(C68="HOLD RM","HOLD RM",IF(C68="BAL","WIP",IF(C68="HOLD SLT","HOLD SLT",IF(C68="MILL","RM",IF(C68="RE SLT","WIP",IF(C68="RM","RM",IF(C68="RM BAL","RM",IF(C68="RM SLT","RM",IF(C68="RR","WIP",IF(C68="SKP","WIP",IF(C68="SLT","WIP",IF(C68="CTL","WIP",IF(C68="RM SLT RUST","RM SLT RUST",0)))))))))))))&amp;"-"&amp;G68&amp;"/"&amp;IF(H68="2B","2B",IF(H68="NO.1","1D",IF(H68="FH","FH",0)))&amp;"-"&amp;IF(J68="",(TEXT(I68,"0.00")),TEXT(J68,"0.00"))&amp;"X"&amp;M68</f>
        <v>0-304/2B-1.00X770</v>
      </c>
      <c r="C68" s="201" t="s">
        <v>5437</v>
      </c>
      <c r="D68" s="173" t="s">
        <v>776</v>
      </c>
      <c r="E68" s="173" t="s">
        <v>2665</v>
      </c>
      <c r="F68" s="201" t="s">
        <v>2666</v>
      </c>
      <c r="G68" s="173">
        <v>304</v>
      </c>
      <c r="H68" s="173" t="s">
        <v>114</v>
      </c>
      <c r="I68" s="174">
        <v>2.89</v>
      </c>
      <c r="J68" s="174">
        <v>1</v>
      </c>
      <c r="K68" s="174">
        <v>0.99</v>
      </c>
      <c r="L68" s="174">
        <v>1.01</v>
      </c>
      <c r="M68" s="380">
        <v>770</v>
      </c>
      <c r="N68" s="350"/>
      <c r="O68" s="381">
        <v>2.4</v>
      </c>
      <c r="P68" s="382"/>
      <c r="Q68" s="176"/>
      <c r="R68" s="176"/>
      <c r="S68" s="176"/>
      <c r="T68" s="383"/>
      <c r="U68" s="380">
        <v>770</v>
      </c>
      <c r="V68" s="371" t="s">
        <v>114</v>
      </c>
      <c r="W68" s="384"/>
      <c r="X68" s="178" t="s">
        <v>511</v>
      </c>
      <c r="Y68" s="385"/>
      <c r="Z68" s="385"/>
      <c r="AA68" s="177">
        <v>44944</v>
      </c>
      <c r="AB68" s="177"/>
      <c r="AC68" s="177">
        <v>44945</v>
      </c>
      <c r="AD68" s="177"/>
      <c r="AE68" s="177"/>
      <c r="AF68" s="177">
        <v>44949</v>
      </c>
      <c r="AG68" s="177"/>
      <c r="AH68" s="177">
        <v>44951</v>
      </c>
      <c r="AI68" s="180"/>
      <c r="AJ68" s="173"/>
      <c r="AK68" s="173" t="s">
        <v>2448</v>
      </c>
      <c r="AL68" s="181" t="s">
        <v>69</v>
      </c>
      <c r="AM68" s="181" t="s">
        <v>142</v>
      </c>
      <c r="AN68" s="181" t="s">
        <v>1584</v>
      </c>
      <c r="AO68" s="181"/>
      <c r="AP68" s="181">
        <v>44914</v>
      </c>
      <c r="AQ68" s="173"/>
      <c r="AR68" s="181">
        <f t="shared" ref="AR68:AR77" ca="1" si="8">TODAY()</f>
        <v>44958</v>
      </c>
      <c r="AS68" s="176">
        <f t="shared" ref="AS68:AS77" ca="1" si="9">IF(AP68&lt;&gt;0,AR68-AP68,0)</f>
        <v>44</v>
      </c>
      <c r="AT68" s="176" t="str">
        <f t="shared" si="5"/>
        <v/>
      </c>
      <c r="AU68" s="176"/>
      <c r="AV68" s="176" t="s">
        <v>2667</v>
      </c>
      <c r="AW68" s="176">
        <v>10.525</v>
      </c>
      <c r="AX68" s="176">
        <v>10.535</v>
      </c>
      <c r="AY68" s="173">
        <v>10.559999999999999</v>
      </c>
      <c r="AZ68" s="142">
        <v>10.565</v>
      </c>
      <c r="BA68" s="142">
        <f t="shared" ca="1" si="6"/>
        <v>13</v>
      </c>
      <c r="BB68" s="142">
        <v>462</v>
      </c>
      <c r="BD68" s="142" t="s">
        <v>123</v>
      </c>
    </row>
    <row r="69" spans="2:61" s="142" customFormat="1" ht="21" customHeight="1" x14ac:dyDescent="0.25">
      <c r="B69" s="173" t="str">
        <f t="shared" si="7"/>
        <v>0-304L/2B-1.50X771</v>
      </c>
      <c r="C69" s="201" t="s">
        <v>5435</v>
      </c>
      <c r="D69" s="173" t="s">
        <v>4432</v>
      </c>
      <c r="E69" s="173" t="s">
        <v>2509</v>
      </c>
      <c r="F69" s="201" t="s">
        <v>5438</v>
      </c>
      <c r="G69" s="173" t="s">
        <v>182</v>
      </c>
      <c r="H69" s="173" t="s">
        <v>114</v>
      </c>
      <c r="I69" s="174">
        <v>3.49</v>
      </c>
      <c r="J69" s="174">
        <v>1.5</v>
      </c>
      <c r="K69" s="174">
        <v>1.48</v>
      </c>
      <c r="L69" s="174">
        <v>1.5</v>
      </c>
      <c r="M69" s="380">
        <v>771</v>
      </c>
      <c r="N69" s="176">
        <v>7.31</v>
      </c>
      <c r="O69" s="381">
        <f>3.695+3.605</f>
        <v>7.3</v>
      </c>
      <c r="P69" s="382"/>
      <c r="Q69" s="176"/>
      <c r="R69" s="176"/>
      <c r="S69" s="176"/>
      <c r="T69" s="383"/>
      <c r="U69" s="380">
        <v>760</v>
      </c>
      <c r="V69" s="371" t="s">
        <v>114</v>
      </c>
      <c r="W69" s="384" t="s">
        <v>4654</v>
      </c>
      <c r="X69" s="178" t="s">
        <v>1344</v>
      </c>
      <c r="Y69" s="385"/>
      <c r="Z69" s="385"/>
      <c r="AA69" s="177">
        <v>44921</v>
      </c>
      <c r="AB69" s="177"/>
      <c r="AC69" s="177">
        <v>44922</v>
      </c>
      <c r="AD69" s="177"/>
      <c r="AE69" s="177">
        <v>44948</v>
      </c>
      <c r="AF69" s="177"/>
      <c r="AG69" s="177"/>
      <c r="AH69" s="177"/>
      <c r="AI69" s="180"/>
      <c r="AJ69" s="173"/>
      <c r="AK69" s="173" t="s">
        <v>2470</v>
      </c>
      <c r="AL69" s="181" t="s">
        <v>69</v>
      </c>
      <c r="AM69" s="181" t="s">
        <v>142</v>
      </c>
      <c r="AN69" s="181" t="s">
        <v>1584</v>
      </c>
      <c r="AO69" s="181"/>
      <c r="AP69" s="181">
        <v>44914</v>
      </c>
      <c r="AQ69" s="173"/>
      <c r="AR69" s="181">
        <f t="shared" ca="1" si="8"/>
        <v>44958</v>
      </c>
      <c r="AS69" s="176">
        <f t="shared" ca="1" si="9"/>
        <v>44</v>
      </c>
      <c r="AT69" s="176">
        <f t="shared" ca="1" si="5"/>
        <v>10</v>
      </c>
      <c r="AU69" s="176"/>
      <c r="AV69" s="176" t="s">
        <v>2511</v>
      </c>
      <c r="AW69" s="176">
        <v>10.45</v>
      </c>
      <c r="AX69" s="176">
        <v>10.46</v>
      </c>
      <c r="AY69" s="173">
        <v>10.484999999999999</v>
      </c>
      <c r="AZ69" s="142">
        <v>10.49</v>
      </c>
      <c r="BA69" s="142">
        <f t="shared" ca="1" si="6"/>
        <v>36</v>
      </c>
      <c r="BB69" s="142">
        <v>462</v>
      </c>
      <c r="BD69" s="142" t="s">
        <v>123</v>
      </c>
    </row>
    <row r="70" spans="2:61" s="142" customFormat="1" ht="21" customHeight="1" x14ac:dyDescent="0.25">
      <c r="B70" s="173" t="str">
        <f t="shared" si="7"/>
        <v>0-304/2B-0.90X769</v>
      </c>
      <c r="C70" s="201" t="s">
        <v>5435</v>
      </c>
      <c r="D70" s="173" t="s">
        <v>4432</v>
      </c>
      <c r="E70" s="173" t="s">
        <v>3895</v>
      </c>
      <c r="F70" s="201" t="s">
        <v>5439</v>
      </c>
      <c r="G70" s="173">
        <v>304</v>
      </c>
      <c r="H70" s="173" t="s">
        <v>114</v>
      </c>
      <c r="I70" s="174">
        <v>2.89</v>
      </c>
      <c r="J70" s="174">
        <v>0.9</v>
      </c>
      <c r="K70" s="174"/>
      <c r="L70" s="174"/>
      <c r="M70" s="380">
        <v>769</v>
      </c>
      <c r="N70" s="349">
        <v>10.48</v>
      </c>
      <c r="O70" s="381">
        <v>4.58</v>
      </c>
      <c r="P70" s="382"/>
      <c r="Q70" s="176"/>
      <c r="R70" s="176"/>
      <c r="S70" s="176"/>
      <c r="T70" s="383"/>
      <c r="U70" s="380">
        <v>760</v>
      </c>
      <c r="V70" s="371" t="s">
        <v>114</v>
      </c>
      <c r="W70" s="384" t="s">
        <v>4926</v>
      </c>
      <c r="X70" s="178" t="s">
        <v>1540</v>
      </c>
      <c r="Y70" s="385"/>
      <c r="Z70" s="385"/>
      <c r="AA70" s="177">
        <v>44930</v>
      </c>
      <c r="AB70" s="177"/>
      <c r="AC70" s="177">
        <v>44931</v>
      </c>
      <c r="AD70" s="177"/>
      <c r="AE70" s="177"/>
      <c r="AF70" s="177">
        <v>44947</v>
      </c>
      <c r="AG70" s="177"/>
      <c r="AH70" s="177">
        <v>44926</v>
      </c>
      <c r="AI70" s="180"/>
      <c r="AJ70" s="173"/>
      <c r="AK70" s="173" t="s">
        <v>1345</v>
      </c>
      <c r="AL70" s="181" t="s">
        <v>69</v>
      </c>
      <c r="AM70" s="181" t="s">
        <v>142</v>
      </c>
      <c r="AN70" s="181" t="s">
        <v>1508</v>
      </c>
      <c r="AO70" s="181"/>
      <c r="AP70" s="181">
        <v>44849</v>
      </c>
      <c r="AQ70" s="173"/>
      <c r="AR70" s="181">
        <f t="shared" ca="1" si="8"/>
        <v>44958</v>
      </c>
      <c r="AS70" s="176">
        <f t="shared" ca="1" si="9"/>
        <v>109</v>
      </c>
      <c r="AT70" s="176" t="str">
        <f t="shared" si="5"/>
        <v/>
      </c>
      <c r="AU70" s="176"/>
      <c r="AV70" s="176" t="s">
        <v>3897</v>
      </c>
      <c r="AW70" s="176">
        <v>20.984999999999999</v>
      </c>
      <c r="AX70" s="176">
        <v>21.045000000000002</v>
      </c>
      <c r="AY70" s="173">
        <v>21.070000000000004</v>
      </c>
      <c r="AZ70" s="142">
        <v>21.075000000000003</v>
      </c>
      <c r="BA70" s="142">
        <f t="shared" ca="1" si="6"/>
        <v>27</v>
      </c>
      <c r="BB70" s="142">
        <v>456</v>
      </c>
      <c r="BD70" s="142" t="s">
        <v>123</v>
      </c>
    </row>
    <row r="71" spans="2:61" s="142" customFormat="1" ht="21" customHeight="1" x14ac:dyDescent="0.25">
      <c r="B71" s="173" t="str">
        <f t="shared" si="7"/>
        <v>0-304/2B-0.90X769</v>
      </c>
      <c r="C71" s="201" t="s">
        <v>5440</v>
      </c>
      <c r="D71" s="173" t="s">
        <v>836</v>
      </c>
      <c r="E71" s="173" t="s">
        <v>3895</v>
      </c>
      <c r="F71" s="201" t="s">
        <v>5328</v>
      </c>
      <c r="G71" s="173">
        <v>304</v>
      </c>
      <c r="H71" s="173" t="s">
        <v>114</v>
      </c>
      <c r="I71" s="174">
        <v>2.89</v>
      </c>
      <c r="J71" s="174">
        <v>0.9</v>
      </c>
      <c r="K71" s="174"/>
      <c r="L71" s="174"/>
      <c r="M71" s="380">
        <v>769</v>
      </c>
      <c r="N71" s="350"/>
      <c r="O71" s="381">
        <v>5.89</v>
      </c>
      <c r="P71" s="382"/>
      <c r="Q71" s="176"/>
      <c r="R71" s="176"/>
      <c r="S71" s="176"/>
      <c r="T71" s="383"/>
      <c r="U71" s="380">
        <v>769</v>
      </c>
      <c r="V71" s="371" t="s">
        <v>114</v>
      </c>
      <c r="W71" s="384"/>
      <c r="X71" s="178" t="s">
        <v>1540</v>
      </c>
      <c r="Y71" s="385"/>
      <c r="Z71" s="385"/>
      <c r="AA71" s="177">
        <v>44930</v>
      </c>
      <c r="AB71" s="177"/>
      <c r="AC71" s="177">
        <v>44931</v>
      </c>
      <c r="AD71" s="177"/>
      <c r="AE71" s="177"/>
      <c r="AF71" s="177">
        <v>44947</v>
      </c>
      <c r="AG71" s="177"/>
      <c r="AH71" s="177" t="s">
        <v>5329</v>
      </c>
      <c r="AI71" s="180"/>
      <c r="AJ71" s="173"/>
      <c r="AK71" s="173" t="s">
        <v>1345</v>
      </c>
      <c r="AL71" s="181" t="s">
        <v>69</v>
      </c>
      <c r="AM71" s="181" t="s">
        <v>142</v>
      </c>
      <c r="AN71" s="181" t="s">
        <v>1508</v>
      </c>
      <c r="AO71" s="181"/>
      <c r="AP71" s="181">
        <v>44849</v>
      </c>
      <c r="AQ71" s="173"/>
      <c r="AR71" s="181">
        <f t="shared" ca="1" si="8"/>
        <v>44958</v>
      </c>
      <c r="AS71" s="176">
        <f t="shared" ca="1" si="9"/>
        <v>109</v>
      </c>
      <c r="AT71" s="176" t="str">
        <f t="shared" si="5"/>
        <v/>
      </c>
      <c r="AU71" s="176"/>
      <c r="AV71" s="176" t="s">
        <v>3897</v>
      </c>
      <c r="AW71" s="176">
        <v>20.984999999999999</v>
      </c>
      <c r="AX71" s="176">
        <v>21.045000000000002</v>
      </c>
      <c r="AY71" s="173">
        <v>21.070000000000004</v>
      </c>
      <c r="AZ71" s="142">
        <v>21.075000000000003</v>
      </c>
      <c r="BA71" s="142">
        <f t="shared" ca="1" si="6"/>
        <v>27</v>
      </c>
      <c r="BB71" s="142">
        <v>456</v>
      </c>
      <c r="BD71" s="142" t="s">
        <v>123</v>
      </c>
    </row>
    <row r="72" spans="2:61" s="142" customFormat="1" ht="21" customHeight="1" x14ac:dyDescent="0.25">
      <c r="B72" s="173" t="str">
        <f t="shared" si="7"/>
        <v>0-304L/2B-0.80X770</v>
      </c>
      <c r="C72" s="201" t="s">
        <v>5441</v>
      </c>
      <c r="D72" s="173" t="s">
        <v>4432</v>
      </c>
      <c r="E72" s="173" t="s">
        <v>4168</v>
      </c>
      <c r="F72" s="201" t="s">
        <v>5442</v>
      </c>
      <c r="G72" s="173" t="s">
        <v>182</v>
      </c>
      <c r="H72" s="173" t="s">
        <v>114</v>
      </c>
      <c r="I72" s="174">
        <v>2.8</v>
      </c>
      <c r="J72" s="174">
        <v>0.8</v>
      </c>
      <c r="K72" s="174">
        <v>0.75</v>
      </c>
      <c r="L72" s="174">
        <v>0.78</v>
      </c>
      <c r="M72" s="380">
        <v>770</v>
      </c>
      <c r="N72" s="349">
        <v>5.08</v>
      </c>
      <c r="O72" s="381">
        <v>2.5550000000000002</v>
      </c>
      <c r="P72" s="382"/>
      <c r="Q72" s="176"/>
      <c r="R72" s="176"/>
      <c r="S72" s="176"/>
      <c r="T72" s="383"/>
      <c r="U72" s="380">
        <v>765</v>
      </c>
      <c r="V72" s="371" t="s">
        <v>114</v>
      </c>
      <c r="W72" s="384" t="s">
        <v>4890</v>
      </c>
      <c r="X72" s="178" t="s">
        <v>511</v>
      </c>
      <c r="Y72" s="385"/>
      <c r="Z72" s="385"/>
      <c r="AA72" s="177">
        <v>44945</v>
      </c>
      <c r="AB72" s="177"/>
      <c r="AC72" s="177">
        <v>44946</v>
      </c>
      <c r="AD72" s="177"/>
      <c r="AE72" s="177"/>
      <c r="AF72" s="177">
        <v>44949</v>
      </c>
      <c r="AG72" s="177"/>
      <c r="AH72" s="177"/>
      <c r="AI72" s="180"/>
      <c r="AJ72" s="173"/>
      <c r="AK72" s="173" t="s">
        <v>1507</v>
      </c>
      <c r="AL72" s="181" t="s">
        <v>69</v>
      </c>
      <c r="AM72" s="181" t="s">
        <v>142</v>
      </c>
      <c r="AN72" s="181" t="s">
        <v>1584</v>
      </c>
      <c r="AO72" s="181"/>
      <c r="AP72" s="181">
        <v>44914</v>
      </c>
      <c r="AQ72" s="173"/>
      <c r="AR72" s="181">
        <f t="shared" ca="1" si="8"/>
        <v>44958</v>
      </c>
      <c r="AS72" s="176">
        <f t="shared" ca="1" si="9"/>
        <v>44</v>
      </c>
      <c r="AT72" s="176" t="str">
        <f t="shared" si="5"/>
        <v/>
      </c>
      <c r="AU72" s="176"/>
      <c r="AV72" s="176" t="s">
        <v>4001</v>
      </c>
      <c r="AW72" s="176">
        <v>10.535</v>
      </c>
      <c r="AX72" s="176">
        <v>10.545</v>
      </c>
      <c r="AY72" s="173">
        <v>10.569999999999999</v>
      </c>
      <c r="AZ72" s="142">
        <v>10.574999999999999</v>
      </c>
      <c r="BA72" s="142">
        <f t="shared" ca="1" si="6"/>
        <v>12</v>
      </c>
      <c r="BB72" s="142">
        <v>462</v>
      </c>
      <c r="BD72" s="142" t="s">
        <v>123</v>
      </c>
    </row>
    <row r="73" spans="2:61" s="142" customFormat="1" ht="21" customHeight="1" x14ac:dyDescent="0.25">
      <c r="B73" s="173" t="str">
        <f t="shared" si="7"/>
        <v>0-304L/2B-0.80X770</v>
      </c>
      <c r="C73" s="201" t="s">
        <v>5443</v>
      </c>
      <c r="D73" s="173" t="s">
        <v>836</v>
      </c>
      <c r="E73" s="173" t="s">
        <v>4168</v>
      </c>
      <c r="F73" s="201" t="s">
        <v>5444</v>
      </c>
      <c r="G73" s="173" t="s">
        <v>182</v>
      </c>
      <c r="H73" s="173" t="s">
        <v>114</v>
      </c>
      <c r="I73" s="174">
        <v>2.8</v>
      </c>
      <c r="J73" s="174">
        <v>0.8</v>
      </c>
      <c r="K73" s="174">
        <v>0.75</v>
      </c>
      <c r="L73" s="174">
        <v>0.78</v>
      </c>
      <c r="M73" s="380">
        <v>770</v>
      </c>
      <c r="N73" s="350"/>
      <c r="O73" s="381">
        <v>2.5249999999999999</v>
      </c>
      <c r="P73" s="382"/>
      <c r="Q73" s="176"/>
      <c r="R73" s="176"/>
      <c r="S73" s="176"/>
      <c r="T73" s="383"/>
      <c r="U73" s="380">
        <v>770</v>
      </c>
      <c r="V73" s="371" t="s">
        <v>114</v>
      </c>
      <c r="W73" s="384"/>
      <c r="X73" s="178" t="s">
        <v>511</v>
      </c>
      <c r="Y73" s="385"/>
      <c r="Z73" s="385"/>
      <c r="AA73" s="177">
        <v>44945</v>
      </c>
      <c r="AB73" s="177"/>
      <c r="AC73" s="177">
        <v>44946</v>
      </c>
      <c r="AD73" s="177"/>
      <c r="AE73" s="177"/>
      <c r="AF73" s="177">
        <v>44949</v>
      </c>
      <c r="AG73" s="177"/>
      <c r="AH73" s="177"/>
      <c r="AI73" s="180"/>
      <c r="AJ73" s="173"/>
      <c r="AK73" s="173" t="s">
        <v>1507</v>
      </c>
      <c r="AL73" s="181" t="s">
        <v>69</v>
      </c>
      <c r="AM73" s="181" t="s">
        <v>142</v>
      </c>
      <c r="AN73" s="181" t="s">
        <v>1584</v>
      </c>
      <c r="AO73" s="181"/>
      <c r="AP73" s="181">
        <v>44914</v>
      </c>
      <c r="AQ73" s="173"/>
      <c r="AR73" s="181">
        <f t="shared" ca="1" si="8"/>
        <v>44958</v>
      </c>
      <c r="AS73" s="176">
        <f t="shared" ca="1" si="9"/>
        <v>44</v>
      </c>
      <c r="AT73" s="176" t="str">
        <f t="shared" si="5"/>
        <v/>
      </c>
      <c r="AU73" s="176"/>
      <c r="AV73" s="176" t="s">
        <v>4001</v>
      </c>
      <c r="AW73" s="176">
        <v>10.535</v>
      </c>
      <c r="AX73" s="176">
        <v>10.545</v>
      </c>
      <c r="AY73" s="173">
        <v>10.569999999999999</v>
      </c>
      <c r="AZ73" s="142">
        <v>10.574999999999999</v>
      </c>
      <c r="BA73" s="142">
        <f t="shared" ca="1" si="6"/>
        <v>12</v>
      </c>
      <c r="BB73" s="142">
        <v>462</v>
      </c>
      <c r="BD73" s="142" t="s">
        <v>123</v>
      </c>
    </row>
    <row r="74" spans="2:61" s="142" customFormat="1" ht="21" customHeight="1" x14ac:dyDescent="0.25">
      <c r="B74" s="173" t="str">
        <f t="shared" si="7"/>
        <v>0-304/2B-1.00X769</v>
      </c>
      <c r="C74" s="201" t="s">
        <v>5441</v>
      </c>
      <c r="D74" s="173" t="s">
        <v>4432</v>
      </c>
      <c r="E74" s="173" t="s">
        <v>4138</v>
      </c>
      <c r="F74" s="201" t="s">
        <v>5445</v>
      </c>
      <c r="G74" s="173">
        <v>304</v>
      </c>
      <c r="H74" s="173" t="s">
        <v>114</v>
      </c>
      <c r="I74" s="174">
        <v>2.9</v>
      </c>
      <c r="J74" s="174">
        <v>1</v>
      </c>
      <c r="K74" s="174">
        <v>0.97</v>
      </c>
      <c r="L74" s="174">
        <v>0.98</v>
      </c>
      <c r="M74" s="380">
        <v>769</v>
      </c>
      <c r="N74" s="176">
        <v>2.625</v>
      </c>
      <c r="O74" s="381">
        <v>2.5550000000000002</v>
      </c>
      <c r="P74" s="382"/>
      <c r="Q74" s="176">
        <v>7.0000000000000007E-2</v>
      </c>
      <c r="R74" s="176"/>
      <c r="S74" s="176"/>
      <c r="T74" s="383"/>
      <c r="U74" s="380">
        <v>765</v>
      </c>
      <c r="V74" s="371" t="s">
        <v>114</v>
      </c>
      <c r="W74" s="384" t="s">
        <v>4890</v>
      </c>
      <c r="X74" s="178" t="s">
        <v>511</v>
      </c>
      <c r="Y74" s="385"/>
      <c r="Z74" s="385"/>
      <c r="AA74" s="177">
        <v>44944</v>
      </c>
      <c r="AB74" s="177"/>
      <c r="AC74" s="177">
        <v>44944</v>
      </c>
      <c r="AD74" s="177"/>
      <c r="AE74" s="177"/>
      <c r="AF74" s="177">
        <v>44949</v>
      </c>
      <c r="AG74" s="177"/>
      <c r="AH74" s="177"/>
      <c r="AI74" s="180"/>
      <c r="AJ74" s="173"/>
      <c r="AK74" s="173" t="s">
        <v>2448</v>
      </c>
      <c r="AL74" s="181" t="s">
        <v>69</v>
      </c>
      <c r="AM74" s="181" t="s">
        <v>142</v>
      </c>
      <c r="AN74" s="181" t="s">
        <v>1584</v>
      </c>
      <c r="AO74" s="181"/>
      <c r="AP74" s="181">
        <v>44914</v>
      </c>
      <c r="AQ74" s="173"/>
      <c r="AR74" s="181">
        <f t="shared" ca="1" si="8"/>
        <v>44958</v>
      </c>
      <c r="AS74" s="176">
        <f t="shared" ca="1" si="9"/>
        <v>44</v>
      </c>
      <c r="AT74" s="176" t="str">
        <f t="shared" si="5"/>
        <v/>
      </c>
      <c r="AU74" s="176"/>
      <c r="AV74" s="176" t="s">
        <v>4140</v>
      </c>
      <c r="AW74" s="176">
        <v>10.545</v>
      </c>
      <c r="AX74" s="176">
        <v>10.555</v>
      </c>
      <c r="AY74" s="173">
        <v>10.579999999999998</v>
      </c>
      <c r="AZ74" s="142">
        <v>10.584999999999999</v>
      </c>
      <c r="BA74" s="142">
        <f t="shared" ca="1" si="6"/>
        <v>14</v>
      </c>
      <c r="BB74" s="142">
        <v>462</v>
      </c>
      <c r="BD74" s="142" t="s">
        <v>123</v>
      </c>
    </row>
    <row r="75" spans="2:61" s="142" customFormat="1" ht="21" customHeight="1" x14ac:dyDescent="0.25">
      <c r="B75" s="173" t="str">
        <f t="shared" si="7"/>
        <v>0-304L/2B-0.80X770</v>
      </c>
      <c r="C75" s="201" t="s">
        <v>5446</v>
      </c>
      <c r="D75" s="173" t="s">
        <v>4432</v>
      </c>
      <c r="E75" s="173" t="s">
        <v>4168</v>
      </c>
      <c r="F75" s="201" t="s">
        <v>5444</v>
      </c>
      <c r="G75" s="173" t="s">
        <v>182</v>
      </c>
      <c r="H75" s="173" t="s">
        <v>114</v>
      </c>
      <c r="I75" s="174">
        <v>2.8</v>
      </c>
      <c r="J75" s="174">
        <v>0.8</v>
      </c>
      <c r="K75" s="174">
        <v>0.75</v>
      </c>
      <c r="L75" s="174">
        <v>0.78</v>
      </c>
      <c r="M75" s="380">
        <v>770</v>
      </c>
      <c r="N75" s="176">
        <v>2.5249999999999999</v>
      </c>
      <c r="O75" s="381">
        <v>2.4849999999999999</v>
      </c>
      <c r="P75" s="382"/>
      <c r="Q75" s="176">
        <v>0.04</v>
      </c>
      <c r="R75" s="176"/>
      <c r="S75" s="176"/>
      <c r="T75" s="383"/>
      <c r="U75" s="380">
        <v>765</v>
      </c>
      <c r="V75" s="371" t="s">
        <v>114</v>
      </c>
      <c r="W75" s="384" t="s">
        <v>4890</v>
      </c>
      <c r="X75" s="178" t="s">
        <v>511</v>
      </c>
      <c r="Y75" s="385"/>
      <c r="Z75" s="385"/>
      <c r="AA75" s="177">
        <v>44945</v>
      </c>
      <c r="AB75" s="177"/>
      <c r="AC75" s="177">
        <v>44946</v>
      </c>
      <c r="AD75" s="177"/>
      <c r="AE75" s="177"/>
      <c r="AF75" s="177">
        <v>44949</v>
      </c>
      <c r="AG75" s="177"/>
      <c r="AH75" s="177"/>
      <c r="AI75" s="180"/>
      <c r="AJ75" s="173"/>
      <c r="AK75" s="173" t="s">
        <v>1507</v>
      </c>
      <c r="AL75" s="181" t="s">
        <v>69</v>
      </c>
      <c r="AM75" s="181" t="s">
        <v>142</v>
      </c>
      <c r="AN75" s="181" t="s">
        <v>1584</v>
      </c>
      <c r="AO75" s="181"/>
      <c r="AP75" s="181">
        <v>44914</v>
      </c>
      <c r="AQ75" s="173"/>
      <c r="AR75" s="181">
        <f t="shared" ca="1" si="8"/>
        <v>44958</v>
      </c>
      <c r="AS75" s="176">
        <f t="shared" ca="1" si="9"/>
        <v>44</v>
      </c>
      <c r="AT75" s="176" t="str">
        <f t="shared" si="5"/>
        <v/>
      </c>
      <c r="AU75" s="176"/>
      <c r="AV75" s="176" t="s">
        <v>4001</v>
      </c>
      <c r="AW75" s="176">
        <v>10.535</v>
      </c>
      <c r="AX75" s="176">
        <v>10.545</v>
      </c>
      <c r="AY75" s="173">
        <v>10.569999999999999</v>
      </c>
      <c r="AZ75" s="142">
        <v>10.574999999999999</v>
      </c>
      <c r="BA75" s="142">
        <f t="shared" ca="1" si="6"/>
        <v>12</v>
      </c>
      <c r="BB75" s="142">
        <v>462</v>
      </c>
      <c r="BD75" s="142" t="s">
        <v>123</v>
      </c>
    </row>
    <row r="76" spans="2:61" s="142" customFormat="1" ht="21" customHeight="1" x14ac:dyDescent="0.25">
      <c r="B76" s="173" t="str">
        <f t="shared" si="7"/>
        <v>0-304L/2B-1.15X643</v>
      </c>
      <c r="C76" s="201" t="s">
        <v>5447</v>
      </c>
      <c r="D76" s="173" t="s">
        <v>4432</v>
      </c>
      <c r="E76" s="173" t="s">
        <v>4127</v>
      </c>
      <c r="F76" s="201" t="s">
        <v>5448</v>
      </c>
      <c r="G76" s="173" t="s">
        <v>182</v>
      </c>
      <c r="H76" s="173" t="s">
        <v>114</v>
      </c>
      <c r="I76" s="174">
        <v>3.11</v>
      </c>
      <c r="J76" s="174">
        <v>1.1499999999999999</v>
      </c>
      <c r="K76" s="174">
        <v>1.1200000000000001</v>
      </c>
      <c r="L76" s="174">
        <v>1.1299999999999999</v>
      </c>
      <c r="M76" s="380">
        <v>643</v>
      </c>
      <c r="N76" s="176">
        <v>10.525</v>
      </c>
      <c r="O76" s="381">
        <f>5.27+5.29</f>
        <v>10.559999999999999</v>
      </c>
      <c r="P76" s="382"/>
      <c r="Q76" s="176"/>
      <c r="R76" s="176"/>
      <c r="S76" s="176"/>
      <c r="T76" s="383"/>
      <c r="U76" s="380">
        <v>635</v>
      </c>
      <c r="V76" s="371" t="s">
        <v>114</v>
      </c>
      <c r="W76" s="384" t="s">
        <v>4915</v>
      </c>
      <c r="X76" s="178" t="s">
        <v>1210</v>
      </c>
      <c r="Y76" s="385" t="s">
        <v>1592</v>
      </c>
      <c r="Z76" s="385"/>
      <c r="AA76" s="177">
        <v>44943</v>
      </c>
      <c r="AB76" s="177">
        <v>44944</v>
      </c>
      <c r="AC76" s="177"/>
      <c r="AD76" s="177">
        <v>44944</v>
      </c>
      <c r="AE76" s="177">
        <v>44952</v>
      </c>
      <c r="AF76" s="177"/>
      <c r="AG76" s="177"/>
      <c r="AH76" s="177"/>
      <c r="AI76" s="180"/>
      <c r="AJ76" s="173"/>
      <c r="AK76" s="173" t="s">
        <v>2448</v>
      </c>
      <c r="AL76" s="181" t="s">
        <v>69</v>
      </c>
      <c r="AM76" s="181" t="s">
        <v>142</v>
      </c>
      <c r="AN76" s="181" t="s">
        <v>1657</v>
      </c>
      <c r="AO76" s="181"/>
      <c r="AP76" s="181">
        <v>44849</v>
      </c>
      <c r="AQ76" s="173"/>
      <c r="AR76" s="181">
        <f t="shared" ca="1" si="8"/>
        <v>44958</v>
      </c>
      <c r="AS76" s="176">
        <f t="shared" ca="1" si="9"/>
        <v>109</v>
      </c>
      <c r="AT76" s="176">
        <f t="shared" ca="1" si="5"/>
        <v>6</v>
      </c>
      <c r="AU76" s="176"/>
      <c r="AV76" s="176" t="s">
        <v>4129</v>
      </c>
      <c r="AW76" s="176">
        <v>10.605</v>
      </c>
      <c r="AX76" s="176">
        <v>10.615</v>
      </c>
      <c r="AY76" s="173">
        <v>10.639999999999999</v>
      </c>
      <c r="AZ76" s="142">
        <v>10.645</v>
      </c>
      <c r="BA76" s="142" t="str">
        <f t="shared" si="6"/>
        <v/>
      </c>
      <c r="BB76" s="142">
        <v>456</v>
      </c>
      <c r="BD76" s="142" t="s">
        <v>123</v>
      </c>
    </row>
    <row r="77" spans="2:61" s="142" customFormat="1" ht="21" customHeight="1" x14ac:dyDescent="0.25">
      <c r="B77" s="173" t="str">
        <f t="shared" si="7"/>
        <v>0-304/2B-1.15X770</v>
      </c>
      <c r="C77" s="201" t="s">
        <v>5447</v>
      </c>
      <c r="D77" s="173" t="s">
        <v>4432</v>
      </c>
      <c r="E77" s="173" t="s">
        <v>2545</v>
      </c>
      <c r="F77" s="201" t="s">
        <v>5449</v>
      </c>
      <c r="G77" s="173">
        <v>304</v>
      </c>
      <c r="H77" s="173" t="s">
        <v>114</v>
      </c>
      <c r="I77" s="174">
        <v>3.39</v>
      </c>
      <c r="J77" s="174">
        <v>1.1499999999999999</v>
      </c>
      <c r="K77" s="174">
        <v>1.1299999999999999</v>
      </c>
      <c r="L77" s="174">
        <v>1.1499999999999999</v>
      </c>
      <c r="M77" s="380">
        <v>770</v>
      </c>
      <c r="N77" s="176">
        <v>4.4749999999999996</v>
      </c>
      <c r="O77" s="381">
        <v>4.3949999999999996</v>
      </c>
      <c r="P77" s="382"/>
      <c r="Q77" s="176"/>
      <c r="R77" s="176"/>
      <c r="S77" s="176"/>
      <c r="T77" s="383"/>
      <c r="U77" s="380">
        <v>760</v>
      </c>
      <c r="V77" s="371" t="s">
        <v>114</v>
      </c>
      <c r="W77" s="384" t="s">
        <v>4926</v>
      </c>
      <c r="X77" s="178" t="s">
        <v>1210</v>
      </c>
      <c r="Y77" s="385"/>
      <c r="Z77" s="385" t="s">
        <v>2547</v>
      </c>
      <c r="AA77" s="177">
        <v>44935</v>
      </c>
      <c r="AB77" s="177"/>
      <c r="AC77" s="177">
        <v>44935</v>
      </c>
      <c r="AD77" s="177"/>
      <c r="AE77" s="177"/>
      <c r="AF77" s="177">
        <v>44952</v>
      </c>
      <c r="AG77" s="177"/>
      <c r="AH77" s="177"/>
      <c r="AI77" s="180"/>
      <c r="AJ77" s="173"/>
      <c r="AK77" s="173" t="s">
        <v>1507</v>
      </c>
      <c r="AL77" s="181" t="s">
        <v>69</v>
      </c>
      <c r="AM77" s="181" t="s">
        <v>142</v>
      </c>
      <c r="AN77" s="181" t="s">
        <v>1584</v>
      </c>
      <c r="AO77" s="181"/>
      <c r="AP77" s="181">
        <v>44914</v>
      </c>
      <c r="AQ77" s="173"/>
      <c r="AR77" s="181">
        <f t="shared" ca="1" si="8"/>
        <v>44958</v>
      </c>
      <c r="AS77" s="176">
        <f t="shared" ca="1" si="9"/>
        <v>44</v>
      </c>
      <c r="AT77" s="176" t="str">
        <f t="shared" si="5"/>
        <v/>
      </c>
      <c r="AU77" s="176"/>
      <c r="AV77" s="176" t="s">
        <v>2548</v>
      </c>
      <c r="AW77" s="176">
        <v>10.555</v>
      </c>
      <c r="AX77" s="176">
        <v>10.565</v>
      </c>
      <c r="AY77" s="173">
        <v>10.589999999999998</v>
      </c>
      <c r="AZ77" s="142">
        <v>10.594999999999999</v>
      </c>
      <c r="BA77" s="142">
        <f t="shared" ca="1" si="6"/>
        <v>23</v>
      </c>
      <c r="BB77" s="142">
        <v>462</v>
      </c>
      <c r="BD77" s="142" t="s">
        <v>123</v>
      </c>
    </row>
    <row r="78" spans="2:61" s="142" customFormat="1" ht="21" customHeight="1" x14ac:dyDescent="0.25">
      <c r="B78" s="173" t="str">
        <f>IF(C78="HOLD RM","HOLD RM",IF(C78="BAL","WIP",IF(C78="HOLD SLT","HOLD SLT",IF(C78="MILL","RM",IF(C78="RE SLT","WIP",IF(C78="RM","RM",IF(C78="RM BAL","RM",IF(C78="RM SLT","RM",IF(C78="RR","WIP",IF(C78="SKP","WIP",IF(C78="SLT","WIP",IF(C78="CTL","WIP",IF(C78="RM SLT RUST","RM SLT RUST",0)))))))))))))&amp;"-"&amp;G78&amp;"/"&amp;IF(H78="2B","2B",IF(H78="NO.1","1D",IF(H78="FH","FH",0)))&amp;"-"&amp;IF(J78="",(TEXT(I78,"0.00")),TEXT(J78,"0.00"))&amp;"X"&amp;M78</f>
        <v>0-304L/2B-1.50X767</v>
      </c>
      <c r="C78" s="201" t="s">
        <v>5450</v>
      </c>
      <c r="D78" s="173" t="s">
        <v>5026</v>
      </c>
      <c r="E78" s="173" t="s">
        <v>4042</v>
      </c>
      <c r="F78" s="201" t="s">
        <v>5451</v>
      </c>
      <c r="G78" s="173" t="s">
        <v>182</v>
      </c>
      <c r="H78" s="173" t="s">
        <v>114</v>
      </c>
      <c r="I78" s="174">
        <v>3.79</v>
      </c>
      <c r="J78" s="174">
        <v>1.5</v>
      </c>
      <c r="K78" s="174">
        <v>1.47</v>
      </c>
      <c r="L78" s="174">
        <v>1.49</v>
      </c>
      <c r="M78" s="380">
        <v>767</v>
      </c>
      <c r="N78" s="349">
        <f>12.18-5.67</f>
        <v>6.51</v>
      </c>
      <c r="O78" s="381">
        <v>1.105</v>
      </c>
      <c r="P78" s="382"/>
      <c r="Q78" s="176"/>
      <c r="R78" s="176"/>
      <c r="S78" s="176"/>
      <c r="T78" s="383"/>
      <c r="U78" s="380">
        <v>760</v>
      </c>
      <c r="V78" s="371" t="s">
        <v>114</v>
      </c>
      <c r="W78" s="384"/>
      <c r="X78" s="178" t="s">
        <v>390</v>
      </c>
      <c r="Y78" s="385" t="s">
        <v>1513</v>
      </c>
      <c r="Z78" s="385"/>
      <c r="AA78" s="177">
        <v>44937</v>
      </c>
      <c r="AB78" s="177"/>
      <c r="AC78" s="177">
        <v>44937</v>
      </c>
      <c r="AD78" s="177"/>
      <c r="AE78" s="177">
        <v>44950</v>
      </c>
      <c r="AF78" s="177"/>
      <c r="AG78" s="177"/>
      <c r="AH78" s="177">
        <v>44933</v>
      </c>
      <c r="AI78" s="180"/>
      <c r="AJ78" s="173"/>
      <c r="AK78" s="173" t="s">
        <v>1507</v>
      </c>
      <c r="AL78" s="181" t="s">
        <v>69</v>
      </c>
      <c r="AM78" s="181" t="s">
        <v>142</v>
      </c>
      <c r="AN78" s="181" t="s">
        <v>1508</v>
      </c>
      <c r="AO78" s="181"/>
      <c r="AP78" s="181">
        <v>44849</v>
      </c>
      <c r="AQ78" s="173"/>
      <c r="AR78" s="181">
        <f ca="1">TODAY()</f>
        <v>44958</v>
      </c>
      <c r="AS78" s="176">
        <f ca="1">IF(AP78&lt;&gt;0,AR78-AP78,0)</f>
        <v>109</v>
      </c>
      <c r="AT78" s="176">
        <f ca="1">IF(ISNUMBER(AE78)=TRUE,AR78-AE78,IF(AE78="","",(AR78)-(MID(RIGHT(AE78,10),4,2)&amp;"/"&amp;LEFT((RIGHT(AE78,10)),2)&amp;"/"&amp;RIGHT(AE78,4))))</f>
        <v>8</v>
      </c>
      <c r="AU78" s="176"/>
      <c r="AV78" s="176" t="s">
        <v>4044</v>
      </c>
      <c r="AW78" s="176">
        <v>24.504999999999999</v>
      </c>
      <c r="AX78" s="176">
        <v>24.565000000000001</v>
      </c>
      <c r="AY78" s="173">
        <v>24.590000000000003</v>
      </c>
      <c r="AZ78" s="142">
        <v>24.595000000000002</v>
      </c>
      <c r="BA78" s="142">
        <f t="shared" ca="1" si="6"/>
        <v>21</v>
      </c>
      <c r="BB78" s="142">
        <v>456</v>
      </c>
      <c r="BD78" s="142" t="s">
        <v>123</v>
      </c>
    </row>
    <row r="79" spans="2:61" s="142" customFormat="1" ht="21" customHeight="1" x14ac:dyDescent="0.25">
      <c r="B79" s="173" t="str">
        <f>IF(C79="HOLD RM","HOLD RM",IF(C79="BAL","WIP",IF(C79="HOLD SLT","HOLD SLT",IF(C79="MILL","RM",IF(C79="RE SLT","WIP",IF(C79="RM","RM",IF(C79="RM BAL","RM",IF(C79="RM SLT","RM",IF(C79="RR","WIP",IF(C79="SKP","WIP",IF(C79="SLT","WIP",IF(C79="CTL","WIP",IF(C79="RM SLT RUST","RM SLT RUST",0)))))))))))))&amp;"-"&amp;G79&amp;"/"&amp;IF(H79="2B","2B",IF(H79="NO.1","1D",IF(H79="FH","FH",0)))&amp;"-"&amp;IF(J79="",(TEXT(I79,"0.00")),TEXT(J79,"0.00"))&amp;"X"&amp;M79</f>
        <v>0-304L/2B-1.50X767</v>
      </c>
      <c r="C79" s="201" t="s">
        <v>5452</v>
      </c>
      <c r="D79" s="173" t="s">
        <v>4432</v>
      </c>
      <c r="E79" s="173" t="s">
        <v>4042</v>
      </c>
      <c r="F79" s="201" t="s">
        <v>5453</v>
      </c>
      <c r="G79" s="173" t="s">
        <v>182</v>
      </c>
      <c r="H79" s="173" t="s">
        <v>114</v>
      </c>
      <c r="I79" s="174">
        <v>3.79</v>
      </c>
      <c r="J79" s="174">
        <v>1.5</v>
      </c>
      <c r="K79" s="174">
        <v>1.47</v>
      </c>
      <c r="L79" s="174">
        <v>1.49</v>
      </c>
      <c r="M79" s="380">
        <v>767</v>
      </c>
      <c r="N79" s="350"/>
      <c r="O79" s="381">
        <v>5.36</v>
      </c>
      <c r="P79" s="382"/>
      <c r="Q79" s="176"/>
      <c r="R79" s="176"/>
      <c r="S79" s="176"/>
      <c r="T79" s="383"/>
      <c r="U79" s="380">
        <v>760</v>
      </c>
      <c r="V79" s="371" t="s">
        <v>114</v>
      </c>
      <c r="W79" s="384" t="s">
        <v>5049</v>
      </c>
      <c r="X79" s="178" t="s">
        <v>1540</v>
      </c>
      <c r="Y79" s="385"/>
      <c r="Z79" s="385"/>
      <c r="AA79" s="177">
        <v>44937</v>
      </c>
      <c r="AB79" s="177"/>
      <c r="AC79" s="177">
        <v>44937</v>
      </c>
      <c r="AD79" s="177"/>
      <c r="AE79" s="177">
        <v>44950</v>
      </c>
      <c r="AF79" s="177"/>
      <c r="AG79" s="177"/>
      <c r="AH79" s="177">
        <v>44933</v>
      </c>
      <c r="AI79" s="180"/>
      <c r="AJ79" s="173"/>
      <c r="AK79" s="173" t="s">
        <v>1507</v>
      </c>
      <c r="AL79" s="181" t="s">
        <v>69</v>
      </c>
      <c r="AM79" s="181" t="s">
        <v>142</v>
      </c>
      <c r="AN79" s="181" t="s">
        <v>1508</v>
      </c>
      <c r="AO79" s="181"/>
      <c r="AP79" s="181">
        <v>44849</v>
      </c>
      <c r="AQ79" s="173"/>
      <c r="AR79" s="181">
        <f ca="1">TODAY()</f>
        <v>44958</v>
      </c>
      <c r="AS79" s="176">
        <f ca="1">IF(AP79&lt;&gt;0,AR79-AP79,0)</f>
        <v>109</v>
      </c>
      <c r="AT79" s="176">
        <f ca="1">IF(ISNUMBER(AE79)=TRUE,AR79-AE79,IF(AE79="","",(AR79)-(MID(RIGHT(AE79,10),4,2)&amp;"/"&amp;LEFT((RIGHT(AE79,10)),2)&amp;"/"&amp;RIGHT(AE79,4))))</f>
        <v>8</v>
      </c>
      <c r="AU79" s="176"/>
      <c r="AV79" s="176" t="s">
        <v>4044</v>
      </c>
      <c r="AW79" s="176">
        <v>24.504999999999999</v>
      </c>
      <c r="AX79" s="176">
        <v>24.565000000000001</v>
      </c>
      <c r="AY79" s="173">
        <v>24.590000000000003</v>
      </c>
      <c r="AZ79" s="142">
        <v>24.595000000000002</v>
      </c>
      <c r="BA79" s="142">
        <f t="shared" ca="1" si="6"/>
        <v>21</v>
      </c>
      <c r="BB79" s="142">
        <v>456</v>
      </c>
      <c r="BD79" s="142" t="s">
        <v>123</v>
      </c>
    </row>
    <row r="80" spans="2:61" s="142" customFormat="1" ht="21" customHeight="1" x14ac:dyDescent="0.25">
      <c r="B80" s="173" t="str">
        <f>IF(C80="HOLD RM","HOLD RM",IF(C80="BAL","WIP",IF(C80="HOLD SLT","HOLD SLT",IF(C80="MILL","RM",IF(C80="RE SLT","WIP",IF(C80="RM","RM",IF(C80="RM BAL","RM",IF(C80="RM SLT","RM",IF(C80="RR","WIP",IF(C80="SKP","WIP",IF(C80="SLT","WIP",IF(C80="CTL","WIP",IF(C80="RM SLT RUST","RM SLT RUST",0)))))))))))))&amp;"-"&amp;G80&amp;"/"&amp;IF(H80="2B","2B",IF(H80="NO.1","1D",IF(H80="FH","FH",0)))&amp;"-"&amp;IF(J80="",(TEXT(I80,"0.00")),TEXT(J80,"0.00"))&amp;"X"&amp;M80</f>
        <v>0-304/2B-0.90X777</v>
      </c>
      <c r="C80" s="201" t="s">
        <v>5454</v>
      </c>
      <c r="D80" s="173" t="s">
        <v>776</v>
      </c>
      <c r="E80" s="173" t="s">
        <v>1342</v>
      </c>
      <c r="F80" s="201" t="s">
        <v>1349</v>
      </c>
      <c r="G80" s="173">
        <v>304</v>
      </c>
      <c r="H80" s="173" t="s">
        <v>114</v>
      </c>
      <c r="I80" s="174">
        <v>2.94</v>
      </c>
      <c r="J80" s="174">
        <v>0.9</v>
      </c>
      <c r="K80" s="174">
        <v>0.88</v>
      </c>
      <c r="L80" s="174">
        <v>0.91</v>
      </c>
      <c r="M80" s="380">
        <v>777</v>
      </c>
      <c r="N80" s="176">
        <v>10.63</v>
      </c>
      <c r="O80" s="381">
        <v>10.63</v>
      </c>
      <c r="P80" s="382"/>
      <c r="Q80" s="176"/>
      <c r="R80" s="176"/>
      <c r="S80" s="176"/>
      <c r="T80" s="383"/>
      <c r="U80" s="380">
        <v>777</v>
      </c>
      <c r="V80" s="371" t="s">
        <v>114</v>
      </c>
      <c r="W80" s="384"/>
      <c r="X80" s="178" t="s">
        <v>314</v>
      </c>
      <c r="Y80" s="385" t="s">
        <v>1210</v>
      </c>
      <c r="Z80" s="385" t="s">
        <v>1350</v>
      </c>
      <c r="AA80" s="177">
        <v>44933</v>
      </c>
      <c r="AB80" s="177"/>
      <c r="AC80" s="177">
        <v>44934</v>
      </c>
      <c r="AD80" s="177"/>
      <c r="AE80" s="177"/>
      <c r="AF80" s="177">
        <v>44951</v>
      </c>
      <c r="AG80" s="177"/>
      <c r="AH80" s="177" t="s">
        <v>1351</v>
      </c>
      <c r="AI80" s="180"/>
      <c r="AJ80" s="173"/>
      <c r="AK80" s="173" t="s">
        <v>1345</v>
      </c>
      <c r="AL80" s="181" t="s">
        <v>69</v>
      </c>
      <c r="AM80" s="181" t="s">
        <v>142</v>
      </c>
      <c r="AN80" s="181" t="s">
        <v>1346</v>
      </c>
      <c r="AO80" s="181"/>
      <c r="AP80" s="181">
        <v>44813</v>
      </c>
      <c r="AQ80" s="173"/>
      <c r="AR80" s="181">
        <f ca="1">TODAY()</f>
        <v>44958</v>
      </c>
      <c r="AS80" s="176">
        <f ca="1">IF(AP80&lt;&gt;0,AR80-AP80,0)</f>
        <v>145</v>
      </c>
      <c r="AT80" s="176" t="str">
        <f>IF(ISNUMBER(AE80)=TRUE,AR80-AE80,IF(AE80="","",(AR80)-(MID(RIGHT(AE80,10),4,2)&amp;"/"&amp;LEFT((RIGHT(AE80,10)),2)&amp;"/"&amp;RIGHT(AE80,4))))</f>
        <v/>
      </c>
      <c r="AU80" s="176"/>
      <c r="AV80" s="176" t="s">
        <v>1347</v>
      </c>
      <c r="AW80" s="176">
        <v>21.414999999999999</v>
      </c>
      <c r="AX80" s="176">
        <v>21.475000000000001</v>
      </c>
      <c r="AY80" s="173">
        <v>21.500000000000004</v>
      </c>
      <c r="AZ80" s="142">
        <v>21.505000000000003</v>
      </c>
      <c r="BA80" s="142">
        <f t="shared" ca="1" si="6"/>
        <v>24</v>
      </c>
      <c r="BB80" s="142">
        <v>451</v>
      </c>
      <c r="BD80" s="142" t="s">
        <v>123</v>
      </c>
    </row>
    <row r="81" spans="1:57" s="142" customFormat="1" ht="21" customHeight="1" x14ac:dyDescent="0.25">
      <c r="B81" s="173" t="str">
        <f>IF(C81="HOLD RM","HOLD RM",IF(C81="BAL","WIP",IF(C81="HOLD SLT","HOLD SLT",IF(C81="MILL","RM",IF(C81="RE SLT","WIP",IF(C81="RM","RM",IF(C81="RM BAL","RM",IF(C81="RM SLT","RM",IF(C81="RR","WIP",IF(C81="SKP","WIP",IF(C81="SLT","WIP",IF(C81="CTL","WIP",IF(C81="RM SLT RUST","RM SLT RUST",0)))))))))))))&amp;"-"&amp;G81&amp;"/"&amp;IF(H81="2B","2B",IF(H81="NO.1","1D",IF(H81="FH","FH",0)))&amp;"-"&amp;IF(J81="",(TEXT(I81,"0.00")),TEXT(J81,"0.00"))&amp;"X"&amp;M81</f>
        <v>0-304/2B-1.00X777</v>
      </c>
      <c r="C81" s="201" t="s">
        <v>5452</v>
      </c>
      <c r="D81" s="173" t="s">
        <v>4432</v>
      </c>
      <c r="E81" s="173" t="s">
        <v>3902</v>
      </c>
      <c r="F81" s="201" t="s">
        <v>5455</v>
      </c>
      <c r="G81" s="173">
        <v>304</v>
      </c>
      <c r="H81" s="173" t="s">
        <v>114</v>
      </c>
      <c r="I81" s="174">
        <v>2.92</v>
      </c>
      <c r="J81" s="174">
        <v>1</v>
      </c>
      <c r="K81" s="174">
        <v>0.99</v>
      </c>
      <c r="L81" s="174">
        <v>1</v>
      </c>
      <c r="M81" s="380">
        <v>777</v>
      </c>
      <c r="N81" s="176">
        <v>10.7</v>
      </c>
      <c r="O81" s="381">
        <f>5.445+5.235</f>
        <v>10.68</v>
      </c>
      <c r="P81" s="382"/>
      <c r="Q81" s="176"/>
      <c r="R81" s="176"/>
      <c r="S81" s="176"/>
      <c r="T81" s="383"/>
      <c r="U81" s="380">
        <v>760</v>
      </c>
      <c r="V81" s="371" t="s">
        <v>114</v>
      </c>
      <c r="W81" s="384" t="s">
        <v>4950</v>
      </c>
      <c r="X81" s="178" t="s">
        <v>1540</v>
      </c>
      <c r="Y81" s="385"/>
      <c r="Z81" s="385" t="s">
        <v>1350</v>
      </c>
      <c r="AA81" s="177">
        <v>44930</v>
      </c>
      <c r="AB81" s="177"/>
      <c r="AC81" s="177">
        <v>44931</v>
      </c>
      <c r="AD81" s="177"/>
      <c r="AE81" s="177">
        <v>44938</v>
      </c>
      <c r="AF81" s="177"/>
      <c r="AG81" s="177"/>
      <c r="AH81" s="177">
        <v>44929</v>
      </c>
      <c r="AI81" s="180"/>
      <c r="AJ81" s="173"/>
      <c r="AK81" s="173" t="s">
        <v>1345</v>
      </c>
      <c r="AL81" s="181" t="s">
        <v>69</v>
      </c>
      <c r="AM81" s="181" t="s">
        <v>142</v>
      </c>
      <c r="AN81" s="181" t="s">
        <v>1346</v>
      </c>
      <c r="AO81" s="181"/>
      <c r="AP81" s="181">
        <v>44813</v>
      </c>
      <c r="AQ81" s="173"/>
      <c r="AR81" s="181">
        <f ca="1">TODAY()</f>
        <v>44958</v>
      </c>
      <c r="AS81" s="176">
        <f ca="1">IF(AP81&lt;&gt;0,AR81-AP81,0)</f>
        <v>145</v>
      </c>
      <c r="AT81" s="176">
        <f ca="1">IF(ISNUMBER(AE81)=TRUE,AR81-AE81,IF(AE81="","",(AR81)-(MID(RIGHT(AE81,10),4,2)&amp;"/"&amp;LEFT((RIGHT(AE81,10)),2)&amp;"/"&amp;RIGHT(AE81,4))))</f>
        <v>20</v>
      </c>
      <c r="AU81" s="176"/>
      <c r="AV81" s="176" t="s">
        <v>3904</v>
      </c>
      <c r="AW81" s="176">
        <v>21.43</v>
      </c>
      <c r="AX81" s="176">
        <v>21.49</v>
      </c>
      <c r="AY81" s="173">
        <v>21.515000000000001</v>
      </c>
      <c r="AZ81" s="142">
        <v>21.52</v>
      </c>
      <c r="BA81" s="142">
        <f t="shared" ca="1" si="6"/>
        <v>27</v>
      </c>
      <c r="BB81" s="142">
        <v>451</v>
      </c>
      <c r="BD81" s="142" t="s">
        <v>123</v>
      </c>
    </row>
    <row r="82" spans="1:57" s="142" customFormat="1" ht="21" customHeight="1" x14ac:dyDescent="0.25">
      <c r="E82" s="196"/>
      <c r="F82" s="196"/>
      <c r="I82" s="187"/>
      <c r="J82" s="187"/>
      <c r="K82" s="187"/>
      <c r="L82" s="187"/>
      <c r="M82" s="213"/>
      <c r="N82" s="149"/>
      <c r="O82" s="149"/>
      <c r="P82" s="149"/>
      <c r="Q82" s="214"/>
      <c r="R82" s="215"/>
      <c r="S82" s="215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7"/>
      <c r="AF82" s="218"/>
      <c r="AG82" s="189"/>
      <c r="AH82" s="218"/>
      <c r="AI82" s="218"/>
      <c r="AJ82" s="218"/>
      <c r="AK82" s="218"/>
      <c r="AN82" s="218"/>
      <c r="AO82" s="196"/>
      <c r="AP82" s="149"/>
      <c r="AQ82" s="149"/>
      <c r="AR82" s="149"/>
      <c r="AS82" s="149"/>
    </row>
    <row r="83" spans="1:57" s="142" customFormat="1" ht="21" customHeight="1" x14ac:dyDescent="0.25">
      <c r="A83" s="386"/>
      <c r="B83" s="387"/>
      <c r="I83" s="187"/>
      <c r="J83" s="336"/>
      <c r="K83" s="336"/>
      <c r="L83" s="336"/>
      <c r="M83" s="188"/>
      <c r="N83" s="336"/>
      <c r="O83" s="215"/>
      <c r="P83" s="215"/>
      <c r="Q83" s="388"/>
      <c r="R83" s="215"/>
      <c r="S83" s="216"/>
      <c r="T83" s="389"/>
      <c r="U83" s="216"/>
      <c r="V83" s="216"/>
      <c r="W83" s="216"/>
      <c r="X83" s="216"/>
      <c r="Y83" s="217"/>
      <c r="Z83" s="390"/>
      <c r="AE83" s="218"/>
      <c r="AF83" s="218"/>
      <c r="AG83" s="218"/>
      <c r="AH83" s="218"/>
      <c r="AI83" s="218"/>
      <c r="AJ83" s="218"/>
      <c r="AK83" s="218"/>
      <c r="AM83" s="391"/>
      <c r="AP83" s="149"/>
      <c r="AQ83" s="149"/>
      <c r="AR83" s="149"/>
      <c r="AS83" s="149"/>
      <c r="AT83" s="390"/>
      <c r="BE83" s="387"/>
    </row>
    <row r="84" spans="1:57" s="361" customFormat="1" x14ac:dyDescent="0.25">
      <c r="E84" s="365" t="s">
        <v>3774</v>
      </c>
      <c r="I84" s="362"/>
      <c r="J84" s="362"/>
      <c r="K84" s="363"/>
      <c r="L84" s="214"/>
      <c r="M84" s="214"/>
      <c r="N84" s="354">
        <f>SUBTOTAL(9,N4:N83)</f>
        <v>813.31000000000017</v>
      </c>
      <c r="O84" s="354">
        <f>SUBTOTAL(9,O4:O83)</f>
        <v>813.60999999999945</v>
      </c>
      <c r="Q84" s="354">
        <f>SUBTOTAL(9,Q70:Q83)</f>
        <v>0.11000000000000001</v>
      </c>
      <c r="R84" s="354">
        <f>SUBTOTAL(9,R70:R83)</f>
        <v>0</v>
      </c>
      <c r="S84" s="354">
        <f>SUBTOTAL(9,S70:S83)</f>
        <v>0</v>
      </c>
      <c r="T84" s="392"/>
    </row>
    <row r="85" spans="1:57" x14ac:dyDescent="0.25">
      <c r="I85" s="336"/>
      <c r="J85" s="336"/>
      <c r="K85" s="352"/>
      <c r="L85" s="375"/>
      <c r="M85" s="375"/>
      <c r="N85" s="336"/>
      <c r="O85" s="353"/>
      <c r="P85" s="336"/>
      <c r="Q85" s="336"/>
      <c r="R85" s="336"/>
      <c r="S85" s="336"/>
      <c r="U85" s="336"/>
      <c r="V85" s="336"/>
      <c r="W85" s="336"/>
      <c r="X85" s="336"/>
      <c r="Y85" s="336"/>
      <c r="AA85" s="336"/>
    </row>
    <row r="86" spans="1:57" x14ac:dyDescent="0.25">
      <c r="F86" s="142"/>
      <c r="I86" s="336"/>
      <c r="J86" s="336"/>
      <c r="K86" s="352"/>
      <c r="L86" s="375"/>
      <c r="M86" s="375"/>
      <c r="N86" s="336"/>
      <c r="O86" s="353"/>
      <c r="P86" s="353"/>
      <c r="Q86" s="336"/>
      <c r="R86" s="336"/>
      <c r="S86" s="336"/>
      <c r="U86" s="336"/>
      <c r="V86" s="336"/>
      <c r="W86" s="336"/>
      <c r="X86" s="336"/>
      <c r="Y86" s="336"/>
      <c r="AA86" s="336"/>
    </row>
    <row r="87" spans="1:57" x14ac:dyDescent="0.25">
      <c r="I87" s="336"/>
      <c r="J87" s="336"/>
      <c r="K87" s="336"/>
      <c r="L87" s="336"/>
      <c r="M87" s="375"/>
      <c r="N87" s="336"/>
      <c r="O87" s="353"/>
      <c r="P87" s="336"/>
      <c r="Q87" s="336"/>
      <c r="R87" s="353"/>
      <c r="S87" s="336"/>
      <c r="U87" s="336"/>
      <c r="V87" s="336"/>
      <c r="W87" s="336"/>
      <c r="X87" s="336"/>
      <c r="Y87" s="336"/>
      <c r="AA87" s="336"/>
    </row>
    <row r="88" spans="1:57" x14ac:dyDescent="0.25">
      <c r="I88" s="336"/>
      <c r="J88" s="336"/>
      <c r="K88" s="336"/>
      <c r="L88" s="336"/>
      <c r="M88" s="375"/>
      <c r="N88" s="336"/>
      <c r="O88" s="353"/>
      <c r="P88" s="336"/>
      <c r="Q88" s="336"/>
      <c r="R88" s="336"/>
      <c r="S88" s="336"/>
      <c r="U88" s="336"/>
      <c r="V88" s="336"/>
      <c r="W88" s="336"/>
      <c r="X88" s="336"/>
      <c r="Y88" s="336"/>
      <c r="AA88" s="336"/>
    </row>
    <row r="89" spans="1:57" x14ac:dyDescent="0.25">
      <c r="I89" s="336"/>
      <c r="J89" s="336"/>
      <c r="K89" s="352"/>
      <c r="L89" s="375"/>
      <c r="M89" s="375"/>
      <c r="N89" s="336"/>
      <c r="O89" s="353"/>
      <c r="P89" s="336"/>
      <c r="Q89" s="336"/>
      <c r="R89" s="336"/>
      <c r="S89" s="336"/>
      <c r="U89" s="336"/>
      <c r="V89" s="336"/>
      <c r="W89" s="336"/>
      <c r="X89" s="336"/>
      <c r="Y89" s="336"/>
      <c r="AA89" s="336"/>
    </row>
    <row r="90" spans="1:57" x14ac:dyDescent="0.25">
      <c r="I90" s="336"/>
      <c r="J90" s="336"/>
      <c r="K90" s="352"/>
      <c r="L90" s="375"/>
      <c r="M90" s="375"/>
      <c r="N90" s="336"/>
      <c r="O90" s="353"/>
      <c r="P90" s="336"/>
      <c r="Q90" s="336"/>
      <c r="R90" s="336"/>
      <c r="S90" s="336"/>
      <c r="U90" s="336"/>
      <c r="V90" s="336"/>
      <c r="W90" s="336"/>
      <c r="X90" s="336"/>
      <c r="Y90" s="336"/>
      <c r="AA90" s="336"/>
    </row>
    <row r="91" spans="1:57" x14ac:dyDescent="0.25">
      <c r="I91" s="336"/>
      <c r="J91" s="336"/>
      <c r="K91" s="352"/>
      <c r="L91" s="375"/>
      <c r="M91" s="375"/>
      <c r="N91" s="336"/>
      <c r="O91" s="353"/>
      <c r="P91" s="336"/>
      <c r="Q91" s="336"/>
      <c r="R91" s="336"/>
      <c r="S91" s="336"/>
      <c r="U91" s="336"/>
      <c r="V91" s="336"/>
      <c r="W91" s="336"/>
      <c r="X91" s="336"/>
      <c r="Y91" s="336"/>
      <c r="AA91" s="336"/>
    </row>
    <row r="92" spans="1:57" x14ac:dyDescent="0.25">
      <c r="I92" s="336"/>
      <c r="J92" s="336"/>
      <c r="K92" s="352"/>
      <c r="L92" s="375"/>
      <c r="M92" s="375"/>
      <c r="N92" s="336"/>
      <c r="O92" s="353"/>
      <c r="P92" s="336"/>
      <c r="Q92" s="352"/>
      <c r="R92" s="336"/>
      <c r="S92" s="336"/>
      <c r="U92" s="336"/>
      <c r="V92" s="336"/>
      <c r="W92" s="336"/>
      <c r="X92" s="336"/>
      <c r="Y92" s="336"/>
      <c r="AA92" s="336"/>
    </row>
    <row r="93" spans="1:57" x14ac:dyDescent="0.25">
      <c r="I93" s="336"/>
      <c r="J93" s="336"/>
      <c r="K93" s="352"/>
      <c r="L93" s="375"/>
      <c r="M93" s="375"/>
      <c r="N93" s="336"/>
      <c r="O93" s="353"/>
      <c r="P93" s="336"/>
      <c r="Q93" s="336"/>
      <c r="R93" s="336"/>
      <c r="S93" s="336"/>
      <c r="U93" s="336"/>
      <c r="V93" s="336"/>
      <c r="W93" s="336"/>
      <c r="X93" s="336"/>
      <c r="Y93" s="336"/>
      <c r="AA93" s="336"/>
    </row>
    <row r="94" spans="1:57" x14ac:dyDescent="0.25">
      <c r="I94" s="336"/>
      <c r="J94" s="336"/>
      <c r="K94" s="352"/>
      <c r="L94" s="375"/>
      <c r="M94" s="375"/>
      <c r="N94" s="336"/>
      <c r="O94" s="353"/>
      <c r="P94" s="336"/>
      <c r="Q94" s="336"/>
      <c r="R94" s="336"/>
      <c r="S94" s="336"/>
      <c r="U94" s="336"/>
      <c r="V94" s="336"/>
      <c r="W94" s="336"/>
      <c r="X94" s="336"/>
      <c r="Y94" s="336"/>
      <c r="AA94" s="336"/>
    </row>
    <row r="95" spans="1:57" x14ac:dyDescent="0.25">
      <c r="I95" s="336"/>
      <c r="J95" s="336"/>
      <c r="K95" s="352"/>
      <c r="L95" s="375"/>
      <c r="M95" s="375"/>
      <c r="N95" s="336"/>
      <c r="O95" s="353"/>
      <c r="P95" s="353"/>
      <c r="Q95" s="336"/>
      <c r="R95" s="336"/>
      <c r="S95" s="336"/>
      <c r="U95" s="336"/>
      <c r="V95" s="336"/>
      <c r="W95" s="336"/>
      <c r="X95" s="336"/>
      <c r="Y95" s="336"/>
      <c r="AA95" s="336"/>
    </row>
    <row r="96" spans="1:57" x14ac:dyDescent="0.25">
      <c r="I96" s="336"/>
      <c r="J96" s="336"/>
      <c r="K96" s="352"/>
      <c r="L96" s="375"/>
      <c r="M96" s="375"/>
      <c r="N96" s="336"/>
      <c r="O96" s="353"/>
      <c r="P96" s="336"/>
      <c r="Q96" s="352"/>
      <c r="R96" s="336"/>
      <c r="S96" s="336"/>
      <c r="U96" s="336"/>
      <c r="V96" s="336"/>
      <c r="W96" s="336"/>
      <c r="X96" s="336"/>
      <c r="Y96" s="336"/>
      <c r="AA96" s="336"/>
    </row>
    <row r="97" spans="11:20" s="336" customFormat="1" x14ac:dyDescent="0.25">
      <c r="K97" s="352"/>
      <c r="L97" s="375"/>
      <c r="M97" s="375"/>
      <c r="N97" s="353"/>
      <c r="O97" s="353"/>
      <c r="T97" s="377"/>
    </row>
    <row r="98" spans="11:20" s="336" customFormat="1" x14ac:dyDescent="0.25">
      <c r="K98" s="352"/>
      <c r="L98" s="375"/>
      <c r="M98" s="375"/>
      <c r="O98" s="353"/>
      <c r="T98" s="377"/>
    </row>
    <row r="99" spans="11:20" s="336" customFormat="1" x14ac:dyDescent="0.25">
      <c r="K99" s="352"/>
      <c r="L99" s="375"/>
      <c r="M99" s="375"/>
      <c r="O99" s="353"/>
      <c r="P99" s="352"/>
      <c r="T99" s="377"/>
    </row>
    <row r="100" spans="11:20" s="336" customFormat="1" x14ac:dyDescent="0.25">
      <c r="K100" s="352"/>
      <c r="L100" s="375"/>
      <c r="M100" s="375"/>
      <c r="O100" s="353"/>
      <c r="P100" s="352"/>
      <c r="T100" s="377"/>
    </row>
    <row r="101" spans="11:20" s="336" customFormat="1" x14ac:dyDescent="0.25">
      <c r="K101" s="352"/>
      <c r="L101" s="375"/>
      <c r="M101" s="375"/>
      <c r="O101" s="353"/>
      <c r="T101" s="377"/>
    </row>
    <row r="102" spans="11:20" s="336" customFormat="1" x14ac:dyDescent="0.25">
      <c r="K102" s="352"/>
      <c r="L102" s="375"/>
      <c r="M102" s="375"/>
      <c r="O102" s="353"/>
      <c r="T102" s="377"/>
    </row>
    <row r="103" spans="11:20" s="336" customFormat="1" x14ac:dyDescent="0.25">
      <c r="K103" s="352"/>
      <c r="L103" s="375"/>
      <c r="M103" s="375"/>
      <c r="O103" s="353"/>
      <c r="T103" s="377"/>
    </row>
    <row r="104" spans="11:20" s="336" customFormat="1" x14ac:dyDescent="0.25">
      <c r="K104" s="352"/>
      <c r="L104" s="375"/>
      <c r="M104" s="375"/>
      <c r="O104" s="353"/>
      <c r="T104" s="377"/>
    </row>
    <row r="105" spans="11:20" s="336" customFormat="1" x14ac:dyDescent="0.25">
      <c r="K105" s="352"/>
      <c r="L105" s="375"/>
      <c r="M105" s="375"/>
      <c r="O105" s="353"/>
      <c r="T105" s="377"/>
    </row>
    <row r="106" spans="11:20" s="336" customFormat="1" x14ac:dyDescent="0.25">
      <c r="K106" s="352"/>
      <c r="L106" s="375"/>
      <c r="M106" s="375"/>
      <c r="O106" s="353"/>
      <c r="T106" s="377"/>
    </row>
    <row r="107" spans="11:20" s="336" customFormat="1" x14ac:dyDescent="0.25">
      <c r="K107" s="352"/>
      <c r="L107" s="375"/>
      <c r="M107" s="375"/>
      <c r="O107" s="353"/>
      <c r="T107" s="377"/>
    </row>
    <row r="108" spans="11:20" s="336" customFormat="1" x14ac:dyDescent="0.25">
      <c r="K108" s="352"/>
      <c r="L108" s="375"/>
      <c r="M108" s="375"/>
      <c r="O108" s="353"/>
      <c r="T108" s="377"/>
    </row>
    <row r="109" spans="11:20" s="336" customFormat="1" x14ac:dyDescent="0.25">
      <c r="K109" s="352"/>
      <c r="L109" s="375"/>
      <c r="M109" s="375"/>
      <c r="O109" s="353"/>
      <c r="T109" s="377"/>
    </row>
    <row r="110" spans="11:20" s="336" customFormat="1" x14ac:dyDescent="0.25">
      <c r="K110" s="352"/>
      <c r="L110" s="375"/>
      <c r="M110" s="375"/>
      <c r="O110" s="353"/>
      <c r="T110" s="377"/>
    </row>
    <row r="111" spans="11:20" s="336" customFormat="1" x14ac:dyDescent="0.25">
      <c r="K111" s="352"/>
      <c r="L111" s="375"/>
      <c r="M111" s="375"/>
      <c r="O111" s="353"/>
      <c r="T111" s="377"/>
    </row>
    <row r="112" spans="11:20" s="336" customFormat="1" x14ac:dyDescent="0.25">
      <c r="K112" s="352"/>
      <c r="L112" s="375"/>
      <c r="M112" s="375"/>
      <c r="O112" s="353"/>
      <c r="T112" s="377"/>
    </row>
    <row r="113" spans="1:58" x14ac:dyDescent="0.25">
      <c r="I113" s="336"/>
      <c r="J113" s="336"/>
      <c r="K113" s="352"/>
      <c r="L113" s="375"/>
      <c r="M113" s="375"/>
      <c r="N113" s="336"/>
      <c r="O113" s="353"/>
      <c r="P113" s="336"/>
      <c r="Q113" s="336"/>
      <c r="R113" s="336"/>
      <c r="S113" s="336"/>
      <c r="U113" s="336"/>
      <c r="V113" s="336"/>
      <c r="W113" s="336"/>
      <c r="X113" s="336"/>
      <c r="Y113" s="336"/>
      <c r="AA113" s="336"/>
    </row>
    <row r="114" spans="1:58" x14ac:dyDescent="0.25">
      <c r="I114" s="336"/>
      <c r="J114" s="336"/>
      <c r="K114" s="352"/>
      <c r="L114" s="375"/>
      <c r="M114" s="375"/>
      <c r="N114" s="336"/>
      <c r="O114" s="353"/>
      <c r="P114" s="336"/>
      <c r="Q114" s="336"/>
      <c r="R114" s="336"/>
      <c r="S114" s="336"/>
      <c r="U114" s="336"/>
      <c r="V114" s="336"/>
      <c r="W114" s="336"/>
      <c r="X114" s="336"/>
      <c r="Y114" s="336"/>
      <c r="AA114" s="336"/>
    </row>
    <row r="115" spans="1:58" x14ac:dyDescent="0.25">
      <c r="I115" s="336"/>
      <c r="J115" s="336"/>
      <c r="K115" s="352"/>
      <c r="L115" s="375"/>
      <c r="M115" s="375"/>
      <c r="N115" s="336"/>
      <c r="O115" s="353"/>
      <c r="P115" s="336"/>
      <c r="Q115" s="336"/>
      <c r="R115" s="336"/>
      <c r="S115" s="336"/>
      <c r="U115" s="336"/>
      <c r="V115" s="336"/>
      <c r="W115" s="336"/>
      <c r="X115" s="336"/>
      <c r="Y115" s="336"/>
      <c r="AA115" s="336"/>
    </row>
    <row r="116" spans="1:58" x14ac:dyDescent="0.25">
      <c r="O116" s="353"/>
    </row>
    <row r="117" spans="1:58" x14ac:dyDescent="0.25">
      <c r="O117" s="353"/>
    </row>
    <row r="118" spans="1:58" x14ac:dyDescent="0.25">
      <c r="O118" s="353"/>
    </row>
    <row r="119" spans="1:58" x14ac:dyDescent="0.25">
      <c r="O119" s="353"/>
    </row>
    <row r="120" spans="1:58" x14ac:dyDescent="0.25">
      <c r="O120" s="353"/>
    </row>
    <row r="121" spans="1:58" x14ac:dyDescent="0.25">
      <c r="O121" s="353"/>
    </row>
    <row r="122" spans="1:58" x14ac:dyDescent="0.25">
      <c r="O122" s="353"/>
    </row>
    <row r="123" spans="1:58" x14ac:dyDescent="0.25">
      <c r="O123" s="353"/>
    </row>
    <row r="124" spans="1:58" x14ac:dyDescent="0.25">
      <c r="O124" s="353"/>
    </row>
    <row r="125" spans="1:58" x14ac:dyDescent="0.25">
      <c r="O125" s="353"/>
    </row>
    <row r="126" spans="1:58" x14ac:dyDescent="0.25">
      <c r="O126" s="353"/>
    </row>
    <row r="127" spans="1:58" s="351" customFormat="1" x14ac:dyDescent="0.25">
      <c r="A127" s="336"/>
      <c r="B127" s="336"/>
      <c r="C127" s="336"/>
      <c r="D127" s="336"/>
      <c r="E127" s="336"/>
      <c r="F127" s="336"/>
      <c r="G127" s="336"/>
      <c r="H127" s="336"/>
      <c r="M127" s="352"/>
      <c r="N127" s="353"/>
      <c r="O127" s="353"/>
      <c r="T127" s="377"/>
      <c r="U127" s="352"/>
      <c r="V127" s="352"/>
      <c r="W127" s="352"/>
      <c r="X127" s="375"/>
      <c r="Y127" s="375"/>
      <c r="Z127" s="336"/>
      <c r="AA127" s="353"/>
      <c r="AB127" s="336"/>
      <c r="AC127" s="336"/>
      <c r="AD127" s="336"/>
      <c r="AE127" s="336"/>
      <c r="AF127" s="336"/>
      <c r="AG127" s="336"/>
      <c r="AH127" s="336"/>
      <c r="AI127" s="336"/>
      <c r="AJ127" s="336"/>
      <c r="AK127" s="336"/>
      <c r="AL127" s="336"/>
      <c r="AM127" s="336"/>
      <c r="AN127" s="336"/>
      <c r="AO127" s="336"/>
      <c r="AP127" s="336"/>
      <c r="AQ127" s="336"/>
      <c r="AR127" s="336"/>
      <c r="AS127" s="336"/>
      <c r="AT127" s="336"/>
      <c r="AU127" s="336"/>
      <c r="AV127" s="336"/>
      <c r="AW127" s="336"/>
      <c r="AX127" s="336"/>
      <c r="AY127" s="336"/>
      <c r="AZ127" s="336"/>
      <c r="BA127" s="336"/>
      <c r="BB127" s="336"/>
      <c r="BC127" s="336"/>
      <c r="BD127" s="336"/>
      <c r="BE127" s="336"/>
      <c r="BF127" s="336"/>
    </row>
    <row r="128" spans="1:58" s="351" customFormat="1" x14ac:dyDescent="0.25">
      <c r="A128" s="336"/>
      <c r="B128" s="336"/>
      <c r="C128" s="336"/>
      <c r="D128" s="336"/>
      <c r="E128" s="336"/>
      <c r="F128" s="336"/>
      <c r="G128" s="336"/>
      <c r="H128" s="336"/>
      <c r="M128" s="352"/>
      <c r="N128" s="353"/>
      <c r="O128" s="353"/>
      <c r="T128" s="377"/>
      <c r="U128" s="352"/>
      <c r="V128" s="352"/>
      <c r="W128" s="352"/>
      <c r="X128" s="375"/>
      <c r="Y128" s="375"/>
      <c r="Z128" s="336"/>
      <c r="AA128" s="353"/>
      <c r="AB128" s="336"/>
      <c r="AC128" s="336"/>
      <c r="AD128" s="336"/>
      <c r="AE128" s="336"/>
      <c r="AF128" s="336"/>
      <c r="AG128" s="336"/>
      <c r="AH128" s="336"/>
      <c r="AI128" s="336"/>
      <c r="AJ128" s="336"/>
      <c r="AK128" s="336"/>
      <c r="AL128" s="336"/>
      <c r="AM128" s="336"/>
      <c r="AN128" s="336"/>
      <c r="AO128" s="336"/>
      <c r="AP128" s="336"/>
      <c r="AQ128" s="336"/>
      <c r="AR128" s="336"/>
      <c r="AS128" s="336"/>
      <c r="AT128" s="336"/>
      <c r="AU128" s="336"/>
      <c r="AV128" s="336"/>
      <c r="AW128" s="336"/>
      <c r="AX128" s="336"/>
      <c r="AY128" s="336"/>
      <c r="AZ128" s="336"/>
      <c r="BA128" s="336"/>
      <c r="BB128" s="336"/>
      <c r="BC128" s="336"/>
      <c r="BD128" s="336"/>
      <c r="BE128" s="336"/>
      <c r="BF128" s="336"/>
    </row>
    <row r="129" spans="1:58" s="351" customFormat="1" x14ac:dyDescent="0.25">
      <c r="A129" s="336"/>
      <c r="B129" s="336"/>
      <c r="C129" s="336"/>
      <c r="D129" s="336"/>
      <c r="E129" s="336"/>
      <c r="F129" s="336"/>
      <c r="G129" s="336"/>
      <c r="H129" s="336"/>
      <c r="M129" s="352"/>
      <c r="N129" s="353"/>
      <c r="O129" s="353"/>
      <c r="T129" s="377"/>
      <c r="U129" s="352"/>
      <c r="V129" s="352"/>
      <c r="W129" s="352"/>
      <c r="X129" s="375"/>
      <c r="Y129" s="375"/>
      <c r="Z129" s="336"/>
      <c r="AA129" s="353"/>
      <c r="AB129" s="336"/>
      <c r="AC129" s="336"/>
      <c r="AD129" s="336"/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336"/>
      <c r="AS129" s="336"/>
      <c r="AT129" s="336"/>
      <c r="AU129" s="336"/>
      <c r="AV129" s="336"/>
      <c r="AW129" s="336"/>
      <c r="AX129" s="336"/>
      <c r="AY129" s="336"/>
      <c r="AZ129" s="336"/>
      <c r="BA129" s="336"/>
      <c r="BB129" s="336"/>
      <c r="BC129" s="336"/>
      <c r="BD129" s="336"/>
      <c r="BE129" s="336"/>
      <c r="BF129" s="336"/>
    </row>
    <row r="130" spans="1:58" s="351" customFormat="1" x14ac:dyDescent="0.25">
      <c r="A130" s="336"/>
      <c r="B130" s="336"/>
      <c r="C130" s="336"/>
      <c r="D130" s="336"/>
      <c r="E130" s="336"/>
      <c r="F130" s="336"/>
      <c r="G130" s="336"/>
      <c r="H130" s="336"/>
      <c r="M130" s="352"/>
      <c r="N130" s="353"/>
      <c r="O130" s="353"/>
      <c r="T130" s="377"/>
      <c r="U130" s="352"/>
      <c r="V130" s="352"/>
      <c r="W130" s="352"/>
      <c r="X130" s="375"/>
      <c r="Y130" s="375"/>
      <c r="Z130" s="336"/>
      <c r="AA130" s="353"/>
      <c r="AB130" s="336"/>
      <c r="AC130" s="336"/>
      <c r="AD130" s="336"/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336"/>
      <c r="AS130" s="336"/>
      <c r="AT130" s="336"/>
      <c r="AU130" s="336"/>
      <c r="AV130" s="336"/>
      <c r="AW130" s="336"/>
      <c r="AX130" s="336"/>
      <c r="AY130" s="336"/>
      <c r="AZ130" s="336"/>
      <c r="BA130" s="336"/>
      <c r="BB130" s="336"/>
      <c r="BC130" s="336"/>
      <c r="BD130" s="336"/>
      <c r="BE130" s="336"/>
      <c r="BF130" s="336"/>
    </row>
    <row r="131" spans="1:58" s="351" customFormat="1" x14ac:dyDescent="0.25">
      <c r="A131" s="336"/>
      <c r="B131" s="336"/>
      <c r="C131" s="336"/>
      <c r="D131" s="336"/>
      <c r="E131" s="336"/>
      <c r="F131" s="336"/>
      <c r="G131" s="336"/>
      <c r="H131" s="336"/>
      <c r="M131" s="352"/>
      <c r="N131" s="353"/>
      <c r="O131" s="353"/>
      <c r="T131" s="377"/>
      <c r="U131" s="352"/>
      <c r="V131" s="352"/>
      <c r="W131" s="352"/>
      <c r="X131" s="375"/>
      <c r="Y131" s="375"/>
      <c r="Z131" s="336"/>
      <c r="AA131" s="353"/>
      <c r="AB131" s="336"/>
      <c r="AC131" s="336"/>
      <c r="AD131" s="336"/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336"/>
      <c r="AS131" s="336"/>
      <c r="AT131" s="336"/>
      <c r="AU131" s="336"/>
      <c r="AV131" s="336"/>
      <c r="AW131" s="336"/>
      <c r="AX131" s="336"/>
      <c r="AY131" s="336"/>
      <c r="AZ131" s="336"/>
      <c r="BA131" s="336"/>
      <c r="BB131" s="336"/>
      <c r="BC131" s="336"/>
      <c r="BD131" s="336"/>
      <c r="BE131" s="336"/>
      <c r="BF131" s="336"/>
    </row>
    <row r="132" spans="1:58" s="351" customFormat="1" x14ac:dyDescent="0.25">
      <c r="A132" s="336"/>
      <c r="B132" s="336"/>
      <c r="C132" s="336"/>
      <c r="D132" s="336"/>
      <c r="E132" s="336"/>
      <c r="F132" s="336"/>
      <c r="G132" s="336"/>
      <c r="H132" s="336"/>
      <c r="M132" s="352"/>
      <c r="N132" s="353"/>
      <c r="O132" s="353"/>
      <c r="T132" s="377"/>
      <c r="U132" s="352"/>
      <c r="V132" s="352"/>
      <c r="W132" s="352"/>
      <c r="X132" s="375"/>
      <c r="Y132" s="375"/>
      <c r="Z132" s="336"/>
      <c r="AA132" s="353"/>
      <c r="AB132" s="336"/>
      <c r="AC132" s="336"/>
      <c r="AD132" s="336"/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336"/>
      <c r="AS132" s="336"/>
      <c r="AT132" s="336"/>
      <c r="AU132" s="336"/>
      <c r="AV132" s="336"/>
      <c r="AW132" s="336"/>
      <c r="AX132" s="336"/>
      <c r="AY132" s="336"/>
      <c r="AZ132" s="336"/>
      <c r="BA132" s="336"/>
      <c r="BB132" s="336"/>
      <c r="BC132" s="336"/>
      <c r="BD132" s="336"/>
      <c r="BE132" s="336"/>
      <c r="BF132" s="336"/>
    </row>
    <row r="133" spans="1:58" s="351" customFormat="1" x14ac:dyDescent="0.25">
      <c r="A133" s="336"/>
      <c r="B133" s="336"/>
      <c r="C133" s="336"/>
      <c r="D133" s="336"/>
      <c r="E133" s="336"/>
      <c r="F133" s="336"/>
      <c r="G133" s="336"/>
      <c r="H133" s="336"/>
      <c r="M133" s="352"/>
      <c r="N133" s="353"/>
      <c r="O133" s="353"/>
      <c r="T133" s="377"/>
      <c r="U133" s="352"/>
      <c r="V133" s="352"/>
      <c r="W133" s="352"/>
      <c r="X133" s="375"/>
      <c r="Y133" s="375"/>
      <c r="Z133" s="336"/>
      <c r="AA133" s="353"/>
      <c r="AB133" s="336"/>
      <c r="AC133" s="336"/>
      <c r="AD133" s="336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336"/>
      <c r="AU133" s="336"/>
      <c r="AV133" s="336"/>
      <c r="AW133" s="336"/>
      <c r="AX133" s="336"/>
      <c r="AY133" s="336"/>
      <c r="AZ133" s="336"/>
      <c r="BA133" s="336"/>
      <c r="BB133" s="336"/>
      <c r="BC133" s="336"/>
      <c r="BD133" s="336"/>
      <c r="BE133" s="336"/>
      <c r="BF133" s="336"/>
    </row>
    <row r="134" spans="1:58" s="351" customFormat="1" x14ac:dyDescent="0.25">
      <c r="A134" s="336"/>
      <c r="B134" s="336"/>
      <c r="C134" s="336"/>
      <c r="D134" s="336"/>
      <c r="E134" s="336"/>
      <c r="F134" s="336"/>
      <c r="G134" s="336"/>
      <c r="H134" s="336"/>
      <c r="M134" s="352"/>
      <c r="N134" s="353"/>
      <c r="O134" s="353"/>
      <c r="T134" s="377"/>
      <c r="U134" s="352"/>
      <c r="V134" s="352"/>
      <c r="W134" s="352"/>
      <c r="X134" s="375"/>
      <c r="Y134" s="375"/>
      <c r="Z134" s="336"/>
      <c r="AA134" s="353"/>
      <c r="AB134" s="336"/>
      <c r="AC134" s="336"/>
      <c r="AD134" s="336"/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336"/>
      <c r="AU134" s="336"/>
      <c r="AV134" s="336"/>
      <c r="AW134" s="336"/>
      <c r="AX134" s="336"/>
      <c r="AY134" s="336"/>
      <c r="AZ134" s="336"/>
      <c r="BA134" s="336"/>
      <c r="BB134" s="336"/>
      <c r="BC134" s="336"/>
      <c r="BD134" s="336"/>
      <c r="BE134" s="336"/>
      <c r="BF134" s="336"/>
    </row>
    <row r="135" spans="1:58" s="351" customFormat="1" x14ac:dyDescent="0.25">
      <c r="A135" s="336"/>
      <c r="B135" s="336"/>
      <c r="C135" s="336"/>
      <c r="D135" s="336"/>
      <c r="E135" s="336"/>
      <c r="F135" s="336"/>
      <c r="G135" s="336"/>
      <c r="H135" s="336"/>
      <c r="M135" s="352"/>
      <c r="N135" s="353"/>
      <c r="O135" s="353"/>
      <c r="T135" s="377"/>
      <c r="U135" s="352"/>
      <c r="V135" s="352"/>
      <c r="W135" s="352"/>
      <c r="X135" s="375"/>
      <c r="Y135" s="375"/>
      <c r="Z135" s="336"/>
      <c r="AA135" s="353"/>
      <c r="AB135" s="336"/>
      <c r="AC135" s="336"/>
      <c r="AD135" s="336"/>
      <c r="AE135" s="336"/>
      <c r="AF135" s="336"/>
      <c r="AG135" s="336"/>
      <c r="AH135" s="336"/>
      <c r="AI135" s="336"/>
      <c r="AJ135" s="336"/>
      <c r="AK135" s="336"/>
      <c r="AL135" s="336"/>
      <c r="AM135" s="336"/>
      <c r="AN135" s="336"/>
      <c r="AO135" s="336"/>
      <c r="AP135" s="336"/>
      <c r="AQ135" s="336"/>
      <c r="AR135" s="336"/>
      <c r="AS135" s="336"/>
      <c r="AT135" s="336"/>
      <c r="AU135" s="336"/>
      <c r="AV135" s="336"/>
      <c r="AW135" s="336"/>
      <c r="AX135" s="336"/>
      <c r="AY135" s="336"/>
      <c r="AZ135" s="336"/>
      <c r="BA135" s="336"/>
      <c r="BB135" s="336"/>
      <c r="BC135" s="336"/>
      <c r="BD135" s="336"/>
      <c r="BE135" s="336"/>
      <c r="BF135" s="336"/>
    </row>
    <row r="136" spans="1:58" s="351" customFormat="1" x14ac:dyDescent="0.25">
      <c r="A136" s="336"/>
      <c r="B136" s="336"/>
      <c r="C136" s="336"/>
      <c r="D136" s="336"/>
      <c r="E136" s="336"/>
      <c r="F136" s="336"/>
      <c r="G136" s="336"/>
      <c r="H136" s="336"/>
      <c r="M136" s="352"/>
      <c r="N136" s="353"/>
      <c r="O136" s="353"/>
      <c r="T136" s="377"/>
      <c r="U136" s="352"/>
      <c r="V136" s="352"/>
      <c r="W136" s="352"/>
      <c r="X136" s="375"/>
      <c r="Y136" s="375"/>
      <c r="Z136" s="336"/>
      <c r="AA136" s="353"/>
      <c r="AB136" s="336"/>
      <c r="AC136" s="336"/>
      <c r="AD136" s="336"/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336"/>
      <c r="AU136" s="336"/>
      <c r="AV136" s="336"/>
      <c r="AW136" s="336"/>
      <c r="AX136" s="336"/>
      <c r="AY136" s="336"/>
      <c r="AZ136" s="336"/>
      <c r="BA136" s="336"/>
      <c r="BB136" s="336"/>
      <c r="BC136" s="336"/>
      <c r="BD136" s="336"/>
      <c r="BE136" s="336"/>
      <c r="BF136" s="336"/>
    </row>
    <row r="137" spans="1:58" s="351" customFormat="1" x14ac:dyDescent="0.25">
      <c r="A137" s="336"/>
      <c r="B137" s="336"/>
      <c r="C137" s="336"/>
      <c r="D137" s="336"/>
      <c r="E137" s="336"/>
      <c r="F137" s="336"/>
      <c r="G137" s="336"/>
      <c r="H137" s="336"/>
      <c r="M137" s="352"/>
      <c r="N137" s="353"/>
      <c r="O137" s="353"/>
      <c r="T137" s="377"/>
      <c r="U137" s="352"/>
      <c r="V137" s="352"/>
      <c r="W137" s="352"/>
      <c r="X137" s="375"/>
      <c r="Y137" s="375"/>
      <c r="Z137" s="336"/>
      <c r="AA137" s="353"/>
      <c r="AB137" s="336"/>
      <c r="AC137" s="336"/>
      <c r="AD137" s="336"/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336"/>
      <c r="AS137" s="336"/>
      <c r="AT137" s="336"/>
      <c r="AU137" s="336"/>
      <c r="AV137" s="336"/>
      <c r="AW137" s="336"/>
      <c r="AX137" s="336"/>
      <c r="AY137" s="336"/>
      <c r="AZ137" s="336"/>
      <c r="BA137" s="336"/>
      <c r="BB137" s="336"/>
      <c r="BC137" s="336"/>
      <c r="BD137" s="336"/>
      <c r="BE137" s="336"/>
      <c r="BF137" s="336"/>
    </row>
    <row r="138" spans="1:58" s="351" customFormat="1" x14ac:dyDescent="0.25">
      <c r="A138" s="336"/>
      <c r="B138" s="336"/>
      <c r="C138" s="336"/>
      <c r="D138" s="336"/>
      <c r="E138" s="336"/>
      <c r="F138" s="336"/>
      <c r="G138" s="336"/>
      <c r="H138" s="336"/>
      <c r="M138" s="352"/>
      <c r="N138" s="353"/>
      <c r="O138" s="353"/>
      <c r="T138" s="377"/>
      <c r="U138" s="352"/>
      <c r="V138" s="352"/>
      <c r="W138" s="352"/>
      <c r="X138" s="375"/>
      <c r="Y138" s="375"/>
      <c r="Z138" s="336"/>
      <c r="AA138" s="353"/>
      <c r="AB138" s="336"/>
      <c r="AC138" s="336"/>
      <c r="AD138" s="336"/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336"/>
      <c r="AS138" s="336"/>
      <c r="AT138" s="336"/>
      <c r="AU138" s="336"/>
      <c r="AV138" s="336"/>
      <c r="AW138" s="336"/>
      <c r="AX138" s="336"/>
      <c r="AY138" s="336"/>
      <c r="AZ138" s="336"/>
      <c r="BA138" s="336"/>
      <c r="BB138" s="336"/>
      <c r="BC138" s="336"/>
      <c r="BD138" s="336"/>
      <c r="BE138" s="336"/>
      <c r="BF138" s="336"/>
    </row>
    <row r="139" spans="1:58" s="351" customFormat="1" x14ac:dyDescent="0.25">
      <c r="A139" s="336"/>
      <c r="B139" s="336"/>
      <c r="C139" s="336"/>
      <c r="D139" s="336"/>
      <c r="E139" s="336"/>
      <c r="F139" s="336"/>
      <c r="G139" s="336"/>
      <c r="H139" s="336"/>
      <c r="M139" s="352"/>
      <c r="N139" s="353"/>
      <c r="O139" s="353"/>
      <c r="T139" s="377"/>
      <c r="U139" s="352"/>
      <c r="V139" s="352"/>
      <c r="W139" s="352"/>
      <c r="X139" s="375"/>
      <c r="Y139" s="375"/>
      <c r="Z139" s="336"/>
      <c r="AA139" s="353"/>
      <c r="AB139" s="336"/>
      <c r="AC139" s="336"/>
      <c r="AD139" s="336"/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336"/>
      <c r="AS139" s="336"/>
      <c r="AT139" s="336"/>
      <c r="AU139" s="336"/>
      <c r="AV139" s="336"/>
      <c r="AW139" s="336"/>
      <c r="AX139" s="336"/>
      <c r="AY139" s="336"/>
      <c r="AZ139" s="336"/>
      <c r="BA139" s="336"/>
      <c r="BB139" s="336"/>
      <c r="BC139" s="336"/>
      <c r="BD139" s="336"/>
      <c r="BE139" s="336"/>
      <c r="BF139" s="336"/>
    </row>
    <row r="140" spans="1:58" s="351" customFormat="1" x14ac:dyDescent="0.25">
      <c r="A140" s="336"/>
      <c r="B140" s="336"/>
      <c r="C140" s="336"/>
      <c r="D140" s="336"/>
      <c r="E140" s="336"/>
      <c r="F140" s="336"/>
      <c r="G140" s="336"/>
      <c r="H140" s="336"/>
      <c r="M140" s="352"/>
      <c r="N140" s="353"/>
      <c r="O140" s="353"/>
      <c r="T140" s="377"/>
      <c r="U140" s="352"/>
      <c r="V140" s="352"/>
      <c r="W140" s="352"/>
      <c r="X140" s="375"/>
      <c r="Y140" s="375"/>
      <c r="Z140" s="336"/>
      <c r="AA140" s="353"/>
      <c r="AB140" s="336"/>
      <c r="AC140" s="336"/>
      <c r="AD140" s="336"/>
      <c r="AE140" s="336"/>
      <c r="AF140" s="336"/>
      <c r="AG140" s="336"/>
      <c r="AH140" s="336"/>
      <c r="AI140" s="336"/>
      <c r="AJ140" s="336"/>
      <c r="AK140" s="336"/>
      <c r="AL140" s="336"/>
      <c r="AM140" s="336"/>
      <c r="AN140" s="336"/>
      <c r="AO140" s="336"/>
      <c r="AP140" s="336"/>
      <c r="AQ140" s="336"/>
      <c r="AR140" s="336"/>
      <c r="AS140" s="336"/>
      <c r="AT140" s="336"/>
      <c r="AU140" s="336"/>
      <c r="AV140" s="336"/>
      <c r="AW140" s="336"/>
      <c r="AX140" s="336"/>
      <c r="AY140" s="336"/>
      <c r="AZ140" s="336"/>
      <c r="BA140" s="336"/>
      <c r="BB140" s="336"/>
      <c r="BC140" s="336"/>
      <c r="BD140" s="336"/>
      <c r="BE140" s="336"/>
      <c r="BF140" s="336"/>
    </row>
    <row r="141" spans="1:58" s="351" customFormat="1" x14ac:dyDescent="0.25">
      <c r="A141" s="336"/>
      <c r="B141" s="336"/>
      <c r="C141" s="336"/>
      <c r="D141" s="336"/>
      <c r="E141" s="336"/>
      <c r="F141" s="336"/>
      <c r="G141" s="336"/>
      <c r="H141" s="336"/>
      <c r="M141" s="352"/>
      <c r="N141" s="353"/>
      <c r="O141" s="353"/>
      <c r="T141" s="377"/>
      <c r="U141" s="352"/>
      <c r="V141" s="352"/>
      <c r="W141" s="352"/>
      <c r="X141" s="375"/>
      <c r="Y141" s="375"/>
      <c r="Z141" s="336"/>
      <c r="AA141" s="353"/>
      <c r="AB141" s="336"/>
      <c r="AC141" s="336"/>
      <c r="AD141" s="336"/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  <c r="AS141" s="336"/>
      <c r="AT141" s="336"/>
      <c r="AU141" s="336"/>
      <c r="AV141" s="336"/>
      <c r="AW141" s="336"/>
      <c r="AX141" s="336"/>
      <c r="AY141" s="336"/>
      <c r="AZ141" s="336"/>
      <c r="BA141" s="336"/>
      <c r="BB141" s="336"/>
      <c r="BC141" s="336"/>
      <c r="BD141" s="336"/>
      <c r="BE141" s="336"/>
      <c r="BF141" s="336"/>
    </row>
    <row r="142" spans="1:58" s="351" customFormat="1" x14ac:dyDescent="0.25">
      <c r="A142" s="336"/>
      <c r="B142" s="336"/>
      <c r="C142" s="336"/>
      <c r="D142" s="336"/>
      <c r="E142" s="336"/>
      <c r="F142" s="336"/>
      <c r="G142" s="336"/>
      <c r="H142" s="336"/>
      <c r="M142" s="352"/>
      <c r="N142" s="353"/>
      <c r="O142" s="353"/>
      <c r="T142" s="377"/>
      <c r="U142" s="352"/>
      <c r="V142" s="352"/>
      <c r="W142" s="352"/>
      <c r="X142" s="375"/>
      <c r="Y142" s="375"/>
      <c r="Z142" s="336"/>
      <c r="AA142" s="353"/>
      <c r="AB142" s="336"/>
      <c r="AC142" s="336"/>
      <c r="AD142" s="336"/>
      <c r="AE142" s="336"/>
      <c r="AF142" s="336"/>
      <c r="AG142" s="336"/>
      <c r="AH142" s="336"/>
      <c r="AI142" s="336"/>
      <c r="AJ142" s="336"/>
      <c r="AK142" s="336"/>
      <c r="AL142" s="336"/>
      <c r="AM142" s="336"/>
      <c r="AN142" s="336"/>
      <c r="AO142" s="336"/>
      <c r="AP142" s="336"/>
      <c r="AQ142" s="336"/>
      <c r="AR142" s="336"/>
      <c r="AS142" s="336"/>
      <c r="AT142" s="336"/>
      <c r="AU142" s="336"/>
      <c r="AV142" s="336"/>
      <c r="AW142" s="336"/>
      <c r="AX142" s="336"/>
      <c r="AY142" s="336"/>
      <c r="AZ142" s="336"/>
      <c r="BA142" s="336"/>
      <c r="BB142" s="336"/>
      <c r="BC142" s="336"/>
      <c r="BD142" s="336"/>
      <c r="BE142" s="336"/>
      <c r="BF142" s="336"/>
    </row>
    <row r="143" spans="1:58" s="351" customFormat="1" x14ac:dyDescent="0.25">
      <c r="A143" s="336"/>
      <c r="B143" s="336"/>
      <c r="C143" s="336"/>
      <c r="D143" s="336"/>
      <c r="E143" s="336"/>
      <c r="F143" s="336"/>
      <c r="G143" s="336"/>
      <c r="H143" s="336"/>
      <c r="M143" s="352"/>
      <c r="N143" s="353"/>
      <c r="O143" s="353"/>
      <c r="T143" s="377"/>
      <c r="U143" s="352"/>
      <c r="V143" s="352"/>
      <c r="W143" s="352"/>
      <c r="X143" s="375"/>
      <c r="Y143" s="375"/>
      <c r="Z143" s="336"/>
      <c r="AA143" s="353"/>
      <c r="AB143" s="336"/>
      <c r="AC143" s="336"/>
      <c r="AD143" s="336"/>
      <c r="AE143" s="336"/>
      <c r="AF143" s="336"/>
      <c r="AG143" s="336"/>
      <c r="AH143" s="336"/>
      <c r="AI143" s="336"/>
      <c r="AJ143" s="336"/>
      <c r="AK143" s="336"/>
      <c r="AL143" s="336"/>
      <c r="AM143" s="336"/>
      <c r="AN143" s="336"/>
      <c r="AO143" s="336"/>
      <c r="AP143" s="336"/>
      <c r="AQ143" s="336"/>
      <c r="AR143" s="336"/>
      <c r="AS143" s="336"/>
      <c r="AT143" s="336"/>
      <c r="AU143" s="336"/>
      <c r="AV143" s="336"/>
      <c r="AW143" s="336"/>
      <c r="AX143" s="336"/>
      <c r="AY143" s="336"/>
      <c r="AZ143" s="336"/>
      <c r="BA143" s="336"/>
      <c r="BB143" s="336"/>
      <c r="BC143" s="336"/>
      <c r="BD143" s="336"/>
      <c r="BE143" s="336"/>
      <c r="BF143" s="336"/>
    </row>
    <row r="144" spans="1:58" s="351" customFormat="1" x14ac:dyDescent="0.25">
      <c r="A144" s="336"/>
      <c r="B144" s="336"/>
      <c r="C144" s="336"/>
      <c r="D144" s="336"/>
      <c r="E144" s="336"/>
      <c r="F144" s="336"/>
      <c r="G144" s="336"/>
      <c r="H144" s="336"/>
      <c r="M144" s="352"/>
      <c r="N144" s="353"/>
      <c r="O144" s="353"/>
      <c r="T144" s="377"/>
      <c r="U144" s="352"/>
      <c r="V144" s="352"/>
      <c r="W144" s="352"/>
      <c r="X144" s="375"/>
      <c r="Y144" s="375"/>
      <c r="Z144" s="336"/>
      <c r="AA144" s="353"/>
      <c r="AB144" s="336"/>
      <c r="AC144" s="336"/>
      <c r="AD144" s="336"/>
      <c r="AE144" s="336"/>
      <c r="AF144" s="336"/>
      <c r="AG144" s="336"/>
      <c r="AH144" s="336"/>
      <c r="AI144" s="336"/>
      <c r="AJ144" s="336"/>
      <c r="AK144" s="336"/>
      <c r="AL144" s="336"/>
      <c r="AM144" s="336"/>
      <c r="AN144" s="336"/>
      <c r="AO144" s="336"/>
      <c r="AP144" s="336"/>
      <c r="AQ144" s="336"/>
      <c r="AR144" s="336"/>
      <c r="AS144" s="336"/>
      <c r="AT144" s="336"/>
      <c r="AU144" s="336"/>
      <c r="AV144" s="336"/>
      <c r="AW144" s="336"/>
      <c r="AX144" s="336"/>
      <c r="AY144" s="336"/>
      <c r="AZ144" s="336"/>
      <c r="BA144" s="336"/>
      <c r="BB144" s="336"/>
      <c r="BC144" s="336"/>
      <c r="BD144" s="336"/>
      <c r="BE144" s="336"/>
      <c r="BF144" s="336"/>
    </row>
    <row r="145" spans="1:58" s="351" customFormat="1" x14ac:dyDescent="0.25">
      <c r="A145" s="336"/>
      <c r="B145" s="336"/>
      <c r="C145" s="336"/>
      <c r="D145" s="336"/>
      <c r="E145" s="336"/>
      <c r="F145" s="336"/>
      <c r="G145" s="336"/>
      <c r="H145" s="336"/>
      <c r="M145" s="352"/>
      <c r="N145" s="353"/>
      <c r="O145" s="353"/>
      <c r="T145" s="377"/>
      <c r="U145" s="352"/>
      <c r="V145" s="352"/>
      <c r="W145" s="352"/>
      <c r="X145" s="375"/>
      <c r="Y145" s="375"/>
      <c r="Z145" s="336"/>
      <c r="AA145" s="353"/>
      <c r="AB145" s="336"/>
      <c r="AC145" s="336"/>
      <c r="AD145" s="336"/>
      <c r="AE145" s="336"/>
      <c r="AF145" s="336"/>
      <c r="AG145" s="336"/>
      <c r="AH145" s="336"/>
      <c r="AI145" s="336"/>
      <c r="AJ145" s="336"/>
      <c r="AK145" s="336"/>
      <c r="AL145" s="336"/>
      <c r="AM145" s="336"/>
      <c r="AN145" s="336"/>
      <c r="AO145" s="336"/>
      <c r="AP145" s="336"/>
      <c r="AQ145" s="336"/>
      <c r="AR145" s="336"/>
      <c r="AS145" s="336"/>
      <c r="AT145" s="336"/>
      <c r="AU145" s="336"/>
      <c r="AV145" s="336"/>
      <c r="AW145" s="336"/>
      <c r="AX145" s="336"/>
      <c r="AY145" s="336"/>
      <c r="AZ145" s="336"/>
      <c r="BA145" s="336"/>
      <c r="BB145" s="336"/>
      <c r="BC145" s="336"/>
      <c r="BD145" s="336"/>
      <c r="BE145" s="336"/>
      <c r="BF145" s="336"/>
    </row>
    <row r="146" spans="1:58" s="351" customFormat="1" x14ac:dyDescent="0.25">
      <c r="A146" s="336"/>
      <c r="B146" s="336"/>
      <c r="C146" s="336"/>
      <c r="D146" s="336"/>
      <c r="E146" s="336"/>
      <c r="F146" s="336"/>
      <c r="G146" s="336"/>
      <c r="H146" s="336"/>
      <c r="M146" s="352"/>
      <c r="N146" s="353"/>
      <c r="O146" s="353"/>
      <c r="T146" s="377"/>
      <c r="U146" s="352"/>
      <c r="V146" s="352"/>
      <c r="W146" s="352"/>
      <c r="X146" s="375"/>
      <c r="Y146" s="375"/>
      <c r="Z146" s="336"/>
      <c r="AA146" s="353"/>
      <c r="AB146" s="336"/>
      <c r="AC146" s="336"/>
      <c r="AD146" s="336"/>
      <c r="AE146" s="336"/>
      <c r="AF146" s="336"/>
      <c r="AG146" s="336"/>
      <c r="AH146" s="336"/>
      <c r="AI146" s="336"/>
      <c r="AJ146" s="336"/>
      <c r="AK146" s="336"/>
      <c r="AL146" s="336"/>
      <c r="AM146" s="336"/>
      <c r="AN146" s="336"/>
      <c r="AO146" s="336"/>
      <c r="AP146" s="336"/>
      <c r="AQ146" s="336"/>
      <c r="AR146" s="336"/>
      <c r="AS146" s="336"/>
      <c r="AT146" s="336"/>
      <c r="AU146" s="336"/>
      <c r="AV146" s="336"/>
      <c r="AW146" s="336"/>
      <c r="AX146" s="336"/>
      <c r="AY146" s="336"/>
      <c r="AZ146" s="336"/>
      <c r="BA146" s="336"/>
      <c r="BB146" s="336"/>
      <c r="BC146" s="336"/>
      <c r="BD146" s="336"/>
      <c r="BE146" s="336"/>
      <c r="BF146" s="336"/>
    </row>
    <row r="147" spans="1:58" s="351" customFormat="1" x14ac:dyDescent="0.25">
      <c r="A147" s="336"/>
      <c r="B147" s="336"/>
      <c r="C147" s="336"/>
      <c r="D147" s="336"/>
      <c r="E147" s="336"/>
      <c r="F147" s="336"/>
      <c r="G147" s="336"/>
      <c r="H147" s="336"/>
      <c r="M147" s="352"/>
      <c r="N147" s="353"/>
      <c r="O147" s="353"/>
      <c r="T147" s="377"/>
      <c r="U147" s="352"/>
      <c r="V147" s="352"/>
      <c r="W147" s="352"/>
      <c r="X147" s="375"/>
      <c r="Y147" s="375"/>
      <c r="Z147" s="336"/>
      <c r="AA147" s="353"/>
      <c r="AB147" s="336"/>
      <c r="AC147" s="336"/>
      <c r="AD147" s="336"/>
      <c r="AE147" s="336"/>
      <c r="AF147" s="336"/>
      <c r="AG147" s="336"/>
      <c r="AH147" s="336"/>
      <c r="AI147" s="336"/>
      <c r="AJ147" s="336"/>
      <c r="AK147" s="336"/>
      <c r="AL147" s="336"/>
      <c r="AM147" s="336"/>
      <c r="AN147" s="336"/>
      <c r="AO147" s="336"/>
      <c r="AP147" s="336"/>
      <c r="AQ147" s="336"/>
      <c r="AR147" s="336"/>
      <c r="AS147" s="336"/>
      <c r="AT147" s="336"/>
      <c r="AU147" s="336"/>
      <c r="AV147" s="336"/>
      <c r="AW147" s="336"/>
      <c r="AX147" s="336"/>
      <c r="AY147" s="336"/>
      <c r="AZ147" s="336"/>
      <c r="BA147" s="336"/>
      <c r="BB147" s="336"/>
      <c r="BC147" s="336"/>
      <c r="BD147" s="336"/>
      <c r="BE147" s="336"/>
      <c r="BF147" s="336"/>
    </row>
    <row r="148" spans="1:58" s="351" customFormat="1" x14ac:dyDescent="0.25">
      <c r="A148" s="336"/>
      <c r="B148" s="336"/>
      <c r="C148" s="336"/>
      <c r="D148" s="336"/>
      <c r="E148" s="336"/>
      <c r="F148" s="336"/>
      <c r="G148" s="336"/>
      <c r="H148" s="336"/>
      <c r="M148" s="352"/>
      <c r="N148" s="353"/>
      <c r="O148" s="353"/>
      <c r="T148" s="377"/>
      <c r="U148" s="352"/>
      <c r="V148" s="352"/>
      <c r="W148" s="352"/>
      <c r="X148" s="375"/>
      <c r="Y148" s="375"/>
      <c r="Z148" s="336"/>
      <c r="AA148" s="353"/>
      <c r="AB148" s="336"/>
      <c r="AC148" s="336"/>
      <c r="AD148" s="336"/>
      <c r="AE148" s="336"/>
      <c r="AF148" s="336"/>
      <c r="AG148" s="336"/>
      <c r="AH148" s="336"/>
      <c r="AI148" s="336"/>
      <c r="AJ148" s="336"/>
      <c r="AK148" s="336"/>
      <c r="AL148" s="336"/>
      <c r="AM148" s="336"/>
      <c r="AN148" s="336"/>
      <c r="AO148" s="336"/>
      <c r="AP148" s="336"/>
      <c r="AQ148" s="336"/>
      <c r="AR148" s="336"/>
      <c r="AS148" s="336"/>
      <c r="AT148" s="336"/>
      <c r="AU148" s="336"/>
      <c r="AV148" s="336"/>
      <c r="AW148" s="336"/>
      <c r="AX148" s="336"/>
      <c r="AY148" s="336"/>
      <c r="AZ148" s="336"/>
      <c r="BA148" s="336"/>
      <c r="BB148" s="336"/>
      <c r="BC148" s="336"/>
      <c r="BD148" s="336"/>
      <c r="BE148" s="336"/>
      <c r="BF148" s="336"/>
    </row>
    <row r="149" spans="1:58" s="351" customFormat="1" x14ac:dyDescent="0.25">
      <c r="A149" s="336"/>
      <c r="B149" s="336"/>
      <c r="C149" s="336"/>
      <c r="D149" s="336"/>
      <c r="E149" s="336"/>
      <c r="F149" s="336"/>
      <c r="G149" s="336"/>
      <c r="H149" s="336"/>
      <c r="M149" s="352"/>
      <c r="N149" s="353"/>
      <c r="O149" s="353"/>
      <c r="T149" s="377"/>
      <c r="U149" s="352"/>
      <c r="V149" s="352"/>
      <c r="W149" s="352"/>
      <c r="X149" s="375"/>
      <c r="Y149" s="375"/>
      <c r="Z149" s="336"/>
      <c r="AA149" s="353"/>
      <c r="AB149" s="336"/>
      <c r="AC149" s="336"/>
      <c r="AD149" s="336"/>
      <c r="AE149" s="336"/>
      <c r="AF149" s="336"/>
      <c r="AG149" s="336"/>
      <c r="AH149" s="336"/>
      <c r="AI149" s="336"/>
      <c r="AJ149" s="336"/>
      <c r="AK149" s="336"/>
      <c r="AL149" s="336"/>
      <c r="AM149" s="336"/>
      <c r="AN149" s="336"/>
      <c r="AO149" s="336"/>
      <c r="AP149" s="336"/>
      <c r="AQ149" s="336"/>
      <c r="AR149" s="336"/>
      <c r="AS149" s="336"/>
      <c r="AT149" s="336"/>
      <c r="AU149" s="336"/>
      <c r="AV149" s="336"/>
      <c r="AW149" s="336"/>
      <c r="AX149" s="336"/>
      <c r="AY149" s="336"/>
      <c r="AZ149" s="336"/>
      <c r="BA149" s="336"/>
      <c r="BB149" s="336"/>
      <c r="BC149" s="336"/>
      <c r="BD149" s="336"/>
      <c r="BE149" s="336"/>
      <c r="BF149" s="336"/>
    </row>
    <row r="150" spans="1:58" s="351" customFormat="1" x14ac:dyDescent="0.25">
      <c r="A150" s="336"/>
      <c r="B150" s="336"/>
      <c r="C150" s="336"/>
      <c r="D150" s="336"/>
      <c r="E150" s="336"/>
      <c r="F150" s="336"/>
      <c r="G150" s="336"/>
      <c r="H150" s="336"/>
      <c r="M150" s="352"/>
      <c r="N150" s="353"/>
      <c r="O150" s="353"/>
      <c r="T150" s="377"/>
      <c r="U150" s="352"/>
      <c r="V150" s="352"/>
      <c r="W150" s="352"/>
      <c r="X150" s="375"/>
      <c r="Y150" s="375"/>
      <c r="Z150" s="336"/>
      <c r="AA150" s="353"/>
      <c r="AB150" s="336"/>
      <c r="AC150" s="336"/>
      <c r="AD150" s="336"/>
      <c r="AE150" s="336"/>
      <c r="AF150" s="336"/>
      <c r="AG150" s="336"/>
      <c r="AH150" s="336"/>
      <c r="AI150" s="336"/>
      <c r="AJ150" s="336"/>
      <c r="AK150" s="336"/>
      <c r="AL150" s="336"/>
      <c r="AM150" s="336"/>
      <c r="AN150" s="336"/>
      <c r="AO150" s="336"/>
      <c r="AP150" s="336"/>
      <c r="AQ150" s="336"/>
      <c r="AR150" s="336"/>
      <c r="AS150" s="336"/>
      <c r="AT150" s="336"/>
      <c r="AU150" s="336"/>
      <c r="AV150" s="336"/>
      <c r="AW150" s="336"/>
      <c r="AX150" s="336"/>
      <c r="AY150" s="336"/>
      <c r="AZ150" s="336"/>
      <c r="BA150" s="336"/>
      <c r="BB150" s="336"/>
      <c r="BC150" s="336"/>
      <c r="BD150" s="336"/>
      <c r="BE150" s="336"/>
      <c r="BF150" s="336"/>
    </row>
    <row r="151" spans="1:58" s="351" customFormat="1" x14ac:dyDescent="0.25">
      <c r="A151" s="336"/>
      <c r="B151" s="336"/>
      <c r="C151" s="336"/>
      <c r="D151" s="336"/>
      <c r="E151" s="336"/>
      <c r="F151" s="336"/>
      <c r="G151" s="336"/>
      <c r="H151" s="336"/>
      <c r="M151" s="352"/>
      <c r="N151" s="353"/>
      <c r="O151" s="353"/>
      <c r="T151" s="377"/>
      <c r="U151" s="352"/>
      <c r="V151" s="352"/>
      <c r="W151" s="352"/>
      <c r="X151" s="375"/>
      <c r="Y151" s="375"/>
      <c r="Z151" s="336"/>
      <c r="AA151" s="353"/>
      <c r="AB151" s="336"/>
      <c r="AC151" s="336"/>
      <c r="AD151" s="336"/>
      <c r="AE151" s="336"/>
      <c r="AF151" s="336"/>
      <c r="AG151" s="336"/>
      <c r="AH151" s="336"/>
      <c r="AI151" s="336"/>
      <c r="AJ151" s="336"/>
      <c r="AK151" s="336"/>
      <c r="AL151" s="336"/>
      <c r="AM151" s="336"/>
      <c r="AN151" s="336"/>
      <c r="AO151" s="336"/>
      <c r="AP151" s="336"/>
      <c r="AQ151" s="336"/>
      <c r="AR151" s="336"/>
      <c r="AS151" s="336"/>
      <c r="AT151" s="336"/>
      <c r="AU151" s="336"/>
      <c r="AV151" s="336"/>
      <c r="AW151" s="336"/>
      <c r="AX151" s="336"/>
      <c r="AY151" s="336"/>
      <c r="AZ151" s="336"/>
      <c r="BA151" s="336"/>
      <c r="BB151" s="336"/>
      <c r="BC151" s="336"/>
      <c r="BD151" s="336"/>
      <c r="BE151" s="336"/>
      <c r="BF151" s="336"/>
    </row>
    <row r="152" spans="1:58" s="351" customFormat="1" x14ac:dyDescent="0.25">
      <c r="A152" s="336"/>
      <c r="B152" s="336"/>
      <c r="C152" s="336"/>
      <c r="D152" s="336"/>
      <c r="E152" s="336"/>
      <c r="F152" s="336"/>
      <c r="G152" s="336"/>
      <c r="H152" s="336"/>
      <c r="M152" s="352"/>
      <c r="N152" s="353"/>
      <c r="O152" s="353"/>
      <c r="T152" s="377"/>
      <c r="U152" s="352"/>
      <c r="V152" s="352"/>
      <c r="W152" s="352"/>
      <c r="X152" s="375"/>
      <c r="Y152" s="375"/>
      <c r="Z152" s="336"/>
      <c r="AA152" s="353"/>
      <c r="AB152" s="336"/>
      <c r="AC152" s="336"/>
      <c r="AD152" s="336"/>
      <c r="AE152" s="336"/>
      <c r="AF152" s="336"/>
      <c r="AG152" s="336"/>
      <c r="AH152" s="336"/>
      <c r="AI152" s="336"/>
      <c r="AJ152" s="336"/>
      <c r="AK152" s="336"/>
      <c r="AL152" s="336"/>
      <c r="AM152" s="336"/>
      <c r="AN152" s="336"/>
      <c r="AO152" s="336"/>
      <c r="AP152" s="336"/>
      <c r="AQ152" s="336"/>
      <c r="AR152" s="336"/>
      <c r="AS152" s="336"/>
      <c r="AT152" s="336"/>
      <c r="AU152" s="336"/>
      <c r="AV152" s="336"/>
      <c r="AW152" s="336"/>
      <c r="AX152" s="336"/>
      <c r="AY152" s="336"/>
      <c r="AZ152" s="336"/>
      <c r="BA152" s="336"/>
      <c r="BB152" s="336"/>
      <c r="BC152" s="336"/>
      <c r="BD152" s="336"/>
      <c r="BE152" s="336"/>
      <c r="BF152" s="336"/>
    </row>
    <row r="153" spans="1:58" s="351" customFormat="1" x14ac:dyDescent="0.25">
      <c r="A153" s="336"/>
      <c r="B153" s="336"/>
      <c r="C153" s="336"/>
      <c r="D153" s="336"/>
      <c r="E153" s="336"/>
      <c r="F153" s="336"/>
      <c r="G153" s="336"/>
      <c r="H153" s="336"/>
      <c r="M153" s="352"/>
      <c r="N153" s="353"/>
      <c r="O153" s="353"/>
      <c r="T153" s="377"/>
      <c r="U153" s="352"/>
      <c r="V153" s="352"/>
      <c r="W153" s="352"/>
      <c r="X153" s="375"/>
      <c r="Y153" s="375"/>
      <c r="Z153" s="336"/>
      <c r="AA153" s="353"/>
      <c r="AB153" s="336"/>
      <c r="AC153" s="336"/>
      <c r="AD153" s="336"/>
      <c r="AE153" s="336"/>
      <c r="AF153" s="336"/>
      <c r="AG153" s="336"/>
      <c r="AH153" s="336"/>
      <c r="AI153" s="336"/>
      <c r="AJ153" s="336"/>
      <c r="AK153" s="336"/>
      <c r="AL153" s="336"/>
      <c r="AM153" s="336"/>
      <c r="AN153" s="336"/>
      <c r="AO153" s="336"/>
      <c r="AP153" s="336"/>
      <c r="AQ153" s="336"/>
      <c r="AR153" s="336"/>
      <c r="AS153" s="336"/>
      <c r="AT153" s="336"/>
      <c r="AU153" s="336"/>
      <c r="AV153" s="336"/>
      <c r="AW153" s="336"/>
      <c r="AX153" s="336"/>
      <c r="AY153" s="336"/>
      <c r="AZ153" s="336"/>
      <c r="BA153" s="336"/>
      <c r="BB153" s="336"/>
      <c r="BC153" s="336"/>
      <c r="BD153" s="336"/>
      <c r="BE153" s="336"/>
      <c r="BF153" s="336"/>
    </row>
    <row r="154" spans="1:58" s="351" customFormat="1" x14ac:dyDescent="0.25">
      <c r="A154" s="336"/>
      <c r="B154" s="336"/>
      <c r="C154" s="336"/>
      <c r="D154" s="336"/>
      <c r="E154" s="336"/>
      <c r="F154" s="336"/>
      <c r="G154" s="336"/>
      <c r="H154" s="336"/>
      <c r="M154" s="352"/>
      <c r="N154" s="353"/>
      <c r="O154" s="353"/>
      <c r="T154" s="377"/>
      <c r="U154" s="352"/>
      <c r="V154" s="352"/>
      <c r="W154" s="352"/>
      <c r="X154" s="375"/>
      <c r="Y154" s="375"/>
      <c r="Z154" s="336"/>
      <c r="AA154" s="353"/>
      <c r="AB154" s="336"/>
      <c r="AC154" s="336"/>
      <c r="AD154" s="336"/>
      <c r="AE154" s="336"/>
      <c r="AF154" s="336"/>
      <c r="AG154" s="336"/>
      <c r="AH154" s="336"/>
      <c r="AI154" s="336"/>
      <c r="AJ154" s="336"/>
      <c r="AK154" s="336"/>
      <c r="AL154" s="336"/>
      <c r="AM154" s="336"/>
      <c r="AN154" s="336"/>
      <c r="AO154" s="336"/>
      <c r="AP154" s="336"/>
      <c r="AQ154" s="336"/>
      <c r="AR154" s="336"/>
      <c r="AS154" s="336"/>
      <c r="AT154" s="336"/>
      <c r="AU154" s="336"/>
      <c r="AV154" s="336"/>
      <c r="AW154" s="336"/>
      <c r="AX154" s="336"/>
      <c r="AY154" s="336"/>
      <c r="AZ154" s="336"/>
      <c r="BA154" s="336"/>
      <c r="BB154" s="336"/>
      <c r="BC154" s="336"/>
      <c r="BD154" s="336"/>
      <c r="BE154" s="336"/>
      <c r="BF154" s="336"/>
    </row>
    <row r="155" spans="1:58" s="351" customFormat="1" x14ac:dyDescent="0.25">
      <c r="A155" s="336"/>
      <c r="B155" s="336"/>
      <c r="C155" s="336"/>
      <c r="D155" s="336"/>
      <c r="E155" s="336"/>
      <c r="F155" s="336"/>
      <c r="G155" s="336"/>
      <c r="H155" s="336"/>
      <c r="M155" s="352"/>
      <c r="N155" s="353"/>
      <c r="O155" s="353"/>
      <c r="T155" s="377"/>
      <c r="U155" s="352"/>
      <c r="V155" s="352"/>
      <c r="W155" s="352"/>
      <c r="X155" s="375"/>
      <c r="Y155" s="375"/>
      <c r="Z155" s="336"/>
      <c r="AA155" s="353"/>
      <c r="AB155" s="336"/>
      <c r="AC155" s="336"/>
      <c r="AD155" s="336"/>
      <c r="AE155" s="336"/>
      <c r="AF155" s="336"/>
      <c r="AG155" s="336"/>
      <c r="AH155" s="336"/>
      <c r="AI155" s="336"/>
      <c r="AJ155" s="336"/>
      <c r="AK155" s="336"/>
      <c r="AL155" s="336"/>
      <c r="AM155" s="336"/>
      <c r="AN155" s="336"/>
      <c r="AO155" s="336"/>
      <c r="AP155" s="336"/>
      <c r="AQ155" s="336"/>
      <c r="AR155" s="336"/>
      <c r="AS155" s="336"/>
      <c r="AT155" s="336"/>
      <c r="AU155" s="336"/>
      <c r="AV155" s="336"/>
      <c r="AW155" s="336"/>
      <c r="AX155" s="336"/>
      <c r="AY155" s="336"/>
      <c r="AZ155" s="336"/>
      <c r="BA155" s="336"/>
      <c r="BB155" s="336"/>
      <c r="BC155" s="336"/>
      <c r="BD155" s="336"/>
      <c r="BE155" s="336"/>
      <c r="BF155" s="336"/>
    </row>
    <row r="156" spans="1:58" s="351" customFormat="1" x14ac:dyDescent="0.25">
      <c r="A156" s="336"/>
      <c r="B156" s="336"/>
      <c r="C156" s="336"/>
      <c r="D156" s="336"/>
      <c r="E156" s="336"/>
      <c r="F156" s="336"/>
      <c r="G156" s="336"/>
      <c r="H156" s="336"/>
      <c r="M156" s="352"/>
      <c r="N156" s="353"/>
      <c r="O156" s="353"/>
      <c r="T156" s="377"/>
      <c r="U156" s="352"/>
      <c r="V156" s="352"/>
      <c r="W156" s="352"/>
      <c r="X156" s="375"/>
      <c r="Y156" s="375"/>
      <c r="Z156" s="336"/>
      <c r="AA156" s="353"/>
      <c r="AB156" s="336"/>
      <c r="AC156" s="336"/>
      <c r="AD156" s="336"/>
      <c r="AE156" s="336"/>
      <c r="AF156" s="336"/>
      <c r="AG156" s="336"/>
      <c r="AH156" s="336"/>
      <c r="AI156" s="336"/>
      <c r="AJ156" s="336"/>
      <c r="AK156" s="336"/>
      <c r="AL156" s="336"/>
      <c r="AM156" s="336"/>
      <c r="AN156" s="336"/>
      <c r="AO156" s="336"/>
      <c r="AP156" s="336"/>
      <c r="AQ156" s="336"/>
      <c r="AR156" s="336"/>
      <c r="AS156" s="336"/>
      <c r="AT156" s="336"/>
      <c r="AU156" s="336"/>
      <c r="AV156" s="336"/>
      <c r="AW156" s="336"/>
      <c r="AX156" s="336"/>
      <c r="AY156" s="336"/>
      <c r="AZ156" s="336"/>
      <c r="BA156" s="336"/>
      <c r="BB156" s="336"/>
      <c r="BC156" s="336"/>
      <c r="BD156" s="336"/>
      <c r="BE156" s="336"/>
      <c r="BF156" s="336"/>
    </row>
    <row r="157" spans="1:58" s="351" customFormat="1" x14ac:dyDescent="0.25">
      <c r="A157" s="336"/>
      <c r="B157" s="336"/>
      <c r="C157" s="336"/>
      <c r="D157" s="336"/>
      <c r="E157" s="336"/>
      <c r="F157" s="336"/>
      <c r="G157" s="336"/>
      <c r="H157" s="336"/>
      <c r="M157" s="352"/>
      <c r="N157" s="353"/>
      <c r="O157" s="353"/>
      <c r="T157" s="377"/>
      <c r="U157" s="352"/>
      <c r="V157" s="352"/>
      <c r="W157" s="352"/>
      <c r="X157" s="375"/>
      <c r="Y157" s="375"/>
      <c r="Z157" s="336"/>
      <c r="AA157" s="353"/>
      <c r="AB157" s="336"/>
      <c r="AC157" s="336"/>
      <c r="AD157" s="336"/>
      <c r="AE157" s="336"/>
      <c r="AF157" s="336"/>
      <c r="AG157" s="336"/>
      <c r="AH157" s="336"/>
      <c r="AI157" s="336"/>
      <c r="AJ157" s="336"/>
      <c r="AK157" s="336"/>
      <c r="AL157" s="336"/>
      <c r="AM157" s="336"/>
      <c r="AN157" s="336"/>
      <c r="AO157" s="336"/>
      <c r="AP157" s="336"/>
      <c r="AQ157" s="336"/>
      <c r="AR157" s="336"/>
      <c r="AS157" s="336"/>
      <c r="AT157" s="336"/>
      <c r="AU157" s="336"/>
      <c r="AV157" s="336"/>
      <c r="AW157" s="336"/>
      <c r="AX157" s="336"/>
      <c r="AY157" s="336"/>
      <c r="AZ157" s="336"/>
      <c r="BA157" s="336"/>
      <c r="BB157" s="336"/>
      <c r="BC157" s="336"/>
      <c r="BD157" s="336"/>
      <c r="BE157" s="336"/>
      <c r="BF157" s="336"/>
    </row>
    <row r="158" spans="1:58" s="351" customFormat="1" x14ac:dyDescent="0.25">
      <c r="A158" s="336"/>
      <c r="B158" s="336"/>
      <c r="C158" s="336"/>
      <c r="D158" s="336"/>
      <c r="E158" s="336"/>
      <c r="F158" s="336"/>
      <c r="G158" s="336"/>
      <c r="H158" s="336"/>
      <c r="M158" s="352"/>
      <c r="N158" s="353"/>
      <c r="O158" s="353"/>
      <c r="T158" s="377"/>
      <c r="U158" s="352"/>
      <c r="V158" s="352"/>
      <c r="W158" s="352"/>
      <c r="X158" s="375"/>
      <c r="Y158" s="375"/>
      <c r="Z158" s="336"/>
      <c r="AA158" s="353"/>
      <c r="AB158" s="336"/>
      <c r="AC158" s="336"/>
      <c r="AD158" s="336"/>
      <c r="AE158" s="336"/>
      <c r="AF158" s="336"/>
      <c r="AG158" s="336"/>
      <c r="AH158" s="336"/>
      <c r="AI158" s="336"/>
      <c r="AJ158" s="336"/>
      <c r="AK158" s="336"/>
      <c r="AL158" s="336"/>
      <c r="AM158" s="336"/>
      <c r="AN158" s="336"/>
      <c r="AO158" s="336"/>
      <c r="AP158" s="336"/>
      <c r="AQ158" s="336"/>
      <c r="AR158" s="336"/>
      <c r="AS158" s="336"/>
      <c r="AT158" s="336"/>
      <c r="AU158" s="336"/>
      <c r="AV158" s="336"/>
      <c r="AW158" s="336"/>
      <c r="AX158" s="336"/>
      <c r="AY158" s="336"/>
      <c r="AZ158" s="336"/>
      <c r="BA158" s="336"/>
      <c r="BB158" s="336"/>
      <c r="BC158" s="336"/>
      <c r="BD158" s="336"/>
      <c r="BE158" s="336"/>
      <c r="BF158" s="336"/>
    </row>
    <row r="159" spans="1:58" x14ac:dyDescent="0.25">
      <c r="O159" s="353"/>
    </row>
    <row r="160" spans="1:58" x14ac:dyDescent="0.25">
      <c r="O160" s="353"/>
    </row>
    <row r="161" spans="1:58" x14ac:dyDescent="0.25">
      <c r="O161" s="353"/>
    </row>
    <row r="162" spans="1:58" x14ac:dyDescent="0.25">
      <c r="O162" s="353"/>
    </row>
    <row r="163" spans="1:58" x14ac:dyDescent="0.25">
      <c r="O163" s="353"/>
    </row>
    <row r="164" spans="1:58" x14ac:dyDescent="0.25">
      <c r="O164" s="353"/>
    </row>
    <row r="165" spans="1:58" x14ac:dyDescent="0.25">
      <c r="O165" s="353"/>
    </row>
    <row r="166" spans="1:58" x14ac:dyDescent="0.25">
      <c r="O166" s="353"/>
    </row>
    <row r="167" spans="1:58" x14ac:dyDescent="0.25">
      <c r="O167" s="353"/>
    </row>
    <row r="168" spans="1:58" x14ac:dyDescent="0.25">
      <c r="O168" s="353"/>
    </row>
    <row r="169" spans="1:58" x14ac:dyDescent="0.25">
      <c r="O169" s="353"/>
    </row>
    <row r="170" spans="1:58" x14ac:dyDescent="0.25">
      <c r="O170" s="353"/>
    </row>
    <row r="171" spans="1:58" x14ac:dyDescent="0.25">
      <c r="O171" s="353"/>
    </row>
    <row r="172" spans="1:58" x14ac:dyDescent="0.25">
      <c r="O172" s="353"/>
    </row>
    <row r="173" spans="1:58" x14ac:dyDescent="0.25">
      <c r="I173" s="336"/>
      <c r="J173" s="336"/>
      <c r="K173" s="336"/>
      <c r="L173" s="336"/>
      <c r="M173" s="336"/>
      <c r="N173" s="336"/>
      <c r="O173" s="353"/>
      <c r="P173" s="336"/>
      <c r="Q173" s="336"/>
      <c r="R173" s="336"/>
      <c r="S173" s="336"/>
      <c r="U173" s="336"/>
      <c r="V173" s="336"/>
      <c r="W173" s="336"/>
      <c r="X173" s="336"/>
      <c r="Y173" s="336"/>
      <c r="AA173" s="336"/>
    </row>
    <row r="174" spans="1:58" x14ac:dyDescent="0.25">
      <c r="O174" s="353"/>
    </row>
    <row r="175" spans="1:58" s="351" customFormat="1" x14ac:dyDescent="0.25">
      <c r="A175" s="336"/>
      <c r="B175" s="336"/>
      <c r="C175" s="336"/>
      <c r="D175" s="336"/>
      <c r="E175" s="336"/>
      <c r="F175" s="336"/>
      <c r="G175" s="336"/>
      <c r="H175" s="336"/>
      <c r="M175" s="352"/>
      <c r="N175" s="353"/>
      <c r="O175" s="353"/>
      <c r="T175" s="377"/>
      <c r="U175" s="352"/>
      <c r="V175" s="352"/>
      <c r="W175" s="352"/>
      <c r="X175" s="375"/>
      <c r="Y175" s="375"/>
      <c r="Z175" s="336"/>
      <c r="AA175" s="353"/>
      <c r="AB175" s="336"/>
      <c r="AC175" s="336"/>
      <c r="AD175" s="336"/>
      <c r="AE175" s="336"/>
      <c r="AF175" s="336"/>
      <c r="AG175" s="336"/>
      <c r="AH175" s="336"/>
      <c r="AI175" s="336"/>
      <c r="AJ175" s="336"/>
      <c r="AK175" s="336"/>
      <c r="AL175" s="336"/>
      <c r="AM175" s="336"/>
      <c r="AN175" s="336"/>
      <c r="AO175" s="336"/>
      <c r="AP175" s="336"/>
      <c r="AQ175" s="336"/>
      <c r="AR175" s="336"/>
      <c r="AS175" s="336"/>
      <c r="AT175" s="336"/>
      <c r="AU175" s="336"/>
      <c r="AV175" s="336"/>
      <c r="AW175" s="336"/>
      <c r="AX175" s="336"/>
      <c r="AY175" s="336"/>
      <c r="AZ175" s="336"/>
      <c r="BA175" s="336"/>
      <c r="BB175" s="336"/>
      <c r="BC175" s="336"/>
      <c r="BD175" s="336"/>
      <c r="BE175" s="336"/>
      <c r="BF175" s="336"/>
    </row>
    <row r="176" spans="1:58" s="351" customFormat="1" x14ac:dyDescent="0.25">
      <c r="A176" s="336"/>
      <c r="B176" s="336"/>
      <c r="C176" s="336"/>
      <c r="D176" s="336"/>
      <c r="E176" s="336"/>
      <c r="F176" s="336"/>
      <c r="G176" s="336"/>
      <c r="H176" s="336"/>
      <c r="M176" s="352"/>
      <c r="N176" s="353"/>
      <c r="O176" s="353"/>
      <c r="T176" s="377"/>
      <c r="U176" s="352"/>
      <c r="V176" s="352"/>
      <c r="W176" s="352"/>
      <c r="X176" s="375"/>
      <c r="Y176" s="375"/>
      <c r="Z176" s="336"/>
      <c r="AA176" s="353"/>
      <c r="AB176" s="336"/>
      <c r="AC176" s="336"/>
      <c r="AD176" s="336"/>
      <c r="AE176" s="336"/>
      <c r="AF176" s="336"/>
      <c r="AG176" s="336"/>
      <c r="AH176" s="336"/>
      <c r="AI176" s="336"/>
      <c r="AJ176" s="336"/>
      <c r="AK176" s="336"/>
      <c r="AL176" s="336"/>
      <c r="AM176" s="336"/>
      <c r="AN176" s="336"/>
      <c r="AO176" s="336"/>
      <c r="AP176" s="336"/>
      <c r="AQ176" s="336"/>
      <c r="AR176" s="336"/>
      <c r="AS176" s="336"/>
      <c r="AT176" s="336"/>
      <c r="AU176" s="336"/>
      <c r="AV176" s="336"/>
      <c r="AW176" s="336"/>
      <c r="AX176" s="336"/>
      <c r="AY176" s="336"/>
      <c r="AZ176" s="336"/>
      <c r="BA176" s="336"/>
      <c r="BB176" s="336"/>
      <c r="BC176" s="336"/>
      <c r="BD176" s="336"/>
      <c r="BE176" s="336"/>
      <c r="BF176" s="336"/>
    </row>
    <row r="177" spans="1:58" s="351" customFormat="1" x14ac:dyDescent="0.25">
      <c r="A177" s="336"/>
      <c r="B177" s="336"/>
      <c r="C177" s="336"/>
      <c r="D177" s="336"/>
      <c r="E177" s="336"/>
      <c r="F177" s="336"/>
      <c r="G177" s="336"/>
      <c r="H177" s="336"/>
      <c r="M177" s="352"/>
      <c r="N177" s="353"/>
      <c r="O177" s="353"/>
      <c r="T177" s="377"/>
      <c r="U177" s="352"/>
      <c r="V177" s="352"/>
      <c r="W177" s="352"/>
      <c r="X177" s="375"/>
      <c r="Y177" s="375"/>
      <c r="Z177" s="336"/>
      <c r="AA177" s="353"/>
      <c r="AB177" s="336"/>
      <c r="AC177" s="336"/>
      <c r="AD177" s="336"/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336"/>
      <c r="AS177" s="336"/>
      <c r="AT177" s="336"/>
      <c r="AU177" s="336"/>
      <c r="AV177" s="336"/>
      <c r="AW177" s="336"/>
      <c r="AX177" s="336"/>
      <c r="AY177" s="336"/>
      <c r="AZ177" s="336"/>
      <c r="BA177" s="336"/>
      <c r="BB177" s="336"/>
      <c r="BC177" s="336"/>
      <c r="BD177" s="336"/>
      <c r="BE177" s="336"/>
      <c r="BF177" s="336"/>
    </row>
    <row r="178" spans="1:58" s="351" customFormat="1" x14ac:dyDescent="0.25">
      <c r="A178" s="336"/>
      <c r="B178" s="336"/>
      <c r="C178" s="336"/>
      <c r="D178" s="336"/>
      <c r="E178" s="336"/>
      <c r="F178" s="336"/>
      <c r="G178" s="336"/>
      <c r="H178" s="336"/>
      <c r="M178" s="352"/>
      <c r="N178" s="353"/>
      <c r="O178" s="353"/>
      <c r="T178" s="377"/>
      <c r="U178" s="352"/>
      <c r="V178" s="352"/>
      <c r="W178" s="352"/>
      <c r="X178" s="375"/>
      <c r="Y178" s="375"/>
      <c r="Z178" s="336"/>
      <c r="AA178" s="353"/>
      <c r="AB178" s="336"/>
      <c r="AC178" s="336"/>
      <c r="AD178" s="336"/>
      <c r="AE178" s="336"/>
      <c r="AF178" s="336"/>
      <c r="AG178" s="336"/>
      <c r="AH178" s="336"/>
      <c r="AI178" s="336"/>
      <c r="AJ178" s="336"/>
      <c r="AK178" s="336"/>
      <c r="AL178" s="336"/>
      <c r="AM178" s="336"/>
      <c r="AN178" s="336"/>
      <c r="AO178" s="336"/>
      <c r="AP178" s="336"/>
      <c r="AQ178" s="336"/>
      <c r="AR178" s="336"/>
      <c r="AS178" s="336"/>
      <c r="AT178" s="336"/>
      <c r="AU178" s="336"/>
      <c r="AV178" s="336"/>
      <c r="AW178" s="336"/>
      <c r="AX178" s="336"/>
      <c r="AY178" s="336"/>
      <c r="AZ178" s="336"/>
      <c r="BA178" s="336"/>
      <c r="BB178" s="336"/>
      <c r="BC178" s="336"/>
      <c r="BD178" s="336"/>
      <c r="BE178" s="336"/>
      <c r="BF178" s="336"/>
    </row>
    <row r="179" spans="1:58" s="351" customFormat="1" x14ac:dyDescent="0.25">
      <c r="A179" s="336"/>
      <c r="B179" s="336"/>
      <c r="C179" s="336"/>
      <c r="D179" s="336"/>
      <c r="E179" s="336"/>
      <c r="F179" s="336"/>
      <c r="G179" s="336"/>
      <c r="H179" s="336"/>
      <c r="M179" s="352"/>
      <c r="N179" s="353"/>
      <c r="O179" s="353"/>
      <c r="T179" s="377"/>
      <c r="U179" s="352"/>
      <c r="V179" s="352"/>
      <c r="W179" s="352"/>
      <c r="X179" s="375"/>
      <c r="Y179" s="375"/>
      <c r="Z179" s="336"/>
      <c r="AA179" s="353"/>
      <c r="AB179" s="336"/>
      <c r="AC179" s="336"/>
      <c r="AD179" s="336"/>
      <c r="AE179" s="336"/>
      <c r="AF179" s="336"/>
      <c r="AG179" s="336"/>
      <c r="AH179" s="336"/>
      <c r="AI179" s="336"/>
      <c r="AJ179" s="336"/>
      <c r="AK179" s="336"/>
      <c r="AL179" s="336"/>
      <c r="AM179" s="336"/>
      <c r="AN179" s="336"/>
      <c r="AO179" s="336"/>
      <c r="AP179" s="336"/>
      <c r="AQ179" s="336"/>
      <c r="AR179" s="336"/>
      <c r="AS179" s="336"/>
      <c r="AT179" s="336"/>
      <c r="AU179" s="336"/>
      <c r="AV179" s="336"/>
      <c r="AW179" s="336"/>
      <c r="AX179" s="336"/>
      <c r="AY179" s="336"/>
      <c r="AZ179" s="336"/>
      <c r="BA179" s="336"/>
      <c r="BB179" s="336"/>
      <c r="BC179" s="336"/>
      <c r="BD179" s="336"/>
      <c r="BE179" s="336"/>
      <c r="BF179" s="336"/>
    </row>
    <row r="180" spans="1:58" s="351" customFormat="1" x14ac:dyDescent="0.25">
      <c r="A180" s="336"/>
      <c r="B180" s="336"/>
      <c r="C180" s="336"/>
      <c r="D180" s="336"/>
      <c r="E180" s="336"/>
      <c r="F180" s="336"/>
      <c r="G180" s="336"/>
      <c r="H180" s="336"/>
      <c r="M180" s="352"/>
      <c r="N180" s="353"/>
      <c r="O180" s="353"/>
      <c r="T180" s="377"/>
      <c r="U180" s="352"/>
      <c r="V180" s="352"/>
      <c r="W180" s="352"/>
      <c r="X180" s="375"/>
      <c r="Y180" s="375"/>
      <c r="Z180" s="336"/>
      <c r="AA180" s="353"/>
      <c r="AB180" s="336"/>
      <c r="AC180" s="336"/>
      <c r="AD180" s="336"/>
      <c r="AE180" s="336"/>
      <c r="AF180" s="336"/>
      <c r="AG180" s="336"/>
      <c r="AH180" s="336"/>
      <c r="AI180" s="336"/>
      <c r="AJ180" s="336"/>
      <c r="AK180" s="336"/>
      <c r="AL180" s="336"/>
      <c r="AM180" s="336"/>
      <c r="AN180" s="336"/>
      <c r="AO180" s="336"/>
      <c r="AP180" s="336"/>
      <c r="AQ180" s="336"/>
      <c r="AR180" s="336"/>
      <c r="AS180" s="336"/>
      <c r="AT180" s="336"/>
      <c r="AU180" s="336"/>
      <c r="AV180" s="336"/>
      <c r="AW180" s="336"/>
      <c r="AX180" s="336"/>
      <c r="AY180" s="336"/>
      <c r="AZ180" s="336"/>
      <c r="BA180" s="336"/>
      <c r="BB180" s="336"/>
      <c r="BC180" s="336"/>
      <c r="BD180" s="336"/>
      <c r="BE180" s="336"/>
      <c r="BF180" s="336"/>
    </row>
    <row r="181" spans="1:58" s="351" customFormat="1" x14ac:dyDescent="0.25">
      <c r="A181" s="336"/>
      <c r="B181" s="336"/>
      <c r="C181" s="336"/>
      <c r="D181" s="336"/>
      <c r="E181" s="336"/>
      <c r="F181" s="336"/>
      <c r="G181" s="336"/>
      <c r="H181" s="336"/>
      <c r="M181" s="352"/>
      <c r="N181" s="353"/>
      <c r="O181" s="353"/>
      <c r="T181" s="377"/>
      <c r="U181" s="352"/>
      <c r="V181" s="352"/>
      <c r="W181" s="352"/>
      <c r="X181" s="375"/>
      <c r="Y181" s="375"/>
      <c r="Z181" s="336"/>
      <c r="AA181" s="353"/>
      <c r="AB181" s="336"/>
      <c r="AC181" s="336"/>
      <c r="AD181" s="336"/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336"/>
      <c r="AS181" s="336"/>
      <c r="AT181" s="336"/>
      <c r="AU181" s="336"/>
      <c r="AV181" s="336"/>
      <c r="AW181" s="336"/>
      <c r="AX181" s="336"/>
      <c r="AY181" s="336"/>
      <c r="AZ181" s="336"/>
      <c r="BA181" s="336"/>
      <c r="BB181" s="336"/>
      <c r="BC181" s="336"/>
      <c r="BD181" s="336"/>
      <c r="BE181" s="336"/>
      <c r="BF181" s="336"/>
    </row>
    <row r="182" spans="1:58" s="351" customFormat="1" x14ac:dyDescent="0.25">
      <c r="A182" s="336"/>
      <c r="B182" s="336"/>
      <c r="C182" s="336"/>
      <c r="D182" s="336"/>
      <c r="E182" s="336"/>
      <c r="F182" s="336"/>
      <c r="G182" s="336"/>
      <c r="H182" s="336"/>
      <c r="M182" s="352"/>
      <c r="N182" s="353"/>
      <c r="O182" s="353"/>
      <c r="T182" s="377"/>
      <c r="U182" s="352"/>
      <c r="V182" s="352"/>
      <c r="W182" s="352"/>
      <c r="X182" s="375"/>
      <c r="Y182" s="375"/>
      <c r="Z182" s="336"/>
      <c r="AA182" s="353"/>
      <c r="AB182" s="336"/>
      <c r="AC182" s="336"/>
      <c r="AD182" s="336"/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336"/>
      <c r="AS182" s="336"/>
      <c r="AT182" s="336"/>
      <c r="AU182" s="336"/>
      <c r="AV182" s="336"/>
      <c r="AW182" s="336"/>
      <c r="AX182" s="336"/>
      <c r="AY182" s="336"/>
      <c r="AZ182" s="336"/>
      <c r="BA182" s="336"/>
      <c r="BB182" s="336"/>
      <c r="BC182" s="336"/>
      <c r="BD182" s="336"/>
      <c r="BE182" s="336"/>
      <c r="BF182" s="336"/>
    </row>
    <row r="183" spans="1:58" s="351" customFormat="1" x14ac:dyDescent="0.25">
      <c r="A183" s="336"/>
      <c r="B183" s="336"/>
      <c r="C183" s="336"/>
      <c r="D183" s="336"/>
      <c r="E183" s="336"/>
      <c r="F183" s="336"/>
      <c r="G183" s="336"/>
      <c r="H183" s="336"/>
      <c r="M183" s="352"/>
      <c r="N183" s="353"/>
      <c r="O183" s="353"/>
      <c r="T183" s="377"/>
      <c r="U183" s="352"/>
      <c r="V183" s="352"/>
      <c r="W183" s="352"/>
      <c r="X183" s="375"/>
      <c r="Y183" s="375"/>
      <c r="Z183" s="336"/>
      <c r="AA183" s="353"/>
      <c r="AB183" s="336"/>
      <c r="AC183" s="336"/>
      <c r="AD183" s="336"/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336"/>
      <c r="AS183" s="336"/>
      <c r="AT183" s="336"/>
      <c r="AU183" s="336"/>
      <c r="AV183" s="336"/>
      <c r="AW183" s="336"/>
      <c r="AX183" s="336"/>
      <c r="AY183" s="336"/>
      <c r="AZ183" s="336"/>
      <c r="BA183" s="336"/>
      <c r="BB183" s="336"/>
      <c r="BC183" s="336"/>
      <c r="BD183" s="336"/>
      <c r="BE183" s="336"/>
      <c r="BF183" s="336"/>
    </row>
    <row r="184" spans="1:58" s="351" customFormat="1" x14ac:dyDescent="0.25">
      <c r="A184" s="336"/>
      <c r="B184" s="336"/>
      <c r="C184" s="336"/>
      <c r="D184" s="336"/>
      <c r="E184" s="336"/>
      <c r="F184" s="336"/>
      <c r="G184" s="336"/>
      <c r="H184" s="336"/>
      <c r="M184" s="352"/>
      <c r="N184" s="353"/>
      <c r="O184" s="353"/>
      <c r="T184" s="377"/>
      <c r="U184" s="352"/>
      <c r="V184" s="352"/>
      <c r="W184" s="352"/>
      <c r="X184" s="375"/>
      <c r="Y184" s="375"/>
      <c r="Z184" s="336"/>
      <c r="AA184" s="353"/>
      <c r="AB184" s="336"/>
      <c r="AC184" s="336"/>
      <c r="AD184" s="336"/>
      <c r="AE184" s="336"/>
      <c r="AF184" s="336"/>
      <c r="AG184" s="336"/>
      <c r="AH184" s="336"/>
      <c r="AI184" s="336"/>
      <c r="AJ184" s="336"/>
      <c r="AK184" s="336"/>
      <c r="AL184" s="336"/>
      <c r="AM184" s="336"/>
      <c r="AN184" s="336"/>
      <c r="AO184" s="336"/>
      <c r="AP184" s="336"/>
      <c r="AQ184" s="336"/>
      <c r="AR184" s="336"/>
      <c r="AS184" s="336"/>
      <c r="AT184" s="336"/>
      <c r="AU184" s="336"/>
      <c r="AV184" s="336"/>
      <c r="AW184" s="336"/>
      <c r="AX184" s="336"/>
      <c r="AY184" s="336"/>
      <c r="AZ184" s="336"/>
      <c r="BA184" s="336"/>
      <c r="BB184" s="336"/>
      <c r="BC184" s="336"/>
      <c r="BD184" s="336"/>
      <c r="BE184" s="336"/>
      <c r="BF184" s="336"/>
    </row>
    <row r="185" spans="1:58" s="351" customFormat="1" x14ac:dyDescent="0.25">
      <c r="A185" s="336"/>
      <c r="B185" s="336"/>
      <c r="C185" s="336"/>
      <c r="D185" s="336"/>
      <c r="E185" s="336"/>
      <c r="F185" s="336"/>
      <c r="G185" s="336"/>
      <c r="H185" s="336"/>
      <c r="M185" s="352"/>
      <c r="N185" s="353"/>
      <c r="O185" s="353"/>
      <c r="T185" s="377"/>
      <c r="U185" s="352"/>
      <c r="V185" s="352"/>
      <c r="W185" s="352"/>
      <c r="X185" s="375"/>
      <c r="Y185" s="375"/>
      <c r="Z185" s="336"/>
      <c r="AA185" s="353"/>
      <c r="AB185" s="336"/>
      <c r="AC185" s="336"/>
      <c r="AD185" s="336"/>
      <c r="AE185" s="336"/>
      <c r="AF185" s="336"/>
      <c r="AG185" s="336"/>
      <c r="AH185" s="336"/>
      <c r="AI185" s="336"/>
      <c r="AJ185" s="336"/>
      <c r="AK185" s="336"/>
      <c r="AL185" s="336"/>
      <c r="AM185" s="336"/>
      <c r="AN185" s="336"/>
      <c r="AO185" s="336"/>
      <c r="AP185" s="336"/>
      <c r="AQ185" s="336"/>
      <c r="AR185" s="336"/>
      <c r="AS185" s="336"/>
      <c r="AT185" s="336"/>
      <c r="AU185" s="336"/>
      <c r="AV185" s="336"/>
      <c r="AW185" s="336"/>
      <c r="AX185" s="336"/>
      <c r="AY185" s="336"/>
      <c r="AZ185" s="336"/>
      <c r="BA185" s="336"/>
      <c r="BB185" s="336"/>
      <c r="BC185" s="336"/>
      <c r="BD185" s="336"/>
      <c r="BE185" s="336"/>
      <c r="BF185" s="336"/>
    </row>
    <row r="186" spans="1:58" s="351" customFormat="1" x14ac:dyDescent="0.25">
      <c r="A186" s="336"/>
      <c r="B186" s="336"/>
      <c r="C186" s="336"/>
      <c r="D186" s="336"/>
      <c r="E186" s="336"/>
      <c r="F186" s="336"/>
      <c r="G186" s="336"/>
      <c r="H186" s="336"/>
      <c r="M186" s="352"/>
      <c r="N186" s="353"/>
      <c r="O186" s="353"/>
      <c r="T186" s="377"/>
      <c r="U186" s="352"/>
      <c r="V186" s="352"/>
      <c r="W186" s="352"/>
      <c r="X186" s="375"/>
      <c r="Y186" s="375"/>
      <c r="Z186" s="336"/>
      <c r="AA186" s="353"/>
      <c r="AB186" s="336"/>
      <c r="AC186" s="336"/>
      <c r="AD186" s="336"/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336"/>
      <c r="AS186" s="336"/>
      <c r="AT186" s="336"/>
      <c r="AU186" s="336"/>
      <c r="AV186" s="336"/>
      <c r="AW186" s="336"/>
      <c r="AX186" s="336"/>
      <c r="AY186" s="336"/>
      <c r="AZ186" s="336"/>
      <c r="BA186" s="336"/>
      <c r="BB186" s="336"/>
      <c r="BC186" s="336"/>
      <c r="BD186" s="336"/>
      <c r="BE186" s="336"/>
      <c r="BF186" s="336"/>
    </row>
    <row r="187" spans="1:58" s="351" customFormat="1" x14ac:dyDescent="0.25">
      <c r="A187" s="336"/>
      <c r="B187" s="336"/>
      <c r="C187" s="336"/>
      <c r="D187" s="336"/>
      <c r="E187" s="336"/>
      <c r="F187" s="336"/>
      <c r="G187" s="336"/>
      <c r="H187" s="336"/>
      <c r="M187" s="352"/>
      <c r="N187" s="353"/>
      <c r="O187" s="353"/>
      <c r="T187" s="377"/>
      <c r="U187" s="352"/>
      <c r="V187" s="352"/>
      <c r="W187" s="352"/>
      <c r="X187" s="375"/>
      <c r="Y187" s="375"/>
      <c r="Z187" s="336"/>
      <c r="AA187" s="353"/>
      <c r="AB187" s="336"/>
      <c r="AC187" s="336"/>
      <c r="AD187" s="336"/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336"/>
      <c r="AS187" s="336"/>
      <c r="AT187" s="336"/>
      <c r="AU187" s="336"/>
      <c r="AV187" s="336"/>
      <c r="AW187" s="336"/>
      <c r="AX187" s="336"/>
      <c r="AY187" s="336"/>
      <c r="AZ187" s="336"/>
      <c r="BA187" s="336"/>
      <c r="BB187" s="336"/>
      <c r="BC187" s="336"/>
      <c r="BD187" s="336"/>
      <c r="BE187" s="336"/>
      <c r="BF187" s="336"/>
    </row>
    <row r="188" spans="1:58" s="351" customFormat="1" x14ac:dyDescent="0.25">
      <c r="A188" s="336"/>
      <c r="B188" s="336"/>
      <c r="C188" s="336"/>
      <c r="D188" s="336"/>
      <c r="E188" s="336"/>
      <c r="F188" s="336"/>
      <c r="G188" s="336"/>
      <c r="H188" s="336"/>
      <c r="M188" s="352"/>
      <c r="N188" s="353"/>
      <c r="O188" s="353"/>
      <c r="T188" s="377"/>
      <c r="U188" s="352"/>
      <c r="V188" s="352"/>
      <c r="W188" s="352"/>
      <c r="X188" s="375"/>
      <c r="Y188" s="375"/>
      <c r="Z188" s="336"/>
      <c r="AA188" s="353"/>
      <c r="AB188" s="336"/>
      <c r="AC188" s="336"/>
      <c r="AD188" s="336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336"/>
      <c r="AS188" s="336"/>
      <c r="AT188" s="336"/>
      <c r="AU188" s="336"/>
      <c r="AV188" s="336"/>
      <c r="AW188" s="336"/>
      <c r="AX188" s="336"/>
      <c r="AY188" s="336"/>
      <c r="AZ188" s="336"/>
      <c r="BA188" s="336"/>
      <c r="BB188" s="336"/>
      <c r="BC188" s="336"/>
      <c r="BD188" s="336"/>
      <c r="BE188" s="336"/>
      <c r="BF188" s="336"/>
    </row>
    <row r="189" spans="1:58" s="351" customFormat="1" x14ac:dyDescent="0.25">
      <c r="A189" s="336"/>
      <c r="B189" s="336"/>
      <c r="C189" s="336"/>
      <c r="D189" s="336"/>
      <c r="E189" s="336"/>
      <c r="F189" s="336"/>
      <c r="G189" s="336"/>
      <c r="H189" s="336"/>
      <c r="M189" s="352"/>
      <c r="N189" s="353"/>
      <c r="O189" s="353"/>
      <c r="T189" s="377"/>
      <c r="U189" s="352"/>
      <c r="V189" s="352"/>
      <c r="W189" s="352"/>
      <c r="X189" s="375"/>
      <c r="Y189" s="375"/>
      <c r="Z189" s="336"/>
      <c r="AA189" s="353"/>
      <c r="AB189" s="336"/>
      <c r="AC189" s="336"/>
      <c r="AD189" s="336"/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336"/>
      <c r="AS189" s="336"/>
      <c r="AT189" s="336"/>
      <c r="AU189" s="336"/>
      <c r="AV189" s="336"/>
      <c r="AW189" s="336"/>
      <c r="AX189" s="336"/>
      <c r="AY189" s="336"/>
      <c r="AZ189" s="336"/>
      <c r="BA189" s="336"/>
      <c r="BB189" s="336"/>
      <c r="BC189" s="336"/>
      <c r="BD189" s="336"/>
      <c r="BE189" s="336"/>
      <c r="BF189" s="336"/>
    </row>
    <row r="190" spans="1:58" s="351" customFormat="1" x14ac:dyDescent="0.25">
      <c r="A190" s="336"/>
      <c r="B190" s="336"/>
      <c r="C190" s="336"/>
      <c r="D190" s="336"/>
      <c r="E190" s="336"/>
      <c r="F190" s="336"/>
      <c r="G190" s="336"/>
      <c r="H190" s="336"/>
      <c r="M190" s="352"/>
      <c r="N190" s="353"/>
      <c r="O190" s="353"/>
      <c r="T190" s="377"/>
      <c r="U190" s="352"/>
      <c r="V190" s="352"/>
      <c r="W190" s="352"/>
      <c r="X190" s="375"/>
      <c r="Y190" s="375"/>
      <c r="Z190" s="336"/>
      <c r="AA190" s="353"/>
      <c r="AB190" s="336"/>
      <c r="AC190" s="336"/>
      <c r="AD190" s="336"/>
      <c r="AE190" s="336"/>
      <c r="AF190" s="336"/>
      <c r="AG190" s="336"/>
      <c r="AH190" s="336"/>
      <c r="AI190" s="336"/>
      <c r="AJ190" s="336"/>
      <c r="AK190" s="336"/>
      <c r="AL190" s="336"/>
      <c r="AM190" s="336"/>
      <c r="AN190" s="336"/>
      <c r="AO190" s="336"/>
      <c r="AP190" s="336"/>
      <c r="AQ190" s="336"/>
      <c r="AR190" s="336"/>
      <c r="AS190" s="336"/>
      <c r="AT190" s="336"/>
      <c r="AU190" s="336"/>
      <c r="AV190" s="336"/>
      <c r="AW190" s="336"/>
      <c r="AX190" s="336"/>
      <c r="AY190" s="336"/>
      <c r="AZ190" s="336"/>
      <c r="BA190" s="336"/>
      <c r="BB190" s="336"/>
      <c r="BC190" s="336"/>
      <c r="BD190" s="336"/>
      <c r="BE190" s="336"/>
      <c r="BF190" s="336"/>
    </row>
    <row r="191" spans="1:58" s="351" customFormat="1" x14ac:dyDescent="0.25">
      <c r="A191" s="336"/>
      <c r="B191" s="336"/>
      <c r="C191" s="336"/>
      <c r="D191" s="336"/>
      <c r="E191" s="336"/>
      <c r="F191" s="336"/>
      <c r="G191" s="336"/>
      <c r="H191" s="336"/>
      <c r="M191" s="352"/>
      <c r="N191" s="353"/>
      <c r="O191" s="353"/>
      <c r="T191" s="377"/>
      <c r="U191" s="352"/>
      <c r="V191" s="352"/>
      <c r="W191" s="352"/>
      <c r="X191" s="375"/>
      <c r="Y191" s="375"/>
      <c r="Z191" s="336"/>
      <c r="AA191" s="353"/>
      <c r="AB191" s="336"/>
      <c r="AC191" s="336"/>
      <c r="AD191" s="336"/>
      <c r="AE191" s="336"/>
      <c r="AF191" s="336"/>
      <c r="AG191" s="336"/>
      <c r="AH191" s="336"/>
      <c r="AI191" s="336"/>
      <c r="AJ191" s="336"/>
      <c r="AK191" s="336"/>
      <c r="AL191" s="336"/>
      <c r="AM191" s="336"/>
      <c r="AN191" s="336"/>
      <c r="AO191" s="336"/>
      <c r="AP191" s="336"/>
      <c r="AQ191" s="336"/>
      <c r="AR191" s="336"/>
      <c r="AS191" s="336"/>
      <c r="AT191" s="336"/>
      <c r="AU191" s="336"/>
      <c r="AV191" s="336"/>
      <c r="AW191" s="336"/>
      <c r="AX191" s="336"/>
      <c r="AY191" s="336"/>
      <c r="AZ191" s="336"/>
      <c r="BA191" s="336"/>
      <c r="BB191" s="336"/>
      <c r="BC191" s="336"/>
      <c r="BD191" s="336"/>
      <c r="BE191" s="336"/>
      <c r="BF191" s="336"/>
    </row>
    <row r="192" spans="1:58" s="351" customFormat="1" x14ac:dyDescent="0.25">
      <c r="A192" s="336"/>
      <c r="B192" s="336"/>
      <c r="C192" s="336"/>
      <c r="D192" s="336"/>
      <c r="E192" s="336"/>
      <c r="F192" s="336"/>
      <c r="G192" s="336"/>
      <c r="H192" s="336"/>
      <c r="M192" s="352"/>
      <c r="N192" s="353"/>
      <c r="O192" s="353"/>
      <c r="T192" s="377"/>
      <c r="U192" s="352"/>
      <c r="V192" s="352"/>
      <c r="W192" s="352"/>
      <c r="X192" s="375"/>
      <c r="Y192" s="375"/>
      <c r="Z192" s="336"/>
      <c r="AA192" s="353"/>
      <c r="AB192" s="336"/>
      <c r="AC192" s="336"/>
      <c r="AD192" s="336"/>
      <c r="AE192" s="336"/>
      <c r="AF192" s="336"/>
      <c r="AG192" s="336"/>
      <c r="AH192" s="336"/>
      <c r="AI192" s="336"/>
      <c r="AJ192" s="336"/>
      <c r="AK192" s="336"/>
      <c r="AL192" s="336"/>
      <c r="AM192" s="336"/>
      <c r="AN192" s="336"/>
      <c r="AO192" s="336"/>
      <c r="AP192" s="336"/>
      <c r="AQ192" s="336"/>
      <c r="AR192" s="336"/>
      <c r="AS192" s="336"/>
      <c r="AT192" s="336"/>
      <c r="AU192" s="336"/>
      <c r="AV192" s="336"/>
      <c r="AW192" s="336"/>
      <c r="AX192" s="336"/>
      <c r="AY192" s="336"/>
      <c r="AZ192" s="336"/>
      <c r="BA192" s="336"/>
      <c r="BB192" s="336"/>
      <c r="BC192" s="336"/>
      <c r="BD192" s="336"/>
      <c r="BE192" s="336"/>
      <c r="BF192" s="336"/>
    </row>
    <row r="193" spans="1:58" s="351" customFormat="1" x14ac:dyDescent="0.25">
      <c r="A193" s="336"/>
      <c r="B193" s="336"/>
      <c r="C193" s="336"/>
      <c r="D193" s="336"/>
      <c r="E193" s="336"/>
      <c r="F193" s="336"/>
      <c r="G193" s="336"/>
      <c r="H193" s="336"/>
      <c r="M193" s="352"/>
      <c r="N193" s="353"/>
      <c r="O193" s="353"/>
      <c r="T193" s="377"/>
      <c r="U193" s="352"/>
      <c r="V193" s="352"/>
      <c r="W193" s="352"/>
      <c r="X193" s="375"/>
      <c r="Y193" s="375"/>
      <c r="Z193" s="336"/>
      <c r="AA193" s="353"/>
      <c r="AB193" s="336"/>
      <c r="AC193" s="336"/>
      <c r="AD193" s="336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336"/>
      <c r="AS193" s="336"/>
      <c r="AT193" s="336"/>
      <c r="AU193" s="336"/>
      <c r="AV193" s="336"/>
      <c r="AW193" s="336"/>
      <c r="AX193" s="336"/>
      <c r="AY193" s="336"/>
      <c r="AZ193" s="336"/>
      <c r="BA193" s="336"/>
      <c r="BB193" s="336"/>
      <c r="BC193" s="336"/>
      <c r="BD193" s="336"/>
      <c r="BE193" s="336"/>
      <c r="BF193" s="336"/>
    </row>
    <row r="194" spans="1:58" s="351" customFormat="1" x14ac:dyDescent="0.25">
      <c r="A194" s="336"/>
      <c r="B194" s="336"/>
      <c r="C194" s="336"/>
      <c r="D194" s="336"/>
      <c r="E194" s="336"/>
      <c r="F194" s="336"/>
      <c r="G194" s="336"/>
      <c r="H194" s="336"/>
      <c r="M194" s="352"/>
      <c r="N194" s="353"/>
      <c r="O194" s="353"/>
      <c r="T194" s="377"/>
      <c r="U194" s="352"/>
      <c r="V194" s="352"/>
      <c r="W194" s="352"/>
      <c r="X194" s="375"/>
      <c r="Y194" s="375"/>
      <c r="Z194" s="336"/>
      <c r="AA194" s="353"/>
      <c r="AB194" s="336"/>
      <c r="AC194" s="336"/>
      <c r="AD194" s="336"/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336"/>
      <c r="AS194" s="336"/>
      <c r="AT194" s="336"/>
      <c r="AU194" s="336"/>
      <c r="AV194" s="336"/>
      <c r="AW194" s="336"/>
      <c r="AX194" s="336"/>
      <c r="AY194" s="336"/>
      <c r="AZ194" s="336"/>
      <c r="BA194" s="336"/>
      <c r="BB194" s="336"/>
      <c r="BC194" s="336"/>
      <c r="BD194" s="336"/>
      <c r="BE194" s="336"/>
      <c r="BF194" s="336"/>
    </row>
    <row r="195" spans="1:58" s="351" customFormat="1" x14ac:dyDescent="0.25">
      <c r="A195" s="336"/>
      <c r="B195" s="336"/>
      <c r="C195" s="336"/>
      <c r="D195" s="336"/>
      <c r="E195" s="336"/>
      <c r="F195" s="336"/>
      <c r="G195" s="336"/>
      <c r="H195" s="336"/>
      <c r="M195" s="352"/>
      <c r="N195" s="353"/>
      <c r="O195" s="353"/>
      <c r="T195" s="377"/>
      <c r="U195" s="352"/>
      <c r="V195" s="352"/>
      <c r="W195" s="352"/>
      <c r="X195" s="375"/>
      <c r="Y195" s="375"/>
      <c r="Z195" s="336"/>
      <c r="AA195" s="353"/>
      <c r="AB195" s="336"/>
      <c r="AC195" s="336"/>
      <c r="AD195" s="336"/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336"/>
      <c r="AS195" s="336"/>
      <c r="AT195" s="336"/>
      <c r="AU195" s="336"/>
      <c r="AV195" s="336"/>
      <c r="AW195" s="336"/>
      <c r="AX195" s="336"/>
      <c r="AY195" s="336"/>
      <c r="AZ195" s="336"/>
      <c r="BA195" s="336"/>
      <c r="BB195" s="336"/>
      <c r="BC195" s="336"/>
      <c r="BD195" s="336"/>
      <c r="BE195" s="336"/>
      <c r="BF195" s="336"/>
    </row>
    <row r="196" spans="1:58" s="351" customFormat="1" x14ac:dyDescent="0.25">
      <c r="A196" s="336"/>
      <c r="B196" s="336"/>
      <c r="C196" s="336"/>
      <c r="D196" s="336"/>
      <c r="E196" s="336"/>
      <c r="F196" s="336"/>
      <c r="G196" s="336"/>
      <c r="H196" s="336"/>
      <c r="M196" s="352"/>
      <c r="N196" s="353"/>
      <c r="O196" s="353"/>
      <c r="T196" s="377"/>
      <c r="U196" s="352"/>
      <c r="V196" s="352"/>
      <c r="W196" s="352"/>
      <c r="X196" s="375"/>
      <c r="Y196" s="375"/>
      <c r="Z196" s="336"/>
      <c r="AA196" s="353"/>
      <c r="AB196" s="336"/>
      <c r="AC196" s="336"/>
      <c r="AD196" s="336"/>
      <c r="AE196" s="336"/>
      <c r="AF196" s="336"/>
      <c r="AG196" s="336"/>
      <c r="AH196" s="336"/>
      <c r="AI196" s="336"/>
      <c r="AJ196" s="336"/>
      <c r="AK196" s="336"/>
      <c r="AL196" s="336"/>
      <c r="AM196" s="336"/>
      <c r="AN196" s="336"/>
      <c r="AO196" s="336"/>
      <c r="AP196" s="336"/>
      <c r="AQ196" s="336"/>
      <c r="AR196" s="336"/>
      <c r="AS196" s="336"/>
      <c r="AT196" s="336"/>
      <c r="AU196" s="336"/>
      <c r="AV196" s="336"/>
      <c r="AW196" s="336"/>
      <c r="AX196" s="336"/>
      <c r="AY196" s="336"/>
      <c r="AZ196" s="336"/>
      <c r="BA196" s="336"/>
      <c r="BB196" s="336"/>
      <c r="BC196" s="336"/>
      <c r="BD196" s="336"/>
      <c r="BE196" s="336"/>
      <c r="BF196" s="336"/>
    </row>
    <row r="197" spans="1:58" s="351" customFormat="1" x14ac:dyDescent="0.25">
      <c r="A197" s="336"/>
      <c r="B197" s="336"/>
      <c r="C197" s="336"/>
      <c r="D197" s="336"/>
      <c r="E197" s="336"/>
      <c r="F197" s="336"/>
      <c r="G197" s="336"/>
      <c r="H197" s="336"/>
      <c r="M197" s="352"/>
      <c r="N197" s="353"/>
      <c r="O197" s="353"/>
      <c r="T197" s="377"/>
      <c r="U197" s="352"/>
      <c r="V197" s="352"/>
      <c r="W197" s="352"/>
      <c r="X197" s="375"/>
      <c r="Y197" s="375"/>
      <c r="Z197" s="336"/>
      <c r="AA197" s="353"/>
      <c r="AB197" s="336"/>
      <c r="AC197" s="336"/>
      <c r="AD197" s="336"/>
      <c r="AE197" s="336"/>
      <c r="AF197" s="336"/>
      <c r="AG197" s="336"/>
      <c r="AH197" s="336"/>
      <c r="AI197" s="336"/>
      <c r="AJ197" s="336"/>
      <c r="AK197" s="336"/>
      <c r="AL197" s="336"/>
      <c r="AM197" s="336"/>
      <c r="AN197" s="336"/>
      <c r="AO197" s="336"/>
      <c r="AP197" s="336"/>
      <c r="AQ197" s="336"/>
      <c r="AR197" s="336"/>
      <c r="AS197" s="336"/>
      <c r="AT197" s="336"/>
      <c r="AU197" s="336"/>
      <c r="AV197" s="336"/>
      <c r="AW197" s="336"/>
      <c r="AX197" s="336"/>
      <c r="AY197" s="336"/>
      <c r="AZ197" s="336"/>
      <c r="BA197" s="336"/>
      <c r="BB197" s="336"/>
      <c r="BC197" s="336"/>
      <c r="BD197" s="336"/>
      <c r="BE197" s="336"/>
      <c r="BF197" s="336"/>
    </row>
    <row r="198" spans="1:58" s="351" customFormat="1" x14ac:dyDescent="0.25">
      <c r="A198" s="336"/>
      <c r="B198" s="336"/>
      <c r="C198" s="336"/>
      <c r="D198" s="336"/>
      <c r="E198" s="336"/>
      <c r="F198" s="336"/>
      <c r="G198" s="336"/>
      <c r="H198" s="336"/>
      <c r="M198" s="352"/>
      <c r="N198" s="353"/>
      <c r="O198" s="353"/>
      <c r="T198" s="377"/>
      <c r="U198" s="352"/>
      <c r="V198" s="352"/>
      <c r="W198" s="352"/>
      <c r="X198" s="375"/>
      <c r="Y198" s="375"/>
      <c r="Z198" s="336"/>
      <c r="AA198" s="353"/>
      <c r="AB198" s="336"/>
      <c r="AC198" s="336"/>
      <c r="AD198" s="336"/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336"/>
      <c r="AS198" s="336"/>
      <c r="AT198" s="336"/>
      <c r="AU198" s="336"/>
      <c r="AV198" s="336"/>
      <c r="AW198" s="336"/>
      <c r="AX198" s="336"/>
      <c r="AY198" s="336"/>
      <c r="AZ198" s="336"/>
      <c r="BA198" s="336"/>
      <c r="BB198" s="336"/>
      <c r="BC198" s="336"/>
      <c r="BD198" s="336"/>
      <c r="BE198" s="336"/>
      <c r="BF198" s="336"/>
    </row>
    <row r="199" spans="1:58" s="351" customFormat="1" x14ac:dyDescent="0.25">
      <c r="A199" s="336"/>
      <c r="B199" s="336"/>
      <c r="C199" s="336"/>
      <c r="D199" s="336"/>
      <c r="E199" s="336"/>
      <c r="F199" s="336"/>
      <c r="G199" s="336"/>
      <c r="H199" s="336"/>
      <c r="M199" s="352"/>
      <c r="N199" s="353"/>
      <c r="O199" s="353"/>
      <c r="T199" s="377"/>
      <c r="U199" s="352"/>
      <c r="V199" s="352"/>
      <c r="W199" s="352"/>
      <c r="X199" s="375"/>
      <c r="Y199" s="375"/>
      <c r="Z199" s="336"/>
      <c r="AA199" s="353"/>
      <c r="AB199" s="336"/>
      <c r="AC199" s="336"/>
      <c r="AD199" s="336"/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336"/>
      <c r="AS199" s="336"/>
      <c r="AT199" s="336"/>
      <c r="AU199" s="336"/>
      <c r="AV199" s="336"/>
      <c r="AW199" s="336"/>
      <c r="AX199" s="336"/>
      <c r="AY199" s="336"/>
      <c r="AZ199" s="336"/>
      <c r="BA199" s="336"/>
      <c r="BB199" s="336"/>
      <c r="BC199" s="336"/>
      <c r="BD199" s="336"/>
      <c r="BE199" s="336"/>
      <c r="BF199" s="336"/>
    </row>
    <row r="200" spans="1:58" s="351" customFormat="1" x14ac:dyDescent="0.25">
      <c r="A200" s="336"/>
      <c r="B200" s="336"/>
      <c r="C200" s="336"/>
      <c r="D200" s="336"/>
      <c r="E200" s="336"/>
      <c r="F200" s="336"/>
      <c r="G200" s="336"/>
      <c r="H200" s="336"/>
      <c r="M200" s="352"/>
      <c r="N200" s="353"/>
      <c r="O200" s="353"/>
      <c r="T200" s="377"/>
      <c r="U200" s="352"/>
      <c r="V200" s="352"/>
      <c r="W200" s="352"/>
      <c r="X200" s="375"/>
      <c r="Y200" s="375"/>
      <c r="Z200" s="336"/>
      <c r="AA200" s="353"/>
      <c r="AB200" s="336"/>
      <c r="AC200" s="336"/>
      <c r="AD200" s="336"/>
      <c r="AE200" s="336"/>
      <c r="AF200" s="336"/>
      <c r="AG200" s="336"/>
      <c r="AH200" s="336"/>
      <c r="AI200" s="336"/>
      <c r="AJ200" s="336"/>
      <c r="AK200" s="336"/>
      <c r="AL200" s="336"/>
      <c r="AM200" s="336"/>
      <c r="AN200" s="336"/>
      <c r="AO200" s="336"/>
      <c r="AP200" s="336"/>
      <c r="AQ200" s="336"/>
      <c r="AR200" s="336"/>
      <c r="AS200" s="336"/>
      <c r="AT200" s="336"/>
      <c r="AU200" s="336"/>
      <c r="AV200" s="336"/>
      <c r="AW200" s="336"/>
      <c r="AX200" s="336"/>
      <c r="AY200" s="336"/>
      <c r="AZ200" s="336"/>
      <c r="BA200" s="336"/>
      <c r="BB200" s="336"/>
      <c r="BC200" s="336"/>
      <c r="BD200" s="336"/>
      <c r="BE200" s="336"/>
      <c r="BF200" s="336"/>
    </row>
    <row r="201" spans="1:58" s="351" customFormat="1" x14ac:dyDescent="0.25">
      <c r="A201" s="336"/>
      <c r="B201" s="336"/>
      <c r="C201" s="336"/>
      <c r="D201" s="336"/>
      <c r="E201" s="336"/>
      <c r="F201" s="336"/>
      <c r="G201" s="336"/>
      <c r="H201" s="336"/>
      <c r="M201" s="352"/>
      <c r="N201" s="353"/>
      <c r="O201" s="353"/>
      <c r="T201" s="377"/>
      <c r="U201" s="352"/>
      <c r="V201" s="352"/>
      <c r="W201" s="352"/>
      <c r="X201" s="375"/>
      <c r="Y201" s="375"/>
      <c r="Z201" s="336"/>
      <c r="AA201" s="353"/>
      <c r="AB201" s="336"/>
      <c r="AC201" s="336"/>
      <c r="AD201" s="336"/>
      <c r="AE201" s="336"/>
      <c r="AF201" s="336"/>
      <c r="AG201" s="336"/>
      <c r="AH201" s="336"/>
      <c r="AI201" s="336"/>
      <c r="AJ201" s="336"/>
      <c r="AK201" s="336"/>
      <c r="AL201" s="336"/>
      <c r="AM201" s="336"/>
      <c r="AN201" s="336"/>
      <c r="AO201" s="336"/>
      <c r="AP201" s="336"/>
      <c r="AQ201" s="336"/>
      <c r="AR201" s="336"/>
      <c r="AS201" s="336"/>
      <c r="AT201" s="336"/>
      <c r="AU201" s="336"/>
      <c r="AV201" s="336"/>
      <c r="AW201" s="336"/>
      <c r="AX201" s="336"/>
      <c r="AY201" s="336"/>
      <c r="AZ201" s="336"/>
      <c r="BA201" s="336"/>
      <c r="BB201" s="336"/>
      <c r="BC201" s="336"/>
      <c r="BD201" s="336"/>
      <c r="BE201" s="336"/>
      <c r="BF201" s="336"/>
    </row>
    <row r="202" spans="1:58" s="351" customFormat="1" x14ac:dyDescent="0.25">
      <c r="A202" s="336"/>
      <c r="B202" s="336"/>
      <c r="C202" s="336"/>
      <c r="D202" s="336"/>
      <c r="E202" s="336"/>
      <c r="F202" s="336"/>
      <c r="G202" s="336"/>
      <c r="H202" s="336"/>
      <c r="M202" s="352"/>
      <c r="N202" s="353"/>
      <c r="O202" s="353"/>
      <c r="T202" s="377"/>
      <c r="U202" s="352"/>
      <c r="V202" s="352"/>
      <c r="W202" s="352"/>
      <c r="X202" s="375"/>
      <c r="Y202" s="375"/>
      <c r="Z202" s="336"/>
      <c r="AA202" s="353"/>
      <c r="AB202" s="336"/>
      <c r="AC202" s="336"/>
      <c r="AD202" s="336"/>
      <c r="AE202" s="336"/>
      <c r="AF202" s="336"/>
      <c r="AG202" s="336"/>
      <c r="AH202" s="336"/>
      <c r="AI202" s="336"/>
      <c r="AJ202" s="336"/>
      <c r="AK202" s="336"/>
      <c r="AL202" s="336"/>
      <c r="AM202" s="336"/>
      <c r="AN202" s="336"/>
      <c r="AO202" s="336"/>
      <c r="AP202" s="336"/>
      <c r="AQ202" s="336"/>
      <c r="AR202" s="336"/>
      <c r="AS202" s="336"/>
      <c r="AT202" s="336"/>
      <c r="AU202" s="336"/>
      <c r="AV202" s="336"/>
      <c r="AW202" s="336"/>
      <c r="AX202" s="336"/>
      <c r="AY202" s="336"/>
      <c r="AZ202" s="336"/>
      <c r="BA202" s="336"/>
      <c r="BB202" s="336"/>
      <c r="BC202" s="336"/>
      <c r="BD202" s="336"/>
      <c r="BE202" s="336"/>
      <c r="BF202" s="336"/>
    </row>
    <row r="203" spans="1:58" s="351" customFormat="1" x14ac:dyDescent="0.25">
      <c r="A203" s="336"/>
      <c r="B203" s="336"/>
      <c r="C203" s="336"/>
      <c r="D203" s="336"/>
      <c r="E203" s="336"/>
      <c r="F203" s="336"/>
      <c r="G203" s="336"/>
      <c r="H203" s="336"/>
      <c r="M203" s="352"/>
      <c r="N203" s="353"/>
      <c r="O203" s="353"/>
      <c r="T203" s="377"/>
      <c r="U203" s="352"/>
      <c r="V203" s="352"/>
      <c r="W203" s="352"/>
      <c r="X203" s="375"/>
      <c r="Y203" s="375"/>
      <c r="Z203" s="336"/>
      <c r="AA203" s="353"/>
      <c r="AB203" s="336"/>
      <c r="AC203" s="336"/>
      <c r="AD203" s="336"/>
      <c r="AE203" s="336"/>
      <c r="AF203" s="336"/>
      <c r="AG203" s="336"/>
      <c r="AH203" s="336"/>
      <c r="AI203" s="336"/>
      <c r="AJ203" s="336"/>
      <c r="AK203" s="336"/>
      <c r="AL203" s="336"/>
      <c r="AM203" s="336"/>
      <c r="AN203" s="336"/>
      <c r="AO203" s="336"/>
      <c r="AP203" s="336"/>
      <c r="AQ203" s="336"/>
      <c r="AR203" s="336"/>
      <c r="AS203" s="336"/>
      <c r="AT203" s="336"/>
      <c r="AU203" s="336"/>
      <c r="AV203" s="336"/>
      <c r="AW203" s="336"/>
      <c r="AX203" s="336"/>
      <c r="AY203" s="336"/>
      <c r="AZ203" s="336"/>
      <c r="BA203" s="336"/>
      <c r="BB203" s="336"/>
      <c r="BC203" s="336"/>
      <c r="BD203" s="336"/>
      <c r="BE203" s="336"/>
      <c r="BF203" s="336"/>
    </row>
    <row r="204" spans="1:58" s="351" customFormat="1" x14ac:dyDescent="0.25">
      <c r="A204" s="336"/>
      <c r="B204" s="336"/>
      <c r="C204" s="336"/>
      <c r="D204" s="336"/>
      <c r="E204" s="336"/>
      <c r="F204" s="336"/>
      <c r="G204" s="336"/>
      <c r="H204" s="336"/>
      <c r="M204" s="352"/>
      <c r="N204" s="353"/>
      <c r="O204" s="353"/>
      <c r="T204" s="377"/>
      <c r="U204" s="352"/>
      <c r="V204" s="352"/>
      <c r="W204" s="352"/>
      <c r="X204" s="375"/>
      <c r="Y204" s="375"/>
      <c r="Z204" s="336"/>
      <c r="AA204" s="353"/>
      <c r="AB204" s="336"/>
      <c r="AC204" s="336"/>
      <c r="AD204" s="336"/>
      <c r="AE204" s="336"/>
      <c r="AF204" s="336"/>
      <c r="AG204" s="336"/>
      <c r="AH204" s="336"/>
      <c r="AI204" s="336"/>
      <c r="AJ204" s="336"/>
      <c r="AK204" s="336"/>
      <c r="AL204" s="336"/>
      <c r="AM204" s="336"/>
      <c r="AN204" s="336"/>
      <c r="AO204" s="336"/>
      <c r="AP204" s="336"/>
      <c r="AQ204" s="336"/>
      <c r="AR204" s="336"/>
      <c r="AS204" s="336"/>
      <c r="AT204" s="336"/>
      <c r="AU204" s="336"/>
      <c r="AV204" s="336"/>
      <c r="AW204" s="336"/>
      <c r="AX204" s="336"/>
      <c r="AY204" s="336"/>
      <c r="AZ204" s="336"/>
      <c r="BA204" s="336"/>
      <c r="BB204" s="336"/>
      <c r="BC204" s="336"/>
      <c r="BD204" s="336"/>
      <c r="BE204" s="336"/>
      <c r="BF204" s="336"/>
    </row>
    <row r="205" spans="1:58" s="351" customFormat="1" x14ac:dyDescent="0.25">
      <c r="A205" s="336"/>
      <c r="B205" s="336"/>
      <c r="C205" s="336"/>
      <c r="D205" s="336"/>
      <c r="E205" s="336"/>
      <c r="F205" s="336"/>
      <c r="G205" s="336"/>
      <c r="H205" s="336"/>
      <c r="M205" s="352"/>
      <c r="N205" s="353"/>
      <c r="O205" s="353"/>
      <c r="T205" s="377"/>
      <c r="U205" s="352"/>
      <c r="V205" s="352"/>
      <c r="W205" s="352"/>
      <c r="X205" s="375"/>
      <c r="Y205" s="375"/>
      <c r="Z205" s="336"/>
      <c r="AA205" s="353"/>
      <c r="AB205" s="336"/>
      <c r="AC205" s="336"/>
      <c r="AD205" s="336"/>
      <c r="AE205" s="336"/>
      <c r="AF205" s="336"/>
      <c r="AG205" s="336"/>
      <c r="AH205" s="336"/>
      <c r="AI205" s="336"/>
      <c r="AJ205" s="336"/>
      <c r="AK205" s="336"/>
      <c r="AL205" s="336"/>
      <c r="AM205" s="336"/>
      <c r="AN205" s="336"/>
      <c r="AO205" s="336"/>
      <c r="AP205" s="336"/>
      <c r="AQ205" s="336"/>
      <c r="AR205" s="336"/>
      <c r="AS205" s="336"/>
      <c r="AT205" s="336"/>
      <c r="AU205" s="336"/>
      <c r="AV205" s="336"/>
      <c r="AW205" s="336"/>
      <c r="AX205" s="336"/>
      <c r="AY205" s="336"/>
      <c r="AZ205" s="336"/>
      <c r="BA205" s="336"/>
      <c r="BB205" s="336"/>
      <c r="BC205" s="336"/>
      <c r="BD205" s="336"/>
      <c r="BE205" s="336"/>
      <c r="BF205" s="336"/>
    </row>
    <row r="206" spans="1:58" s="351" customFormat="1" x14ac:dyDescent="0.25">
      <c r="A206" s="336"/>
      <c r="B206" s="336"/>
      <c r="C206" s="336"/>
      <c r="D206" s="336"/>
      <c r="E206" s="336"/>
      <c r="F206" s="336"/>
      <c r="G206" s="336"/>
      <c r="H206" s="336"/>
      <c r="M206" s="352"/>
      <c r="N206" s="353"/>
      <c r="O206" s="353"/>
      <c r="T206" s="377"/>
      <c r="U206" s="352"/>
      <c r="V206" s="352"/>
      <c r="W206" s="352"/>
      <c r="X206" s="375"/>
      <c r="Y206" s="375"/>
      <c r="Z206" s="336"/>
      <c r="AA206" s="353"/>
      <c r="AB206" s="336"/>
      <c r="AC206" s="336"/>
      <c r="AD206" s="336"/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336"/>
      <c r="AS206" s="336"/>
      <c r="AT206" s="336"/>
      <c r="AU206" s="336"/>
      <c r="AV206" s="336"/>
      <c r="AW206" s="336"/>
      <c r="AX206" s="336"/>
      <c r="AY206" s="336"/>
      <c r="AZ206" s="336"/>
      <c r="BA206" s="336"/>
      <c r="BB206" s="336"/>
      <c r="BC206" s="336"/>
      <c r="BD206" s="336"/>
      <c r="BE206" s="336"/>
      <c r="BF206" s="336"/>
    </row>
    <row r="207" spans="1:58" s="351" customFormat="1" x14ac:dyDescent="0.25">
      <c r="A207" s="336"/>
      <c r="B207" s="336"/>
      <c r="C207" s="336"/>
      <c r="D207" s="336"/>
      <c r="E207" s="336"/>
      <c r="F207" s="336"/>
      <c r="G207" s="336"/>
      <c r="H207" s="336"/>
      <c r="M207" s="352"/>
      <c r="N207" s="353"/>
      <c r="O207" s="353"/>
      <c r="T207" s="377"/>
      <c r="U207" s="352"/>
      <c r="V207" s="352"/>
      <c r="W207" s="352"/>
      <c r="X207" s="375"/>
      <c r="Y207" s="375"/>
      <c r="Z207" s="336"/>
      <c r="AA207" s="353"/>
      <c r="AB207" s="336"/>
      <c r="AC207" s="336"/>
      <c r="AD207" s="336"/>
      <c r="AE207" s="336"/>
      <c r="AF207" s="336"/>
      <c r="AG207" s="336"/>
      <c r="AH207" s="336"/>
      <c r="AI207" s="336"/>
      <c r="AJ207" s="336"/>
      <c r="AK207" s="336"/>
      <c r="AL207" s="336"/>
      <c r="AM207" s="336"/>
      <c r="AN207" s="336"/>
      <c r="AO207" s="336"/>
      <c r="AP207" s="336"/>
      <c r="AQ207" s="336"/>
      <c r="AR207" s="336"/>
      <c r="AS207" s="336"/>
      <c r="AT207" s="336"/>
      <c r="AU207" s="336"/>
      <c r="AV207" s="336"/>
      <c r="AW207" s="336"/>
      <c r="AX207" s="336"/>
      <c r="AY207" s="336"/>
      <c r="AZ207" s="336"/>
      <c r="BA207" s="336"/>
      <c r="BB207" s="336"/>
      <c r="BC207" s="336"/>
      <c r="BD207" s="336"/>
      <c r="BE207" s="336"/>
      <c r="BF207" s="336"/>
    </row>
    <row r="208" spans="1:58" s="351" customFormat="1" x14ac:dyDescent="0.25">
      <c r="A208" s="336"/>
      <c r="B208" s="336"/>
      <c r="C208" s="336"/>
      <c r="D208" s="336"/>
      <c r="E208" s="336"/>
      <c r="F208" s="336"/>
      <c r="G208" s="336"/>
      <c r="H208" s="336"/>
      <c r="M208" s="352"/>
      <c r="N208" s="353"/>
      <c r="O208" s="353"/>
      <c r="T208" s="377"/>
      <c r="U208" s="352"/>
      <c r="V208" s="352"/>
      <c r="W208" s="352"/>
      <c r="X208" s="375"/>
      <c r="Y208" s="375"/>
      <c r="Z208" s="336"/>
      <c r="AA208" s="353"/>
      <c r="AB208" s="336"/>
      <c r="AC208" s="336"/>
      <c r="AD208" s="336"/>
      <c r="AE208" s="336"/>
      <c r="AF208" s="336"/>
      <c r="AG208" s="336"/>
      <c r="AH208" s="336"/>
      <c r="AI208" s="336"/>
      <c r="AJ208" s="336"/>
      <c r="AK208" s="336"/>
      <c r="AL208" s="336"/>
      <c r="AM208" s="336"/>
      <c r="AN208" s="336"/>
      <c r="AO208" s="336"/>
      <c r="AP208" s="336"/>
      <c r="AQ208" s="336"/>
      <c r="AR208" s="336"/>
      <c r="AS208" s="336"/>
      <c r="AT208" s="336"/>
      <c r="AU208" s="336"/>
      <c r="AV208" s="336"/>
      <c r="AW208" s="336"/>
      <c r="AX208" s="336"/>
      <c r="AY208" s="336"/>
      <c r="AZ208" s="336"/>
      <c r="BA208" s="336"/>
      <c r="BB208" s="336"/>
      <c r="BC208" s="336"/>
      <c r="BD208" s="336"/>
      <c r="BE208" s="336"/>
      <c r="BF208" s="336"/>
    </row>
    <row r="209" spans="1:58" s="351" customFormat="1" x14ac:dyDescent="0.25">
      <c r="A209" s="336"/>
      <c r="B209" s="336"/>
      <c r="C209" s="336"/>
      <c r="D209" s="336"/>
      <c r="E209" s="336"/>
      <c r="F209" s="336"/>
      <c r="G209" s="336"/>
      <c r="H209" s="336"/>
      <c r="M209" s="352"/>
      <c r="N209" s="353"/>
      <c r="O209" s="353"/>
      <c r="T209" s="377"/>
      <c r="U209" s="352"/>
      <c r="V209" s="352"/>
      <c r="W209" s="352"/>
      <c r="X209" s="375"/>
      <c r="Y209" s="375"/>
      <c r="Z209" s="336"/>
      <c r="AA209" s="353"/>
      <c r="AB209" s="336"/>
      <c r="AC209" s="336"/>
      <c r="AD209" s="336"/>
      <c r="AE209" s="336"/>
      <c r="AF209" s="336"/>
      <c r="AG209" s="336"/>
      <c r="AH209" s="336"/>
      <c r="AI209" s="336"/>
      <c r="AJ209" s="336"/>
      <c r="AK209" s="336"/>
      <c r="AL209" s="336"/>
      <c r="AM209" s="336"/>
      <c r="AN209" s="336"/>
      <c r="AO209" s="336"/>
      <c r="AP209" s="336"/>
      <c r="AQ209" s="336"/>
      <c r="AR209" s="336"/>
      <c r="AS209" s="336"/>
      <c r="AT209" s="336"/>
      <c r="AU209" s="336"/>
      <c r="AV209" s="336"/>
      <c r="AW209" s="336"/>
      <c r="AX209" s="336"/>
      <c r="AY209" s="336"/>
      <c r="AZ209" s="336"/>
      <c r="BA209" s="336"/>
      <c r="BB209" s="336"/>
      <c r="BC209" s="336"/>
      <c r="BD209" s="336"/>
      <c r="BE209" s="336"/>
      <c r="BF209" s="336"/>
    </row>
    <row r="210" spans="1:58" s="351" customFormat="1" x14ac:dyDescent="0.25">
      <c r="A210" s="336"/>
      <c r="B210" s="336"/>
      <c r="C210" s="336"/>
      <c r="D210" s="336"/>
      <c r="E210" s="336"/>
      <c r="F210" s="336"/>
      <c r="G210" s="336"/>
      <c r="H210" s="336"/>
      <c r="M210" s="352"/>
      <c r="N210" s="353"/>
      <c r="O210" s="353"/>
      <c r="T210" s="377"/>
      <c r="U210" s="352"/>
      <c r="V210" s="352"/>
      <c r="W210" s="352"/>
      <c r="X210" s="375"/>
      <c r="Y210" s="375"/>
      <c r="Z210" s="336"/>
      <c r="AA210" s="353"/>
      <c r="AB210" s="336"/>
      <c r="AC210" s="336"/>
      <c r="AD210" s="336"/>
      <c r="AE210" s="336"/>
      <c r="AF210" s="336"/>
      <c r="AG210" s="336"/>
      <c r="AH210" s="336"/>
      <c r="AI210" s="336"/>
      <c r="AJ210" s="336"/>
      <c r="AK210" s="336"/>
      <c r="AL210" s="336"/>
      <c r="AM210" s="336"/>
      <c r="AN210" s="336"/>
      <c r="AO210" s="336"/>
      <c r="AP210" s="336"/>
      <c r="AQ210" s="336"/>
      <c r="AR210" s="336"/>
      <c r="AS210" s="336"/>
      <c r="AT210" s="336"/>
      <c r="AU210" s="336"/>
      <c r="AV210" s="336"/>
      <c r="AW210" s="336"/>
      <c r="AX210" s="336"/>
      <c r="AY210" s="336"/>
      <c r="AZ210" s="336"/>
      <c r="BA210" s="336"/>
      <c r="BB210" s="336"/>
      <c r="BC210" s="336"/>
      <c r="BD210" s="336"/>
      <c r="BE210" s="336"/>
      <c r="BF210" s="336"/>
    </row>
    <row r="211" spans="1:58" s="351" customFormat="1" x14ac:dyDescent="0.25">
      <c r="A211" s="336"/>
      <c r="B211" s="336"/>
      <c r="C211" s="336"/>
      <c r="D211" s="336"/>
      <c r="E211" s="336"/>
      <c r="F211" s="336"/>
      <c r="G211" s="336"/>
      <c r="H211" s="336"/>
      <c r="M211" s="352"/>
      <c r="N211" s="353"/>
      <c r="O211" s="353"/>
      <c r="T211" s="377"/>
      <c r="U211" s="352"/>
      <c r="V211" s="352"/>
      <c r="W211" s="352"/>
      <c r="X211" s="375"/>
      <c r="Y211" s="375"/>
      <c r="Z211" s="336"/>
      <c r="AA211" s="353"/>
      <c r="AB211" s="336"/>
      <c r="AC211" s="336"/>
      <c r="AD211" s="336"/>
      <c r="AE211" s="336"/>
      <c r="AF211" s="336"/>
      <c r="AG211" s="336"/>
      <c r="AH211" s="336"/>
      <c r="AI211" s="336"/>
      <c r="AJ211" s="336"/>
      <c r="AK211" s="336"/>
      <c r="AL211" s="336"/>
      <c r="AM211" s="336"/>
      <c r="AN211" s="336"/>
      <c r="AO211" s="336"/>
      <c r="AP211" s="336"/>
      <c r="AQ211" s="336"/>
      <c r="AR211" s="336"/>
      <c r="AS211" s="336"/>
      <c r="AT211" s="336"/>
      <c r="AU211" s="336"/>
      <c r="AV211" s="336"/>
      <c r="AW211" s="336"/>
      <c r="AX211" s="336"/>
      <c r="AY211" s="336"/>
      <c r="AZ211" s="336"/>
      <c r="BA211" s="336"/>
      <c r="BB211" s="336"/>
      <c r="BC211" s="336"/>
      <c r="BD211" s="336"/>
      <c r="BE211" s="336"/>
      <c r="BF211" s="336"/>
    </row>
    <row r="212" spans="1:58" s="351" customFormat="1" x14ac:dyDescent="0.25">
      <c r="A212" s="336"/>
      <c r="B212" s="336"/>
      <c r="C212" s="336"/>
      <c r="D212" s="336"/>
      <c r="E212" s="336"/>
      <c r="F212" s="336"/>
      <c r="G212" s="336"/>
      <c r="H212" s="336"/>
      <c r="M212" s="352"/>
      <c r="N212" s="353"/>
      <c r="O212" s="353"/>
      <c r="T212" s="377"/>
      <c r="U212" s="352"/>
      <c r="V212" s="352"/>
      <c r="W212" s="352"/>
      <c r="X212" s="375"/>
      <c r="Y212" s="375"/>
      <c r="Z212" s="336"/>
      <c r="AA212" s="353"/>
      <c r="AB212" s="336"/>
      <c r="AC212" s="336"/>
      <c r="AD212" s="336"/>
      <c r="AE212" s="336"/>
      <c r="AF212" s="336"/>
      <c r="AG212" s="336"/>
      <c r="AH212" s="336"/>
      <c r="AI212" s="336"/>
      <c r="AJ212" s="336"/>
      <c r="AK212" s="336"/>
      <c r="AL212" s="336"/>
      <c r="AM212" s="336"/>
      <c r="AN212" s="336"/>
      <c r="AO212" s="336"/>
      <c r="AP212" s="336"/>
      <c r="AQ212" s="336"/>
      <c r="AR212" s="336"/>
      <c r="AS212" s="336"/>
      <c r="AT212" s="336"/>
      <c r="AU212" s="336"/>
      <c r="AV212" s="336"/>
      <c r="AW212" s="336"/>
      <c r="AX212" s="336"/>
      <c r="AY212" s="336"/>
      <c r="AZ212" s="336"/>
      <c r="BA212" s="336"/>
      <c r="BB212" s="336"/>
      <c r="BC212" s="336"/>
      <c r="BD212" s="336"/>
      <c r="BE212" s="336"/>
      <c r="BF212" s="336"/>
    </row>
    <row r="213" spans="1:58" s="351" customFormat="1" x14ac:dyDescent="0.25">
      <c r="A213" s="336"/>
      <c r="B213" s="336"/>
      <c r="C213" s="336"/>
      <c r="D213" s="336"/>
      <c r="E213" s="336"/>
      <c r="F213" s="336"/>
      <c r="G213" s="336"/>
      <c r="H213" s="336"/>
      <c r="M213" s="352"/>
      <c r="N213" s="353"/>
      <c r="O213" s="353"/>
      <c r="T213" s="377"/>
      <c r="U213" s="352"/>
      <c r="V213" s="352"/>
      <c r="W213" s="352"/>
      <c r="X213" s="375"/>
      <c r="Y213" s="375"/>
      <c r="Z213" s="336"/>
      <c r="AA213" s="353"/>
      <c r="AB213" s="336"/>
      <c r="AC213" s="336"/>
      <c r="AD213" s="336"/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336"/>
      <c r="AQ213" s="336"/>
      <c r="AR213" s="336"/>
      <c r="AS213" s="336"/>
      <c r="AT213" s="336"/>
      <c r="AU213" s="336"/>
      <c r="AV213" s="336"/>
      <c r="AW213" s="336"/>
      <c r="AX213" s="336"/>
      <c r="AY213" s="336"/>
      <c r="AZ213" s="336"/>
      <c r="BA213" s="336"/>
      <c r="BB213" s="336"/>
      <c r="BC213" s="336"/>
      <c r="BD213" s="336"/>
      <c r="BE213" s="336"/>
      <c r="BF213" s="336"/>
    </row>
    <row r="214" spans="1:58" s="351" customFormat="1" x14ac:dyDescent="0.25">
      <c r="A214" s="336"/>
      <c r="B214" s="336"/>
      <c r="C214" s="336"/>
      <c r="D214" s="336"/>
      <c r="E214" s="336"/>
      <c r="F214" s="336"/>
      <c r="G214" s="336"/>
      <c r="H214" s="336"/>
      <c r="M214" s="352"/>
      <c r="N214" s="353"/>
      <c r="O214" s="353"/>
      <c r="T214" s="377"/>
      <c r="U214" s="352"/>
      <c r="V214" s="352"/>
      <c r="W214" s="352"/>
      <c r="X214" s="375"/>
      <c r="Y214" s="375"/>
      <c r="Z214" s="336"/>
      <c r="AA214" s="353"/>
      <c r="AB214" s="336"/>
      <c r="AC214" s="336"/>
      <c r="AD214" s="336"/>
      <c r="AE214" s="336"/>
      <c r="AF214" s="336"/>
      <c r="AG214" s="336"/>
      <c r="AH214" s="336"/>
      <c r="AI214" s="336"/>
      <c r="AJ214" s="336"/>
      <c r="AK214" s="336"/>
      <c r="AL214" s="336"/>
      <c r="AM214" s="336"/>
      <c r="AN214" s="336"/>
      <c r="AO214" s="336"/>
      <c r="AP214" s="336"/>
      <c r="AQ214" s="336"/>
      <c r="AR214" s="336"/>
      <c r="AS214" s="336"/>
      <c r="AT214" s="336"/>
      <c r="AU214" s="336"/>
      <c r="AV214" s="336"/>
      <c r="AW214" s="336"/>
      <c r="AX214" s="336"/>
      <c r="AY214" s="336"/>
      <c r="AZ214" s="336"/>
      <c r="BA214" s="336"/>
      <c r="BB214" s="336"/>
      <c r="BC214" s="336"/>
      <c r="BD214" s="336"/>
      <c r="BE214" s="336"/>
      <c r="BF214" s="336"/>
    </row>
    <row r="215" spans="1:58" s="351" customFormat="1" x14ac:dyDescent="0.25">
      <c r="A215" s="336"/>
      <c r="B215" s="336"/>
      <c r="C215" s="336"/>
      <c r="D215" s="336"/>
      <c r="E215" s="336"/>
      <c r="F215" s="336"/>
      <c r="G215" s="336"/>
      <c r="H215" s="336"/>
      <c r="M215" s="352"/>
      <c r="N215" s="353"/>
      <c r="O215" s="353"/>
      <c r="T215" s="377"/>
      <c r="U215" s="352"/>
      <c r="V215" s="352"/>
      <c r="W215" s="352"/>
      <c r="X215" s="375"/>
      <c r="Y215" s="375"/>
      <c r="Z215" s="336"/>
      <c r="AA215" s="353"/>
      <c r="AB215" s="336"/>
      <c r="AC215" s="336"/>
      <c r="AD215" s="336"/>
      <c r="AE215" s="336"/>
      <c r="AF215" s="336"/>
      <c r="AG215" s="336"/>
      <c r="AH215" s="336"/>
      <c r="AI215" s="336"/>
      <c r="AJ215" s="336"/>
      <c r="AK215" s="336"/>
      <c r="AL215" s="336"/>
      <c r="AM215" s="336"/>
      <c r="AN215" s="336"/>
      <c r="AO215" s="336"/>
      <c r="AP215" s="336"/>
      <c r="AQ215" s="336"/>
      <c r="AR215" s="336"/>
      <c r="AS215" s="336"/>
      <c r="AT215" s="336"/>
      <c r="AU215" s="336"/>
      <c r="AV215" s="336"/>
      <c r="AW215" s="336"/>
      <c r="AX215" s="336"/>
      <c r="AY215" s="336"/>
      <c r="AZ215" s="336"/>
      <c r="BA215" s="336"/>
      <c r="BB215" s="336"/>
      <c r="BC215" s="336"/>
      <c r="BD215" s="336"/>
      <c r="BE215" s="336"/>
      <c r="BF215" s="336"/>
    </row>
    <row r="216" spans="1:58" s="351" customFormat="1" x14ac:dyDescent="0.25">
      <c r="A216" s="336"/>
      <c r="B216" s="336"/>
      <c r="C216" s="336"/>
      <c r="D216" s="336"/>
      <c r="E216" s="336"/>
      <c r="F216" s="336"/>
      <c r="G216" s="336"/>
      <c r="H216" s="336"/>
      <c r="M216" s="352"/>
      <c r="N216" s="353"/>
      <c r="O216" s="353"/>
      <c r="T216" s="377"/>
      <c r="U216" s="352"/>
      <c r="V216" s="352"/>
      <c r="W216" s="352"/>
      <c r="X216" s="375"/>
      <c r="Y216" s="375"/>
      <c r="Z216" s="336"/>
      <c r="AA216" s="353"/>
      <c r="AB216" s="336"/>
      <c r="AC216" s="336"/>
      <c r="AD216" s="336"/>
      <c r="AE216" s="336"/>
      <c r="AF216" s="336"/>
      <c r="AG216" s="336"/>
      <c r="AH216" s="336"/>
      <c r="AI216" s="336"/>
      <c r="AJ216" s="336"/>
      <c r="AK216" s="336"/>
      <c r="AL216" s="336"/>
      <c r="AM216" s="336"/>
      <c r="AN216" s="336"/>
      <c r="AO216" s="336"/>
      <c r="AP216" s="336"/>
      <c r="AQ216" s="336"/>
      <c r="AR216" s="336"/>
      <c r="AS216" s="336"/>
      <c r="AT216" s="336"/>
      <c r="AU216" s="336"/>
      <c r="AV216" s="336"/>
      <c r="AW216" s="336"/>
      <c r="AX216" s="336"/>
      <c r="AY216" s="336"/>
      <c r="AZ216" s="336"/>
      <c r="BA216" s="336"/>
      <c r="BB216" s="336"/>
      <c r="BC216" s="336"/>
      <c r="BD216" s="336"/>
      <c r="BE216" s="336"/>
      <c r="BF216" s="336"/>
    </row>
    <row r="217" spans="1:58" s="351" customFormat="1" x14ac:dyDescent="0.25">
      <c r="A217" s="336"/>
      <c r="B217" s="336"/>
      <c r="C217" s="336"/>
      <c r="D217" s="336"/>
      <c r="E217" s="336"/>
      <c r="F217" s="336"/>
      <c r="G217" s="336"/>
      <c r="H217" s="336"/>
      <c r="M217" s="352"/>
      <c r="N217" s="353"/>
      <c r="O217" s="353"/>
      <c r="T217" s="377"/>
      <c r="U217" s="352"/>
      <c r="V217" s="352"/>
      <c r="W217" s="352"/>
      <c r="X217" s="375"/>
      <c r="Y217" s="375"/>
      <c r="Z217" s="336"/>
      <c r="AA217" s="353"/>
      <c r="AB217" s="336"/>
      <c r="AC217" s="336"/>
      <c r="AD217" s="336"/>
      <c r="AE217" s="336"/>
      <c r="AF217" s="336"/>
      <c r="AG217" s="336"/>
      <c r="AH217" s="336"/>
      <c r="AI217" s="336"/>
      <c r="AJ217" s="336"/>
      <c r="AK217" s="336"/>
      <c r="AL217" s="336"/>
      <c r="AM217" s="336"/>
      <c r="AN217" s="336"/>
      <c r="AO217" s="336"/>
      <c r="AP217" s="336"/>
      <c r="AQ217" s="336"/>
      <c r="AR217" s="336"/>
      <c r="AS217" s="336"/>
      <c r="AT217" s="336"/>
      <c r="AU217" s="336"/>
      <c r="AV217" s="336"/>
      <c r="AW217" s="336"/>
      <c r="AX217" s="336"/>
      <c r="AY217" s="336"/>
      <c r="AZ217" s="336"/>
      <c r="BA217" s="336"/>
      <c r="BB217" s="336"/>
      <c r="BC217" s="336"/>
      <c r="BD217" s="336"/>
      <c r="BE217" s="336"/>
      <c r="BF217" s="336"/>
    </row>
    <row r="218" spans="1:58" s="351" customFormat="1" x14ac:dyDescent="0.25">
      <c r="A218" s="336"/>
      <c r="B218" s="336"/>
      <c r="C218" s="336"/>
      <c r="D218" s="336"/>
      <c r="E218" s="336"/>
      <c r="F218" s="336"/>
      <c r="G218" s="336"/>
      <c r="H218" s="336"/>
      <c r="M218" s="352"/>
      <c r="N218" s="353"/>
      <c r="O218" s="353"/>
      <c r="T218" s="377"/>
      <c r="U218" s="352"/>
      <c r="V218" s="352"/>
      <c r="W218" s="352"/>
      <c r="X218" s="375"/>
      <c r="Y218" s="375"/>
      <c r="Z218" s="336"/>
      <c r="AA218" s="353"/>
      <c r="AB218" s="336"/>
      <c r="AC218" s="336"/>
      <c r="AD218" s="336"/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336"/>
      <c r="AS218" s="336"/>
      <c r="AT218" s="336"/>
      <c r="AU218" s="336"/>
      <c r="AV218" s="336"/>
      <c r="AW218" s="336"/>
      <c r="AX218" s="336"/>
      <c r="AY218" s="336"/>
      <c r="AZ218" s="336"/>
      <c r="BA218" s="336"/>
      <c r="BB218" s="336"/>
      <c r="BC218" s="336"/>
      <c r="BD218" s="336"/>
      <c r="BE218" s="336"/>
      <c r="BF218" s="336"/>
    </row>
    <row r="219" spans="1:58" s="351" customFormat="1" x14ac:dyDescent="0.25">
      <c r="A219" s="336"/>
      <c r="B219" s="336"/>
      <c r="C219" s="336"/>
      <c r="D219" s="336"/>
      <c r="E219" s="336"/>
      <c r="F219" s="336"/>
      <c r="G219" s="336"/>
      <c r="H219" s="336"/>
      <c r="M219" s="352"/>
      <c r="N219" s="353"/>
      <c r="O219" s="353"/>
      <c r="T219" s="377"/>
      <c r="U219" s="352"/>
      <c r="V219" s="352"/>
      <c r="W219" s="352"/>
      <c r="X219" s="375"/>
      <c r="Y219" s="375"/>
      <c r="Z219" s="336"/>
      <c r="AA219" s="353"/>
      <c r="AB219" s="336"/>
      <c r="AC219" s="336"/>
      <c r="AD219" s="336"/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336"/>
      <c r="AS219" s="336"/>
      <c r="AT219" s="336"/>
      <c r="AU219" s="336"/>
      <c r="AV219" s="336"/>
      <c r="AW219" s="336"/>
      <c r="AX219" s="336"/>
      <c r="AY219" s="336"/>
      <c r="AZ219" s="336"/>
      <c r="BA219" s="336"/>
      <c r="BB219" s="336"/>
      <c r="BC219" s="336"/>
      <c r="BD219" s="336"/>
      <c r="BE219" s="336"/>
      <c r="BF219" s="336"/>
    </row>
    <row r="220" spans="1:58" s="351" customFormat="1" x14ac:dyDescent="0.25">
      <c r="A220" s="336"/>
      <c r="B220" s="336"/>
      <c r="C220" s="336"/>
      <c r="D220" s="336"/>
      <c r="E220" s="336"/>
      <c r="F220" s="336"/>
      <c r="G220" s="336"/>
      <c r="H220" s="336"/>
      <c r="M220" s="352"/>
      <c r="N220" s="353"/>
      <c r="O220" s="353"/>
      <c r="T220" s="377"/>
      <c r="U220" s="352"/>
      <c r="V220" s="352"/>
      <c r="W220" s="352"/>
      <c r="X220" s="375"/>
      <c r="Y220" s="375"/>
      <c r="Z220" s="336"/>
      <c r="AA220" s="353"/>
      <c r="AB220" s="336"/>
      <c r="AC220" s="336"/>
      <c r="AD220" s="336"/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336"/>
      <c r="AS220" s="336"/>
      <c r="AT220" s="336"/>
      <c r="AU220" s="336"/>
      <c r="AV220" s="336"/>
      <c r="AW220" s="336"/>
      <c r="AX220" s="336"/>
      <c r="AY220" s="336"/>
      <c r="AZ220" s="336"/>
      <c r="BA220" s="336"/>
      <c r="BB220" s="336"/>
      <c r="BC220" s="336"/>
      <c r="BD220" s="336"/>
      <c r="BE220" s="336"/>
      <c r="BF220" s="336"/>
    </row>
    <row r="221" spans="1:58" s="351" customFormat="1" x14ac:dyDescent="0.25">
      <c r="A221" s="336"/>
      <c r="B221" s="336"/>
      <c r="C221" s="336"/>
      <c r="D221" s="336"/>
      <c r="E221" s="336"/>
      <c r="F221" s="336"/>
      <c r="G221" s="336"/>
      <c r="H221" s="336"/>
      <c r="M221" s="352"/>
      <c r="N221" s="353"/>
      <c r="O221" s="353"/>
      <c r="T221" s="377"/>
      <c r="U221" s="352"/>
      <c r="V221" s="352"/>
      <c r="W221" s="352"/>
      <c r="X221" s="375"/>
      <c r="Y221" s="375"/>
      <c r="Z221" s="336"/>
      <c r="AA221" s="353"/>
      <c r="AB221" s="336"/>
      <c r="AC221" s="336"/>
      <c r="AD221" s="336"/>
      <c r="AE221" s="336"/>
      <c r="AF221" s="336"/>
      <c r="AG221" s="336"/>
      <c r="AH221" s="336"/>
      <c r="AI221" s="336"/>
      <c r="AJ221" s="336"/>
      <c r="AK221" s="336"/>
      <c r="AL221" s="336"/>
      <c r="AM221" s="336"/>
      <c r="AN221" s="336"/>
      <c r="AO221" s="336"/>
      <c r="AP221" s="336"/>
      <c r="AQ221" s="336"/>
      <c r="AR221" s="336"/>
      <c r="AS221" s="336"/>
      <c r="AT221" s="336"/>
      <c r="AU221" s="336"/>
      <c r="AV221" s="336"/>
      <c r="AW221" s="336"/>
      <c r="AX221" s="336"/>
      <c r="AY221" s="336"/>
      <c r="AZ221" s="336"/>
      <c r="BA221" s="336"/>
      <c r="BB221" s="336"/>
      <c r="BC221" s="336"/>
      <c r="BD221" s="336"/>
      <c r="BE221" s="336"/>
      <c r="BF221" s="336"/>
    </row>
    <row r="222" spans="1:58" s="351" customFormat="1" x14ac:dyDescent="0.25">
      <c r="A222" s="336"/>
      <c r="B222" s="336"/>
      <c r="C222" s="336"/>
      <c r="D222" s="336"/>
      <c r="E222" s="336"/>
      <c r="F222" s="336"/>
      <c r="G222" s="336"/>
      <c r="H222" s="336"/>
      <c r="M222" s="352"/>
      <c r="N222" s="353"/>
      <c r="O222" s="353"/>
      <c r="T222" s="377"/>
      <c r="U222" s="352"/>
      <c r="V222" s="352"/>
      <c r="W222" s="352"/>
      <c r="X222" s="375"/>
      <c r="Y222" s="375"/>
      <c r="Z222" s="336"/>
      <c r="AA222" s="353"/>
      <c r="AB222" s="336"/>
      <c r="AC222" s="336"/>
      <c r="AD222" s="336"/>
      <c r="AE222" s="336"/>
      <c r="AF222" s="336"/>
      <c r="AG222" s="336"/>
      <c r="AH222" s="336"/>
      <c r="AI222" s="336"/>
      <c r="AJ222" s="336"/>
      <c r="AK222" s="336"/>
      <c r="AL222" s="336"/>
      <c r="AM222" s="336"/>
      <c r="AN222" s="336"/>
      <c r="AO222" s="336"/>
      <c r="AP222" s="336"/>
      <c r="AQ222" s="336"/>
      <c r="AR222" s="336"/>
      <c r="AS222" s="336"/>
      <c r="AT222" s="336"/>
      <c r="AU222" s="336"/>
      <c r="AV222" s="336"/>
      <c r="AW222" s="336"/>
      <c r="AX222" s="336"/>
      <c r="AY222" s="336"/>
      <c r="AZ222" s="336"/>
      <c r="BA222" s="336"/>
      <c r="BB222" s="336"/>
      <c r="BC222" s="336"/>
      <c r="BD222" s="336"/>
      <c r="BE222" s="336"/>
      <c r="BF222" s="336"/>
    </row>
    <row r="223" spans="1:58" s="351" customFormat="1" x14ac:dyDescent="0.25">
      <c r="A223" s="336"/>
      <c r="B223" s="336"/>
      <c r="C223" s="336"/>
      <c r="D223" s="336"/>
      <c r="E223" s="336"/>
      <c r="F223" s="336"/>
      <c r="G223" s="336"/>
      <c r="H223" s="336"/>
      <c r="M223" s="352"/>
      <c r="N223" s="353"/>
      <c r="O223" s="353"/>
      <c r="T223" s="377"/>
      <c r="U223" s="352"/>
      <c r="V223" s="352"/>
      <c r="W223" s="352"/>
      <c r="X223" s="375"/>
      <c r="Y223" s="375"/>
      <c r="Z223" s="336"/>
      <c r="AA223" s="353"/>
      <c r="AB223" s="336"/>
      <c r="AC223" s="336"/>
      <c r="AD223" s="336"/>
      <c r="AE223" s="336"/>
      <c r="AF223" s="336"/>
      <c r="AG223" s="336"/>
      <c r="AH223" s="336"/>
      <c r="AI223" s="336"/>
      <c r="AJ223" s="336"/>
      <c r="AK223" s="336"/>
      <c r="AL223" s="336"/>
      <c r="AM223" s="336"/>
      <c r="AN223" s="336"/>
      <c r="AO223" s="336"/>
      <c r="AP223" s="336"/>
      <c r="AQ223" s="336"/>
      <c r="AR223" s="336"/>
      <c r="AS223" s="336"/>
      <c r="AT223" s="336"/>
      <c r="AU223" s="336"/>
      <c r="AV223" s="336"/>
      <c r="AW223" s="336"/>
      <c r="AX223" s="336"/>
      <c r="AY223" s="336"/>
      <c r="AZ223" s="336"/>
      <c r="BA223" s="336"/>
      <c r="BB223" s="336"/>
      <c r="BC223" s="336"/>
      <c r="BD223" s="336"/>
      <c r="BE223" s="336"/>
      <c r="BF223" s="336"/>
    </row>
    <row r="224" spans="1:58" s="351" customFormat="1" x14ac:dyDescent="0.25">
      <c r="A224" s="336"/>
      <c r="B224" s="336"/>
      <c r="C224" s="336"/>
      <c r="D224" s="336"/>
      <c r="E224" s="336"/>
      <c r="F224" s="336"/>
      <c r="G224" s="336"/>
      <c r="H224" s="336"/>
      <c r="M224" s="352"/>
      <c r="N224" s="353"/>
      <c r="O224" s="353"/>
      <c r="T224" s="377"/>
      <c r="U224" s="352"/>
      <c r="V224" s="352"/>
      <c r="W224" s="352"/>
      <c r="X224" s="375"/>
      <c r="Y224" s="375"/>
      <c r="Z224" s="336"/>
      <c r="AA224" s="353"/>
      <c r="AB224" s="336"/>
      <c r="AC224" s="336"/>
      <c r="AD224" s="336"/>
      <c r="AE224" s="336"/>
      <c r="AF224" s="336"/>
      <c r="AG224" s="336"/>
      <c r="AH224" s="336"/>
      <c r="AI224" s="336"/>
      <c r="AJ224" s="336"/>
      <c r="AK224" s="336"/>
      <c r="AL224" s="336"/>
      <c r="AM224" s="336"/>
      <c r="AN224" s="336"/>
      <c r="AO224" s="336"/>
      <c r="AP224" s="336"/>
      <c r="AQ224" s="336"/>
      <c r="AR224" s="336"/>
      <c r="AS224" s="336"/>
      <c r="AT224" s="336"/>
      <c r="AU224" s="336"/>
      <c r="AV224" s="336"/>
      <c r="AW224" s="336"/>
      <c r="AX224" s="336"/>
      <c r="AY224" s="336"/>
      <c r="AZ224" s="336"/>
      <c r="BA224" s="336"/>
      <c r="BB224" s="336"/>
      <c r="BC224" s="336"/>
      <c r="BD224" s="336"/>
      <c r="BE224" s="336"/>
      <c r="BF224" s="336"/>
    </row>
    <row r="225" spans="1:58" s="351" customFormat="1" x14ac:dyDescent="0.25">
      <c r="A225" s="336"/>
      <c r="B225" s="336"/>
      <c r="C225" s="336"/>
      <c r="D225" s="336"/>
      <c r="E225" s="336"/>
      <c r="F225" s="336"/>
      <c r="G225" s="336"/>
      <c r="H225" s="336"/>
      <c r="M225" s="352"/>
      <c r="N225" s="353"/>
      <c r="O225" s="353"/>
      <c r="T225" s="377"/>
      <c r="U225" s="352"/>
      <c r="V225" s="352"/>
      <c r="W225" s="352"/>
      <c r="X225" s="375"/>
      <c r="Y225" s="375"/>
      <c r="Z225" s="336"/>
      <c r="AA225" s="353"/>
      <c r="AB225" s="336"/>
      <c r="AC225" s="336"/>
      <c r="AD225" s="336"/>
      <c r="AE225" s="336"/>
      <c r="AF225" s="336"/>
      <c r="AG225" s="336"/>
      <c r="AH225" s="336"/>
      <c r="AI225" s="336"/>
      <c r="AJ225" s="336"/>
      <c r="AK225" s="336"/>
      <c r="AL225" s="336"/>
      <c r="AM225" s="336"/>
      <c r="AN225" s="336"/>
      <c r="AO225" s="336"/>
      <c r="AP225" s="336"/>
      <c r="AQ225" s="336"/>
      <c r="AR225" s="336"/>
      <c r="AS225" s="336"/>
      <c r="AT225" s="336"/>
      <c r="AU225" s="336"/>
      <c r="AV225" s="336"/>
      <c r="AW225" s="336"/>
      <c r="AX225" s="336"/>
      <c r="AY225" s="336"/>
      <c r="AZ225" s="336"/>
      <c r="BA225" s="336"/>
      <c r="BB225" s="336"/>
      <c r="BC225" s="336"/>
      <c r="BD225" s="336"/>
      <c r="BE225" s="336"/>
      <c r="BF225" s="336"/>
    </row>
    <row r="226" spans="1:58" s="351" customFormat="1" x14ac:dyDescent="0.25">
      <c r="A226" s="336"/>
      <c r="B226" s="336"/>
      <c r="C226" s="336"/>
      <c r="D226" s="336"/>
      <c r="E226" s="336"/>
      <c r="F226" s="336"/>
      <c r="G226" s="336"/>
      <c r="H226" s="336"/>
      <c r="M226" s="352"/>
      <c r="N226" s="353"/>
      <c r="O226" s="353"/>
      <c r="T226" s="377"/>
      <c r="U226" s="352"/>
      <c r="V226" s="352"/>
      <c r="W226" s="352"/>
      <c r="X226" s="375"/>
      <c r="Y226" s="375"/>
      <c r="Z226" s="336"/>
      <c r="AA226" s="353"/>
      <c r="AB226" s="336"/>
      <c r="AC226" s="336"/>
      <c r="AD226" s="336"/>
      <c r="AE226" s="336"/>
      <c r="AF226" s="336"/>
      <c r="AG226" s="336"/>
      <c r="AH226" s="336"/>
      <c r="AI226" s="336"/>
      <c r="AJ226" s="336"/>
      <c r="AK226" s="336"/>
      <c r="AL226" s="336"/>
      <c r="AM226" s="336"/>
      <c r="AN226" s="336"/>
      <c r="AO226" s="336"/>
      <c r="AP226" s="336"/>
      <c r="AQ226" s="336"/>
      <c r="AR226" s="336"/>
      <c r="AS226" s="336"/>
      <c r="AT226" s="336"/>
      <c r="AU226" s="336"/>
      <c r="AV226" s="336"/>
      <c r="AW226" s="336"/>
      <c r="AX226" s="336"/>
      <c r="AY226" s="336"/>
      <c r="AZ226" s="336"/>
      <c r="BA226" s="336"/>
      <c r="BB226" s="336"/>
      <c r="BC226" s="336"/>
      <c r="BD226" s="336"/>
      <c r="BE226" s="336"/>
      <c r="BF226" s="336"/>
    </row>
    <row r="227" spans="1:58" s="351" customFormat="1" x14ac:dyDescent="0.25">
      <c r="A227" s="336"/>
      <c r="B227" s="336"/>
      <c r="C227" s="336"/>
      <c r="D227" s="336"/>
      <c r="E227" s="336"/>
      <c r="F227" s="336"/>
      <c r="G227" s="336"/>
      <c r="H227" s="336"/>
      <c r="M227" s="352"/>
      <c r="N227" s="353"/>
      <c r="O227" s="353"/>
      <c r="T227" s="377"/>
      <c r="U227" s="352"/>
      <c r="V227" s="352"/>
      <c r="W227" s="352"/>
      <c r="X227" s="375"/>
      <c r="Y227" s="375"/>
      <c r="Z227" s="336"/>
      <c r="AA227" s="353"/>
      <c r="AB227" s="336"/>
      <c r="AC227" s="336"/>
      <c r="AD227" s="336"/>
      <c r="AE227" s="336"/>
      <c r="AF227" s="336"/>
      <c r="AG227" s="336"/>
      <c r="AH227" s="336"/>
      <c r="AI227" s="336"/>
      <c r="AJ227" s="336"/>
      <c r="AK227" s="336"/>
      <c r="AL227" s="336"/>
      <c r="AM227" s="336"/>
      <c r="AN227" s="336"/>
      <c r="AO227" s="336"/>
      <c r="AP227" s="336"/>
      <c r="AQ227" s="336"/>
      <c r="AR227" s="336"/>
      <c r="AS227" s="336"/>
      <c r="AT227" s="336"/>
      <c r="AU227" s="336"/>
      <c r="AV227" s="336"/>
      <c r="AW227" s="336"/>
      <c r="AX227" s="336"/>
      <c r="AY227" s="336"/>
      <c r="AZ227" s="336"/>
      <c r="BA227" s="336"/>
      <c r="BB227" s="336"/>
      <c r="BC227" s="336"/>
      <c r="BD227" s="336"/>
      <c r="BE227" s="336"/>
      <c r="BF227" s="336"/>
    </row>
    <row r="228" spans="1:58" s="351" customFormat="1" x14ac:dyDescent="0.25">
      <c r="A228" s="336"/>
      <c r="B228" s="336"/>
      <c r="C228" s="336"/>
      <c r="D228" s="336"/>
      <c r="E228" s="336"/>
      <c r="F228" s="336"/>
      <c r="G228" s="336"/>
      <c r="H228" s="336"/>
      <c r="M228" s="352"/>
      <c r="N228" s="353"/>
      <c r="O228" s="353"/>
      <c r="T228" s="377"/>
      <c r="U228" s="352"/>
      <c r="V228" s="352"/>
      <c r="W228" s="352"/>
      <c r="X228" s="375"/>
      <c r="Y228" s="375"/>
      <c r="Z228" s="336"/>
      <c r="AA228" s="353"/>
      <c r="AB228" s="336"/>
      <c r="AC228" s="336"/>
      <c r="AD228" s="336"/>
      <c r="AE228" s="336"/>
      <c r="AF228" s="336"/>
      <c r="AG228" s="336"/>
      <c r="AH228" s="336"/>
      <c r="AI228" s="336"/>
      <c r="AJ228" s="336"/>
      <c r="AK228" s="336"/>
      <c r="AL228" s="336"/>
      <c r="AM228" s="336"/>
      <c r="AN228" s="336"/>
      <c r="AO228" s="336"/>
      <c r="AP228" s="336"/>
      <c r="AQ228" s="336"/>
      <c r="AR228" s="336"/>
      <c r="AS228" s="336"/>
      <c r="AT228" s="336"/>
      <c r="AU228" s="336"/>
      <c r="AV228" s="336"/>
      <c r="AW228" s="336"/>
      <c r="AX228" s="336"/>
      <c r="AY228" s="336"/>
      <c r="AZ228" s="336"/>
      <c r="BA228" s="336"/>
      <c r="BB228" s="336"/>
      <c r="BC228" s="336"/>
      <c r="BD228" s="336"/>
      <c r="BE228" s="336"/>
      <c r="BF228" s="336"/>
    </row>
    <row r="229" spans="1:58" s="351" customFormat="1" x14ac:dyDescent="0.25">
      <c r="A229" s="336"/>
      <c r="B229" s="336"/>
      <c r="C229" s="336"/>
      <c r="D229" s="336"/>
      <c r="E229" s="336"/>
      <c r="F229" s="336"/>
      <c r="G229" s="336"/>
      <c r="H229" s="336"/>
      <c r="M229" s="352"/>
      <c r="N229" s="353"/>
      <c r="O229" s="353"/>
      <c r="T229" s="377"/>
      <c r="U229" s="352"/>
      <c r="V229" s="352"/>
      <c r="W229" s="352"/>
      <c r="X229" s="375"/>
      <c r="Y229" s="375"/>
      <c r="Z229" s="336"/>
      <c r="AA229" s="353"/>
      <c r="AB229" s="336"/>
      <c r="AC229" s="336"/>
      <c r="AD229" s="336"/>
      <c r="AE229" s="336"/>
      <c r="AF229" s="336"/>
      <c r="AG229" s="336"/>
      <c r="AH229" s="336"/>
      <c r="AI229" s="336"/>
      <c r="AJ229" s="336"/>
      <c r="AK229" s="336"/>
      <c r="AL229" s="336"/>
      <c r="AM229" s="336"/>
      <c r="AN229" s="336"/>
      <c r="AO229" s="336"/>
      <c r="AP229" s="336"/>
      <c r="AQ229" s="336"/>
      <c r="AR229" s="336"/>
      <c r="AS229" s="336"/>
      <c r="AT229" s="336"/>
      <c r="AU229" s="336"/>
      <c r="AV229" s="336"/>
      <c r="AW229" s="336"/>
      <c r="AX229" s="336"/>
      <c r="AY229" s="336"/>
      <c r="AZ229" s="336"/>
      <c r="BA229" s="336"/>
      <c r="BB229" s="336"/>
      <c r="BC229" s="336"/>
      <c r="BD229" s="336"/>
      <c r="BE229" s="336"/>
      <c r="BF229" s="336"/>
    </row>
    <row r="230" spans="1:58" s="351" customFormat="1" x14ac:dyDescent="0.25">
      <c r="A230" s="336"/>
      <c r="B230" s="336"/>
      <c r="C230" s="336"/>
      <c r="D230" s="336"/>
      <c r="E230" s="336"/>
      <c r="F230" s="336"/>
      <c r="G230" s="336"/>
      <c r="H230" s="336"/>
      <c r="M230" s="352"/>
      <c r="N230" s="353"/>
      <c r="O230" s="353"/>
      <c r="T230" s="377"/>
      <c r="U230" s="352"/>
      <c r="V230" s="352"/>
      <c r="W230" s="352"/>
      <c r="X230" s="375"/>
      <c r="Y230" s="375"/>
      <c r="Z230" s="336"/>
      <c r="AA230" s="353"/>
      <c r="AB230" s="336"/>
      <c r="AC230" s="336"/>
      <c r="AD230" s="336"/>
      <c r="AE230" s="336"/>
      <c r="AF230" s="336"/>
      <c r="AG230" s="336"/>
      <c r="AH230" s="336"/>
      <c r="AI230" s="336"/>
      <c r="AJ230" s="336"/>
      <c r="AK230" s="336"/>
      <c r="AL230" s="336"/>
      <c r="AM230" s="336"/>
      <c r="AN230" s="336"/>
      <c r="AO230" s="336"/>
      <c r="AP230" s="336"/>
      <c r="AQ230" s="336"/>
      <c r="AR230" s="336"/>
      <c r="AS230" s="336"/>
      <c r="AT230" s="336"/>
      <c r="AU230" s="336"/>
      <c r="AV230" s="336"/>
      <c r="AW230" s="336"/>
      <c r="AX230" s="336"/>
      <c r="AY230" s="336"/>
      <c r="AZ230" s="336"/>
      <c r="BA230" s="336"/>
      <c r="BB230" s="336"/>
      <c r="BC230" s="336"/>
      <c r="BD230" s="336"/>
      <c r="BE230" s="336"/>
      <c r="BF230" s="336"/>
    </row>
    <row r="231" spans="1:58" s="351" customFormat="1" x14ac:dyDescent="0.25">
      <c r="A231" s="336"/>
      <c r="B231" s="336"/>
      <c r="C231" s="336"/>
      <c r="D231" s="336"/>
      <c r="E231" s="336"/>
      <c r="F231" s="336"/>
      <c r="G231" s="336"/>
      <c r="H231" s="336"/>
      <c r="M231" s="352"/>
      <c r="N231" s="353"/>
      <c r="O231" s="353"/>
      <c r="T231" s="377"/>
      <c r="U231" s="352"/>
      <c r="V231" s="352"/>
      <c r="W231" s="352"/>
      <c r="X231" s="375"/>
      <c r="Y231" s="375"/>
      <c r="Z231" s="336"/>
      <c r="AA231" s="353"/>
      <c r="AB231" s="336"/>
      <c r="AC231" s="336"/>
      <c r="AD231" s="336"/>
      <c r="AE231" s="336"/>
      <c r="AF231" s="336"/>
      <c r="AG231" s="336"/>
      <c r="AH231" s="336"/>
      <c r="AI231" s="336"/>
      <c r="AJ231" s="336"/>
      <c r="AK231" s="336"/>
      <c r="AL231" s="336"/>
      <c r="AM231" s="336"/>
      <c r="AN231" s="336"/>
      <c r="AO231" s="336"/>
      <c r="AP231" s="336"/>
      <c r="AQ231" s="336"/>
      <c r="AR231" s="336"/>
      <c r="AS231" s="336"/>
      <c r="AT231" s="336"/>
      <c r="AU231" s="336"/>
      <c r="AV231" s="336"/>
      <c r="AW231" s="336"/>
      <c r="AX231" s="336"/>
      <c r="AY231" s="336"/>
      <c r="AZ231" s="336"/>
      <c r="BA231" s="336"/>
      <c r="BB231" s="336"/>
      <c r="BC231" s="336"/>
      <c r="BD231" s="336"/>
      <c r="BE231" s="336"/>
      <c r="BF231" s="336"/>
    </row>
    <row r="232" spans="1:58" s="351" customFormat="1" x14ac:dyDescent="0.25">
      <c r="A232" s="336"/>
      <c r="B232" s="336"/>
      <c r="C232" s="336"/>
      <c r="D232" s="336"/>
      <c r="E232" s="336"/>
      <c r="F232" s="336"/>
      <c r="G232" s="336"/>
      <c r="H232" s="336"/>
      <c r="M232" s="352"/>
      <c r="N232" s="353"/>
      <c r="O232" s="353"/>
      <c r="T232" s="377"/>
      <c r="U232" s="352"/>
      <c r="V232" s="352"/>
      <c r="W232" s="352"/>
      <c r="X232" s="375"/>
      <c r="Y232" s="375"/>
      <c r="Z232" s="336"/>
      <c r="AA232" s="353"/>
      <c r="AB232" s="336"/>
      <c r="AC232" s="336"/>
      <c r="AD232" s="336"/>
      <c r="AE232" s="336"/>
      <c r="AF232" s="336"/>
      <c r="AG232" s="336"/>
      <c r="AH232" s="336"/>
      <c r="AI232" s="336"/>
      <c r="AJ232" s="336"/>
      <c r="AK232" s="336"/>
      <c r="AL232" s="336"/>
      <c r="AM232" s="336"/>
      <c r="AN232" s="336"/>
      <c r="AO232" s="336"/>
      <c r="AP232" s="336"/>
      <c r="AQ232" s="336"/>
      <c r="AR232" s="336"/>
      <c r="AS232" s="336"/>
      <c r="AT232" s="336"/>
      <c r="AU232" s="336"/>
      <c r="AV232" s="336"/>
      <c r="AW232" s="336"/>
      <c r="AX232" s="336"/>
      <c r="AY232" s="336"/>
      <c r="AZ232" s="336"/>
      <c r="BA232" s="336"/>
      <c r="BB232" s="336"/>
      <c r="BC232" s="336"/>
      <c r="BD232" s="336"/>
      <c r="BE232" s="336"/>
      <c r="BF232" s="336"/>
    </row>
    <row r="233" spans="1:58" s="351" customFormat="1" x14ac:dyDescent="0.25">
      <c r="A233" s="336"/>
      <c r="B233" s="336"/>
      <c r="C233" s="336"/>
      <c r="D233" s="336"/>
      <c r="E233" s="336"/>
      <c r="F233" s="336"/>
      <c r="G233" s="336"/>
      <c r="H233" s="336"/>
      <c r="M233" s="352"/>
      <c r="N233" s="353"/>
      <c r="O233" s="353"/>
      <c r="T233" s="377"/>
      <c r="U233" s="352"/>
      <c r="V233" s="352"/>
      <c r="W233" s="352"/>
      <c r="X233" s="375"/>
      <c r="Y233" s="375"/>
      <c r="Z233" s="336"/>
      <c r="AA233" s="353"/>
      <c r="AB233" s="336"/>
      <c r="AC233" s="336"/>
      <c r="AD233" s="336"/>
      <c r="AE233" s="336"/>
      <c r="AF233" s="336"/>
      <c r="AG233" s="336"/>
      <c r="AH233" s="336"/>
      <c r="AI233" s="336"/>
      <c r="AJ233" s="336"/>
      <c r="AK233" s="336"/>
      <c r="AL233" s="336"/>
      <c r="AM233" s="336"/>
      <c r="AN233" s="336"/>
      <c r="AO233" s="336"/>
      <c r="AP233" s="336"/>
      <c r="AQ233" s="336"/>
      <c r="AR233" s="336"/>
      <c r="AS233" s="336"/>
      <c r="AT233" s="336"/>
      <c r="AU233" s="336"/>
      <c r="AV233" s="336"/>
      <c r="AW233" s="336"/>
      <c r="AX233" s="336"/>
      <c r="AY233" s="336"/>
      <c r="AZ233" s="336"/>
      <c r="BA233" s="336"/>
      <c r="BB233" s="336"/>
      <c r="BC233" s="336"/>
      <c r="BD233" s="336"/>
      <c r="BE233" s="336"/>
      <c r="BF233" s="336"/>
    </row>
    <row r="234" spans="1:58" s="351" customFormat="1" x14ac:dyDescent="0.25">
      <c r="A234" s="336"/>
      <c r="B234" s="336"/>
      <c r="C234" s="336"/>
      <c r="D234" s="336"/>
      <c r="E234" s="336"/>
      <c r="F234" s="336"/>
      <c r="G234" s="336"/>
      <c r="H234" s="336"/>
      <c r="M234" s="352"/>
      <c r="N234" s="353"/>
      <c r="O234" s="353"/>
      <c r="T234" s="377"/>
      <c r="U234" s="352"/>
      <c r="V234" s="352"/>
      <c r="W234" s="352"/>
      <c r="X234" s="375"/>
      <c r="Y234" s="375"/>
      <c r="Z234" s="336"/>
      <c r="AA234" s="353"/>
      <c r="AB234" s="336"/>
      <c r="AC234" s="336"/>
      <c r="AD234" s="336"/>
      <c r="AE234" s="336"/>
      <c r="AF234" s="336"/>
      <c r="AG234" s="336"/>
      <c r="AH234" s="336"/>
      <c r="AI234" s="336"/>
      <c r="AJ234" s="336"/>
      <c r="AK234" s="336"/>
      <c r="AL234" s="336"/>
      <c r="AM234" s="336"/>
      <c r="AN234" s="336"/>
      <c r="AO234" s="336"/>
      <c r="AP234" s="336"/>
      <c r="AQ234" s="336"/>
      <c r="AR234" s="336"/>
      <c r="AS234" s="336"/>
      <c r="AT234" s="336"/>
      <c r="AU234" s="336"/>
      <c r="AV234" s="336"/>
      <c r="AW234" s="336"/>
      <c r="AX234" s="336"/>
      <c r="AY234" s="336"/>
      <c r="AZ234" s="336"/>
      <c r="BA234" s="336"/>
      <c r="BB234" s="336"/>
      <c r="BC234" s="336"/>
      <c r="BD234" s="336"/>
      <c r="BE234" s="336"/>
      <c r="BF234" s="336"/>
    </row>
    <row r="235" spans="1:58" s="351" customFormat="1" x14ac:dyDescent="0.25">
      <c r="A235" s="336"/>
      <c r="B235" s="336"/>
      <c r="C235" s="336"/>
      <c r="D235" s="336"/>
      <c r="E235" s="336"/>
      <c r="F235" s="336"/>
      <c r="G235" s="336"/>
      <c r="H235" s="336"/>
      <c r="M235" s="352"/>
      <c r="N235" s="353"/>
      <c r="O235" s="353"/>
      <c r="T235" s="377"/>
      <c r="U235" s="352"/>
      <c r="V235" s="352"/>
      <c r="W235" s="352"/>
      <c r="X235" s="375"/>
      <c r="Y235" s="375"/>
      <c r="Z235" s="336"/>
      <c r="AA235" s="353"/>
      <c r="AB235" s="336"/>
      <c r="AC235" s="336"/>
      <c r="AD235" s="336"/>
      <c r="AE235" s="336"/>
      <c r="AF235" s="336"/>
      <c r="AG235" s="336"/>
      <c r="AH235" s="336"/>
      <c r="AI235" s="336"/>
      <c r="AJ235" s="336"/>
      <c r="AK235" s="336"/>
      <c r="AL235" s="336"/>
      <c r="AM235" s="336"/>
      <c r="AN235" s="336"/>
      <c r="AO235" s="336"/>
      <c r="AP235" s="336"/>
      <c r="AQ235" s="336"/>
      <c r="AR235" s="336"/>
      <c r="AS235" s="336"/>
      <c r="AT235" s="336"/>
      <c r="AU235" s="336"/>
      <c r="AV235" s="336"/>
      <c r="AW235" s="336"/>
      <c r="AX235" s="336"/>
      <c r="AY235" s="336"/>
      <c r="AZ235" s="336"/>
      <c r="BA235" s="336"/>
      <c r="BB235" s="336"/>
      <c r="BC235" s="336"/>
      <c r="BD235" s="336"/>
      <c r="BE235" s="336"/>
      <c r="BF235" s="336"/>
    </row>
    <row r="236" spans="1:58" s="351" customFormat="1" x14ac:dyDescent="0.25">
      <c r="A236" s="336"/>
      <c r="B236" s="336"/>
      <c r="C236" s="336"/>
      <c r="D236" s="336"/>
      <c r="E236" s="336"/>
      <c r="F236" s="336"/>
      <c r="G236" s="336"/>
      <c r="H236" s="336"/>
      <c r="M236" s="352"/>
      <c r="N236" s="353"/>
      <c r="O236" s="353"/>
      <c r="T236" s="377"/>
      <c r="U236" s="352"/>
      <c r="V236" s="352"/>
      <c r="W236" s="352"/>
      <c r="X236" s="375"/>
      <c r="Y236" s="375"/>
      <c r="Z236" s="336"/>
      <c r="AA236" s="353"/>
      <c r="AB236" s="336"/>
      <c r="AC236" s="336"/>
      <c r="AD236" s="336"/>
      <c r="AE236" s="336"/>
      <c r="AF236" s="336"/>
      <c r="AG236" s="336"/>
      <c r="AH236" s="336"/>
      <c r="AI236" s="336"/>
      <c r="AJ236" s="336"/>
      <c r="AK236" s="336"/>
      <c r="AL236" s="336"/>
      <c r="AM236" s="336"/>
      <c r="AN236" s="336"/>
      <c r="AO236" s="336"/>
      <c r="AP236" s="336"/>
      <c r="AQ236" s="336"/>
      <c r="AR236" s="336"/>
      <c r="AS236" s="336"/>
      <c r="AT236" s="336"/>
      <c r="AU236" s="336"/>
      <c r="AV236" s="336"/>
      <c r="AW236" s="336"/>
      <c r="AX236" s="336"/>
      <c r="AY236" s="336"/>
      <c r="AZ236" s="336"/>
      <c r="BA236" s="336"/>
      <c r="BB236" s="336"/>
      <c r="BC236" s="336"/>
      <c r="BD236" s="336"/>
      <c r="BE236" s="336"/>
      <c r="BF236" s="336"/>
    </row>
    <row r="237" spans="1:58" s="351" customFormat="1" x14ac:dyDescent="0.25">
      <c r="A237" s="336"/>
      <c r="B237" s="336"/>
      <c r="C237" s="336"/>
      <c r="D237" s="336"/>
      <c r="E237" s="336"/>
      <c r="F237" s="336"/>
      <c r="G237" s="336"/>
      <c r="H237" s="336"/>
      <c r="M237" s="352"/>
      <c r="N237" s="353"/>
      <c r="O237" s="353"/>
      <c r="T237" s="377"/>
      <c r="U237" s="352"/>
      <c r="V237" s="352"/>
      <c r="W237" s="352"/>
      <c r="X237" s="375"/>
      <c r="Y237" s="375"/>
      <c r="Z237" s="336"/>
      <c r="AA237" s="353"/>
      <c r="AB237" s="336"/>
      <c r="AC237" s="336"/>
      <c r="AD237" s="336"/>
      <c r="AE237" s="336"/>
      <c r="AF237" s="336"/>
      <c r="AG237" s="336"/>
      <c r="AH237" s="336"/>
      <c r="AI237" s="336"/>
      <c r="AJ237" s="336"/>
      <c r="AK237" s="336"/>
      <c r="AL237" s="336"/>
      <c r="AM237" s="336"/>
      <c r="AN237" s="336"/>
      <c r="AO237" s="336"/>
      <c r="AP237" s="336"/>
      <c r="AQ237" s="336"/>
      <c r="AR237" s="336"/>
      <c r="AS237" s="336"/>
      <c r="AT237" s="336"/>
      <c r="AU237" s="336"/>
      <c r="AV237" s="336"/>
      <c r="AW237" s="336"/>
      <c r="AX237" s="336"/>
      <c r="AY237" s="336"/>
      <c r="AZ237" s="336"/>
      <c r="BA237" s="336"/>
      <c r="BB237" s="336"/>
      <c r="BC237" s="336"/>
      <c r="BD237" s="336"/>
      <c r="BE237" s="336"/>
      <c r="BF237" s="336"/>
    </row>
    <row r="238" spans="1:58" s="351" customFormat="1" x14ac:dyDescent="0.25">
      <c r="A238" s="336"/>
      <c r="B238" s="336"/>
      <c r="C238" s="336"/>
      <c r="D238" s="336"/>
      <c r="E238" s="336"/>
      <c r="F238" s="336"/>
      <c r="G238" s="336"/>
      <c r="H238" s="336"/>
      <c r="M238" s="352"/>
      <c r="N238" s="353"/>
      <c r="O238" s="353"/>
      <c r="T238" s="377"/>
      <c r="U238" s="352"/>
      <c r="V238" s="352"/>
      <c r="W238" s="352"/>
      <c r="X238" s="375"/>
      <c r="Y238" s="375"/>
      <c r="Z238" s="336"/>
      <c r="AA238" s="353"/>
      <c r="AB238" s="336"/>
      <c r="AC238" s="336"/>
      <c r="AD238" s="336"/>
      <c r="AE238" s="336"/>
      <c r="AF238" s="336"/>
      <c r="AG238" s="336"/>
      <c r="AH238" s="336"/>
      <c r="AI238" s="336"/>
      <c r="AJ238" s="336"/>
      <c r="AK238" s="336"/>
      <c r="AL238" s="336"/>
      <c r="AM238" s="336"/>
      <c r="AN238" s="336"/>
      <c r="AO238" s="336"/>
      <c r="AP238" s="336"/>
      <c r="AQ238" s="336"/>
      <c r="AR238" s="336"/>
      <c r="AS238" s="336"/>
      <c r="AT238" s="336"/>
      <c r="AU238" s="336"/>
      <c r="AV238" s="336"/>
      <c r="AW238" s="336"/>
      <c r="AX238" s="336"/>
      <c r="AY238" s="336"/>
      <c r="AZ238" s="336"/>
      <c r="BA238" s="336"/>
      <c r="BB238" s="336"/>
      <c r="BC238" s="336"/>
      <c r="BD238" s="336"/>
      <c r="BE238" s="336"/>
      <c r="BF238" s="336"/>
    </row>
    <row r="239" spans="1:58" s="351" customFormat="1" x14ac:dyDescent="0.25">
      <c r="A239" s="336"/>
      <c r="B239" s="336"/>
      <c r="C239" s="336"/>
      <c r="D239" s="336"/>
      <c r="E239" s="336"/>
      <c r="F239" s="336"/>
      <c r="G239" s="336"/>
      <c r="H239" s="336"/>
      <c r="M239" s="352"/>
      <c r="N239" s="353"/>
      <c r="O239" s="353"/>
      <c r="T239" s="377"/>
      <c r="U239" s="352"/>
      <c r="V239" s="352"/>
      <c r="W239" s="352"/>
      <c r="X239" s="375"/>
      <c r="Y239" s="375"/>
      <c r="Z239" s="336"/>
      <c r="AA239" s="353"/>
      <c r="AB239" s="336"/>
      <c r="AC239" s="336"/>
      <c r="AD239" s="336"/>
      <c r="AE239" s="336"/>
      <c r="AF239" s="336"/>
      <c r="AG239" s="336"/>
      <c r="AH239" s="336"/>
      <c r="AI239" s="336"/>
      <c r="AJ239" s="336"/>
      <c r="AK239" s="336"/>
      <c r="AL239" s="336"/>
      <c r="AM239" s="336"/>
      <c r="AN239" s="336"/>
      <c r="AO239" s="336"/>
      <c r="AP239" s="336"/>
      <c r="AQ239" s="336"/>
      <c r="AR239" s="336"/>
      <c r="AS239" s="336"/>
      <c r="AT239" s="336"/>
      <c r="AU239" s="336"/>
      <c r="AV239" s="336"/>
      <c r="AW239" s="336"/>
      <c r="AX239" s="336"/>
      <c r="AY239" s="336"/>
      <c r="AZ239" s="336"/>
      <c r="BA239" s="336"/>
      <c r="BB239" s="336"/>
      <c r="BC239" s="336"/>
      <c r="BD239" s="336"/>
      <c r="BE239" s="336"/>
      <c r="BF239" s="336"/>
    </row>
    <row r="240" spans="1:58" s="351" customFormat="1" x14ac:dyDescent="0.25">
      <c r="A240" s="336"/>
      <c r="B240" s="336"/>
      <c r="C240" s="336"/>
      <c r="D240" s="336"/>
      <c r="E240" s="336"/>
      <c r="F240" s="336"/>
      <c r="G240" s="336"/>
      <c r="H240" s="336"/>
      <c r="M240" s="352"/>
      <c r="N240" s="353"/>
      <c r="O240" s="353"/>
      <c r="T240" s="377"/>
      <c r="U240" s="352"/>
      <c r="V240" s="352"/>
      <c r="W240" s="352"/>
      <c r="X240" s="375"/>
      <c r="Y240" s="375"/>
      <c r="Z240" s="336"/>
      <c r="AA240" s="353"/>
      <c r="AB240" s="336"/>
      <c r="AC240" s="336"/>
      <c r="AD240" s="336"/>
      <c r="AE240" s="336"/>
      <c r="AF240" s="336"/>
      <c r="AG240" s="336"/>
      <c r="AH240" s="336"/>
      <c r="AI240" s="336"/>
      <c r="AJ240" s="336"/>
      <c r="AK240" s="336"/>
      <c r="AL240" s="336"/>
      <c r="AM240" s="336"/>
      <c r="AN240" s="336"/>
      <c r="AO240" s="336"/>
      <c r="AP240" s="336"/>
      <c r="AQ240" s="336"/>
      <c r="AR240" s="336"/>
      <c r="AS240" s="336"/>
      <c r="AT240" s="336"/>
      <c r="AU240" s="336"/>
      <c r="AV240" s="336"/>
      <c r="AW240" s="336"/>
      <c r="AX240" s="336"/>
      <c r="AY240" s="336"/>
      <c r="AZ240" s="336"/>
      <c r="BA240" s="336"/>
      <c r="BB240" s="336"/>
      <c r="BC240" s="336"/>
      <c r="BD240" s="336"/>
      <c r="BE240" s="336"/>
      <c r="BF240" s="336"/>
    </row>
    <row r="241" spans="1:58" s="351" customFormat="1" x14ac:dyDescent="0.25">
      <c r="A241" s="336"/>
      <c r="B241" s="336"/>
      <c r="C241" s="336"/>
      <c r="D241" s="336"/>
      <c r="E241" s="336"/>
      <c r="F241" s="336"/>
      <c r="G241" s="336"/>
      <c r="H241" s="336"/>
      <c r="M241" s="352"/>
      <c r="N241" s="353"/>
      <c r="O241" s="353"/>
      <c r="T241" s="377"/>
      <c r="U241" s="352"/>
      <c r="V241" s="352"/>
      <c r="W241" s="352"/>
      <c r="X241" s="375"/>
      <c r="Y241" s="375"/>
      <c r="Z241" s="336"/>
      <c r="AA241" s="353"/>
      <c r="AB241" s="336"/>
      <c r="AC241" s="336"/>
      <c r="AD241" s="336"/>
      <c r="AE241" s="336"/>
      <c r="AF241" s="336"/>
      <c r="AG241" s="336"/>
      <c r="AH241" s="336"/>
      <c r="AI241" s="336"/>
      <c r="AJ241" s="336"/>
      <c r="AK241" s="336"/>
      <c r="AL241" s="336"/>
      <c r="AM241" s="336"/>
      <c r="AN241" s="336"/>
      <c r="AO241" s="336"/>
      <c r="AP241" s="336"/>
      <c r="AQ241" s="336"/>
      <c r="AR241" s="336"/>
      <c r="AS241" s="336"/>
      <c r="AT241" s="336"/>
      <c r="AU241" s="336"/>
      <c r="AV241" s="336"/>
      <c r="AW241" s="336"/>
      <c r="AX241" s="336"/>
      <c r="AY241" s="336"/>
      <c r="AZ241" s="336"/>
      <c r="BA241" s="336"/>
      <c r="BB241" s="336"/>
      <c r="BC241" s="336"/>
      <c r="BD241" s="336"/>
      <c r="BE241" s="336"/>
      <c r="BF241" s="336"/>
    </row>
    <row r="242" spans="1:58" s="351" customFormat="1" x14ac:dyDescent="0.25">
      <c r="A242" s="336"/>
      <c r="B242" s="336"/>
      <c r="C242" s="336"/>
      <c r="D242" s="336"/>
      <c r="E242" s="336"/>
      <c r="F242" s="336"/>
      <c r="G242" s="336"/>
      <c r="H242" s="336"/>
      <c r="M242" s="352"/>
      <c r="N242" s="353"/>
      <c r="O242" s="353"/>
      <c r="T242" s="377"/>
      <c r="U242" s="352"/>
      <c r="V242" s="352"/>
      <c r="W242" s="352"/>
      <c r="X242" s="375"/>
      <c r="Y242" s="375"/>
      <c r="Z242" s="336"/>
      <c r="AA242" s="353"/>
      <c r="AB242" s="336"/>
      <c r="AC242" s="336"/>
      <c r="AD242" s="336"/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336"/>
      <c r="AS242" s="336"/>
      <c r="AT242" s="336"/>
      <c r="AU242" s="336"/>
      <c r="AV242" s="336"/>
      <c r="AW242" s="336"/>
      <c r="AX242" s="336"/>
      <c r="AY242" s="336"/>
      <c r="AZ242" s="336"/>
      <c r="BA242" s="336"/>
      <c r="BB242" s="336"/>
      <c r="BC242" s="336"/>
      <c r="BD242" s="336"/>
      <c r="BE242" s="336"/>
      <c r="BF242" s="336"/>
    </row>
    <row r="243" spans="1:58" s="351" customFormat="1" x14ac:dyDescent="0.25">
      <c r="A243" s="336"/>
      <c r="B243" s="336"/>
      <c r="C243" s="336"/>
      <c r="D243" s="336"/>
      <c r="E243" s="336"/>
      <c r="F243" s="336"/>
      <c r="G243" s="336"/>
      <c r="H243" s="336"/>
      <c r="M243" s="352"/>
      <c r="N243" s="353"/>
      <c r="O243" s="353"/>
      <c r="T243" s="377"/>
      <c r="U243" s="352"/>
      <c r="V243" s="352"/>
      <c r="W243" s="352"/>
      <c r="X243" s="375"/>
      <c r="Y243" s="375"/>
      <c r="Z243" s="336"/>
      <c r="AA243" s="353"/>
      <c r="AB243" s="336"/>
      <c r="AC243" s="336"/>
      <c r="AD243" s="336"/>
      <c r="AE243" s="336"/>
      <c r="AF243" s="336"/>
      <c r="AG243" s="336"/>
      <c r="AH243" s="336"/>
      <c r="AI243" s="336"/>
      <c r="AJ243" s="336"/>
      <c r="AK243" s="336"/>
      <c r="AL243" s="336"/>
      <c r="AM243" s="336"/>
      <c r="AN243" s="336"/>
      <c r="AO243" s="336"/>
      <c r="AP243" s="336"/>
      <c r="AQ243" s="336"/>
      <c r="AR243" s="336"/>
      <c r="AS243" s="336"/>
      <c r="AT243" s="336"/>
      <c r="AU243" s="336"/>
      <c r="AV243" s="336"/>
      <c r="AW243" s="336"/>
      <c r="AX243" s="336"/>
      <c r="AY243" s="336"/>
      <c r="AZ243" s="336"/>
      <c r="BA243" s="336"/>
      <c r="BB243" s="336"/>
      <c r="BC243" s="336"/>
      <c r="BD243" s="336"/>
      <c r="BE243" s="336"/>
      <c r="BF243" s="336"/>
    </row>
    <row r="244" spans="1:58" s="351" customFormat="1" x14ac:dyDescent="0.25">
      <c r="A244" s="336"/>
      <c r="B244" s="336"/>
      <c r="C244" s="336"/>
      <c r="D244" s="336"/>
      <c r="E244" s="336"/>
      <c r="F244" s="336"/>
      <c r="G244" s="336"/>
      <c r="H244" s="336"/>
      <c r="M244" s="352"/>
      <c r="N244" s="353"/>
      <c r="O244" s="353"/>
      <c r="T244" s="377"/>
      <c r="U244" s="352"/>
      <c r="V244" s="352"/>
      <c r="W244" s="352"/>
      <c r="X244" s="375"/>
      <c r="Y244" s="375"/>
      <c r="Z244" s="336"/>
      <c r="AA244" s="353"/>
      <c r="AB244" s="336"/>
      <c r="AC244" s="336"/>
      <c r="AD244" s="336"/>
      <c r="AE244" s="336"/>
      <c r="AF244" s="336"/>
      <c r="AG244" s="336"/>
      <c r="AH244" s="336"/>
      <c r="AI244" s="336"/>
      <c r="AJ244" s="336"/>
      <c r="AK244" s="336"/>
      <c r="AL244" s="336"/>
      <c r="AM244" s="336"/>
      <c r="AN244" s="336"/>
      <c r="AO244" s="336"/>
      <c r="AP244" s="336"/>
      <c r="AQ244" s="336"/>
      <c r="AR244" s="336"/>
      <c r="AS244" s="336"/>
      <c r="AT244" s="336"/>
      <c r="AU244" s="336"/>
      <c r="AV244" s="336"/>
      <c r="AW244" s="336"/>
      <c r="AX244" s="336"/>
      <c r="AY244" s="336"/>
      <c r="AZ244" s="336"/>
      <c r="BA244" s="336"/>
      <c r="BB244" s="336"/>
      <c r="BC244" s="336"/>
      <c r="BD244" s="336"/>
      <c r="BE244" s="336"/>
      <c r="BF244" s="336"/>
    </row>
    <row r="245" spans="1:58" s="351" customFormat="1" x14ac:dyDescent="0.25">
      <c r="A245" s="336"/>
      <c r="B245" s="336"/>
      <c r="C245" s="336"/>
      <c r="D245" s="336"/>
      <c r="E245" s="336"/>
      <c r="F245" s="336"/>
      <c r="G245" s="336"/>
      <c r="H245" s="336"/>
      <c r="M245" s="352"/>
      <c r="N245" s="353"/>
      <c r="O245" s="353"/>
      <c r="T245" s="377"/>
      <c r="U245" s="352"/>
      <c r="V245" s="352"/>
      <c r="W245" s="352"/>
      <c r="X245" s="375"/>
      <c r="Y245" s="375"/>
      <c r="Z245" s="336"/>
      <c r="AA245" s="353"/>
      <c r="AB245" s="336"/>
      <c r="AC245" s="336"/>
      <c r="AD245" s="336"/>
      <c r="AE245" s="336"/>
      <c r="AF245" s="336"/>
      <c r="AG245" s="336"/>
      <c r="AH245" s="336"/>
      <c r="AI245" s="336"/>
      <c r="AJ245" s="336"/>
      <c r="AK245" s="336"/>
      <c r="AL245" s="336"/>
      <c r="AM245" s="336"/>
      <c r="AN245" s="336"/>
      <c r="AO245" s="336"/>
      <c r="AP245" s="336"/>
      <c r="AQ245" s="336"/>
      <c r="AR245" s="336"/>
      <c r="AS245" s="336"/>
      <c r="AT245" s="336"/>
      <c r="AU245" s="336"/>
      <c r="AV245" s="336"/>
      <c r="AW245" s="336"/>
      <c r="AX245" s="336"/>
      <c r="AY245" s="336"/>
      <c r="AZ245" s="336"/>
      <c r="BA245" s="336"/>
      <c r="BB245" s="336"/>
      <c r="BC245" s="336"/>
      <c r="BD245" s="336"/>
      <c r="BE245" s="336"/>
      <c r="BF245" s="336"/>
    </row>
    <row r="246" spans="1:58" s="351" customFormat="1" x14ac:dyDescent="0.25">
      <c r="A246" s="336"/>
      <c r="B246" s="336"/>
      <c r="C246" s="336"/>
      <c r="D246" s="336"/>
      <c r="E246" s="336"/>
      <c r="F246" s="336"/>
      <c r="G246" s="336"/>
      <c r="H246" s="336"/>
      <c r="M246" s="352"/>
      <c r="N246" s="353"/>
      <c r="O246" s="353"/>
      <c r="T246" s="377"/>
      <c r="U246" s="352"/>
      <c r="V246" s="352"/>
      <c r="W246" s="352"/>
      <c r="X246" s="375"/>
      <c r="Y246" s="375"/>
      <c r="Z246" s="336"/>
      <c r="AA246" s="353"/>
      <c r="AB246" s="336"/>
      <c r="AC246" s="336"/>
      <c r="AD246" s="336"/>
      <c r="AE246" s="336"/>
      <c r="AF246" s="336"/>
      <c r="AG246" s="336"/>
      <c r="AH246" s="336"/>
      <c r="AI246" s="336"/>
      <c r="AJ246" s="336"/>
      <c r="AK246" s="336"/>
      <c r="AL246" s="336"/>
      <c r="AM246" s="336"/>
      <c r="AN246" s="336"/>
      <c r="AO246" s="336"/>
      <c r="AP246" s="336"/>
      <c r="AQ246" s="336"/>
      <c r="AR246" s="336"/>
      <c r="AS246" s="336"/>
      <c r="AT246" s="336"/>
      <c r="AU246" s="336"/>
      <c r="AV246" s="336"/>
      <c r="AW246" s="336"/>
      <c r="AX246" s="336"/>
      <c r="AY246" s="336"/>
      <c r="AZ246" s="336"/>
      <c r="BA246" s="336"/>
      <c r="BB246" s="336"/>
      <c r="BC246" s="336"/>
      <c r="BD246" s="336"/>
      <c r="BE246" s="336"/>
      <c r="BF246" s="336"/>
    </row>
    <row r="247" spans="1:58" s="351" customFormat="1" x14ac:dyDescent="0.25">
      <c r="A247" s="336"/>
      <c r="B247" s="336"/>
      <c r="C247" s="336"/>
      <c r="D247" s="336"/>
      <c r="E247" s="336"/>
      <c r="F247" s="336"/>
      <c r="G247" s="336"/>
      <c r="H247" s="336"/>
      <c r="M247" s="352"/>
      <c r="N247" s="353"/>
      <c r="O247" s="353"/>
      <c r="T247" s="377"/>
      <c r="U247" s="352"/>
      <c r="V247" s="352"/>
      <c r="W247" s="352"/>
      <c r="X247" s="375"/>
      <c r="Y247" s="375"/>
      <c r="Z247" s="336"/>
      <c r="AA247" s="353"/>
      <c r="AB247" s="336"/>
      <c r="AC247" s="336"/>
      <c r="AD247" s="336"/>
      <c r="AE247" s="336"/>
      <c r="AF247" s="336"/>
      <c r="AG247" s="336"/>
      <c r="AH247" s="336"/>
      <c r="AI247" s="336"/>
      <c r="AJ247" s="336"/>
      <c r="AK247" s="336"/>
      <c r="AL247" s="336"/>
      <c r="AM247" s="336"/>
      <c r="AN247" s="336"/>
      <c r="AO247" s="336"/>
      <c r="AP247" s="336"/>
      <c r="AQ247" s="336"/>
      <c r="AR247" s="336"/>
      <c r="AS247" s="336"/>
      <c r="AT247" s="336"/>
      <c r="AU247" s="336"/>
      <c r="AV247" s="336"/>
      <c r="AW247" s="336"/>
      <c r="AX247" s="336"/>
      <c r="AY247" s="336"/>
      <c r="AZ247" s="336"/>
      <c r="BA247" s="336"/>
      <c r="BB247" s="336"/>
      <c r="BC247" s="336"/>
      <c r="BD247" s="336"/>
      <c r="BE247" s="336"/>
      <c r="BF247" s="336"/>
    </row>
    <row r="248" spans="1:58" s="351" customFormat="1" x14ac:dyDescent="0.25">
      <c r="A248" s="336"/>
      <c r="B248" s="336"/>
      <c r="C248" s="336"/>
      <c r="D248" s="336"/>
      <c r="E248" s="336"/>
      <c r="F248" s="336"/>
      <c r="G248" s="336"/>
      <c r="H248" s="336"/>
      <c r="M248" s="352"/>
      <c r="N248" s="353"/>
      <c r="O248" s="353"/>
      <c r="T248" s="377"/>
      <c r="U248" s="352"/>
      <c r="V248" s="352"/>
      <c r="W248" s="352"/>
      <c r="X248" s="375"/>
      <c r="Y248" s="375"/>
      <c r="Z248" s="336"/>
      <c r="AA248" s="353"/>
      <c r="AB248" s="336"/>
      <c r="AC248" s="336"/>
      <c r="AD248" s="336"/>
      <c r="AE248" s="336"/>
      <c r="AF248" s="336"/>
      <c r="AG248" s="336"/>
      <c r="AH248" s="336"/>
      <c r="AI248" s="336"/>
      <c r="AJ248" s="336"/>
      <c r="AK248" s="336"/>
      <c r="AL248" s="336"/>
      <c r="AM248" s="336"/>
      <c r="AN248" s="336"/>
      <c r="AO248" s="336"/>
      <c r="AP248" s="336"/>
      <c r="AQ248" s="336"/>
      <c r="AR248" s="336"/>
      <c r="AS248" s="336"/>
      <c r="AT248" s="336"/>
      <c r="AU248" s="336"/>
      <c r="AV248" s="336"/>
      <c r="AW248" s="336"/>
      <c r="AX248" s="336"/>
      <c r="AY248" s="336"/>
      <c r="AZ248" s="336"/>
      <c r="BA248" s="336"/>
      <c r="BB248" s="336"/>
      <c r="BC248" s="336"/>
      <c r="BD248" s="336"/>
      <c r="BE248" s="336"/>
      <c r="BF248" s="336"/>
    </row>
    <row r="249" spans="1:58" s="351" customFormat="1" x14ac:dyDescent="0.25">
      <c r="A249" s="336"/>
      <c r="B249" s="336"/>
      <c r="C249" s="336"/>
      <c r="D249" s="336"/>
      <c r="E249" s="336"/>
      <c r="F249" s="336"/>
      <c r="G249" s="336"/>
      <c r="H249" s="336"/>
      <c r="M249" s="352"/>
      <c r="N249" s="353"/>
      <c r="O249" s="353"/>
      <c r="T249" s="377"/>
      <c r="U249" s="352"/>
      <c r="V249" s="352"/>
      <c r="W249" s="352"/>
      <c r="X249" s="375"/>
      <c r="Y249" s="375"/>
      <c r="Z249" s="336"/>
      <c r="AA249" s="353"/>
      <c r="AB249" s="336"/>
      <c r="AC249" s="336"/>
      <c r="AD249" s="336"/>
      <c r="AE249" s="336"/>
      <c r="AF249" s="336"/>
      <c r="AG249" s="336"/>
      <c r="AH249" s="336"/>
      <c r="AI249" s="336"/>
      <c r="AJ249" s="336"/>
      <c r="AK249" s="336"/>
      <c r="AL249" s="336"/>
      <c r="AM249" s="336"/>
      <c r="AN249" s="336"/>
      <c r="AO249" s="336"/>
      <c r="AP249" s="336"/>
      <c r="AQ249" s="336"/>
      <c r="AR249" s="336"/>
      <c r="AS249" s="336"/>
      <c r="AT249" s="336"/>
      <c r="AU249" s="336"/>
      <c r="AV249" s="336"/>
      <c r="AW249" s="336"/>
      <c r="AX249" s="336"/>
      <c r="AY249" s="336"/>
      <c r="AZ249" s="336"/>
      <c r="BA249" s="336"/>
      <c r="BB249" s="336"/>
      <c r="BC249" s="336"/>
      <c r="BD249" s="336"/>
      <c r="BE249" s="336"/>
      <c r="BF249" s="336"/>
    </row>
    <row r="250" spans="1:58" s="351" customFormat="1" x14ac:dyDescent="0.25">
      <c r="A250" s="336"/>
      <c r="B250" s="336"/>
      <c r="C250" s="336"/>
      <c r="D250" s="336"/>
      <c r="E250" s="336"/>
      <c r="F250" s="336"/>
      <c r="G250" s="336"/>
      <c r="H250" s="336"/>
      <c r="M250" s="352"/>
      <c r="N250" s="353"/>
      <c r="O250" s="353"/>
      <c r="T250" s="377"/>
      <c r="U250" s="352"/>
      <c r="V250" s="352"/>
      <c r="W250" s="352"/>
      <c r="X250" s="375"/>
      <c r="Y250" s="375"/>
      <c r="Z250" s="336"/>
      <c r="AA250" s="353"/>
      <c r="AB250" s="336"/>
      <c r="AC250" s="336"/>
      <c r="AD250" s="336"/>
      <c r="AE250" s="336"/>
      <c r="AF250" s="336"/>
      <c r="AG250" s="336"/>
      <c r="AH250" s="336"/>
      <c r="AI250" s="336"/>
      <c r="AJ250" s="336"/>
      <c r="AK250" s="336"/>
      <c r="AL250" s="336"/>
      <c r="AM250" s="336"/>
      <c r="AN250" s="336"/>
      <c r="AO250" s="336"/>
      <c r="AP250" s="336"/>
      <c r="AQ250" s="336"/>
      <c r="AR250" s="336"/>
      <c r="AS250" s="336"/>
      <c r="AT250" s="336"/>
      <c r="AU250" s="336"/>
      <c r="AV250" s="336"/>
      <c r="AW250" s="336"/>
      <c r="AX250" s="336"/>
      <c r="AY250" s="336"/>
      <c r="AZ250" s="336"/>
      <c r="BA250" s="336"/>
      <c r="BB250" s="336"/>
      <c r="BC250" s="336"/>
      <c r="BD250" s="336"/>
      <c r="BE250" s="336"/>
      <c r="BF250" s="336"/>
    </row>
    <row r="251" spans="1:58" s="351" customFormat="1" x14ac:dyDescent="0.25">
      <c r="A251" s="336"/>
      <c r="B251" s="336"/>
      <c r="C251" s="336"/>
      <c r="D251" s="336"/>
      <c r="E251" s="336"/>
      <c r="F251" s="336"/>
      <c r="G251" s="336"/>
      <c r="H251" s="336"/>
      <c r="M251" s="352"/>
      <c r="N251" s="353"/>
      <c r="O251" s="353"/>
      <c r="T251" s="377"/>
      <c r="U251" s="352"/>
      <c r="V251" s="352"/>
      <c r="W251" s="352"/>
      <c r="X251" s="375"/>
      <c r="Y251" s="375"/>
      <c r="Z251" s="336"/>
      <c r="AA251" s="353"/>
      <c r="AB251" s="336"/>
      <c r="AC251" s="336"/>
      <c r="AD251" s="336"/>
      <c r="AE251" s="336"/>
      <c r="AF251" s="336"/>
      <c r="AG251" s="336"/>
      <c r="AH251" s="336"/>
      <c r="AI251" s="336"/>
      <c r="AJ251" s="336"/>
      <c r="AK251" s="336"/>
      <c r="AL251" s="336"/>
      <c r="AM251" s="336"/>
      <c r="AN251" s="336"/>
      <c r="AO251" s="336"/>
      <c r="AP251" s="336"/>
      <c r="AQ251" s="336"/>
      <c r="AR251" s="336"/>
      <c r="AS251" s="336"/>
      <c r="AT251" s="336"/>
      <c r="AU251" s="336"/>
      <c r="AV251" s="336"/>
      <c r="AW251" s="336"/>
      <c r="AX251" s="336"/>
      <c r="AY251" s="336"/>
      <c r="AZ251" s="336"/>
      <c r="BA251" s="336"/>
      <c r="BB251" s="336"/>
      <c r="BC251" s="336"/>
      <c r="BD251" s="336"/>
      <c r="BE251" s="336"/>
      <c r="BF251" s="336"/>
    </row>
    <row r="252" spans="1:58" s="351" customFormat="1" x14ac:dyDescent="0.25">
      <c r="A252" s="336"/>
      <c r="B252" s="336"/>
      <c r="C252" s="336"/>
      <c r="D252" s="336"/>
      <c r="E252" s="336"/>
      <c r="F252" s="336"/>
      <c r="G252" s="336"/>
      <c r="H252" s="336"/>
      <c r="M252" s="352"/>
      <c r="N252" s="353"/>
      <c r="O252" s="353"/>
      <c r="T252" s="377"/>
      <c r="U252" s="352"/>
      <c r="V252" s="352"/>
      <c r="W252" s="352"/>
      <c r="X252" s="375"/>
      <c r="Y252" s="375"/>
      <c r="Z252" s="336"/>
      <c r="AA252" s="353"/>
      <c r="AB252" s="336"/>
      <c r="AC252" s="336"/>
      <c r="AD252" s="336"/>
      <c r="AE252" s="336"/>
      <c r="AF252" s="336"/>
      <c r="AG252" s="336"/>
      <c r="AH252" s="336"/>
      <c r="AI252" s="336"/>
      <c r="AJ252" s="336"/>
      <c r="AK252" s="336"/>
      <c r="AL252" s="336"/>
      <c r="AM252" s="336"/>
      <c r="AN252" s="336"/>
      <c r="AO252" s="336"/>
      <c r="AP252" s="336"/>
      <c r="AQ252" s="336"/>
      <c r="AR252" s="336"/>
      <c r="AS252" s="336"/>
      <c r="AT252" s="336"/>
      <c r="AU252" s="336"/>
      <c r="AV252" s="336"/>
      <c r="AW252" s="336"/>
      <c r="AX252" s="336"/>
      <c r="AY252" s="336"/>
      <c r="AZ252" s="336"/>
      <c r="BA252" s="336"/>
      <c r="BB252" s="336"/>
      <c r="BC252" s="336"/>
      <c r="BD252" s="336"/>
      <c r="BE252" s="336"/>
      <c r="BF252" s="336"/>
    </row>
    <row r="253" spans="1:58" s="351" customFormat="1" x14ac:dyDescent="0.25">
      <c r="A253" s="336"/>
      <c r="B253" s="336"/>
      <c r="C253" s="336"/>
      <c r="D253" s="336"/>
      <c r="E253" s="336"/>
      <c r="F253" s="336"/>
      <c r="G253" s="336"/>
      <c r="H253" s="336"/>
      <c r="M253" s="352"/>
      <c r="N253" s="353"/>
      <c r="O253" s="353"/>
      <c r="T253" s="377"/>
      <c r="U253" s="352"/>
      <c r="V253" s="352"/>
      <c r="W253" s="352"/>
      <c r="X253" s="375"/>
      <c r="Y253" s="375"/>
      <c r="Z253" s="336"/>
      <c r="AA253" s="353"/>
      <c r="AB253" s="336"/>
      <c r="AC253" s="336"/>
      <c r="AD253" s="336"/>
      <c r="AE253" s="336"/>
      <c r="AF253" s="336"/>
      <c r="AG253" s="336"/>
      <c r="AH253" s="336"/>
      <c r="AI253" s="336"/>
      <c r="AJ253" s="336"/>
      <c r="AK253" s="336"/>
      <c r="AL253" s="336"/>
      <c r="AM253" s="336"/>
      <c r="AN253" s="336"/>
      <c r="AO253" s="336"/>
      <c r="AP253" s="336"/>
      <c r="AQ253" s="336"/>
      <c r="AR253" s="336"/>
      <c r="AS253" s="336"/>
      <c r="AT253" s="336"/>
      <c r="AU253" s="336"/>
      <c r="AV253" s="336"/>
      <c r="AW253" s="336"/>
      <c r="AX253" s="336"/>
      <c r="AY253" s="336"/>
      <c r="AZ253" s="336"/>
      <c r="BA253" s="336"/>
      <c r="BB253" s="336"/>
      <c r="BC253" s="336"/>
      <c r="BD253" s="336"/>
      <c r="BE253" s="336"/>
      <c r="BF253" s="336"/>
    </row>
    <row r="254" spans="1:58" s="351" customFormat="1" x14ac:dyDescent="0.25">
      <c r="A254" s="336"/>
      <c r="B254" s="336"/>
      <c r="C254" s="336"/>
      <c r="D254" s="336"/>
      <c r="E254" s="336"/>
      <c r="F254" s="336"/>
      <c r="G254" s="336"/>
      <c r="H254" s="336"/>
      <c r="M254" s="352"/>
      <c r="N254" s="353"/>
      <c r="O254" s="353"/>
      <c r="T254" s="377"/>
      <c r="U254" s="352"/>
      <c r="V254" s="352"/>
      <c r="W254" s="352"/>
      <c r="X254" s="375"/>
      <c r="Y254" s="375"/>
      <c r="Z254" s="336"/>
      <c r="AA254" s="353"/>
      <c r="AB254" s="336"/>
      <c r="AC254" s="336"/>
      <c r="AD254" s="336"/>
      <c r="AE254" s="336"/>
      <c r="AF254" s="336"/>
      <c r="AG254" s="336"/>
      <c r="AH254" s="336"/>
      <c r="AI254" s="336"/>
      <c r="AJ254" s="336"/>
      <c r="AK254" s="336"/>
      <c r="AL254" s="336"/>
      <c r="AM254" s="336"/>
      <c r="AN254" s="336"/>
      <c r="AO254" s="336"/>
      <c r="AP254" s="336"/>
      <c r="AQ254" s="336"/>
      <c r="AR254" s="336"/>
      <c r="AS254" s="336"/>
      <c r="AT254" s="336"/>
      <c r="AU254" s="336"/>
      <c r="AV254" s="336"/>
      <c r="AW254" s="336"/>
      <c r="AX254" s="336"/>
      <c r="AY254" s="336"/>
      <c r="AZ254" s="336"/>
      <c r="BA254" s="336"/>
      <c r="BB254" s="336"/>
      <c r="BC254" s="336"/>
      <c r="BD254" s="336"/>
      <c r="BE254" s="336"/>
      <c r="BF254" s="336"/>
    </row>
    <row r="255" spans="1:58" s="351" customFormat="1" x14ac:dyDescent="0.25">
      <c r="A255" s="336"/>
      <c r="B255" s="336"/>
      <c r="C255" s="336"/>
      <c r="D255" s="336"/>
      <c r="E255" s="336"/>
      <c r="F255" s="336"/>
      <c r="G255" s="336"/>
      <c r="H255" s="336"/>
      <c r="M255" s="352"/>
      <c r="N255" s="353"/>
      <c r="O255" s="353"/>
      <c r="T255" s="377"/>
      <c r="U255" s="352"/>
      <c r="V255" s="352"/>
      <c r="W255" s="352"/>
      <c r="X255" s="375"/>
      <c r="Y255" s="375"/>
      <c r="Z255" s="336"/>
      <c r="AA255" s="353"/>
      <c r="AB255" s="336"/>
      <c r="AC255" s="336"/>
      <c r="AD255" s="336"/>
      <c r="AE255" s="336"/>
      <c r="AF255" s="336"/>
      <c r="AG255" s="336"/>
      <c r="AH255" s="336"/>
      <c r="AI255" s="336"/>
      <c r="AJ255" s="336"/>
      <c r="AK255" s="336"/>
      <c r="AL255" s="336"/>
      <c r="AM255" s="336"/>
      <c r="AN255" s="336"/>
      <c r="AO255" s="336"/>
      <c r="AP255" s="336"/>
      <c r="AQ255" s="336"/>
      <c r="AR255" s="336"/>
      <c r="AS255" s="336"/>
      <c r="AT255" s="336"/>
      <c r="AU255" s="336"/>
      <c r="AV255" s="336"/>
      <c r="AW255" s="336"/>
      <c r="AX255" s="336"/>
      <c r="AY255" s="336"/>
      <c r="AZ255" s="336"/>
      <c r="BA255" s="336"/>
      <c r="BB255" s="336"/>
      <c r="BC255" s="336"/>
      <c r="BD255" s="336"/>
      <c r="BE255" s="336"/>
      <c r="BF255" s="336"/>
    </row>
    <row r="256" spans="1:58" s="351" customFormat="1" x14ac:dyDescent="0.25">
      <c r="A256" s="336"/>
      <c r="B256" s="336"/>
      <c r="C256" s="336"/>
      <c r="D256" s="336"/>
      <c r="E256" s="336"/>
      <c r="F256" s="336"/>
      <c r="G256" s="336"/>
      <c r="H256" s="336"/>
      <c r="M256" s="352"/>
      <c r="N256" s="353"/>
      <c r="O256" s="353"/>
      <c r="T256" s="377"/>
      <c r="U256" s="352"/>
      <c r="V256" s="352"/>
      <c r="W256" s="352"/>
      <c r="X256" s="375"/>
      <c r="Y256" s="375"/>
      <c r="Z256" s="336"/>
      <c r="AA256" s="353"/>
      <c r="AB256" s="336"/>
      <c r="AC256" s="336"/>
      <c r="AD256" s="336"/>
      <c r="AE256" s="336"/>
      <c r="AF256" s="336"/>
      <c r="AG256" s="336"/>
      <c r="AH256" s="336"/>
      <c r="AI256" s="336"/>
      <c r="AJ256" s="336"/>
      <c r="AK256" s="336"/>
      <c r="AL256" s="336"/>
      <c r="AM256" s="336"/>
      <c r="AN256" s="336"/>
      <c r="AO256" s="336"/>
      <c r="AP256" s="336"/>
      <c r="AQ256" s="336"/>
      <c r="AR256" s="336"/>
      <c r="AS256" s="336"/>
      <c r="AT256" s="336"/>
      <c r="AU256" s="336"/>
      <c r="AV256" s="336"/>
      <c r="AW256" s="336"/>
      <c r="AX256" s="336"/>
      <c r="AY256" s="336"/>
      <c r="AZ256" s="336"/>
      <c r="BA256" s="336"/>
      <c r="BB256" s="336"/>
      <c r="BC256" s="336"/>
      <c r="BD256" s="336"/>
      <c r="BE256" s="336"/>
      <c r="BF256" s="336"/>
    </row>
    <row r="257" spans="1:58" s="351" customFormat="1" x14ac:dyDescent="0.25">
      <c r="A257" s="336"/>
      <c r="B257" s="336"/>
      <c r="C257" s="336"/>
      <c r="D257" s="336"/>
      <c r="E257" s="336"/>
      <c r="F257" s="336"/>
      <c r="G257" s="336"/>
      <c r="H257" s="336"/>
      <c r="M257" s="352"/>
      <c r="N257" s="353"/>
      <c r="O257" s="353"/>
      <c r="T257" s="377"/>
      <c r="U257" s="352"/>
      <c r="V257" s="352"/>
      <c r="W257" s="352"/>
      <c r="X257" s="375"/>
      <c r="Y257" s="375"/>
      <c r="Z257" s="336"/>
      <c r="AA257" s="353"/>
      <c r="AB257" s="336"/>
      <c r="AC257" s="336"/>
      <c r="AD257" s="336"/>
      <c r="AE257" s="336"/>
      <c r="AF257" s="336"/>
      <c r="AG257" s="336"/>
      <c r="AH257" s="336"/>
      <c r="AI257" s="336"/>
      <c r="AJ257" s="336"/>
      <c r="AK257" s="336"/>
      <c r="AL257" s="336"/>
      <c r="AM257" s="336"/>
      <c r="AN257" s="336"/>
      <c r="AO257" s="336"/>
      <c r="AP257" s="336"/>
      <c r="AQ257" s="336"/>
      <c r="AR257" s="336"/>
      <c r="AS257" s="336"/>
      <c r="AT257" s="336"/>
      <c r="AU257" s="336"/>
      <c r="AV257" s="336"/>
      <c r="AW257" s="336"/>
      <c r="AX257" s="336"/>
      <c r="AY257" s="336"/>
      <c r="AZ257" s="336"/>
      <c r="BA257" s="336"/>
      <c r="BB257" s="336"/>
      <c r="BC257" s="336"/>
      <c r="BD257" s="336"/>
      <c r="BE257" s="336"/>
      <c r="BF257" s="336"/>
    </row>
    <row r="258" spans="1:58" s="351" customFormat="1" x14ac:dyDescent="0.25">
      <c r="A258" s="336"/>
      <c r="B258" s="336"/>
      <c r="C258" s="336"/>
      <c r="D258" s="336"/>
      <c r="E258" s="336"/>
      <c r="F258" s="336"/>
      <c r="G258" s="336"/>
      <c r="H258" s="336"/>
      <c r="M258" s="352"/>
      <c r="N258" s="353"/>
      <c r="O258" s="353"/>
      <c r="T258" s="377"/>
      <c r="U258" s="352"/>
      <c r="V258" s="352"/>
      <c r="W258" s="352"/>
      <c r="X258" s="375"/>
      <c r="Y258" s="375"/>
      <c r="Z258" s="336"/>
      <c r="AA258" s="353"/>
      <c r="AB258" s="336"/>
      <c r="AC258" s="336"/>
      <c r="AD258" s="336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336"/>
      <c r="AS258" s="336"/>
      <c r="AT258" s="336"/>
      <c r="AU258" s="336"/>
      <c r="AV258" s="336"/>
      <c r="AW258" s="336"/>
      <c r="AX258" s="336"/>
      <c r="AY258" s="336"/>
      <c r="AZ258" s="336"/>
      <c r="BA258" s="336"/>
      <c r="BB258" s="336"/>
      <c r="BC258" s="336"/>
      <c r="BD258" s="336"/>
      <c r="BE258" s="336"/>
      <c r="BF258" s="336"/>
    </row>
    <row r="259" spans="1:58" s="351" customFormat="1" x14ac:dyDescent="0.25">
      <c r="A259" s="336"/>
      <c r="B259" s="336"/>
      <c r="C259" s="336"/>
      <c r="D259" s="336"/>
      <c r="E259" s="336"/>
      <c r="F259" s="336"/>
      <c r="G259" s="336"/>
      <c r="H259" s="336"/>
      <c r="M259" s="352"/>
      <c r="N259" s="353"/>
      <c r="O259" s="353"/>
      <c r="T259" s="377"/>
      <c r="U259" s="352"/>
      <c r="V259" s="352"/>
      <c r="W259" s="352"/>
      <c r="X259" s="375"/>
      <c r="Y259" s="375"/>
      <c r="Z259" s="336"/>
      <c r="AA259" s="353"/>
      <c r="AB259" s="336"/>
      <c r="AC259" s="336"/>
      <c r="AD259" s="336"/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336"/>
      <c r="AS259" s="336"/>
      <c r="AT259" s="336"/>
      <c r="AU259" s="336"/>
      <c r="AV259" s="336"/>
      <c r="AW259" s="336"/>
      <c r="AX259" s="336"/>
      <c r="AY259" s="336"/>
      <c r="AZ259" s="336"/>
      <c r="BA259" s="336"/>
      <c r="BB259" s="336"/>
      <c r="BC259" s="336"/>
      <c r="BD259" s="336"/>
      <c r="BE259" s="336"/>
      <c r="BF259" s="336"/>
    </row>
    <row r="260" spans="1:58" s="351" customFormat="1" x14ac:dyDescent="0.25">
      <c r="A260" s="336"/>
      <c r="B260" s="336"/>
      <c r="C260" s="336"/>
      <c r="D260" s="336"/>
      <c r="E260" s="336"/>
      <c r="F260" s="336"/>
      <c r="G260" s="336"/>
      <c r="H260" s="336"/>
      <c r="M260" s="352"/>
      <c r="N260" s="353"/>
      <c r="O260" s="353"/>
      <c r="T260" s="377"/>
      <c r="U260" s="352"/>
      <c r="V260" s="352"/>
      <c r="W260" s="352"/>
      <c r="X260" s="375"/>
      <c r="Y260" s="375"/>
      <c r="Z260" s="336"/>
      <c r="AA260" s="353"/>
      <c r="AB260" s="336"/>
      <c r="AC260" s="336"/>
      <c r="AD260" s="336"/>
      <c r="AE260" s="336"/>
      <c r="AF260" s="336"/>
      <c r="AG260" s="336"/>
      <c r="AH260" s="336"/>
      <c r="AI260" s="336"/>
      <c r="AJ260" s="336"/>
      <c r="AK260" s="336"/>
      <c r="AL260" s="336"/>
      <c r="AM260" s="336"/>
      <c r="AN260" s="336"/>
      <c r="AO260" s="336"/>
      <c r="AP260" s="336"/>
      <c r="AQ260" s="336"/>
      <c r="AR260" s="336"/>
      <c r="AS260" s="336"/>
      <c r="AT260" s="336"/>
      <c r="AU260" s="336"/>
      <c r="AV260" s="336"/>
      <c r="AW260" s="336"/>
      <c r="AX260" s="336"/>
      <c r="AY260" s="336"/>
      <c r="AZ260" s="336"/>
      <c r="BA260" s="336"/>
      <c r="BB260" s="336"/>
      <c r="BC260" s="336"/>
      <c r="BD260" s="336"/>
      <c r="BE260" s="336"/>
      <c r="BF260" s="336"/>
    </row>
    <row r="261" spans="1:58" s="351" customFormat="1" x14ac:dyDescent="0.25">
      <c r="A261" s="336"/>
      <c r="B261" s="336"/>
      <c r="C261" s="336"/>
      <c r="D261" s="336"/>
      <c r="E261" s="336"/>
      <c r="F261" s="336"/>
      <c r="G261" s="336"/>
      <c r="H261" s="336"/>
      <c r="M261" s="352"/>
      <c r="N261" s="353"/>
      <c r="O261" s="353"/>
      <c r="T261" s="377"/>
      <c r="U261" s="352"/>
      <c r="V261" s="352"/>
      <c r="W261" s="352"/>
      <c r="X261" s="375"/>
      <c r="Y261" s="375"/>
      <c r="Z261" s="336"/>
      <c r="AA261" s="353"/>
      <c r="AB261" s="336"/>
      <c r="AC261" s="336"/>
      <c r="AD261" s="336"/>
      <c r="AE261" s="336"/>
      <c r="AF261" s="336"/>
      <c r="AG261" s="336"/>
      <c r="AH261" s="336"/>
      <c r="AI261" s="336"/>
      <c r="AJ261" s="336"/>
      <c r="AK261" s="336"/>
      <c r="AL261" s="336"/>
      <c r="AM261" s="336"/>
      <c r="AN261" s="336"/>
      <c r="AO261" s="336"/>
      <c r="AP261" s="336"/>
      <c r="AQ261" s="336"/>
      <c r="AR261" s="336"/>
      <c r="AS261" s="336"/>
      <c r="AT261" s="336"/>
      <c r="AU261" s="336"/>
      <c r="AV261" s="336"/>
      <c r="AW261" s="336"/>
      <c r="AX261" s="336"/>
      <c r="AY261" s="336"/>
      <c r="AZ261" s="336"/>
      <c r="BA261" s="336"/>
      <c r="BB261" s="336"/>
      <c r="BC261" s="336"/>
      <c r="BD261" s="336"/>
      <c r="BE261" s="336"/>
      <c r="BF261" s="336"/>
    </row>
    <row r="262" spans="1:58" s="351" customFormat="1" x14ac:dyDescent="0.25">
      <c r="A262" s="336"/>
      <c r="B262" s="336"/>
      <c r="C262" s="336"/>
      <c r="D262" s="336"/>
      <c r="E262" s="336"/>
      <c r="F262" s="336"/>
      <c r="G262" s="336"/>
      <c r="H262" s="336"/>
      <c r="M262" s="352"/>
      <c r="N262" s="353"/>
      <c r="O262" s="353"/>
      <c r="T262" s="377"/>
      <c r="U262" s="352"/>
      <c r="V262" s="352"/>
      <c r="W262" s="352"/>
      <c r="X262" s="375"/>
      <c r="Y262" s="375"/>
      <c r="Z262" s="336"/>
      <c r="AA262" s="353"/>
      <c r="AB262" s="336"/>
      <c r="AC262" s="336"/>
      <c r="AD262" s="336"/>
      <c r="AE262" s="336"/>
      <c r="AF262" s="336"/>
      <c r="AG262" s="336"/>
      <c r="AH262" s="336"/>
      <c r="AI262" s="336"/>
      <c r="AJ262" s="336"/>
      <c r="AK262" s="336"/>
      <c r="AL262" s="336"/>
      <c r="AM262" s="336"/>
      <c r="AN262" s="336"/>
      <c r="AO262" s="336"/>
      <c r="AP262" s="336"/>
      <c r="AQ262" s="336"/>
      <c r="AR262" s="336"/>
      <c r="AS262" s="336"/>
      <c r="AT262" s="336"/>
      <c r="AU262" s="336"/>
      <c r="AV262" s="336"/>
      <c r="AW262" s="336"/>
      <c r="AX262" s="336"/>
      <c r="AY262" s="336"/>
      <c r="AZ262" s="336"/>
      <c r="BA262" s="336"/>
      <c r="BB262" s="336"/>
      <c r="BC262" s="336"/>
      <c r="BD262" s="336"/>
      <c r="BE262" s="336"/>
      <c r="BF262" s="336"/>
    </row>
    <row r="263" spans="1:58" s="351" customFormat="1" x14ac:dyDescent="0.25">
      <c r="A263" s="336"/>
      <c r="B263" s="336"/>
      <c r="C263" s="336"/>
      <c r="D263" s="336"/>
      <c r="E263" s="336"/>
      <c r="F263" s="336"/>
      <c r="G263" s="336"/>
      <c r="H263" s="336"/>
      <c r="M263" s="352"/>
      <c r="N263" s="353"/>
      <c r="O263" s="353"/>
      <c r="T263" s="377"/>
      <c r="U263" s="352"/>
      <c r="V263" s="352"/>
      <c r="W263" s="352"/>
      <c r="X263" s="375"/>
      <c r="Y263" s="375"/>
      <c r="Z263" s="336"/>
      <c r="AA263" s="353"/>
      <c r="AB263" s="336"/>
      <c r="AC263" s="336"/>
      <c r="AD263" s="336"/>
      <c r="AE263" s="336"/>
      <c r="AF263" s="336"/>
      <c r="AG263" s="336"/>
      <c r="AH263" s="336"/>
      <c r="AI263" s="336"/>
      <c r="AJ263" s="336"/>
      <c r="AK263" s="336"/>
      <c r="AL263" s="336"/>
      <c r="AM263" s="336"/>
      <c r="AN263" s="336"/>
      <c r="AO263" s="336"/>
      <c r="AP263" s="336"/>
      <c r="AQ263" s="336"/>
      <c r="AR263" s="336"/>
      <c r="AS263" s="336"/>
      <c r="AT263" s="336"/>
      <c r="AU263" s="336"/>
      <c r="AV263" s="336"/>
      <c r="AW263" s="336"/>
      <c r="AX263" s="336"/>
      <c r="AY263" s="336"/>
      <c r="AZ263" s="336"/>
      <c r="BA263" s="336"/>
      <c r="BB263" s="336"/>
      <c r="BC263" s="336"/>
      <c r="BD263" s="336"/>
      <c r="BE263" s="336"/>
      <c r="BF263" s="336"/>
    </row>
    <row r="264" spans="1:58" s="351" customFormat="1" x14ac:dyDescent="0.25">
      <c r="A264" s="336"/>
      <c r="B264" s="336"/>
      <c r="C264" s="336"/>
      <c r="D264" s="336"/>
      <c r="E264" s="336"/>
      <c r="F264" s="336"/>
      <c r="G264" s="336"/>
      <c r="H264" s="336"/>
      <c r="M264" s="352"/>
      <c r="N264" s="353"/>
      <c r="O264" s="353"/>
      <c r="T264" s="377"/>
      <c r="U264" s="352"/>
      <c r="V264" s="352"/>
      <c r="W264" s="352"/>
      <c r="X264" s="375"/>
      <c r="Y264" s="375"/>
      <c r="Z264" s="336"/>
      <c r="AA264" s="353"/>
      <c r="AB264" s="336"/>
      <c r="AC264" s="336"/>
      <c r="AD264" s="336"/>
      <c r="AE264" s="336"/>
      <c r="AF264" s="336"/>
      <c r="AG264" s="336"/>
      <c r="AH264" s="336"/>
      <c r="AI264" s="336"/>
      <c r="AJ264" s="336"/>
      <c r="AK264" s="336"/>
      <c r="AL264" s="336"/>
      <c r="AM264" s="336"/>
      <c r="AN264" s="336"/>
      <c r="AO264" s="336"/>
      <c r="AP264" s="336"/>
      <c r="AQ264" s="336"/>
      <c r="AR264" s="336"/>
      <c r="AS264" s="336"/>
      <c r="AT264" s="336"/>
      <c r="AU264" s="336"/>
      <c r="AV264" s="336"/>
      <c r="AW264" s="336"/>
      <c r="AX264" s="336"/>
      <c r="AY264" s="336"/>
      <c r="AZ264" s="336"/>
      <c r="BA264" s="336"/>
      <c r="BB264" s="336"/>
      <c r="BC264" s="336"/>
      <c r="BD264" s="336"/>
      <c r="BE264" s="336"/>
      <c r="BF264" s="336"/>
    </row>
    <row r="265" spans="1:58" s="351" customFormat="1" x14ac:dyDescent="0.25">
      <c r="A265" s="336"/>
      <c r="B265" s="336"/>
      <c r="C265" s="336"/>
      <c r="D265" s="336"/>
      <c r="E265" s="336"/>
      <c r="F265" s="336"/>
      <c r="G265" s="336"/>
      <c r="H265" s="336"/>
      <c r="M265" s="352"/>
      <c r="N265" s="353"/>
      <c r="O265" s="353"/>
      <c r="T265" s="377"/>
      <c r="U265" s="352"/>
      <c r="V265" s="352"/>
      <c r="W265" s="352"/>
      <c r="X265" s="375"/>
      <c r="Y265" s="375"/>
      <c r="Z265" s="336"/>
      <c r="AA265" s="353"/>
      <c r="AB265" s="336"/>
      <c r="AC265" s="336"/>
      <c r="AD265" s="336"/>
      <c r="AE265" s="336"/>
      <c r="AF265" s="336"/>
      <c r="AG265" s="336"/>
      <c r="AH265" s="336"/>
      <c r="AI265" s="336"/>
      <c r="AJ265" s="336"/>
      <c r="AK265" s="336"/>
      <c r="AL265" s="336"/>
      <c r="AM265" s="336"/>
      <c r="AN265" s="336"/>
      <c r="AO265" s="336"/>
      <c r="AP265" s="336"/>
      <c r="AQ265" s="336"/>
      <c r="AR265" s="336"/>
      <c r="AS265" s="336"/>
      <c r="AT265" s="336"/>
      <c r="AU265" s="336"/>
      <c r="AV265" s="336"/>
      <c r="AW265" s="336"/>
      <c r="AX265" s="336"/>
      <c r="AY265" s="336"/>
      <c r="AZ265" s="336"/>
      <c r="BA265" s="336"/>
      <c r="BB265" s="336"/>
      <c r="BC265" s="336"/>
      <c r="BD265" s="336"/>
      <c r="BE265" s="336"/>
      <c r="BF265" s="336"/>
    </row>
    <row r="266" spans="1:58" s="351" customFormat="1" x14ac:dyDescent="0.25">
      <c r="A266" s="336"/>
      <c r="B266" s="336"/>
      <c r="C266" s="336"/>
      <c r="D266" s="336"/>
      <c r="E266" s="336"/>
      <c r="F266" s="336"/>
      <c r="G266" s="336"/>
      <c r="H266" s="336"/>
      <c r="M266" s="352"/>
      <c r="N266" s="353"/>
      <c r="O266" s="353"/>
      <c r="T266" s="377"/>
      <c r="U266" s="352"/>
      <c r="V266" s="352"/>
      <c r="W266" s="352"/>
      <c r="X266" s="375"/>
      <c r="Y266" s="375"/>
      <c r="Z266" s="336"/>
      <c r="AA266" s="353"/>
      <c r="AB266" s="336"/>
      <c r="AC266" s="336"/>
      <c r="AD266" s="336"/>
      <c r="AE266" s="336"/>
      <c r="AF266" s="336"/>
      <c r="AG266" s="336"/>
      <c r="AH266" s="336"/>
      <c r="AI266" s="336"/>
      <c r="AJ266" s="336"/>
      <c r="AK266" s="336"/>
      <c r="AL266" s="336"/>
      <c r="AM266" s="336"/>
      <c r="AN266" s="336"/>
      <c r="AO266" s="336"/>
      <c r="AP266" s="336"/>
      <c r="AQ266" s="336"/>
      <c r="AR266" s="336"/>
      <c r="AS266" s="336"/>
      <c r="AT266" s="336"/>
      <c r="AU266" s="336"/>
      <c r="AV266" s="336"/>
      <c r="AW266" s="336"/>
      <c r="AX266" s="336"/>
      <c r="AY266" s="336"/>
      <c r="AZ266" s="336"/>
      <c r="BA266" s="336"/>
      <c r="BB266" s="336"/>
      <c r="BC266" s="336"/>
      <c r="BD266" s="336"/>
      <c r="BE266" s="336"/>
      <c r="BF266" s="336"/>
    </row>
    <row r="267" spans="1:58" s="351" customFormat="1" x14ac:dyDescent="0.25">
      <c r="A267" s="336"/>
      <c r="B267" s="336"/>
      <c r="C267" s="336"/>
      <c r="D267" s="336"/>
      <c r="E267" s="336"/>
      <c r="F267" s="336"/>
      <c r="G267" s="336"/>
      <c r="H267" s="336"/>
      <c r="M267" s="352"/>
      <c r="N267" s="353"/>
      <c r="O267" s="353"/>
      <c r="T267" s="377"/>
      <c r="U267" s="352"/>
      <c r="V267" s="352"/>
      <c r="W267" s="352"/>
      <c r="X267" s="375"/>
      <c r="Y267" s="375"/>
      <c r="Z267" s="336"/>
      <c r="AA267" s="353"/>
      <c r="AB267" s="336"/>
      <c r="AC267" s="336"/>
      <c r="AD267" s="336"/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336"/>
      <c r="AS267" s="336"/>
      <c r="AT267" s="336"/>
      <c r="AU267" s="336"/>
      <c r="AV267" s="336"/>
      <c r="AW267" s="336"/>
      <c r="AX267" s="336"/>
      <c r="AY267" s="336"/>
      <c r="AZ267" s="336"/>
      <c r="BA267" s="336"/>
      <c r="BB267" s="336"/>
      <c r="BC267" s="336"/>
      <c r="BD267" s="336"/>
      <c r="BE267" s="336"/>
      <c r="BF267" s="336"/>
    </row>
    <row r="268" spans="1:58" s="351" customFormat="1" x14ac:dyDescent="0.25">
      <c r="A268" s="336"/>
      <c r="B268" s="336"/>
      <c r="C268" s="336"/>
      <c r="D268" s="336"/>
      <c r="E268" s="336"/>
      <c r="F268" s="336"/>
      <c r="G268" s="336"/>
      <c r="H268" s="336"/>
      <c r="M268" s="352"/>
      <c r="N268" s="353"/>
      <c r="O268" s="353"/>
      <c r="T268" s="377"/>
      <c r="U268" s="352"/>
      <c r="V268" s="352"/>
      <c r="W268" s="352"/>
      <c r="X268" s="375"/>
      <c r="Y268" s="375"/>
      <c r="Z268" s="336"/>
      <c r="AA268" s="353"/>
      <c r="AB268" s="336"/>
      <c r="AC268" s="336"/>
      <c r="AD268" s="336"/>
      <c r="AE268" s="336"/>
      <c r="AF268" s="336"/>
      <c r="AG268" s="336"/>
      <c r="AH268" s="336"/>
      <c r="AI268" s="336"/>
      <c r="AJ268" s="336"/>
      <c r="AK268" s="336"/>
      <c r="AL268" s="336"/>
      <c r="AM268" s="336"/>
      <c r="AN268" s="336"/>
      <c r="AO268" s="336"/>
      <c r="AP268" s="336"/>
      <c r="AQ268" s="336"/>
      <c r="AR268" s="336"/>
      <c r="AS268" s="336"/>
      <c r="AT268" s="336"/>
      <c r="AU268" s="336"/>
      <c r="AV268" s="336"/>
      <c r="AW268" s="336"/>
      <c r="AX268" s="336"/>
      <c r="AY268" s="336"/>
      <c r="AZ268" s="336"/>
      <c r="BA268" s="336"/>
      <c r="BB268" s="336"/>
      <c r="BC268" s="336"/>
      <c r="BD268" s="336"/>
      <c r="BE268" s="336"/>
      <c r="BF268" s="336"/>
    </row>
    <row r="269" spans="1:58" s="351" customFormat="1" x14ac:dyDescent="0.25">
      <c r="A269" s="336"/>
      <c r="B269" s="336"/>
      <c r="C269" s="336"/>
      <c r="D269" s="336"/>
      <c r="E269" s="336"/>
      <c r="F269" s="336"/>
      <c r="G269" s="336"/>
      <c r="H269" s="336"/>
      <c r="M269" s="352"/>
      <c r="N269" s="353"/>
      <c r="O269" s="353"/>
      <c r="T269" s="377"/>
      <c r="U269" s="352"/>
      <c r="V269" s="352"/>
      <c r="W269" s="352"/>
      <c r="X269" s="375"/>
      <c r="Y269" s="375"/>
      <c r="Z269" s="336"/>
      <c r="AA269" s="353"/>
      <c r="AB269" s="336"/>
      <c r="AC269" s="336"/>
      <c r="AD269" s="336"/>
      <c r="AE269" s="336"/>
      <c r="AF269" s="336"/>
      <c r="AG269" s="336"/>
      <c r="AH269" s="336"/>
      <c r="AI269" s="336"/>
      <c r="AJ269" s="336"/>
      <c r="AK269" s="336"/>
      <c r="AL269" s="336"/>
      <c r="AM269" s="336"/>
      <c r="AN269" s="336"/>
      <c r="AO269" s="336"/>
      <c r="AP269" s="336"/>
      <c r="AQ269" s="336"/>
      <c r="AR269" s="336"/>
      <c r="AS269" s="336"/>
      <c r="AT269" s="336"/>
      <c r="AU269" s="336"/>
      <c r="AV269" s="336"/>
      <c r="AW269" s="336"/>
      <c r="AX269" s="336"/>
      <c r="AY269" s="336"/>
      <c r="AZ269" s="336"/>
      <c r="BA269" s="336"/>
      <c r="BB269" s="336"/>
      <c r="BC269" s="336"/>
      <c r="BD269" s="336"/>
      <c r="BE269" s="336"/>
      <c r="BF269" s="336"/>
    </row>
    <row r="270" spans="1:58" s="351" customFormat="1" x14ac:dyDescent="0.25">
      <c r="A270" s="336"/>
      <c r="B270" s="336"/>
      <c r="C270" s="336"/>
      <c r="D270" s="336"/>
      <c r="E270" s="336"/>
      <c r="F270" s="336"/>
      <c r="G270" s="336"/>
      <c r="H270" s="336"/>
      <c r="M270" s="352"/>
      <c r="N270" s="353"/>
      <c r="O270" s="353"/>
      <c r="T270" s="377"/>
      <c r="U270" s="352"/>
      <c r="V270" s="352"/>
      <c r="W270" s="352"/>
      <c r="X270" s="375"/>
      <c r="Y270" s="375"/>
      <c r="Z270" s="336"/>
      <c r="AA270" s="353"/>
      <c r="AB270" s="336"/>
      <c r="AC270" s="336"/>
      <c r="AD270" s="336"/>
      <c r="AE270" s="336"/>
      <c r="AF270" s="336"/>
      <c r="AG270" s="336"/>
      <c r="AH270" s="336"/>
      <c r="AI270" s="336"/>
      <c r="AJ270" s="336"/>
      <c r="AK270" s="336"/>
      <c r="AL270" s="336"/>
      <c r="AM270" s="336"/>
      <c r="AN270" s="336"/>
      <c r="AO270" s="336"/>
      <c r="AP270" s="336"/>
      <c r="AQ270" s="336"/>
      <c r="AR270" s="336"/>
      <c r="AS270" s="336"/>
      <c r="AT270" s="336"/>
      <c r="AU270" s="336"/>
      <c r="AV270" s="336"/>
      <c r="AW270" s="336"/>
      <c r="AX270" s="336"/>
      <c r="AY270" s="336"/>
      <c r="AZ270" s="336"/>
      <c r="BA270" s="336"/>
      <c r="BB270" s="336"/>
      <c r="BC270" s="336"/>
      <c r="BD270" s="336"/>
      <c r="BE270" s="336"/>
      <c r="BF270" s="336"/>
    </row>
    <row r="271" spans="1:58" s="351" customFormat="1" x14ac:dyDescent="0.25">
      <c r="A271" s="336"/>
      <c r="B271" s="336"/>
      <c r="C271" s="336"/>
      <c r="D271" s="336"/>
      <c r="E271" s="336"/>
      <c r="F271" s="336"/>
      <c r="G271" s="336"/>
      <c r="H271" s="336"/>
      <c r="M271" s="352"/>
      <c r="N271" s="353"/>
      <c r="O271" s="353"/>
      <c r="T271" s="377"/>
      <c r="U271" s="352"/>
      <c r="V271" s="352"/>
      <c r="W271" s="352"/>
      <c r="X271" s="375"/>
      <c r="Y271" s="375"/>
      <c r="Z271" s="336"/>
      <c r="AA271" s="353"/>
      <c r="AB271" s="336"/>
      <c r="AC271" s="336"/>
      <c r="AD271" s="336"/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336"/>
      <c r="AS271" s="336"/>
      <c r="AT271" s="336"/>
      <c r="AU271" s="336"/>
      <c r="AV271" s="336"/>
      <c r="AW271" s="336"/>
      <c r="AX271" s="336"/>
      <c r="AY271" s="336"/>
      <c r="AZ271" s="336"/>
      <c r="BA271" s="336"/>
      <c r="BB271" s="336"/>
      <c r="BC271" s="336"/>
      <c r="BD271" s="336"/>
      <c r="BE271" s="336"/>
      <c r="BF271" s="336"/>
    </row>
    <row r="272" spans="1:58" s="351" customFormat="1" x14ac:dyDescent="0.25">
      <c r="A272" s="336"/>
      <c r="B272" s="336"/>
      <c r="C272" s="336"/>
      <c r="D272" s="336"/>
      <c r="E272" s="336"/>
      <c r="F272" s="336"/>
      <c r="G272" s="336"/>
      <c r="H272" s="336"/>
      <c r="M272" s="352"/>
      <c r="N272" s="353"/>
      <c r="O272" s="353"/>
      <c r="T272" s="377"/>
      <c r="U272" s="352"/>
      <c r="V272" s="352"/>
      <c r="W272" s="352"/>
      <c r="X272" s="375"/>
      <c r="Y272" s="375"/>
      <c r="Z272" s="336"/>
      <c r="AA272" s="353"/>
      <c r="AB272" s="336"/>
      <c r="AC272" s="336"/>
      <c r="AD272" s="336"/>
      <c r="AE272" s="336"/>
      <c r="AF272" s="336"/>
      <c r="AG272" s="336"/>
      <c r="AH272" s="336"/>
      <c r="AI272" s="336"/>
      <c r="AJ272" s="336"/>
      <c r="AK272" s="336"/>
      <c r="AL272" s="336"/>
      <c r="AM272" s="336"/>
      <c r="AN272" s="336"/>
      <c r="AO272" s="336"/>
      <c r="AP272" s="336"/>
      <c r="AQ272" s="336"/>
      <c r="AR272" s="336"/>
      <c r="AS272" s="336"/>
      <c r="AT272" s="336"/>
      <c r="AU272" s="336"/>
      <c r="AV272" s="336"/>
      <c r="AW272" s="336"/>
      <c r="AX272" s="336"/>
      <c r="AY272" s="336"/>
      <c r="AZ272" s="336"/>
      <c r="BA272" s="336"/>
      <c r="BB272" s="336"/>
      <c r="BC272" s="336"/>
      <c r="BD272" s="336"/>
      <c r="BE272" s="336"/>
      <c r="BF272" s="336"/>
    </row>
    <row r="273" spans="1:58" s="351" customFormat="1" x14ac:dyDescent="0.25">
      <c r="A273" s="336"/>
      <c r="B273" s="336"/>
      <c r="C273" s="336"/>
      <c r="D273" s="336"/>
      <c r="E273" s="336"/>
      <c r="F273" s="336"/>
      <c r="G273" s="336"/>
      <c r="H273" s="336"/>
      <c r="M273" s="352"/>
      <c r="N273" s="353"/>
      <c r="O273" s="353"/>
      <c r="T273" s="377"/>
      <c r="U273" s="352"/>
      <c r="V273" s="352"/>
      <c r="W273" s="352"/>
      <c r="X273" s="375"/>
      <c r="Y273" s="375"/>
      <c r="Z273" s="336"/>
      <c r="AA273" s="353"/>
      <c r="AB273" s="336"/>
      <c r="AC273" s="336"/>
      <c r="AD273" s="336"/>
      <c r="AE273" s="336"/>
      <c r="AF273" s="336"/>
      <c r="AG273" s="336"/>
      <c r="AH273" s="336"/>
      <c r="AI273" s="336"/>
      <c r="AJ273" s="336"/>
      <c r="AK273" s="336"/>
      <c r="AL273" s="336"/>
      <c r="AM273" s="336"/>
      <c r="AN273" s="336"/>
      <c r="AO273" s="336"/>
      <c r="AP273" s="336"/>
      <c r="AQ273" s="336"/>
      <c r="AR273" s="336"/>
      <c r="AS273" s="336"/>
      <c r="AT273" s="336"/>
      <c r="AU273" s="336"/>
      <c r="AV273" s="336"/>
      <c r="AW273" s="336"/>
      <c r="AX273" s="336"/>
      <c r="AY273" s="336"/>
      <c r="AZ273" s="336"/>
      <c r="BA273" s="336"/>
      <c r="BB273" s="336"/>
      <c r="BC273" s="336"/>
      <c r="BD273" s="336"/>
      <c r="BE273" s="336"/>
      <c r="BF273" s="336"/>
    </row>
    <row r="274" spans="1:58" s="351" customFormat="1" x14ac:dyDescent="0.25">
      <c r="A274" s="336"/>
      <c r="B274" s="336"/>
      <c r="C274" s="336"/>
      <c r="D274" s="336"/>
      <c r="E274" s="336"/>
      <c r="F274" s="336"/>
      <c r="G274" s="336"/>
      <c r="H274" s="336"/>
      <c r="M274" s="352"/>
      <c r="N274" s="353"/>
      <c r="O274" s="353"/>
      <c r="T274" s="377"/>
      <c r="U274" s="352"/>
      <c r="V274" s="352"/>
      <c r="W274" s="352"/>
      <c r="X274" s="375"/>
      <c r="Y274" s="375"/>
      <c r="Z274" s="336"/>
      <c r="AA274" s="353"/>
      <c r="AB274" s="336"/>
      <c r="AC274" s="336"/>
      <c r="AD274" s="336"/>
      <c r="AE274" s="336"/>
      <c r="AF274" s="336"/>
      <c r="AG274" s="336"/>
      <c r="AH274" s="336"/>
      <c r="AI274" s="336"/>
      <c r="AJ274" s="336"/>
      <c r="AK274" s="336"/>
      <c r="AL274" s="336"/>
      <c r="AM274" s="336"/>
      <c r="AN274" s="336"/>
      <c r="AO274" s="336"/>
      <c r="AP274" s="336"/>
      <c r="AQ274" s="336"/>
      <c r="AR274" s="336"/>
      <c r="AS274" s="336"/>
      <c r="AT274" s="336"/>
      <c r="AU274" s="336"/>
      <c r="AV274" s="336"/>
      <c r="AW274" s="336"/>
      <c r="AX274" s="336"/>
      <c r="AY274" s="336"/>
      <c r="AZ274" s="336"/>
      <c r="BA274" s="336"/>
      <c r="BB274" s="336"/>
      <c r="BC274" s="336"/>
      <c r="BD274" s="336"/>
      <c r="BE274" s="336"/>
      <c r="BF274" s="336"/>
    </row>
    <row r="275" spans="1:58" s="351" customFormat="1" x14ac:dyDescent="0.25">
      <c r="A275" s="336"/>
      <c r="B275" s="336"/>
      <c r="C275" s="336"/>
      <c r="D275" s="336"/>
      <c r="E275" s="336"/>
      <c r="F275" s="336"/>
      <c r="G275" s="336"/>
      <c r="H275" s="336"/>
      <c r="M275" s="352"/>
      <c r="N275" s="353"/>
      <c r="O275" s="353"/>
      <c r="T275" s="377"/>
      <c r="U275" s="352"/>
      <c r="V275" s="352"/>
      <c r="W275" s="352"/>
      <c r="X275" s="375"/>
      <c r="Y275" s="375"/>
      <c r="Z275" s="336"/>
      <c r="AA275" s="353"/>
      <c r="AB275" s="336"/>
      <c r="AC275" s="336"/>
      <c r="AD275" s="336"/>
      <c r="AE275" s="336"/>
      <c r="AF275" s="336"/>
      <c r="AG275" s="336"/>
      <c r="AH275" s="336"/>
      <c r="AI275" s="336"/>
      <c r="AJ275" s="336"/>
      <c r="AK275" s="336"/>
      <c r="AL275" s="336"/>
      <c r="AM275" s="336"/>
      <c r="AN275" s="336"/>
      <c r="AO275" s="336"/>
      <c r="AP275" s="336"/>
      <c r="AQ275" s="336"/>
      <c r="AR275" s="336"/>
      <c r="AS275" s="336"/>
      <c r="AT275" s="336"/>
      <c r="AU275" s="336"/>
      <c r="AV275" s="336"/>
      <c r="AW275" s="336"/>
      <c r="AX275" s="336"/>
      <c r="AY275" s="336"/>
      <c r="AZ275" s="336"/>
      <c r="BA275" s="336"/>
      <c r="BB275" s="336"/>
      <c r="BC275" s="336"/>
      <c r="BD275" s="336"/>
      <c r="BE275" s="336"/>
      <c r="BF275" s="336"/>
    </row>
    <row r="276" spans="1:58" s="351" customFormat="1" x14ac:dyDescent="0.25">
      <c r="A276" s="336"/>
      <c r="B276" s="336"/>
      <c r="C276" s="336"/>
      <c r="D276" s="336"/>
      <c r="E276" s="336"/>
      <c r="F276" s="336"/>
      <c r="G276" s="336"/>
      <c r="H276" s="336"/>
      <c r="M276" s="352"/>
      <c r="N276" s="353"/>
      <c r="O276" s="353"/>
      <c r="T276" s="377"/>
      <c r="U276" s="352"/>
      <c r="V276" s="352"/>
      <c r="W276" s="352"/>
      <c r="X276" s="375"/>
      <c r="Y276" s="375"/>
      <c r="Z276" s="336"/>
      <c r="AA276" s="353"/>
      <c r="AB276" s="336"/>
      <c r="AC276" s="336"/>
      <c r="AD276" s="336"/>
      <c r="AE276" s="336"/>
      <c r="AF276" s="336"/>
      <c r="AG276" s="336"/>
      <c r="AH276" s="336"/>
      <c r="AI276" s="336"/>
      <c r="AJ276" s="336"/>
      <c r="AK276" s="336"/>
      <c r="AL276" s="336"/>
      <c r="AM276" s="336"/>
      <c r="AN276" s="336"/>
      <c r="AO276" s="336"/>
      <c r="AP276" s="336"/>
      <c r="AQ276" s="336"/>
      <c r="AR276" s="336"/>
      <c r="AS276" s="336"/>
      <c r="AT276" s="336"/>
      <c r="AU276" s="336"/>
      <c r="AV276" s="336"/>
      <c r="AW276" s="336"/>
      <c r="AX276" s="336"/>
      <c r="AY276" s="336"/>
      <c r="AZ276" s="336"/>
      <c r="BA276" s="336"/>
      <c r="BB276" s="336"/>
      <c r="BC276" s="336"/>
      <c r="BD276" s="336"/>
      <c r="BE276" s="336"/>
      <c r="BF276" s="336"/>
    </row>
    <row r="277" spans="1:58" s="351" customFormat="1" x14ac:dyDescent="0.25">
      <c r="A277" s="336"/>
      <c r="B277" s="336"/>
      <c r="C277" s="336"/>
      <c r="D277" s="336"/>
      <c r="E277" s="336"/>
      <c r="F277" s="336"/>
      <c r="G277" s="336"/>
      <c r="H277" s="336"/>
      <c r="M277" s="352"/>
      <c r="N277" s="353"/>
      <c r="O277" s="353"/>
      <c r="T277" s="377"/>
      <c r="U277" s="352"/>
      <c r="V277" s="352"/>
      <c r="W277" s="352"/>
      <c r="X277" s="375"/>
      <c r="Y277" s="375"/>
      <c r="Z277" s="336"/>
      <c r="AA277" s="353"/>
      <c r="AB277" s="336"/>
      <c r="AC277" s="336"/>
      <c r="AD277" s="336"/>
      <c r="AE277" s="336"/>
      <c r="AF277" s="336"/>
      <c r="AG277" s="336"/>
      <c r="AH277" s="336"/>
      <c r="AI277" s="336"/>
      <c r="AJ277" s="336"/>
      <c r="AK277" s="336"/>
      <c r="AL277" s="336"/>
      <c r="AM277" s="336"/>
      <c r="AN277" s="336"/>
      <c r="AO277" s="336"/>
      <c r="AP277" s="336"/>
      <c r="AQ277" s="336"/>
      <c r="AR277" s="336"/>
      <c r="AS277" s="336"/>
      <c r="AT277" s="336"/>
      <c r="AU277" s="336"/>
      <c r="AV277" s="336"/>
      <c r="AW277" s="336"/>
      <c r="AX277" s="336"/>
      <c r="AY277" s="336"/>
      <c r="AZ277" s="336"/>
      <c r="BA277" s="336"/>
      <c r="BB277" s="336"/>
      <c r="BC277" s="336"/>
      <c r="BD277" s="336"/>
      <c r="BE277" s="336"/>
      <c r="BF277" s="336"/>
    </row>
    <row r="278" spans="1:58" s="351" customFormat="1" x14ac:dyDescent="0.25">
      <c r="A278" s="336"/>
      <c r="B278" s="336"/>
      <c r="C278" s="336"/>
      <c r="D278" s="336"/>
      <c r="E278" s="336"/>
      <c r="F278" s="336"/>
      <c r="G278" s="336"/>
      <c r="H278" s="336"/>
      <c r="M278" s="352"/>
      <c r="N278" s="353"/>
      <c r="O278" s="353"/>
      <c r="T278" s="377"/>
      <c r="U278" s="352"/>
      <c r="V278" s="352"/>
      <c r="W278" s="352"/>
      <c r="X278" s="375"/>
      <c r="Y278" s="375"/>
      <c r="Z278" s="336"/>
      <c r="AA278" s="353"/>
      <c r="AB278" s="336"/>
      <c r="AC278" s="336"/>
      <c r="AD278" s="336"/>
      <c r="AE278" s="336"/>
      <c r="AF278" s="336"/>
      <c r="AG278" s="336"/>
      <c r="AH278" s="336"/>
      <c r="AI278" s="336"/>
      <c r="AJ278" s="336"/>
      <c r="AK278" s="336"/>
      <c r="AL278" s="336"/>
      <c r="AM278" s="336"/>
      <c r="AN278" s="336"/>
      <c r="AO278" s="336"/>
      <c r="AP278" s="336"/>
      <c r="AQ278" s="336"/>
      <c r="AR278" s="336"/>
      <c r="AS278" s="336"/>
      <c r="AT278" s="336"/>
      <c r="AU278" s="336"/>
      <c r="AV278" s="336"/>
      <c r="AW278" s="336"/>
      <c r="AX278" s="336"/>
      <c r="AY278" s="336"/>
      <c r="AZ278" s="336"/>
      <c r="BA278" s="336"/>
      <c r="BB278" s="336"/>
      <c r="BC278" s="336"/>
      <c r="BD278" s="336"/>
      <c r="BE278" s="336"/>
      <c r="BF278" s="336"/>
    </row>
    <row r="279" spans="1:58" s="351" customFormat="1" x14ac:dyDescent="0.25">
      <c r="A279" s="336"/>
      <c r="B279" s="336"/>
      <c r="C279" s="336"/>
      <c r="D279" s="336"/>
      <c r="E279" s="336"/>
      <c r="F279" s="336"/>
      <c r="G279" s="336"/>
      <c r="H279" s="336"/>
      <c r="M279" s="352"/>
      <c r="N279" s="353"/>
      <c r="O279" s="353"/>
      <c r="T279" s="377"/>
      <c r="U279" s="352"/>
      <c r="V279" s="352"/>
      <c r="W279" s="352"/>
      <c r="X279" s="375"/>
      <c r="Y279" s="375"/>
      <c r="Z279" s="336"/>
      <c r="AA279" s="353"/>
      <c r="AB279" s="336"/>
      <c r="AC279" s="336"/>
      <c r="AD279" s="336"/>
      <c r="AE279" s="336"/>
      <c r="AF279" s="336"/>
      <c r="AG279" s="336"/>
      <c r="AH279" s="336"/>
      <c r="AI279" s="336"/>
      <c r="AJ279" s="336"/>
      <c r="AK279" s="336"/>
      <c r="AL279" s="336"/>
      <c r="AM279" s="336"/>
      <c r="AN279" s="336"/>
      <c r="AO279" s="336"/>
      <c r="AP279" s="336"/>
      <c r="AQ279" s="336"/>
      <c r="AR279" s="336"/>
      <c r="AS279" s="336"/>
      <c r="AT279" s="336"/>
      <c r="AU279" s="336"/>
      <c r="AV279" s="336"/>
      <c r="AW279" s="336"/>
      <c r="AX279" s="336"/>
      <c r="AY279" s="336"/>
      <c r="AZ279" s="336"/>
      <c r="BA279" s="336"/>
      <c r="BB279" s="336"/>
      <c r="BC279" s="336"/>
      <c r="BD279" s="336"/>
      <c r="BE279" s="336"/>
      <c r="BF279" s="336"/>
    </row>
    <row r="280" spans="1:58" s="351" customFormat="1" x14ac:dyDescent="0.25">
      <c r="A280" s="336"/>
      <c r="B280" s="336"/>
      <c r="C280" s="336"/>
      <c r="D280" s="336"/>
      <c r="E280" s="336"/>
      <c r="F280" s="336"/>
      <c r="G280" s="336"/>
      <c r="H280" s="336"/>
      <c r="M280" s="352"/>
      <c r="N280" s="353"/>
      <c r="O280" s="353"/>
      <c r="T280" s="377"/>
      <c r="U280" s="352"/>
      <c r="V280" s="352"/>
      <c r="W280" s="352"/>
      <c r="X280" s="375"/>
      <c r="Y280" s="375"/>
      <c r="Z280" s="336"/>
      <c r="AA280" s="353"/>
      <c r="AB280" s="336"/>
      <c r="AC280" s="336"/>
      <c r="AD280" s="336"/>
      <c r="AE280" s="336"/>
      <c r="AF280" s="336"/>
      <c r="AG280" s="336"/>
      <c r="AH280" s="336"/>
      <c r="AI280" s="336"/>
      <c r="AJ280" s="336"/>
      <c r="AK280" s="336"/>
      <c r="AL280" s="336"/>
      <c r="AM280" s="336"/>
      <c r="AN280" s="336"/>
      <c r="AO280" s="336"/>
      <c r="AP280" s="336"/>
      <c r="AQ280" s="336"/>
      <c r="AR280" s="336"/>
      <c r="AS280" s="336"/>
      <c r="AT280" s="336"/>
      <c r="AU280" s="336"/>
      <c r="AV280" s="336"/>
      <c r="AW280" s="336"/>
      <c r="AX280" s="336"/>
      <c r="AY280" s="336"/>
      <c r="AZ280" s="336"/>
      <c r="BA280" s="336"/>
      <c r="BB280" s="336"/>
      <c r="BC280" s="336"/>
      <c r="BD280" s="336"/>
      <c r="BE280" s="336"/>
      <c r="BF280" s="336"/>
    </row>
    <row r="281" spans="1:58" s="351" customFormat="1" x14ac:dyDescent="0.25">
      <c r="A281" s="336"/>
      <c r="B281" s="336"/>
      <c r="C281" s="336"/>
      <c r="D281" s="336"/>
      <c r="E281" s="336"/>
      <c r="F281" s="336"/>
      <c r="G281" s="336"/>
      <c r="H281" s="336"/>
      <c r="M281" s="352"/>
      <c r="N281" s="353"/>
      <c r="O281" s="353"/>
      <c r="T281" s="377"/>
      <c r="U281" s="352"/>
      <c r="V281" s="352"/>
      <c r="W281" s="352"/>
      <c r="X281" s="375"/>
      <c r="Y281" s="375"/>
      <c r="Z281" s="336"/>
      <c r="AA281" s="353"/>
      <c r="AB281" s="336"/>
      <c r="AC281" s="336"/>
      <c r="AD281" s="336"/>
      <c r="AE281" s="336"/>
      <c r="AF281" s="336"/>
      <c r="AG281" s="336"/>
      <c r="AH281" s="336"/>
      <c r="AI281" s="336"/>
      <c r="AJ281" s="336"/>
      <c r="AK281" s="336"/>
      <c r="AL281" s="336"/>
      <c r="AM281" s="336"/>
      <c r="AN281" s="336"/>
      <c r="AO281" s="336"/>
      <c r="AP281" s="336"/>
      <c r="AQ281" s="336"/>
      <c r="AR281" s="336"/>
      <c r="AS281" s="336"/>
      <c r="AT281" s="336"/>
      <c r="AU281" s="336"/>
      <c r="AV281" s="336"/>
      <c r="AW281" s="336"/>
      <c r="AX281" s="336"/>
      <c r="AY281" s="336"/>
      <c r="AZ281" s="336"/>
      <c r="BA281" s="336"/>
      <c r="BB281" s="336"/>
      <c r="BC281" s="336"/>
      <c r="BD281" s="336"/>
      <c r="BE281" s="336"/>
      <c r="BF281" s="336"/>
    </row>
    <row r="282" spans="1:58" s="351" customFormat="1" x14ac:dyDescent="0.25">
      <c r="A282" s="336"/>
      <c r="B282" s="336"/>
      <c r="C282" s="336"/>
      <c r="D282" s="336"/>
      <c r="E282" s="336"/>
      <c r="F282" s="336"/>
      <c r="G282" s="336"/>
      <c r="H282" s="336"/>
      <c r="M282" s="352"/>
      <c r="N282" s="353"/>
      <c r="O282" s="353"/>
      <c r="T282" s="377"/>
      <c r="U282" s="352"/>
      <c r="V282" s="352"/>
      <c r="W282" s="352"/>
      <c r="X282" s="375"/>
      <c r="Y282" s="375"/>
      <c r="Z282" s="336"/>
      <c r="AA282" s="353"/>
      <c r="AB282" s="336"/>
      <c r="AC282" s="336"/>
      <c r="AD282" s="336"/>
      <c r="AE282" s="336"/>
      <c r="AF282" s="336"/>
      <c r="AG282" s="336"/>
      <c r="AH282" s="336"/>
      <c r="AI282" s="336"/>
      <c r="AJ282" s="336"/>
      <c r="AK282" s="336"/>
      <c r="AL282" s="336"/>
      <c r="AM282" s="336"/>
      <c r="AN282" s="336"/>
      <c r="AO282" s="336"/>
      <c r="AP282" s="336"/>
      <c r="AQ282" s="336"/>
      <c r="AR282" s="336"/>
      <c r="AS282" s="336"/>
      <c r="AT282" s="336"/>
      <c r="AU282" s="336"/>
      <c r="AV282" s="336"/>
      <c r="AW282" s="336"/>
      <c r="AX282" s="336"/>
      <c r="AY282" s="336"/>
      <c r="AZ282" s="336"/>
      <c r="BA282" s="336"/>
      <c r="BB282" s="336"/>
      <c r="BC282" s="336"/>
      <c r="BD282" s="336"/>
      <c r="BE282" s="336"/>
      <c r="BF282" s="336"/>
    </row>
    <row r="283" spans="1:58" s="351" customFormat="1" x14ac:dyDescent="0.25">
      <c r="A283" s="336"/>
      <c r="B283" s="336"/>
      <c r="C283" s="336"/>
      <c r="D283" s="336"/>
      <c r="E283" s="336"/>
      <c r="F283" s="336"/>
      <c r="G283" s="336"/>
      <c r="H283" s="336"/>
      <c r="M283" s="352"/>
      <c r="N283" s="353"/>
      <c r="O283" s="353"/>
      <c r="T283" s="377"/>
      <c r="U283" s="352"/>
      <c r="V283" s="352"/>
      <c r="W283" s="352"/>
      <c r="X283" s="375"/>
      <c r="Y283" s="375"/>
      <c r="Z283" s="336"/>
      <c r="AA283" s="353"/>
      <c r="AB283" s="336"/>
      <c r="AC283" s="336"/>
      <c r="AD283" s="336"/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336"/>
      <c r="AS283" s="336"/>
      <c r="AT283" s="336"/>
      <c r="AU283" s="336"/>
      <c r="AV283" s="336"/>
      <c r="AW283" s="336"/>
      <c r="AX283" s="336"/>
      <c r="AY283" s="336"/>
      <c r="AZ283" s="336"/>
      <c r="BA283" s="336"/>
      <c r="BB283" s="336"/>
      <c r="BC283" s="336"/>
      <c r="BD283" s="336"/>
      <c r="BE283" s="336"/>
      <c r="BF283" s="336"/>
    </row>
    <row r="284" spans="1:58" s="351" customFormat="1" x14ac:dyDescent="0.25">
      <c r="A284" s="336"/>
      <c r="B284" s="336"/>
      <c r="C284" s="336"/>
      <c r="D284" s="336"/>
      <c r="E284" s="336"/>
      <c r="F284" s="336"/>
      <c r="G284" s="336"/>
      <c r="H284" s="336"/>
      <c r="M284" s="352"/>
      <c r="N284" s="353"/>
      <c r="O284" s="353"/>
      <c r="T284" s="377"/>
      <c r="U284" s="352"/>
      <c r="V284" s="352"/>
      <c r="W284" s="352"/>
      <c r="X284" s="375"/>
      <c r="Y284" s="375"/>
      <c r="Z284" s="336"/>
      <c r="AA284" s="353"/>
      <c r="AB284" s="336"/>
      <c r="AC284" s="336"/>
      <c r="AD284" s="336"/>
      <c r="AE284" s="336"/>
      <c r="AF284" s="336"/>
      <c r="AG284" s="336"/>
      <c r="AH284" s="336"/>
      <c r="AI284" s="336"/>
      <c r="AJ284" s="336"/>
      <c r="AK284" s="336"/>
      <c r="AL284" s="336"/>
      <c r="AM284" s="336"/>
      <c r="AN284" s="336"/>
      <c r="AO284" s="336"/>
      <c r="AP284" s="336"/>
      <c r="AQ284" s="336"/>
      <c r="AR284" s="336"/>
      <c r="AS284" s="336"/>
      <c r="AT284" s="336"/>
      <c r="AU284" s="336"/>
      <c r="AV284" s="336"/>
      <c r="AW284" s="336"/>
      <c r="AX284" s="336"/>
      <c r="AY284" s="336"/>
      <c r="AZ284" s="336"/>
      <c r="BA284" s="336"/>
      <c r="BB284" s="336"/>
      <c r="BC284" s="336"/>
      <c r="BD284" s="336"/>
      <c r="BE284" s="336"/>
      <c r="BF284" s="336"/>
    </row>
    <row r="285" spans="1:58" s="351" customFormat="1" x14ac:dyDescent="0.25">
      <c r="A285" s="336"/>
      <c r="B285" s="336"/>
      <c r="C285" s="336"/>
      <c r="D285" s="336"/>
      <c r="E285" s="336"/>
      <c r="F285" s="336"/>
      <c r="G285" s="336"/>
      <c r="H285" s="336"/>
      <c r="M285" s="352"/>
      <c r="N285" s="353"/>
      <c r="O285" s="353"/>
      <c r="T285" s="377"/>
      <c r="U285" s="352"/>
      <c r="V285" s="352"/>
      <c r="W285" s="352"/>
      <c r="X285" s="375"/>
      <c r="Y285" s="375"/>
      <c r="Z285" s="336"/>
      <c r="AA285" s="353"/>
      <c r="AB285" s="336"/>
      <c r="AC285" s="336"/>
      <c r="AD285" s="336"/>
      <c r="AE285" s="336"/>
      <c r="AF285" s="336"/>
      <c r="AG285" s="336"/>
      <c r="AH285" s="336"/>
      <c r="AI285" s="336"/>
      <c r="AJ285" s="336"/>
      <c r="AK285" s="336"/>
      <c r="AL285" s="336"/>
      <c r="AM285" s="336"/>
      <c r="AN285" s="336"/>
      <c r="AO285" s="336"/>
      <c r="AP285" s="336"/>
      <c r="AQ285" s="336"/>
      <c r="AR285" s="336"/>
      <c r="AS285" s="336"/>
      <c r="AT285" s="336"/>
      <c r="AU285" s="336"/>
      <c r="AV285" s="336"/>
      <c r="AW285" s="336"/>
      <c r="AX285" s="336"/>
      <c r="AY285" s="336"/>
      <c r="AZ285" s="336"/>
      <c r="BA285" s="336"/>
      <c r="BB285" s="336"/>
      <c r="BC285" s="336"/>
      <c r="BD285" s="336"/>
      <c r="BE285" s="336"/>
      <c r="BF285" s="336"/>
    </row>
    <row r="286" spans="1:58" s="351" customFormat="1" x14ac:dyDescent="0.25">
      <c r="A286" s="336"/>
      <c r="B286" s="336"/>
      <c r="C286" s="336"/>
      <c r="D286" s="336"/>
      <c r="E286" s="336"/>
      <c r="F286" s="336"/>
      <c r="G286" s="336"/>
      <c r="H286" s="336"/>
      <c r="M286" s="352"/>
      <c r="N286" s="353"/>
      <c r="O286" s="353"/>
      <c r="T286" s="377"/>
      <c r="U286" s="352"/>
      <c r="V286" s="352"/>
      <c r="W286" s="352"/>
      <c r="X286" s="375"/>
      <c r="Y286" s="375"/>
      <c r="Z286" s="336"/>
      <c r="AA286" s="353"/>
      <c r="AB286" s="336"/>
      <c r="AC286" s="336"/>
      <c r="AD286" s="336"/>
      <c r="AE286" s="336"/>
      <c r="AF286" s="336"/>
      <c r="AG286" s="336"/>
      <c r="AH286" s="336"/>
      <c r="AI286" s="336"/>
      <c r="AJ286" s="336"/>
      <c r="AK286" s="336"/>
      <c r="AL286" s="336"/>
      <c r="AM286" s="336"/>
      <c r="AN286" s="336"/>
      <c r="AO286" s="336"/>
      <c r="AP286" s="336"/>
      <c r="AQ286" s="336"/>
      <c r="AR286" s="336"/>
      <c r="AS286" s="336"/>
      <c r="AT286" s="336"/>
      <c r="AU286" s="336"/>
      <c r="AV286" s="336"/>
      <c r="AW286" s="336"/>
      <c r="AX286" s="336"/>
      <c r="AY286" s="336"/>
      <c r="AZ286" s="336"/>
      <c r="BA286" s="336"/>
      <c r="BB286" s="336"/>
      <c r="BC286" s="336"/>
      <c r="BD286" s="336"/>
      <c r="BE286" s="336"/>
      <c r="BF286" s="336"/>
    </row>
    <row r="287" spans="1:58" s="351" customFormat="1" x14ac:dyDescent="0.25">
      <c r="A287" s="336"/>
      <c r="B287" s="336"/>
      <c r="C287" s="336"/>
      <c r="D287" s="336"/>
      <c r="E287" s="336"/>
      <c r="F287" s="336"/>
      <c r="G287" s="336"/>
      <c r="H287" s="336"/>
      <c r="M287" s="352"/>
      <c r="N287" s="353"/>
      <c r="O287" s="353"/>
      <c r="T287" s="377"/>
      <c r="U287" s="352"/>
      <c r="V287" s="352"/>
      <c r="W287" s="352"/>
      <c r="X287" s="375"/>
      <c r="Y287" s="375"/>
      <c r="Z287" s="336"/>
      <c r="AA287" s="353"/>
      <c r="AB287" s="336"/>
      <c r="AC287" s="336"/>
      <c r="AD287" s="336"/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336"/>
      <c r="AS287" s="336"/>
      <c r="AT287" s="336"/>
      <c r="AU287" s="336"/>
      <c r="AV287" s="336"/>
      <c r="AW287" s="336"/>
      <c r="AX287" s="336"/>
      <c r="AY287" s="336"/>
      <c r="AZ287" s="336"/>
      <c r="BA287" s="336"/>
      <c r="BB287" s="336"/>
      <c r="BC287" s="336"/>
      <c r="BD287" s="336"/>
      <c r="BE287" s="336"/>
      <c r="BF287" s="336"/>
    </row>
    <row r="288" spans="1:58" s="351" customFormat="1" x14ac:dyDescent="0.25">
      <c r="A288" s="336"/>
      <c r="B288" s="336"/>
      <c r="C288" s="336"/>
      <c r="D288" s="336"/>
      <c r="E288" s="336"/>
      <c r="F288" s="336"/>
      <c r="G288" s="336"/>
      <c r="H288" s="336"/>
      <c r="M288" s="352"/>
      <c r="N288" s="353"/>
      <c r="O288" s="353"/>
      <c r="T288" s="377"/>
      <c r="U288" s="352"/>
      <c r="V288" s="352"/>
      <c r="W288" s="352"/>
      <c r="X288" s="375"/>
      <c r="Y288" s="375"/>
      <c r="Z288" s="336"/>
      <c r="AA288" s="353"/>
      <c r="AB288" s="336"/>
      <c r="AC288" s="336"/>
      <c r="AD288" s="336"/>
      <c r="AE288" s="336"/>
      <c r="AF288" s="336"/>
      <c r="AG288" s="336"/>
      <c r="AH288" s="336"/>
      <c r="AI288" s="336"/>
      <c r="AJ288" s="336"/>
      <c r="AK288" s="336"/>
      <c r="AL288" s="336"/>
      <c r="AM288" s="336"/>
      <c r="AN288" s="336"/>
      <c r="AO288" s="336"/>
      <c r="AP288" s="336"/>
      <c r="AQ288" s="336"/>
      <c r="AR288" s="336"/>
      <c r="AS288" s="336"/>
      <c r="AT288" s="336"/>
      <c r="AU288" s="336"/>
      <c r="AV288" s="336"/>
      <c r="AW288" s="336"/>
      <c r="AX288" s="336"/>
      <c r="AY288" s="336"/>
      <c r="AZ288" s="336"/>
      <c r="BA288" s="336"/>
      <c r="BB288" s="336"/>
      <c r="BC288" s="336"/>
      <c r="BD288" s="336"/>
      <c r="BE288" s="336"/>
      <c r="BF288" s="336"/>
    </row>
    <row r="289" spans="1:58" s="351" customFormat="1" x14ac:dyDescent="0.25">
      <c r="A289" s="336"/>
      <c r="B289" s="336"/>
      <c r="C289" s="336"/>
      <c r="D289" s="336"/>
      <c r="E289" s="336"/>
      <c r="F289" s="336"/>
      <c r="G289" s="336"/>
      <c r="H289" s="336"/>
      <c r="M289" s="352"/>
      <c r="N289" s="353"/>
      <c r="O289" s="353"/>
      <c r="T289" s="377"/>
      <c r="U289" s="352"/>
      <c r="V289" s="352"/>
      <c r="W289" s="352"/>
      <c r="X289" s="375"/>
      <c r="Y289" s="375"/>
      <c r="Z289" s="336"/>
      <c r="AA289" s="353"/>
      <c r="AB289" s="336"/>
      <c r="AC289" s="336"/>
      <c r="AD289" s="336"/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336"/>
      <c r="AS289" s="336"/>
      <c r="AT289" s="336"/>
      <c r="AU289" s="336"/>
      <c r="AV289" s="336"/>
      <c r="AW289" s="336"/>
      <c r="AX289" s="336"/>
      <c r="AY289" s="336"/>
      <c r="AZ289" s="336"/>
      <c r="BA289" s="336"/>
      <c r="BB289" s="336"/>
      <c r="BC289" s="336"/>
      <c r="BD289" s="336"/>
      <c r="BE289" s="336"/>
      <c r="BF289" s="336"/>
    </row>
    <row r="290" spans="1:58" s="351" customFormat="1" x14ac:dyDescent="0.25">
      <c r="A290" s="336"/>
      <c r="B290" s="336"/>
      <c r="C290" s="336"/>
      <c r="D290" s="336"/>
      <c r="E290" s="336"/>
      <c r="F290" s="336"/>
      <c r="G290" s="336"/>
      <c r="H290" s="336"/>
      <c r="M290" s="352"/>
      <c r="N290" s="353"/>
      <c r="O290" s="353"/>
      <c r="T290" s="377"/>
      <c r="U290" s="352"/>
      <c r="V290" s="352"/>
      <c r="W290" s="352"/>
      <c r="X290" s="375"/>
      <c r="Y290" s="375"/>
      <c r="Z290" s="336"/>
      <c r="AA290" s="353"/>
      <c r="AB290" s="336"/>
      <c r="AC290" s="336"/>
      <c r="AD290" s="336"/>
      <c r="AE290" s="336"/>
      <c r="AF290" s="336"/>
      <c r="AG290" s="336"/>
      <c r="AH290" s="336"/>
      <c r="AI290" s="336"/>
      <c r="AJ290" s="336"/>
      <c r="AK290" s="336"/>
      <c r="AL290" s="336"/>
      <c r="AM290" s="336"/>
      <c r="AN290" s="336"/>
      <c r="AO290" s="336"/>
      <c r="AP290" s="336"/>
      <c r="AQ290" s="336"/>
      <c r="AR290" s="336"/>
      <c r="AS290" s="336"/>
      <c r="AT290" s="336"/>
      <c r="AU290" s="336"/>
      <c r="AV290" s="336"/>
      <c r="AW290" s="336"/>
      <c r="AX290" s="336"/>
      <c r="AY290" s="336"/>
      <c r="AZ290" s="336"/>
      <c r="BA290" s="336"/>
      <c r="BB290" s="336"/>
      <c r="BC290" s="336"/>
      <c r="BD290" s="336"/>
      <c r="BE290" s="336"/>
      <c r="BF290" s="336"/>
    </row>
    <row r="291" spans="1:58" s="351" customFormat="1" x14ac:dyDescent="0.25">
      <c r="A291" s="336"/>
      <c r="B291" s="336"/>
      <c r="C291" s="336"/>
      <c r="D291" s="336"/>
      <c r="E291" s="336"/>
      <c r="F291" s="336"/>
      <c r="G291" s="336"/>
      <c r="H291" s="336"/>
      <c r="M291" s="352"/>
      <c r="N291" s="353"/>
      <c r="O291" s="353"/>
      <c r="T291" s="377"/>
      <c r="U291" s="352"/>
      <c r="V291" s="352"/>
      <c r="W291" s="352"/>
      <c r="X291" s="375"/>
      <c r="Y291" s="375"/>
      <c r="Z291" s="336"/>
      <c r="AA291" s="353"/>
      <c r="AB291" s="336"/>
      <c r="AC291" s="336"/>
      <c r="AD291" s="336"/>
      <c r="AE291" s="336"/>
      <c r="AF291" s="336"/>
      <c r="AG291" s="336"/>
      <c r="AH291" s="336"/>
      <c r="AI291" s="336"/>
      <c r="AJ291" s="336"/>
      <c r="AK291" s="336"/>
      <c r="AL291" s="336"/>
      <c r="AM291" s="336"/>
      <c r="AN291" s="336"/>
      <c r="AO291" s="336"/>
      <c r="AP291" s="336"/>
      <c r="AQ291" s="336"/>
      <c r="AR291" s="336"/>
      <c r="AS291" s="336"/>
      <c r="AT291" s="336"/>
      <c r="AU291" s="336"/>
      <c r="AV291" s="336"/>
      <c r="AW291" s="336"/>
      <c r="AX291" s="336"/>
      <c r="AY291" s="336"/>
      <c r="AZ291" s="336"/>
      <c r="BA291" s="336"/>
      <c r="BB291" s="336"/>
      <c r="BC291" s="336"/>
      <c r="BD291" s="336"/>
      <c r="BE291" s="336"/>
      <c r="BF291" s="336"/>
    </row>
    <row r="292" spans="1:58" s="351" customFormat="1" x14ac:dyDescent="0.25">
      <c r="A292" s="336"/>
      <c r="B292" s="336"/>
      <c r="C292" s="336"/>
      <c r="D292" s="336"/>
      <c r="E292" s="336"/>
      <c r="F292" s="336"/>
      <c r="G292" s="336"/>
      <c r="H292" s="336"/>
      <c r="M292" s="352"/>
      <c r="N292" s="353"/>
      <c r="O292" s="353"/>
      <c r="T292" s="377"/>
      <c r="U292" s="352"/>
      <c r="V292" s="352"/>
      <c r="W292" s="352"/>
      <c r="X292" s="375"/>
      <c r="Y292" s="375"/>
      <c r="Z292" s="336"/>
      <c r="AA292" s="353"/>
      <c r="AB292" s="336"/>
      <c r="AC292" s="336"/>
      <c r="AD292" s="336"/>
      <c r="AE292" s="336"/>
      <c r="AF292" s="336"/>
      <c r="AG292" s="336"/>
      <c r="AH292" s="336"/>
      <c r="AI292" s="336"/>
      <c r="AJ292" s="336"/>
      <c r="AK292" s="336"/>
      <c r="AL292" s="336"/>
      <c r="AM292" s="336"/>
      <c r="AN292" s="336"/>
      <c r="AO292" s="336"/>
      <c r="AP292" s="336"/>
      <c r="AQ292" s="336"/>
      <c r="AR292" s="336"/>
      <c r="AS292" s="336"/>
      <c r="AT292" s="336"/>
      <c r="AU292" s="336"/>
      <c r="AV292" s="336"/>
      <c r="AW292" s="336"/>
      <c r="AX292" s="336"/>
      <c r="AY292" s="336"/>
      <c r="AZ292" s="336"/>
      <c r="BA292" s="336"/>
      <c r="BB292" s="336"/>
      <c r="BC292" s="336"/>
      <c r="BD292" s="336"/>
      <c r="BE292" s="336"/>
      <c r="BF292" s="336"/>
    </row>
    <row r="293" spans="1:58" s="351" customFormat="1" x14ac:dyDescent="0.25">
      <c r="A293" s="336"/>
      <c r="B293" s="336"/>
      <c r="C293" s="336"/>
      <c r="D293" s="336"/>
      <c r="E293" s="336"/>
      <c r="F293" s="336"/>
      <c r="G293" s="336"/>
      <c r="H293" s="336"/>
      <c r="M293" s="352"/>
      <c r="N293" s="353"/>
      <c r="O293" s="353"/>
      <c r="T293" s="377"/>
      <c r="U293" s="352"/>
      <c r="V293" s="352"/>
      <c r="W293" s="352"/>
      <c r="X293" s="375"/>
      <c r="Y293" s="375"/>
      <c r="Z293" s="336"/>
      <c r="AA293" s="353"/>
      <c r="AB293" s="336"/>
      <c r="AC293" s="336"/>
      <c r="AD293" s="336"/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336"/>
      <c r="AS293" s="336"/>
      <c r="AT293" s="336"/>
      <c r="AU293" s="336"/>
      <c r="AV293" s="336"/>
      <c r="AW293" s="336"/>
      <c r="AX293" s="336"/>
      <c r="AY293" s="336"/>
      <c r="AZ293" s="336"/>
      <c r="BA293" s="336"/>
      <c r="BB293" s="336"/>
      <c r="BC293" s="336"/>
      <c r="BD293" s="336"/>
      <c r="BE293" s="336"/>
      <c r="BF293" s="336"/>
    </row>
    <row r="294" spans="1:58" s="351" customFormat="1" x14ac:dyDescent="0.25">
      <c r="A294" s="336"/>
      <c r="B294" s="336"/>
      <c r="C294" s="336"/>
      <c r="D294" s="336"/>
      <c r="E294" s="336"/>
      <c r="F294" s="336"/>
      <c r="G294" s="336"/>
      <c r="H294" s="336"/>
      <c r="M294" s="352"/>
      <c r="N294" s="353"/>
      <c r="O294" s="353"/>
      <c r="T294" s="377"/>
      <c r="U294" s="352"/>
      <c r="V294" s="352"/>
      <c r="W294" s="352"/>
      <c r="X294" s="375"/>
      <c r="Y294" s="375"/>
      <c r="Z294" s="336"/>
      <c r="AA294" s="353"/>
      <c r="AB294" s="336"/>
      <c r="AC294" s="336"/>
      <c r="AD294" s="336"/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336"/>
      <c r="AS294" s="336"/>
      <c r="AT294" s="336"/>
      <c r="AU294" s="336"/>
      <c r="AV294" s="336"/>
      <c r="AW294" s="336"/>
      <c r="AX294" s="336"/>
      <c r="AY294" s="336"/>
      <c r="AZ294" s="336"/>
      <c r="BA294" s="336"/>
      <c r="BB294" s="336"/>
      <c r="BC294" s="336"/>
      <c r="BD294" s="336"/>
      <c r="BE294" s="336"/>
      <c r="BF294" s="336"/>
    </row>
    <row r="295" spans="1:58" s="351" customFormat="1" x14ac:dyDescent="0.25">
      <c r="A295" s="336"/>
      <c r="B295" s="336"/>
      <c r="C295" s="336"/>
      <c r="D295" s="336"/>
      <c r="E295" s="336"/>
      <c r="F295" s="336"/>
      <c r="G295" s="336"/>
      <c r="H295" s="336"/>
      <c r="M295" s="352"/>
      <c r="N295" s="353"/>
      <c r="O295" s="353"/>
      <c r="T295" s="377"/>
      <c r="U295" s="352"/>
      <c r="V295" s="352"/>
      <c r="W295" s="352"/>
      <c r="X295" s="375"/>
      <c r="Y295" s="375"/>
      <c r="Z295" s="336"/>
      <c r="AA295" s="353"/>
      <c r="AB295" s="336"/>
      <c r="AC295" s="336"/>
      <c r="AD295" s="336"/>
      <c r="AE295" s="336"/>
      <c r="AF295" s="336"/>
      <c r="AG295" s="336"/>
      <c r="AH295" s="336"/>
      <c r="AI295" s="336"/>
      <c r="AJ295" s="336"/>
      <c r="AK295" s="336"/>
      <c r="AL295" s="336"/>
      <c r="AM295" s="336"/>
      <c r="AN295" s="336"/>
      <c r="AO295" s="336"/>
      <c r="AP295" s="336"/>
      <c r="AQ295" s="336"/>
      <c r="AR295" s="336"/>
      <c r="AS295" s="336"/>
      <c r="AT295" s="336"/>
      <c r="AU295" s="336"/>
      <c r="AV295" s="336"/>
      <c r="AW295" s="336"/>
      <c r="AX295" s="336"/>
      <c r="AY295" s="336"/>
      <c r="AZ295" s="336"/>
      <c r="BA295" s="336"/>
      <c r="BB295" s="336"/>
      <c r="BC295" s="336"/>
      <c r="BD295" s="336"/>
      <c r="BE295" s="336"/>
      <c r="BF295" s="336"/>
    </row>
    <row r="296" spans="1:58" s="351" customFormat="1" x14ac:dyDescent="0.25">
      <c r="A296" s="336"/>
      <c r="B296" s="336"/>
      <c r="C296" s="336"/>
      <c r="D296" s="336"/>
      <c r="E296" s="336"/>
      <c r="F296" s="336"/>
      <c r="G296" s="336"/>
      <c r="H296" s="336"/>
      <c r="M296" s="352"/>
      <c r="N296" s="353"/>
      <c r="O296" s="353"/>
      <c r="T296" s="377"/>
      <c r="U296" s="352"/>
      <c r="V296" s="352"/>
      <c r="W296" s="352"/>
      <c r="X296" s="375"/>
      <c r="Y296" s="375"/>
      <c r="Z296" s="336"/>
      <c r="AA296" s="353"/>
      <c r="AB296" s="336"/>
      <c r="AC296" s="336"/>
      <c r="AD296" s="336"/>
      <c r="AE296" s="336"/>
      <c r="AF296" s="336"/>
      <c r="AG296" s="336"/>
      <c r="AH296" s="336"/>
      <c r="AI296" s="336"/>
      <c r="AJ296" s="336"/>
      <c r="AK296" s="336"/>
      <c r="AL296" s="336"/>
      <c r="AM296" s="336"/>
      <c r="AN296" s="336"/>
      <c r="AO296" s="336"/>
      <c r="AP296" s="336"/>
      <c r="AQ296" s="336"/>
      <c r="AR296" s="336"/>
      <c r="AS296" s="336"/>
      <c r="AT296" s="336"/>
      <c r="AU296" s="336"/>
      <c r="AV296" s="336"/>
      <c r="AW296" s="336"/>
      <c r="AX296" s="336"/>
      <c r="AY296" s="336"/>
      <c r="AZ296" s="336"/>
      <c r="BA296" s="336"/>
      <c r="BB296" s="336"/>
      <c r="BC296" s="336"/>
      <c r="BD296" s="336"/>
      <c r="BE296" s="336"/>
      <c r="BF296" s="336"/>
    </row>
    <row r="297" spans="1:58" s="351" customFormat="1" x14ac:dyDescent="0.25">
      <c r="A297" s="336"/>
      <c r="B297" s="336"/>
      <c r="C297" s="336"/>
      <c r="D297" s="336"/>
      <c r="E297" s="336"/>
      <c r="F297" s="336"/>
      <c r="G297" s="336"/>
      <c r="H297" s="336"/>
      <c r="M297" s="352"/>
      <c r="N297" s="353"/>
      <c r="O297" s="353"/>
      <c r="T297" s="377"/>
      <c r="U297" s="352"/>
      <c r="V297" s="352"/>
      <c r="W297" s="352"/>
      <c r="X297" s="375"/>
      <c r="Y297" s="375"/>
      <c r="Z297" s="336"/>
      <c r="AA297" s="353"/>
      <c r="AB297" s="336"/>
      <c r="AC297" s="336"/>
      <c r="AD297" s="336"/>
      <c r="AE297" s="336"/>
      <c r="AF297" s="336"/>
      <c r="AG297" s="336"/>
      <c r="AH297" s="336"/>
      <c r="AI297" s="336"/>
      <c r="AJ297" s="336"/>
      <c r="AK297" s="336"/>
      <c r="AL297" s="336"/>
      <c r="AM297" s="336"/>
      <c r="AN297" s="336"/>
      <c r="AO297" s="336"/>
      <c r="AP297" s="336"/>
      <c r="AQ297" s="336"/>
      <c r="AR297" s="336"/>
      <c r="AS297" s="336"/>
      <c r="AT297" s="336"/>
      <c r="AU297" s="336"/>
      <c r="AV297" s="336"/>
      <c r="AW297" s="336"/>
      <c r="AX297" s="336"/>
      <c r="AY297" s="336"/>
      <c r="AZ297" s="336"/>
      <c r="BA297" s="336"/>
      <c r="BB297" s="336"/>
      <c r="BC297" s="336"/>
      <c r="BD297" s="336"/>
      <c r="BE297" s="336"/>
      <c r="BF297" s="336"/>
    </row>
    <row r="298" spans="1:58" s="351" customFormat="1" x14ac:dyDescent="0.25">
      <c r="A298" s="336"/>
      <c r="B298" s="336"/>
      <c r="C298" s="336"/>
      <c r="D298" s="336"/>
      <c r="E298" s="336"/>
      <c r="F298" s="336"/>
      <c r="G298" s="336"/>
      <c r="H298" s="336"/>
      <c r="M298" s="352"/>
      <c r="N298" s="353"/>
      <c r="O298" s="353"/>
      <c r="T298" s="377"/>
      <c r="U298" s="352"/>
      <c r="V298" s="352"/>
      <c r="W298" s="352"/>
      <c r="X298" s="375"/>
      <c r="Y298" s="375"/>
      <c r="Z298" s="336"/>
      <c r="AA298" s="353"/>
      <c r="AB298" s="336"/>
      <c r="AC298" s="336"/>
      <c r="AD298" s="336"/>
      <c r="AE298" s="336"/>
      <c r="AF298" s="336"/>
      <c r="AG298" s="336"/>
      <c r="AH298" s="336"/>
      <c r="AI298" s="336"/>
      <c r="AJ298" s="336"/>
      <c r="AK298" s="336"/>
      <c r="AL298" s="336"/>
      <c r="AM298" s="336"/>
      <c r="AN298" s="336"/>
      <c r="AO298" s="336"/>
      <c r="AP298" s="336"/>
      <c r="AQ298" s="336"/>
      <c r="AR298" s="336"/>
      <c r="AS298" s="336"/>
      <c r="AT298" s="336"/>
      <c r="AU298" s="336"/>
      <c r="AV298" s="336"/>
      <c r="AW298" s="336"/>
      <c r="AX298" s="336"/>
      <c r="AY298" s="336"/>
      <c r="AZ298" s="336"/>
      <c r="BA298" s="336"/>
      <c r="BB298" s="336"/>
      <c r="BC298" s="336"/>
      <c r="BD298" s="336"/>
      <c r="BE298" s="336"/>
      <c r="BF298" s="336"/>
    </row>
    <row r="299" spans="1:58" s="351" customFormat="1" x14ac:dyDescent="0.25">
      <c r="A299" s="336"/>
      <c r="B299" s="336"/>
      <c r="C299" s="336"/>
      <c r="D299" s="336"/>
      <c r="E299" s="336"/>
      <c r="F299" s="336"/>
      <c r="G299" s="336"/>
      <c r="H299" s="336"/>
      <c r="M299" s="352"/>
      <c r="N299" s="353"/>
      <c r="O299" s="353"/>
      <c r="T299" s="377"/>
      <c r="U299" s="352"/>
      <c r="V299" s="352"/>
      <c r="W299" s="352"/>
      <c r="X299" s="375"/>
      <c r="Y299" s="375"/>
      <c r="Z299" s="336"/>
      <c r="AA299" s="353"/>
      <c r="AB299" s="336"/>
      <c r="AC299" s="336"/>
      <c r="AD299" s="336"/>
      <c r="AE299" s="336"/>
      <c r="AF299" s="336"/>
      <c r="AG299" s="336"/>
      <c r="AH299" s="336"/>
      <c r="AI299" s="336"/>
      <c r="AJ299" s="336"/>
      <c r="AK299" s="336"/>
      <c r="AL299" s="336"/>
      <c r="AM299" s="336"/>
      <c r="AN299" s="336"/>
      <c r="AO299" s="336"/>
      <c r="AP299" s="336"/>
      <c r="AQ299" s="336"/>
      <c r="AR299" s="336"/>
      <c r="AS299" s="336"/>
      <c r="AT299" s="336"/>
      <c r="AU299" s="336"/>
      <c r="AV299" s="336"/>
      <c r="AW299" s="336"/>
      <c r="AX299" s="336"/>
      <c r="AY299" s="336"/>
      <c r="AZ299" s="336"/>
      <c r="BA299" s="336"/>
      <c r="BB299" s="336"/>
      <c r="BC299" s="336"/>
      <c r="BD299" s="336"/>
      <c r="BE299" s="336"/>
      <c r="BF299" s="336"/>
    </row>
    <row r="300" spans="1:58" s="351" customFormat="1" x14ac:dyDescent="0.25">
      <c r="A300" s="336"/>
      <c r="B300" s="336"/>
      <c r="C300" s="336"/>
      <c r="D300" s="336"/>
      <c r="E300" s="336"/>
      <c r="F300" s="336"/>
      <c r="G300" s="336"/>
      <c r="H300" s="336"/>
      <c r="M300" s="352"/>
      <c r="N300" s="353"/>
      <c r="O300" s="353"/>
      <c r="T300" s="377"/>
      <c r="U300" s="352"/>
      <c r="V300" s="352"/>
      <c r="W300" s="352"/>
      <c r="X300" s="375"/>
      <c r="Y300" s="375"/>
      <c r="Z300" s="336"/>
      <c r="AA300" s="353"/>
      <c r="AB300" s="336"/>
      <c r="AC300" s="336"/>
      <c r="AD300" s="336"/>
      <c r="AE300" s="336"/>
      <c r="AF300" s="336"/>
      <c r="AG300" s="336"/>
      <c r="AH300" s="336"/>
      <c r="AI300" s="336"/>
      <c r="AJ300" s="336"/>
      <c r="AK300" s="336"/>
      <c r="AL300" s="336"/>
      <c r="AM300" s="336"/>
      <c r="AN300" s="336"/>
      <c r="AO300" s="336"/>
      <c r="AP300" s="336"/>
      <c r="AQ300" s="336"/>
      <c r="AR300" s="336"/>
      <c r="AS300" s="336"/>
      <c r="AT300" s="336"/>
      <c r="AU300" s="336"/>
      <c r="AV300" s="336"/>
      <c r="AW300" s="336"/>
      <c r="AX300" s="336"/>
      <c r="AY300" s="336"/>
      <c r="AZ300" s="336"/>
      <c r="BA300" s="336"/>
      <c r="BB300" s="336"/>
      <c r="BC300" s="336"/>
      <c r="BD300" s="336"/>
      <c r="BE300" s="336"/>
      <c r="BF300" s="336"/>
    </row>
    <row r="301" spans="1:58" s="351" customFormat="1" x14ac:dyDescent="0.25">
      <c r="A301" s="336"/>
      <c r="B301" s="336"/>
      <c r="C301" s="336"/>
      <c r="D301" s="336"/>
      <c r="E301" s="336"/>
      <c r="F301" s="336"/>
      <c r="G301" s="336"/>
      <c r="H301" s="336"/>
      <c r="M301" s="352"/>
      <c r="N301" s="353"/>
      <c r="O301" s="353"/>
      <c r="T301" s="377"/>
      <c r="U301" s="352"/>
      <c r="V301" s="352"/>
      <c r="W301" s="352"/>
      <c r="X301" s="375"/>
      <c r="Y301" s="375"/>
      <c r="Z301" s="336"/>
      <c r="AA301" s="353"/>
      <c r="AB301" s="336"/>
      <c r="AC301" s="336"/>
      <c r="AD301" s="336"/>
      <c r="AE301" s="336"/>
      <c r="AF301" s="336"/>
      <c r="AG301" s="336"/>
      <c r="AH301" s="336"/>
      <c r="AI301" s="336"/>
      <c r="AJ301" s="336"/>
      <c r="AK301" s="336"/>
      <c r="AL301" s="336"/>
      <c r="AM301" s="336"/>
      <c r="AN301" s="336"/>
      <c r="AO301" s="336"/>
      <c r="AP301" s="336"/>
      <c r="AQ301" s="336"/>
      <c r="AR301" s="336"/>
      <c r="AS301" s="336"/>
      <c r="AT301" s="336"/>
      <c r="AU301" s="336"/>
      <c r="AV301" s="336"/>
      <c r="AW301" s="336"/>
      <c r="AX301" s="336"/>
      <c r="AY301" s="336"/>
      <c r="AZ301" s="336"/>
      <c r="BA301" s="336"/>
      <c r="BB301" s="336"/>
      <c r="BC301" s="336"/>
      <c r="BD301" s="336"/>
      <c r="BE301" s="336"/>
      <c r="BF301" s="336"/>
    </row>
    <row r="302" spans="1:58" s="351" customFormat="1" x14ac:dyDescent="0.25">
      <c r="A302" s="336"/>
      <c r="B302" s="336"/>
      <c r="C302" s="336"/>
      <c r="D302" s="336"/>
      <c r="E302" s="336"/>
      <c r="F302" s="336"/>
      <c r="G302" s="336"/>
      <c r="H302" s="336"/>
      <c r="M302" s="352"/>
      <c r="N302" s="353"/>
      <c r="O302" s="353"/>
      <c r="T302" s="377"/>
      <c r="U302" s="352"/>
      <c r="V302" s="352"/>
      <c r="W302" s="352"/>
      <c r="X302" s="375"/>
      <c r="Y302" s="375"/>
      <c r="Z302" s="336"/>
      <c r="AA302" s="353"/>
      <c r="AB302" s="336"/>
      <c r="AC302" s="336"/>
      <c r="AD302" s="336"/>
      <c r="AE302" s="336"/>
      <c r="AF302" s="336"/>
      <c r="AG302" s="336"/>
      <c r="AH302" s="336"/>
      <c r="AI302" s="336"/>
      <c r="AJ302" s="336"/>
      <c r="AK302" s="336"/>
      <c r="AL302" s="336"/>
      <c r="AM302" s="336"/>
      <c r="AN302" s="336"/>
      <c r="AO302" s="336"/>
      <c r="AP302" s="336"/>
      <c r="AQ302" s="336"/>
      <c r="AR302" s="336"/>
      <c r="AS302" s="336"/>
      <c r="AT302" s="336"/>
      <c r="AU302" s="336"/>
      <c r="AV302" s="336"/>
      <c r="AW302" s="336"/>
      <c r="AX302" s="336"/>
      <c r="AY302" s="336"/>
      <c r="AZ302" s="336"/>
      <c r="BA302" s="336"/>
      <c r="BB302" s="336"/>
      <c r="BC302" s="336"/>
      <c r="BD302" s="336"/>
      <c r="BE302" s="336"/>
      <c r="BF302" s="336"/>
    </row>
    <row r="303" spans="1:58" s="351" customFormat="1" x14ac:dyDescent="0.25">
      <c r="A303" s="336"/>
      <c r="B303" s="336"/>
      <c r="C303" s="336"/>
      <c r="D303" s="336"/>
      <c r="E303" s="336"/>
      <c r="F303" s="336"/>
      <c r="G303" s="336"/>
      <c r="H303" s="336"/>
      <c r="M303" s="352"/>
      <c r="N303" s="353"/>
      <c r="O303" s="353"/>
      <c r="T303" s="377"/>
      <c r="U303" s="352"/>
      <c r="V303" s="352"/>
      <c r="W303" s="352"/>
      <c r="X303" s="375"/>
      <c r="Y303" s="375"/>
      <c r="Z303" s="336"/>
      <c r="AA303" s="353"/>
      <c r="AB303" s="336"/>
      <c r="AC303" s="336"/>
      <c r="AD303" s="336"/>
      <c r="AE303" s="336"/>
      <c r="AF303" s="336"/>
      <c r="AG303" s="336"/>
      <c r="AH303" s="336"/>
      <c r="AI303" s="336"/>
      <c r="AJ303" s="336"/>
      <c r="AK303" s="336"/>
      <c r="AL303" s="336"/>
      <c r="AM303" s="336"/>
      <c r="AN303" s="336"/>
      <c r="AO303" s="336"/>
      <c r="AP303" s="336"/>
      <c r="AQ303" s="336"/>
      <c r="AR303" s="336"/>
      <c r="AS303" s="336"/>
      <c r="AT303" s="336"/>
      <c r="AU303" s="336"/>
      <c r="AV303" s="336"/>
      <c r="AW303" s="336"/>
      <c r="AX303" s="336"/>
      <c r="AY303" s="336"/>
      <c r="AZ303" s="336"/>
      <c r="BA303" s="336"/>
      <c r="BB303" s="336"/>
      <c r="BC303" s="336"/>
      <c r="BD303" s="336"/>
      <c r="BE303" s="336"/>
      <c r="BF303" s="336"/>
    </row>
    <row r="304" spans="1:58" s="351" customFormat="1" x14ac:dyDescent="0.25">
      <c r="A304" s="336"/>
      <c r="B304" s="336"/>
      <c r="C304" s="336"/>
      <c r="D304" s="336"/>
      <c r="E304" s="336"/>
      <c r="F304" s="336"/>
      <c r="G304" s="336"/>
      <c r="H304" s="336"/>
      <c r="M304" s="352"/>
      <c r="N304" s="353"/>
      <c r="O304" s="353"/>
      <c r="T304" s="377"/>
      <c r="U304" s="352"/>
      <c r="V304" s="352"/>
      <c r="W304" s="352"/>
      <c r="X304" s="375"/>
      <c r="Y304" s="375"/>
      <c r="Z304" s="336"/>
      <c r="AA304" s="353"/>
      <c r="AB304" s="336"/>
      <c r="AC304" s="336"/>
      <c r="AD304" s="336"/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336"/>
      <c r="AS304" s="336"/>
      <c r="AT304" s="336"/>
      <c r="AU304" s="336"/>
      <c r="AV304" s="336"/>
      <c r="AW304" s="336"/>
      <c r="AX304" s="336"/>
      <c r="AY304" s="336"/>
      <c r="AZ304" s="336"/>
      <c r="BA304" s="336"/>
      <c r="BB304" s="336"/>
      <c r="BC304" s="336"/>
      <c r="BD304" s="336"/>
      <c r="BE304" s="336"/>
      <c r="BF304" s="336"/>
    </row>
    <row r="305" spans="1:58" s="351" customFormat="1" x14ac:dyDescent="0.25">
      <c r="A305" s="336"/>
      <c r="B305" s="336"/>
      <c r="C305" s="336"/>
      <c r="D305" s="336"/>
      <c r="E305" s="336"/>
      <c r="F305" s="336"/>
      <c r="G305" s="336"/>
      <c r="H305" s="336"/>
      <c r="M305" s="352"/>
      <c r="N305" s="353"/>
      <c r="O305" s="353"/>
      <c r="T305" s="377"/>
      <c r="U305" s="352"/>
      <c r="V305" s="352"/>
      <c r="W305" s="352"/>
      <c r="X305" s="375"/>
      <c r="Y305" s="375"/>
      <c r="Z305" s="336"/>
      <c r="AA305" s="353"/>
      <c r="AB305" s="336"/>
      <c r="AC305" s="336"/>
      <c r="AD305" s="336"/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336"/>
      <c r="AS305" s="336"/>
      <c r="AT305" s="336"/>
      <c r="AU305" s="336"/>
      <c r="AV305" s="336"/>
      <c r="AW305" s="336"/>
      <c r="AX305" s="336"/>
      <c r="AY305" s="336"/>
      <c r="AZ305" s="336"/>
      <c r="BA305" s="336"/>
      <c r="BB305" s="336"/>
      <c r="BC305" s="336"/>
      <c r="BD305" s="336"/>
      <c r="BE305" s="336"/>
      <c r="BF305" s="336"/>
    </row>
    <row r="306" spans="1:58" s="351" customFormat="1" x14ac:dyDescent="0.25">
      <c r="A306" s="336"/>
      <c r="B306" s="336"/>
      <c r="C306" s="336"/>
      <c r="D306" s="336"/>
      <c r="E306" s="336"/>
      <c r="F306" s="336"/>
      <c r="G306" s="336"/>
      <c r="H306" s="336"/>
      <c r="M306" s="352"/>
      <c r="N306" s="353"/>
      <c r="O306" s="353"/>
      <c r="T306" s="377"/>
      <c r="U306" s="352"/>
      <c r="V306" s="352"/>
      <c r="W306" s="352"/>
      <c r="X306" s="375"/>
      <c r="Y306" s="375"/>
      <c r="Z306" s="336"/>
      <c r="AA306" s="353"/>
      <c r="AB306" s="336"/>
      <c r="AC306" s="336"/>
      <c r="AD306" s="336"/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336"/>
      <c r="AS306" s="336"/>
      <c r="AT306" s="336"/>
      <c r="AU306" s="336"/>
      <c r="AV306" s="336"/>
      <c r="AW306" s="336"/>
      <c r="AX306" s="336"/>
      <c r="AY306" s="336"/>
      <c r="AZ306" s="336"/>
      <c r="BA306" s="336"/>
      <c r="BB306" s="336"/>
      <c r="BC306" s="336"/>
      <c r="BD306" s="336"/>
      <c r="BE306" s="336"/>
      <c r="BF306" s="336"/>
    </row>
    <row r="307" spans="1:58" s="351" customFormat="1" x14ac:dyDescent="0.25">
      <c r="A307" s="336"/>
      <c r="B307" s="336"/>
      <c r="C307" s="336"/>
      <c r="D307" s="336"/>
      <c r="E307" s="336"/>
      <c r="F307" s="336"/>
      <c r="G307" s="336"/>
      <c r="H307" s="336"/>
      <c r="M307" s="352"/>
      <c r="N307" s="353"/>
      <c r="O307" s="353"/>
      <c r="T307" s="377"/>
      <c r="U307" s="352"/>
      <c r="V307" s="352"/>
      <c r="W307" s="352"/>
      <c r="X307" s="375"/>
      <c r="Y307" s="375"/>
      <c r="Z307" s="336"/>
      <c r="AA307" s="353"/>
      <c r="AB307" s="336"/>
      <c r="AC307" s="336"/>
      <c r="AD307" s="336"/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336"/>
      <c r="AS307" s="336"/>
      <c r="AT307" s="336"/>
      <c r="AU307" s="336"/>
      <c r="AV307" s="336"/>
      <c r="AW307" s="336"/>
      <c r="AX307" s="336"/>
      <c r="AY307" s="336"/>
      <c r="AZ307" s="336"/>
      <c r="BA307" s="336"/>
      <c r="BB307" s="336"/>
      <c r="BC307" s="336"/>
      <c r="BD307" s="336"/>
      <c r="BE307" s="336"/>
      <c r="BF307" s="336"/>
    </row>
    <row r="308" spans="1:58" s="351" customFormat="1" x14ac:dyDescent="0.25">
      <c r="A308" s="336"/>
      <c r="B308" s="336"/>
      <c r="C308" s="336"/>
      <c r="D308" s="336"/>
      <c r="E308" s="336"/>
      <c r="F308" s="336"/>
      <c r="G308" s="336"/>
      <c r="H308" s="336"/>
      <c r="M308" s="352"/>
      <c r="N308" s="353"/>
      <c r="O308" s="353"/>
      <c r="T308" s="377"/>
      <c r="U308" s="352"/>
      <c r="V308" s="352"/>
      <c r="W308" s="352"/>
      <c r="X308" s="375"/>
      <c r="Y308" s="375"/>
      <c r="Z308" s="336"/>
      <c r="AA308" s="353"/>
      <c r="AB308" s="336"/>
      <c r="AC308" s="336"/>
      <c r="AD308" s="336"/>
      <c r="AE308" s="336"/>
      <c r="AF308" s="336"/>
      <c r="AG308" s="336"/>
      <c r="AH308" s="336"/>
      <c r="AI308" s="336"/>
      <c r="AJ308" s="336"/>
      <c r="AK308" s="336"/>
      <c r="AL308" s="336"/>
      <c r="AM308" s="336"/>
      <c r="AN308" s="336"/>
      <c r="AO308" s="336"/>
      <c r="AP308" s="336"/>
      <c r="AQ308" s="336"/>
      <c r="AR308" s="336"/>
      <c r="AS308" s="336"/>
      <c r="AT308" s="336"/>
      <c r="AU308" s="336"/>
      <c r="AV308" s="336"/>
      <c r="AW308" s="336"/>
      <c r="AX308" s="336"/>
      <c r="AY308" s="336"/>
      <c r="AZ308" s="336"/>
      <c r="BA308" s="336"/>
      <c r="BB308" s="336"/>
      <c r="BC308" s="336"/>
      <c r="BD308" s="336"/>
      <c r="BE308" s="336"/>
      <c r="BF308" s="336"/>
    </row>
    <row r="309" spans="1:58" s="351" customFormat="1" x14ac:dyDescent="0.25">
      <c r="A309" s="336"/>
      <c r="B309" s="336"/>
      <c r="C309" s="336"/>
      <c r="D309" s="336"/>
      <c r="E309" s="336"/>
      <c r="F309" s="336"/>
      <c r="G309" s="336"/>
      <c r="H309" s="336"/>
      <c r="M309" s="352"/>
      <c r="N309" s="353"/>
      <c r="O309" s="353"/>
      <c r="T309" s="377"/>
      <c r="U309" s="352"/>
      <c r="V309" s="352"/>
      <c r="W309" s="352"/>
      <c r="X309" s="375"/>
      <c r="Y309" s="375"/>
      <c r="Z309" s="336"/>
      <c r="AA309" s="353"/>
      <c r="AB309" s="336"/>
      <c r="AC309" s="336"/>
      <c r="AD309" s="336"/>
      <c r="AE309" s="336"/>
      <c r="AF309" s="336"/>
      <c r="AG309" s="336"/>
      <c r="AH309" s="336"/>
      <c r="AI309" s="336"/>
      <c r="AJ309" s="336"/>
      <c r="AK309" s="336"/>
      <c r="AL309" s="336"/>
      <c r="AM309" s="336"/>
      <c r="AN309" s="336"/>
      <c r="AO309" s="336"/>
      <c r="AP309" s="336"/>
      <c r="AQ309" s="336"/>
      <c r="AR309" s="336"/>
      <c r="AS309" s="336"/>
      <c r="AT309" s="336"/>
      <c r="AU309" s="336"/>
      <c r="AV309" s="336"/>
      <c r="AW309" s="336"/>
      <c r="AX309" s="336"/>
      <c r="AY309" s="336"/>
      <c r="AZ309" s="336"/>
      <c r="BA309" s="336"/>
      <c r="BB309" s="336"/>
      <c r="BC309" s="336"/>
      <c r="BD309" s="336"/>
      <c r="BE309" s="336"/>
      <c r="BF309" s="336"/>
    </row>
    <row r="310" spans="1:58" s="351" customFormat="1" x14ac:dyDescent="0.25">
      <c r="A310" s="336"/>
      <c r="B310" s="336"/>
      <c r="C310" s="336"/>
      <c r="D310" s="336"/>
      <c r="E310" s="336"/>
      <c r="F310" s="336"/>
      <c r="G310" s="336"/>
      <c r="H310" s="336"/>
      <c r="M310" s="352"/>
      <c r="N310" s="353"/>
      <c r="O310" s="353"/>
      <c r="T310" s="377"/>
      <c r="U310" s="352"/>
      <c r="V310" s="352"/>
      <c r="W310" s="352"/>
      <c r="X310" s="375"/>
      <c r="Y310" s="375"/>
      <c r="Z310" s="336"/>
      <c r="AA310" s="353"/>
      <c r="AB310" s="336"/>
      <c r="AC310" s="336"/>
      <c r="AD310" s="336"/>
      <c r="AE310" s="336"/>
      <c r="AF310" s="336"/>
      <c r="AG310" s="336"/>
      <c r="AH310" s="336"/>
      <c r="AI310" s="336"/>
      <c r="AJ310" s="336"/>
      <c r="AK310" s="336"/>
      <c r="AL310" s="336"/>
      <c r="AM310" s="336"/>
      <c r="AN310" s="336"/>
      <c r="AO310" s="336"/>
      <c r="AP310" s="336"/>
      <c r="AQ310" s="336"/>
      <c r="AR310" s="336"/>
      <c r="AS310" s="336"/>
      <c r="AT310" s="336"/>
      <c r="AU310" s="336"/>
      <c r="AV310" s="336"/>
      <c r="AW310" s="336"/>
      <c r="AX310" s="336"/>
      <c r="AY310" s="336"/>
      <c r="AZ310" s="336"/>
      <c r="BA310" s="336"/>
      <c r="BB310" s="336"/>
      <c r="BC310" s="336"/>
      <c r="BD310" s="336"/>
      <c r="BE310" s="336"/>
      <c r="BF310" s="336"/>
    </row>
    <row r="311" spans="1:58" s="351" customFormat="1" x14ac:dyDescent="0.25">
      <c r="A311" s="336"/>
      <c r="B311" s="336"/>
      <c r="C311" s="336"/>
      <c r="D311" s="336"/>
      <c r="E311" s="336"/>
      <c r="F311" s="336"/>
      <c r="G311" s="336"/>
      <c r="H311" s="336"/>
      <c r="M311" s="352"/>
      <c r="N311" s="353"/>
      <c r="O311" s="353"/>
      <c r="T311" s="377"/>
      <c r="U311" s="352"/>
      <c r="V311" s="352"/>
      <c r="W311" s="352"/>
      <c r="X311" s="375"/>
      <c r="Y311" s="375"/>
      <c r="Z311" s="336"/>
      <c r="AA311" s="353"/>
      <c r="AB311" s="336"/>
      <c r="AC311" s="336"/>
      <c r="AD311" s="336"/>
      <c r="AE311" s="336"/>
      <c r="AF311" s="336"/>
      <c r="AG311" s="336"/>
      <c r="AH311" s="336"/>
      <c r="AI311" s="336"/>
      <c r="AJ311" s="336"/>
      <c r="AK311" s="336"/>
      <c r="AL311" s="336"/>
      <c r="AM311" s="336"/>
      <c r="AN311" s="336"/>
      <c r="AO311" s="336"/>
      <c r="AP311" s="336"/>
      <c r="AQ311" s="336"/>
      <c r="AR311" s="336"/>
      <c r="AS311" s="336"/>
      <c r="AT311" s="336"/>
      <c r="AU311" s="336"/>
      <c r="AV311" s="336"/>
      <c r="AW311" s="336"/>
      <c r="AX311" s="336"/>
      <c r="AY311" s="336"/>
      <c r="AZ311" s="336"/>
      <c r="BA311" s="336"/>
      <c r="BB311" s="336"/>
      <c r="BC311" s="336"/>
      <c r="BD311" s="336"/>
      <c r="BE311" s="336"/>
      <c r="BF311" s="336"/>
    </row>
    <row r="312" spans="1:58" s="351" customFormat="1" x14ac:dyDescent="0.25">
      <c r="A312" s="336"/>
      <c r="B312" s="336"/>
      <c r="C312" s="336"/>
      <c r="D312" s="336"/>
      <c r="E312" s="336"/>
      <c r="F312" s="336"/>
      <c r="G312" s="336"/>
      <c r="H312" s="336"/>
      <c r="M312" s="352"/>
      <c r="N312" s="353"/>
      <c r="O312" s="353"/>
      <c r="T312" s="377"/>
      <c r="U312" s="352"/>
      <c r="V312" s="352"/>
      <c r="W312" s="352"/>
      <c r="X312" s="375"/>
      <c r="Y312" s="375"/>
      <c r="Z312" s="336"/>
      <c r="AA312" s="353"/>
      <c r="AB312" s="336"/>
      <c r="AC312" s="336"/>
      <c r="AD312" s="336"/>
      <c r="AE312" s="336"/>
      <c r="AF312" s="336"/>
      <c r="AG312" s="336"/>
      <c r="AH312" s="336"/>
      <c r="AI312" s="336"/>
      <c r="AJ312" s="336"/>
      <c r="AK312" s="336"/>
      <c r="AL312" s="336"/>
      <c r="AM312" s="336"/>
      <c r="AN312" s="336"/>
      <c r="AO312" s="336"/>
      <c r="AP312" s="336"/>
      <c r="AQ312" s="336"/>
      <c r="AR312" s="336"/>
      <c r="AS312" s="336"/>
      <c r="AT312" s="336"/>
      <c r="AU312" s="336"/>
      <c r="AV312" s="336"/>
      <c r="AW312" s="336"/>
      <c r="AX312" s="336"/>
      <c r="AY312" s="336"/>
      <c r="AZ312" s="336"/>
      <c r="BA312" s="336"/>
      <c r="BB312" s="336"/>
      <c r="BC312" s="336"/>
      <c r="BD312" s="336"/>
      <c r="BE312" s="336"/>
      <c r="BF312" s="336"/>
    </row>
    <row r="313" spans="1:58" s="351" customFormat="1" x14ac:dyDescent="0.25">
      <c r="A313" s="336"/>
      <c r="B313" s="336"/>
      <c r="C313" s="336"/>
      <c r="D313" s="336"/>
      <c r="E313" s="336"/>
      <c r="F313" s="336"/>
      <c r="G313" s="336"/>
      <c r="H313" s="336"/>
      <c r="M313" s="352"/>
      <c r="N313" s="353"/>
      <c r="O313" s="353"/>
      <c r="T313" s="377"/>
      <c r="U313" s="352"/>
      <c r="V313" s="352"/>
      <c r="W313" s="352"/>
      <c r="X313" s="375"/>
      <c r="Y313" s="375"/>
      <c r="Z313" s="336"/>
      <c r="AA313" s="353"/>
      <c r="AB313" s="336"/>
      <c r="AC313" s="336"/>
      <c r="AD313" s="336"/>
      <c r="AE313" s="336"/>
      <c r="AF313" s="336"/>
      <c r="AG313" s="336"/>
      <c r="AH313" s="336"/>
      <c r="AI313" s="336"/>
      <c r="AJ313" s="336"/>
      <c r="AK313" s="336"/>
      <c r="AL313" s="336"/>
      <c r="AM313" s="336"/>
      <c r="AN313" s="336"/>
      <c r="AO313" s="336"/>
      <c r="AP313" s="336"/>
      <c r="AQ313" s="336"/>
      <c r="AR313" s="336"/>
      <c r="AS313" s="336"/>
      <c r="AT313" s="336"/>
      <c r="AU313" s="336"/>
      <c r="AV313" s="336"/>
      <c r="AW313" s="336"/>
      <c r="AX313" s="336"/>
      <c r="AY313" s="336"/>
      <c r="AZ313" s="336"/>
      <c r="BA313" s="336"/>
      <c r="BB313" s="336"/>
      <c r="BC313" s="336"/>
      <c r="BD313" s="336"/>
      <c r="BE313" s="336"/>
      <c r="BF313" s="336"/>
    </row>
    <row r="314" spans="1:58" s="351" customFormat="1" x14ac:dyDescent="0.25">
      <c r="A314" s="336"/>
      <c r="B314" s="336"/>
      <c r="C314" s="336"/>
      <c r="D314" s="336"/>
      <c r="E314" s="336"/>
      <c r="F314" s="336"/>
      <c r="G314" s="336"/>
      <c r="H314" s="336"/>
      <c r="M314" s="352"/>
      <c r="N314" s="353"/>
      <c r="O314" s="353"/>
      <c r="T314" s="377"/>
      <c r="U314" s="352"/>
      <c r="V314" s="352"/>
      <c r="W314" s="352"/>
      <c r="X314" s="375"/>
      <c r="Y314" s="375"/>
      <c r="Z314" s="336"/>
      <c r="AA314" s="353"/>
      <c r="AB314" s="336"/>
      <c r="AC314" s="336"/>
      <c r="AD314" s="336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336"/>
      <c r="AS314" s="336"/>
      <c r="AT314" s="336"/>
      <c r="AU314" s="336"/>
      <c r="AV314" s="336"/>
      <c r="AW314" s="336"/>
      <c r="AX314" s="336"/>
      <c r="AY314" s="336"/>
      <c r="AZ314" s="336"/>
      <c r="BA314" s="336"/>
      <c r="BB314" s="336"/>
      <c r="BC314" s="336"/>
      <c r="BD314" s="336"/>
      <c r="BE314" s="336"/>
      <c r="BF314" s="336"/>
    </row>
    <row r="315" spans="1:58" s="351" customFormat="1" x14ac:dyDescent="0.25">
      <c r="A315" s="336"/>
      <c r="B315" s="336"/>
      <c r="C315" s="336"/>
      <c r="D315" s="336"/>
      <c r="E315" s="336"/>
      <c r="F315" s="336"/>
      <c r="G315" s="336"/>
      <c r="H315" s="336"/>
      <c r="M315" s="352"/>
      <c r="N315" s="353"/>
      <c r="O315" s="353"/>
      <c r="T315" s="377"/>
      <c r="U315" s="352"/>
      <c r="V315" s="352"/>
      <c r="W315" s="352"/>
      <c r="X315" s="375"/>
      <c r="Y315" s="375"/>
      <c r="Z315" s="336"/>
      <c r="AA315" s="353"/>
      <c r="AB315" s="336"/>
      <c r="AC315" s="336"/>
      <c r="AD315" s="336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336"/>
      <c r="AS315" s="336"/>
      <c r="AT315" s="336"/>
      <c r="AU315" s="336"/>
      <c r="AV315" s="336"/>
      <c r="AW315" s="336"/>
      <c r="AX315" s="336"/>
      <c r="AY315" s="336"/>
      <c r="AZ315" s="336"/>
      <c r="BA315" s="336"/>
      <c r="BB315" s="336"/>
      <c r="BC315" s="336"/>
      <c r="BD315" s="336"/>
      <c r="BE315" s="336"/>
      <c r="BF315" s="336"/>
    </row>
    <row r="316" spans="1:58" s="351" customFormat="1" x14ac:dyDescent="0.25">
      <c r="A316" s="336"/>
      <c r="B316" s="336"/>
      <c r="C316" s="336"/>
      <c r="D316" s="336"/>
      <c r="E316" s="336"/>
      <c r="F316" s="336"/>
      <c r="G316" s="336"/>
      <c r="H316" s="336"/>
      <c r="M316" s="352"/>
      <c r="N316" s="353"/>
      <c r="O316" s="353"/>
      <c r="T316" s="377"/>
      <c r="U316" s="352"/>
      <c r="V316" s="352"/>
      <c r="W316" s="352"/>
      <c r="X316" s="375"/>
      <c r="Y316" s="375"/>
      <c r="Z316" s="336"/>
      <c r="AA316" s="353"/>
      <c r="AB316" s="336"/>
      <c r="AC316" s="336"/>
      <c r="AD316" s="336"/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336"/>
      <c r="AS316" s="336"/>
      <c r="AT316" s="336"/>
      <c r="AU316" s="336"/>
      <c r="AV316" s="336"/>
      <c r="AW316" s="336"/>
      <c r="AX316" s="336"/>
      <c r="AY316" s="336"/>
      <c r="AZ316" s="336"/>
      <c r="BA316" s="336"/>
      <c r="BB316" s="336"/>
      <c r="BC316" s="336"/>
      <c r="BD316" s="336"/>
      <c r="BE316" s="336"/>
      <c r="BF316" s="336"/>
    </row>
    <row r="317" spans="1:58" s="351" customFormat="1" x14ac:dyDescent="0.25">
      <c r="A317" s="336"/>
      <c r="B317" s="336"/>
      <c r="C317" s="336"/>
      <c r="D317" s="336"/>
      <c r="E317" s="336"/>
      <c r="F317" s="336"/>
      <c r="G317" s="336"/>
      <c r="H317" s="336"/>
      <c r="M317" s="352"/>
      <c r="N317" s="353"/>
      <c r="O317" s="353"/>
      <c r="T317" s="377"/>
      <c r="U317" s="352"/>
      <c r="V317" s="352"/>
      <c r="W317" s="352"/>
      <c r="X317" s="375"/>
      <c r="Y317" s="375"/>
      <c r="Z317" s="336"/>
      <c r="AA317" s="353"/>
      <c r="AB317" s="336"/>
      <c r="AC317" s="336"/>
      <c r="AD317" s="336"/>
      <c r="AE317" s="336"/>
      <c r="AF317" s="336"/>
      <c r="AG317" s="336"/>
      <c r="AH317" s="336"/>
      <c r="AI317" s="336"/>
      <c r="AJ317" s="336"/>
      <c r="AK317" s="336"/>
      <c r="AL317" s="336"/>
      <c r="AM317" s="336"/>
      <c r="AN317" s="336"/>
      <c r="AO317" s="336"/>
      <c r="AP317" s="336"/>
      <c r="AQ317" s="336"/>
      <c r="AR317" s="336"/>
      <c r="AS317" s="336"/>
      <c r="AT317" s="336"/>
      <c r="AU317" s="336"/>
      <c r="AV317" s="336"/>
      <c r="AW317" s="336"/>
      <c r="AX317" s="336"/>
      <c r="AY317" s="336"/>
      <c r="AZ317" s="336"/>
      <c r="BA317" s="336"/>
      <c r="BB317" s="336"/>
      <c r="BC317" s="336"/>
      <c r="BD317" s="336"/>
      <c r="BE317" s="336"/>
      <c r="BF317" s="336"/>
    </row>
    <row r="318" spans="1:58" s="351" customFormat="1" x14ac:dyDescent="0.25">
      <c r="A318" s="336"/>
      <c r="B318" s="336"/>
      <c r="C318" s="336"/>
      <c r="D318" s="336"/>
      <c r="E318" s="336"/>
      <c r="F318" s="336"/>
      <c r="G318" s="336"/>
      <c r="H318" s="336"/>
      <c r="M318" s="352"/>
      <c r="N318" s="353"/>
      <c r="O318" s="353"/>
      <c r="T318" s="377"/>
      <c r="U318" s="352"/>
      <c r="V318" s="352"/>
      <c r="W318" s="352"/>
      <c r="X318" s="375"/>
      <c r="Y318" s="375"/>
      <c r="Z318" s="336"/>
      <c r="AA318" s="353"/>
      <c r="AB318" s="336"/>
      <c r="AC318" s="336"/>
      <c r="AD318" s="336"/>
      <c r="AE318" s="336"/>
      <c r="AF318" s="336"/>
      <c r="AG318" s="336"/>
      <c r="AH318" s="336"/>
      <c r="AI318" s="336"/>
      <c r="AJ318" s="336"/>
      <c r="AK318" s="336"/>
      <c r="AL318" s="336"/>
      <c r="AM318" s="336"/>
      <c r="AN318" s="336"/>
      <c r="AO318" s="336"/>
      <c r="AP318" s="336"/>
      <c r="AQ318" s="336"/>
      <c r="AR318" s="336"/>
      <c r="AS318" s="336"/>
      <c r="AT318" s="336"/>
      <c r="AU318" s="336"/>
      <c r="AV318" s="336"/>
      <c r="AW318" s="336"/>
      <c r="AX318" s="336"/>
      <c r="AY318" s="336"/>
      <c r="AZ318" s="336"/>
      <c r="BA318" s="336"/>
      <c r="BB318" s="336"/>
      <c r="BC318" s="336"/>
      <c r="BD318" s="336"/>
      <c r="BE318" s="336"/>
      <c r="BF318" s="336"/>
    </row>
    <row r="319" spans="1:58" s="351" customFormat="1" x14ac:dyDescent="0.25">
      <c r="A319" s="336"/>
      <c r="B319" s="336"/>
      <c r="C319" s="336"/>
      <c r="D319" s="336"/>
      <c r="E319" s="336"/>
      <c r="F319" s="336"/>
      <c r="G319" s="336"/>
      <c r="H319" s="336"/>
      <c r="M319" s="352"/>
      <c r="N319" s="353"/>
      <c r="O319" s="353"/>
      <c r="T319" s="377"/>
      <c r="U319" s="352"/>
      <c r="V319" s="352"/>
      <c r="W319" s="352"/>
      <c r="X319" s="375"/>
      <c r="Y319" s="375"/>
      <c r="Z319" s="336"/>
      <c r="AA319" s="353"/>
      <c r="AB319" s="336"/>
      <c r="AC319" s="336"/>
      <c r="AD319" s="336"/>
      <c r="AE319" s="336"/>
      <c r="AF319" s="336"/>
      <c r="AG319" s="336"/>
      <c r="AH319" s="336"/>
      <c r="AI319" s="336"/>
      <c r="AJ319" s="336"/>
      <c r="AK319" s="336"/>
      <c r="AL319" s="336"/>
      <c r="AM319" s="336"/>
      <c r="AN319" s="336"/>
      <c r="AO319" s="336"/>
      <c r="AP319" s="336"/>
      <c r="AQ319" s="336"/>
      <c r="AR319" s="336"/>
      <c r="AS319" s="336"/>
      <c r="AT319" s="336"/>
      <c r="AU319" s="336"/>
      <c r="AV319" s="336"/>
      <c r="AW319" s="336"/>
      <c r="AX319" s="336"/>
      <c r="AY319" s="336"/>
      <c r="AZ319" s="336"/>
      <c r="BA319" s="336"/>
      <c r="BB319" s="336"/>
      <c r="BC319" s="336"/>
      <c r="BD319" s="336"/>
      <c r="BE319" s="336"/>
      <c r="BF319" s="336"/>
    </row>
    <row r="320" spans="1:58" s="351" customFormat="1" x14ac:dyDescent="0.25">
      <c r="A320" s="336"/>
      <c r="B320" s="336"/>
      <c r="C320" s="336"/>
      <c r="D320" s="336"/>
      <c r="E320" s="336"/>
      <c r="F320" s="336"/>
      <c r="G320" s="336"/>
      <c r="H320" s="336"/>
      <c r="M320" s="352"/>
      <c r="N320" s="353"/>
      <c r="O320" s="353"/>
      <c r="T320" s="377"/>
      <c r="U320" s="352"/>
      <c r="V320" s="352"/>
      <c r="W320" s="352"/>
      <c r="X320" s="375"/>
      <c r="Y320" s="375"/>
      <c r="Z320" s="336"/>
      <c r="AA320" s="353"/>
      <c r="AB320" s="336"/>
      <c r="AC320" s="336"/>
      <c r="AD320" s="336"/>
      <c r="AE320" s="336"/>
      <c r="AF320" s="336"/>
      <c r="AG320" s="336"/>
      <c r="AH320" s="336"/>
      <c r="AI320" s="336"/>
      <c r="AJ320" s="336"/>
      <c r="AK320" s="336"/>
      <c r="AL320" s="336"/>
      <c r="AM320" s="336"/>
      <c r="AN320" s="336"/>
      <c r="AO320" s="336"/>
      <c r="AP320" s="336"/>
      <c r="AQ320" s="336"/>
      <c r="AR320" s="336"/>
      <c r="AS320" s="336"/>
      <c r="AT320" s="336"/>
      <c r="AU320" s="336"/>
      <c r="AV320" s="336"/>
      <c r="AW320" s="336"/>
      <c r="AX320" s="336"/>
      <c r="AY320" s="336"/>
      <c r="AZ320" s="336"/>
      <c r="BA320" s="336"/>
      <c r="BB320" s="336"/>
      <c r="BC320" s="336"/>
      <c r="BD320" s="336"/>
      <c r="BE320" s="336"/>
      <c r="BF320" s="336"/>
    </row>
    <row r="321" spans="1:58" s="351" customFormat="1" x14ac:dyDescent="0.25">
      <c r="A321" s="336"/>
      <c r="B321" s="336"/>
      <c r="C321" s="336"/>
      <c r="D321" s="336"/>
      <c r="E321" s="336"/>
      <c r="F321" s="336"/>
      <c r="G321" s="336"/>
      <c r="H321" s="336"/>
      <c r="M321" s="352"/>
      <c r="N321" s="353"/>
      <c r="O321" s="353"/>
      <c r="T321" s="377"/>
      <c r="U321" s="352"/>
      <c r="V321" s="352"/>
      <c r="W321" s="352"/>
      <c r="X321" s="375"/>
      <c r="Y321" s="375"/>
      <c r="Z321" s="336"/>
      <c r="AA321" s="353"/>
      <c r="AB321" s="336"/>
      <c r="AC321" s="336"/>
      <c r="AD321" s="336"/>
      <c r="AE321" s="336"/>
      <c r="AF321" s="336"/>
      <c r="AG321" s="336"/>
      <c r="AH321" s="336"/>
      <c r="AI321" s="336"/>
      <c r="AJ321" s="336"/>
      <c r="AK321" s="336"/>
      <c r="AL321" s="336"/>
      <c r="AM321" s="336"/>
      <c r="AN321" s="336"/>
      <c r="AO321" s="336"/>
      <c r="AP321" s="336"/>
      <c r="AQ321" s="336"/>
      <c r="AR321" s="336"/>
      <c r="AS321" s="336"/>
      <c r="AT321" s="336"/>
      <c r="AU321" s="336"/>
      <c r="AV321" s="336"/>
      <c r="AW321" s="336"/>
      <c r="AX321" s="336"/>
      <c r="AY321" s="336"/>
      <c r="AZ321" s="336"/>
      <c r="BA321" s="336"/>
      <c r="BB321" s="336"/>
      <c r="BC321" s="336"/>
      <c r="BD321" s="336"/>
      <c r="BE321" s="336"/>
      <c r="BF321" s="336"/>
    </row>
    <row r="322" spans="1:58" s="351" customFormat="1" x14ac:dyDescent="0.25">
      <c r="A322" s="336"/>
      <c r="B322" s="336"/>
      <c r="C322" s="336"/>
      <c r="D322" s="336"/>
      <c r="E322" s="336"/>
      <c r="F322" s="336"/>
      <c r="G322" s="336"/>
      <c r="H322" s="336"/>
      <c r="M322" s="352"/>
      <c r="N322" s="353"/>
      <c r="O322" s="353"/>
      <c r="T322" s="377"/>
      <c r="U322" s="352"/>
      <c r="V322" s="352"/>
      <c r="W322" s="352"/>
      <c r="X322" s="375"/>
      <c r="Y322" s="375"/>
      <c r="Z322" s="336"/>
      <c r="AA322" s="353"/>
      <c r="AB322" s="336"/>
      <c r="AC322" s="336"/>
      <c r="AD322" s="336"/>
      <c r="AE322" s="336"/>
      <c r="AF322" s="336"/>
      <c r="AG322" s="336"/>
      <c r="AH322" s="336"/>
      <c r="AI322" s="336"/>
      <c r="AJ322" s="336"/>
      <c r="AK322" s="336"/>
      <c r="AL322" s="336"/>
      <c r="AM322" s="336"/>
      <c r="AN322" s="336"/>
      <c r="AO322" s="336"/>
      <c r="AP322" s="336"/>
      <c r="AQ322" s="336"/>
      <c r="AR322" s="336"/>
      <c r="AS322" s="336"/>
      <c r="AT322" s="336"/>
      <c r="AU322" s="336"/>
      <c r="AV322" s="336"/>
      <c r="AW322" s="336"/>
      <c r="AX322" s="336"/>
      <c r="AY322" s="336"/>
      <c r="AZ322" s="336"/>
      <c r="BA322" s="336"/>
      <c r="BB322" s="336"/>
      <c r="BC322" s="336"/>
      <c r="BD322" s="336"/>
      <c r="BE322" s="336"/>
      <c r="BF322" s="336"/>
    </row>
    <row r="323" spans="1:58" s="351" customFormat="1" x14ac:dyDescent="0.25">
      <c r="A323" s="336"/>
      <c r="B323" s="336"/>
      <c r="C323" s="336"/>
      <c r="D323" s="336"/>
      <c r="E323" s="336"/>
      <c r="F323" s="336"/>
      <c r="G323" s="336"/>
      <c r="H323" s="336"/>
      <c r="M323" s="352"/>
      <c r="N323" s="353"/>
      <c r="O323" s="353"/>
      <c r="T323" s="377"/>
      <c r="U323" s="352"/>
      <c r="V323" s="352"/>
      <c r="W323" s="352"/>
      <c r="X323" s="375"/>
      <c r="Y323" s="375"/>
      <c r="Z323" s="336"/>
      <c r="AA323" s="353"/>
      <c r="AB323" s="336"/>
      <c r="AC323" s="336"/>
      <c r="AD323" s="336"/>
      <c r="AE323" s="336"/>
      <c r="AF323" s="336"/>
      <c r="AG323" s="336"/>
      <c r="AH323" s="336"/>
      <c r="AI323" s="336"/>
      <c r="AJ323" s="336"/>
      <c r="AK323" s="336"/>
      <c r="AL323" s="336"/>
      <c r="AM323" s="336"/>
      <c r="AN323" s="336"/>
      <c r="AO323" s="336"/>
      <c r="AP323" s="336"/>
      <c r="AQ323" s="336"/>
      <c r="AR323" s="336"/>
      <c r="AS323" s="336"/>
      <c r="AT323" s="336"/>
      <c r="AU323" s="336"/>
      <c r="AV323" s="336"/>
      <c r="AW323" s="336"/>
      <c r="AX323" s="336"/>
      <c r="AY323" s="336"/>
      <c r="AZ323" s="336"/>
      <c r="BA323" s="336"/>
      <c r="BB323" s="336"/>
      <c r="BC323" s="336"/>
      <c r="BD323" s="336"/>
      <c r="BE323" s="336"/>
      <c r="BF323" s="336"/>
    </row>
    <row r="324" spans="1:58" s="351" customFormat="1" x14ac:dyDescent="0.25">
      <c r="A324" s="336"/>
      <c r="B324" s="336"/>
      <c r="C324" s="336"/>
      <c r="D324" s="336"/>
      <c r="E324" s="336"/>
      <c r="F324" s="336"/>
      <c r="G324" s="336"/>
      <c r="H324" s="336"/>
      <c r="M324" s="352"/>
      <c r="N324" s="353"/>
      <c r="O324" s="353"/>
      <c r="T324" s="377"/>
      <c r="U324" s="352"/>
      <c r="V324" s="352"/>
      <c r="W324" s="352"/>
      <c r="X324" s="375"/>
      <c r="Y324" s="375"/>
      <c r="Z324" s="336"/>
      <c r="AA324" s="353"/>
      <c r="AB324" s="336"/>
      <c r="AC324" s="336"/>
      <c r="AD324" s="336"/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336"/>
      <c r="AS324" s="336"/>
      <c r="AT324" s="336"/>
      <c r="AU324" s="336"/>
      <c r="AV324" s="336"/>
      <c r="AW324" s="336"/>
      <c r="AX324" s="336"/>
      <c r="AY324" s="336"/>
      <c r="AZ324" s="336"/>
      <c r="BA324" s="336"/>
      <c r="BB324" s="336"/>
      <c r="BC324" s="336"/>
      <c r="BD324" s="336"/>
      <c r="BE324" s="336"/>
      <c r="BF324" s="336"/>
    </row>
    <row r="325" spans="1:58" s="351" customFormat="1" x14ac:dyDescent="0.25">
      <c r="A325" s="336"/>
      <c r="B325" s="336"/>
      <c r="C325" s="336"/>
      <c r="D325" s="336"/>
      <c r="E325" s="336"/>
      <c r="F325" s="336"/>
      <c r="G325" s="336"/>
      <c r="H325" s="336"/>
      <c r="M325" s="352"/>
      <c r="N325" s="353"/>
      <c r="O325" s="353"/>
      <c r="T325" s="377"/>
      <c r="U325" s="352"/>
      <c r="V325" s="352"/>
      <c r="W325" s="352"/>
      <c r="X325" s="375"/>
      <c r="Y325" s="375"/>
      <c r="Z325" s="336"/>
      <c r="AA325" s="353"/>
      <c r="AB325" s="336"/>
      <c r="AC325" s="336"/>
      <c r="AD325" s="336"/>
      <c r="AE325" s="336"/>
      <c r="AF325" s="336"/>
      <c r="AG325" s="336"/>
      <c r="AH325" s="336"/>
      <c r="AI325" s="336"/>
      <c r="AJ325" s="336"/>
      <c r="AK325" s="336"/>
      <c r="AL325" s="336"/>
      <c r="AM325" s="336"/>
      <c r="AN325" s="336"/>
      <c r="AO325" s="336"/>
      <c r="AP325" s="336"/>
      <c r="AQ325" s="336"/>
      <c r="AR325" s="336"/>
      <c r="AS325" s="336"/>
      <c r="AT325" s="336"/>
      <c r="AU325" s="336"/>
      <c r="AV325" s="336"/>
      <c r="AW325" s="336"/>
      <c r="AX325" s="336"/>
      <c r="AY325" s="336"/>
      <c r="AZ325" s="336"/>
      <c r="BA325" s="336"/>
      <c r="BB325" s="336"/>
      <c r="BC325" s="336"/>
      <c r="BD325" s="336"/>
      <c r="BE325" s="336"/>
      <c r="BF325" s="336"/>
    </row>
    <row r="326" spans="1:58" s="351" customFormat="1" x14ac:dyDescent="0.25">
      <c r="A326" s="336"/>
      <c r="B326" s="336"/>
      <c r="C326" s="336"/>
      <c r="D326" s="336"/>
      <c r="E326" s="336"/>
      <c r="F326" s="336"/>
      <c r="G326" s="336"/>
      <c r="H326" s="336"/>
      <c r="M326" s="352"/>
      <c r="N326" s="353"/>
      <c r="O326" s="353"/>
      <c r="T326" s="377"/>
      <c r="U326" s="352"/>
      <c r="V326" s="352"/>
      <c r="W326" s="352"/>
      <c r="X326" s="375"/>
      <c r="Y326" s="375"/>
      <c r="Z326" s="336"/>
      <c r="AA326" s="353"/>
      <c r="AB326" s="336"/>
      <c r="AC326" s="336"/>
      <c r="AD326" s="336"/>
      <c r="AE326" s="336"/>
      <c r="AF326" s="336"/>
      <c r="AG326" s="336"/>
      <c r="AH326" s="336"/>
      <c r="AI326" s="336"/>
      <c r="AJ326" s="336"/>
      <c r="AK326" s="336"/>
      <c r="AL326" s="336"/>
      <c r="AM326" s="336"/>
      <c r="AN326" s="336"/>
      <c r="AO326" s="336"/>
      <c r="AP326" s="336"/>
      <c r="AQ326" s="336"/>
      <c r="AR326" s="336"/>
      <c r="AS326" s="336"/>
      <c r="AT326" s="336"/>
      <c r="AU326" s="336"/>
      <c r="AV326" s="336"/>
      <c r="AW326" s="336"/>
      <c r="AX326" s="336"/>
      <c r="AY326" s="336"/>
      <c r="AZ326" s="336"/>
      <c r="BA326" s="336"/>
      <c r="BB326" s="336"/>
      <c r="BC326" s="336"/>
      <c r="BD326" s="336"/>
      <c r="BE326" s="336"/>
      <c r="BF326" s="336"/>
    </row>
    <row r="327" spans="1:58" s="351" customFormat="1" x14ac:dyDescent="0.25">
      <c r="A327" s="336"/>
      <c r="B327" s="336"/>
      <c r="C327" s="336"/>
      <c r="D327" s="336"/>
      <c r="E327" s="336"/>
      <c r="F327" s="336"/>
      <c r="G327" s="336"/>
      <c r="H327" s="336"/>
      <c r="M327" s="352"/>
      <c r="N327" s="353"/>
      <c r="O327" s="353"/>
      <c r="T327" s="377"/>
      <c r="U327" s="352"/>
      <c r="V327" s="352"/>
      <c r="W327" s="352"/>
      <c r="X327" s="375"/>
      <c r="Y327" s="375"/>
      <c r="Z327" s="336"/>
      <c r="AA327" s="353"/>
      <c r="AB327" s="336"/>
      <c r="AC327" s="336"/>
      <c r="AD327" s="336"/>
      <c r="AE327" s="336"/>
      <c r="AF327" s="336"/>
      <c r="AG327" s="336"/>
      <c r="AH327" s="336"/>
      <c r="AI327" s="336"/>
      <c r="AJ327" s="336"/>
      <c r="AK327" s="336"/>
      <c r="AL327" s="336"/>
      <c r="AM327" s="336"/>
      <c r="AN327" s="336"/>
      <c r="AO327" s="336"/>
      <c r="AP327" s="336"/>
      <c r="AQ327" s="336"/>
      <c r="AR327" s="336"/>
      <c r="AS327" s="336"/>
      <c r="AT327" s="336"/>
      <c r="AU327" s="336"/>
      <c r="AV327" s="336"/>
      <c r="AW327" s="336"/>
      <c r="AX327" s="336"/>
      <c r="AY327" s="336"/>
      <c r="AZ327" s="336"/>
      <c r="BA327" s="336"/>
      <c r="BB327" s="336"/>
      <c r="BC327" s="336"/>
      <c r="BD327" s="336"/>
      <c r="BE327" s="336"/>
      <c r="BF327" s="336"/>
    </row>
    <row r="328" spans="1:58" s="351" customFormat="1" x14ac:dyDescent="0.25">
      <c r="A328" s="336"/>
      <c r="B328" s="336"/>
      <c r="C328" s="336"/>
      <c r="D328" s="336"/>
      <c r="E328" s="336"/>
      <c r="F328" s="336"/>
      <c r="G328" s="336"/>
      <c r="H328" s="336"/>
      <c r="M328" s="352"/>
      <c r="N328" s="353"/>
      <c r="O328" s="353"/>
      <c r="T328" s="377"/>
      <c r="U328" s="352"/>
      <c r="V328" s="352"/>
      <c r="W328" s="352"/>
      <c r="X328" s="375"/>
      <c r="Y328" s="375"/>
      <c r="Z328" s="336"/>
      <c r="AA328" s="353"/>
      <c r="AB328" s="336"/>
      <c r="AC328" s="336"/>
      <c r="AD328" s="336"/>
      <c r="AE328" s="336"/>
      <c r="AF328" s="336"/>
      <c r="AG328" s="336"/>
      <c r="AH328" s="336"/>
      <c r="AI328" s="336"/>
      <c r="AJ328" s="336"/>
      <c r="AK328" s="336"/>
      <c r="AL328" s="336"/>
      <c r="AM328" s="336"/>
      <c r="AN328" s="336"/>
      <c r="AO328" s="336"/>
      <c r="AP328" s="336"/>
      <c r="AQ328" s="336"/>
      <c r="AR328" s="336"/>
      <c r="AS328" s="336"/>
      <c r="AT328" s="336"/>
      <c r="AU328" s="336"/>
      <c r="AV328" s="336"/>
      <c r="AW328" s="336"/>
      <c r="AX328" s="336"/>
      <c r="AY328" s="336"/>
      <c r="AZ328" s="336"/>
      <c r="BA328" s="336"/>
      <c r="BB328" s="336"/>
      <c r="BC328" s="336"/>
      <c r="BD328" s="336"/>
      <c r="BE328" s="336"/>
      <c r="BF328" s="336"/>
    </row>
    <row r="329" spans="1:58" s="351" customFormat="1" x14ac:dyDescent="0.25">
      <c r="A329" s="336"/>
      <c r="B329" s="336"/>
      <c r="C329" s="336"/>
      <c r="D329" s="336"/>
      <c r="E329" s="336"/>
      <c r="F329" s="336"/>
      <c r="G329" s="336"/>
      <c r="H329" s="336"/>
      <c r="M329" s="352"/>
      <c r="N329" s="353"/>
      <c r="O329" s="353"/>
      <c r="T329" s="377"/>
      <c r="U329" s="352"/>
      <c r="V329" s="352"/>
      <c r="W329" s="352"/>
      <c r="X329" s="375"/>
      <c r="Y329" s="375"/>
      <c r="Z329" s="336"/>
      <c r="AA329" s="353"/>
      <c r="AB329" s="336"/>
      <c r="AC329" s="336"/>
      <c r="AD329" s="336"/>
      <c r="AE329" s="336"/>
      <c r="AF329" s="336"/>
      <c r="AG329" s="336"/>
      <c r="AH329" s="336"/>
      <c r="AI329" s="336"/>
      <c r="AJ329" s="336"/>
      <c r="AK329" s="336"/>
      <c r="AL329" s="336"/>
      <c r="AM329" s="336"/>
      <c r="AN329" s="336"/>
      <c r="AO329" s="336"/>
      <c r="AP329" s="336"/>
      <c r="AQ329" s="336"/>
      <c r="AR329" s="336"/>
      <c r="AS329" s="336"/>
      <c r="AT329" s="336"/>
      <c r="AU329" s="336"/>
      <c r="AV329" s="336"/>
      <c r="AW329" s="336"/>
      <c r="AX329" s="336"/>
      <c r="AY329" s="336"/>
      <c r="AZ329" s="336"/>
      <c r="BA329" s="336"/>
      <c r="BB329" s="336"/>
      <c r="BC329" s="336"/>
      <c r="BD329" s="336"/>
      <c r="BE329" s="336"/>
      <c r="BF329" s="336"/>
    </row>
    <row r="330" spans="1:58" s="351" customFormat="1" x14ac:dyDescent="0.25">
      <c r="A330" s="336"/>
      <c r="B330" s="336"/>
      <c r="C330" s="336"/>
      <c r="D330" s="336"/>
      <c r="E330" s="336"/>
      <c r="F330" s="336"/>
      <c r="G330" s="336"/>
      <c r="H330" s="336"/>
      <c r="M330" s="352"/>
      <c r="N330" s="353"/>
      <c r="O330" s="353"/>
      <c r="T330" s="377"/>
      <c r="U330" s="352"/>
      <c r="V330" s="352"/>
      <c r="W330" s="352"/>
      <c r="X330" s="375"/>
      <c r="Y330" s="375"/>
      <c r="Z330" s="336"/>
      <c r="AA330" s="353"/>
      <c r="AB330" s="336"/>
      <c r="AC330" s="336"/>
      <c r="AD330" s="336"/>
      <c r="AE330" s="336"/>
      <c r="AF330" s="336"/>
      <c r="AG330" s="336"/>
      <c r="AH330" s="336"/>
      <c r="AI330" s="336"/>
      <c r="AJ330" s="336"/>
      <c r="AK330" s="336"/>
      <c r="AL330" s="336"/>
      <c r="AM330" s="336"/>
      <c r="AN330" s="336"/>
      <c r="AO330" s="336"/>
      <c r="AP330" s="336"/>
      <c r="AQ330" s="336"/>
      <c r="AR330" s="336"/>
      <c r="AS330" s="336"/>
      <c r="AT330" s="336"/>
      <c r="AU330" s="336"/>
      <c r="AV330" s="336"/>
      <c r="AW330" s="336"/>
      <c r="AX330" s="336"/>
      <c r="AY330" s="336"/>
      <c r="AZ330" s="336"/>
      <c r="BA330" s="336"/>
      <c r="BB330" s="336"/>
      <c r="BC330" s="336"/>
      <c r="BD330" s="336"/>
      <c r="BE330" s="336"/>
      <c r="BF330" s="336"/>
    </row>
    <row r="331" spans="1:58" s="351" customFormat="1" x14ac:dyDescent="0.25">
      <c r="A331" s="336"/>
      <c r="B331" s="336"/>
      <c r="C331" s="336"/>
      <c r="D331" s="336"/>
      <c r="E331" s="336"/>
      <c r="F331" s="336"/>
      <c r="G331" s="336"/>
      <c r="H331" s="336"/>
      <c r="M331" s="352"/>
      <c r="N331" s="353"/>
      <c r="O331" s="353"/>
      <c r="T331" s="377"/>
      <c r="U331" s="352"/>
      <c r="V331" s="352"/>
      <c r="W331" s="352"/>
      <c r="X331" s="375"/>
      <c r="Y331" s="375"/>
      <c r="Z331" s="336"/>
      <c r="AA331" s="353"/>
      <c r="AB331" s="336"/>
      <c r="AC331" s="336"/>
      <c r="AD331" s="336"/>
      <c r="AE331" s="336"/>
      <c r="AF331" s="336"/>
      <c r="AG331" s="336"/>
      <c r="AH331" s="336"/>
      <c r="AI331" s="336"/>
      <c r="AJ331" s="336"/>
      <c r="AK331" s="336"/>
      <c r="AL331" s="336"/>
      <c r="AM331" s="336"/>
      <c r="AN331" s="336"/>
      <c r="AO331" s="336"/>
      <c r="AP331" s="336"/>
      <c r="AQ331" s="336"/>
      <c r="AR331" s="336"/>
      <c r="AS331" s="336"/>
      <c r="AT331" s="336"/>
      <c r="AU331" s="336"/>
      <c r="AV331" s="336"/>
      <c r="AW331" s="336"/>
      <c r="AX331" s="336"/>
      <c r="AY331" s="336"/>
      <c r="AZ331" s="336"/>
      <c r="BA331" s="336"/>
      <c r="BB331" s="336"/>
      <c r="BC331" s="336"/>
      <c r="BD331" s="336"/>
      <c r="BE331" s="336"/>
      <c r="BF331" s="336"/>
    </row>
    <row r="332" spans="1:58" s="351" customFormat="1" x14ac:dyDescent="0.25">
      <c r="A332" s="336"/>
      <c r="B332" s="336"/>
      <c r="C332" s="336"/>
      <c r="D332" s="336"/>
      <c r="E332" s="336"/>
      <c r="F332" s="336"/>
      <c r="G332" s="336"/>
      <c r="H332" s="336"/>
      <c r="M332" s="352"/>
      <c r="N332" s="353"/>
      <c r="O332" s="353"/>
      <c r="T332" s="377"/>
      <c r="U332" s="352"/>
      <c r="V332" s="352"/>
      <c r="W332" s="352"/>
      <c r="X332" s="375"/>
      <c r="Y332" s="375"/>
      <c r="Z332" s="336"/>
      <c r="AA332" s="353"/>
      <c r="AB332" s="336"/>
      <c r="AC332" s="336"/>
      <c r="AD332" s="336"/>
      <c r="AE332" s="336"/>
      <c r="AF332" s="336"/>
      <c r="AG332" s="336"/>
      <c r="AH332" s="336"/>
      <c r="AI332" s="336"/>
      <c r="AJ332" s="336"/>
      <c r="AK332" s="336"/>
      <c r="AL332" s="336"/>
      <c r="AM332" s="336"/>
      <c r="AN332" s="336"/>
      <c r="AO332" s="336"/>
      <c r="AP332" s="336"/>
      <c r="AQ332" s="336"/>
      <c r="AR332" s="336"/>
      <c r="AS332" s="336"/>
      <c r="AT332" s="336"/>
      <c r="AU332" s="336"/>
      <c r="AV332" s="336"/>
      <c r="AW332" s="336"/>
      <c r="AX332" s="336"/>
      <c r="AY332" s="336"/>
      <c r="AZ332" s="336"/>
      <c r="BA332" s="336"/>
      <c r="BB332" s="336"/>
      <c r="BC332" s="336"/>
      <c r="BD332" s="336"/>
      <c r="BE332" s="336"/>
      <c r="BF332" s="336"/>
    </row>
    <row r="333" spans="1:58" s="351" customFormat="1" x14ac:dyDescent="0.25">
      <c r="A333" s="336"/>
      <c r="B333" s="336"/>
      <c r="C333" s="336"/>
      <c r="D333" s="336"/>
      <c r="E333" s="336"/>
      <c r="F333" s="336"/>
      <c r="G333" s="336"/>
      <c r="H333" s="336"/>
      <c r="M333" s="352"/>
      <c r="N333" s="353"/>
      <c r="O333" s="353"/>
      <c r="T333" s="377"/>
      <c r="U333" s="352"/>
      <c r="V333" s="352"/>
      <c r="W333" s="352"/>
      <c r="X333" s="375"/>
      <c r="Y333" s="375"/>
      <c r="Z333" s="336"/>
      <c r="AA333" s="353"/>
      <c r="AB333" s="336"/>
      <c r="AC333" s="336"/>
      <c r="AD333" s="336"/>
      <c r="AE333" s="336"/>
      <c r="AF333" s="336"/>
      <c r="AG333" s="336"/>
      <c r="AH333" s="336"/>
      <c r="AI333" s="336"/>
      <c r="AJ333" s="336"/>
      <c r="AK333" s="336"/>
      <c r="AL333" s="336"/>
      <c r="AM333" s="336"/>
      <c r="AN333" s="336"/>
      <c r="AO333" s="336"/>
      <c r="AP333" s="336"/>
      <c r="AQ333" s="336"/>
      <c r="AR333" s="336"/>
      <c r="AS333" s="336"/>
      <c r="AT333" s="336"/>
      <c r="AU333" s="336"/>
      <c r="AV333" s="336"/>
      <c r="AW333" s="336"/>
      <c r="AX333" s="336"/>
      <c r="AY333" s="336"/>
      <c r="AZ333" s="336"/>
      <c r="BA333" s="336"/>
      <c r="BB333" s="336"/>
      <c r="BC333" s="336"/>
      <c r="BD333" s="336"/>
      <c r="BE333" s="336"/>
      <c r="BF333" s="336"/>
    </row>
    <row r="334" spans="1:58" s="351" customFormat="1" x14ac:dyDescent="0.25">
      <c r="A334" s="336"/>
      <c r="B334" s="336"/>
      <c r="C334" s="336"/>
      <c r="D334" s="336"/>
      <c r="E334" s="336"/>
      <c r="F334" s="336"/>
      <c r="G334" s="336"/>
      <c r="H334" s="336"/>
      <c r="M334" s="352"/>
      <c r="N334" s="353"/>
      <c r="O334" s="353"/>
      <c r="T334" s="377"/>
      <c r="U334" s="352"/>
      <c r="V334" s="352"/>
      <c r="W334" s="352"/>
      <c r="X334" s="375"/>
      <c r="Y334" s="375"/>
      <c r="Z334" s="336"/>
      <c r="AA334" s="353"/>
      <c r="AB334" s="336"/>
      <c r="AC334" s="336"/>
      <c r="AD334" s="336"/>
      <c r="AE334" s="336"/>
      <c r="AF334" s="336"/>
      <c r="AG334" s="336"/>
      <c r="AH334" s="336"/>
      <c r="AI334" s="336"/>
      <c r="AJ334" s="336"/>
      <c r="AK334" s="336"/>
      <c r="AL334" s="336"/>
      <c r="AM334" s="336"/>
      <c r="AN334" s="336"/>
      <c r="AO334" s="336"/>
      <c r="AP334" s="336"/>
      <c r="AQ334" s="336"/>
      <c r="AR334" s="336"/>
      <c r="AS334" s="336"/>
      <c r="AT334" s="336"/>
      <c r="AU334" s="336"/>
      <c r="AV334" s="336"/>
      <c r="AW334" s="336"/>
      <c r="AX334" s="336"/>
      <c r="AY334" s="336"/>
      <c r="AZ334" s="336"/>
      <c r="BA334" s="336"/>
      <c r="BB334" s="336"/>
      <c r="BC334" s="336"/>
      <c r="BD334" s="336"/>
      <c r="BE334" s="336"/>
      <c r="BF334" s="336"/>
    </row>
    <row r="335" spans="1:58" s="351" customFormat="1" x14ac:dyDescent="0.25">
      <c r="A335" s="336"/>
      <c r="B335" s="336"/>
      <c r="C335" s="336"/>
      <c r="D335" s="336"/>
      <c r="E335" s="336"/>
      <c r="F335" s="336"/>
      <c r="G335" s="336"/>
      <c r="H335" s="336"/>
      <c r="M335" s="352"/>
      <c r="N335" s="353"/>
      <c r="O335" s="353"/>
      <c r="T335" s="377"/>
      <c r="U335" s="352"/>
      <c r="V335" s="352"/>
      <c r="W335" s="352"/>
      <c r="X335" s="375"/>
      <c r="Y335" s="375"/>
      <c r="Z335" s="336"/>
      <c r="AA335" s="353"/>
      <c r="AB335" s="336"/>
      <c r="AC335" s="336"/>
      <c r="AD335" s="336"/>
      <c r="AE335" s="336"/>
      <c r="AF335" s="336"/>
      <c r="AG335" s="336"/>
      <c r="AH335" s="336"/>
      <c r="AI335" s="336"/>
      <c r="AJ335" s="336"/>
      <c r="AK335" s="336"/>
      <c r="AL335" s="336"/>
      <c r="AM335" s="336"/>
      <c r="AN335" s="336"/>
      <c r="AO335" s="336"/>
      <c r="AP335" s="336"/>
      <c r="AQ335" s="336"/>
      <c r="AR335" s="336"/>
      <c r="AS335" s="336"/>
      <c r="AT335" s="336"/>
      <c r="AU335" s="336"/>
      <c r="AV335" s="336"/>
      <c r="AW335" s="336"/>
      <c r="AX335" s="336"/>
      <c r="AY335" s="336"/>
      <c r="AZ335" s="336"/>
      <c r="BA335" s="336"/>
      <c r="BB335" s="336"/>
      <c r="BC335" s="336"/>
      <c r="BD335" s="336"/>
      <c r="BE335" s="336"/>
      <c r="BF335" s="336"/>
    </row>
    <row r="336" spans="1:58" s="351" customFormat="1" x14ac:dyDescent="0.25">
      <c r="A336" s="336"/>
      <c r="B336" s="336"/>
      <c r="C336" s="336"/>
      <c r="D336" s="336"/>
      <c r="E336" s="336"/>
      <c r="F336" s="336"/>
      <c r="G336" s="336"/>
      <c r="H336" s="336"/>
      <c r="M336" s="352"/>
      <c r="N336" s="353"/>
      <c r="O336" s="353"/>
      <c r="T336" s="377"/>
      <c r="U336" s="352"/>
      <c r="V336" s="352"/>
      <c r="W336" s="352"/>
      <c r="X336" s="375"/>
      <c r="Y336" s="375"/>
      <c r="Z336" s="336"/>
      <c r="AA336" s="353"/>
      <c r="AB336" s="336"/>
      <c r="AC336" s="336"/>
      <c r="AD336" s="336"/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336"/>
      <c r="AS336" s="336"/>
      <c r="AT336" s="336"/>
      <c r="AU336" s="336"/>
      <c r="AV336" s="336"/>
      <c r="AW336" s="336"/>
      <c r="AX336" s="336"/>
      <c r="AY336" s="336"/>
      <c r="AZ336" s="336"/>
      <c r="BA336" s="336"/>
      <c r="BB336" s="336"/>
      <c r="BC336" s="336"/>
      <c r="BD336" s="336"/>
      <c r="BE336" s="336"/>
      <c r="BF336" s="336"/>
    </row>
    <row r="337" spans="1:58" s="351" customFormat="1" x14ac:dyDescent="0.25">
      <c r="A337" s="336"/>
      <c r="B337" s="336"/>
      <c r="C337" s="336"/>
      <c r="D337" s="336"/>
      <c r="E337" s="336"/>
      <c r="F337" s="336"/>
      <c r="G337" s="336"/>
      <c r="H337" s="336"/>
      <c r="M337" s="352"/>
      <c r="N337" s="353"/>
      <c r="O337" s="353"/>
      <c r="T337" s="377"/>
      <c r="U337" s="352"/>
      <c r="V337" s="352"/>
      <c r="W337" s="352"/>
      <c r="X337" s="375"/>
      <c r="Y337" s="375"/>
      <c r="Z337" s="336"/>
      <c r="AA337" s="353"/>
      <c r="AB337" s="336"/>
      <c r="AC337" s="336"/>
      <c r="AD337" s="336"/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336"/>
      <c r="AS337" s="336"/>
      <c r="AT337" s="336"/>
      <c r="AU337" s="336"/>
      <c r="AV337" s="336"/>
      <c r="AW337" s="336"/>
      <c r="AX337" s="336"/>
      <c r="AY337" s="336"/>
      <c r="AZ337" s="336"/>
      <c r="BA337" s="336"/>
      <c r="BB337" s="336"/>
      <c r="BC337" s="336"/>
      <c r="BD337" s="336"/>
      <c r="BE337" s="336"/>
      <c r="BF337" s="336"/>
    </row>
    <row r="338" spans="1:58" s="351" customFormat="1" x14ac:dyDescent="0.25">
      <c r="A338" s="336"/>
      <c r="B338" s="336"/>
      <c r="C338" s="336"/>
      <c r="D338" s="336"/>
      <c r="E338" s="336"/>
      <c r="F338" s="336"/>
      <c r="G338" s="336"/>
      <c r="H338" s="336"/>
      <c r="M338" s="352"/>
      <c r="N338" s="353"/>
      <c r="O338" s="353"/>
      <c r="T338" s="377"/>
      <c r="U338" s="352"/>
      <c r="V338" s="352"/>
      <c r="W338" s="352"/>
      <c r="X338" s="375"/>
      <c r="Y338" s="375"/>
      <c r="Z338" s="336"/>
      <c r="AA338" s="353"/>
      <c r="AB338" s="336"/>
      <c r="AC338" s="336"/>
      <c r="AD338" s="336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336"/>
      <c r="AS338" s="336"/>
      <c r="AT338" s="336"/>
      <c r="AU338" s="336"/>
      <c r="AV338" s="336"/>
      <c r="AW338" s="336"/>
      <c r="AX338" s="336"/>
      <c r="AY338" s="336"/>
      <c r="AZ338" s="336"/>
      <c r="BA338" s="336"/>
      <c r="BB338" s="336"/>
      <c r="BC338" s="336"/>
      <c r="BD338" s="336"/>
      <c r="BE338" s="336"/>
      <c r="BF338" s="336"/>
    </row>
    <row r="339" spans="1:58" s="351" customFormat="1" x14ac:dyDescent="0.25">
      <c r="A339" s="336"/>
      <c r="B339" s="336"/>
      <c r="C339" s="336"/>
      <c r="D339" s="336"/>
      <c r="E339" s="336"/>
      <c r="F339" s="336"/>
      <c r="G339" s="336"/>
      <c r="H339" s="336"/>
      <c r="M339" s="352"/>
      <c r="N339" s="353"/>
      <c r="O339" s="353"/>
      <c r="T339" s="377"/>
      <c r="U339" s="352"/>
      <c r="V339" s="352"/>
      <c r="W339" s="352"/>
      <c r="X339" s="375"/>
      <c r="Y339" s="375"/>
      <c r="Z339" s="336"/>
      <c r="AA339" s="353"/>
      <c r="AB339" s="336"/>
      <c r="AC339" s="336"/>
      <c r="AD339" s="336"/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336"/>
      <c r="AS339" s="336"/>
      <c r="AT339" s="336"/>
      <c r="AU339" s="336"/>
      <c r="AV339" s="336"/>
      <c r="AW339" s="336"/>
      <c r="AX339" s="336"/>
      <c r="AY339" s="336"/>
      <c r="AZ339" s="336"/>
      <c r="BA339" s="336"/>
      <c r="BB339" s="336"/>
      <c r="BC339" s="336"/>
      <c r="BD339" s="336"/>
      <c r="BE339" s="336"/>
      <c r="BF339" s="336"/>
    </row>
    <row r="340" spans="1:58" s="351" customFormat="1" x14ac:dyDescent="0.25">
      <c r="A340" s="336"/>
      <c r="B340" s="336"/>
      <c r="C340" s="336"/>
      <c r="D340" s="336"/>
      <c r="E340" s="336"/>
      <c r="F340" s="336"/>
      <c r="G340" s="336"/>
      <c r="H340" s="336"/>
      <c r="M340" s="352"/>
      <c r="N340" s="353"/>
      <c r="O340" s="353"/>
      <c r="T340" s="377"/>
      <c r="U340" s="352"/>
      <c r="V340" s="352"/>
      <c r="W340" s="352"/>
      <c r="X340" s="375"/>
      <c r="Y340" s="375"/>
      <c r="Z340" s="336"/>
      <c r="AA340" s="353"/>
      <c r="AB340" s="336"/>
      <c r="AC340" s="336"/>
      <c r="AD340" s="336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336"/>
      <c r="AS340" s="336"/>
      <c r="AT340" s="336"/>
      <c r="AU340" s="336"/>
      <c r="AV340" s="336"/>
      <c r="AW340" s="336"/>
      <c r="AX340" s="336"/>
      <c r="AY340" s="336"/>
      <c r="AZ340" s="336"/>
      <c r="BA340" s="336"/>
      <c r="BB340" s="336"/>
      <c r="BC340" s="336"/>
      <c r="BD340" s="336"/>
      <c r="BE340" s="336"/>
      <c r="BF340" s="336"/>
    </row>
    <row r="341" spans="1:58" s="351" customFormat="1" x14ac:dyDescent="0.25">
      <c r="A341" s="336"/>
      <c r="B341" s="336"/>
      <c r="C341" s="336"/>
      <c r="D341" s="336"/>
      <c r="E341" s="336"/>
      <c r="F341" s="336"/>
      <c r="G341" s="336"/>
      <c r="H341" s="336"/>
      <c r="M341" s="352"/>
      <c r="N341" s="353"/>
      <c r="O341" s="353"/>
      <c r="T341" s="377"/>
      <c r="U341" s="352"/>
      <c r="V341" s="352"/>
      <c r="W341" s="352"/>
      <c r="X341" s="375"/>
      <c r="Y341" s="375"/>
      <c r="Z341" s="336"/>
      <c r="AA341" s="353"/>
      <c r="AB341" s="336"/>
      <c r="AC341" s="336"/>
      <c r="AD341" s="336"/>
      <c r="AE341" s="336"/>
      <c r="AF341" s="336"/>
      <c r="AG341" s="336"/>
      <c r="AH341" s="336"/>
      <c r="AI341" s="336"/>
      <c r="AJ341" s="336"/>
      <c r="AK341" s="336"/>
      <c r="AL341" s="336"/>
      <c r="AM341" s="336"/>
      <c r="AN341" s="336"/>
      <c r="AO341" s="336"/>
      <c r="AP341" s="336"/>
      <c r="AQ341" s="336"/>
      <c r="AR341" s="336"/>
      <c r="AS341" s="336"/>
      <c r="AT341" s="336"/>
      <c r="AU341" s="336"/>
      <c r="AV341" s="336"/>
      <c r="AW341" s="336"/>
      <c r="AX341" s="336"/>
      <c r="AY341" s="336"/>
      <c r="AZ341" s="336"/>
      <c r="BA341" s="336"/>
      <c r="BB341" s="336"/>
      <c r="BC341" s="336"/>
      <c r="BD341" s="336"/>
      <c r="BE341" s="336"/>
      <c r="BF341" s="336"/>
    </row>
    <row r="342" spans="1:58" s="351" customFormat="1" x14ac:dyDescent="0.25">
      <c r="A342" s="336"/>
      <c r="B342" s="336"/>
      <c r="C342" s="336"/>
      <c r="D342" s="336"/>
      <c r="E342" s="336"/>
      <c r="F342" s="336"/>
      <c r="G342" s="336"/>
      <c r="H342" s="336"/>
      <c r="M342" s="352"/>
      <c r="N342" s="353"/>
      <c r="O342" s="353"/>
      <c r="T342" s="377"/>
      <c r="U342" s="352"/>
      <c r="V342" s="352"/>
      <c r="W342" s="352"/>
      <c r="X342" s="375"/>
      <c r="Y342" s="375"/>
      <c r="Z342" s="336"/>
      <c r="AA342" s="353"/>
      <c r="AB342" s="336"/>
      <c r="AC342" s="336"/>
      <c r="AD342" s="336"/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336"/>
      <c r="AS342" s="336"/>
      <c r="AT342" s="336"/>
      <c r="AU342" s="336"/>
      <c r="AV342" s="336"/>
      <c r="AW342" s="336"/>
      <c r="AX342" s="336"/>
      <c r="AY342" s="336"/>
      <c r="AZ342" s="336"/>
      <c r="BA342" s="336"/>
      <c r="BB342" s="336"/>
      <c r="BC342" s="336"/>
      <c r="BD342" s="336"/>
      <c r="BE342" s="336"/>
      <c r="BF342" s="336"/>
    </row>
    <row r="343" spans="1:58" s="351" customFormat="1" x14ac:dyDescent="0.25">
      <c r="A343" s="336"/>
      <c r="B343" s="336"/>
      <c r="C343" s="336"/>
      <c r="D343" s="336"/>
      <c r="E343" s="336"/>
      <c r="F343" s="336"/>
      <c r="G343" s="336"/>
      <c r="H343" s="336"/>
      <c r="M343" s="352"/>
      <c r="N343" s="353"/>
      <c r="O343" s="353"/>
      <c r="T343" s="377"/>
      <c r="U343" s="352"/>
      <c r="V343" s="352"/>
      <c r="W343" s="352"/>
      <c r="X343" s="375"/>
      <c r="Y343" s="375"/>
      <c r="Z343" s="336"/>
      <c r="AA343" s="353"/>
      <c r="AB343" s="336"/>
      <c r="AC343" s="336"/>
      <c r="AD343" s="336"/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336"/>
      <c r="AS343" s="336"/>
      <c r="AT343" s="336"/>
      <c r="AU343" s="336"/>
      <c r="AV343" s="336"/>
      <c r="AW343" s="336"/>
      <c r="AX343" s="336"/>
      <c r="AY343" s="336"/>
      <c r="AZ343" s="336"/>
      <c r="BA343" s="336"/>
      <c r="BB343" s="336"/>
      <c r="BC343" s="336"/>
      <c r="BD343" s="336"/>
      <c r="BE343" s="336"/>
      <c r="BF343" s="336"/>
    </row>
    <row r="344" spans="1:58" s="351" customFormat="1" x14ac:dyDescent="0.25">
      <c r="A344" s="336"/>
      <c r="B344" s="336"/>
      <c r="C344" s="336"/>
      <c r="D344" s="336"/>
      <c r="E344" s="336"/>
      <c r="F344" s="336"/>
      <c r="G344" s="336"/>
      <c r="H344" s="336"/>
      <c r="M344" s="352"/>
      <c r="N344" s="353"/>
      <c r="O344" s="353"/>
      <c r="T344" s="377"/>
      <c r="U344" s="352"/>
      <c r="V344" s="352"/>
      <c r="W344" s="352"/>
      <c r="X344" s="375"/>
      <c r="Y344" s="375"/>
      <c r="Z344" s="336"/>
      <c r="AA344" s="353"/>
      <c r="AB344" s="336"/>
      <c r="AC344" s="336"/>
      <c r="AD344" s="336"/>
      <c r="AE344" s="336"/>
      <c r="AF344" s="336"/>
      <c r="AG344" s="336"/>
      <c r="AH344" s="336"/>
      <c r="AI344" s="336"/>
      <c r="AJ344" s="336"/>
      <c r="AK344" s="336"/>
      <c r="AL344" s="336"/>
      <c r="AM344" s="336"/>
      <c r="AN344" s="336"/>
      <c r="AO344" s="336"/>
      <c r="AP344" s="336"/>
      <c r="AQ344" s="336"/>
      <c r="AR344" s="336"/>
      <c r="AS344" s="336"/>
      <c r="AT344" s="336"/>
      <c r="AU344" s="336"/>
      <c r="AV344" s="336"/>
      <c r="AW344" s="336"/>
      <c r="AX344" s="336"/>
      <c r="AY344" s="336"/>
      <c r="AZ344" s="336"/>
      <c r="BA344" s="336"/>
      <c r="BB344" s="336"/>
      <c r="BC344" s="336"/>
      <c r="BD344" s="336"/>
      <c r="BE344" s="336"/>
      <c r="BF344" s="336"/>
    </row>
    <row r="345" spans="1:58" s="351" customFormat="1" x14ac:dyDescent="0.25">
      <c r="A345" s="336"/>
      <c r="B345" s="336"/>
      <c r="C345" s="336"/>
      <c r="D345" s="336"/>
      <c r="E345" s="336"/>
      <c r="F345" s="336"/>
      <c r="G345" s="336"/>
      <c r="H345" s="336"/>
      <c r="M345" s="352"/>
      <c r="N345" s="353"/>
      <c r="O345" s="353"/>
      <c r="T345" s="377"/>
      <c r="U345" s="352"/>
      <c r="V345" s="352"/>
      <c r="W345" s="352"/>
      <c r="X345" s="375"/>
      <c r="Y345" s="375"/>
      <c r="Z345" s="336"/>
      <c r="AA345" s="353"/>
      <c r="AB345" s="336"/>
      <c r="AC345" s="336"/>
      <c r="AD345" s="336"/>
      <c r="AE345" s="336"/>
      <c r="AF345" s="336"/>
      <c r="AG345" s="336"/>
      <c r="AH345" s="336"/>
      <c r="AI345" s="336"/>
      <c r="AJ345" s="336"/>
      <c r="AK345" s="336"/>
      <c r="AL345" s="336"/>
      <c r="AM345" s="336"/>
      <c r="AN345" s="336"/>
      <c r="AO345" s="336"/>
      <c r="AP345" s="336"/>
      <c r="AQ345" s="336"/>
      <c r="AR345" s="336"/>
      <c r="AS345" s="336"/>
      <c r="AT345" s="336"/>
      <c r="AU345" s="336"/>
      <c r="AV345" s="336"/>
      <c r="AW345" s="336"/>
      <c r="AX345" s="336"/>
      <c r="AY345" s="336"/>
      <c r="AZ345" s="336"/>
      <c r="BA345" s="336"/>
      <c r="BB345" s="336"/>
      <c r="BC345" s="336"/>
      <c r="BD345" s="336"/>
      <c r="BE345" s="336"/>
      <c r="BF345" s="336"/>
    </row>
    <row r="346" spans="1:58" s="351" customFormat="1" x14ac:dyDescent="0.25">
      <c r="A346" s="336"/>
      <c r="B346" s="336"/>
      <c r="C346" s="336"/>
      <c r="D346" s="336"/>
      <c r="E346" s="336"/>
      <c r="F346" s="336"/>
      <c r="G346" s="336"/>
      <c r="H346" s="336"/>
      <c r="M346" s="352"/>
      <c r="N346" s="353"/>
      <c r="O346" s="353"/>
      <c r="T346" s="377"/>
      <c r="U346" s="352"/>
      <c r="V346" s="352"/>
      <c r="W346" s="352"/>
      <c r="X346" s="375"/>
      <c r="Y346" s="375"/>
      <c r="Z346" s="336"/>
      <c r="AA346" s="353"/>
      <c r="AB346" s="336"/>
      <c r="AC346" s="336"/>
      <c r="AD346" s="336"/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336"/>
      <c r="AS346" s="336"/>
      <c r="AT346" s="336"/>
      <c r="AU346" s="336"/>
      <c r="AV346" s="336"/>
      <c r="AW346" s="336"/>
      <c r="AX346" s="336"/>
      <c r="AY346" s="336"/>
      <c r="AZ346" s="336"/>
      <c r="BA346" s="336"/>
      <c r="BB346" s="336"/>
      <c r="BC346" s="336"/>
      <c r="BD346" s="336"/>
      <c r="BE346" s="336"/>
      <c r="BF346" s="336"/>
    </row>
    <row r="347" spans="1:58" s="351" customFormat="1" x14ac:dyDescent="0.25">
      <c r="A347" s="336"/>
      <c r="B347" s="336"/>
      <c r="C347" s="336"/>
      <c r="D347" s="336"/>
      <c r="E347" s="336"/>
      <c r="F347" s="336"/>
      <c r="G347" s="336"/>
      <c r="H347" s="336"/>
      <c r="M347" s="352"/>
      <c r="N347" s="353"/>
      <c r="O347" s="353"/>
      <c r="T347" s="377"/>
      <c r="U347" s="352"/>
      <c r="V347" s="352"/>
      <c r="W347" s="352"/>
      <c r="X347" s="375"/>
      <c r="Y347" s="375"/>
      <c r="Z347" s="336"/>
      <c r="AA347" s="353"/>
      <c r="AB347" s="336"/>
      <c r="AC347" s="336"/>
      <c r="AD347" s="336"/>
      <c r="AE347" s="336"/>
      <c r="AF347" s="336"/>
      <c r="AG347" s="336"/>
      <c r="AH347" s="336"/>
      <c r="AI347" s="336"/>
      <c r="AJ347" s="336"/>
      <c r="AK347" s="336"/>
      <c r="AL347" s="336"/>
      <c r="AM347" s="336"/>
      <c r="AN347" s="336"/>
      <c r="AO347" s="336"/>
      <c r="AP347" s="336"/>
      <c r="AQ347" s="336"/>
      <c r="AR347" s="336"/>
      <c r="AS347" s="336"/>
      <c r="AT347" s="336"/>
      <c r="AU347" s="336"/>
      <c r="AV347" s="336"/>
      <c r="AW347" s="336"/>
      <c r="AX347" s="336"/>
      <c r="AY347" s="336"/>
      <c r="AZ347" s="336"/>
      <c r="BA347" s="336"/>
      <c r="BB347" s="336"/>
      <c r="BC347" s="336"/>
      <c r="BD347" s="336"/>
      <c r="BE347" s="336"/>
      <c r="BF347" s="336"/>
    </row>
    <row r="348" spans="1:58" s="351" customFormat="1" x14ac:dyDescent="0.25">
      <c r="A348" s="336"/>
      <c r="B348" s="336"/>
      <c r="C348" s="336"/>
      <c r="D348" s="336"/>
      <c r="E348" s="336"/>
      <c r="F348" s="336"/>
      <c r="G348" s="336"/>
      <c r="H348" s="336"/>
      <c r="M348" s="352"/>
      <c r="N348" s="353"/>
      <c r="O348" s="353"/>
      <c r="T348" s="377"/>
      <c r="U348" s="352"/>
      <c r="V348" s="352"/>
      <c r="W348" s="352"/>
      <c r="X348" s="375"/>
      <c r="Y348" s="375"/>
      <c r="Z348" s="336"/>
      <c r="AA348" s="353"/>
      <c r="AB348" s="336"/>
      <c r="AC348" s="336"/>
      <c r="AD348" s="336"/>
      <c r="AE348" s="336"/>
      <c r="AF348" s="336"/>
      <c r="AG348" s="336"/>
      <c r="AH348" s="336"/>
      <c r="AI348" s="336"/>
      <c r="AJ348" s="336"/>
      <c r="AK348" s="336"/>
      <c r="AL348" s="336"/>
      <c r="AM348" s="336"/>
      <c r="AN348" s="336"/>
      <c r="AO348" s="336"/>
      <c r="AP348" s="336"/>
      <c r="AQ348" s="336"/>
      <c r="AR348" s="336"/>
      <c r="AS348" s="336"/>
      <c r="AT348" s="336"/>
      <c r="AU348" s="336"/>
      <c r="AV348" s="336"/>
      <c r="AW348" s="336"/>
      <c r="AX348" s="336"/>
      <c r="AY348" s="336"/>
      <c r="AZ348" s="336"/>
      <c r="BA348" s="336"/>
      <c r="BB348" s="336"/>
      <c r="BC348" s="336"/>
      <c r="BD348" s="336"/>
      <c r="BE348" s="336"/>
      <c r="BF348" s="336"/>
    </row>
    <row r="349" spans="1:58" s="351" customFormat="1" x14ac:dyDescent="0.25">
      <c r="A349" s="336"/>
      <c r="B349" s="336"/>
      <c r="C349" s="336"/>
      <c r="D349" s="336"/>
      <c r="E349" s="336"/>
      <c r="F349" s="336"/>
      <c r="G349" s="336"/>
      <c r="H349" s="336"/>
      <c r="M349" s="352"/>
      <c r="N349" s="353"/>
      <c r="O349" s="353"/>
      <c r="T349" s="377"/>
      <c r="U349" s="352"/>
      <c r="V349" s="352"/>
      <c r="W349" s="352"/>
      <c r="X349" s="375"/>
      <c r="Y349" s="375"/>
      <c r="Z349" s="336"/>
      <c r="AA349" s="353"/>
      <c r="AB349" s="336"/>
      <c r="AC349" s="336"/>
      <c r="AD349" s="336"/>
      <c r="AE349" s="336"/>
      <c r="AF349" s="336"/>
      <c r="AG349" s="336"/>
      <c r="AH349" s="336"/>
      <c r="AI349" s="336"/>
      <c r="AJ349" s="336"/>
      <c r="AK349" s="336"/>
      <c r="AL349" s="336"/>
      <c r="AM349" s="336"/>
      <c r="AN349" s="336"/>
      <c r="AO349" s="336"/>
      <c r="AP349" s="336"/>
      <c r="AQ349" s="336"/>
      <c r="AR349" s="336"/>
      <c r="AS349" s="336"/>
      <c r="AT349" s="336"/>
      <c r="AU349" s="336"/>
      <c r="AV349" s="336"/>
      <c r="AW349" s="336"/>
      <c r="AX349" s="336"/>
      <c r="AY349" s="336"/>
      <c r="AZ349" s="336"/>
      <c r="BA349" s="336"/>
      <c r="BB349" s="336"/>
      <c r="BC349" s="336"/>
      <c r="BD349" s="336"/>
      <c r="BE349" s="336"/>
      <c r="BF349" s="336"/>
    </row>
    <row r="350" spans="1:58" s="351" customFormat="1" x14ac:dyDescent="0.25">
      <c r="A350" s="336"/>
      <c r="B350" s="336"/>
      <c r="C350" s="336"/>
      <c r="D350" s="336"/>
      <c r="E350" s="336"/>
      <c r="F350" s="336"/>
      <c r="G350" s="336"/>
      <c r="H350" s="336"/>
      <c r="M350" s="352"/>
      <c r="N350" s="353"/>
      <c r="O350" s="353"/>
      <c r="T350" s="377"/>
      <c r="U350" s="352"/>
      <c r="V350" s="352"/>
      <c r="W350" s="352"/>
      <c r="X350" s="375"/>
      <c r="Y350" s="375"/>
      <c r="Z350" s="336"/>
      <c r="AA350" s="353"/>
      <c r="AB350" s="336"/>
      <c r="AC350" s="336"/>
      <c r="AD350" s="336"/>
      <c r="AE350" s="336"/>
      <c r="AF350" s="336"/>
      <c r="AG350" s="336"/>
      <c r="AH350" s="336"/>
      <c r="AI350" s="336"/>
      <c r="AJ350" s="336"/>
      <c r="AK350" s="336"/>
      <c r="AL350" s="336"/>
      <c r="AM350" s="336"/>
      <c r="AN350" s="336"/>
      <c r="AO350" s="336"/>
      <c r="AP350" s="336"/>
      <c r="AQ350" s="336"/>
      <c r="AR350" s="336"/>
      <c r="AS350" s="336"/>
      <c r="AT350" s="336"/>
      <c r="AU350" s="336"/>
      <c r="AV350" s="336"/>
      <c r="AW350" s="336"/>
      <c r="AX350" s="336"/>
      <c r="AY350" s="336"/>
      <c r="AZ350" s="336"/>
      <c r="BA350" s="336"/>
      <c r="BB350" s="336"/>
      <c r="BC350" s="336"/>
      <c r="BD350" s="336"/>
      <c r="BE350" s="336"/>
      <c r="BF350" s="336"/>
    </row>
    <row r="351" spans="1:58" s="351" customFormat="1" x14ac:dyDescent="0.25">
      <c r="A351" s="336"/>
      <c r="B351" s="336"/>
      <c r="C351" s="336"/>
      <c r="D351" s="336"/>
      <c r="E351" s="336"/>
      <c r="F351" s="336"/>
      <c r="G351" s="336"/>
      <c r="H351" s="336"/>
      <c r="M351" s="352"/>
      <c r="N351" s="353"/>
      <c r="O351" s="353"/>
      <c r="T351" s="377"/>
      <c r="U351" s="352"/>
      <c r="V351" s="352"/>
      <c r="W351" s="352"/>
      <c r="X351" s="375"/>
      <c r="Y351" s="375"/>
      <c r="Z351" s="336"/>
      <c r="AA351" s="353"/>
      <c r="AB351" s="336"/>
      <c r="AC351" s="336"/>
      <c r="AD351" s="336"/>
      <c r="AE351" s="336"/>
      <c r="AF351" s="336"/>
      <c r="AG351" s="336"/>
      <c r="AH351" s="336"/>
      <c r="AI351" s="336"/>
      <c r="AJ351" s="336"/>
      <c r="AK351" s="336"/>
      <c r="AL351" s="336"/>
      <c r="AM351" s="336"/>
      <c r="AN351" s="336"/>
      <c r="AO351" s="336"/>
      <c r="AP351" s="336"/>
      <c r="AQ351" s="336"/>
      <c r="AR351" s="336"/>
      <c r="AS351" s="336"/>
      <c r="AT351" s="336"/>
      <c r="AU351" s="336"/>
      <c r="AV351" s="336"/>
      <c r="AW351" s="336"/>
      <c r="AX351" s="336"/>
      <c r="AY351" s="336"/>
      <c r="AZ351" s="336"/>
      <c r="BA351" s="336"/>
      <c r="BB351" s="336"/>
      <c r="BC351" s="336"/>
      <c r="BD351" s="336"/>
      <c r="BE351" s="336"/>
      <c r="BF351" s="336"/>
    </row>
    <row r="352" spans="1:58" s="351" customFormat="1" x14ac:dyDescent="0.25">
      <c r="A352" s="336"/>
      <c r="B352" s="336"/>
      <c r="C352" s="336"/>
      <c r="D352" s="336"/>
      <c r="E352" s="336"/>
      <c r="F352" s="336"/>
      <c r="G352" s="336"/>
      <c r="H352" s="336"/>
      <c r="M352" s="352"/>
      <c r="N352" s="353"/>
      <c r="O352" s="353"/>
      <c r="T352" s="377"/>
      <c r="U352" s="352"/>
      <c r="V352" s="352"/>
      <c r="W352" s="352"/>
      <c r="X352" s="375"/>
      <c r="Y352" s="375"/>
      <c r="Z352" s="336"/>
      <c r="AA352" s="353"/>
      <c r="AB352" s="336"/>
      <c r="AC352" s="336"/>
      <c r="AD352" s="336"/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336"/>
      <c r="AS352" s="336"/>
      <c r="AT352" s="336"/>
      <c r="AU352" s="336"/>
      <c r="AV352" s="336"/>
      <c r="AW352" s="336"/>
      <c r="AX352" s="336"/>
      <c r="AY352" s="336"/>
      <c r="AZ352" s="336"/>
      <c r="BA352" s="336"/>
      <c r="BB352" s="336"/>
      <c r="BC352" s="336"/>
      <c r="BD352" s="336"/>
      <c r="BE352" s="336"/>
      <c r="BF352" s="336"/>
    </row>
    <row r="353" spans="1:58" s="351" customFormat="1" x14ac:dyDescent="0.25">
      <c r="A353" s="336"/>
      <c r="B353" s="336"/>
      <c r="C353" s="336"/>
      <c r="D353" s="336"/>
      <c r="E353" s="336"/>
      <c r="F353" s="336"/>
      <c r="G353" s="336"/>
      <c r="H353" s="336"/>
      <c r="M353" s="352"/>
      <c r="N353" s="353"/>
      <c r="O353" s="353"/>
      <c r="T353" s="377"/>
      <c r="U353" s="352"/>
      <c r="V353" s="352"/>
      <c r="W353" s="352"/>
      <c r="X353" s="375"/>
      <c r="Y353" s="375"/>
      <c r="Z353" s="336"/>
      <c r="AA353" s="353"/>
      <c r="AB353" s="336"/>
      <c r="AC353" s="336"/>
      <c r="AD353" s="336"/>
      <c r="AE353" s="336"/>
      <c r="AF353" s="336"/>
      <c r="AG353" s="336"/>
      <c r="AH353" s="336"/>
      <c r="AI353" s="336"/>
      <c r="AJ353" s="336"/>
      <c r="AK353" s="336"/>
      <c r="AL353" s="336"/>
      <c r="AM353" s="336"/>
      <c r="AN353" s="336"/>
      <c r="AO353" s="336"/>
      <c r="AP353" s="336"/>
      <c r="AQ353" s="336"/>
      <c r="AR353" s="336"/>
      <c r="AS353" s="336"/>
      <c r="AT353" s="336"/>
      <c r="AU353" s="336"/>
      <c r="AV353" s="336"/>
      <c r="AW353" s="336"/>
      <c r="AX353" s="336"/>
      <c r="AY353" s="336"/>
      <c r="AZ353" s="336"/>
      <c r="BA353" s="336"/>
      <c r="BB353" s="336"/>
      <c r="BC353" s="336"/>
      <c r="BD353" s="336"/>
      <c r="BE353" s="336"/>
      <c r="BF353" s="336"/>
    </row>
    <row r="354" spans="1:58" s="351" customFormat="1" x14ac:dyDescent="0.25">
      <c r="A354" s="336"/>
      <c r="B354" s="336"/>
      <c r="C354" s="336"/>
      <c r="D354" s="336"/>
      <c r="E354" s="336"/>
      <c r="F354" s="336"/>
      <c r="G354" s="336"/>
      <c r="H354" s="336"/>
      <c r="M354" s="352"/>
      <c r="N354" s="353"/>
      <c r="O354" s="353"/>
      <c r="T354" s="377"/>
      <c r="U354" s="352"/>
      <c r="V354" s="352"/>
      <c r="W354" s="352"/>
      <c r="X354" s="375"/>
      <c r="Y354" s="375"/>
      <c r="Z354" s="336"/>
      <c r="AA354" s="353"/>
      <c r="AB354" s="336"/>
      <c r="AC354" s="336"/>
      <c r="AD354" s="336"/>
      <c r="AE354" s="336"/>
      <c r="AF354" s="336"/>
      <c r="AG354" s="336"/>
      <c r="AH354" s="336"/>
      <c r="AI354" s="336"/>
      <c r="AJ354" s="336"/>
      <c r="AK354" s="336"/>
      <c r="AL354" s="336"/>
      <c r="AM354" s="336"/>
      <c r="AN354" s="336"/>
      <c r="AO354" s="336"/>
      <c r="AP354" s="336"/>
      <c r="AQ354" s="336"/>
      <c r="AR354" s="336"/>
      <c r="AS354" s="336"/>
      <c r="AT354" s="336"/>
      <c r="AU354" s="336"/>
      <c r="AV354" s="336"/>
      <c r="AW354" s="336"/>
      <c r="AX354" s="336"/>
      <c r="AY354" s="336"/>
      <c r="AZ354" s="336"/>
      <c r="BA354" s="336"/>
      <c r="BB354" s="336"/>
      <c r="BC354" s="336"/>
      <c r="BD354" s="336"/>
      <c r="BE354" s="336"/>
      <c r="BF354" s="336"/>
    </row>
    <row r="355" spans="1:58" s="351" customFormat="1" x14ac:dyDescent="0.25">
      <c r="A355" s="336"/>
      <c r="B355" s="336"/>
      <c r="C355" s="336"/>
      <c r="D355" s="336"/>
      <c r="E355" s="336"/>
      <c r="F355" s="336"/>
      <c r="G355" s="336"/>
      <c r="H355" s="336"/>
      <c r="M355" s="352"/>
      <c r="N355" s="353"/>
      <c r="O355" s="353"/>
      <c r="T355" s="377"/>
      <c r="U355" s="352"/>
      <c r="V355" s="352"/>
      <c r="W355" s="352"/>
      <c r="X355" s="375"/>
      <c r="Y355" s="375"/>
      <c r="Z355" s="336"/>
      <c r="AA355" s="353"/>
      <c r="AB355" s="336"/>
      <c r="AC355" s="336"/>
      <c r="AD355" s="336"/>
      <c r="AE355" s="336"/>
      <c r="AF355" s="336"/>
      <c r="AG355" s="336"/>
      <c r="AH355" s="336"/>
      <c r="AI355" s="336"/>
      <c r="AJ355" s="336"/>
      <c r="AK355" s="336"/>
      <c r="AL355" s="336"/>
      <c r="AM355" s="336"/>
      <c r="AN355" s="336"/>
      <c r="AO355" s="336"/>
      <c r="AP355" s="336"/>
      <c r="AQ355" s="336"/>
      <c r="AR355" s="336"/>
      <c r="AS355" s="336"/>
      <c r="AT355" s="336"/>
      <c r="AU355" s="336"/>
      <c r="AV355" s="336"/>
      <c r="AW355" s="336"/>
      <c r="AX355" s="336"/>
      <c r="AY355" s="336"/>
      <c r="AZ355" s="336"/>
      <c r="BA355" s="336"/>
      <c r="BB355" s="336"/>
      <c r="BC355" s="336"/>
      <c r="BD355" s="336"/>
      <c r="BE355" s="336"/>
      <c r="BF355" s="336"/>
    </row>
    <row r="356" spans="1:58" s="351" customFormat="1" x14ac:dyDescent="0.25">
      <c r="A356" s="336"/>
      <c r="B356" s="336"/>
      <c r="C356" s="336"/>
      <c r="D356" s="336"/>
      <c r="E356" s="336"/>
      <c r="F356" s="336"/>
      <c r="G356" s="336"/>
      <c r="H356" s="336"/>
      <c r="M356" s="352"/>
      <c r="N356" s="353"/>
      <c r="O356" s="353"/>
      <c r="T356" s="377"/>
      <c r="U356" s="352"/>
      <c r="V356" s="352"/>
      <c r="W356" s="352"/>
      <c r="X356" s="375"/>
      <c r="Y356" s="375"/>
      <c r="Z356" s="336"/>
      <c r="AA356" s="353"/>
      <c r="AB356" s="336"/>
      <c r="AC356" s="336"/>
      <c r="AD356" s="336"/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336"/>
      <c r="AS356" s="336"/>
      <c r="AT356" s="336"/>
      <c r="AU356" s="336"/>
      <c r="AV356" s="336"/>
      <c r="AW356" s="336"/>
      <c r="AX356" s="336"/>
      <c r="AY356" s="336"/>
      <c r="AZ356" s="336"/>
      <c r="BA356" s="336"/>
      <c r="BB356" s="336"/>
      <c r="BC356" s="336"/>
      <c r="BD356" s="336"/>
      <c r="BE356" s="336"/>
      <c r="BF356" s="336"/>
    </row>
    <row r="357" spans="1:58" s="351" customFormat="1" x14ac:dyDescent="0.25">
      <c r="A357" s="336"/>
      <c r="B357" s="336"/>
      <c r="C357" s="336"/>
      <c r="D357" s="336"/>
      <c r="E357" s="336"/>
      <c r="F357" s="336"/>
      <c r="G357" s="336"/>
      <c r="H357" s="336"/>
      <c r="M357" s="352"/>
      <c r="N357" s="353"/>
      <c r="O357" s="353"/>
      <c r="T357" s="377"/>
      <c r="U357" s="352"/>
      <c r="V357" s="352"/>
      <c r="W357" s="352"/>
      <c r="X357" s="375"/>
      <c r="Y357" s="375"/>
      <c r="Z357" s="336"/>
      <c r="AA357" s="353"/>
      <c r="AB357" s="336"/>
      <c r="AC357" s="336"/>
      <c r="AD357" s="336"/>
      <c r="AE357" s="336"/>
      <c r="AF357" s="336"/>
      <c r="AG357" s="336"/>
      <c r="AH357" s="336"/>
      <c r="AI357" s="336"/>
      <c r="AJ357" s="336"/>
      <c r="AK357" s="336"/>
      <c r="AL357" s="336"/>
      <c r="AM357" s="336"/>
      <c r="AN357" s="336"/>
      <c r="AO357" s="336"/>
      <c r="AP357" s="336"/>
      <c r="AQ357" s="336"/>
      <c r="AR357" s="336"/>
      <c r="AS357" s="336"/>
      <c r="AT357" s="336"/>
      <c r="AU357" s="336"/>
      <c r="AV357" s="336"/>
      <c r="AW357" s="336"/>
      <c r="AX357" s="336"/>
      <c r="AY357" s="336"/>
      <c r="AZ357" s="336"/>
      <c r="BA357" s="336"/>
      <c r="BB357" s="336"/>
      <c r="BC357" s="336"/>
      <c r="BD357" s="336"/>
      <c r="BE357" s="336"/>
      <c r="BF357" s="336"/>
    </row>
    <row r="358" spans="1:58" s="351" customFormat="1" x14ac:dyDescent="0.25">
      <c r="A358" s="336"/>
      <c r="B358" s="336"/>
      <c r="C358" s="336"/>
      <c r="D358" s="336"/>
      <c r="E358" s="336"/>
      <c r="F358" s="336"/>
      <c r="G358" s="336"/>
      <c r="H358" s="336"/>
      <c r="M358" s="352"/>
      <c r="N358" s="353"/>
      <c r="O358" s="353"/>
      <c r="T358" s="377"/>
      <c r="U358" s="352"/>
      <c r="V358" s="352"/>
      <c r="W358" s="352"/>
      <c r="X358" s="375"/>
      <c r="Y358" s="375"/>
      <c r="Z358" s="336"/>
      <c r="AA358" s="353"/>
      <c r="AB358" s="336"/>
      <c r="AC358" s="336"/>
      <c r="AD358" s="336"/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336"/>
      <c r="AS358" s="336"/>
      <c r="AT358" s="336"/>
      <c r="AU358" s="336"/>
      <c r="AV358" s="336"/>
      <c r="AW358" s="336"/>
      <c r="AX358" s="336"/>
      <c r="AY358" s="336"/>
      <c r="AZ358" s="336"/>
      <c r="BA358" s="336"/>
      <c r="BB358" s="336"/>
      <c r="BC358" s="336"/>
      <c r="BD358" s="336"/>
      <c r="BE358" s="336"/>
      <c r="BF358" s="336"/>
    </row>
    <row r="359" spans="1:58" s="351" customFormat="1" x14ac:dyDescent="0.25">
      <c r="A359" s="336"/>
      <c r="B359" s="336"/>
      <c r="C359" s="336"/>
      <c r="D359" s="336"/>
      <c r="E359" s="336"/>
      <c r="F359" s="336"/>
      <c r="G359" s="336"/>
      <c r="H359" s="336"/>
      <c r="M359" s="352"/>
      <c r="N359" s="353"/>
      <c r="O359" s="353"/>
      <c r="T359" s="377"/>
      <c r="U359" s="352"/>
      <c r="V359" s="352"/>
      <c r="W359" s="352"/>
      <c r="X359" s="375"/>
      <c r="Y359" s="375"/>
      <c r="Z359" s="336"/>
      <c r="AA359" s="353"/>
      <c r="AB359" s="336"/>
      <c r="AC359" s="336"/>
      <c r="AD359" s="336"/>
      <c r="AE359" s="336"/>
      <c r="AF359" s="336"/>
      <c r="AG359" s="336"/>
      <c r="AH359" s="336"/>
      <c r="AI359" s="336"/>
      <c r="AJ359" s="336"/>
      <c r="AK359" s="336"/>
      <c r="AL359" s="336"/>
      <c r="AM359" s="336"/>
      <c r="AN359" s="336"/>
      <c r="AO359" s="336"/>
      <c r="AP359" s="336"/>
      <c r="AQ359" s="336"/>
      <c r="AR359" s="336"/>
      <c r="AS359" s="336"/>
      <c r="AT359" s="336"/>
      <c r="AU359" s="336"/>
      <c r="AV359" s="336"/>
      <c r="AW359" s="336"/>
      <c r="AX359" s="336"/>
      <c r="AY359" s="336"/>
      <c r="AZ359" s="336"/>
      <c r="BA359" s="336"/>
      <c r="BB359" s="336"/>
      <c r="BC359" s="336"/>
      <c r="BD359" s="336"/>
      <c r="BE359" s="336"/>
      <c r="BF359" s="336"/>
    </row>
    <row r="360" spans="1:58" s="351" customFormat="1" x14ac:dyDescent="0.25">
      <c r="A360" s="336"/>
      <c r="B360" s="336"/>
      <c r="C360" s="336"/>
      <c r="D360" s="336"/>
      <c r="E360" s="336"/>
      <c r="F360" s="336"/>
      <c r="G360" s="336"/>
      <c r="H360" s="336"/>
      <c r="M360" s="352"/>
      <c r="N360" s="353"/>
      <c r="O360" s="353"/>
      <c r="T360" s="377"/>
      <c r="U360" s="352"/>
      <c r="V360" s="352"/>
      <c r="W360" s="352"/>
      <c r="X360" s="375"/>
      <c r="Y360" s="375"/>
      <c r="Z360" s="336"/>
      <c r="AA360" s="353"/>
      <c r="AB360" s="336"/>
      <c r="AC360" s="336"/>
      <c r="AD360" s="336"/>
      <c r="AE360" s="336"/>
      <c r="AF360" s="336"/>
      <c r="AG360" s="336"/>
      <c r="AH360" s="336"/>
      <c r="AI360" s="336"/>
      <c r="AJ360" s="336"/>
      <c r="AK360" s="336"/>
      <c r="AL360" s="336"/>
      <c r="AM360" s="336"/>
      <c r="AN360" s="336"/>
      <c r="AO360" s="336"/>
      <c r="AP360" s="336"/>
      <c r="AQ360" s="336"/>
      <c r="AR360" s="336"/>
      <c r="AS360" s="336"/>
      <c r="AT360" s="336"/>
      <c r="AU360" s="336"/>
      <c r="AV360" s="336"/>
      <c r="AW360" s="336"/>
      <c r="AX360" s="336"/>
      <c r="AY360" s="336"/>
      <c r="AZ360" s="336"/>
      <c r="BA360" s="336"/>
      <c r="BB360" s="336"/>
      <c r="BC360" s="336"/>
      <c r="BD360" s="336"/>
      <c r="BE360" s="336"/>
      <c r="BF360" s="336"/>
    </row>
    <row r="361" spans="1:58" s="351" customFormat="1" x14ac:dyDescent="0.25">
      <c r="A361" s="336"/>
      <c r="B361" s="336"/>
      <c r="C361" s="336"/>
      <c r="D361" s="336"/>
      <c r="E361" s="336"/>
      <c r="F361" s="336"/>
      <c r="G361" s="336"/>
      <c r="H361" s="336"/>
      <c r="M361" s="352"/>
      <c r="N361" s="353"/>
      <c r="O361" s="353"/>
      <c r="T361" s="377"/>
      <c r="U361" s="352"/>
      <c r="V361" s="352"/>
      <c r="W361" s="352"/>
      <c r="X361" s="375"/>
      <c r="Y361" s="375"/>
      <c r="Z361" s="336"/>
      <c r="AA361" s="353"/>
      <c r="AB361" s="336"/>
      <c r="AC361" s="336"/>
      <c r="AD361" s="336"/>
      <c r="AE361" s="336"/>
      <c r="AF361" s="336"/>
      <c r="AG361" s="336"/>
      <c r="AH361" s="336"/>
      <c r="AI361" s="336"/>
      <c r="AJ361" s="336"/>
      <c r="AK361" s="336"/>
      <c r="AL361" s="336"/>
      <c r="AM361" s="336"/>
      <c r="AN361" s="336"/>
      <c r="AO361" s="336"/>
      <c r="AP361" s="336"/>
      <c r="AQ361" s="336"/>
      <c r="AR361" s="336"/>
      <c r="AS361" s="336"/>
      <c r="AT361" s="336"/>
      <c r="AU361" s="336"/>
      <c r="AV361" s="336"/>
      <c r="AW361" s="336"/>
      <c r="AX361" s="336"/>
      <c r="AY361" s="336"/>
      <c r="AZ361" s="336"/>
      <c r="BA361" s="336"/>
      <c r="BB361" s="336"/>
      <c r="BC361" s="336"/>
      <c r="BD361" s="336"/>
      <c r="BE361" s="336"/>
      <c r="BF361" s="336"/>
    </row>
    <row r="362" spans="1:58" s="351" customFormat="1" x14ac:dyDescent="0.25">
      <c r="A362" s="336"/>
      <c r="B362" s="336"/>
      <c r="C362" s="336"/>
      <c r="D362" s="336"/>
      <c r="E362" s="336"/>
      <c r="F362" s="336"/>
      <c r="G362" s="336"/>
      <c r="H362" s="336"/>
      <c r="M362" s="352"/>
      <c r="N362" s="353"/>
      <c r="O362" s="353"/>
      <c r="T362" s="377"/>
      <c r="U362" s="352"/>
      <c r="V362" s="352"/>
      <c r="W362" s="352"/>
      <c r="X362" s="375"/>
      <c r="Y362" s="375"/>
      <c r="Z362" s="336"/>
      <c r="AA362" s="353"/>
      <c r="AB362" s="336"/>
      <c r="AC362" s="336"/>
      <c r="AD362" s="336"/>
      <c r="AE362" s="336"/>
      <c r="AF362" s="336"/>
      <c r="AG362" s="336"/>
      <c r="AH362" s="336"/>
      <c r="AI362" s="336"/>
      <c r="AJ362" s="336"/>
      <c r="AK362" s="336"/>
      <c r="AL362" s="336"/>
      <c r="AM362" s="336"/>
      <c r="AN362" s="336"/>
      <c r="AO362" s="336"/>
      <c r="AP362" s="336"/>
      <c r="AQ362" s="336"/>
      <c r="AR362" s="336"/>
      <c r="AS362" s="336"/>
      <c r="AT362" s="336"/>
      <c r="AU362" s="336"/>
      <c r="AV362" s="336"/>
      <c r="AW362" s="336"/>
      <c r="AX362" s="336"/>
      <c r="AY362" s="336"/>
      <c r="AZ362" s="336"/>
      <c r="BA362" s="336"/>
      <c r="BB362" s="336"/>
      <c r="BC362" s="336"/>
      <c r="BD362" s="336"/>
      <c r="BE362" s="336"/>
      <c r="BF362" s="336"/>
    </row>
    <row r="363" spans="1:58" s="351" customFormat="1" x14ac:dyDescent="0.25">
      <c r="A363" s="336"/>
      <c r="B363" s="336"/>
      <c r="C363" s="336"/>
      <c r="D363" s="336"/>
      <c r="E363" s="336"/>
      <c r="F363" s="336"/>
      <c r="G363" s="336"/>
      <c r="H363" s="336"/>
      <c r="M363" s="352"/>
      <c r="N363" s="353"/>
      <c r="O363" s="353"/>
      <c r="T363" s="377"/>
      <c r="U363" s="352"/>
      <c r="V363" s="352"/>
      <c r="W363" s="352"/>
      <c r="X363" s="375"/>
      <c r="Y363" s="375"/>
      <c r="Z363" s="336"/>
      <c r="AA363" s="353"/>
      <c r="AB363" s="336"/>
      <c r="AC363" s="336"/>
      <c r="AD363" s="336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336"/>
      <c r="AS363" s="336"/>
      <c r="AT363" s="336"/>
      <c r="AU363" s="336"/>
      <c r="AV363" s="336"/>
      <c r="AW363" s="336"/>
      <c r="AX363" s="336"/>
      <c r="AY363" s="336"/>
      <c r="AZ363" s="336"/>
      <c r="BA363" s="336"/>
      <c r="BB363" s="336"/>
      <c r="BC363" s="336"/>
      <c r="BD363" s="336"/>
      <c r="BE363" s="336"/>
      <c r="BF363" s="336"/>
    </row>
    <row r="364" spans="1:58" s="351" customFormat="1" x14ac:dyDescent="0.25">
      <c r="A364" s="336"/>
      <c r="B364" s="336"/>
      <c r="C364" s="336"/>
      <c r="D364" s="336"/>
      <c r="E364" s="336"/>
      <c r="F364" s="336"/>
      <c r="G364" s="336"/>
      <c r="H364" s="336"/>
      <c r="M364" s="352"/>
      <c r="N364" s="353"/>
      <c r="O364" s="353"/>
      <c r="T364" s="377"/>
      <c r="U364" s="352"/>
      <c r="V364" s="352"/>
      <c r="W364" s="352"/>
      <c r="X364" s="375"/>
      <c r="Y364" s="375"/>
      <c r="Z364" s="336"/>
      <c r="AA364" s="353"/>
      <c r="AB364" s="336"/>
      <c r="AC364" s="336"/>
      <c r="AD364" s="336"/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336"/>
      <c r="AS364" s="336"/>
      <c r="AT364" s="336"/>
      <c r="AU364" s="336"/>
      <c r="AV364" s="336"/>
      <c r="AW364" s="336"/>
      <c r="AX364" s="336"/>
      <c r="AY364" s="336"/>
      <c r="AZ364" s="336"/>
      <c r="BA364" s="336"/>
      <c r="BB364" s="336"/>
      <c r="BC364" s="336"/>
      <c r="BD364" s="336"/>
      <c r="BE364" s="336"/>
      <c r="BF364" s="336"/>
    </row>
    <row r="365" spans="1:58" s="351" customFormat="1" x14ac:dyDescent="0.25">
      <c r="A365" s="336"/>
      <c r="B365" s="336"/>
      <c r="C365" s="336"/>
      <c r="D365" s="336"/>
      <c r="E365" s="336"/>
      <c r="F365" s="336"/>
      <c r="G365" s="336"/>
      <c r="H365" s="336"/>
      <c r="M365" s="352"/>
      <c r="N365" s="353"/>
      <c r="O365" s="353"/>
      <c r="T365" s="377"/>
      <c r="U365" s="352"/>
      <c r="V365" s="352"/>
      <c r="W365" s="352"/>
      <c r="X365" s="375"/>
      <c r="Y365" s="375"/>
      <c r="Z365" s="336"/>
      <c r="AA365" s="353"/>
      <c r="AB365" s="336"/>
      <c r="AC365" s="336"/>
      <c r="AD365" s="336"/>
      <c r="AE365" s="336"/>
      <c r="AF365" s="336"/>
      <c r="AG365" s="336"/>
      <c r="AH365" s="336"/>
      <c r="AI365" s="336"/>
      <c r="AJ365" s="336"/>
      <c r="AK365" s="336"/>
      <c r="AL365" s="336"/>
      <c r="AM365" s="336"/>
      <c r="AN365" s="336"/>
      <c r="AO365" s="336"/>
      <c r="AP365" s="336"/>
      <c r="AQ365" s="336"/>
      <c r="AR365" s="336"/>
      <c r="AS365" s="336"/>
      <c r="AT365" s="336"/>
      <c r="AU365" s="336"/>
      <c r="AV365" s="336"/>
      <c r="AW365" s="336"/>
      <c r="AX365" s="336"/>
      <c r="AY365" s="336"/>
      <c r="AZ365" s="336"/>
      <c r="BA365" s="336"/>
      <c r="BB365" s="336"/>
      <c r="BC365" s="336"/>
      <c r="BD365" s="336"/>
      <c r="BE365" s="336"/>
      <c r="BF365" s="336"/>
    </row>
    <row r="366" spans="1:58" s="351" customFormat="1" x14ac:dyDescent="0.25">
      <c r="A366" s="336"/>
      <c r="B366" s="336"/>
      <c r="C366" s="336"/>
      <c r="D366" s="336"/>
      <c r="E366" s="336"/>
      <c r="F366" s="336"/>
      <c r="G366" s="336"/>
      <c r="H366" s="336"/>
      <c r="M366" s="352"/>
      <c r="N366" s="353"/>
      <c r="O366" s="353"/>
      <c r="T366" s="377"/>
      <c r="U366" s="352"/>
      <c r="V366" s="352"/>
      <c r="W366" s="352"/>
      <c r="X366" s="375"/>
      <c r="Y366" s="375"/>
      <c r="Z366" s="336"/>
      <c r="AA366" s="353"/>
      <c r="AB366" s="336"/>
      <c r="AC366" s="336"/>
      <c r="AD366" s="336"/>
      <c r="AE366" s="336"/>
      <c r="AF366" s="336"/>
      <c r="AG366" s="336"/>
      <c r="AH366" s="336"/>
      <c r="AI366" s="336"/>
      <c r="AJ366" s="336"/>
      <c r="AK366" s="336"/>
      <c r="AL366" s="336"/>
      <c r="AM366" s="336"/>
      <c r="AN366" s="336"/>
      <c r="AO366" s="336"/>
      <c r="AP366" s="336"/>
      <c r="AQ366" s="336"/>
      <c r="AR366" s="336"/>
      <c r="AS366" s="336"/>
      <c r="AT366" s="336"/>
      <c r="AU366" s="336"/>
      <c r="AV366" s="336"/>
      <c r="AW366" s="336"/>
      <c r="AX366" s="336"/>
      <c r="AY366" s="336"/>
      <c r="AZ366" s="336"/>
      <c r="BA366" s="336"/>
      <c r="BB366" s="336"/>
      <c r="BC366" s="336"/>
      <c r="BD366" s="336"/>
      <c r="BE366" s="336"/>
      <c r="BF366" s="336"/>
    </row>
    <row r="367" spans="1:58" s="351" customFormat="1" x14ac:dyDescent="0.25">
      <c r="A367" s="336"/>
      <c r="B367" s="336"/>
      <c r="C367" s="336"/>
      <c r="D367" s="336"/>
      <c r="E367" s="336"/>
      <c r="F367" s="336"/>
      <c r="G367" s="336"/>
      <c r="H367" s="336"/>
      <c r="M367" s="352"/>
      <c r="N367" s="353"/>
      <c r="O367" s="353"/>
      <c r="T367" s="377"/>
      <c r="U367" s="352"/>
      <c r="V367" s="352"/>
      <c r="W367" s="352"/>
      <c r="X367" s="375"/>
      <c r="Y367" s="375"/>
      <c r="Z367" s="336"/>
      <c r="AA367" s="353"/>
      <c r="AB367" s="336"/>
      <c r="AC367" s="336"/>
      <c r="AD367" s="336"/>
      <c r="AE367" s="336"/>
      <c r="AF367" s="336"/>
      <c r="AG367" s="336"/>
      <c r="AH367" s="336"/>
      <c r="AI367" s="336"/>
      <c r="AJ367" s="336"/>
      <c r="AK367" s="336"/>
      <c r="AL367" s="336"/>
      <c r="AM367" s="336"/>
      <c r="AN367" s="336"/>
      <c r="AO367" s="336"/>
      <c r="AP367" s="336"/>
      <c r="AQ367" s="336"/>
      <c r="AR367" s="336"/>
      <c r="AS367" s="336"/>
      <c r="AT367" s="336"/>
      <c r="AU367" s="336"/>
      <c r="AV367" s="336"/>
      <c r="AW367" s="336"/>
      <c r="AX367" s="336"/>
      <c r="AY367" s="336"/>
      <c r="AZ367" s="336"/>
      <c r="BA367" s="336"/>
      <c r="BB367" s="336"/>
      <c r="BC367" s="336"/>
      <c r="BD367" s="336"/>
      <c r="BE367" s="336"/>
      <c r="BF367" s="336"/>
    </row>
    <row r="368" spans="1:58" s="351" customFormat="1" x14ac:dyDescent="0.25">
      <c r="A368" s="336"/>
      <c r="B368" s="336"/>
      <c r="C368" s="336"/>
      <c r="D368" s="336"/>
      <c r="E368" s="336"/>
      <c r="F368" s="336"/>
      <c r="G368" s="336"/>
      <c r="H368" s="336"/>
      <c r="M368" s="352"/>
      <c r="N368" s="353"/>
      <c r="O368" s="353"/>
      <c r="T368" s="377"/>
      <c r="U368" s="352"/>
      <c r="V368" s="352"/>
      <c r="W368" s="352"/>
      <c r="X368" s="375"/>
      <c r="Y368" s="375"/>
      <c r="Z368" s="336"/>
      <c r="AA368" s="353"/>
      <c r="AB368" s="336"/>
      <c r="AC368" s="336"/>
      <c r="AD368" s="336"/>
      <c r="AE368" s="336"/>
      <c r="AF368" s="336"/>
      <c r="AG368" s="336"/>
      <c r="AH368" s="336"/>
      <c r="AI368" s="336"/>
      <c r="AJ368" s="336"/>
      <c r="AK368" s="336"/>
      <c r="AL368" s="336"/>
      <c r="AM368" s="336"/>
      <c r="AN368" s="336"/>
      <c r="AO368" s="336"/>
      <c r="AP368" s="336"/>
      <c r="AQ368" s="336"/>
      <c r="AR368" s="336"/>
      <c r="AS368" s="336"/>
      <c r="AT368" s="336"/>
      <c r="AU368" s="336"/>
      <c r="AV368" s="336"/>
      <c r="AW368" s="336"/>
      <c r="AX368" s="336"/>
      <c r="AY368" s="336"/>
      <c r="AZ368" s="336"/>
      <c r="BA368" s="336"/>
      <c r="BB368" s="336"/>
      <c r="BC368" s="336"/>
      <c r="BD368" s="336"/>
      <c r="BE368" s="336"/>
      <c r="BF368" s="336"/>
    </row>
    <row r="369" spans="1:58" s="351" customFormat="1" x14ac:dyDescent="0.25">
      <c r="A369" s="336"/>
      <c r="B369" s="336"/>
      <c r="C369" s="336"/>
      <c r="D369" s="336"/>
      <c r="E369" s="336"/>
      <c r="F369" s="336"/>
      <c r="G369" s="336"/>
      <c r="H369" s="336"/>
      <c r="M369" s="352"/>
      <c r="N369" s="353"/>
      <c r="O369" s="353"/>
      <c r="T369" s="377"/>
      <c r="U369" s="352"/>
      <c r="V369" s="352"/>
      <c r="W369" s="352"/>
      <c r="X369" s="375"/>
      <c r="Y369" s="375"/>
      <c r="Z369" s="336"/>
      <c r="AA369" s="353"/>
      <c r="AB369" s="336"/>
      <c r="AC369" s="336"/>
      <c r="AD369" s="336"/>
      <c r="AE369" s="336"/>
      <c r="AF369" s="336"/>
      <c r="AG369" s="336"/>
      <c r="AH369" s="336"/>
      <c r="AI369" s="336"/>
      <c r="AJ369" s="336"/>
      <c r="AK369" s="336"/>
      <c r="AL369" s="336"/>
      <c r="AM369" s="336"/>
      <c r="AN369" s="336"/>
      <c r="AO369" s="336"/>
      <c r="AP369" s="336"/>
      <c r="AQ369" s="336"/>
      <c r="AR369" s="336"/>
      <c r="AS369" s="336"/>
      <c r="AT369" s="336"/>
      <c r="AU369" s="336"/>
      <c r="AV369" s="336"/>
      <c r="AW369" s="336"/>
      <c r="AX369" s="336"/>
      <c r="AY369" s="336"/>
      <c r="AZ369" s="336"/>
      <c r="BA369" s="336"/>
      <c r="BB369" s="336"/>
      <c r="BC369" s="336"/>
      <c r="BD369" s="336"/>
      <c r="BE369" s="336"/>
      <c r="BF369" s="336"/>
    </row>
    <row r="370" spans="1:58" s="351" customFormat="1" x14ac:dyDescent="0.25">
      <c r="A370" s="336"/>
      <c r="B370" s="336"/>
      <c r="C370" s="336"/>
      <c r="D370" s="336"/>
      <c r="E370" s="336"/>
      <c r="F370" s="336"/>
      <c r="G370" s="336"/>
      <c r="H370" s="336"/>
      <c r="M370" s="352"/>
      <c r="N370" s="353"/>
      <c r="O370" s="353"/>
      <c r="T370" s="377"/>
      <c r="U370" s="352"/>
      <c r="V370" s="352"/>
      <c r="W370" s="352"/>
      <c r="X370" s="375"/>
      <c r="Y370" s="375"/>
      <c r="Z370" s="336"/>
      <c r="AA370" s="353"/>
      <c r="AB370" s="336"/>
      <c r="AC370" s="336"/>
      <c r="AD370" s="336"/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336"/>
      <c r="AS370" s="336"/>
      <c r="AT370" s="336"/>
      <c r="AU370" s="336"/>
      <c r="AV370" s="336"/>
      <c r="AW370" s="336"/>
      <c r="AX370" s="336"/>
      <c r="AY370" s="336"/>
      <c r="AZ370" s="336"/>
      <c r="BA370" s="336"/>
      <c r="BB370" s="336"/>
      <c r="BC370" s="336"/>
      <c r="BD370" s="336"/>
      <c r="BE370" s="336"/>
      <c r="BF370" s="336"/>
    </row>
    <row r="371" spans="1:58" s="351" customFormat="1" x14ac:dyDescent="0.25">
      <c r="A371" s="336"/>
      <c r="B371" s="336"/>
      <c r="C371" s="336"/>
      <c r="D371" s="336"/>
      <c r="E371" s="336"/>
      <c r="F371" s="336"/>
      <c r="G371" s="336"/>
      <c r="H371" s="336"/>
      <c r="M371" s="352"/>
      <c r="N371" s="353"/>
      <c r="O371" s="353"/>
      <c r="T371" s="377"/>
      <c r="U371" s="352"/>
      <c r="V371" s="352"/>
      <c r="W371" s="352"/>
      <c r="X371" s="375"/>
      <c r="Y371" s="375"/>
      <c r="Z371" s="336"/>
      <c r="AA371" s="353"/>
      <c r="AB371" s="336"/>
      <c r="AC371" s="336"/>
      <c r="AD371" s="336"/>
      <c r="AE371" s="336"/>
      <c r="AF371" s="336"/>
      <c r="AG371" s="336"/>
      <c r="AH371" s="336"/>
      <c r="AI371" s="336"/>
      <c r="AJ371" s="336"/>
      <c r="AK371" s="336"/>
      <c r="AL371" s="336"/>
      <c r="AM371" s="336"/>
      <c r="AN371" s="336"/>
      <c r="AO371" s="336"/>
      <c r="AP371" s="336"/>
      <c r="AQ371" s="336"/>
      <c r="AR371" s="336"/>
      <c r="AS371" s="336"/>
      <c r="AT371" s="336"/>
      <c r="AU371" s="336"/>
      <c r="AV371" s="336"/>
      <c r="AW371" s="336"/>
      <c r="AX371" s="336"/>
      <c r="AY371" s="336"/>
      <c r="AZ371" s="336"/>
      <c r="BA371" s="336"/>
      <c r="BB371" s="336"/>
      <c r="BC371" s="336"/>
      <c r="BD371" s="336"/>
      <c r="BE371" s="336"/>
      <c r="BF371" s="336"/>
    </row>
    <row r="372" spans="1:58" s="351" customFormat="1" x14ac:dyDescent="0.25">
      <c r="A372" s="336"/>
      <c r="B372" s="336"/>
      <c r="C372" s="336"/>
      <c r="D372" s="336"/>
      <c r="E372" s="336"/>
      <c r="F372" s="336"/>
      <c r="G372" s="336"/>
      <c r="H372" s="336"/>
      <c r="M372" s="352"/>
      <c r="N372" s="353"/>
      <c r="O372" s="353"/>
      <c r="T372" s="377"/>
      <c r="U372" s="352"/>
      <c r="V372" s="352"/>
      <c r="W372" s="352"/>
      <c r="X372" s="375"/>
      <c r="Y372" s="375"/>
      <c r="Z372" s="336"/>
      <c r="AA372" s="353"/>
      <c r="AB372" s="336"/>
      <c r="AC372" s="336"/>
      <c r="AD372" s="336"/>
      <c r="AE372" s="336"/>
      <c r="AF372" s="336"/>
      <c r="AG372" s="336"/>
      <c r="AH372" s="336"/>
      <c r="AI372" s="336"/>
      <c r="AJ372" s="336"/>
      <c r="AK372" s="336"/>
      <c r="AL372" s="336"/>
      <c r="AM372" s="336"/>
      <c r="AN372" s="336"/>
      <c r="AO372" s="336"/>
      <c r="AP372" s="336"/>
      <c r="AQ372" s="336"/>
      <c r="AR372" s="336"/>
      <c r="AS372" s="336"/>
      <c r="AT372" s="336"/>
      <c r="AU372" s="336"/>
      <c r="AV372" s="336"/>
      <c r="AW372" s="336"/>
      <c r="AX372" s="336"/>
      <c r="AY372" s="336"/>
      <c r="AZ372" s="336"/>
      <c r="BA372" s="336"/>
      <c r="BB372" s="336"/>
      <c r="BC372" s="336"/>
      <c r="BD372" s="336"/>
      <c r="BE372" s="336"/>
      <c r="BF372" s="336"/>
    </row>
    <row r="373" spans="1:58" s="351" customFormat="1" x14ac:dyDescent="0.25">
      <c r="A373" s="336"/>
      <c r="B373" s="336"/>
      <c r="C373" s="336"/>
      <c r="D373" s="336"/>
      <c r="E373" s="336"/>
      <c r="F373" s="336"/>
      <c r="G373" s="336"/>
      <c r="H373" s="336"/>
      <c r="M373" s="352"/>
      <c r="N373" s="353"/>
      <c r="O373" s="353"/>
      <c r="T373" s="377"/>
      <c r="U373" s="352"/>
      <c r="V373" s="352"/>
      <c r="W373" s="352"/>
      <c r="X373" s="375"/>
      <c r="Y373" s="375"/>
      <c r="Z373" s="336"/>
      <c r="AA373" s="353"/>
      <c r="AB373" s="336"/>
      <c r="AC373" s="336"/>
      <c r="AD373" s="336"/>
      <c r="AE373" s="336"/>
      <c r="AF373" s="336"/>
      <c r="AG373" s="336"/>
      <c r="AH373" s="336"/>
      <c r="AI373" s="336"/>
      <c r="AJ373" s="336"/>
      <c r="AK373" s="336"/>
      <c r="AL373" s="336"/>
      <c r="AM373" s="336"/>
      <c r="AN373" s="336"/>
      <c r="AO373" s="336"/>
      <c r="AP373" s="336"/>
      <c r="AQ373" s="336"/>
      <c r="AR373" s="336"/>
      <c r="AS373" s="336"/>
      <c r="AT373" s="336"/>
      <c r="AU373" s="336"/>
      <c r="AV373" s="336"/>
      <c r="AW373" s="336"/>
      <c r="AX373" s="336"/>
      <c r="AY373" s="336"/>
      <c r="AZ373" s="336"/>
      <c r="BA373" s="336"/>
      <c r="BB373" s="336"/>
      <c r="BC373" s="336"/>
      <c r="BD373" s="336"/>
      <c r="BE373" s="336"/>
      <c r="BF373" s="336"/>
    </row>
    <row r="374" spans="1:58" s="351" customFormat="1" x14ac:dyDescent="0.25">
      <c r="A374" s="336"/>
      <c r="B374" s="336"/>
      <c r="C374" s="336"/>
      <c r="D374" s="336"/>
      <c r="E374" s="336"/>
      <c r="F374" s="336"/>
      <c r="G374" s="336"/>
      <c r="H374" s="336"/>
      <c r="M374" s="352"/>
      <c r="N374" s="353"/>
      <c r="O374" s="353"/>
      <c r="T374" s="377"/>
      <c r="U374" s="352"/>
      <c r="V374" s="352"/>
      <c r="W374" s="352"/>
      <c r="X374" s="375"/>
      <c r="Y374" s="375"/>
      <c r="Z374" s="336"/>
      <c r="AA374" s="353"/>
      <c r="AB374" s="336"/>
      <c r="AC374" s="336"/>
      <c r="AD374" s="336"/>
      <c r="AE374" s="336"/>
      <c r="AF374" s="336"/>
      <c r="AG374" s="336"/>
      <c r="AH374" s="336"/>
      <c r="AI374" s="336"/>
      <c r="AJ374" s="336"/>
      <c r="AK374" s="336"/>
      <c r="AL374" s="336"/>
      <c r="AM374" s="336"/>
      <c r="AN374" s="336"/>
      <c r="AO374" s="336"/>
      <c r="AP374" s="336"/>
      <c r="AQ374" s="336"/>
      <c r="AR374" s="336"/>
      <c r="AS374" s="336"/>
      <c r="AT374" s="336"/>
      <c r="AU374" s="336"/>
      <c r="AV374" s="336"/>
      <c r="AW374" s="336"/>
      <c r="AX374" s="336"/>
      <c r="AY374" s="336"/>
      <c r="AZ374" s="336"/>
      <c r="BA374" s="336"/>
      <c r="BB374" s="336"/>
      <c r="BC374" s="336"/>
      <c r="BD374" s="336"/>
      <c r="BE374" s="336"/>
      <c r="BF374" s="336"/>
    </row>
    <row r="375" spans="1:58" s="351" customFormat="1" x14ac:dyDescent="0.25">
      <c r="A375" s="336"/>
      <c r="B375" s="336"/>
      <c r="C375" s="336"/>
      <c r="D375" s="336"/>
      <c r="E375" s="336"/>
      <c r="F375" s="336"/>
      <c r="G375" s="336"/>
      <c r="H375" s="336"/>
      <c r="M375" s="352"/>
      <c r="N375" s="353"/>
      <c r="O375" s="353"/>
      <c r="T375" s="377"/>
      <c r="U375" s="352"/>
      <c r="V375" s="352"/>
      <c r="W375" s="352"/>
      <c r="X375" s="375"/>
      <c r="Y375" s="375"/>
      <c r="Z375" s="336"/>
      <c r="AA375" s="353"/>
      <c r="AB375" s="336"/>
      <c r="AC375" s="336"/>
      <c r="AD375" s="336"/>
      <c r="AE375" s="336"/>
      <c r="AF375" s="336"/>
      <c r="AG375" s="336"/>
      <c r="AH375" s="336"/>
      <c r="AI375" s="336"/>
      <c r="AJ375" s="336"/>
      <c r="AK375" s="336"/>
      <c r="AL375" s="336"/>
      <c r="AM375" s="336"/>
      <c r="AN375" s="336"/>
      <c r="AO375" s="336"/>
      <c r="AP375" s="336"/>
      <c r="AQ375" s="336"/>
      <c r="AR375" s="336"/>
      <c r="AS375" s="336"/>
      <c r="AT375" s="336"/>
      <c r="AU375" s="336"/>
      <c r="AV375" s="336"/>
      <c r="AW375" s="336"/>
      <c r="AX375" s="336"/>
      <c r="AY375" s="336"/>
      <c r="AZ375" s="336"/>
      <c r="BA375" s="336"/>
      <c r="BB375" s="336"/>
      <c r="BC375" s="336"/>
      <c r="BD375" s="336"/>
      <c r="BE375" s="336"/>
      <c r="BF375" s="336"/>
    </row>
    <row r="376" spans="1:58" s="351" customFormat="1" x14ac:dyDescent="0.25">
      <c r="A376" s="336"/>
      <c r="B376" s="336"/>
      <c r="C376" s="336"/>
      <c r="D376" s="336"/>
      <c r="E376" s="336"/>
      <c r="F376" s="336"/>
      <c r="G376" s="336"/>
      <c r="H376" s="336"/>
      <c r="M376" s="352"/>
      <c r="N376" s="353"/>
      <c r="O376" s="353"/>
      <c r="T376" s="377"/>
      <c r="U376" s="352"/>
      <c r="V376" s="352"/>
      <c r="W376" s="352"/>
      <c r="X376" s="375"/>
      <c r="Y376" s="375"/>
      <c r="Z376" s="336"/>
      <c r="AA376" s="353"/>
      <c r="AB376" s="336"/>
      <c r="AC376" s="336"/>
      <c r="AD376" s="336"/>
      <c r="AE376" s="336"/>
      <c r="AF376" s="336"/>
      <c r="AG376" s="336"/>
      <c r="AH376" s="336"/>
      <c r="AI376" s="336"/>
      <c r="AJ376" s="336"/>
      <c r="AK376" s="336"/>
      <c r="AL376" s="336"/>
      <c r="AM376" s="336"/>
      <c r="AN376" s="336"/>
      <c r="AO376" s="336"/>
      <c r="AP376" s="336"/>
      <c r="AQ376" s="336"/>
      <c r="AR376" s="336"/>
      <c r="AS376" s="336"/>
      <c r="AT376" s="336"/>
      <c r="AU376" s="336"/>
      <c r="AV376" s="336"/>
      <c r="AW376" s="336"/>
      <c r="AX376" s="336"/>
      <c r="AY376" s="336"/>
      <c r="AZ376" s="336"/>
      <c r="BA376" s="336"/>
      <c r="BB376" s="336"/>
      <c r="BC376" s="336"/>
      <c r="BD376" s="336"/>
      <c r="BE376" s="336"/>
      <c r="BF376" s="336"/>
    </row>
    <row r="377" spans="1:58" s="351" customFormat="1" x14ac:dyDescent="0.25">
      <c r="A377" s="336"/>
      <c r="B377" s="336"/>
      <c r="C377" s="336"/>
      <c r="D377" s="336"/>
      <c r="E377" s="336"/>
      <c r="F377" s="336"/>
      <c r="G377" s="336"/>
      <c r="H377" s="336"/>
      <c r="M377" s="352"/>
      <c r="N377" s="353"/>
      <c r="O377" s="353"/>
      <c r="T377" s="377"/>
      <c r="U377" s="352"/>
      <c r="V377" s="352"/>
      <c r="W377" s="352"/>
      <c r="X377" s="375"/>
      <c r="Y377" s="375"/>
      <c r="Z377" s="336"/>
      <c r="AA377" s="353"/>
      <c r="AB377" s="336"/>
      <c r="AC377" s="336"/>
      <c r="AD377" s="336"/>
      <c r="AE377" s="336"/>
      <c r="AF377" s="336"/>
      <c r="AG377" s="336"/>
      <c r="AH377" s="336"/>
      <c r="AI377" s="336"/>
      <c r="AJ377" s="336"/>
      <c r="AK377" s="336"/>
      <c r="AL377" s="336"/>
      <c r="AM377" s="336"/>
      <c r="AN377" s="336"/>
      <c r="AO377" s="336"/>
      <c r="AP377" s="336"/>
      <c r="AQ377" s="336"/>
      <c r="AR377" s="336"/>
      <c r="AS377" s="336"/>
      <c r="AT377" s="336"/>
      <c r="AU377" s="336"/>
      <c r="AV377" s="336"/>
      <c r="AW377" s="336"/>
      <c r="AX377" s="336"/>
      <c r="AY377" s="336"/>
      <c r="AZ377" s="336"/>
      <c r="BA377" s="336"/>
      <c r="BB377" s="336"/>
      <c r="BC377" s="336"/>
      <c r="BD377" s="336"/>
      <c r="BE377" s="336"/>
      <c r="BF377" s="336"/>
    </row>
    <row r="378" spans="1:58" s="351" customFormat="1" x14ac:dyDescent="0.25">
      <c r="A378" s="336"/>
      <c r="B378" s="336"/>
      <c r="C378" s="336"/>
      <c r="D378" s="336"/>
      <c r="E378" s="336"/>
      <c r="F378" s="336"/>
      <c r="G378" s="336"/>
      <c r="H378" s="336"/>
      <c r="M378" s="352"/>
      <c r="N378" s="353"/>
      <c r="O378" s="353"/>
      <c r="T378" s="377"/>
      <c r="U378" s="352"/>
      <c r="V378" s="352"/>
      <c r="W378" s="352"/>
      <c r="X378" s="375"/>
      <c r="Y378" s="375"/>
      <c r="Z378" s="336"/>
      <c r="AA378" s="353"/>
      <c r="AB378" s="336"/>
      <c r="AC378" s="336"/>
      <c r="AD378" s="336"/>
      <c r="AE378" s="336"/>
      <c r="AF378" s="336"/>
      <c r="AG378" s="336"/>
      <c r="AH378" s="336"/>
      <c r="AI378" s="336"/>
      <c r="AJ378" s="336"/>
      <c r="AK378" s="336"/>
      <c r="AL378" s="336"/>
      <c r="AM378" s="336"/>
      <c r="AN378" s="336"/>
      <c r="AO378" s="336"/>
      <c r="AP378" s="336"/>
      <c r="AQ378" s="336"/>
      <c r="AR378" s="336"/>
      <c r="AS378" s="336"/>
      <c r="AT378" s="336"/>
      <c r="AU378" s="336"/>
      <c r="AV378" s="336"/>
      <c r="AW378" s="336"/>
      <c r="AX378" s="336"/>
      <c r="AY378" s="336"/>
      <c r="AZ378" s="336"/>
      <c r="BA378" s="336"/>
      <c r="BB378" s="336"/>
      <c r="BC378" s="336"/>
      <c r="BD378" s="336"/>
      <c r="BE378" s="336"/>
      <c r="BF378" s="336"/>
    </row>
    <row r="379" spans="1:58" s="351" customFormat="1" x14ac:dyDescent="0.25">
      <c r="A379" s="336"/>
      <c r="B379" s="336"/>
      <c r="C379" s="336"/>
      <c r="D379" s="336"/>
      <c r="E379" s="336"/>
      <c r="F379" s="336"/>
      <c r="G379" s="336"/>
      <c r="H379" s="336"/>
      <c r="M379" s="352"/>
      <c r="N379" s="353"/>
      <c r="O379" s="353"/>
      <c r="T379" s="377"/>
      <c r="U379" s="352"/>
      <c r="V379" s="352"/>
      <c r="W379" s="352"/>
      <c r="X379" s="375"/>
      <c r="Y379" s="375"/>
      <c r="Z379" s="336"/>
      <c r="AA379" s="353"/>
      <c r="AB379" s="336"/>
      <c r="AC379" s="336"/>
      <c r="AD379" s="336"/>
      <c r="AE379" s="336"/>
      <c r="AF379" s="336"/>
      <c r="AG379" s="336"/>
      <c r="AH379" s="336"/>
      <c r="AI379" s="336"/>
      <c r="AJ379" s="336"/>
      <c r="AK379" s="336"/>
      <c r="AL379" s="336"/>
      <c r="AM379" s="336"/>
      <c r="AN379" s="336"/>
      <c r="AO379" s="336"/>
      <c r="AP379" s="336"/>
      <c r="AQ379" s="336"/>
      <c r="AR379" s="336"/>
      <c r="AS379" s="336"/>
      <c r="AT379" s="336"/>
      <c r="AU379" s="336"/>
      <c r="AV379" s="336"/>
      <c r="AW379" s="336"/>
      <c r="AX379" s="336"/>
      <c r="AY379" s="336"/>
      <c r="AZ379" s="336"/>
      <c r="BA379" s="336"/>
      <c r="BB379" s="336"/>
      <c r="BC379" s="336"/>
      <c r="BD379" s="336"/>
      <c r="BE379" s="336"/>
      <c r="BF379" s="336"/>
    </row>
    <row r="380" spans="1:58" s="351" customFormat="1" x14ac:dyDescent="0.25">
      <c r="A380" s="336"/>
      <c r="B380" s="336"/>
      <c r="C380" s="336"/>
      <c r="D380" s="336"/>
      <c r="E380" s="336"/>
      <c r="F380" s="336"/>
      <c r="G380" s="336"/>
      <c r="H380" s="336"/>
      <c r="M380" s="352"/>
      <c r="N380" s="353"/>
      <c r="O380" s="353"/>
      <c r="T380" s="377"/>
      <c r="U380" s="352"/>
      <c r="V380" s="352"/>
      <c r="W380" s="352"/>
      <c r="X380" s="375"/>
      <c r="Y380" s="375"/>
      <c r="Z380" s="336"/>
      <c r="AA380" s="353"/>
      <c r="AB380" s="336"/>
      <c r="AC380" s="336"/>
      <c r="AD380" s="336"/>
      <c r="AE380" s="336"/>
      <c r="AF380" s="336"/>
      <c r="AG380" s="336"/>
      <c r="AH380" s="336"/>
      <c r="AI380" s="336"/>
      <c r="AJ380" s="336"/>
      <c r="AK380" s="336"/>
      <c r="AL380" s="336"/>
      <c r="AM380" s="336"/>
      <c r="AN380" s="336"/>
      <c r="AO380" s="336"/>
      <c r="AP380" s="336"/>
      <c r="AQ380" s="336"/>
      <c r="AR380" s="336"/>
      <c r="AS380" s="336"/>
      <c r="AT380" s="336"/>
      <c r="AU380" s="336"/>
      <c r="AV380" s="336"/>
      <c r="AW380" s="336"/>
      <c r="AX380" s="336"/>
      <c r="AY380" s="336"/>
      <c r="AZ380" s="336"/>
      <c r="BA380" s="336"/>
      <c r="BB380" s="336"/>
      <c r="BC380" s="336"/>
      <c r="BD380" s="336"/>
      <c r="BE380" s="336"/>
      <c r="BF380" s="336"/>
    </row>
    <row r="381" spans="1:58" s="351" customFormat="1" x14ac:dyDescent="0.25">
      <c r="A381" s="336"/>
      <c r="B381" s="336"/>
      <c r="C381" s="336"/>
      <c r="D381" s="336"/>
      <c r="E381" s="336"/>
      <c r="F381" s="336"/>
      <c r="G381" s="336"/>
      <c r="H381" s="336"/>
      <c r="M381" s="352"/>
      <c r="N381" s="353"/>
      <c r="O381" s="353"/>
      <c r="T381" s="377"/>
      <c r="U381" s="352"/>
      <c r="V381" s="352"/>
      <c r="W381" s="352"/>
      <c r="X381" s="375"/>
      <c r="Y381" s="375"/>
      <c r="Z381" s="336"/>
      <c r="AA381" s="353"/>
      <c r="AB381" s="336"/>
      <c r="AC381" s="336"/>
      <c r="AD381" s="336"/>
      <c r="AE381" s="336"/>
      <c r="AF381" s="336"/>
      <c r="AG381" s="336"/>
      <c r="AH381" s="336"/>
      <c r="AI381" s="336"/>
      <c r="AJ381" s="336"/>
      <c r="AK381" s="336"/>
      <c r="AL381" s="336"/>
      <c r="AM381" s="336"/>
      <c r="AN381" s="336"/>
      <c r="AO381" s="336"/>
      <c r="AP381" s="336"/>
      <c r="AQ381" s="336"/>
      <c r="AR381" s="336"/>
      <c r="AS381" s="336"/>
      <c r="AT381" s="336"/>
      <c r="AU381" s="336"/>
      <c r="AV381" s="336"/>
      <c r="AW381" s="336"/>
      <c r="AX381" s="336"/>
      <c r="AY381" s="336"/>
      <c r="AZ381" s="336"/>
      <c r="BA381" s="336"/>
      <c r="BB381" s="336"/>
      <c r="BC381" s="336"/>
      <c r="BD381" s="336"/>
      <c r="BE381" s="336"/>
      <c r="BF381" s="336"/>
    </row>
    <row r="382" spans="1:58" s="351" customFormat="1" x14ac:dyDescent="0.25">
      <c r="A382" s="336"/>
      <c r="B382" s="336"/>
      <c r="C382" s="336"/>
      <c r="D382" s="336"/>
      <c r="E382" s="336"/>
      <c r="F382" s="336"/>
      <c r="G382" s="336"/>
      <c r="H382" s="336"/>
      <c r="M382" s="352"/>
      <c r="N382" s="353"/>
      <c r="O382" s="353"/>
      <c r="T382" s="377"/>
      <c r="U382" s="352"/>
      <c r="V382" s="352"/>
      <c r="W382" s="352"/>
      <c r="X382" s="375"/>
      <c r="Y382" s="375"/>
      <c r="Z382" s="336"/>
      <c r="AA382" s="353"/>
      <c r="AB382" s="336"/>
      <c r="AC382" s="336"/>
      <c r="AD382" s="336"/>
      <c r="AE382" s="336"/>
      <c r="AF382" s="336"/>
      <c r="AG382" s="336"/>
      <c r="AH382" s="336"/>
      <c r="AI382" s="336"/>
      <c r="AJ382" s="336"/>
      <c r="AK382" s="336"/>
      <c r="AL382" s="336"/>
      <c r="AM382" s="336"/>
      <c r="AN382" s="336"/>
      <c r="AO382" s="336"/>
      <c r="AP382" s="336"/>
      <c r="AQ382" s="336"/>
      <c r="AR382" s="336"/>
      <c r="AS382" s="336"/>
      <c r="AT382" s="336"/>
      <c r="AU382" s="336"/>
      <c r="AV382" s="336"/>
      <c r="AW382" s="336"/>
      <c r="AX382" s="336"/>
      <c r="AY382" s="336"/>
      <c r="AZ382" s="336"/>
      <c r="BA382" s="336"/>
      <c r="BB382" s="336"/>
      <c r="BC382" s="336"/>
      <c r="BD382" s="336"/>
      <c r="BE382" s="336"/>
      <c r="BF382" s="336"/>
    </row>
    <row r="383" spans="1:58" s="351" customFormat="1" x14ac:dyDescent="0.25">
      <c r="A383" s="336"/>
      <c r="B383" s="336"/>
      <c r="C383" s="336"/>
      <c r="D383" s="336"/>
      <c r="E383" s="336"/>
      <c r="F383" s="336"/>
      <c r="G383" s="336"/>
      <c r="H383" s="336"/>
      <c r="M383" s="352"/>
      <c r="N383" s="353"/>
      <c r="O383" s="353"/>
      <c r="T383" s="377"/>
      <c r="U383" s="352"/>
      <c r="V383" s="352"/>
      <c r="W383" s="352"/>
      <c r="X383" s="375"/>
      <c r="Y383" s="375"/>
      <c r="Z383" s="336"/>
      <c r="AA383" s="353"/>
      <c r="AB383" s="336"/>
      <c r="AC383" s="336"/>
      <c r="AD383" s="336"/>
      <c r="AE383" s="336"/>
      <c r="AF383" s="336"/>
      <c r="AG383" s="336"/>
      <c r="AH383" s="336"/>
      <c r="AI383" s="336"/>
      <c r="AJ383" s="336"/>
      <c r="AK383" s="336"/>
      <c r="AL383" s="336"/>
      <c r="AM383" s="336"/>
      <c r="AN383" s="336"/>
      <c r="AO383" s="336"/>
      <c r="AP383" s="336"/>
      <c r="AQ383" s="336"/>
      <c r="AR383" s="336"/>
      <c r="AS383" s="336"/>
      <c r="AT383" s="336"/>
      <c r="AU383" s="336"/>
      <c r="AV383" s="336"/>
      <c r="AW383" s="336"/>
      <c r="AX383" s="336"/>
      <c r="AY383" s="336"/>
      <c r="AZ383" s="336"/>
      <c r="BA383" s="336"/>
      <c r="BB383" s="336"/>
      <c r="BC383" s="336"/>
      <c r="BD383" s="336"/>
      <c r="BE383" s="336"/>
      <c r="BF383" s="336"/>
    </row>
    <row r="384" spans="1:58" s="351" customFormat="1" x14ac:dyDescent="0.25">
      <c r="A384" s="336"/>
      <c r="B384" s="336"/>
      <c r="C384" s="336"/>
      <c r="D384" s="336"/>
      <c r="E384" s="336"/>
      <c r="F384" s="336"/>
      <c r="G384" s="336"/>
      <c r="H384" s="336"/>
      <c r="M384" s="352"/>
      <c r="N384" s="353"/>
      <c r="O384" s="353"/>
      <c r="T384" s="377"/>
      <c r="U384" s="352"/>
      <c r="V384" s="352"/>
      <c r="W384" s="352"/>
      <c r="X384" s="375"/>
      <c r="Y384" s="375"/>
      <c r="Z384" s="336"/>
      <c r="AA384" s="353"/>
      <c r="AB384" s="336"/>
      <c r="AC384" s="336"/>
      <c r="AD384" s="336"/>
      <c r="AE384" s="336"/>
      <c r="AF384" s="336"/>
      <c r="AG384" s="336"/>
      <c r="AH384" s="336"/>
      <c r="AI384" s="336"/>
      <c r="AJ384" s="336"/>
      <c r="AK384" s="336"/>
      <c r="AL384" s="336"/>
      <c r="AM384" s="336"/>
      <c r="AN384" s="336"/>
      <c r="AO384" s="336"/>
      <c r="AP384" s="336"/>
      <c r="AQ384" s="336"/>
      <c r="AR384" s="336"/>
      <c r="AS384" s="336"/>
      <c r="AT384" s="336"/>
      <c r="AU384" s="336"/>
      <c r="AV384" s="336"/>
      <c r="AW384" s="336"/>
      <c r="AX384" s="336"/>
      <c r="AY384" s="336"/>
      <c r="AZ384" s="336"/>
      <c r="BA384" s="336"/>
      <c r="BB384" s="336"/>
      <c r="BC384" s="336"/>
      <c r="BD384" s="336"/>
      <c r="BE384" s="336"/>
      <c r="BF384" s="336"/>
    </row>
    <row r="385" spans="1:58" s="351" customFormat="1" x14ac:dyDescent="0.25">
      <c r="A385" s="336"/>
      <c r="B385" s="336"/>
      <c r="C385" s="336"/>
      <c r="D385" s="336"/>
      <c r="E385" s="336"/>
      <c r="F385" s="336"/>
      <c r="G385" s="336"/>
      <c r="H385" s="336"/>
      <c r="M385" s="352"/>
      <c r="N385" s="353"/>
      <c r="O385" s="353"/>
      <c r="T385" s="377"/>
      <c r="U385" s="352"/>
      <c r="V385" s="352"/>
      <c r="W385" s="352"/>
      <c r="X385" s="375"/>
      <c r="Y385" s="375"/>
      <c r="Z385" s="336"/>
      <c r="AA385" s="353"/>
      <c r="AB385" s="336"/>
      <c r="AC385" s="336"/>
      <c r="AD385" s="336"/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336"/>
      <c r="AS385" s="336"/>
      <c r="AT385" s="336"/>
      <c r="AU385" s="336"/>
      <c r="AV385" s="336"/>
      <c r="AW385" s="336"/>
      <c r="AX385" s="336"/>
      <c r="AY385" s="336"/>
      <c r="AZ385" s="336"/>
      <c r="BA385" s="336"/>
      <c r="BB385" s="336"/>
      <c r="BC385" s="336"/>
      <c r="BD385" s="336"/>
      <c r="BE385" s="336"/>
      <c r="BF385" s="336"/>
    </row>
    <row r="386" spans="1:58" s="351" customFormat="1" x14ac:dyDescent="0.25">
      <c r="A386" s="336"/>
      <c r="B386" s="336"/>
      <c r="C386" s="336"/>
      <c r="D386" s="336"/>
      <c r="E386" s="336"/>
      <c r="F386" s="336"/>
      <c r="G386" s="336"/>
      <c r="H386" s="336"/>
      <c r="M386" s="352"/>
      <c r="N386" s="353"/>
      <c r="O386" s="353"/>
      <c r="T386" s="377"/>
      <c r="U386" s="352"/>
      <c r="V386" s="352"/>
      <c r="W386" s="352"/>
      <c r="X386" s="375"/>
      <c r="Y386" s="375"/>
      <c r="Z386" s="336"/>
      <c r="AA386" s="353"/>
      <c r="AB386" s="336"/>
      <c r="AC386" s="336"/>
      <c r="AD386" s="336"/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336"/>
      <c r="AS386" s="336"/>
      <c r="AT386" s="336"/>
      <c r="AU386" s="336"/>
      <c r="AV386" s="336"/>
      <c r="AW386" s="336"/>
      <c r="AX386" s="336"/>
      <c r="AY386" s="336"/>
      <c r="AZ386" s="336"/>
      <c r="BA386" s="336"/>
      <c r="BB386" s="336"/>
      <c r="BC386" s="336"/>
      <c r="BD386" s="336"/>
      <c r="BE386" s="336"/>
      <c r="BF386" s="336"/>
    </row>
    <row r="387" spans="1:58" s="351" customFormat="1" x14ac:dyDescent="0.25">
      <c r="A387" s="336"/>
      <c r="B387" s="336"/>
      <c r="C387" s="336"/>
      <c r="D387" s="336"/>
      <c r="E387" s="336"/>
      <c r="F387" s="336"/>
      <c r="G387" s="336"/>
      <c r="H387" s="336"/>
      <c r="M387" s="352"/>
      <c r="N387" s="353"/>
      <c r="O387" s="353"/>
      <c r="T387" s="377"/>
      <c r="U387" s="352"/>
      <c r="V387" s="352"/>
      <c r="W387" s="352"/>
      <c r="X387" s="375"/>
      <c r="Y387" s="375"/>
      <c r="Z387" s="336"/>
      <c r="AA387" s="353"/>
      <c r="AB387" s="336"/>
      <c r="AC387" s="336"/>
      <c r="AD387" s="336"/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336"/>
      <c r="AT387" s="336"/>
      <c r="AU387" s="336"/>
      <c r="AV387" s="336"/>
      <c r="AW387" s="336"/>
      <c r="AX387" s="336"/>
      <c r="AY387" s="336"/>
      <c r="AZ387" s="336"/>
      <c r="BA387" s="336"/>
      <c r="BB387" s="336"/>
      <c r="BC387" s="336"/>
      <c r="BD387" s="336"/>
      <c r="BE387" s="336"/>
      <c r="BF387" s="336"/>
    </row>
    <row r="388" spans="1:58" s="351" customFormat="1" x14ac:dyDescent="0.25">
      <c r="A388" s="336"/>
      <c r="B388" s="336"/>
      <c r="C388" s="336"/>
      <c r="D388" s="336"/>
      <c r="E388" s="336"/>
      <c r="F388" s="336"/>
      <c r="G388" s="336"/>
      <c r="H388" s="336"/>
      <c r="M388" s="352"/>
      <c r="N388" s="353"/>
      <c r="O388" s="353"/>
      <c r="T388" s="377"/>
      <c r="U388" s="352"/>
      <c r="V388" s="352"/>
      <c r="W388" s="352"/>
      <c r="X388" s="375"/>
      <c r="Y388" s="375"/>
      <c r="Z388" s="336"/>
      <c r="AA388" s="353"/>
      <c r="AB388" s="336"/>
      <c r="AC388" s="336"/>
      <c r="AD388" s="336"/>
      <c r="AE388" s="336"/>
      <c r="AF388" s="336"/>
      <c r="AG388" s="336"/>
      <c r="AH388" s="336"/>
      <c r="AI388" s="336"/>
      <c r="AJ388" s="336"/>
      <c r="AK388" s="336"/>
      <c r="AL388" s="336"/>
      <c r="AM388" s="336"/>
      <c r="AN388" s="336"/>
      <c r="AO388" s="336"/>
      <c r="AP388" s="336"/>
      <c r="AQ388" s="336"/>
      <c r="AR388" s="336"/>
      <c r="AS388" s="336"/>
      <c r="AT388" s="336"/>
      <c r="AU388" s="336"/>
      <c r="AV388" s="336"/>
      <c r="AW388" s="336"/>
      <c r="AX388" s="336"/>
      <c r="AY388" s="336"/>
      <c r="AZ388" s="336"/>
      <c r="BA388" s="336"/>
      <c r="BB388" s="336"/>
      <c r="BC388" s="336"/>
      <c r="BD388" s="336"/>
      <c r="BE388" s="336"/>
      <c r="BF388" s="336"/>
    </row>
    <row r="389" spans="1:58" s="351" customFormat="1" x14ac:dyDescent="0.25">
      <c r="A389" s="336"/>
      <c r="B389" s="336"/>
      <c r="C389" s="336"/>
      <c r="D389" s="336"/>
      <c r="E389" s="336"/>
      <c r="F389" s="336"/>
      <c r="G389" s="336"/>
      <c r="H389" s="336"/>
      <c r="M389" s="352"/>
      <c r="N389" s="353"/>
      <c r="O389" s="353"/>
      <c r="T389" s="377"/>
      <c r="U389" s="352"/>
      <c r="V389" s="352"/>
      <c r="W389" s="352"/>
      <c r="X389" s="375"/>
      <c r="Y389" s="375"/>
      <c r="Z389" s="336"/>
      <c r="AA389" s="353"/>
      <c r="AB389" s="336"/>
      <c r="AC389" s="336"/>
      <c r="AD389" s="336"/>
      <c r="AE389" s="336"/>
      <c r="AF389" s="336"/>
      <c r="AG389" s="336"/>
      <c r="AH389" s="336"/>
      <c r="AI389" s="336"/>
      <c r="AJ389" s="336"/>
      <c r="AK389" s="336"/>
      <c r="AL389" s="336"/>
      <c r="AM389" s="336"/>
      <c r="AN389" s="336"/>
      <c r="AO389" s="336"/>
      <c r="AP389" s="336"/>
      <c r="AQ389" s="336"/>
      <c r="AR389" s="336"/>
      <c r="AS389" s="336"/>
      <c r="AT389" s="336"/>
      <c r="AU389" s="336"/>
      <c r="AV389" s="336"/>
      <c r="AW389" s="336"/>
      <c r="AX389" s="336"/>
      <c r="AY389" s="336"/>
      <c r="AZ389" s="336"/>
      <c r="BA389" s="336"/>
      <c r="BB389" s="336"/>
      <c r="BC389" s="336"/>
      <c r="BD389" s="336"/>
      <c r="BE389" s="336"/>
      <c r="BF389" s="336"/>
    </row>
    <row r="390" spans="1:58" s="351" customFormat="1" x14ac:dyDescent="0.25">
      <c r="A390" s="336"/>
      <c r="B390" s="336"/>
      <c r="C390" s="336"/>
      <c r="D390" s="336"/>
      <c r="E390" s="336"/>
      <c r="F390" s="336"/>
      <c r="G390" s="336"/>
      <c r="H390" s="336"/>
      <c r="M390" s="352"/>
      <c r="N390" s="353"/>
      <c r="O390" s="353"/>
      <c r="T390" s="377"/>
      <c r="U390" s="352"/>
      <c r="V390" s="352"/>
      <c r="W390" s="352"/>
      <c r="X390" s="375"/>
      <c r="Y390" s="375"/>
      <c r="Z390" s="336"/>
      <c r="AA390" s="353"/>
      <c r="AB390" s="336"/>
      <c r="AC390" s="336"/>
      <c r="AD390" s="336"/>
      <c r="AE390" s="336"/>
      <c r="AF390" s="336"/>
      <c r="AG390" s="336"/>
      <c r="AH390" s="336"/>
      <c r="AI390" s="336"/>
      <c r="AJ390" s="336"/>
      <c r="AK390" s="336"/>
      <c r="AL390" s="336"/>
      <c r="AM390" s="336"/>
      <c r="AN390" s="336"/>
      <c r="AO390" s="336"/>
      <c r="AP390" s="336"/>
      <c r="AQ390" s="336"/>
      <c r="AR390" s="336"/>
      <c r="AS390" s="336"/>
      <c r="AT390" s="336"/>
      <c r="AU390" s="336"/>
      <c r="AV390" s="336"/>
      <c r="AW390" s="336"/>
      <c r="AX390" s="336"/>
      <c r="AY390" s="336"/>
      <c r="AZ390" s="336"/>
      <c r="BA390" s="336"/>
      <c r="BB390" s="336"/>
      <c r="BC390" s="336"/>
      <c r="BD390" s="336"/>
      <c r="BE390" s="336"/>
      <c r="BF390" s="336"/>
    </row>
    <row r="391" spans="1:58" s="351" customFormat="1" x14ac:dyDescent="0.25">
      <c r="A391" s="336"/>
      <c r="B391" s="336"/>
      <c r="C391" s="336"/>
      <c r="D391" s="336"/>
      <c r="E391" s="336"/>
      <c r="F391" s="336"/>
      <c r="G391" s="336"/>
      <c r="H391" s="336"/>
      <c r="M391" s="352"/>
      <c r="N391" s="353"/>
      <c r="O391" s="353"/>
      <c r="T391" s="377"/>
      <c r="U391" s="352"/>
      <c r="V391" s="352"/>
      <c r="W391" s="352"/>
      <c r="X391" s="375"/>
      <c r="Y391" s="375"/>
      <c r="Z391" s="336"/>
      <c r="AA391" s="353"/>
      <c r="AB391" s="336"/>
      <c r="AC391" s="336"/>
      <c r="AD391" s="336"/>
      <c r="AE391" s="336"/>
      <c r="AF391" s="336"/>
      <c r="AG391" s="336"/>
      <c r="AH391" s="336"/>
      <c r="AI391" s="336"/>
      <c r="AJ391" s="336"/>
      <c r="AK391" s="336"/>
      <c r="AL391" s="336"/>
      <c r="AM391" s="336"/>
      <c r="AN391" s="336"/>
      <c r="AO391" s="336"/>
      <c r="AP391" s="336"/>
      <c r="AQ391" s="336"/>
      <c r="AR391" s="336"/>
      <c r="AS391" s="336"/>
      <c r="AT391" s="336"/>
      <c r="AU391" s="336"/>
      <c r="AV391" s="336"/>
      <c r="AW391" s="336"/>
      <c r="AX391" s="336"/>
      <c r="AY391" s="336"/>
      <c r="AZ391" s="336"/>
      <c r="BA391" s="336"/>
      <c r="BB391" s="336"/>
      <c r="BC391" s="336"/>
      <c r="BD391" s="336"/>
      <c r="BE391" s="336"/>
      <c r="BF391" s="336"/>
    </row>
    <row r="392" spans="1:58" s="351" customFormat="1" x14ac:dyDescent="0.25">
      <c r="A392" s="336"/>
      <c r="B392" s="336"/>
      <c r="C392" s="336"/>
      <c r="D392" s="336"/>
      <c r="E392" s="336"/>
      <c r="F392" s="336"/>
      <c r="G392" s="336"/>
      <c r="H392" s="336"/>
      <c r="M392" s="352"/>
      <c r="N392" s="353"/>
      <c r="O392" s="353"/>
      <c r="T392" s="377"/>
      <c r="U392" s="352"/>
      <c r="V392" s="352"/>
      <c r="W392" s="352"/>
      <c r="X392" s="375"/>
      <c r="Y392" s="375"/>
      <c r="Z392" s="336"/>
      <c r="AA392" s="353"/>
      <c r="AB392" s="336"/>
      <c r="AC392" s="336"/>
      <c r="AD392" s="336"/>
      <c r="AE392" s="336"/>
      <c r="AF392" s="336"/>
      <c r="AG392" s="336"/>
      <c r="AH392" s="336"/>
      <c r="AI392" s="336"/>
      <c r="AJ392" s="336"/>
      <c r="AK392" s="336"/>
      <c r="AL392" s="336"/>
      <c r="AM392" s="336"/>
      <c r="AN392" s="336"/>
      <c r="AO392" s="336"/>
      <c r="AP392" s="336"/>
      <c r="AQ392" s="336"/>
      <c r="AR392" s="336"/>
      <c r="AS392" s="336"/>
      <c r="AT392" s="336"/>
      <c r="AU392" s="336"/>
      <c r="AV392" s="336"/>
      <c r="AW392" s="336"/>
      <c r="AX392" s="336"/>
      <c r="AY392" s="336"/>
      <c r="AZ392" s="336"/>
      <c r="BA392" s="336"/>
      <c r="BB392" s="336"/>
      <c r="BC392" s="336"/>
      <c r="BD392" s="336"/>
      <c r="BE392" s="336"/>
      <c r="BF392" s="336"/>
    </row>
    <row r="393" spans="1:58" s="351" customFormat="1" x14ac:dyDescent="0.25">
      <c r="A393" s="336"/>
      <c r="B393" s="336"/>
      <c r="C393" s="336"/>
      <c r="D393" s="336"/>
      <c r="E393" s="336"/>
      <c r="F393" s="336"/>
      <c r="G393" s="336"/>
      <c r="H393" s="336"/>
      <c r="M393" s="352"/>
      <c r="N393" s="353"/>
      <c r="O393" s="353"/>
      <c r="T393" s="377"/>
      <c r="U393" s="352"/>
      <c r="V393" s="352"/>
      <c r="W393" s="352"/>
      <c r="X393" s="375"/>
      <c r="Y393" s="375"/>
      <c r="Z393" s="336"/>
      <c r="AA393" s="353"/>
      <c r="AB393" s="336"/>
      <c r="AC393" s="336"/>
      <c r="AD393" s="336"/>
      <c r="AE393" s="336"/>
      <c r="AF393" s="336"/>
      <c r="AG393" s="336"/>
      <c r="AH393" s="336"/>
      <c r="AI393" s="336"/>
      <c r="AJ393" s="336"/>
      <c r="AK393" s="336"/>
      <c r="AL393" s="336"/>
      <c r="AM393" s="336"/>
      <c r="AN393" s="336"/>
      <c r="AO393" s="336"/>
      <c r="AP393" s="336"/>
      <c r="AQ393" s="336"/>
      <c r="AR393" s="336"/>
      <c r="AS393" s="336"/>
      <c r="AT393" s="336"/>
      <c r="AU393" s="336"/>
      <c r="AV393" s="336"/>
      <c r="AW393" s="336"/>
      <c r="AX393" s="336"/>
      <c r="AY393" s="336"/>
      <c r="AZ393" s="336"/>
      <c r="BA393" s="336"/>
      <c r="BB393" s="336"/>
      <c r="BC393" s="336"/>
      <c r="BD393" s="336"/>
      <c r="BE393" s="336"/>
      <c r="BF393" s="336"/>
    </row>
    <row r="394" spans="1:58" s="351" customFormat="1" x14ac:dyDescent="0.25">
      <c r="A394" s="336"/>
      <c r="B394" s="336"/>
      <c r="C394" s="336"/>
      <c r="D394" s="336"/>
      <c r="E394" s="336"/>
      <c r="F394" s="336"/>
      <c r="G394" s="336"/>
      <c r="H394" s="336"/>
      <c r="M394" s="352"/>
      <c r="N394" s="353"/>
      <c r="O394" s="353"/>
      <c r="T394" s="377"/>
      <c r="U394" s="352"/>
      <c r="V394" s="352"/>
      <c r="W394" s="352"/>
      <c r="X394" s="375"/>
      <c r="Y394" s="375"/>
      <c r="Z394" s="336"/>
      <c r="AA394" s="353"/>
      <c r="AB394" s="336"/>
      <c r="AC394" s="336"/>
      <c r="AD394" s="336"/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336"/>
      <c r="AT394" s="336"/>
      <c r="AU394" s="336"/>
      <c r="AV394" s="336"/>
      <c r="AW394" s="336"/>
      <c r="AX394" s="336"/>
      <c r="AY394" s="336"/>
      <c r="AZ394" s="336"/>
      <c r="BA394" s="336"/>
      <c r="BB394" s="336"/>
      <c r="BC394" s="336"/>
      <c r="BD394" s="336"/>
      <c r="BE394" s="336"/>
      <c r="BF394" s="336"/>
    </row>
    <row r="395" spans="1:58" s="351" customFormat="1" x14ac:dyDescent="0.25">
      <c r="A395" s="336"/>
      <c r="B395" s="336"/>
      <c r="C395" s="336"/>
      <c r="D395" s="336"/>
      <c r="E395" s="336"/>
      <c r="F395" s="336"/>
      <c r="G395" s="336"/>
      <c r="H395" s="336"/>
      <c r="M395" s="352"/>
      <c r="N395" s="353"/>
      <c r="O395" s="353"/>
      <c r="T395" s="377"/>
      <c r="U395" s="352"/>
      <c r="V395" s="352"/>
      <c r="W395" s="352"/>
      <c r="X395" s="375"/>
      <c r="Y395" s="375"/>
      <c r="Z395" s="336"/>
      <c r="AA395" s="353"/>
      <c r="AB395" s="336"/>
      <c r="AC395" s="336"/>
      <c r="AD395" s="336"/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336"/>
      <c r="AT395" s="336"/>
      <c r="AU395" s="336"/>
      <c r="AV395" s="336"/>
      <c r="AW395" s="336"/>
      <c r="AX395" s="336"/>
      <c r="AY395" s="336"/>
      <c r="AZ395" s="336"/>
      <c r="BA395" s="336"/>
      <c r="BB395" s="336"/>
      <c r="BC395" s="336"/>
      <c r="BD395" s="336"/>
      <c r="BE395" s="336"/>
      <c r="BF395" s="336"/>
    </row>
    <row r="396" spans="1:58" s="351" customFormat="1" x14ac:dyDescent="0.25">
      <c r="A396" s="336"/>
      <c r="B396" s="336"/>
      <c r="C396" s="336"/>
      <c r="D396" s="336"/>
      <c r="E396" s="336"/>
      <c r="F396" s="336"/>
      <c r="G396" s="336"/>
      <c r="H396" s="336"/>
      <c r="M396" s="352"/>
      <c r="N396" s="353"/>
      <c r="O396" s="353"/>
      <c r="T396" s="377"/>
      <c r="U396" s="352"/>
      <c r="V396" s="352"/>
      <c r="W396" s="352"/>
      <c r="X396" s="375"/>
      <c r="Y396" s="375"/>
      <c r="Z396" s="336"/>
      <c r="AA396" s="353"/>
      <c r="AB396" s="336"/>
      <c r="AC396" s="336"/>
      <c r="AD396" s="336"/>
      <c r="AE396" s="336"/>
      <c r="AF396" s="336"/>
      <c r="AG396" s="336"/>
      <c r="AH396" s="336"/>
      <c r="AI396" s="336"/>
      <c r="AJ396" s="336"/>
      <c r="AK396" s="336"/>
      <c r="AL396" s="336"/>
      <c r="AM396" s="336"/>
      <c r="AN396" s="336"/>
      <c r="AO396" s="336"/>
      <c r="AP396" s="336"/>
      <c r="AQ396" s="336"/>
      <c r="AR396" s="336"/>
      <c r="AS396" s="336"/>
      <c r="AT396" s="336"/>
      <c r="AU396" s="336"/>
      <c r="AV396" s="336"/>
      <c r="AW396" s="336"/>
      <c r="AX396" s="336"/>
      <c r="AY396" s="336"/>
      <c r="AZ396" s="336"/>
      <c r="BA396" s="336"/>
      <c r="BB396" s="336"/>
      <c r="BC396" s="336"/>
      <c r="BD396" s="336"/>
      <c r="BE396" s="336"/>
      <c r="BF396" s="336"/>
    </row>
    <row r="397" spans="1:58" s="351" customFormat="1" x14ac:dyDescent="0.25">
      <c r="A397" s="336"/>
      <c r="B397" s="336"/>
      <c r="C397" s="336"/>
      <c r="D397" s="336"/>
      <c r="E397" s="336"/>
      <c r="F397" s="336"/>
      <c r="G397" s="336"/>
      <c r="H397" s="336"/>
      <c r="M397" s="352"/>
      <c r="N397" s="353"/>
      <c r="O397" s="353"/>
      <c r="T397" s="377"/>
      <c r="U397" s="352"/>
      <c r="V397" s="352"/>
      <c r="W397" s="352"/>
      <c r="X397" s="375"/>
      <c r="Y397" s="375"/>
      <c r="Z397" s="336"/>
      <c r="AA397" s="353"/>
      <c r="AB397" s="336"/>
      <c r="AC397" s="336"/>
      <c r="AD397" s="336"/>
      <c r="AE397" s="336"/>
      <c r="AF397" s="336"/>
      <c r="AG397" s="336"/>
      <c r="AH397" s="336"/>
      <c r="AI397" s="336"/>
      <c r="AJ397" s="336"/>
      <c r="AK397" s="336"/>
      <c r="AL397" s="336"/>
      <c r="AM397" s="336"/>
      <c r="AN397" s="336"/>
      <c r="AO397" s="336"/>
      <c r="AP397" s="336"/>
      <c r="AQ397" s="336"/>
      <c r="AR397" s="336"/>
      <c r="AS397" s="336"/>
      <c r="AT397" s="336"/>
      <c r="AU397" s="336"/>
      <c r="AV397" s="336"/>
      <c r="AW397" s="336"/>
      <c r="AX397" s="336"/>
      <c r="AY397" s="336"/>
      <c r="AZ397" s="336"/>
      <c r="BA397" s="336"/>
      <c r="BB397" s="336"/>
      <c r="BC397" s="336"/>
      <c r="BD397" s="336"/>
      <c r="BE397" s="336"/>
      <c r="BF397" s="336"/>
    </row>
    <row r="398" spans="1:58" s="351" customFormat="1" x14ac:dyDescent="0.25">
      <c r="A398" s="336"/>
      <c r="B398" s="336"/>
      <c r="C398" s="336"/>
      <c r="D398" s="336"/>
      <c r="E398" s="336"/>
      <c r="F398" s="336"/>
      <c r="G398" s="336"/>
      <c r="H398" s="336"/>
      <c r="M398" s="352"/>
      <c r="N398" s="353"/>
      <c r="O398" s="353"/>
      <c r="T398" s="377"/>
      <c r="U398" s="352"/>
      <c r="V398" s="352"/>
      <c r="W398" s="352"/>
      <c r="X398" s="375"/>
      <c r="Y398" s="375"/>
      <c r="Z398" s="336"/>
      <c r="AA398" s="353"/>
      <c r="AB398" s="336"/>
      <c r="AC398" s="336"/>
      <c r="AD398" s="336"/>
      <c r="AE398" s="336"/>
      <c r="AF398" s="336"/>
      <c r="AG398" s="336"/>
      <c r="AH398" s="336"/>
      <c r="AI398" s="336"/>
      <c r="AJ398" s="336"/>
      <c r="AK398" s="336"/>
      <c r="AL398" s="336"/>
      <c r="AM398" s="336"/>
      <c r="AN398" s="336"/>
      <c r="AO398" s="336"/>
      <c r="AP398" s="336"/>
      <c r="AQ398" s="336"/>
      <c r="AR398" s="336"/>
      <c r="AS398" s="336"/>
      <c r="AT398" s="336"/>
      <c r="AU398" s="336"/>
      <c r="AV398" s="336"/>
      <c r="AW398" s="336"/>
      <c r="AX398" s="336"/>
      <c r="AY398" s="336"/>
      <c r="AZ398" s="336"/>
      <c r="BA398" s="336"/>
      <c r="BB398" s="336"/>
      <c r="BC398" s="336"/>
      <c r="BD398" s="336"/>
      <c r="BE398" s="336"/>
      <c r="BF398" s="336"/>
    </row>
    <row r="399" spans="1:58" s="351" customFormat="1" x14ac:dyDescent="0.25">
      <c r="A399" s="336"/>
      <c r="B399" s="336"/>
      <c r="C399" s="336"/>
      <c r="D399" s="336"/>
      <c r="E399" s="336"/>
      <c r="F399" s="336"/>
      <c r="G399" s="336"/>
      <c r="H399" s="336"/>
      <c r="M399" s="352"/>
      <c r="N399" s="353"/>
      <c r="O399" s="353"/>
      <c r="T399" s="377"/>
      <c r="U399" s="352"/>
      <c r="V399" s="352"/>
      <c r="W399" s="352"/>
      <c r="X399" s="375"/>
      <c r="Y399" s="375"/>
      <c r="Z399" s="336"/>
      <c r="AA399" s="353"/>
      <c r="AB399" s="336"/>
      <c r="AC399" s="336"/>
      <c r="AD399" s="336"/>
      <c r="AE399" s="336"/>
      <c r="AF399" s="336"/>
      <c r="AG399" s="336"/>
      <c r="AH399" s="336"/>
      <c r="AI399" s="336"/>
      <c r="AJ399" s="336"/>
      <c r="AK399" s="336"/>
      <c r="AL399" s="336"/>
      <c r="AM399" s="336"/>
      <c r="AN399" s="336"/>
      <c r="AO399" s="336"/>
      <c r="AP399" s="336"/>
      <c r="AQ399" s="336"/>
      <c r="AR399" s="336"/>
      <c r="AS399" s="336"/>
      <c r="AT399" s="336"/>
      <c r="AU399" s="336"/>
      <c r="AV399" s="336"/>
      <c r="AW399" s="336"/>
      <c r="AX399" s="336"/>
      <c r="AY399" s="336"/>
      <c r="AZ399" s="336"/>
      <c r="BA399" s="336"/>
      <c r="BB399" s="336"/>
      <c r="BC399" s="336"/>
      <c r="BD399" s="336"/>
      <c r="BE399" s="336"/>
      <c r="BF399" s="336"/>
    </row>
    <row r="400" spans="1:58" s="351" customFormat="1" x14ac:dyDescent="0.25">
      <c r="A400" s="336"/>
      <c r="B400" s="336"/>
      <c r="C400" s="336"/>
      <c r="D400" s="336"/>
      <c r="E400" s="336"/>
      <c r="F400" s="336"/>
      <c r="G400" s="336"/>
      <c r="H400" s="336"/>
      <c r="M400" s="352"/>
      <c r="N400" s="353"/>
      <c r="O400" s="353"/>
      <c r="T400" s="377"/>
      <c r="U400" s="352"/>
      <c r="V400" s="352"/>
      <c r="W400" s="352"/>
      <c r="X400" s="375"/>
      <c r="Y400" s="375"/>
      <c r="Z400" s="336"/>
      <c r="AA400" s="353"/>
      <c r="AB400" s="336"/>
      <c r="AC400" s="336"/>
      <c r="AD400" s="336"/>
      <c r="AE400" s="336"/>
      <c r="AF400" s="336"/>
      <c r="AG400" s="336"/>
      <c r="AH400" s="336"/>
      <c r="AI400" s="336"/>
      <c r="AJ400" s="336"/>
      <c r="AK400" s="336"/>
      <c r="AL400" s="336"/>
      <c r="AM400" s="336"/>
      <c r="AN400" s="336"/>
      <c r="AO400" s="336"/>
      <c r="AP400" s="336"/>
      <c r="AQ400" s="336"/>
      <c r="AR400" s="336"/>
      <c r="AS400" s="336"/>
      <c r="AT400" s="336"/>
      <c r="AU400" s="336"/>
      <c r="AV400" s="336"/>
      <c r="AW400" s="336"/>
      <c r="AX400" s="336"/>
      <c r="AY400" s="336"/>
      <c r="AZ400" s="336"/>
      <c r="BA400" s="336"/>
      <c r="BB400" s="336"/>
      <c r="BC400" s="336"/>
      <c r="BD400" s="336"/>
      <c r="BE400" s="336"/>
      <c r="BF400" s="336"/>
    </row>
    <row r="401" spans="1:58" s="351" customFormat="1" x14ac:dyDescent="0.25">
      <c r="A401" s="336"/>
      <c r="B401" s="336"/>
      <c r="C401" s="336"/>
      <c r="D401" s="336"/>
      <c r="E401" s="336"/>
      <c r="F401" s="336"/>
      <c r="G401" s="336"/>
      <c r="H401" s="336"/>
      <c r="M401" s="352"/>
      <c r="N401" s="353"/>
      <c r="O401" s="353"/>
      <c r="T401" s="377"/>
      <c r="U401" s="352"/>
      <c r="V401" s="352"/>
      <c r="W401" s="352"/>
      <c r="X401" s="375"/>
      <c r="Y401" s="375"/>
      <c r="Z401" s="336"/>
      <c r="AA401" s="353"/>
      <c r="AB401" s="336"/>
      <c r="AC401" s="336"/>
      <c r="AD401" s="336"/>
      <c r="AE401" s="336"/>
      <c r="AF401" s="336"/>
      <c r="AG401" s="336"/>
      <c r="AH401" s="336"/>
      <c r="AI401" s="336"/>
      <c r="AJ401" s="336"/>
      <c r="AK401" s="336"/>
      <c r="AL401" s="336"/>
      <c r="AM401" s="336"/>
      <c r="AN401" s="336"/>
      <c r="AO401" s="336"/>
      <c r="AP401" s="336"/>
      <c r="AQ401" s="336"/>
      <c r="AR401" s="336"/>
      <c r="AS401" s="336"/>
      <c r="AT401" s="336"/>
      <c r="AU401" s="336"/>
      <c r="AV401" s="336"/>
      <c r="AW401" s="336"/>
      <c r="AX401" s="336"/>
      <c r="AY401" s="336"/>
      <c r="AZ401" s="336"/>
      <c r="BA401" s="336"/>
      <c r="BB401" s="336"/>
      <c r="BC401" s="336"/>
      <c r="BD401" s="336"/>
      <c r="BE401" s="336"/>
      <c r="BF401" s="336"/>
    </row>
    <row r="402" spans="1:58" s="351" customFormat="1" x14ac:dyDescent="0.25">
      <c r="A402" s="336"/>
      <c r="B402" s="336"/>
      <c r="C402" s="336"/>
      <c r="D402" s="336"/>
      <c r="E402" s="336"/>
      <c r="F402" s="336"/>
      <c r="G402" s="336"/>
      <c r="H402" s="336"/>
      <c r="M402" s="352"/>
      <c r="N402" s="353"/>
      <c r="O402" s="353"/>
      <c r="T402" s="377"/>
      <c r="U402" s="352"/>
      <c r="V402" s="352"/>
      <c r="W402" s="352"/>
      <c r="X402" s="375"/>
      <c r="Y402" s="375"/>
      <c r="Z402" s="336"/>
      <c r="AA402" s="353"/>
      <c r="AB402" s="336"/>
      <c r="AC402" s="336"/>
      <c r="AD402" s="336"/>
      <c r="AE402" s="336"/>
      <c r="AF402" s="336"/>
      <c r="AG402" s="336"/>
      <c r="AH402" s="336"/>
      <c r="AI402" s="336"/>
      <c r="AJ402" s="336"/>
      <c r="AK402" s="336"/>
      <c r="AL402" s="336"/>
      <c r="AM402" s="336"/>
      <c r="AN402" s="336"/>
      <c r="AO402" s="336"/>
      <c r="AP402" s="336"/>
      <c r="AQ402" s="336"/>
      <c r="AR402" s="336"/>
      <c r="AS402" s="336"/>
      <c r="AT402" s="336"/>
      <c r="AU402" s="336"/>
      <c r="AV402" s="336"/>
      <c r="AW402" s="336"/>
      <c r="AX402" s="336"/>
      <c r="AY402" s="336"/>
      <c r="AZ402" s="336"/>
      <c r="BA402" s="336"/>
      <c r="BB402" s="336"/>
      <c r="BC402" s="336"/>
      <c r="BD402" s="336"/>
      <c r="BE402" s="336"/>
      <c r="BF402" s="336"/>
    </row>
    <row r="403" spans="1:58" s="351" customFormat="1" x14ac:dyDescent="0.25">
      <c r="A403" s="336"/>
      <c r="B403" s="336"/>
      <c r="C403" s="336"/>
      <c r="D403" s="336"/>
      <c r="E403" s="336"/>
      <c r="F403" s="336"/>
      <c r="G403" s="336"/>
      <c r="H403" s="336"/>
      <c r="M403" s="352"/>
      <c r="N403" s="353"/>
      <c r="O403" s="353"/>
      <c r="T403" s="377"/>
      <c r="U403" s="352"/>
      <c r="V403" s="352"/>
      <c r="W403" s="352"/>
      <c r="X403" s="375"/>
      <c r="Y403" s="375"/>
      <c r="Z403" s="336"/>
      <c r="AA403" s="353"/>
      <c r="AB403" s="336"/>
      <c r="AC403" s="336"/>
      <c r="AD403" s="336"/>
      <c r="AE403" s="336"/>
      <c r="AF403" s="336"/>
      <c r="AG403" s="336"/>
      <c r="AH403" s="336"/>
      <c r="AI403" s="336"/>
      <c r="AJ403" s="336"/>
      <c r="AK403" s="336"/>
      <c r="AL403" s="336"/>
      <c r="AM403" s="336"/>
      <c r="AN403" s="336"/>
      <c r="AO403" s="336"/>
      <c r="AP403" s="336"/>
      <c r="AQ403" s="336"/>
      <c r="AR403" s="336"/>
      <c r="AS403" s="336"/>
      <c r="AT403" s="336"/>
      <c r="AU403" s="336"/>
      <c r="AV403" s="336"/>
      <c r="AW403" s="336"/>
      <c r="AX403" s="336"/>
      <c r="AY403" s="336"/>
      <c r="AZ403" s="336"/>
      <c r="BA403" s="336"/>
      <c r="BB403" s="336"/>
      <c r="BC403" s="336"/>
      <c r="BD403" s="336"/>
      <c r="BE403" s="336"/>
      <c r="BF403" s="336"/>
    </row>
    <row r="404" spans="1:58" s="351" customFormat="1" x14ac:dyDescent="0.25">
      <c r="A404" s="336"/>
      <c r="B404" s="336"/>
      <c r="C404" s="336"/>
      <c r="D404" s="336"/>
      <c r="E404" s="336"/>
      <c r="F404" s="336"/>
      <c r="G404" s="336"/>
      <c r="H404" s="336"/>
      <c r="M404" s="352"/>
      <c r="N404" s="353"/>
      <c r="O404" s="353"/>
      <c r="T404" s="377"/>
      <c r="U404" s="352"/>
      <c r="V404" s="352"/>
      <c r="W404" s="352"/>
      <c r="X404" s="375"/>
      <c r="Y404" s="375"/>
      <c r="Z404" s="336"/>
      <c r="AA404" s="353"/>
      <c r="AB404" s="336"/>
      <c r="AC404" s="336"/>
      <c r="AD404" s="336"/>
      <c r="AE404" s="336"/>
      <c r="AF404" s="336"/>
      <c r="AG404" s="336"/>
      <c r="AH404" s="336"/>
      <c r="AI404" s="336"/>
      <c r="AJ404" s="336"/>
      <c r="AK404" s="336"/>
      <c r="AL404" s="336"/>
      <c r="AM404" s="336"/>
      <c r="AN404" s="336"/>
      <c r="AO404" s="336"/>
      <c r="AP404" s="336"/>
      <c r="AQ404" s="336"/>
      <c r="AR404" s="336"/>
      <c r="AS404" s="336"/>
      <c r="AT404" s="336"/>
      <c r="AU404" s="336"/>
      <c r="AV404" s="336"/>
      <c r="AW404" s="336"/>
      <c r="AX404" s="336"/>
      <c r="AY404" s="336"/>
      <c r="AZ404" s="336"/>
      <c r="BA404" s="336"/>
      <c r="BB404" s="336"/>
      <c r="BC404" s="336"/>
      <c r="BD404" s="336"/>
      <c r="BE404" s="336"/>
      <c r="BF404" s="336"/>
    </row>
    <row r="405" spans="1:58" s="351" customFormat="1" x14ac:dyDescent="0.25">
      <c r="A405" s="336"/>
      <c r="B405" s="336"/>
      <c r="C405" s="336"/>
      <c r="D405" s="336"/>
      <c r="E405" s="336"/>
      <c r="F405" s="336"/>
      <c r="G405" s="336"/>
      <c r="H405" s="336"/>
      <c r="M405" s="352"/>
      <c r="N405" s="353"/>
      <c r="O405" s="353"/>
      <c r="T405" s="377"/>
      <c r="U405" s="352"/>
      <c r="V405" s="352"/>
      <c r="W405" s="352"/>
      <c r="X405" s="375"/>
      <c r="Y405" s="375"/>
      <c r="Z405" s="336"/>
      <c r="AA405" s="353"/>
      <c r="AB405" s="336"/>
      <c r="AC405" s="336"/>
      <c r="AD405" s="336"/>
      <c r="AE405" s="336"/>
      <c r="AF405" s="336"/>
      <c r="AG405" s="336"/>
      <c r="AH405" s="336"/>
      <c r="AI405" s="336"/>
      <c r="AJ405" s="336"/>
      <c r="AK405" s="336"/>
      <c r="AL405" s="336"/>
      <c r="AM405" s="336"/>
      <c r="AN405" s="336"/>
      <c r="AO405" s="336"/>
      <c r="AP405" s="336"/>
      <c r="AQ405" s="336"/>
      <c r="AR405" s="336"/>
      <c r="AS405" s="336"/>
      <c r="AT405" s="336"/>
      <c r="AU405" s="336"/>
      <c r="AV405" s="336"/>
      <c r="AW405" s="336"/>
      <c r="AX405" s="336"/>
      <c r="AY405" s="336"/>
      <c r="AZ405" s="336"/>
      <c r="BA405" s="336"/>
      <c r="BB405" s="336"/>
      <c r="BC405" s="336"/>
      <c r="BD405" s="336"/>
      <c r="BE405" s="336"/>
      <c r="BF405" s="336"/>
    </row>
    <row r="406" spans="1:58" s="351" customFormat="1" x14ac:dyDescent="0.25">
      <c r="A406" s="336"/>
      <c r="B406" s="336"/>
      <c r="C406" s="336"/>
      <c r="D406" s="336"/>
      <c r="E406" s="336"/>
      <c r="F406" s="336"/>
      <c r="G406" s="336"/>
      <c r="H406" s="336"/>
      <c r="M406" s="352"/>
      <c r="N406" s="353"/>
      <c r="O406" s="353"/>
      <c r="T406" s="377"/>
      <c r="U406" s="352"/>
      <c r="V406" s="352"/>
      <c r="W406" s="352"/>
      <c r="X406" s="375"/>
      <c r="Y406" s="375"/>
      <c r="Z406" s="336"/>
      <c r="AA406" s="353"/>
      <c r="AB406" s="336"/>
      <c r="AC406" s="336"/>
      <c r="AD406" s="336"/>
      <c r="AE406" s="336"/>
      <c r="AF406" s="336"/>
      <c r="AG406" s="336"/>
      <c r="AH406" s="336"/>
      <c r="AI406" s="336"/>
      <c r="AJ406" s="336"/>
      <c r="AK406" s="336"/>
      <c r="AL406" s="336"/>
      <c r="AM406" s="336"/>
      <c r="AN406" s="336"/>
      <c r="AO406" s="336"/>
      <c r="AP406" s="336"/>
      <c r="AQ406" s="336"/>
      <c r="AR406" s="336"/>
      <c r="AS406" s="336"/>
      <c r="AT406" s="336"/>
      <c r="AU406" s="336"/>
      <c r="AV406" s="336"/>
      <c r="AW406" s="336"/>
      <c r="AX406" s="336"/>
      <c r="AY406" s="336"/>
      <c r="AZ406" s="336"/>
      <c r="BA406" s="336"/>
      <c r="BB406" s="336"/>
      <c r="BC406" s="336"/>
      <c r="BD406" s="336"/>
      <c r="BE406" s="336"/>
      <c r="BF406" s="336"/>
    </row>
    <row r="407" spans="1:58" s="351" customFormat="1" x14ac:dyDescent="0.25">
      <c r="A407" s="336"/>
      <c r="B407" s="336"/>
      <c r="C407" s="336"/>
      <c r="D407" s="336"/>
      <c r="E407" s="336"/>
      <c r="F407" s="336"/>
      <c r="G407" s="336"/>
      <c r="H407" s="336"/>
      <c r="M407" s="352"/>
      <c r="N407" s="353"/>
      <c r="O407" s="353"/>
      <c r="T407" s="377"/>
      <c r="U407" s="352"/>
      <c r="V407" s="352"/>
      <c r="W407" s="352"/>
      <c r="X407" s="375"/>
      <c r="Y407" s="375"/>
      <c r="Z407" s="336"/>
      <c r="AA407" s="353"/>
      <c r="AB407" s="336"/>
      <c r="AC407" s="336"/>
      <c r="AD407" s="336"/>
      <c r="AE407" s="336"/>
      <c r="AF407" s="336"/>
      <c r="AG407" s="336"/>
      <c r="AH407" s="336"/>
      <c r="AI407" s="336"/>
      <c r="AJ407" s="336"/>
      <c r="AK407" s="336"/>
      <c r="AL407" s="336"/>
      <c r="AM407" s="336"/>
      <c r="AN407" s="336"/>
      <c r="AO407" s="336"/>
      <c r="AP407" s="336"/>
      <c r="AQ407" s="336"/>
      <c r="AR407" s="336"/>
      <c r="AS407" s="336"/>
      <c r="AT407" s="336"/>
      <c r="AU407" s="336"/>
      <c r="AV407" s="336"/>
      <c r="AW407" s="336"/>
      <c r="AX407" s="336"/>
      <c r="AY407" s="336"/>
      <c r="AZ407" s="336"/>
      <c r="BA407" s="336"/>
      <c r="BB407" s="336"/>
      <c r="BC407" s="336"/>
      <c r="BD407" s="336"/>
      <c r="BE407" s="336"/>
      <c r="BF407" s="336"/>
    </row>
    <row r="408" spans="1:58" s="351" customFormat="1" x14ac:dyDescent="0.25">
      <c r="A408" s="336"/>
      <c r="B408" s="336"/>
      <c r="C408" s="336"/>
      <c r="D408" s="336"/>
      <c r="E408" s="336"/>
      <c r="F408" s="336"/>
      <c r="G408" s="336"/>
      <c r="H408" s="336"/>
      <c r="M408" s="352"/>
      <c r="N408" s="353"/>
      <c r="O408" s="353"/>
      <c r="T408" s="377"/>
      <c r="U408" s="352"/>
      <c r="V408" s="352"/>
      <c r="W408" s="352"/>
      <c r="X408" s="375"/>
      <c r="Y408" s="375"/>
      <c r="Z408" s="336"/>
      <c r="AA408" s="353"/>
      <c r="AB408" s="336"/>
      <c r="AC408" s="336"/>
      <c r="AD408" s="336"/>
      <c r="AE408" s="336"/>
      <c r="AF408" s="336"/>
      <c r="AG408" s="336"/>
      <c r="AH408" s="336"/>
      <c r="AI408" s="336"/>
      <c r="AJ408" s="336"/>
      <c r="AK408" s="336"/>
      <c r="AL408" s="336"/>
      <c r="AM408" s="336"/>
      <c r="AN408" s="336"/>
      <c r="AO408" s="336"/>
      <c r="AP408" s="336"/>
      <c r="AQ408" s="336"/>
      <c r="AR408" s="336"/>
      <c r="AS408" s="336"/>
      <c r="AT408" s="336"/>
      <c r="AU408" s="336"/>
      <c r="AV408" s="336"/>
      <c r="AW408" s="336"/>
      <c r="AX408" s="336"/>
      <c r="AY408" s="336"/>
      <c r="AZ408" s="336"/>
      <c r="BA408" s="336"/>
      <c r="BB408" s="336"/>
      <c r="BC408" s="336"/>
      <c r="BD408" s="336"/>
      <c r="BE408" s="336"/>
      <c r="BF408" s="336"/>
    </row>
    <row r="409" spans="1:58" s="351" customFormat="1" x14ac:dyDescent="0.25">
      <c r="A409" s="336"/>
      <c r="B409" s="336"/>
      <c r="C409" s="336"/>
      <c r="D409" s="336"/>
      <c r="E409" s="336"/>
      <c r="F409" s="336"/>
      <c r="G409" s="336"/>
      <c r="H409" s="336"/>
      <c r="M409" s="352"/>
      <c r="N409" s="353"/>
      <c r="O409" s="353"/>
      <c r="T409" s="377"/>
      <c r="U409" s="352"/>
      <c r="V409" s="352"/>
      <c r="W409" s="352"/>
      <c r="X409" s="375"/>
      <c r="Y409" s="375"/>
      <c r="Z409" s="336"/>
      <c r="AA409" s="353"/>
      <c r="AB409" s="336"/>
      <c r="AC409" s="336"/>
      <c r="AD409" s="336"/>
      <c r="AE409" s="336"/>
      <c r="AF409" s="336"/>
      <c r="AG409" s="336"/>
      <c r="AH409" s="336"/>
      <c r="AI409" s="336"/>
      <c r="AJ409" s="336"/>
      <c r="AK409" s="336"/>
      <c r="AL409" s="336"/>
      <c r="AM409" s="336"/>
      <c r="AN409" s="336"/>
      <c r="AO409" s="336"/>
      <c r="AP409" s="336"/>
      <c r="AQ409" s="336"/>
      <c r="AR409" s="336"/>
      <c r="AS409" s="336"/>
      <c r="AT409" s="336"/>
      <c r="AU409" s="336"/>
      <c r="AV409" s="336"/>
      <c r="AW409" s="336"/>
      <c r="AX409" s="336"/>
      <c r="AY409" s="336"/>
      <c r="AZ409" s="336"/>
      <c r="BA409" s="336"/>
      <c r="BB409" s="336"/>
      <c r="BC409" s="336"/>
      <c r="BD409" s="336"/>
      <c r="BE409" s="336"/>
      <c r="BF409" s="336"/>
    </row>
    <row r="410" spans="1:58" s="351" customFormat="1" x14ac:dyDescent="0.25">
      <c r="A410" s="336"/>
      <c r="B410" s="336"/>
      <c r="C410" s="336"/>
      <c r="D410" s="336"/>
      <c r="E410" s="336"/>
      <c r="F410" s="336"/>
      <c r="G410" s="336"/>
      <c r="H410" s="336"/>
      <c r="M410" s="352"/>
      <c r="N410" s="353"/>
      <c r="O410" s="353"/>
      <c r="T410" s="377"/>
      <c r="U410" s="352"/>
      <c r="V410" s="352"/>
      <c r="W410" s="352"/>
      <c r="X410" s="375"/>
      <c r="Y410" s="375"/>
      <c r="Z410" s="336"/>
      <c r="AA410" s="353"/>
      <c r="AB410" s="336"/>
      <c r="AC410" s="336"/>
      <c r="AD410" s="336"/>
      <c r="AE410" s="336"/>
      <c r="AF410" s="336"/>
      <c r="AG410" s="336"/>
      <c r="AH410" s="336"/>
      <c r="AI410" s="336"/>
      <c r="AJ410" s="336"/>
      <c r="AK410" s="336"/>
      <c r="AL410" s="336"/>
      <c r="AM410" s="336"/>
      <c r="AN410" s="336"/>
      <c r="AO410" s="336"/>
      <c r="AP410" s="336"/>
      <c r="AQ410" s="336"/>
      <c r="AR410" s="336"/>
      <c r="AS410" s="336"/>
      <c r="AT410" s="336"/>
      <c r="AU410" s="336"/>
      <c r="AV410" s="336"/>
      <c r="AW410" s="336"/>
      <c r="AX410" s="336"/>
      <c r="AY410" s="336"/>
      <c r="AZ410" s="336"/>
      <c r="BA410" s="336"/>
      <c r="BB410" s="336"/>
      <c r="BC410" s="336"/>
      <c r="BD410" s="336"/>
      <c r="BE410" s="336"/>
      <c r="BF410" s="336"/>
    </row>
    <row r="411" spans="1:58" s="351" customFormat="1" x14ac:dyDescent="0.25">
      <c r="A411" s="336"/>
      <c r="B411" s="336"/>
      <c r="C411" s="336"/>
      <c r="D411" s="336"/>
      <c r="E411" s="336"/>
      <c r="F411" s="336"/>
      <c r="G411" s="336"/>
      <c r="H411" s="336"/>
      <c r="M411" s="352"/>
      <c r="N411" s="353"/>
      <c r="O411" s="353"/>
      <c r="T411" s="377"/>
      <c r="U411" s="352"/>
      <c r="V411" s="352"/>
      <c r="W411" s="352"/>
      <c r="X411" s="375"/>
      <c r="Y411" s="375"/>
      <c r="Z411" s="336"/>
      <c r="AA411" s="353"/>
      <c r="AB411" s="336"/>
      <c r="AC411" s="336"/>
      <c r="AD411" s="336"/>
      <c r="AE411" s="336"/>
      <c r="AF411" s="336"/>
      <c r="AG411" s="336"/>
      <c r="AH411" s="336"/>
      <c r="AI411" s="336"/>
      <c r="AJ411" s="336"/>
      <c r="AK411" s="336"/>
      <c r="AL411" s="336"/>
      <c r="AM411" s="336"/>
      <c r="AN411" s="336"/>
      <c r="AO411" s="336"/>
      <c r="AP411" s="336"/>
      <c r="AQ411" s="336"/>
      <c r="AR411" s="336"/>
      <c r="AS411" s="336"/>
      <c r="AT411" s="336"/>
      <c r="AU411" s="336"/>
      <c r="AV411" s="336"/>
      <c r="AW411" s="336"/>
      <c r="AX411" s="336"/>
      <c r="AY411" s="336"/>
      <c r="AZ411" s="336"/>
      <c r="BA411" s="336"/>
      <c r="BB411" s="336"/>
      <c r="BC411" s="336"/>
      <c r="BD411" s="336"/>
      <c r="BE411" s="336"/>
      <c r="BF411" s="336"/>
    </row>
    <row r="412" spans="1:58" s="351" customFormat="1" x14ac:dyDescent="0.25">
      <c r="A412" s="336"/>
      <c r="B412" s="336"/>
      <c r="C412" s="336"/>
      <c r="D412" s="336"/>
      <c r="E412" s="336"/>
      <c r="F412" s="336"/>
      <c r="G412" s="336"/>
      <c r="H412" s="336"/>
      <c r="M412" s="352"/>
      <c r="N412" s="353"/>
      <c r="O412" s="353"/>
      <c r="T412" s="377"/>
      <c r="U412" s="352"/>
      <c r="V412" s="352"/>
      <c r="W412" s="352"/>
      <c r="X412" s="375"/>
      <c r="Y412" s="375"/>
      <c r="Z412" s="336"/>
      <c r="AA412" s="353"/>
      <c r="AB412" s="336"/>
      <c r="AC412" s="336"/>
      <c r="AD412" s="336"/>
      <c r="AE412" s="336"/>
      <c r="AF412" s="336"/>
      <c r="AG412" s="336"/>
      <c r="AH412" s="336"/>
      <c r="AI412" s="336"/>
      <c r="AJ412" s="336"/>
      <c r="AK412" s="336"/>
      <c r="AL412" s="336"/>
      <c r="AM412" s="336"/>
      <c r="AN412" s="336"/>
      <c r="AO412" s="336"/>
      <c r="AP412" s="336"/>
      <c r="AQ412" s="336"/>
      <c r="AR412" s="336"/>
      <c r="AS412" s="336"/>
      <c r="AT412" s="336"/>
      <c r="AU412" s="336"/>
      <c r="AV412" s="336"/>
      <c r="AW412" s="336"/>
      <c r="AX412" s="336"/>
      <c r="AY412" s="336"/>
      <c r="AZ412" s="336"/>
      <c r="BA412" s="336"/>
      <c r="BB412" s="336"/>
      <c r="BC412" s="336"/>
      <c r="BD412" s="336"/>
      <c r="BE412" s="336"/>
      <c r="BF412" s="336"/>
    </row>
    <row r="413" spans="1:58" s="351" customFormat="1" x14ac:dyDescent="0.25">
      <c r="A413" s="336"/>
      <c r="B413" s="336"/>
      <c r="C413" s="336"/>
      <c r="D413" s="336"/>
      <c r="E413" s="336"/>
      <c r="F413" s="336"/>
      <c r="G413" s="336"/>
      <c r="H413" s="336"/>
      <c r="M413" s="352"/>
      <c r="N413" s="353"/>
      <c r="O413" s="353"/>
      <c r="T413" s="377"/>
      <c r="U413" s="352"/>
      <c r="V413" s="352"/>
      <c r="W413" s="352"/>
      <c r="X413" s="375"/>
      <c r="Y413" s="375"/>
      <c r="Z413" s="336"/>
      <c r="AA413" s="353"/>
      <c r="AB413" s="336"/>
      <c r="AC413" s="336"/>
      <c r="AD413" s="336"/>
      <c r="AE413" s="336"/>
      <c r="AF413" s="336"/>
      <c r="AG413" s="336"/>
      <c r="AH413" s="336"/>
      <c r="AI413" s="336"/>
      <c r="AJ413" s="336"/>
      <c r="AK413" s="336"/>
      <c r="AL413" s="336"/>
      <c r="AM413" s="336"/>
      <c r="AN413" s="336"/>
      <c r="AO413" s="336"/>
      <c r="AP413" s="336"/>
      <c r="AQ413" s="336"/>
      <c r="AR413" s="336"/>
      <c r="AS413" s="336"/>
      <c r="AT413" s="336"/>
      <c r="AU413" s="336"/>
      <c r="AV413" s="336"/>
      <c r="AW413" s="336"/>
      <c r="AX413" s="336"/>
      <c r="AY413" s="336"/>
      <c r="AZ413" s="336"/>
      <c r="BA413" s="336"/>
      <c r="BB413" s="336"/>
      <c r="BC413" s="336"/>
      <c r="BD413" s="336"/>
      <c r="BE413" s="336"/>
      <c r="BF413" s="336"/>
    </row>
    <row r="414" spans="1:58" s="351" customFormat="1" x14ac:dyDescent="0.25">
      <c r="A414" s="336"/>
      <c r="B414" s="336"/>
      <c r="C414" s="336"/>
      <c r="D414" s="336"/>
      <c r="E414" s="336"/>
      <c r="F414" s="336"/>
      <c r="G414" s="336"/>
      <c r="H414" s="336"/>
      <c r="M414" s="352"/>
      <c r="N414" s="353"/>
      <c r="O414" s="353"/>
      <c r="T414" s="377"/>
      <c r="U414" s="352"/>
      <c r="V414" s="352"/>
      <c r="W414" s="352"/>
      <c r="X414" s="375"/>
      <c r="Y414" s="375"/>
      <c r="Z414" s="336"/>
      <c r="AA414" s="353"/>
      <c r="AB414" s="336"/>
      <c r="AC414" s="336"/>
      <c r="AD414" s="336"/>
      <c r="AE414" s="336"/>
      <c r="AF414" s="336"/>
      <c r="AG414" s="336"/>
      <c r="AH414" s="336"/>
      <c r="AI414" s="336"/>
      <c r="AJ414" s="336"/>
      <c r="AK414" s="336"/>
      <c r="AL414" s="336"/>
      <c r="AM414" s="336"/>
      <c r="AN414" s="336"/>
      <c r="AO414" s="336"/>
      <c r="AP414" s="336"/>
      <c r="AQ414" s="336"/>
      <c r="AR414" s="336"/>
      <c r="AS414" s="336"/>
      <c r="AT414" s="336"/>
      <c r="AU414" s="336"/>
      <c r="AV414" s="336"/>
      <c r="AW414" s="336"/>
      <c r="AX414" s="336"/>
      <c r="AY414" s="336"/>
      <c r="AZ414" s="336"/>
      <c r="BA414" s="336"/>
      <c r="BB414" s="336"/>
      <c r="BC414" s="336"/>
      <c r="BD414" s="336"/>
      <c r="BE414" s="336"/>
      <c r="BF414" s="336"/>
    </row>
    <row r="415" spans="1:58" s="351" customFormat="1" x14ac:dyDescent="0.25">
      <c r="A415" s="336"/>
      <c r="B415" s="336"/>
      <c r="C415" s="336"/>
      <c r="D415" s="336"/>
      <c r="E415" s="336"/>
      <c r="F415" s="336"/>
      <c r="G415" s="336"/>
      <c r="H415" s="336"/>
      <c r="M415" s="352"/>
      <c r="N415" s="353"/>
      <c r="O415" s="353"/>
      <c r="T415" s="377"/>
      <c r="U415" s="352"/>
      <c r="V415" s="352"/>
      <c r="W415" s="352"/>
      <c r="X415" s="375"/>
      <c r="Y415" s="375"/>
      <c r="Z415" s="336"/>
      <c r="AA415" s="353"/>
      <c r="AB415" s="336"/>
      <c r="AC415" s="336"/>
      <c r="AD415" s="336"/>
      <c r="AE415" s="336"/>
      <c r="AF415" s="336"/>
      <c r="AG415" s="336"/>
      <c r="AH415" s="336"/>
      <c r="AI415" s="336"/>
      <c r="AJ415" s="336"/>
      <c r="AK415" s="336"/>
      <c r="AL415" s="336"/>
      <c r="AM415" s="336"/>
      <c r="AN415" s="336"/>
      <c r="AO415" s="336"/>
      <c r="AP415" s="336"/>
      <c r="AQ415" s="336"/>
      <c r="AR415" s="336"/>
      <c r="AS415" s="336"/>
      <c r="AT415" s="336"/>
      <c r="AU415" s="336"/>
      <c r="AV415" s="336"/>
      <c r="AW415" s="336"/>
      <c r="AX415" s="336"/>
      <c r="AY415" s="336"/>
      <c r="AZ415" s="336"/>
      <c r="BA415" s="336"/>
      <c r="BB415" s="336"/>
      <c r="BC415" s="336"/>
      <c r="BD415" s="336"/>
      <c r="BE415" s="336"/>
      <c r="BF415" s="336"/>
    </row>
    <row r="416" spans="1:58" s="351" customFormat="1" x14ac:dyDescent="0.25">
      <c r="A416" s="336"/>
      <c r="B416" s="336"/>
      <c r="C416" s="336"/>
      <c r="D416" s="336"/>
      <c r="E416" s="336"/>
      <c r="F416" s="336"/>
      <c r="G416" s="336"/>
      <c r="H416" s="336"/>
      <c r="M416" s="352"/>
      <c r="N416" s="353"/>
      <c r="O416" s="353"/>
      <c r="T416" s="377"/>
      <c r="U416" s="352"/>
      <c r="V416" s="352"/>
      <c r="W416" s="352"/>
      <c r="X416" s="375"/>
      <c r="Y416" s="375"/>
      <c r="Z416" s="336"/>
      <c r="AA416" s="353"/>
      <c r="AB416" s="336"/>
      <c r="AC416" s="336"/>
      <c r="AD416" s="336"/>
      <c r="AE416" s="336"/>
      <c r="AF416" s="336"/>
      <c r="AG416" s="336"/>
      <c r="AH416" s="336"/>
      <c r="AI416" s="336"/>
      <c r="AJ416" s="336"/>
      <c r="AK416" s="336"/>
      <c r="AL416" s="336"/>
      <c r="AM416" s="336"/>
      <c r="AN416" s="336"/>
      <c r="AO416" s="336"/>
      <c r="AP416" s="336"/>
      <c r="AQ416" s="336"/>
      <c r="AR416" s="336"/>
      <c r="AS416" s="336"/>
      <c r="AT416" s="336"/>
      <c r="AU416" s="336"/>
      <c r="AV416" s="336"/>
      <c r="AW416" s="336"/>
      <c r="AX416" s="336"/>
      <c r="AY416" s="336"/>
      <c r="AZ416" s="336"/>
      <c r="BA416" s="336"/>
      <c r="BB416" s="336"/>
      <c r="BC416" s="336"/>
      <c r="BD416" s="336"/>
      <c r="BE416" s="336"/>
      <c r="BF416" s="336"/>
    </row>
    <row r="417" spans="1:58" s="351" customFormat="1" x14ac:dyDescent="0.25">
      <c r="A417" s="336"/>
      <c r="B417" s="336"/>
      <c r="C417" s="336"/>
      <c r="D417" s="336"/>
      <c r="E417" s="336"/>
      <c r="F417" s="336"/>
      <c r="G417" s="336"/>
      <c r="H417" s="336"/>
      <c r="M417" s="352"/>
      <c r="N417" s="353"/>
      <c r="O417" s="353"/>
      <c r="T417" s="377"/>
      <c r="U417" s="352"/>
      <c r="V417" s="352"/>
      <c r="W417" s="352"/>
      <c r="X417" s="375"/>
      <c r="Y417" s="375"/>
      <c r="Z417" s="336"/>
      <c r="AA417" s="353"/>
      <c r="AB417" s="336"/>
      <c r="AC417" s="336"/>
      <c r="AD417" s="336"/>
      <c r="AE417" s="336"/>
      <c r="AF417" s="336"/>
      <c r="AG417" s="336"/>
      <c r="AH417" s="336"/>
      <c r="AI417" s="336"/>
      <c r="AJ417" s="336"/>
      <c r="AK417" s="336"/>
      <c r="AL417" s="336"/>
      <c r="AM417" s="336"/>
      <c r="AN417" s="336"/>
      <c r="AO417" s="336"/>
      <c r="AP417" s="336"/>
      <c r="AQ417" s="336"/>
      <c r="AR417" s="336"/>
      <c r="AS417" s="336"/>
      <c r="AT417" s="336"/>
      <c r="AU417" s="336"/>
      <c r="AV417" s="336"/>
      <c r="AW417" s="336"/>
      <c r="AX417" s="336"/>
      <c r="AY417" s="336"/>
      <c r="AZ417" s="336"/>
      <c r="BA417" s="336"/>
      <c r="BB417" s="336"/>
      <c r="BC417" s="336"/>
      <c r="BD417" s="336"/>
      <c r="BE417" s="336"/>
      <c r="BF417" s="336"/>
    </row>
    <row r="418" spans="1:58" s="351" customFormat="1" x14ac:dyDescent="0.25">
      <c r="A418" s="336"/>
      <c r="B418" s="336"/>
      <c r="C418" s="336"/>
      <c r="D418" s="336"/>
      <c r="E418" s="336"/>
      <c r="F418" s="336"/>
      <c r="G418" s="336"/>
      <c r="H418" s="336"/>
      <c r="M418" s="352"/>
      <c r="N418" s="353"/>
      <c r="O418" s="353"/>
      <c r="T418" s="377"/>
      <c r="U418" s="352"/>
      <c r="V418" s="352"/>
      <c r="W418" s="352"/>
      <c r="X418" s="375"/>
      <c r="Y418" s="375"/>
      <c r="Z418" s="336"/>
      <c r="AA418" s="353"/>
      <c r="AB418" s="336"/>
      <c r="AC418" s="336"/>
      <c r="AD418" s="336"/>
      <c r="AE418" s="336"/>
      <c r="AF418" s="336"/>
      <c r="AG418" s="336"/>
      <c r="AH418" s="336"/>
      <c r="AI418" s="336"/>
      <c r="AJ418" s="336"/>
      <c r="AK418" s="336"/>
      <c r="AL418" s="336"/>
      <c r="AM418" s="336"/>
      <c r="AN418" s="336"/>
      <c r="AO418" s="336"/>
      <c r="AP418" s="336"/>
      <c r="AQ418" s="336"/>
      <c r="AR418" s="336"/>
      <c r="AS418" s="336"/>
      <c r="AT418" s="336"/>
      <c r="AU418" s="336"/>
      <c r="AV418" s="336"/>
      <c r="AW418" s="336"/>
      <c r="AX418" s="336"/>
      <c r="AY418" s="336"/>
      <c r="AZ418" s="336"/>
      <c r="BA418" s="336"/>
      <c r="BB418" s="336"/>
      <c r="BC418" s="336"/>
      <c r="BD418" s="336"/>
      <c r="BE418" s="336"/>
      <c r="BF418" s="336"/>
    </row>
    <row r="419" spans="1:58" s="351" customFormat="1" x14ac:dyDescent="0.25">
      <c r="A419" s="336"/>
      <c r="B419" s="336"/>
      <c r="C419" s="336"/>
      <c r="D419" s="336"/>
      <c r="E419" s="336"/>
      <c r="F419" s="336"/>
      <c r="G419" s="336"/>
      <c r="H419" s="336"/>
      <c r="M419" s="352"/>
      <c r="N419" s="353"/>
      <c r="O419" s="353"/>
      <c r="T419" s="377"/>
      <c r="U419" s="352"/>
      <c r="V419" s="352"/>
      <c r="W419" s="352"/>
      <c r="X419" s="375"/>
      <c r="Y419" s="375"/>
      <c r="Z419" s="336"/>
      <c r="AA419" s="353"/>
      <c r="AB419" s="336"/>
      <c r="AC419" s="336"/>
      <c r="AD419" s="336"/>
      <c r="AE419" s="336"/>
      <c r="AF419" s="336"/>
      <c r="AG419" s="336"/>
      <c r="AH419" s="336"/>
      <c r="AI419" s="336"/>
      <c r="AJ419" s="336"/>
      <c r="AK419" s="336"/>
      <c r="AL419" s="336"/>
      <c r="AM419" s="336"/>
      <c r="AN419" s="336"/>
      <c r="AO419" s="336"/>
      <c r="AP419" s="336"/>
      <c r="AQ419" s="336"/>
      <c r="AR419" s="336"/>
      <c r="AS419" s="336"/>
      <c r="AT419" s="336"/>
      <c r="AU419" s="336"/>
      <c r="AV419" s="336"/>
      <c r="AW419" s="336"/>
      <c r="AX419" s="336"/>
      <c r="AY419" s="336"/>
      <c r="AZ419" s="336"/>
      <c r="BA419" s="336"/>
      <c r="BB419" s="336"/>
      <c r="BC419" s="336"/>
      <c r="BD419" s="336"/>
      <c r="BE419" s="336"/>
      <c r="BF419" s="336"/>
    </row>
    <row r="420" spans="1:58" s="351" customFormat="1" x14ac:dyDescent="0.25">
      <c r="A420" s="336"/>
      <c r="B420" s="336"/>
      <c r="C420" s="336"/>
      <c r="D420" s="336"/>
      <c r="E420" s="336"/>
      <c r="F420" s="336"/>
      <c r="G420" s="336"/>
      <c r="H420" s="336"/>
      <c r="M420" s="352"/>
      <c r="N420" s="353"/>
      <c r="O420" s="353"/>
      <c r="T420" s="377"/>
      <c r="U420" s="352"/>
      <c r="V420" s="352"/>
      <c r="W420" s="352"/>
      <c r="X420" s="375"/>
      <c r="Y420" s="375"/>
      <c r="Z420" s="336"/>
      <c r="AA420" s="353"/>
      <c r="AB420" s="336"/>
      <c r="AC420" s="336"/>
      <c r="AD420" s="336"/>
      <c r="AE420" s="336"/>
      <c r="AF420" s="336"/>
      <c r="AG420" s="336"/>
      <c r="AH420" s="336"/>
      <c r="AI420" s="336"/>
      <c r="AJ420" s="336"/>
      <c r="AK420" s="336"/>
      <c r="AL420" s="336"/>
      <c r="AM420" s="336"/>
      <c r="AN420" s="336"/>
      <c r="AO420" s="336"/>
      <c r="AP420" s="336"/>
      <c r="AQ420" s="336"/>
      <c r="AR420" s="336"/>
      <c r="AS420" s="336"/>
      <c r="AT420" s="336"/>
      <c r="AU420" s="336"/>
      <c r="AV420" s="336"/>
      <c r="AW420" s="336"/>
      <c r="AX420" s="336"/>
      <c r="AY420" s="336"/>
      <c r="AZ420" s="336"/>
      <c r="BA420" s="336"/>
      <c r="BB420" s="336"/>
      <c r="BC420" s="336"/>
      <c r="BD420" s="336"/>
      <c r="BE420" s="336"/>
      <c r="BF420" s="336"/>
    </row>
    <row r="421" spans="1:58" s="351" customFormat="1" x14ac:dyDescent="0.25">
      <c r="A421" s="336"/>
      <c r="B421" s="336"/>
      <c r="C421" s="336"/>
      <c r="D421" s="336"/>
      <c r="E421" s="336"/>
      <c r="F421" s="336"/>
      <c r="G421" s="336"/>
      <c r="H421" s="336"/>
      <c r="M421" s="352"/>
      <c r="N421" s="353"/>
      <c r="O421" s="353"/>
      <c r="T421" s="377"/>
      <c r="U421" s="352"/>
      <c r="V421" s="352"/>
      <c r="W421" s="352"/>
      <c r="X421" s="375"/>
      <c r="Y421" s="375"/>
      <c r="Z421" s="336"/>
      <c r="AA421" s="353"/>
      <c r="AB421" s="336"/>
      <c r="AC421" s="336"/>
      <c r="AD421" s="336"/>
      <c r="AE421" s="336"/>
      <c r="AF421" s="336"/>
      <c r="AG421" s="336"/>
      <c r="AH421" s="336"/>
      <c r="AI421" s="336"/>
      <c r="AJ421" s="336"/>
      <c r="AK421" s="336"/>
      <c r="AL421" s="336"/>
      <c r="AM421" s="336"/>
      <c r="AN421" s="336"/>
      <c r="AO421" s="336"/>
      <c r="AP421" s="336"/>
      <c r="AQ421" s="336"/>
      <c r="AR421" s="336"/>
      <c r="AS421" s="336"/>
      <c r="AT421" s="336"/>
      <c r="AU421" s="336"/>
      <c r="AV421" s="336"/>
      <c r="AW421" s="336"/>
      <c r="AX421" s="336"/>
      <c r="AY421" s="336"/>
      <c r="AZ421" s="336"/>
      <c r="BA421" s="336"/>
      <c r="BB421" s="336"/>
      <c r="BC421" s="336"/>
      <c r="BD421" s="336"/>
      <c r="BE421" s="336"/>
      <c r="BF421" s="336"/>
    </row>
  </sheetData>
  <autoFilter ref="A3:AZ3" xr:uid="{00000000-0009-0000-0000-000003000000}"/>
  <mergeCells count="35">
    <mergeCell ref="N64:N65"/>
    <mergeCell ref="N67:N68"/>
    <mergeCell ref="N70:N71"/>
    <mergeCell ref="N72:N73"/>
    <mergeCell ref="N78:N79"/>
    <mergeCell ref="N52:N53"/>
    <mergeCell ref="N54:N55"/>
    <mergeCell ref="N56:N57"/>
    <mergeCell ref="N58:N59"/>
    <mergeCell ref="N60:N61"/>
    <mergeCell ref="N62:N63"/>
    <mergeCell ref="N40:N41"/>
    <mergeCell ref="N42:N43"/>
    <mergeCell ref="N44:N45"/>
    <mergeCell ref="N46:N47"/>
    <mergeCell ref="N48:N49"/>
    <mergeCell ref="N50:N51"/>
    <mergeCell ref="N28:N29"/>
    <mergeCell ref="N30:N31"/>
    <mergeCell ref="N32:N33"/>
    <mergeCell ref="N34:N35"/>
    <mergeCell ref="N36:N37"/>
    <mergeCell ref="N38:N39"/>
    <mergeCell ref="N16:N17"/>
    <mergeCell ref="N18:N19"/>
    <mergeCell ref="N20:N21"/>
    <mergeCell ref="N22:N23"/>
    <mergeCell ref="N24:N25"/>
    <mergeCell ref="N26:N27"/>
    <mergeCell ref="N4:N5"/>
    <mergeCell ref="N6:N7"/>
    <mergeCell ref="N8:N9"/>
    <mergeCell ref="N10:N11"/>
    <mergeCell ref="N12:N13"/>
    <mergeCell ref="N14:N15"/>
  </mergeCells>
  <pageMargins left="0" right="0" top="0.75" bottom="0" header="0.3" footer="0.3"/>
  <pageSetup scale="55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EE168-4E2B-4408-AA83-8AB61A7FB150}">
  <dimension ref="A1:BI343"/>
  <sheetViews>
    <sheetView topLeftCell="Y1" zoomScale="70" zoomScaleNormal="70" workbookViewId="0">
      <pane ySplit="3" topLeftCell="A4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1" width="8.5703125" style="336" customWidth="1"/>
    <col min="2" max="2" width="20.42578125" style="336" customWidth="1"/>
    <col min="3" max="3" width="27.28515625" style="336" customWidth="1"/>
    <col min="4" max="4" width="20.28515625" style="336" customWidth="1"/>
    <col min="5" max="5" width="21.42578125" style="336" customWidth="1"/>
    <col min="6" max="6" width="23.85546875" style="336" customWidth="1"/>
    <col min="7" max="7" width="9.7109375" style="336" customWidth="1"/>
    <col min="8" max="8" width="9.140625" style="336"/>
    <col min="9" max="12" width="12.42578125" style="351" customWidth="1"/>
    <col min="13" max="13" width="9.7109375" style="352" customWidth="1"/>
    <col min="14" max="14" width="15.140625" style="353" customWidth="1"/>
    <col min="15" max="15" width="14.42578125" style="351" customWidth="1"/>
    <col min="16" max="16" width="14.28515625" style="351" customWidth="1"/>
    <col min="17" max="19" width="10.42578125" style="351" customWidth="1"/>
    <col min="20" max="20" width="12.7109375" style="377" customWidth="1"/>
    <col min="21" max="22" width="11.7109375" style="352" customWidth="1"/>
    <col min="23" max="23" width="18.140625" style="352" customWidth="1"/>
    <col min="24" max="24" width="36" style="375" customWidth="1"/>
    <col min="25" max="25" width="19.140625" style="375" customWidth="1"/>
    <col min="26" max="26" width="29.85546875" style="336" customWidth="1"/>
    <col min="27" max="27" width="12.140625" style="353" customWidth="1"/>
    <col min="28" max="32" width="11.5703125" style="336" customWidth="1"/>
    <col min="33" max="35" width="12.5703125" style="336" customWidth="1"/>
    <col min="36" max="36" width="14.140625" style="336" customWidth="1"/>
    <col min="37" max="37" width="14.7109375" style="336" customWidth="1"/>
    <col min="38" max="38" width="11.140625" style="336" customWidth="1"/>
    <col min="39" max="39" width="19" style="336" customWidth="1"/>
    <col min="40" max="40" width="14.5703125" style="336" customWidth="1"/>
    <col min="41" max="41" width="14" style="336" customWidth="1"/>
    <col min="42" max="42" width="11.28515625" style="336" customWidth="1"/>
    <col min="43" max="46" width="13.42578125" style="336" customWidth="1"/>
    <col min="47" max="47" width="17.140625" style="336" customWidth="1"/>
    <col min="48" max="48" width="9.140625" style="336" customWidth="1"/>
    <col min="49" max="51" width="12" style="336" customWidth="1"/>
    <col min="52" max="52" width="11.28515625" style="336" customWidth="1"/>
    <col min="53" max="66" width="9.140625" style="336" customWidth="1"/>
    <col min="67" max="16384" width="9.140625" style="336"/>
  </cols>
  <sheetData>
    <row r="1" spans="1:61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73"/>
      <c r="R1" s="334" t="s">
        <v>18</v>
      </c>
      <c r="S1" s="334" t="s">
        <v>5116</v>
      </c>
      <c r="T1" s="374"/>
      <c r="U1" s="334"/>
      <c r="V1" s="334"/>
      <c r="W1" s="334"/>
      <c r="AA1" s="334"/>
      <c r="AB1" s="334"/>
      <c r="AC1" s="334"/>
      <c r="AD1" s="334"/>
      <c r="AE1" s="334"/>
      <c r="AF1" s="334"/>
      <c r="AQ1" s="334"/>
      <c r="AR1" s="334"/>
      <c r="AS1" s="334"/>
      <c r="AT1" s="334"/>
    </row>
    <row r="2" spans="1:61" ht="20.25" x14ac:dyDescent="0.25">
      <c r="Q2" s="376"/>
      <c r="R2" s="334" t="s">
        <v>13</v>
      </c>
      <c r="S2" s="334" t="s">
        <v>5117</v>
      </c>
    </row>
    <row r="3" spans="1:61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5118</v>
      </c>
      <c r="J3" s="338" t="s">
        <v>81</v>
      </c>
      <c r="K3" s="339" t="s">
        <v>3797</v>
      </c>
      <c r="L3" s="339" t="s">
        <v>3798</v>
      </c>
      <c r="M3" s="340" t="s">
        <v>84</v>
      </c>
      <c r="N3" s="341" t="s">
        <v>85</v>
      </c>
      <c r="O3" s="378" t="s">
        <v>5119</v>
      </c>
      <c r="P3" s="338" t="s">
        <v>5120</v>
      </c>
      <c r="Q3" s="366" t="s">
        <v>4190</v>
      </c>
      <c r="R3" s="366" t="s">
        <v>9</v>
      </c>
      <c r="S3" s="366" t="s">
        <v>10</v>
      </c>
      <c r="T3" s="379"/>
      <c r="U3" s="338" t="s">
        <v>5121</v>
      </c>
      <c r="V3" s="338"/>
      <c r="W3" s="338"/>
      <c r="X3" s="338" t="s">
        <v>88</v>
      </c>
      <c r="Y3" s="338"/>
      <c r="Z3" s="338"/>
      <c r="AA3" s="342" t="s">
        <v>3801</v>
      </c>
      <c r="AB3" s="343" t="s">
        <v>3802</v>
      </c>
      <c r="AC3" s="161" t="s">
        <v>3803</v>
      </c>
      <c r="AD3" s="162" t="s">
        <v>3804</v>
      </c>
      <c r="AE3" s="344" t="s">
        <v>3805</v>
      </c>
      <c r="AF3" s="164" t="s">
        <v>3806</v>
      </c>
      <c r="AG3" s="345" t="s">
        <v>3807</v>
      </c>
      <c r="AH3" s="346" t="s">
        <v>3808</v>
      </c>
      <c r="AI3" s="167" t="s">
        <v>3809</v>
      </c>
      <c r="AJ3" s="343" t="s">
        <v>3810</v>
      </c>
      <c r="AK3" s="338" t="s">
        <v>91</v>
      </c>
      <c r="AL3" s="338" t="s">
        <v>92</v>
      </c>
      <c r="AM3" s="337" t="s">
        <v>93</v>
      </c>
      <c r="AN3" s="337" t="s">
        <v>94</v>
      </c>
      <c r="AO3" s="347" t="s">
        <v>95</v>
      </c>
      <c r="AP3" s="347" t="s">
        <v>96</v>
      </c>
      <c r="AU3" s="337" t="s">
        <v>100</v>
      </c>
      <c r="AV3" s="337" t="s">
        <v>101</v>
      </c>
      <c r="AW3" s="348" t="s">
        <v>3814</v>
      </c>
      <c r="AX3" s="348" t="s">
        <v>3815</v>
      </c>
      <c r="AY3" s="348" t="s">
        <v>4351</v>
      </c>
      <c r="AZ3" s="348" t="s">
        <v>3817</v>
      </c>
    </row>
    <row r="4" spans="1:61" s="142" customFormat="1" ht="21" customHeight="1" x14ac:dyDescent="0.25">
      <c r="C4" s="361"/>
      <c r="F4" s="361"/>
      <c r="I4" s="187"/>
      <c r="J4" s="187"/>
      <c r="K4" s="187"/>
      <c r="L4" s="187"/>
      <c r="M4" s="393"/>
      <c r="N4" s="149"/>
      <c r="O4" s="215"/>
      <c r="P4" s="364"/>
      <c r="Q4" s="149"/>
      <c r="R4" s="149"/>
      <c r="S4" s="149"/>
      <c r="T4" s="394"/>
      <c r="U4" s="393"/>
      <c r="V4" s="362"/>
      <c r="W4" s="395"/>
      <c r="AH4" s="216"/>
      <c r="AI4" s="216"/>
      <c r="AJ4" s="396"/>
      <c r="AK4" s="396"/>
      <c r="AL4" s="216"/>
      <c r="AM4" s="216"/>
      <c r="AN4" s="216"/>
      <c r="AO4" s="216"/>
      <c r="AP4" s="216"/>
      <c r="AQ4" s="216"/>
      <c r="AR4" s="216"/>
      <c r="AS4" s="216"/>
      <c r="AT4" s="217"/>
      <c r="AW4" s="218"/>
      <c r="AX4" s="218"/>
      <c r="AY4" s="218"/>
      <c r="AZ4" s="218"/>
      <c r="BA4" s="218"/>
      <c r="BC4" s="218"/>
      <c r="BD4" s="149"/>
      <c r="BE4" s="149"/>
      <c r="BF4" s="149"/>
      <c r="BG4" s="149"/>
      <c r="BH4" s="149"/>
      <c r="BI4" s="149"/>
    </row>
    <row r="5" spans="1:61" s="142" customFormat="1" ht="21" customHeight="1" x14ac:dyDescent="0.25">
      <c r="A5" s="386"/>
      <c r="B5" s="387"/>
      <c r="I5" s="187"/>
      <c r="J5" s="336"/>
      <c r="K5" s="336"/>
      <c r="L5" s="336"/>
      <c r="M5" s="188"/>
      <c r="N5" s="336"/>
      <c r="O5" s="215"/>
      <c r="P5" s="215"/>
      <c r="Q5" s="388"/>
      <c r="R5" s="215"/>
      <c r="S5" s="216"/>
      <c r="T5" s="389"/>
      <c r="U5" s="216"/>
      <c r="V5" s="216"/>
      <c r="W5" s="216"/>
      <c r="X5" s="216"/>
      <c r="Y5" s="217"/>
      <c r="Z5" s="390"/>
      <c r="AE5" s="218"/>
      <c r="AF5" s="218"/>
      <c r="AG5" s="218"/>
      <c r="AH5" s="218"/>
      <c r="AI5" s="218"/>
      <c r="AJ5" s="218"/>
      <c r="AK5" s="218"/>
      <c r="AM5" s="391"/>
      <c r="AP5" s="149"/>
      <c r="AQ5" s="149"/>
      <c r="AR5" s="149"/>
      <c r="AS5" s="149"/>
      <c r="AT5" s="390"/>
      <c r="BE5" s="387"/>
    </row>
    <row r="6" spans="1:61" s="361" customFormat="1" x14ac:dyDescent="0.25">
      <c r="E6" s="365" t="s">
        <v>3774</v>
      </c>
      <c r="I6" s="362"/>
      <c r="J6" s="362"/>
      <c r="K6" s="363"/>
      <c r="L6" s="214"/>
      <c r="M6" s="214"/>
      <c r="N6" s="354">
        <f>SUBTOTAL(9,N4:N5)</f>
        <v>0</v>
      </c>
      <c r="O6" s="354">
        <f>SUBTOTAL(9,O4:O5)</f>
        <v>0</v>
      </c>
      <c r="Q6" s="354">
        <f>SUBTOTAL(9,Q4:Q5)</f>
        <v>0</v>
      </c>
      <c r="R6" s="354">
        <f>SUBTOTAL(9,R4:R5)</f>
        <v>0</v>
      </c>
      <c r="S6" s="354">
        <f>SUBTOTAL(9,S4:S5)</f>
        <v>0</v>
      </c>
      <c r="T6" s="392"/>
    </row>
    <row r="7" spans="1:61" x14ac:dyDescent="0.25">
      <c r="I7" s="336"/>
      <c r="J7" s="336"/>
      <c r="K7" s="352"/>
      <c r="L7" s="375"/>
      <c r="M7" s="375"/>
      <c r="N7" s="336"/>
      <c r="O7" s="353"/>
      <c r="P7" s="336"/>
      <c r="Q7" s="336"/>
      <c r="R7" s="336"/>
      <c r="S7" s="336"/>
      <c r="U7" s="336"/>
      <c r="V7" s="336"/>
      <c r="W7" s="336"/>
      <c r="X7" s="336"/>
      <c r="Y7" s="336"/>
      <c r="AA7" s="336"/>
    </row>
    <row r="8" spans="1:61" x14ac:dyDescent="0.25">
      <c r="F8" s="142"/>
      <c r="I8" s="336"/>
      <c r="J8" s="336"/>
      <c r="K8" s="352"/>
      <c r="L8" s="375"/>
      <c r="M8" s="375"/>
      <c r="N8" s="336"/>
      <c r="O8" s="353"/>
      <c r="P8" s="353"/>
      <c r="Q8" s="336"/>
      <c r="R8" s="336"/>
      <c r="S8" s="336"/>
      <c r="U8" s="336"/>
      <c r="V8" s="336"/>
      <c r="W8" s="336"/>
      <c r="X8" s="336"/>
      <c r="Y8" s="336"/>
      <c r="AA8" s="336"/>
    </row>
    <row r="9" spans="1:61" x14ac:dyDescent="0.25">
      <c r="I9" s="336"/>
      <c r="J9" s="336"/>
      <c r="K9" s="336"/>
      <c r="L9" s="336"/>
      <c r="M9" s="375"/>
      <c r="N9" s="336"/>
      <c r="O9" s="353"/>
      <c r="P9" s="336"/>
      <c r="Q9" s="336"/>
      <c r="R9" s="353"/>
      <c r="S9" s="336"/>
      <c r="U9" s="336"/>
      <c r="V9" s="336"/>
      <c r="W9" s="336"/>
      <c r="X9" s="336"/>
      <c r="Y9" s="336"/>
      <c r="AA9" s="336"/>
    </row>
    <row r="10" spans="1:61" x14ac:dyDescent="0.25">
      <c r="I10" s="336"/>
      <c r="J10" s="336"/>
      <c r="K10" s="336"/>
      <c r="L10" s="336"/>
      <c r="M10" s="375"/>
      <c r="N10" s="336"/>
      <c r="O10" s="353"/>
      <c r="P10" s="336"/>
      <c r="Q10" s="336"/>
      <c r="R10" s="336"/>
      <c r="S10" s="336"/>
      <c r="U10" s="336"/>
      <c r="V10" s="336"/>
      <c r="W10" s="336"/>
      <c r="X10" s="336"/>
      <c r="Y10" s="336"/>
      <c r="AA10" s="336"/>
    </row>
    <row r="11" spans="1:61" x14ac:dyDescent="0.25">
      <c r="I11" s="336"/>
      <c r="J11" s="336"/>
      <c r="K11" s="352"/>
      <c r="L11" s="375"/>
      <c r="M11" s="375"/>
      <c r="N11" s="336"/>
      <c r="O11" s="353"/>
      <c r="P11" s="336"/>
      <c r="Q11" s="336"/>
      <c r="R11" s="336"/>
      <c r="S11" s="336"/>
      <c r="U11" s="336"/>
      <c r="V11" s="336"/>
      <c r="W11" s="336"/>
      <c r="X11" s="336"/>
      <c r="Y11" s="336"/>
      <c r="AA11" s="336"/>
    </row>
    <row r="12" spans="1:61" x14ac:dyDescent="0.25">
      <c r="I12" s="336"/>
      <c r="J12" s="336"/>
      <c r="K12" s="352"/>
      <c r="L12" s="375"/>
      <c r="M12" s="375"/>
      <c r="N12" s="336"/>
      <c r="O12" s="353"/>
      <c r="P12" s="336"/>
      <c r="Q12" s="336"/>
      <c r="R12" s="336"/>
      <c r="S12" s="336"/>
      <c r="U12" s="336"/>
      <c r="V12" s="336"/>
      <c r="W12" s="336"/>
      <c r="X12" s="336"/>
      <c r="Y12" s="336"/>
      <c r="AA12" s="336"/>
    </row>
    <row r="13" spans="1:61" x14ac:dyDescent="0.25">
      <c r="I13" s="336"/>
      <c r="J13" s="336"/>
      <c r="K13" s="352"/>
      <c r="L13" s="375"/>
      <c r="M13" s="375"/>
      <c r="N13" s="336"/>
      <c r="O13" s="353"/>
      <c r="P13" s="336"/>
      <c r="Q13" s="336"/>
      <c r="R13" s="336"/>
      <c r="S13" s="336"/>
      <c r="U13" s="336"/>
      <c r="V13" s="336"/>
      <c r="W13" s="336"/>
      <c r="X13" s="336"/>
      <c r="Y13" s="336"/>
      <c r="AA13" s="336"/>
    </row>
    <row r="14" spans="1:61" x14ac:dyDescent="0.25">
      <c r="I14" s="336"/>
      <c r="J14" s="336"/>
      <c r="K14" s="352"/>
      <c r="L14" s="375"/>
      <c r="M14" s="375"/>
      <c r="N14" s="336"/>
      <c r="O14" s="353"/>
      <c r="P14" s="336"/>
      <c r="Q14" s="352"/>
      <c r="R14" s="336"/>
      <c r="S14" s="336"/>
      <c r="U14" s="336"/>
      <c r="V14" s="336"/>
      <c r="W14" s="336"/>
      <c r="X14" s="336"/>
      <c r="Y14" s="336"/>
      <c r="AA14" s="336"/>
    </row>
    <row r="15" spans="1:61" x14ac:dyDescent="0.25">
      <c r="I15" s="336"/>
      <c r="J15" s="336"/>
      <c r="K15" s="352"/>
      <c r="L15" s="375"/>
      <c r="M15" s="375"/>
      <c r="N15" s="336"/>
      <c r="O15" s="353"/>
      <c r="P15" s="336"/>
      <c r="Q15" s="336"/>
      <c r="R15" s="336"/>
      <c r="S15" s="336"/>
      <c r="U15" s="336"/>
      <c r="V15" s="336"/>
      <c r="W15" s="336"/>
      <c r="X15" s="336"/>
      <c r="Y15" s="336"/>
      <c r="AA15" s="336"/>
    </row>
    <row r="16" spans="1:61" x14ac:dyDescent="0.25">
      <c r="I16" s="336"/>
      <c r="J16" s="336"/>
      <c r="K16" s="352"/>
      <c r="L16" s="375"/>
      <c r="M16" s="375"/>
      <c r="N16" s="336"/>
      <c r="O16" s="353"/>
      <c r="P16" s="336"/>
      <c r="Q16" s="336"/>
      <c r="R16" s="336"/>
      <c r="S16" s="336"/>
      <c r="U16" s="336"/>
      <c r="V16" s="336"/>
      <c r="W16" s="336"/>
      <c r="X16" s="336"/>
      <c r="Y16" s="336"/>
      <c r="AA16" s="336"/>
    </row>
    <row r="17" spans="11:20" s="336" customFormat="1" x14ac:dyDescent="0.25">
      <c r="K17" s="352"/>
      <c r="L17" s="375"/>
      <c r="M17" s="375"/>
      <c r="O17" s="353"/>
      <c r="P17" s="353"/>
      <c r="T17" s="377"/>
    </row>
    <row r="18" spans="11:20" s="336" customFormat="1" x14ac:dyDescent="0.25">
      <c r="K18" s="352"/>
      <c r="L18" s="375"/>
      <c r="M18" s="375"/>
      <c r="O18" s="353"/>
      <c r="Q18" s="352"/>
      <c r="T18" s="377"/>
    </row>
    <row r="19" spans="11:20" s="336" customFormat="1" x14ac:dyDescent="0.25">
      <c r="K19" s="352"/>
      <c r="L19" s="375"/>
      <c r="M19" s="375"/>
      <c r="N19" s="353"/>
      <c r="O19" s="353"/>
      <c r="T19" s="377"/>
    </row>
    <row r="20" spans="11:20" s="336" customFormat="1" x14ac:dyDescent="0.25">
      <c r="K20" s="352"/>
      <c r="L20" s="375"/>
      <c r="M20" s="375"/>
      <c r="O20" s="353"/>
      <c r="T20" s="377"/>
    </row>
    <row r="21" spans="11:20" s="336" customFormat="1" x14ac:dyDescent="0.25">
      <c r="K21" s="352"/>
      <c r="L21" s="375"/>
      <c r="M21" s="375"/>
      <c r="O21" s="353"/>
      <c r="P21" s="352"/>
      <c r="T21" s="377"/>
    </row>
    <row r="22" spans="11:20" s="336" customFormat="1" x14ac:dyDescent="0.25">
      <c r="K22" s="352"/>
      <c r="L22" s="375"/>
      <c r="M22" s="375"/>
      <c r="O22" s="353"/>
      <c r="P22" s="352"/>
      <c r="T22" s="377"/>
    </row>
    <row r="23" spans="11:20" s="336" customFormat="1" x14ac:dyDescent="0.25">
      <c r="K23" s="352"/>
      <c r="L23" s="375"/>
      <c r="M23" s="375"/>
      <c r="O23" s="353"/>
      <c r="T23" s="377"/>
    </row>
    <row r="24" spans="11:20" s="336" customFormat="1" x14ac:dyDescent="0.25">
      <c r="K24" s="352"/>
      <c r="L24" s="375"/>
      <c r="M24" s="375"/>
      <c r="O24" s="353"/>
      <c r="T24" s="377"/>
    </row>
    <row r="25" spans="11:20" s="336" customFormat="1" x14ac:dyDescent="0.25">
      <c r="K25" s="352"/>
      <c r="L25" s="375"/>
      <c r="M25" s="375"/>
      <c r="O25" s="353"/>
      <c r="T25" s="377"/>
    </row>
    <row r="26" spans="11:20" s="336" customFormat="1" x14ac:dyDescent="0.25">
      <c r="K26" s="352"/>
      <c r="L26" s="375"/>
      <c r="M26" s="375"/>
      <c r="O26" s="353"/>
      <c r="T26" s="377"/>
    </row>
    <row r="27" spans="11:20" s="336" customFormat="1" x14ac:dyDescent="0.25">
      <c r="K27" s="352"/>
      <c r="L27" s="375"/>
      <c r="M27" s="375"/>
      <c r="O27" s="353"/>
      <c r="T27" s="377"/>
    </row>
    <row r="28" spans="11:20" s="336" customFormat="1" x14ac:dyDescent="0.25">
      <c r="K28" s="352"/>
      <c r="L28" s="375"/>
      <c r="M28" s="375"/>
      <c r="O28" s="353"/>
      <c r="T28" s="377"/>
    </row>
    <row r="29" spans="11:20" s="336" customFormat="1" x14ac:dyDescent="0.25">
      <c r="K29" s="352"/>
      <c r="L29" s="375"/>
      <c r="M29" s="375"/>
      <c r="O29" s="353"/>
      <c r="T29" s="377"/>
    </row>
    <row r="30" spans="11:20" s="336" customFormat="1" x14ac:dyDescent="0.25">
      <c r="K30" s="352"/>
      <c r="L30" s="375"/>
      <c r="M30" s="375"/>
      <c r="O30" s="353"/>
      <c r="T30" s="377"/>
    </row>
    <row r="31" spans="11:20" s="336" customFormat="1" x14ac:dyDescent="0.25">
      <c r="K31" s="352"/>
      <c r="L31" s="375"/>
      <c r="M31" s="375"/>
      <c r="O31" s="353"/>
      <c r="T31" s="377"/>
    </row>
    <row r="32" spans="11:20" s="336" customFormat="1" x14ac:dyDescent="0.25">
      <c r="K32" s="352"/>
      <c r="L32" s="375"/>
      <c r="M32" s="375"/>
      <c r="O32" s="353"/>
      <c r="T32" s="377"/>
    </row>
    <row r="33" spans="9:27" x14ac:dyDescent="0.25">
      <c r="I33" s="336"/>
      <c r="J33" s="336"/>
      <c r="K33" s="352"/>
      <c r="L33" s="375"/>
      <c r="M33" s="375"/>
      <c r="N33" s="336"/>
      <c r="O33" s="353"/>
      <c r="P33" s="336"/>
      <c r="Q33" s="336"/>
      <c r="R33" s="336"/>
      <c r="S33" s="336"/>
      <c r="U33" s="336"/>
      <c r="V33" s="336"/>
      <c r="W33" s="336"/>
      <c r="X33" s="336"/>
      <c r="Y33" s="336"/>
      <c r="AA33" s="336"/>
    </row>
    <row r="34" spans="9:27" x14ac:dyDescent="0.25">
      <c r="I34" s="336"/>
      <c r="J34" s="336"/>
      <c r="K34" s="352"/>
      <c r="L34" s="375"/>
      <c r="M34" s="375"/>
      <c r="N34" s="336"/>
      <c r="O34" s="353"/>
      <c r="P34" s="336"/>
      <c r="Q34" s="336"/>
      <c r="R34" s="336"/>
      <c r="S34" s="336"/>
      <c r="U34" s="336"/>
      <c r="V34" s="336"/>
      <c r="W34" s="336"/>
      <c r="X34" s="336"/>
      <c r="Y34" s="336"/>
      <c r="AA34" s="336"/>
    </row>
    <row r="35" spans="9:27" x14ac:dyDescent="0.25">
      <c r="I35" s="336"/>
      <c r="J35" s="336"/>
      <c r="K35" s="352"/>
      <c r="L35" s="375"/>
      <c r="M35" s="375"/>
      <c r="N35" s="336"/>
      <c r="O35" s="353"/>
      <c r="P35" s="336"/>
      <c r="Q35" s="336"/>
      <c r="R35" s="336"/>
      <c r="S35" s="336"/>
      <c r="U35" s="336"/>
      <c r="V35" s="336"/>
      <c r="W35" s="336"/>
      <c r="X35" s="336"/>
      <c r="Y35" s="336"/>
      <c r="AA35" s="336"/>
    </row>
    <row r="36" spans="9:27" x14ac:dyDescent="0.25">
      <c r="I36" s="336"/>
      <c r="J36" s="336"/>
      <c r="K36" s="352"/>
      <c r="L36" s="375"/>
      <c r="M36" s="375"/>
      <c r="N36" s="336"/>
      <c r="O36" s="353"/>
      <c r="P36" s="336"/>
      <c r="Q36" s="336"/>
      <c r="R36" s="336"/>
      <c r="S36" s="336"/>
      <c r="U36" s="336"/>
      <c r="V36" s="336"/>
      <c r="W36" s="336"/>
      <c r="X36" s="336"/>
      <c r="Y36" s="336"/>
      <c r="AA36" s="336"/>
    </row>
    <row r="37" spans="9:27" x14ac:dyDescent="0.25">
      <c r="I37" s="336"/>
      <c r="J37" s="336"/>
      <c r="K37" s="352"/>
      <c r="L37" s="375"/>
      <c r="M37" s="375"/>
      <c r="N37" s="336"/>
      <c r="O37" s="353"/>
      <c r="P37" s="336"/>
      <c r="Q37" s="336"/>
      <c r="R37" s="336"/>
      <c r="S37" s="336"/>
      <c r="U37" s="336"/>
      <c r="V37" s="336"/>
      <c r="W37" s="336"/>
      <c r="X37" s="336"/>
      <c r="Y37" s="336"/>
      <c r="AA37" s="336"/>
    </row>
    <row r="38" spans="9:27" x14ac:dyDescent="0.25">
      <c r="O38" s="353"/>
    </row>
    <row r="39" spans="9:27" x14ac:dyDescent="0.25">
      <c r="O39" s="353"/>
    </row>
    <row r="40" spans="9:27" x14ac:dyDescent="0.25">
      <c r="O40" s="353"/>
    </row>
    <row r="41" spans="9:27" x14ac:dyDescent="0.25">
      <c r="O41" s="353"/>
    </row>
    <row r="42" spans="9:27" x14ac:dyDescent="0.25">
      <c r="O42" s="353"/>
    </row>
    <row r="43" spans="9:27" x14ac:dyDescent="0.25">
      <c r="O43" s="353"/>
    </row>
    <row r="44" spans="9:27" x14ac:dyDescent="0.25">
      <c r="O44" s="353"/>
    </row>
    <row r="45" spans="9:27" x14ac:dyDescent="0.25">
      <c r="O45" s="353"/>
    </row>
    <row r="46" spans="9:27" x14ac:dyDescent="0.25">
      <c r="O46" s="353"/>
    </row>
    <row r="47" spans="9:27" x14ac:dyDescent="0.25">
      <c r="O47" s="353"/>
    </row>
    <row r="48" spans="9:27" x14ac:dyDescent="0.25">
      <c r="O48" s="353"/>
    </row>
    <row r="49" spans="1:58" s="351" customFormat="1" x14ac:dyDescent="0.25">
      <c r="A49" s="336"/>
      <c r="B49" s="336"/>
      <c r="C49" s="336"/>
      <c r="D49" s="336"/>
      <c r="E49" s="336"/>
      <c r="F49" s="336"/>
      <c r="G49" s="336"/>
      <c r="H49" s="336"/>
      <c r="M49" s="352"/>
      <c r="N49" s="353"/>
      <c r="O49" s="353"/>
      <c r="T49" s="377"/>
      <c r="U49" s="352"/>
      <c r="V49" s="352"/>
      <c r="W49" s="352"/>
      <c r="X49" s="375"/>
      <c r="Y49" s="375"/>
      <c r="Z49" s="336"/>
      <c r="AA49" s="353"/>
      <c r="AB49" s="336"/>
      <c r="AC49" s="336"/>
      <c r="AD49" s="336"/>
      <c r="AE49" s="336"/>
      <c r="AF49" s="336"/>
      <c r="AG49" s="336"/>
      <c r="AH49" s="336"/>
      <c r="AI49" s="336"/>
      <c r="AJ49" s="336"/>
      <c r="AK49" s="336"/>
      <c r="AL49" s="336"/>
      <c r="AM49" s="336"/>
      <c r="AN49" s="336"/>
      <c r="AO49" s="336"/>
      <c r="AP49" s="336"/>
      <c r="AQ49" s="336"/>
      <c r="AR49" s="336"/>
      <c r="AS49" s="336"/>
      <c r="AT49" s="336"/>
      <c r="AU49" s="336"/>
      <c r="AV49" s="336"/>
      <c r="AW49" s="336"/>
      <c r="AX49" s="336"/>
      <c r="AY49" s="336"/>
      <c r="AZ49" s="336"/>
      <c r="BA49" s="336"/>
      <c r="BB49" s="336"/>
      <c r="BC49" s="336"/>
      <c r="BD49" s="336"/>
      <c r="BE49" s="336"/>
      <c r="BF49" s="336"/>
    </row>
    <row r="50" spans="1:58" s="351" customFormat="1" x14ac:dyDescent="0.25">
      <c r="A50" s="336"/>
      <c r="B50" s="336"/>
      <c r="C50" s="336"/>
      <c r="D50" s="336"/>
      <c r="E50" s="336"/>
      <c r="F50" s="336"/>
      <c r="G50" s="336"/>
      <c r="H50" s="336"/>
      <c r="M50" s="352"/>
      <c r="N50" s="353"/>
      <c r="O50" s="353"/>
      <c r="T50" s="377"/>
      <c r="U50" s="352"/>
      <c r="V50" s="352"/>
      <c r="W50" s="352"/>
      <c r="X50" s="375"/>
      <c r="Y50" s="375"/>
      <c r="Z50" s="336"/>
      <c r="AA50" s="353"/>
      <c r="AB50" s="336"/>
      <c r="AC50" s="336"/>
      <c r="AD50" s="336"/>
      <c r="AE50" s="336"/>
      <c r="AF50" s="336"/>
      <c r="AG50" s="336"/>
      <c r="AH50" s="336"/>
      <c r="AI50" s="336"/>
      <c r="AJ50" s="336"/>
      <c r="AK50" s="336"/>
      <c r="AL50" s="336"/>
      <c r="AM50" s="336"/>
      <c r="AN50" s="336"/>
      <c r="AO50" s="336"/>
      <c r="AP50" s="336"/>
      <c r="AQ50" s="336"/>
      <c r="AR50" s="336"/>
      <c r="AS50" s="336"/>
      <c r="AT50" s="336"/>
      <c r="AU50" s="336"/>
      <c r="AV50" s="336"/>
      <c r="AW50" s="336"/>
      <c r="AX50" s="336"/>
      <c r="AY50" s="336"/>
      <c r="AZ50" s="336"/>
      <c r="BA50" s="336"/>
      <c r="BB50" s="336"/>
      <c r="BC50" s="336"/>
      <c r="BD50" s="336"/>
      <c r="BE50" s="336"/>
      <c r="BF50" s="336"/>
    </row>
    <row r="51" spans="1:58" s="351" customFormat="1" x14ac:dyDescent="0.25">
      <c r="A51" s="336"/>
      <c r="B51" s="336"/>
      <c r="C51" s="336"/>
      <c r="D51" s="336"/>
      <c r="E51" s="336"/>
      <c r="F51" s="336"/>
      <c r="G51" s="336"/>
      <c r="H51" s="336"/>
      <c r="M51" s="352"/>
      <c r="N51" s="353"/>
      <c r="O51" s="353"/>
      <c r="T51" s="377"/>
      <c r="U51" s="352"/>
      <c r="V51" s="352"/>
      <c r="W51" s="352"/>
      <c r="X51" s="375"/>
      <c r="Y51" s="375"/>
      <c r="Z51" s="336"/>
      <c r="AA51" s="353"/>
      <c r="AB51" s="336"/>
      <c r="AC51" s="336"/>
      <c r="AD51" s="336"/>
      <c r="AE51" s="336"/>
      <c r="AF51" s="336"/>
      <c r="AG51" s="336"/>
      <c r="AH51" s="336"/>
      <c r="AI51" s="336"/>
      <c r="AJ51" s="336"/>
      <c r="AK51" s="336"/>
      <c r="AL51" s="336"/>
      <c r="AM51" s="336"/>
      <c r="AN51" s="336"/>
      <c r="AO51" s="336"/>
      <c r="AP51" s="336"/>
      <c r="AQ51" s="336"/>
      <c r="AR51" s="336"/>
      <c r="AS51" s="336"/>
      <c r="AT51" s="336"/>
      <c r="AU51" s="336"/>
      <c r="AV51" s="336"/>
      <c r="AW51" s="336"/>
      <c r="AX51" s="336"/>
      <c r="AY51" s="336"/>
      <c r="AZ51" s="336"/>
      <c r="BA51" s="336"/>
      <c r="BB51" s="336"/>
      <c r="BC51" s="336"/>
      <c r="BD51" s="336"/>
      <c r="BE51" s="336"/>
      <c r="BF51" s="336"/>
    </row>
    <row r="52" spans="1:58" s="351" customFormat="1" x14ac:dyDescent="0.25">
      <c r="A52" s="336"/>
      <c r="B52" s="336"/>
      <c r="C52" s="336"/>
      <c r="D52" s="336"/>
      <c r="E52" s="336"/>
      <c r="F52" s="336"/>
      <c r="G52" s="336"/>
      <c r="H52" s="336"/>
      <c r="M52" s="352"/>
      <c r="N52" s="353"/>
      <c r="O52" s="353"/>
      <c r="T52" s="377"/>
      <c r="U52" s="352"/>
      <c r="V52" s="352"/>
      <c r="W52" s="352"/>
      <c r="X52" s="375"/>
      <c r="Y52" s="375"/>
      <c r="Z52" s="336"/>
      <c r="AA52" s="353"/>
      <c r="AB52" s="336"/>
      <c r="AC52" s="336"/>
      <c r="AD52" s="336"/>
      <c r="AE52" s="336"/>
      <c r="AF52" s="336"/>
      <c r="AG52" s="336"/>
      <c r="AH52" s="336"/>
      <c r="AI52" s="336"/>
      <c r="AJ52" s="336"/>
      <c r="AK52" s="336"/>
      <c r="AL52" s="336"/>
      <c r="AM52" s="336"/>
      <c r="AN52" s="336"/>
      <c r="AO52" s="336"/>
      <c r="AP52" s="336"/>
      <c r="AQ52" s="336"/>
      <c r="AR52" s="336"/>
      <c r="AS52" s="336"/>
      <c r="AT52" s="336"/>
      <c r="AU52" s="336"/>
      <c r="AV52" s="336"/>
      <c r="AW52" s="336"/>
      <c r="AX52" s="336"/>
      <c r="AY52" s="336"/>
      <c r="AZ52" s="336"/>
      <c r="BA52" s="336"/>
      <c r="BB52" s="336"/>
      <c r="BC52" s="336"/>
      <c r="BD52" s="336"/>
      <c r="BE52" s="336"/>
      <c r="BF52" s="336"/>
    </row>
    <row r="53" spans="1:58" s="351" customFormat="1" x14ac:dyDescent="0.25">
      <c r="A53" s="336"/>
      <c r="B53" s="336"/>
      <c r="C53" s="336"/>
      <c r="D53" s="336"/>
      <c r="E53" s="336"/>
      <c r="F53" s="336"/>
      <c r="G53" s="336"/>
      <c r="H53" s="336"/>
      <c r="M53" s="352"/>
      <c r="N53" s="353"/>
      <c r="O53" s="353"/>
      <c r="T53" s="377"/>
      <c r="U53" s="352"/>
      <c r="V53" s="352"/>
      <c r="W53" s="352"/>
      <c r="X53" s="375"/>
      <c r="Y53" s="375"/>
      <c r="Z53" s="336"/>
      <c r="AA53" s="353"/>
      <c r="AB53" s="336"/>
      <c r="AC53" s="336"/>
      <c r="AD53" s="336"/>
      <c r="AE53" s="336"/>
      <c r="AF53" s="336"/>
      <c r="AG53" s="336"/>
      <c r="AH53" s="336"/>
      <c r="AI53" s="336"/>
      <c r="AJ53" s="336"/>
      <c r="AK53" s="336"/>
      <c r="AL53" s="336"/>
      <c r="AM53" s="336"/>
      <c r="AN53" s="336"/>
      <c r="AO53" s="336"/>
      <c r="AP53" s="336"/>
      <c r="AQ53" s="336"/>
      <c r="AR53" s="336"/>
      <c r="AS53" s="336"/>
      <c r="AT53" s="336"/>
      <c r="AU53" s="336"/>
      <c r="AV53" s="336"/>
      <c r="AW53" s="336"/>
      <c r="AX53" s="336"/>
      <c r="AY53" s="336"/>
      <c r="AZ53" s="336"/>
      <c r="BA53" s="336"/>
      <c r="BB53" s="336"/>
      <c r="BC53" s="336"/>
      <c r="BD53" s="336"/>
      <c r="BE53" s="336"/>
      <c r="BF53" s="336"/>
    </row>
    <row r="54" spans="1:58" s="351" customFormat="1" x14ac:dyDescent="0.25">
      <c r="A54" s="336"/>
      <c r="B54" s="336"/>
      <c r="C54" s="336"/>
      <c r="D54" s="336"/>
      <c r="E54" s="336"/>
      <c r="F54" s="336"/>
      <c r="G54" s="336"/>
      <c r="H54" s="336"/>
      <c r="M54" s="352"/>
      <c r="N54" s="353"/>
      <c r="O54" s="353"/>
      <c r="T54" s="377"/>
      <c r="U54" s="352"/>
      <c r="V54" s="352"/>
      <c r="W54" s="352"/>
      <c r="X54" s="375"/>
      <c r="Y54" s="375"/>
      <c r="Z54" s="336"/>
      <c r="AA54" s="353"/>
      <c r="AB54" s="336"/>
      <c r="AC54" s="336"/>
      <c r="AD54" s="336"/>
      <c r="AE54" s="336"/>
      <c r="AF54" s="336"/>
      <c r="AG54" s="336"/>
      <c r="AH54" s="336"/>
      <c r="AI54" s="336"/>
      <c r="AJ54" s="336"/>
      <c r="AK54" s="336"/>
      <c r="AL54" s="336"/>
      <c r="AM54" s="336"/>
      <c r="AN54" s="336"/>
      <c r="AO54" s="336"/>
      <c r="AP54" s="336"/>
      <c r="AQ54" s="336"/>
      <c r="AR54" s="336"/>
      <c r="AS54" s="336"/>
      <c r="AT54" s="336"/>
      <c r="AU54" s="336"/>
      <c r="AV54" s="336"/>
      <c r="AW54" s="336"/>
      <c r="AX54" s="336"/>
      <c r="AY54" s="336"/>
      <c r="AZ54" s="336"/>
      <c r="BA54" s="336"/>
      <c r="BB54" s="336"/>
      <c r="BC54" s="336"/>
      <c r="BD54" s="336"/>
      <c r="BE54" s="336"/>
      <c r="BF54" s="336"/>
    </row>
    <row r="55" spans="1:58" s="351" customFormat="1" x14ac:dyDescent="0.25">
      <c r="A55" s="336"/>
      <c r="B55" s="336"/>
      <c r="C55" s="336"/>
      <c r="D55" s="336"/>
      <c r="E55" s="336"/>
      <c r="F55" s="336"/>
      <c r="G55" s="336"/>
      <c r="H55" s="336"/>
      <c r="M55" s="352"/>
      <c r="N55" s="353"/>
      <c r="O55" s="353"/>
      <c r="T55" s="377"/>
      <c r="U55" s="352"/>
      <c r="V55" s="352"/>
      <c r="W55" s="352"/>
      <c r="X55" s="375"/>
      <c r="Y55" s="375"/>
      <c r="Z55" s="336"/>
      <c r="AA55" s="353"/>
      <c r="AB55" s="336"/>
      <c r="AC55" s="336"/>
      <c r="AD55" s="336"/>
      <c r="AE55" s="336"/>
      <c r="AF55" s="336"/>
      <c r="AG55" s="336"/>
      <c r="AH55" s="336"/>
      <c r="AI55" s="336"/>
      <c r="AJ55" s="336"/>
      <c r="AK55" s="336"/>
      <c r="AL55" s="336"/>
      <c r="AM55" s="336"/>
      <c r="AN55" s="336"/>
      <c r="AO55" s="336"/>
      <c r="AP55" s="336"/>
      <c r="AQ55" s="336"/>
      <c r="AR55" s="336"/>
      <c r="AS55" s="336"/>
      <c r="AT55" s="336"/>
      <c r="AU55" s="336"/>
      <c r="AV55" s="336"/>
      <c r="AW55" s="336"/>
      <c r="AX55" s="336"/>
      <c r="AY55" s="336"/>
      <c r="AZ55" s="336"/>
      <c r="BA55" s="336"/>
      <c r="BB55" s="336"/>
      <c r="BC55" s="336"/>
      <c r="BD55" s="336"/>
      <c r="BE55" s="336"/>
      <c r="BF55" s="336"/>
    </row>
    <row r="56" spans="1:58" s="351" customFormat="1" x14ac:dyDescent="0.25">
      <c r="A56" s="336"/>
      <c r="B56" s="336"/>
      <c r="C56" s="336"/>
      <c r="D56" s="336"/>
      <c r="E56" s="336"/>
      <c r="F56" s="336"/>
      <c r="G56" s="336"/>
      <c r="H56" s="336"/>
      <c r="M56" s="352"/>
      <c r="N56" s="353"/>
      <c r="O56" s="353"/>
      <c r="T56" s="377"/>
      <c r="U56" s="352"/>
      <c r="V56" s="352"/>
      <c r="W56" s="352"/>
      <c r="X56" s="375"/>
      <c r="Y56" s="375"/>
      <c r="Z56" s="336"/>
      <c r="AA56" s="353"/>
      <c r="AB56" s="336"/>
      <c r="AC56" s="336"/>
      <c r="AD56" s="336"/>
      <c r="AE56" s="336"/>
      <c r="AF56" s="336"/>
      <c r="AG56" s="336"/>
      <c r="AH56" s="336"/>
      <c r="AI56" s="336"/>
      <c r="AJ56" s="336"/>
      <c r="AK56" s="336"/>
      <c r="AL56" s="336"/>
      <c r="AM56" s="336"/>
      <c r="AN56" s="336"/>
      <c r="AO56" s="336"/>
      <c r="AP56" s="336"/>
      <c r="AQ56" s="336"/>
      <c r="AR56" s="336"/>
      <c r="AS56" s="336"/>
      <c r="AT56" s="336"/>
      <c r="AU56" s="336"/>
      <c r="AV56" s="336"/>
      <c r="AW56" s="336"/>
      <c r="AX56" s="336"/>
      <c r="AY56" s="336"/>
      <c r="AZ56" s="336"/>
      <c r="BA56" s="336"/>
      <c r="BB56" s="336"/>
      <c r="BC56" s="336"/>
      <c r="BD56" s="336"/>
      <c r="BE56" s="336"/>
      <c r="BF56" s="336"/>
    </row>
    <row r="57" spans="1:58" s="351" customFormat="1" x14ac:dyDescent="0.25">
      <c r="A57" s="336"/>
      <c r="B57" s="336"/>
      <c r="C57" s="336"/>
      <c r="D57" s="336"/>
      <c r="E57" s="336"/>
      <c r="F57" s="336"/>
      <c r="G57" s="336"/>
      <c r="H57" s="336"/>
      <c r="M57" s="352"/>
      <c r="N57" s="353"/>
      <c r="O57" s="353"/>
      <c r="T57" s="377"/>
      <c r="U57" s="352"/>
      <c r="V57" s="352"/>
      <c r="W57" s="352"/>
      <c r="X57" s="375"/>
      <c r="Y57" s="375"/>
      <c r="Z57" s="336"/>
      <c r="AA57" s="353"/>
      <c r="AB57" s="336"/>
      <c r="AC57" s="336"/>
      <c r="AD57" s="336"/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336"/>
      <c r="AS57" s="336"/>
      <c r="AT57" s="336"/>
      <c r="AU57" s="336"/>
      <c r="AV57" s="336"/>
      <c r="AW57" s="336"/>
      <c r="AX57" s="336"/>
      <c r="AY57" s="336"/>
      <c r="AZ57" s="336"/>
      <c r="BA57" s="336"/>
      <c r="BB57" s="336"/>
      <c r="BC57" s="336"/>
      <c r="BD57" s="336"/>
      <c r="BE57" s="336"/>
      <c r="BF57" s="336"/>
    </row>
    <row r="58" spans="1:58" s="351" customFormat="1" x14ac:dyDescent="0.25">
      <c r="A58" s="336"/>
      <c r="B58" s="336"/>
      <c r="C58" s="336"/>
      <c r="D58" s="336"/>
      <c r="E58" s="336"/>
      <c r="F58" s="336"/>
      <c r="G58" s="336"/>
      <c r="H58" s="336"/>
      <c r="M58" s="352"/>
      <c r="N58" s="353"/>
      <c r="O58" s="353"/>
      <c r="T58" s="377"/>
      <c r="U58" s="352"/>
      <c r="V58" s="352"/>
      <c r="W58" s="352"/>
      <c r="X58" s="375"/>
      <c r="Y58" s="375"/>
      <c r="Z58" s="336"/>
      <c r="AA58" s="353"/>
      <c r="AB58" s="336"/>
      <c r="AC58" s="336"/>
      <c r="AD58" s="336"/>
      <c r="AE58" s="336"/>
      <c r="AF58" s="336"/>
      <c r="AG58" s="336"/>
      <c r="AH58" s="336"/>
      <c r="AI58" s="336"/>
      <c r="AJ58" s="336"/>
      <c r="AK58" s="336"/>
      <c r="AL58" s="336"/>
      <c r="AM58" s="336"/>
      <c r="AN58" s="336"/>
      <c r="AO58" s="336"/>
      <c r="AP58" s="336"/>
      <c r="AQ58" s="336"/>
      <c r="AR58" s="336"/>
      <c r="AS58" s="336"/>
      <c r="AT58" s="336"/>
      <c r="AU58" s="336"/>
      <c r="AV58" s="336"/>
      <c r="AW58" s="336"/>
      <c r="AX58" s="336"/>
      <c r="AY58" s="336"/>
      <c r="AZ58" s="336"/>
      <c r="BA58" s="336"/>
      <c r="BB58" s="336"/>
      <c r="BC58" s="336"/>
      <c r="BD58" s="336"/>
      <c r="BE58" s="336"/>
      <c r="BF58" s="336"/>
    </row>
    <row r="59" spans="1:58" s="351" customFormat="1" x14ac:dyDescent="0.25">
      <c r="A59" s="336"/>
      <c r="B59" s="336"/>
      <c r="C59" s="336"/>
      <c r="D59" s="336"/>
      <c r="E59" s="336"/>
      <c r="F59" s="336"/>
      <c r="G59" s="336"/>
      <c r="H59" s="336"/>
      <c r="M59" s="352"/>
      <c r="N59" s="353"/>
      <c r="O59" s="353"/>
      <c r="T59" s="377"/>
      <c r="U59" s="352"/>
      <c r="V59" s="352"/>
      <c r="W59" s="352"/>
      <c r="X59" s="375"/>
      <c r="Y59" s="375"/>
      <c r="Z59" s="336"/>
      <c r="AA59" s="353"/>
      <c r="AB59" s="336"/>
      <c r="AC59" s="336"/>
      <c r="AD59" s="336"/>
      <c r="AE59" s="336"/>
      <c r="AF59" s="336"/>
      <c r="AG59" s="336"/>
      <c r="AH59" s="336"/>
      <c r="AI59" s="336"/>
      <c r="AJ59" s="336"/>
      <c r="AK59" s="336"/>
      <c r="AL59" s="336"/>
      <c r="AM59" s="336"/>
      <c r="AN59" s="336"/>
      <c r="AO59" s="336"/>
      <c r="AP59" s="336"/>
      <c r="AQ59" s="336"/>
      <c r="AR59" s="336"/>
      <c r="AS59" s="336"/>
      <c r="AT59" s="336"/>
      <c r="AU59" s="336"/>
      <c r="AV59" s="336"/>
      <c r="AW59" s="336"/>
      <c r="AX59" s="336"/>
      <c r="AY59" s="336"/>
      <c r="AZ59" s="336"/>
      <c r="BA59" s="336"/>
      <c r="BB59" s="336"/>
      <c r="BC59" s="336"/>
      <c r="BD59" s="336"/>
      <c r="BE59" s="336"/>
      <c r="BF59" s="336"/>
    </row>
    <row r="60" spans="1:58" s="351" customFormat="1" x14ac:dyDescent="0.25">
      <c r="A60" s="336"/>
      <c r="B60" s="336"/>
      <c r="C60" s="336"/>
      <c r="D60" s="336"/>
      <c r="E60" s="336"/>
      <c r="F60" s="336"/>
      <c r="G60" s="336"/>
      <c r="H60" s="336"/>
      <c r="M60" s="352"/>
      <c r="N60" s="353"/>
      <c r="O60" s="353"/>
      <c r="T60" s="377"/>
      <c r="U60" s="352"/>
      <c r="V60" s="352"/>
      <c r="W60" s="352"/>
      <c r="X60" s="375"/>
      <c r="Y60" s="375"/>
      <c r="Z60" s="336"/>
      <c r="AA60" s="353"/>
      <c r="AB60" s="336"/>
      <c r="AC60" s="336"/>
      <c r="AD60" s="336"/>
      <c r="AE60" s="336"/>
      <c r="AF60" s="336"/>
      <c r="AG60" s="336"/>
      <c r="AH60" s="336"/>
      <c r="AI60" s="336"/>
      <c r="AJ60" s="336"/>
      <c r="AK60" s="336"/>
      <c r="AL60" s="336"/>
      <c r="AM60" s="336"/>
      <c r="AN60" s="336"/>
      <c r="AO60" s="336"/>
      <c r="AP60" s="336"/>
      <c r="AQ60" s="336"/>
      <c r="AR60" s="336"/>
      <c r="AS60" s="336"/>
      <c r="AT60" s="336"/>
      <c r="AU60" s="336"/>
      <c r="AV60" s="336"/>
      <c r="AW60" s="336"/>
      <c r="AX60" s="336"/>
      <c r="AY60" s="336"/>
      <c r="AZ60" s="336"/>
      <c r="BA60" s="336"/>
      <c r="BB60" s="336"/>
      <c r="BC60" s="336"/>
      <c r="BD60" s="336"/>
      <c r="BE60" s="336"/>
      <c r="BF60" s="336"/>
    </row>
    <row r="61" spans="1:58" s="351" customFormat="1" x14ac:dyDescent="0.25">
      <c r="A61" s="336"/>
      <c r="B61" s="336"/>
      <c r="C61" s="336"/>
      <c r="D61" s="336"/>
      <c r="E61" s="336"/>
      <c r="F61" s="336"/>
      <c r="G61" s="336"/>
      <c r="H61" s="336"/>
      <c r="M61" s="352"/>
      <c r="N61" s="353"/>
      <c r="O61" s="353"/>
      <c r="T61" s="377"/>
      <c r="U61" s="352"/>
      <c r="V61" s="352"/>
      <c r="W61" s="352"/>
      <c r="X61" s="375"/>
      <c r="Y61" s="375"/>
      <c r="Z61" s="336"/>
      <c r="AA61" s="353"/>
      <c r="AB61" s="336"/>
      <c r="AC61" s="336"/>
      <c r="AD61" s="336"/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336"/>
      <c r="AS61" s="336"/>
      <c r="AT61" s="336"/>
      <c r="AU61" s="336"/>
      <c r="AV61" s="336"/>
      <c r="AW61" s="336"/>
      <c r="AX61" s="336"/>
      <c r="AY61" s="336"/>
      <c r="AZ61" s="336"/>
      <c r="BA61" s="336"/>
      <c r="BB61" s="336"/>
      <c r="BC61" s="336"/>
      <c r="BD61" s="336"/>
      <c r="BE61" s="336"/>
      <c r="BF61" s="336"/>
    </row>
    <row r="62" spans="1:58" s="351" customFormat="1" x14ac:dyDescent="0.25">
      <c r="A62" s="336"/>
      <c r="B62" s="336"/>
      <c r="C62" s="336"/>
      <c r="D62" s="336"/>
      <c r="E62" s="336"/>
      <c r="F62" s="336"/>
      <c r="G62" s="336"/>
      <c r="H62" s="336"/>
      <c r="M62" s="352"/>
      <c r="N62" s="353"/>
      <c r="O62" s="353"/>
      <c r="T62" s="377"/>
      <c r="U62" s="352"/>
      <c r="V62" s="352"/>
      <c r="W62" s="352"/>
      <c r="X62" s="375"/>
      <c r="Y62" s="375"/>
      <c r="Z62" s="336"/>
      <c r="AA62" s="353"/>
      <c r="AB62" s="336"/>
      <c r="AC62" s="336"/>
      <c r="AD62" s="336"/>
      <c r="AE62" s="336"/>
      <c r="AF62" s="336"/>
      <c r="AG62" s="336"/>
      <c r="AH62" s="336"/>
      <c r="AI62" s="336"/>
      <c r="AJ62" s="336"/>
      <c r="AK62" s="336"/>
      <c r="AL62" s="336"/>
      <c r="AM62" s="336"/>
      <c r="AN62" s="336"/>
      <c r="AO62" s="336"/>
      <c r="AP62" s="336"/>
      <c r="AQ62" s="336"/>
      <c r="AR62" s="336"/>
      <c r="AS62" s="336"/>
      <c r="AT62" s="336"/>
      <c r="AU62" s="336"/>
      <c r="AV62" s="336"/>
      <c r="AW62" s="336"/>
      <c r="AX62" s="336"/>
      <c r="AY62" s="336"/>
      <c r="AZ62" s="336"/>
      <c r="BA62" s="336"/>
      <c r="BB62" s="336"/>
      <c r="BC62" s="336"/>
      <c r="BD62" s="336"/>
      <c r="BE62" s="336"/>
      <c r="BF62" s="336"/>
    </row>
    <row r="63" spans="1:58" s="351" customFormat="1" x14ac:dyDescent="0.25">
      <c r="A63" s="336"/>
      <c r="B63" s="336"/>
      <c r="C63" s="336"/>
      <c r="D63" s="336"/>
      <c r="E63" s="336"/>
      <c r="F63" s="336"/>
      <c r="G63" s="336"/>
      <c r="H63" s="336"/>
      <c r="M63" s="352"/>
      <c r="N63" s="353"/>
      <c r="O63" s="353"/>
      <c r="T63" s="377"/>
      <c r="U63" s="352"/>
      <c r="V63" s="352"/>
      <c r="W63" s="352"/>
      <c r="X63" s="375"/>
      <c r="Y63" s="375"/>
      <c r="Z63" s="336"/>
      <c r="AA63" s="353"/>
      <c r="AB63" s="336"/>
      <c r="AC63" s="336"/>
      <c r="AD63" s="336"/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336"/>
      <c r="AS63" s="336"/>
      <c r="AT63" s="336"/>
      <c r="AU63" s="336"/>
      <c r="AV63" s="336"/>
      <c r="AW63" s="336"/>
      <c r="AX63" s="336"/>
      <c r="AY63" s="336"/>
      <c r="AZ63" s="336"/>
      <c r="BA63" s="336"/>
      <c r="BB63" s="336"/>
      <c r="BC63" s="336"/>
      <c r="BD63" s="336"/>
      <c r="BE63" s="336"/>
      <c r="BF63" s="336"/>
    </row>
    <row r="64" spans="1:58" s="351" customFormat="1" x14ac:dyDescent="0.25">
      <c r="A64" s="336"/>
      <c r="B64" s="336"/>
      <c r="C64" s="336"/>
      <c r="D64" s="336"/>
      <c r="E64" s="336"/>
      <c r="F64" s="336"/>
      <c r="G64" s="336"/>
      <c r="H64" s="336"/>
      <c r="M64" s="352"/>
      <c r="N64" s="353"/>
      <c r="O64" s="353"/>
      <c r="T64" s="377"/>
      <c r="U64" s="352"/>
      <c r="V64" s="352"/>
      <c r="W64" s="352"/>
      <c r="X64" s="375"/>
      <c r="Y64" s="375"/>
      <c r="Z64" s="336"/>
      <c r="AA64" s="353"/>
      <c r="AB64" s="336"/>
      <c r="AC64" s="336"/>
      <c r="AD64" s="336"/>
      <c r="AE64" s="336"/>
      <c r="AF64" s="336"/>
      <c r="AG64" s="336"/>
      <c r="AH64" s="336"/>
      <c r="AI64" s="336"/>
      <c r="AJ64" s="336"/>
      <c r="AK64" s="336"/>
      <c r="AL64" s="336"/>
      <c r="AM64" s="336"/>
      <c r="AN64" s="336"/>
      <c r="AO64" s="336"/>
      <c r="AP64" s="336"/>
      <c r="AQ64" s="336"/>
      <c r="AR64" s="336"/>
      <c r="AS64" s="336"/>
      <c r="AT64" s="336"/>
      <c r="AU64" s="336"/>
      <c r="AV64" s="336"/>
      <c r="AW64" s="336"/>
      <c r="AX64" s="336"/>
      <c r="AY64" s="336"/>
      <c r="AZ64" s="336"/>
      <c r="BA64" s="336"/>
      <c r="BB64" s="336"/>
      <c r="BC64" s="336"/>
      <c r="BD64" s="336"/>
      <c r="BE64" s="336"/>
      <c r="BF64" s="336"/>
    </row>
    <row r="65" spans="1:58" s="351" customFormat="1" x14ac:dyDescent="0.25">
      <c r="A65" s="336"/>
      <c r="B65" s="336"/>
      <c r="C65" s="336"/>
      <c r="D65" s="336"/>
      <c r="E65" s="336"/>
      <c r="F65" s="336"/>
      <c r="G65" s="336"/>
      <c r="H65" s="336"/>
      <c r="M65" s="352"/>
      <c r="N65" s="353"/>
      <c r="O65" s="353"/>
      <c r="T65" s="377"/>
      <c r="U65" s="352"/>
      <c r="V65" s="352"/>
      <c r="W65" s="352"/>
      <c r="X65" s="375"/>
      <c r="Y65" s="375"/>
      <c r="Z65" s="336"/>
      <c r="AA65" s="353"/>
      <c r="AB65" s="336"/>
      <c r="AC65" s="336"/>
      <c r="AD65" s="336"/>
      <c r="AE65" s="336"/>
      <c r="AF65" s="336"/>
      <c r="AG65" s="336"/>
      <c r="AH65" s="336"/>
      <c r="AI65" s="336"/>
      <c r="AJ65" s="336"/>
      <c r="AK65" s="336"/>
      <c r="AL65" s="336"/>
      <c r="AM65" s="336"/>
      <c r="AN65" s="336"/>
      <c r="AO65" s="336"/>
      <c r="AP65" s="336"/>
      <c r="AQ65" s="336"/>
      <c r="AR65" s="336"/>
      <c r="AS65" s="336"/>
      <c r="AT65" s="336"/>
      <c r="AU65" s="336"/>
      <c r="AV65" s="336"/>
      <c r="AW65" s="336"/>
      <c r="AX65" s="336"/>
      <c r="AY65" s="336"/>
      <c r="AZ65" s="336"/>
      <c r="BA65" s="336"/>
      <c r="BB65" s="336"/>
      <c r="BC65" s="336"/>
      <c r="BD65" s="336"/>
      <c r="BE65" s="336"/>
      <c r="BF65" s="336"/>
    </row>
    <row r="66" spans="1:58" s="351" customFormat="1" x14ac:dyDescent="0.25">
      <c r="A66" s="336"/>
      <c r="B66" s="336"/>
      <c r="C66" s="336"/>
      <c r="D66" s="336"/>
      <c r="E66" s="336"/>
      <c r="F66" s="336"/>
      <c r="G66" s="336"/>
      <c r="H66" s="336"/>
      <c r="M66" s="352"/>
      <c r="N66" s="353"/>
      <c r="O66" s="353"/>
      <c r="T66" s="377"/>
      <c r="U66" s="352"/>
      <c r="V66" s="352"/>
      <c r="W66" s="352"/>
      <c r="X66" s="375"/>
      <c r="Y66" s="375"/>
      <c r="Z66" s="336"/>
      <c r="AA66" s="353"/>
      <c r="AB66" s="336"/>
      <c r="AC66" s="336"/>
      <c r="AD66" s="336"/>
      <c r="AE66" s="336"/>
      <c r="AF66" s="336"/>
      <c r="AG66" s="336"/>
      <c r="AH66" s="336"/>
      <c r="AI66" s="336"/>
      <c r="AJ66" s="336"/>
      <c r="AK66" s="336"/>
      <c r="AL66" s="336"/>
      <c r="AM66" s="336"/>
      <c r="AN66" s="336"/>
      <c r="AO66" s="336"/>
      <c r="AP66" s="336"/>
      <c r="AQ66" s="336"/>
      <c r="AR66" s="336"/>
      <c r="AS66" s="336"/>
      <c r="AT66" s="336"/>
      <c r="AU66" s="336"/>
      <c r="AV66" s="336"/>
      <c r="AW66" s="336"/>
      <c r="AX66" s="336"/>
      <c r="AY66" s="336"/>
      <c r="AZ66" s="336"/>
      <c r="BA66" s="336"/>
      <c r="BB66" s="336"/>
      <c r="BC66" s="336"/>
      <c r="BD66" s="336"/>
      <c r="BE66" s="336"/>
      <c r="BF66" s="336"/>
    </row>
    <row r="67" spans="1:58" s="351" customFormat="1" x14ac:dyDescent="0.25">
      <c r="A67" s="336"/>
      <c r="B67" s="336"/>
      <c r="C67" s="336"/>
      <c r="D67" s="336"/>
      <c r="E67" s="336"/>
      <c r="F67" s="336"/>
      <c r="G67" s="336"/>
      <c r="H67" s="336"/>
      <c r="M67" s="352"/>
      <c r="N67" s="353"/>
      <c r="O67" s="353"/>
      <c r="T67" s="377"/>
      <c r="U67" s="352"/>
      <c r="V67" s="352"/>
      <c r="W67" s="352"/>
      <c r="X67" s="375"/>
      <c r="Y67" s="375"/>
      <c r="Z67" s="336"/>
      <c r="AA67" s="353"/>
      <c r="AB67" s="336"/>
      <c r="AC67" s="336"/>
      <c r="AD67" s="336"/>
      <c r="AE67" s="336"/>
      <c r="AF67" s="336"/>
      <c r="AG67" s="336"/>
      <c r="AH67" s="336"/>
      <c r="AI67" s="336"/>
      <c r="AJ67" s="336"/>
      <c r="AK67" s="336"/>
      <c r="AL67" s="336"/>
      <c r="AM67" s="336"/>
      <c r="AN67" s="336"/>
      <c r="AO67" s="336"/>
      <c r="AP67" s="336"/>
      <c r="AQ67" s="336"/>
      <c r="AR67" s="336"/>
      <c r="AS67" s="336"/>
      <c r="AT67" s="336"/>
      <c r="AU67" s="336"/>
      <c r="AV67" s="336"/>
      <c r="AW67" s="336"/>
      <c r="AX67" s="336"/>
      <c r="AY67" s="336"/>
      <c r="AZ67" s="336"/>
      <c r="BA67" s="336"/>
      <c r="BB67" s="336"/>
      <c r="BC67" s="336"/>
      <c r="BD67" s="336"/>
      <c r="BE67" s="336"/>
      <c r="BF67" s="336"/>
    </row>
    <row r="68" spans="1:58" s="351" customFormat="1" x14ac:dyDescent="0.25">
      <c r="A68" s="336"/>
      <c r="B68" s="336"/>
      <c r="C68" s="336"/>
      <c r="D68" s="336"/>
      <c r="E68" s="336"/>
      <c r="F68" s="336"/>
      <c r="G68" s="336"/>
      <c r="H68" s="336"/>
      <c r="M68" s="352"/>
      <c r="N68" s="353"/>
      <c r="O68" s="353"/>
      <c r="T68" s="377"/>
      <c r="U68" s="352"/>
      <c r="V68" s="352"/>
      <c r="W68" s="352"/>
      <c r="X68" s="375"/>
      <c r="Y68" s="375"/>
      <c r="Z68" s="336"/>
      <c r="AA68" s="353"/>
      <c r="AB68" s="336"/>
      <c r="AC68" s="336"/>
      <c r="AD68" s="336"/>
      <c r="AE68" s="336"/>
      <c r="AF68" s="336"/>
      <c r="AG68" s="336"/>
      <c r="AH68" s="336"/>
      <c r="AI68" s="336"/>
      <c r="AJ68" s="336"/>
      <c r="AK68" s="336"/>
      <c r="AL68" s="336"/>
      <c r="AM68" s="336"/>
      <c r="AN68" s="336"/>
      <c r="AO68" s="336"/>
      <c r="AP68" s="336"/>
      <c r="AQ68" s="336"/>
      <c r="AR68" s="336"/>
      <c r="AS68" s="336"/>
      <c r="AT68" s="336"/>
      <c r="AU68" s="336"/>
      <c r="AV68" s="336"/>
      <c r="AW68" s="336"/>
      <c r="AX68" s="336"/>
      <c r="AY68" s="336"/>
      <c r="AZ68" s="336"/>
      <c r="BA68" s="336"/>
      <c r="BB68" s="336"/>
      <c r="BC68" s="336"/>
      <c r="BD68" s="336"/>
      <c r="BE68" s="336"/>
      <c r="BF68" s="336"/>
    </row>
    <row r="69" spans="1:58" s="351" customFormat="1" x14ac:dyDescent="0.25">
      <c r="A69" s="336"/>
      <c r="B69" s="336"/>
      <c r="C69" s="336"/>
      <c r="D69" s="336"/>
      <c r="E69" s="336"/>
      <c r="F69" s="336"/>
      <c r="G69" s="336"/>
      <c r="H69" s="336"/>
      <c r="M69" s="352"/>
      <c r="N69" s="353"/>
      <c r="O69" s="353"/>
      <c r="T69" s="377"/>
      <c r="U69" s="352"/>
      <c r="V69" s="352"/>
      <c r="W69" s="352"/>
      <c r="X69" s="375"/>
      <c r="Y69" s="375"/>
      <c r="Z69" s="336"/>
      <c r="AA69" s="353"/>
      <c r="AB69" s="336"/>
      <c r="AC69" s="336"/>
      <c r="AD69" s="336"/>
      <c r="AE69" s="336"/>
      <c r="AF69" s="336"/>
      <c r="AG69" s="336"/>
      <c r="AH69" s="336"/>
      <c r="AI69" s="336"/>
      <c r="AJ69" s="336"/>
      <c r="AK69" s="336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6"/>
      <c r="AW69" s="336"/>
      <c r="AX69" s="336"/>
      <c r="AY69" s="336"/>
      <c r="AZ69" s="336"/>
      <c r="BA69" s="336"/>
      <c r="BB69" s="336"/>
      <c r="BC69" s="336"/>
      <c r="BD69" s="336"/>
      <c r="BE69" s="336"/>
      <c r="BF69" s="336"/>
    </row>
    <row r="70" spans="1:58" s="351" customFormat="1" x14ac:dyDescent="0.25">
      <c r="A70" s="336"/>
      <c r="B70" s="336"/>
      <c r="C70" s="336"/>
      <c r="D70" s="336"/>
      <c r="E70" s="336"/>
      <c r="F70" s="336"/>
      <c r="G70" s="336"/>
      <c r="H70" s="336"/>
      <c r="M70" s="352"/>
      <c r="N70" s="353"/>
      <c r="O70" s="353"/>
      <c r="T70" s="377"/>
      <c r="U70" s="352"/>
      <c r="V70" s="352"/>
      <c r="W70" s="352"/>
      <c r="X70" s="375"/>
      <c r="Y70" s="375"/>
      <c r="Z70" s="336"/>
      <c r="AA70" s="353"/>
      <c r="AB70" s="336"/>
      <c r="AC70" s="336"/>
      <c r="AD70" s="336"/>
      <c r="AE70" s="336"/>
      <c r="AF70" s="336"/>
      <c r="AG70" s="336"/>
      <c r="AH70" s="336"/>
      <c r="AI70" s="336"/>
      <c r="AJ70" s="336"/>
      <c r="AK70" s="336"/>
      <c r="AL70" s="336"/>
      <c r="AM70" s="336"/>
      <c r="AN70" s="336"/>
      <c r="AO70" s="336"/>
      <c r="AP70" s="336"/>
      <c r="AQ70" s="336"/>
      <c r="AR70" s="336"/>
      <c r="AS70" s="336"/>
      <c r="AT70" s="336"/>
      <c r="AU70" s="336"/>
      <c r="AV70" s="336"/>
      <c r="AW70" s="336"/>
      <c r="AX70" s="336"/>
      <c r="AY70" s="336"/>
      <c r="AZ70" s="336"/>
      <c r="BA70" s="336"/>
      <c r="BB70" s="336"/>
      <c r="BC70" s="336"/>
      <c r="BD70" s="336"/>
      <c r="BE70" s="336"/>
      <c r="BF70" s="336"/>
    </row>
    <row r="71" spans="1:58" s="351" customFormat="1" x14ac:dyDescent="0.25">
      <c r="A71" s="336"/>
      <c r="B71" s="336"/>
      <c r="C71" s="336"/>
      <c r="D71" s="336"/>
      <c r="E71" s="336"/>
      <c r="F71" s="336"/>
      <c r="G71" s="336"/>
      <c r="H71" s="336"/>
      <c r="M71" s="352"/>
      <c r="N71" s="353"/>
      <c r="O71" s="353"/>
      <c r="T71" s="377"/>
      <c r="U71" s="352"/>
      <c r="V71" s="352"/>
      <c r="W71" s="352"/>
      <c r="X71" s="375"/>
      <c r="Y71" s="375"/>
      <c r="Z71" s="336"/>
      <c r="AA71" s="353"/>
      <c r="AB71" s="336"/>
      <c r="AC71" s="336"/>
      <c r="AD71" s="336"/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336"/>
      <c r="AQ71" s="336"/>
      <c r="AR71" s="336"/>
      <c r="AS71" s="336"/>
      <c r="AT71" s="336"/>
      <c r="AU71" s="336"/>
      <c r="AV71" s="336"/>
      <c r="AW71" s="336"/>
      <c r="AX71" s="336"/>
      <c r="AY71" s="336"/>
      <c r="AZ71" s="336"/>
      <c r="BA71" s="336"/>
      <c r="BB71" s="336"/>
      <c r="BC71" s="336"/>
      <c r="BD71" s="336"/>
      <c r="BE71" s="336"/>
      <c r="BF71" s="336"/>
    </row>
    <row r="72" spans="1:58" s="351" customFormat="1" x14ac:dyDescent="0.25">
      <c r="A72" s="336"/>
      <c r="B72" s="336"/>
      <c r="C72" s="336"/>
      <c r="D72" s="336"/>
      <c r="E72" s="336"/>
      <c r="F72" s="336"/>
      <c r="G72" s="336"/>
      <c r="H72" s="336"/>
      <c r="M72" s="352"/>
      <c r="N72" s="353"/>
      <c r="O72" s="353"/>
      <c r="T72" s="377"/>
      <c r="U72" s="352"/>
      <c r="V72" s="352"/>
      <c r="W72" s="352"/>
      <c r="X72" s="375"/>
      <c r="Y72" s="375"/>
      <c r="Z72" s="336"/>
      <c r="AA72" s="353"/>
      <c r="AB72" s="336"/>
      <c r="AC72" s="336"/>
      <c r="AD72" s="336"/>
      <c r="AE72" s="336"/>
      <c r="AF72" s="336"/>
      <c r="AG72" s="336"/>
      <c r="AH72" s="336"/>
      <c r="AI72" s="336"/>
      <c r="AJ72" s="336"/>
      <c r="AK72" s="336"/>
      <c r="AL72" s="336"/>
      <c r="AM72" s="336"/>
      <c r="AN72" s="336"/>
      <c r="AO72" s="336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/>
      <c r="AZ72" s="336"/>
      <c r="BA72" s="336"/>
      <c r="BB72" s="336"/>
      <c r="BC72" s="336"/>
      <c r="BD72" s="336"/>
      <c r="BE72" s="336"/>
      <c r="BF72" s="336"/>
    </row>
    <row r="73" spans="1:58" s="351" customFormat="1" x14ac:dyDescent="0.25">
      <c r="A73" s="336"/>
      <c r="B73" s="336"/>
      <c r="C73" s="336"/>
      <c r="D73" s="336"/>
      <c r="E73" s="336"/>
      <c r="F73" s="336"/>
      <c r="G73" s="336"/>
      <c r="H73" s="336"/>
      <c r="M73" s="352"/>
      <c r="N73" s="353"/>
      <c r="O73" s="353"/>
      <c r="T73" s="377"/>
      <c r="U73" s="352"/>
      <c r="V73" s="352"/>
      <c r="W73" s="352"/>
      <c r="X73" s="375"/>
      <c r="Y73" s="375"/>
      <c r="Z73" s="336"/>
      <c r="AA73" s="353"/>
      <c r="AB73" s="336"/>
      <c r="AC73" s="336"/>
      <c r="AD73" s="336"/>
      <c r="AE73" s="336"/>
      <c r="AF73" s="336"/>
      <c r="AG73" s="336"/>
      <c r="AH73" s="336"/>
      <c r="AI73" s="336"/>
      <c r="AJ73" s="336"/>
      <c r="AK73" s="336"/>
      <c r="AL73" s="336"/>
      <c r="AM73" s="336"/>
      <c r="AN73" s="336"/>
      <c r="AO73" s="336"/>
      <c r="AP73" s="336"/>
      <c r="AQ73" s="336"/>
      <c r="AR73" s="336"/>
      <c r="AS73" s="336"/>
      <c r="AT73" s="336"/>
      <c r="AU73" s="336"/>
      <c r="AV73" s="336"/>
      <c r="AW73" s="336"/>
      <c r="AX73" s="336"/>
      <c r="AY73" s="336"/>
      <c r="AZ73" s="336"/>
      <c r="BA73" s="336"/>
      <c r="BB73" s="336"/>
      <c r="BC73" s="336"/>
      <c r="BD73" s="336"/>
      <c r="BE73" s="336"/>
      <c r="BF73" s="336"/>
    </row>
    <row r="74" spans="1:58" s="351" customFormat="1" x14ac:dyDescent="0.25">
      <c r="A74" s="336"/>
      <c r="B74" s="336"/>
      <c r="C74" s="336"/>
      <c r="D74" s="336"/>
      <c r="E74" s="336"/>
      <c r="F74" s="336"/>
      <c r="G74" s="336"/>
      <c r="H74" s="336"/>
      <c r="M74" s="352"/>
      <c r="N74" s="353"/>
      <c r="O74" s="353"/>
      <c r="T74" s="377"/>
      <c r="U74" s="352"/>
      <c r="V74" s="352"/>
      <c r="W74" s="352"/>
      <c r="X74" s="375"/>
      <c r="Y74" s="375"/>
      <c r="Z74" s="336"/>
      <c r="AA74" s="353"/>
      <c r="AB74" s="336"/>
      <c r="AC74" s="336"/>
      <c r="AD74" s="336"/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336"/>
      <c r="AQ74" s="336"/>
      <c r="AR74" s="336"/>
      <c r="AS74" s="336"/>
      <c r="AT74" s="336"/>
      <c r="AU74" s="336"/>
      <c r="AV74" s="336"/>
      <c r="AW74" s="336"/>
      <c r="AX74" s="336"/>
      <c r="AY74" s="336"/>
      <c r="AZ74" s="336"/>
      <c r="BA74" s="336"/>
      <c r="BB74" s="336"/>
      <c r="BC74" s="336"/>
      <c r="BD74" s="336"/>
      <c r="BE74" s="336"/>
      <c r="BF74" s="336"/>
    </row>
    <row r="75" spans="1:58" s="351" customFormat="1" x14ac:dyDescent="0.25">
      <c r="A75" s="336"/>
      <c r="B75" s="336"/>
      <c r="C75" s="336"/>
      <c r="D75" s="336"/>
      <c r="E75" s="336"/>
      <c r="F75" s="336"/>
      <c r="G75" s="336"/>
      <c r="H75" s="336"/>
      <c r="M75" s="352"/>
      <c r="N75" s="353"/>
      <c r="O75" s="353"/>
      <c r="T75" s="377"/>
      <c r="U75" s="352"/>
      <c r="V75" s="352"/>
      <c r="W75" s="352"/>
      <c r="X75" s="375"/>
      <c r="Y75" s="375"/>
      <c r="Z75" s="336"/>
      <c r="AA75" s="353"/>
      <c r="AB75" s="336"/>
      <c r="AC75" s="336"/>
      <c r="AD75" s="336"/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336"/>
      <c r="AQ75" s="336"/>
      <c r="AR75" s="336"/>
      <c r="AS75" s="336"/>
      <c r="AT75" s="336"/>
      <c r="AU75" s="336"/>
      <c r="AV75" s="336"/>
      <c r="AW75" s="336"/>
      <c r="AX75" s="336"/>
      <c r="AY75" s="336"/>
      <c r="AZ75" s="336"/>
      <c r="BA75" s="336"/>
      <c r="BB75" s="336"/>
      <c r="BC75" s="336"/>
      <c r="BD75" s="336"/>
      <c r="BE75" s="336"/>
      <c r="BF75" s="336"/>
    </row>
    <row r="76" spans="1:58" s="351" customFormat="1" x14ac:dyDescent="0.25">
      <c r="A76" s="336"/>
      <c r="B76" s="336"/>
      <c r="C76" s="336"/>
      <c r="D76" s="336"/>
      <c r="E76" s="336"/>
      <c r="F76" s="336"/>
      <c r="G76" s="336"/>
      <c r="H76" s="336"/>
      <c r="M76" s="352"/>
      <c r="N76" s="353"/>
      <c r="O76" s="353"/>
      <c r="T76" s="377"/>
      <c r="U76" s="352"/>
      <c r="V76" s="352"/>
      <c r="W76" s="352"/>
      <c r="X76" s="375"/>
      <c r="Y76" s="375"/>
      <c r="Z76" s="336"/>
      <c r="AA76" s="353"/>
      <c r="AB76" s="336"/>
      <c r="AC76" s="336"/>
      <c r="AD76" s="336"/>
      <c r="AE76" s="336"/>
      <c r="AF76" s="336"/>
      <c r="AG76" s="336"/>
      <c r="AH76" s="336"/>
      <c r="AI76" s="336"/>
      <c r="AJ76" s="336"/>
      <c r="AK76" s="336"/>
      <c r="AL76" s="336"/>
      <c r="AM76" s="336"/>
      <c r="AN76" s="336"/>
      <c r="AO76" s="336"/>
      <c r="AP76" s="336"/>
      <c r="AQ76" s="336"/>
      <c r="AR76" s="336"/>
      <c r="AS76" s="336"/>
      <c r="AT76" s="336"/>
      <c r="AU76" s="336"/>
      <c r="AV76" s="336"/>
      <c r="AW76" s="336"/>
      <c r="AX76" s="336"/>
      <c r="AY76" s="336"/>
      <c r="AZ76" s="336"/>
      <c r="BA76" s="336"/>
      <c r="BB76" s="336"/>
      <c r="BC76" s="336"/>
      <c r="BD76" s="336"/>
      <c r="BE76" s="336"/>
      <c r="BF76" s="336"/>
    </row>
    <row r="77" spans="1:58" s="351" customFormat="1" x14ac:dyDescent="0.25">
      <c r="A77" s="336"/>
      <c r="B77" s="336"/>
      <c r="C77" s="336"/>
      <c r="D77" s="336"/>
      <c r="E77" s="336"/>
      <c r="F77" s="336"/>
      <c r="G77" s="336"/>
      <c r="H77" s="336"/>
      <c r="M77" s="352"/>
      <c r="N77" s="353"/>
      <c r="O77" s="353"/>
      <c r="T77" s="377"/>
      <c r="U77" s="352"/>
      <c r="V77" s="352"/>
      <c r="W77" s="352"/>
      <c r="X77" s="375"/>
      <c r="Y77" s="375"/>
      <c r="Z77" s="336"/>
      <c r="AA77" s="353"/>
      <c r="AB77" s="336"/>
      <c r="AC77" s="336"/>
      <c r="AD77" s="336"/>
      <c r="AE77" s="336"/>
      <c r="AF77" s="336"/>
      <c r="AG77" s="336"/>
      <c r="AH77" s="336"/>
      <c r="AI77" s="336"/>
      <c r="AJ77" s="336"/>
      <c r="AK77" s="336"/>
      <c r="AL77" s="336"/>
      <c r="AM77" s="336"/>
      <c r="AN77" s="336"/>
      <c r="AO77" s="336"/>
      <c r="AP77" s="336"/>
      <c r="AQ77" s="336"/>
      <c r="AR77" s="336"/>
      <c r="AS77" s="336"/>
      <c r="AT77" s="336"/>
      <c r="AU77" s="336"/>
      <c r="AV77" s="336"/>
      <c r="AW77" s="336"/>
      <c r="AX77" s="336"/>
      <c r="AY77" s="336"/>
      <c r="AZ77" s="336"/>
      <c r="BA77" s="336"/>
      <c r="BB77" s="336"/>
      <c r="BC77" s="336"/>
      <c r="BD77" s="336"/>
      <c r="BE77" s="336"/>
      <c r="BF77" s="336"/>
    </row>
    <row r="78" spans="1:58" s="351" customFormat="1" x14ac:dyDescent="0.25">
      <c r="A78" s="336"/>
      <c r="B78" s="336"/>
      <c r="C78" s="336"/>
      <c r="D78" s="336"/>
      <c r="E78" s="336"/>
      <c r="F78" s="336"/>
      <c r="G78" s="336"/>
      <c r="H78" s="336"/>
      <c r="M78" s="352"/>
      <c r="N78" s="353"/>
      <c r="O78" s="353"/>
      <c r="T78" s="377"/>
      <c r="U78" s="352"/>
      <c r="V78" s="352"/>
      <c r="W78" s="352"/>
      <c r="X78" s="375"/>
      <c r="Y78" s="375"/>
      <c r="Z78" s="336"/>
      <c r="AA78" s="353"/>
      <c r="AB78" s="336"/>
      <c r="AC78" s="336"/>
      <c r="AD78" s="336"/>
      <c r="AE78" s="336"/>
      <c r="AF78" s="336"/>
      <c r="AG78" s="336"/>
      <c r="AH78" s="336"/>
      <c r="AI78" s="336"/>
      <c r="AJ78" s="336"/>
      <c r="AK78" s="336"/>
      <c r="AL78" s="336"/>
      <c r="AM78" s="336"/>
      <c r="AN78" s="336"/>
      <c r="AO78" s="336"/>
      <c r="AP78" s="336"/>
      <c r="AQ78" s="336"/>
      <c r="AR78" s="336"/>
      <c r="AS78" s="336"/>
      <c r="AT78" s="336"/>
      <c r="AU78" s="336"/>
      <c r="AV78" s="336"/>
      <c r="AW78" s="336"/>
      <c r="AX78" s="336"/>
      <c r="AY78" s="336"/>
      <c r="AZ78" s="336"/>
      <c r="BA78" s="336"/>
      <c r="BB78" s="336"/>
      <c r="BC78" s="336"/>
      <c r="BD78" s="336"/>
      <c r="BE78" s="336"/>
      <c r="BF78" s="336"/>
    </row>
    <row r="79" spans="1:58" s="351" customFormat="1" x14ac:dyDescent="0.25">
      <c r="A79" s="336"/>
      <c r="B79" s="336"/>
      <c r="C79" s="336"/>
      <c r="D79" s="336"/>
      <c r="E79" s="336"/>
      <c r="F79" s="336"/>
      <c r="G79" s="336"/>
      <c r="H79" s="336"/>
      <c r="M79" s="352"/>
      <c r="N79" s="353"/>
      <c r="O79" s="353"/>
      <c r="T79" s="377"/>
      <c r="U79" s="352"/>
      <c r="V79" s="352"/>
      <c r="W79" s="352"/>
      <c r="X79" s="375"/>
      <c r="Y79" s="375"/>
      <c r="Z79" s="336"/>
      <c r="AA79" s="353"/>
      <c r="AB79" s="336"/>
      <c r="AC79" s="336"/>
      <c r="AD79" s="336"/>
      <c r="AE79" s="336"/>
      <c r="AF79" s="336"/>
      <c r="AG79" s="336"/>
      <c r="AH79" s="336"/>
      <c r="AI79" s="336"/>
      <c r="AJ79" s="336"/>
      <c r="AK79" s="336"/>
      <c r="AL79" s="336"/>
      <c r="AM79" s="336"/>
      <c r="AN79" s="336"/>
      <c r="AO79" s="336"/>
      <c r="AP79" s="336"/>
      <c r="AQ79" s="336"/>
      <c r="AR79" s="336"/>
      <c r="AS79" s="336"/>
      <c r="AT79" s="336"/>
      <c r="AU79" s="336"/>
      <c r="AV79" s="336"/>
      <c r="AW79" s="336"/>
      <c r="AX79" s="336"/>
      <c r="AY79" s="336"/>
      <c r="AZ79" s="336"/>
      <c r="BA79" s="336"/>
      <c r="BB79" s="336"/>
      <c r="BC79" s="336"/>
      <c r="BD79" s="336"/>
      <c r="BE79" s="336"/>
      <c r="BF79" s="336"/>
    </row>
    <row r="80" spans="1:58" s="351" customFormat="1" x14ac:dyDescent="0.25">
      <c r="A80" s="336"/>
      <c r="B80" s="336"/>
      <c r="C80" s="336"/>
      <c r="D80" s="336"/>
      <c r="E80" s="336"/>
      <c r="F80" s="336"/>
      <c r="G80" s="336"/>
      <c r="H80" s="336"/>
      <c r="M80" s="352"/>
      <c r="N80" s="353"/>
      <c r="O80" s="353"/>
      <c r="T80" s="377"/>
      <c r="U80" s="352"/>
      <c r="V80" s="352"/>
      <c r="W80" s="352"/>
      <c r="X80" s="375"/>
      <c r="Y80" s="375"/>
      <c r="Z80" s="336"/>
      <c r="AA80" s="353"/>
      <c r="AB80" s="336"/>
      <c r="AC80" s="336"/>
      <c r="AD80" s="336"/>
      <c r="AE80" s="336"/>
      <c r="AF80" s="336"/>
      <c r="AG80" s="336"/>
      <c r="AH80" s="336"/>
      <c r="AI80" s="336"/>
      <c r="AJ80" s="336"/>
      <c r="AK80" s="336"/>
      <c r="AL80" s="336"/>
      <c r="AM80" s="336"/>
      <c r="AN80" s="336"/>
      <c r="AO80" s="336"/>
      <c r="AP80" s="336"/>
      <c r="AQ80" s="336"/>
      <c r="AR80" s="336"/>
      <c r="AS80" s="336"/>
      <c r="AT80" s="336"/>
      <c r="AU80" s="336"/>
      <c r="AV80" s="336"/>
      <c r="AW80" s="336"/>
      <c r="AX80" s="336"/>
      <c r="AY80" s="336"/>
      <c r="AZ80" s="336"/>
      <c r="BA80" s="336"/>
      <c r="BB80" s="336"/>
      <c r="BC80" s="336"/>
      <c r="BD80" s="336"/>
      <c r="BE80" s="336"/>
      <c r="BF80" s="336"/>
    </row>
    <row r="81" spans="9:27" x14ac:dyDescent="0.25">
      <c r="O81" s="353"/>
    </row>
    <row r="82" spans="9:27" x14ac:dyDescent="0.25">
      <c r="O82" s="353"/>
    </row>
    <row r="83" spans="9:27" x14ac:dyDescent="0.25">
      <c r="O83" s="353"/>
    </row>
    <row r="84" spans="9:27" x14ac:dyDescent="0.25">
      <c r="O84" s="353"/>
    </row>
    <row r="85" spans="9:27" x14ac:dyDescent="0.25">
      <c r="O85" s="353"/>
    </row>
    <row r="86" spans="9:27" x14ac:dyDescent="0.25">
      <c r="O86" s="353"/>
    </row>
    <row r="87" spans="9:27" x14ac:dyDescent="0.25">
      <c r="O87" s="353"/>
    </row>
    <row r="88" spans="9:27" x14ac:dyDescent="0.25">
      <c r="O88" s="353"/>
    </row>
    <row r="89" spans="9:27" x14ac:dyDescent="0.25">
      <c r="O89" s="353"/>
    </row>
    <row r="90" spans="9:27" x14ac:dyDescent="0.25">
      <c r="O90" s="353"/>
    </row>
    <row r="91" spans="9:27" x14ac:dyDescent="0.25">
      <c r="O91" s="353"/>
    </row>
    <row r="92" spans="9:27" x14ac:dyDescent="0.25">
      <c r="O92" s="353"/>
    </row>
    <row r="93" spans="9:27" x14ac:dyDescent="0.25">
      <c r="O93" s="353"/>
    </row>
    <row r="94" spans="9:27" x14ac:dyDescent="0.25">
      <c r="O94" s="353"/>
    </row>
    <row r="95" spans="9:27" x14ac:dyDescent="0.25">
      <c r="I95" s="336"/>
      <c r="J95" s="336"/>
      <c r="K95" s="336"/>
      <c r="L95" s="336"/>
      <c r="M95" s="336"/>
      <c r="N95" s="336"/>
      <c r="O95" s="353"/>
      <c r="P95" s="336"/>
      <c r="Q95" s="336"/>
      <c r="R95" s="336"/>
      <c r="S95" s="336"/>
      <c r="U95" s="336"/>
      <c r="V95" s="336"/>
      <c r="W95" s="336"/>
      <c r="X95" s="336"/>
      <c r="Y95" s="336"/>
      <c r="AA95" s="336"/>
    </row>
    <row r="96" spans="9:27" x14ac:dyDescent="0.25">
      <c r="O96" s="353"/>
    </row>
    <row r="97" spans="1:58" s="351" customFormat="1" x14ac:dyDescent="0.25">
      <c r="A97" s="336"/>
      <c r="B97" s="336"/>
      <c r="C97" s="336"/>
      <c r="D97" s="336"/>
      <c r="E97" s="336"/>
      <c r="F97" s="336"/>
      <c r="G97" s="336"/>
      <c r="H97" s="336"/>
      <c r="M97" s="352"/>
      <c r="N97" s="353"/>
      <c r="O97" s="353"/>
      <c r="T97" s="377"/>
      <c r="U97" s="352"/>
      <c r="V97" s="352"/>
      <c r="W97" s="352"/>
      <c r="X97" s="375"/>
      <c r="Y97" s="375"/>
      <c r="Z97" s="336"/>
      <c r="AA97" s="353"/>
      <c r="AB97" s="336"/>
      <c r="AC97" s="336"/>
      <c r="AD97" s="336"/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6"/>
      <c r="BB97" s="336"/>
      <c r="BC97" s="336"/>
      <c r="BD97" s="336"/>
      <c r="BE97" s="336"/>
      <c r="BF97" s="336"/>
    </row>
    <row r="98" spans="1:58" s="351" customFormat="1" x14ac:dyDescent="0.25">
      <c r="A98" s="336"/>
      <c r="B98" s="336"/>
      <c r="C98" s="336"/>
      <c r="D98" s="336"/>
      <c r="E98" s="336"/>
      <c r="F98" s="336"/>
      <c r="G98" s="336"/>
      <c r="H98" s="336"/>
      <c r="M98" s="352"/>
      <c r="N98" s="353"/>
      <c r="O98" s="353"/>
      <c r="T98" s="377"/>
      <c r="U98" s="352"/>
      <c r="V98" s="352"/>
      <c r="W98" s="352"/>
      <c r="X98" s="375"/>
      <c r="Y98" s="375"/>
      <c r="Z98" s="336"/>
      <c r="AA98" s="353"/>
      <c r="AB98" s="336"/>
      <c r="AC98" s="336"/>
      <c r="AD98" s="336"/>
      <c r="AE98" s="336"/>
      <c r="AF98" s="336"/>
      <c r="AG98" s="336"/>
      <c r="AH98" s="336"/>
      <c r="AI98" s="336"/>
      <c r="AJ98" s="336"/>
      <c r="AK98" s="336"/>
      <c r="AL98" s="336"/>
      <c r="AM98" s="336"/>
      <c r="AN98" s="336"/>
      <c r="AO98" s="336"/>
      <c r="AP98" s="336"/>
      <c r="AQ98" s="336"/>
      <c r="AR98" s="336"/>
      <c r="AS98" s="336"/>
      <c r="AT98" s="336"/>
      <c r="AU98" s="336"/>
      <c r="AV98" s="336"/>
      <c r="AW98" s="336"/>
      <c r="AX98" s="336"/>
      <c r="AY98" s="336"/>
      <c r="AZ98" s="336"/>
      <c r="BA98" s="336"/>
      <c r="BB98" s="336"/>
      <c r="BC98" s="336"/>
      <c r="BD98" s="336"/>
      <c r="BE98" s="336"/>
      <c r="BF98" s="336"/>
    </row>
    <row r="99" spans="1:58" s="351" customFormat="1" x14ac:dyDescent="0.25">
      <c r="A99" s="336"/>
      <c r="B99" s="336"/>
      <c r="C99" s="336"/>
      <c r="D99" s="336"/>
      <c r="E99" s="336"/>
      <c r="F99" s="336"/>
      <c r="G99" s="336"/>
      <c r="H99" s="336"/>
      <c r="M99" s="352"/>
      <c r="N99" s="353"/>
      <c r="O99" s="353"/>
      <c r="T99" s="377"/>
      <c r="U99" s="352"/>
      <c r="V99" s="352"/>
      <c r="W99" s="352"/>
      <c r="X99" s="375"/>
      <c r="Y99" s="375"/>
      <c r="Z99" s="336"/>
      <c r="AA99" s="353"/>
      <c r="AB99" s="336"/>
      <c r="AC99" s="336"/>
      <c r="AD99" s="336"/>
      <c r="AE99" s="336"/>
      <c r="AF99" s="336"/>
      <c r="AG99" s="336"/>
      <c r="AH99" s="336"/>
      <c r="AI99" s="336"/>
      <c r="AJ99" s="336"/>
      <c r="AK99" s="336"/>
      <c r="AL99" s="336"/>
      <c r="AM99" s="336"/>
      <c r="AN99" s="336"/>
      <c r="AO99" s="336"/>
      <c r="AP99" s="336"/>
      <c r="AQ99" s="336"/>
      <c r="AR99" s="336"/>
      <c r="AS99" s="336"/>
      <c r="AT99" s="336"/>
      <c r="AU99" s="336"/>
      <c r="AV99" s="336"/>
      <c r="AW99" s="336"/>
      <c r="AX99" s="336"/>
      <c r="AY99" s="336"/>
      <c r="AZ99" s="336"/>
      <c r="BA99" s="336"/>
      <c r="BB99" s="336"/>
      <c r="BC99" s="336"/>
      <c r="BD99" s="336"/>
      <c r="BE99" s="336"/>
      <c r="BF99" s="336"/>
    </row>
    <row r="100" spans="1:58" s="351" customFormat="1" x14ac:dyDescent="0.25">
      <c r="A100" s="336"/>
      <c r="B100" s="336"/>
      <c r="C100" s="336"/>
      <c r="D100" s="336"/>
      <c r="E100" s="336"/>
      <c r="F100" s="336"/>
      <c r="G100" s="336"/>
      <c r="H100" s="336"/>
      <c r="M100" s="352"/>
      <c r="N100" s="353"/>
      <c r="O100" s="353"/>
      <c r="T100" s="377"/>
      <c r="U100" s="352"/>
      <c r="V100" s="352"/>
      <c r="W100" s="352"/>
      <c r="X100" s="375"/>
      <c r="Y100" s="375"/>
      <c r="Z100" s="336"/>
      <c r="AA100" s="353"/>
      <c r="AB100" s="336"/>
      <c r="AC100" s="336"/>
      <c r="AD100" s="336"/>
      <c r="AE100" s="336"/>
      <c r="AF100" s="336"/>
      <c r="AG100" s="336"/>
      <c r="AH100" s="336"/>
      <c r="AI100" s="336"/>
      <c r="AJ100" s="336"/>
      <c r="AK100" s="336"/>
      <c r="AL100" s="336"/>
      <c r="AM100" s="336"/>
      <c r="AN100" s="336"/>
      <c r="AO100" s="336"/>
      <c r="AP100" s="336"/>
      <c r="AQ100" s="336"/>
      <c r="AR100" s="336"/>
      <c r="AS100" s="336"/>
      <c r="AT100" s="336"/>
      <c r="AU100" s="336"/>
      <c r="AV100" s="336"/>
      <c r="AW100" s="336"/>
      <c r="AX100" s="336"/>
      <c r="AY100" s="336"/>
      <c r="AZ100" s="336"/>
      <c r="BA100" s="336"/>
      <c r="BB100" s="336"/>
      <c r="BC100" s="336"/>
      <c r="BD100" s="336"/>
      <c r="BE100" s="336"/>
      <c r="BF100" s="336"/>
    </row>
    <row r="101" spans="1:58" s="351" customFormat="1" x14ac:dyDescent="0.25">
      <c r="A101" s="336"/>
      <c r="B101" s="336"/>
      <c r="C101" s="336"/>
      <c r="D101" s="336"/>
      <c r="E101" s="336"/>
      <c r="F101" s="336"/>
      <c r="G101" s="336"/>
      <c r="H101" s="336"/>
      <c r="M101" s="352"/>
      <c r="N101" s="353"/>
      <c r="O101" s="353"/>
      <c r="T101" s="377"/>
      <c r="U101" s="352"/>
      <c r="V101" s="352"/>
      <c r="W101" s="352"/>
      <c r="X101" s="375"/>
      <c r="Y101" s="375"/>
      <c r="Z101" s="336"/>
      <c r="AA101" s="353"/>
      <c r="AB101" s="336"/>
      <c r="AC101" s="336"/>
      <c r="AD101" s="336"/>
      <c r="AE101" s="336"/>
      <c r="AF101" s="336"/>
      <c r="AG101" s="336"/>
      <c r="AH101" s="336"/>
      <c r="AI101" s="336"/>
      <c r="AJ101" s="336"/>
      <c r="AK101" s="336"/>
      <c r="AL101" s="336"/>
      <c r="AM101" s="336"/>
      <c r="AN101" s="336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6"/>
      <c r="BB101" s="336"/>
      <c r="BC101" s="336"/>
      <c r="BD101" s="336"/>
      <c r="BE101" s="336"/>
      <c r="BF101" s="336"/>
    </row>
    <row r="102" spans="1:58" s="351" customFormat="1" x14ac:dyDescent="0.25">
      <c r="A102" s="336"/>
      <c r="B102" s="336"/>
      <c r="C102" s="336"/>
      <c r="D102" s="336"/>
      <c r="E102" s="336"/>
      <c r="F102" s="336"/>
      <c r="G102" s="336"/>
      <c r="H102" s="336"/>
      <c r="M102" s="352"/>
      <c r="N102" s="353"/>
      <c r="O102" s="353"/>
      <c r="T102" s="377"/>
      <c r="U102" s="352"/>
      <c r="V102" s="352"/>
      <c r="W102" s="352"/>
      <c r="X102" s="375"/>
      <c r="Y102" s="375"/>
      <c r="Z102" s="336"/>
      <c r="AA102" s="353"/>
      <c r="AB102" s="336"/>
      <c r="AC102" s="336"/>
      <c r="AD102" s="336"/>
      <c r="AE102" s="336"/>
      <c r="AF102" s="336"/>
      <c r="AG102" s="336"/>
      <c r="AH102" s="336"/>
      <c r="AI102" s="336"/>
      <c r="AJ102" s="336"/>
      <c r="AK102" s="336"/>
      <c r="AL102" s="336"/>
      <c r="AM102" s="336"/>
      <c r="AN102" s="336"/>
      <c r="AO102" s="336"/>
      <c r="AP102" s="336"/>
      <c r="AQ102" s="336"/>
      <c r="AR102" s="336"/>
      <c r="AS102" s="336"/>
      <c r="AT102" s="336"/>
      <c r="AU102" s="336"/>
      <c r="AV102" s="336"/>
      <c r="AW102" s="336"/>
      <c r="AX102" s="336"/>
      <c r="AY102" s="336"/>
      <c r="AZ102" s="336"/>
      <c r="BA102" s="336"/>
      <c r="BB102" s="336"/>
      <c r="BC102" s="336"/>
      <c r="BD102" s="336"/>
      <c r="BE102" s="336"/>
      <c r="BF102" s="336"/>
    </row>
    <row r="103" spans="1:58" s="351" customFormat="1" x14ac:dyDescent="0.25">
      <c r="A103" s="336"/>
      <c r="B103" s="336"/>
      <c r="C103" s="336"/>
      <c r="D103" s="336"/>
      <c r="E103" s="336"/>
      <c r="F103" s="336"/>
      <c r="G103" s="336"/>
      <c r="H103" s="336"/>
      <c r="M103" s="352"/>
      <c r="N103" s="353"/>
      <c r="O103" s="353"/>
      <c r="T103" s="377"/>
      <c r="U103" s="352"/>
      <c r="V103" s="352"/>
      <c r="W103" s="352"/>
      <c r="X103" s="375"/>
      <c r="Y103" s="375"/>
      <c r="Z103" s="336"/>
      <c r="AA103" s="353"/>
      <c r="AB103" s="336"/>
      <c r="AC103" s="336"/>
      <c r="AD103" s="336"/>
      <c r="AE103" s="336"/>
      <c r="AF103" s="336"/>
      <c r="AG103" s="336"/>
      <c r="AH103" s="336"/>
      <c r="AI103" s="336"/>
      <c r="AJ103" s="336"/>
      <c r="AK103" s="336"/>
      <c r="AL103" s="336"/>
      <c r="AM103" s="336"/>
      <c r="AN103" s="336"/>
      <c r="AO103" s="336"/>
      <c r="AP103" s="336"/>
      <c r="AQ103" s="336"/>
      <c r="AR103" s="336"/>
      <c r="AS103" s="336"/>
      <c r="AT103" s="336"/>
      <c r="AU103" s="336"/>
      <c r="AV103" s="336"/>
      <c r="AW103" s="336"/>
      <c r="AX103" s="336"/>
      <c r="AY103" s="336"/>
      <c r="AZ103" s="336"/>
      <c r="BA103" s="336"/>
      <c r="BB103" s="336"/>
      <c r="BC103" s="336"/>
      <c r="BD103" s="336"/>
      <c r="BE103" s="336"/>
      <c r="BF103" s="336"/>
    </row>
    <row r="104" spans="1:58" s="351" customFormat="1" x14ac:dyDescent="0.25">
      <c r="A104" s="336"/>
      <c r="B104" s="336"/>
      <c r="C104" s="336"/>
      <c r="D104" s="336"/>
      <c r="E104" s="336"/>
      <c r="F104" s="336"/>
      <c r="G104" s="336"/>
      <c r="H104" s="336"/>
      <c r="M104" s="352"/>
      <c r="N104" s="353"/>
      <c r="O104" s="353"/>
      <c r="T104" s="377"/>
      <c r="U104" s="352"/>
      <c r="V104" s="352"/>
      <c r="W104" s="352"/>
      <c r="X104" s="375"/>
      <c r="Y104" s="375"/>
      <c r="Z104" s="336"/>
      <c r="AA104" s="353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336"/>
      <c r="AP104" s="336"/>
      <c r="AQ104" s="336"/>
      <c r="AR104" s="336"/>
      <c r="AS104" s="336"/>
      <c r="AT104" s="336"/>
      <c r="AU104" s="336"/>
      <c r="AV104" s="336"/>
      <c r="AW104" s="336"/>
      <c r="AX104" s="336"/>
      <c r="AY104" s="336"/>
      <c r="AZ104" s="336"/>
      <c r="BA104" s="336"/>
      <c r="BB104" s="336"/>
      <c r="BC104" s="336"/>
      <c r="BD104" s="336"/>
      <c r="BE104" s="336"/>
      <c r="BF104" s="336"/>
    </row>
    <row r="105" spans="1:58" s="351" customFormat="1" x14ac:dyDescent="0.25">
      <c r="A105" s="336"/>
      <c r="B105" s="336"/>
      <c r="C105" s="336"/>
      <c r="D105" s="336"/>
      <c r="E105" s="336"/>
      <c r="F105" s="336"/>
      <c r="G105" s="336"/>
      <c r="H105" s="336"/>
      <c r="M105" s="352"/>
      <c r="N105" s="353"/>
      <c r="O105" s="353"/>
      <c r="T105" s="377"/>
      <c r="U105" s="352"/>
      <c r="V105" s="352"/>
      <c r="W105" s="352"/>
      <c r="X105" s="375"/>
      <c r="Y105" s="375"/>
      <c r="Z105" s="336"/>
      <c r="AA105" s="353"/>
      <c r="AB105" s="336"/>
      <c r="AC105" s="336"/>
      <c r="AD105" s="336"/>
      <c r="AE105" s="336"/>
      <c r="AF105" s="336"/>
      <c r="AG105" s="336"/>
      <c r="AH105" s="336"/>
      <c r="AI105" s="336"/>
      <c r="AJ105" s="336"/>
      <c r="AK105" s="336"/>
      <c r="AL105" s="336"/>
      <c r="AM105" s="336"/>
      <c r="AN105" s="336"/>
      <c r="AO105" s="336"/>
      <c r="AP105" s="336"/>
      <c r="AQ105" s="336"/>
      <c r="AR105" s="336"/>
      <c r="AS105" s="336"/>
      <c r="AT105" s="336"/>
      <c r="AU105" s="336"/>
      <c r="AV105" s="336"/>
      <c r="AW105" s="336"/>
      <c r="AX105" s="336"/>
      <c r="AY105" s="336"/>
      <c r="AZ105" s="336"/>
      <c r="BA105" s="336"/>
      <c r="BB105" s="336"/>
      <c r="BC105" s="336"/>
      <c r="BD105" s="336"/>
      <c r="BE105" s="336"/>
      <c r="BF105" s="336"/>
    </row>
    <row r="106" spans="1:58" s="351" customFormat="1" x14ac:dyDescent="0.25">
      <c r="A106" s="336"/>
      <c r="B106" s="336"/>
      <c r="C106" s="336"/>
      <c r="D106" s="336"/>
      <c r="E106" s="336"/>
      <c r="F106" s="336"/>
      <c r="G106" s="336"/>
      <c r="H106" s="336"/>
      <c r="M106" s="352"/>
      <c r="N106" s="353"/>
      <c r="O106" s="353"/>
      <c r="T106" s="377"/>
      <c r="U106" s="352"/>
      <c r="V106" s="352"/>
      <c r="W106" s="352"/>
      <c r="X106" s="375"/>
      <c r="Y106" s="375"/>
      <c r="Z106" s="336"/>
      <c r="AA106" s="353"/>
      <c r="AB106" s="336"/>
      <c r="AC106" s="336"/>
      <c r="AD106" s="336"/>
      <c r="AE106" s="336"/>
      <c r="AF106" s="336"/>
      <c r="AG106" s="336"/>
      <c r="AH106" s="336"/>
      <c r="AI106" s="336"/>
      <c r="AJ106" s="336"/>
      <c r="AK106" s="336"/>
      <c r="AL106" s="336"/>
      <c r="AM106" s="336"/>
      <c r="AN106" s="336"/>
      <c r="AO106" s="336"/>
      <c r="AP106" s="336"/>
      <c r="AQ106" s="336"/>
      <c r="AR106" s="336"/>
      <c r="AS106" s="336"/>
      <c r="AT106" s="336"/>
      <c r="AU106" s="336"/>
      <c r="AV106" s="336"/>
      <c r="AW106" s="336"/>
      <c r="AX106" s="336"/>
      <c r="AY106" s="336"/>
      <c r="AZ106" s="336"/>
      <c r="BA106" s="336"/>
      <c r="BB106" s="336"/>
      <c r="BC106" s="336"/>
      <c r="BD106" s="336"/>
      <c r="BE106" s="336"/>
      <c r="BF106" s="336"/>
    </row>
    <row r="107" spans="1:58" s="351" customFormat="1" x14ac:dyDescent="0.25">
      <c r="A107" s="336"/>
      <c r="B107" s="336"/>
      <c r="C107" s="336"/>
      <c r="D107" s="336"/>
      <c r="E107" s="336"/>
      <c r="F107" s="336"/>
      <c r="G107" s="336"/>
      <c r="H107" s="336"/>
      <c r="M107" s="352"/>
      <c r="N107" s="353"/>
      <c r="O107" s="353"/>
      <c r="T107" s="377"/>
      <c r="U107" s="352"/>
      <c r="V107" s="352"/>
      <c r="W107" s="352"/>
      <c r="X107" s="375"/>
      <c r="Y107" s="375"/>
      <c r="Z107" s="336"/>
      <c r="AA107" s="353"/>
      <c r="AB107" s="336"/>
      <c r="AC107" s="336"/>
      <c r="AD107" s="336"/>
      <c r="AE107" s="336"/>
      <c r="AF107" s="336"/>
      <c r="AG107" s="336"/>
      <c r="AH107" s="336"/>
      <c r="AI107" s="336"/>
      <c r="AJ107" s="336"/>
      <c r="AK107" s="336"/>
      <c r="AL107" s="336"/>
      <c r="AM107" s="336"/>
      <c r="AN107" s="336"/>
      <c r="AO107" s="336"/>
      <c r="AP107" s="336"/>
      <c r="AQ107" s="336"/>
      <c r="AR107" s="336"/>
      <c r="AS107" s="336"/>
      <c r="AT107" s="336"/>
      <c r="AU107" s="336"/>
      <c r="AV107" s="336"/>
      <c r="AW107" s="336"/>
      <c r="AX107" s="336"/>
      <c r="AY107" s="336"/>
      <c r="AZ107" s="336"/>
      <c r="BA107" s="336"/>
      <c r="BB107" s="336"/>
      <c r="BC107" s="336"/>
      <c r="BD107" s="336"/>
      <c r="BE107" s="336"/>
      <c r="BF107" s="336"/>
    </row>
    <row r="108" spans="1:58" s="351" customFormat="1" x14ac:dyDescent="0.25">
      <c r="A108" s="336"/>
      <c r="B108" s="336"/>
      <c r="C108" s="336"/>
      <c r="D108" s="336"/>
      <c r="E108" s="336"/>
      <c r="F108" s="336"/>
      <c r="G108" s="336"/>
      <c r="H108" s="336"/>
      <c r="M108" s="352"/>
      <c r="N108" s="353"/>
      <c r="O108" s="353"/>
      <c r="T108" s="377"/>
      <c r="U108" s="352"/>
      <c r="V108" s="352"/>
      <c r="W108" s="352"/>
      <c r="X108" s="375"/>
      <c r="Y108" s="375"/>
      <c r="Z108" s="336"/>
      <c r="AA108" s="353"/>
      <c r="AB108" s="336"/>
      <c r="AC108" s="336"/>
      <c r="AD108" s="336"/>
      <c r="AE108" s="336"/>
      <c r="AF108" s="336"/>
      <c r="AG108" s="336"/>
      <c r="AH108" s="336"/>
      <c r="AI108" s="336"/>
      <c r="AJ108" s="336"/>
      <c r="AK108" s="336"/>
      <c r="AL108" s="336"/>
      <c r="AM108" s="336"/>
      <c r="AN108" s="336"/>
      <c r="AO108" s="336"/>
      <c r="AP108" s="336"/>
      <c r="AQ108" s="336"/>
      <c r="AR108" s="336"/>
      <c r="AS108" s="336"/>
      <c r="AT108" s="336"/>
      <c r="AU108" s="336"/>
      <c r="AV108" s="336"/>
      <c r="AW108" s="336"/>
      <c r="AX108" s="336"/>
      <c r="AY108" s="336"/>
      <c r="AZ108" s="336"/>
      <c r="BA108" s="336"/>
      <c r="BB108" s="336"/>
      <c r="BC108" s="336"/>
      <c r="BD108" s="336"/>
      <c r="BE108" s="336"/>
      <c r="BF108" s="336"/>
    </row>
    <row r="109" spans="1:58" s="351" customFormat="1" x14ac:dyDescent="0.25">
      <c r="A109" s="336"/>
      <c r="B109" s="336"/>
      <c r="C109" s="336"/>
      <c r="D109" s="336"/>
      <c r="E109" s="336"/>
      <c r="F109" s="336"/>
      <c r="G109" s="336"/>
      <c r="H109" s="336"/>
      <c r="M109" s="352"/>
      <c r="N109" s="353"/>
      <c r="O109" s="353"/>
      <c r="T109" s="377"/>
      <c r="U109" s="352"/>
      <c r="V109" s="352"/>
      <c r="W109" s="352"/>
      <c r="X109" s="375"/>
      <c r="Y109" s="375"/>
      <c r="Z109" s="336"/>
      <c r="AA109" s="353"/>
      <c r="AB109" s="336"/>
      <c r="AC109" s="336"/>
      <c r="AD109" s="336"/>
      <c r="AE109" s="336"/>
      <c r="AF109" s="336"/>
      <c r="AG109" s="336"/>
      <c r="AH109" s="336"/>
      <c r="AI109" s="336"/>
      <c r="AJ109" s="336"/>
      <c r="AK109" s="336"/>
      <c r="AL109" s="336"/>
      <c r="AM109" s="336"/>
      <c r="AN109" s="336"/>
      <c r="AO109" s="336"/>
      <c r="AP109" s="336"/>
      <c r="AQ109" s="336"/>
      <c r="AR109" s="336"/>
      <c r="AS109" s="336"/>
      <c r="AT109" s="336"/>
      <c r="AU109" s="336"/>
      <c r="AV109" s="336"/>
      <c r="AW109" s="336"/>
      <c r="AX109" s="336"/>
      <c r="AY109" s="336"/>
      <c r="AZ109" s="336"/>
      <c r="BA109" s="336"/>
      <c r="BB109" s="336"/>
      <c r="BC109" s="336"/>
      <c r="BD109" s="336"/>
      <c r="BE109" s="336"/>
      <c r="BF109" s="336"/>
    </row>
    <row r="110" spans="1:58" s="351" customFormat="1" x14ac:dyDescent="0.25">
      <c r="A110" s="336"/>
      <c r="B110" s="336"/>
      <c r="C110" s="336"/>
      <c r="D110" s="336"/>
      <c r="E110" s="336"/>
      <c r="F110" s="336"/>
      <c r="G110" s="336"/>
      <c r="H110" s="336"/>
      <c r="M110" s="352"/>
      <c r="N110" s="353"/>
      <c r="O110" s="353"/>
      <c r="T110" s="377"/>
      <c r="U110" s="352"/>
      <c r="V110" s="352"/>
      <c r="W110" s="352"/>
      <c r="X110" s="375"/>
      <c r="Y110" s="375"/>
      <c r="Z110" s="336"/>
      <c r="AA110" s="353"/>
      <c r="AB110" s="336"/>
      <c r="AC110" s="336"/>
      <c r="AD110" s="336"/>
      <c r="AE110" s="336"/>
      <c r="AF110" s="336"/>
      <c r="AG110" s="336"/>
      <c r="AH110" s="336"/>
      <c r="AI110" s="336"/>
      <c r="AJ110" s="336"/>
      <c r="AK110" s="336"/>
      <c r="AL110" s="336"/>
      <c r="AM110" s="336"/>
      <c r="AN110" s="336"/>
      <c r="AO110" s="336"/>
      <c r="AP110" s="336"/>
      <c r="AQ110" s="336"/>
      <c r="AR110" s="336"/>
      <c r="AS110" s="336"/>
      <c r="AT110" s="336"/>
      <c r="AU110" s="336"/>
      <c r="AV110" s="336"/>
      <c r="AW110" s="336"/>
      <c r="AX110" s="336"/>
      <c r="AY110" s="336"/>
      <c r="AZ110" s="336"/>
      <c r="BA110" s="336"/>
      <c r="BB110" s="336"/>
      <c r="BC110" s="336"/>
      <c r="BD110" s="336"/>
      <c r="BE110" s="336"/>
      <c r="BF110" s="336"/>
    </row>
    <row r="111" spans="1:58" s="351" customFormat="1" x14ac:dyDescent="0.25">
      <c r="A111" s="336"/>
      <c r="B111" s="336"/>
      <c r="C111" s="336"/>
      <c r="D111" s="336"/>
      <c r="E111" s="336"/>
      <c r="F111" s="336"/>
      <c r="G111" s="336"/>
      <c r="H111" s="336"/>
      <c r="M111" s="352"/>
      <c r="N111" s="353"/>
      <c r="O111" s="353"/>
      <c r="T111" s="377"/>
      <c r="U111" s="352"/>
      <c r="V111" s="352"/>
      <c r="W111" s="352"/>
      <c r="X111" s="375"/>
      <c r="Y111" s="375"/>
      <c r="Z111" s="336"/>
      <c r="AA111" s="353"/>
      <c r="AB111" s="336"/>
      <c r="AC111" s="336"/>
      <c r="AD111" s="336"/>
      <c r="AE111" s="336"/>
      <c r="AF111" s="336"/>
      <c r="AG111" s="336"/>
      <c r="AH111" s="336"/>
      <c r="AI111" s="336"/>
      <c r="AJ111" s="336"/>
      <c r="AK111" s="336"/>
      <c r="AL111" s="336"/>
      <c r="AM111" s="336"/>
      <c r="AN111" s="336"/>
      <c r="AO111" s="336"/>
      <c r="AP111" s="336"/>
      <c r="AQ111" s="336"/>
      <c r="AR111" s="336"/>
      <c r="AS111" s="336"/>
      <c r="AT111" s="336"/>
      <c r="AU111" s="336"/>
      <c r="AV111" s="336"/>
      <c r="AW111" s="336"/>
      <c r="AX111" s="336"/>
      <c r="AY111" s="336"/>
      <c r="AZ111" s="336"/>
      <c r="BA111" s="336"/>
      <c r="BB111" s="336"/>
      <c r="BC111" s="336"/>
      <c r="BD111" s="336"/>
      <c r="BE111" s="336"/>
      <c r="BF111" s="336"/>
    </row>
    <row r="112" spans="1:58" s="351" customFormat="1" x14ac:dyDescent="0.25">
      <c r="A112" s="336"/>
      <c r="B112" s="336"/>
      <c r="C112" s="336"/>
      <c r="D112" s="336"/>
      <c r="E112" s="336"/>
      <c r="F112" s="336"/>
      <c r="G112" s="336"/>
      <c r="H112" s="336"/>
      <c r="M112" s="352"/>
      <c r="N112" s="353"/>
      <c r="O112" s="353"/>
      <c r="T112" s="377"/>
      <c r="U112" s="352"/>
      <c r="V112" s="352"/>
      <c r="W112" s="352"/>
      <c r="X112" s="375"/>
      <c r="Y112" s="375"/>
      <c r="Z112" s="336"/>
      <c r="AA112" s="353"/>
      <c r="AB112" s="336"/>
      <c r="AC112" s="336"/>
      <c r="AD112" s="336"/>
      <c r="AE112" s="336"/>
      <c r="AF112" s="336"/>
      <c r="AG112" s="336"/>
      <c r="AH112" s="336"/>
      <c r="AI112" s="336"/>
      <c r="AJ112" s="336"/>
      <c r="AK112" s="336"/>
      <c r="AL112" s="336"/>
      <c r="AM112" s="336"/>
      <c r="AN112" s="336"/>
      <c r="AO112" s="336"/>
      <c r="AP112" s="336"/>
      <c r="AQ112" s="336"/>
      <c r="AR112" s="336"/>
      <c r="AS112" s="336"/>
      <c r="AT112" s="336"/>
      <c r="AU112" s="336"/>
      <c r="AV112" s="336"/>
      <c r="AW112" s="336"/>
      <c r="AX112" s="336"/>
      <c r="AY112" s="336"/>
      <c r="AZ112" s="336"/>
      <c r="BA112" s="336"/>
      <c r="BB112" s="336"/>
      <c r="BC112" s="336"/>
      <c r="BD112" s="336"/>
      <c r="BE112" s="336"/>
      <c r="BF112" s="336"/>
    </row>
    <row r="113" spans="1:58" s="351" customFormat="1" x14ac:dyDescent="0.25">
      <c r="A113" s="336"/>
      <c r="B113" s="336"/>
      <c r="C113" s="336"/>
      <c r="D113" s="336"/>
      <c r="E113" s="336"/>
      <c r="F113" s="336"/>
      <c r="G113" s="336"/>
      <c r="H113" s="336"/>
      <c r="M113" s="352"/>
      <c r="N113" s="353"/>
      <c r="O113" s="353"/>
      <c r="T113" s="377"/>
      <c r="U113" s="352"/>
      <c r="V113" s="352"/>
      <c r="W113" s="352"/>
      <c r="X113" s="375"/>
      <c r="Y113" s="375"/>
      <c r="Z113" s="336"/>
      <c r="AA113" s="353"/>
      <c r="AB113" s="336"/>
      <c r="AC113" s="336"/>
      <c r="AD113" s="336"/>
      <c r="AE113" s="336"/>
      <c r="AF113" s="336"/>
      <c r="AG113" s="336"/>
      <c r="AH113" s="336"/>
      <c r="AI113" s="336"/>
      <c r="AJ113" s="336"/>
      <c r="AK113" s="336"/>
      <c r="AL113" s="336"/>
      <c r="AM113" s="336"/>
      <c r="AN113" s="336"/>
      <c r="AO113" s="336"/>
      <c r="AP113" s="336"/>
      <c r="AQ113" s="336"/>
      <c r="AR113" s="336"/>
      <c r="AS113" s="336"/>
      <c r="AT113" s="336"/>
      <c r="AU113" s="336"/>
      <c r="AV113" s="336"/>
      <c r="AW113" s="336"/>
      <c r="AX113" s="336"/>
      <c r="AY113" s="336"/>
      <c r="AZ113" s="336"/>
      <c r="BA113" s="336"/>
      <c r="BB113" s="336"/>
      <c r="BC113" s="336"/>
      <c r="BD113" s="336"/>
      <c r="BE113" s="336"/>
      <c r="BF113" s="336"/>
    </row>
    <row r="114" spans="1:58" s="351" customFormat="1" x14ac:dyDescent="0.25">
      <c r="A114" s="336"/>
      <c r="B114" s="336"/>
      <c r="C114" s="336"/>
      <c r="D114" s="336"/>
      <c r="E114" s="336"/>
      <c r="F114" s="336"/>
      <c r="G114" s="336"/>
      <c r="H114" s="336"/>
      <c r="M114" s="352"/>
      <c r="N114" s="353"/>
      <c r="O114" s="353"/>
      <c r="T114" s="377"/>
      <c r="U114" s="352"/>
      <c r="V114" s="352"/>
      <c r="W114" s="352"/>
      <c r="X114" s="375"/>
      <c r="Y114" s="375"/>
      <c r="Z114" s="336"/>
      <c r="AA114" s="353"/>
      <c r="AB114" s="336"/>
      <c r="AC114" s="336"/>
      <c r="AD114" s="336"/>
      <c r="AE114" s="336"/>
      <c r="AF114" s="336"/>
      <c r="AG114" s="336"/>
      <c r="AH114" s="336"/>
      <c r="AI114" s="336"/>
      <c r="AJ114" s="336"/>
      <c r="AK114" s="336"/>
      <c r="AL114" s="336"/>
      <c r="AM114" s="336"/>
      <c r="AN114" s="336"/>
      <c r="AO114" s="336"/>
      <c r="AP114" s="336"/>
      <c r="AQ114" s="336"/>
      <c r="AR114" s="336"/>
      <c r="AS114" s="336"/>
      <c r="AT114" s="336"/>
      <c r="AU114" s="336"/>
      <c r="AV114" s="336"/>
      <c r="AW114" s="336"/>
      <c r="AX114" s="336"/>
      <c r="AY114" s="336"/>
      <c r="AZ114" s="336"/>
      <c r="BA114" s="336"/>
      <c r="BB114" s="336"/>
      <c r="BC114" s="336"/>
      <c r="BD114" s="336"/>
      <c r="BE114" s="336"/>
      <c r="BF114" s="336"/>
    </row>
    <row r="115" spans="1:58" s="351" customFormat="1" x14ac:dyDescent="0.25">
      <c r="A115" s="336"/>
      <c r="B115" s="336"/>
      <c r="C115" s="336"/>
      <c r="D115" s="336"/>
      <c r="E115" s="336"/>
      <c r="F115" s="336"/>
      <c r="G115" s="336"/>
      <c r="H115" s="336"/>
      <c r="M115" s="352"/>
      <c r="N115" s="353"/>
      <c r="O115" s="353"/>
      <c r="T115" s="377"/>
      <c r="U115" s="352"/>
      <c r="V115" s="352"/>
      <c r="W115" s="352"/>
      <c r="X115" s="375"/>
      <c r="Y115" s="375"/>
      <c r="Z115" s="336"/>
      <c r="AA115" s="353"/>
      <c r="AB115" s="336"/>
      <c r="AC115" s="336"/>
      <c r="AD115" s="336"/>
      <c r="AE115" s="336"/>
      <c r="AF115" s="336"/>
      <c r="AG115" s="336"/>
      <c r="AH115" s="336"/>
      <c r="AI115" s="336"/>
      <c r="AJ115" s="336"/>
      <c r="AK115" s="336"/>
      <c r="AL115" s="336"/>
      <c r="AM115" s="336"/>
      <c r="AN115" s="336"/>
      <c r="AO115" s="336"/>
      <c r="AP115" s="336"/>
      <c r="AQ115" s="336"/>
      <c r="AR115" s="336"/>
      <c r="AS115" s="336"/>
      <c r="AT115" s="336"/>
      <c r="AU115" s="336"/>
      <c r="AV115" s="336"/>
      <c r="AW115" s="336"/>
      <c r="AX115" s="336"/>
      <c r="AY115" s="336"/>
      <c r="AZ115" s="336"/>
      <c r="BA115" s="336"/>
      <c r="BB115" s="336"/>
      <c r="BC115" s="336"/>
      <c r="BD115" s="336"/>
      <c r="BE115" s="336"/>
      <c r="BF115" s="336"/>
    </row>
    <row r="116" spans="1:58" s="351" customFormat="1" x14ac:dyDescent="0.25">
      <c r="A116" s="336"/>
      <c r="B116" s="336"/>
      <c r="C116" s="336"/>
      <c r="D116" s="336"/>
      <c r="E116" s="336"/>
      <c r="F116" s="336"/>
      <c r="G116" s="336"/>
      <c r="H116" s="336"/>
      <c r="M116" s="352"/>
      <c r="N116" s="353"/>
      <c r="O116" s="353"/>
      <c r="T116" s="377"/>
      <c r="U116" s="352"/>
      <c r="V116" s="352"/>
      <c r="W116" s="352"/>
      <c r="X116" s="375"/>
      <c r="Y116" s="375"/>
      <c r="Z116" s="336"/>
      <c r="AA116" s="353"/>
      <c r="AB116" s="336"/>
      <c r="AC116" s="336"/>
      <c r="AD116" s="336"/>
      <c r="AE116" s="336"/>
      <c r="AF116" s="336"/>
      <c r="AG116" s="336"/>
      <c r="AH116" s="336"/>
      <c r="AI116" s="336"/>
      <c r="AJ116" s="336"/>
      <c r="AK116" s="336"/>
      <c r="AL116" s="336"/>
      <c r="AM116" s="336"/>
      <c r="AN116" s="336"/>
      <c r="AO116" s="336"/>
      <c r="AP116" s="336"/>
      <c r="AQ116" s="336"/>
      <c r="AR116" s="336"/>
      <c r="AS116" s="336"/>
      <c r="AT116" s="336"/>
      <c r="AU116" s="336"/>
      <c r="AV116" s="336"/>
      <c r="AW116" s="336"/>
      <c r="AX116" s="336"/>
      <c r="AY116" s="336"/>
      <c r="AZ116" s="336"/>
      <c r="BA116" s="336"/>
      <c r="BB116" s="336"/>
      <c r="BC116" s="336"/>
      <c r="BD116" s="336"/>
      <c r="BE116" s="336"/>
      <c r="BF116" s="336"/>
    </row>
    <row r="117" spans="1:58" s="351" customFormat="1" x14ac:dyDescent="0.25">
      <c r="A117" s="336"/>
      <c r="B117" s="336"/>
      <c r="C117" s="336"/>
      <c r="D117" s="336"/>
      <c r="E117" s="336"/>
      <c r="F117" s="336"/>
      <c r="G117" s="336"/>
      <c r="H117" s="336"/>
      <c r="M117" s="352"/>
      <c r="N117" s="353"/>
      <c r="O117" s="353"/>
      <c r="T117" s="377"/>
      <c r="U117" s="352"/>
      <c r="V117" s="352"/>
      <c r="W117" s="352"/>
      <c r="X117" s="375"/>
      <c r="Y117" s="375"/>
      <c r="Z117" s="336"/>
      <c r="AA117" s="353"/>
      <c r="AB117" s="336"/>
      <c r="AC117" s="336"/>
      <c r="AD117" s="336"/>
      <c r="AE117" s="336"/>
      <c r="AF117" s="336"/>
      <c r="AG117" s="336"/>
      <c r="AH117" s="336"/>
      <c r="AI117" s="336"/>
      <c r="AJ117" s="336"/>
      <c r="AK117" s="336"/>
      <c r="AL117" s="336"/>
      <c r="AM117" s="336"/>
      <c r="AN117" s="336"/>
      <c r="AO117" s="336"/>
      <c r="AP117" s="336"/>
      <c r="AQ117" s="336"/>
      <c r="AR117" s="336"/>
      <c r="AS117" s="336"/>
      <c r="AT117" s="336"/>
      <c r="AU117" s="336"/>
      <c r="AV117" s="336"/>
      <c r="AW117" s="336"/>
      <c r="AX117" s="336"/>
      <c r="AY117" s="336"/>
      <c r="AZ117" s="336"/>
      <c r="BA117" s="336"/>
      <c r="BB117" s="336"/>
      <c r="BC117" s="336"/>
      <c r="BD117" s="336"/>
      <c r="BE117" s="336"/>
      <c r="BF117" s="336"/>
    </row>
    <row r="118" spans="1:58" s="351" customFormat="1" x14ac:dyDescent="0.25">
      <c r="A118" s="336"/>
      <c r="B118" s="336"/>
      <c r="C118" s="336"/>
      <c r="D118" s="336"/>
      <c r="E118" s="336"/>
      <c r="F118" s="336"/>
      <c r="G118" s="336"/>
      <c r="H118" s="336"/>
      <c r="M118" s="352"/>
      <c r="N118" s="353"/>
      <c r="O118" s="353"/>
      <c r="T118" s="377"/>
      <c r="U118" s="352"/>
      <c r="V118" s="352"/>
      <c r="W118" s="352"/>
      <c r="X118" s="375"/>
      <c r="Y118" s="375"/>
      <c r="Z118" s="336"/>
      <c r="AA118" s="353"/>
      <c r="AB118" s="336"/>
      <c r="AC118" s="336"/>
      <c r="AD118" s="336"/>
      <c r="AE118" s="336"/>
      <c r="AF118" s="336"/>
      <c r="AG118" s="336"/>
      <c r="AH118" s="336"/>
      <c r="AI118" s="336"/>
      <c r="AJ118" s="336"/>
      <c r="AK118" s="336"/>
      <c r="AL118" s="336"/>
      <c r="AM118" s="336"/>
      <c r="AN118" s="336"/>
      <c r="AO118" s="336"/>
      <c r="AP118" s="336"/>
      <c r="AQ118" s="336"/>
      <c r="AR118" s="336"/>
      <c r="AS118" s="336"/>
      <c r="AT118" s="336"/>
      <c r="AU118" s="336"/>
      <c r="AV118" s="336"/>
      <c r="AW118" s="336"/>
      <c r="AX118" s="336"/>
      <c r="AY118" s="336"/>
      <c r="AZ118" s="336"/>
      <c r="BA118" s="336"/>
      <c r="BB118" s="336"/>
      <c r="BC118" s="336"/>
      <c r="BD118" s="336"/>
      <c r="BE118" s="336"/>
      <c r="BF118" s="336"/>
    </row>
    <row r="119" spans="1:58" s="351" customFormat="1" x14ac:dyDescent="0.25">
      <c r="A119" s="336"/>
      <c r="B119" s="336"/>
      <c r="C119" s="336"/>
      <c r="D119" s="336"/>
      <c r="E119" s="336"/>
      <c r="F119" s="336"/>
      <c r="G119" s="336"/>
      <c r="H119" s="336"/>
      <c r="M119" s="352"/>
      <c r="N119" s="353"/>
      <c r="O119" s="353"/>
      <c r="T119" s="377"/>
      <c r="U119" s="352"/>
      <c r="V119" s="352"/>
      <c r="W119" s="352"/>
      <c r="X119" s="375"/>
      <c r="Y119" s="375"/>
      <c r="Z119" s="336"/>
      <c r="AA119" s="353"/>
      <c r="AB119" s="336"/>
      <c r="AC119" s="336"/>
      <c r="AD119" s="336"/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336"/>
      <c r="AS119" s="336"/>
      <c r="AT119" s="336"/>
      <c r="AU119" s="336"/>
      <c r="AV119" s="336"/>
      <c r="AW119" s="336"/>
      <c r="AX119" s="336"/>
      <c r="AY119" s="336"/>
      <c r="AZ119" s="336"/>
      <c r="BA119" s="336"/>
      <c r="BB119" s="336"/>
      <c r="BC119" s="336"/>
      <c r="BD119" s="336"/>
      <c r="BE119" s="336"/>
      <c r="BF119" s="336"/>
    </row>
    <row r="120" spans="1:58" s="351" customFormat="1" x14ac:dyDescent="0.25">
      <c r="A120" s="336"/>
      <c r="B120" s="336"/>
      <c r="C120" s="336"/>
      <c r="D120" s="336"/>
      <c r="E120" s="336"/>
      <c r="F120" s="336"/>
      <c r="G120" s="336"/>
      <c r="H120" s="336"/>
      <c r="M120" s="352"/>
      <c r="N120" s="353"/>
      <c r="O120" s="353"/>
      <c r="T120" s="377"/>
      <c r="U120" s="352"/>
      <c r="V120" s="352"/>
      <c r="W120" s="352"/>
      <c r="X120" s="375"/>
      <c r="Y120" s="375"/>
      <c r="Z120" s="336"/>
      <c r="AA120" s="353"/>
      <c r="AB120" s="336"/>
      <c r="AC120" s="336"/>
      <c r="AD120" s="336"/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336"/>
      <c r="AS120" s="336"/>
      <c r="AT120" s="336"/>
      <c r="AU120" s="336"/>
      <c r="AV120" s="336"/>
      <c r="AW120" s="336"/>
      <c r="AX120" s="336"/>
      <c r="AY120" s="336"/>
      <c r="AZ120" s="336"/>
      <c r="BA120" s="336"/>
      <c r="BB120" s="336"/>
      <c r="BC120" s="336"/>
      <c r="BD120" s="336"/>
      <c r="BE120" s="336"/>
      <c r="BF120" s="336"/>
    </row>
    <row r="121" spans="1:58" s="351" customFormat="1" x14ac:dyDescent="0.25">
      <c r="A121" s="336"/>
      <c r="B121" s="336"/>
      <c r="C121" s="336"/>
      <c r="D121" s="336"/>
      <c r="E121" s="336"/>
      <c r="F121" s="336"/>
      <c r="G121" s="336"/>
      <c r="H121" s="336"/>
      <c r="M121" s="352"/>
      <c r="N121" s="353"/>
      <c r="O121" s="353"/>
      <c r="T121" s="377"/>
      <c r="U121" s="352"/>
      <c r="V121" s="352"/>
      <c r="W121" s="352"/>
      <c r="X121" s="375"/>
      <c r="Y121" s="375"/>
      <c r="Z121" s="336"/>
      <c r="AA121" s="353"/>
      <c r="AB121" s="336"/>
      <c r="AC121" s="336"/>
      <c r="AD121" s="336"/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336"/>
      <c r="AS121" s="336"/>
      <c r="AT121" s="336"/>
      <c r="AU121" s="336"/>
      <c r="AV121" s="336"/>
      <c r="AW121" s="336"/>
      <c r="AX121" s="336"/>
      <c r="AY121" s="336"/>
      <c r="AZ121" s="336"/>
      <c r="BA121" s="336"/>
      <c r="BB121" s="336"/>
      <c r="BC121" s="336"/>
      <c r="BD121" s="336"/>
      <c r="BE121" s="336"/>
      <c r="BF121" s="336"/>
    </row>
    <row r="122" spans="1:58" s="351" customFormat="1" x14ac:dyDescent="0.25">
      <c r="A122" s="336"/>
      <c r="B122" s="336"/>
      <c r="C122" s="336"/>
      <c r="D122" s="336"/>
      <c r="E122" s="336"/>
      <c r="F122" s="336"/>
      <c r="G122" s="336"/>
      <c r="H122" s="336"/>
      <c r="M122" s="352"/>
      <c r="N122" s="353"/>
      <c r="O122" s="353"/>
      <c r="T122" s="377"/>
      <c r="U122" s="352"/>
      <c r="V122" s="352"/>
      <c r="W122" s="352"/>
      <c r="X122" s="375"/>
      <c r="Y122" s="375"/>
      <c r="Z122" s="336"/>
      <c r="AA122" s="353"/>
      <c r="AB122" s="336"/>
      <c r="AC122" s="336"/>
      <c r="AD122" s="336"/>
      <c r="AE122" s="336"/>
      <c r="AF122" s="336"/>
      <c r="AG122" s="336"/>
      <c r="AH122" s="336"/>
      <c r="AI122" s="336"/>
      <c r="AJ122" s="336"/>
      <c r="AK122" s="336"/>
      <c r="AL122" s="336"/>
      <c r="AM122" s="336"/>
      <c r="AN122" s="336"/>
      <c r="AO122" s="336"/>
      <c r="AP122" s="336"/>
      <c r="AQ122" s="336"/>
      <c r="AR122" s="336"/>
      <c r="AS122" s="336"/>
      <c r="AT122" s="336"/>
      <c r="AU122" s="336"/>
      <c r="AV122" s="336"/>
      <c r="AW122" s="336"/>
      <c r="AX122" s="336"/>
      <c r="AY122" s="336"/>
      <c r="AZ122" s="336"/>
      <c r="BA122" s="336"/>
      <c r="BB122" s="336"/>
      <c r="BC122" s="336"/>
      <c r="BD122" s="336"/>
      <c r="BE122" s="336"/>
      <c r="BF122" s="336"/>
    </row>
    <row r="123" spans="1:58" s="351" customFormat="1" x14ac:dyDescent="0.25">
      <c r="A123" s="336"/>
      <c r="B123" s="336"/>
      <c r="C123" s="336"/>
      <c r="D123" s="336"/>
      <c r="E123" s="336"/>
      <c r="F123" s="336"/>
      <c r="G123" s="336"/>
      <c r="H123" s="336"/>
      <c r="M123" s="352"/>
      <c r="N123" s="353"/>
      <c r="O123" s="353"/>
      <c r="T123" s="377"/>
      <c r="U123" s="352"/>
      <c r="V123" s="352"/>
      <c r="W123" s="352"/>
      <c r="X123" s="375"/>
      <c r="Y123" s="375"/>
      <c r="Z123" s="336"/>
      <c r="AA123" s="353"/>
      <c r="AB123" s="336"/>
      <c r="AC123" s="336"/>
      <c r="AD123" s="336"/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336"/>
      <c r="AS123" s="336"/>
      <c r="AT123" s="336"/>
      <c r="AU123" s="336"/>
      <c r="AV123" s="336"/>
      <c r="AW123" s="336"/>
      <c r="AX123" s="336"/>
      <c r="AY123" s="336"/>
      <c r="AZ123" s="336"/>
      <c r="BA123" s="336"/>
      <c r="BB123" s="336"/>
      <c r="BC123" s="336"/>
      <c r="BD123" s="336"/>
      <c r="BE123" s="336"/>
      <c r="BF123" s="336"/>
    </row>
    <row r="124" spans="1:58" s="351" customFormat="1" x14ac:dyDescent="0.25">
      <c r="A124" s="336"/>
      <c r="B124" s="336"/>
      <c r="C124" s="336"/>
      <c r="D124" s="336"/>
      <c r="E124" s="336"/>
      <c r="F124" s="336"/>
      <c r="G124" s="336"/>
      <c r="H124" s="336"/>
      <c r="M124" s="352"/>
      <c r="N124" s="353"/>
      <c r="O124" s="353"/>
      <c r="T124" s="377"/>
      <c r="U124" s="352"/>
      <c r="V124" s="352"/>
      <c r="W124" s="352"/>
      <c r="X124" s="375"/>
      <c r="Y124" s="375"/>
      <c r="Z124" s="336"/>
      <c r="AA124" s="353"/>
      <c r="AB124" s="336"/>
      <c r="AC124" s="336"/>
      <c r="AD124" s="336"/>
      <c r="AE124" s="336"/>
      <c r="AF124" s="336"/>
      <c r="AG124" s="336"/>
      <c r="AH124" s="336"/>
      <c r="AI124" s="336"/>
      <c r="AJ124" s="336"/>
      <c r="AK124" s="336"/>
      <c r="AL124" s="336"/>
      <c r="AM124" s="336"/>
      <c r="AN124" s="336"/>
      <c r="AO124" s="336"/>
      <c r="AP124" s="336"/>
      <c r="AQ124" s="336"/>
      <c r="AR124" s="336"/>
      <c r="AS124" s="336"/>
      <c r="AT124" s="336"/>
      <c r="AU124" s="336"/>
      <c r="AV124" s="336"/>
      <c r="AW124" s="336"/>
      <c r="AX124" s="336"/>
      <c r="AY124" s="336"/>
      <c r="AZ124" s="336"/>
      <c r="BA124" s="336"/>
      <c r="BB124" s="336"/>
      <c r="BC124" s="336"/>
      <c r="BD124" s="336"/>
      <c r="BE124" s="336"/>
      <c r="BF124" s="336"/>
    </row>
    <row r="125" spans="1:58" s="351" customFormat="1" x14ac:dyDescent="0.25">
      <c r="A125" s="336"/>
      <c r="B125" s="336"/>
      <c r="C125" s="336"/>
      <c r="D125" s="336"/>
      <c r="E125" s="336"/>
      <c r="F125" s="336"/>
      <c r="G125" s="336"/>
      <c r="H125" s="336"/>
      <c r="M125" s="352"/>
      <c r="N125" s="353"/>
      <c r="O125" s="353"/>
      <c r="T125" s="377"/>
      <c r="U125" s="352"/>
      <c r="V125" s="352"/>
      <c r="W125" s="352"/>
      <c r="X125" s="375"/>
      <c r="Y125" s="375"/>
      <c r="Z125" s="336"/>
      <c r="AA125" s="353"/>
      <c r="AB125" s="336"/>
      <c r="AC125" s="336"/>
      <c r="AD125" s="336"/>
      <c r="AE125" s="336"/>
      <c r="AF125" s="336"/>
      <c r="AG125" s="336"/>
      <c r="AH125" s="336"/>
      <c r="AI125" s="336"/>
      <c r="AJ125" s="336"/>
      <c r="AK125" s="336"/>
      <c r="AL125" s="336"/>
      <c r="AM125" s="336"/>
      <c r="AN125" s="336"/>
      <c r="AO125" s="336"/>
      <c r="AP125" s="336"/>
      <c r="AQ125" s="336"/>
      <c r="AR125" s="336"/>
      <c r="AS125" s="336"/>
      <c r="AT125" s="336"/>
      <c r="AU125" s="336"/>
      <c r="AV125" s="336"/>
      <c r="AW125" s="336"/>
      <c r="AX125" s="336"/>
      <c r="AY125" s="336"/>
      <c r="AZ125" s="336"/>
      <c r="BA125" s="336"/>
      <c r="BB125" s="336"/>
      <c r="BC125" s="336"/>
      <c r="BD125" s="336"/>
      <c r="BE125" s="336"/>
      <c r="BF125" s="336"/>
    </row>
    <row r="126" spans="1:58" s="351" customFormat="1" x14ac:dyDescent="0.25">
      <c r="A126" s="336"/>
      <c r="B126" s="336"/>
      <c r="C126" s="336"/>
      <c r="D126" s="336"/>
      <c r="E126" s="336"/>
      <c r="F126" s="336"/>
      <c r="G126" s="336"/>
      <c r="H126" s="336"/>
      <c r="M126" s="352"/>
      <c r="N126" s="353"/>
      <c r="O126" s="353"/>
      <c r="T126" s="377"/>
      <c r="U126" s="352"/>
      <c r="V126" s="352"/>
      <c r="W126" s="352"/>
      <c r="X126" s="375"/>
      <c r="Y126" s="375"/>
      <c r="Z126" s="336"/>
      <c r="AA126" s="353"/>
      <c r="AB126" s="336"/>
      <c r="AC126" s="336"/>
      <c r="AD126" s="336"/>
      <c r="AE126" s="336"/>
      <c r="AF126" s="336"/>
      <c r="AG126" s="336"/>
      <c r="AH126" s="336"/>
      <c r="AI126" s="336"/>
      <c r="AJ126" s="336"/>
      <c r="AK126" s="336"/>
      <c r="AL126" s="336"/>
      <c r="AM126" s="336"/>
      <c r="AN126" s="336"/>
      <c r="AO126" s="336"/>
      <c r="AP126" s="336"/>
      <c r="AQ126" s="336"/>
      <c r="AR126" s="336"/>
      <c r="AS126" s="336"/>
      <c r="AT126" s="336"/>
      <c r="AU126" s="336"/>
      <c r="AV126" s="336"/>
      <c r="AW126" s="336"/>
      <c r="AX126" s="336"/>
      <c r="AY126" s="336"/>
      <c r="AZ126" s="336"/>
      <c r="BA126" s="336"/>
      <c r="BB126" s="336"/>
      <c r="BC126" s="336"/>
      <c r="BD126" s="336"/>
      <c r="BE126" s="336"/>
      <c r="BF126" s="336"/>
    </row>
    <row r="127" spans="1:58" s="351" customFormat="1" x14ac:dyDescent="0.25">
      <c r="A127" s="336"/>
      <c r="B127" s="336"/>
      <c r="C127" s="336"/>
      <c r="D127" s="336"/>
      <c r="E127" s="336"/>
      <c r="F127" s="336"/>
      <c r="G127" s="336"/>
      <c r="H127" s="336"/>
      <c r="M127" s="352"/>
      <c r="N127" s="353"/>
      <c r="O127" s="353"/>
      <c r="T127" s="377"/>
      <c r="U127" s="352"/>
      <c r="V127" s="352"/>
      <c r="W127" s="352"/>
      <c r="X127" s="375"/>
      <c r="Y127" s="375"/>
      <c r="Z127" s="336"/>
      <c r="AA127" s="353"/>
      <c r="AB127" s="336"/>
      <c r="AC127" s="336"/>
      <c r="AD127" s="336"/>
      <c r="AE127" s="336"/>
      <c r="AF127" s="336"/>
      <c r="AG127" s="336"/>
      <c r="AH127" s="336"/>
      <c r="AI127" s="336"/>
      <c r="AJ127" s="336"/>
      <c r="AK127" s="336"/>
      <c r="AL127" s="336"/>
      <c r="AM127" s="336"/>
      <c r="AN127" s="336"/>
      <c r="AO127" s="336"/>
      <c r="AP127" s="336"/>
      <c r="AQ127" s="336"/>
      <c r="AR127" s="336"/>
      <c r="AS127" s="336"/>
      <c r="AT127" s="336"/>
      <c r="AU127" s="336"/>
      <c r="AV127" s="336"/>
      <c r="AW127" s="336"/>
      <c r="AX127" s="336"/>
      <c r="AY127" s="336"/>
      <c r="AZ127" s="336"/>
      <c r="BA127" s="336"/>
      <c r="BB127" s="336"/>
      <c r="BC127" s="336"/>
      <c r="BD127" s="336"/>
      <c r="BE127" s="336"/>
      <c r="BF127" s="336"/>
    </row>
    <row r="128" spans="1:58" s="351" customFormat="1" x14ac:dyDescent="0.25">
      <c r="A128" s="336"/>
      <c r="B128" s="336"/>
      <c r="C128" s="336"/>
      <c r="D128" s="336"/>
      <c r="E128" s="336"/>
      <c r="F128" s="336"/>
      <c r="G128" s="336"/>
      <c r="H128" s="336"/>
      <c r="M128" s="352"/>
      <c r="N128" s="353"/>
      <c r="O128" s="353"/>
      <c r="T128" s="377"/>
      <c r="U128" s="352"/>
      <c r="V128" s="352"/>
      <c r="W128" s="352"/>
      <c r="X128" s="375"/>
      <c r="Y128" s="375"/>
      <c r="Z128" s="336"/>
      <c r="AA128" s="353"/>
      <c r="AB128" s="336"/>
      <c r="AC128" s="336"/>
      <c r="AD128" s="336"/>
      <c r="AE128" s="336"/>
      <c r="AF128" s="336"/>
      <c r="AG128" s="336"/>
      <c r="AH128" s="336"/>
      <c r="AI128" s="336"/>
      <c r="AJ128" s="336"/>
      <c r="AK128" s="336"/>
      <c r="AL128" s="336"/>
      <c r="AM128" s="336"/>
      <c r="AN128" s="336"/>
      <c r="AO128" s="336"/>
      <c r="AP128" s="336"/>
      <c r="AQ128" s="336"/>
      <c r="AR128" s="336"/>
      <c r="AS128" s="336"/>
      <c r="AT128" s="336"/>
      <c r="AU128" s="336"/>
      <c r="AV128" s="336"/>
      <c r="AW128" s="336"/>
      <c r="AX128" s="336"/>
      <c r="AY128" s="336"/>
      <c r="AZ128" s="336"/>
      <c r="BA128" s="336"/>
      <c r="BB128" s="336"/>
      <c r="BC128" s="336"/>
      <c r="BD128" s="336"/>
      <c r="BE128" s="336"/>
      <c r="BF128" s="336"/>
    </row>
    <row r="129" spans="1:58" s="351" customFormat="1" x14ac:dyDescent="0.25">
      <c r="A129" s="336"/>
      <c r="B129" s="336"/>
      <c r="C129" s="336"/>
      <c r="D129" s="336"/>
      <c r="E129" s="336"/>
      <c r="F129" s="336"/>
      <c r="G129" s="336"/>
      <c r="H129" s="336"/>
      <c r="M129" s="352"/>
      <c r="N129" s="353"/>
      <c r="O129" s="353"/>
      <c r="T129" s="377"/>
      <c r="U129" s="352"/>
      <c r="V129" s="352"/>
      <c r="W129" s="352"/>
      <c r="X129" s="375"/>
      <c r="Y129" s="375"/>
      <c r="Z129" s="336"/>
      <c r="AA129" s="353"/>
      <c r="AB129" s="336"/>
      <c r="AC129" s="336"/>
      <c r="AD129" s="336"/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336"/>
      <c r="AS129" s="336"/>
      <c r="AT129" s="336"/>
      <c r="AU129" s="336"/>
      <c r="AV129" s="336"/>
      <c r="AW129" s="336"/>
      <c r="AX129" s="336"/>
      <c r="AY129" s="336"/>
      <c r="AZ129" s="336"/>
      <c r="BA129" s="336"/>
      <c r="BB129" s="336"/>
      <c r="BC129" s="336"/>
      <c r="BD129" s="336"/>
      <c r="BE129" s="336"/>
      <c r="BF129" s="336"/>
    </row>
    <row r="130" spans="1:58" s="351" customFormat="1" x14ac:dyDescent="0.25">
      <c r="A130" s="336"/>
      <c r="B130" s="336"/>
      <c r="C130" s="336"/>
      <c r="D130" s="336"/>
      <c r="E130" s="336"/>
      <c r="F130" s="336"/>
      <c r="G130" s="336"/>
      <c r="H130" s="336"/>
      <c r="M130" s="352"/>
      <c r="N130" s="353"/>
      <c r="O130" s="353"/>
      <c r="T130" s="377"/>
      <c r="U130" s="352"/>
      <c r="V130" s="352"/>
      <c r="W130" s="352"/>
      <c r="X130" s="375"/>
      <c r="Y130" s="375"/>
      <c r="Z130" s="336"/>
      <c r="AA130" s="353"/>
      <c r="AB130" s="336"/>
      <c r="AC130" s="336"/>
      <c r="AD130" s="336"/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336"/>
      <c r="AS130" s="336"/>
      <c r="AT130" s="336"/>
      <c r="AU130" s="336"/>
      <c r="AV130" s="336"/>
      <c r="AW130" s="336"/>
      <c r="AX130" s="336"/>
      <c r="AY130" s="336"/>
      <c r="AZ130" s="336"/>
      <c r="BA130" s="336"/>
      <c r="BB130" s="336"/>
      <c r="BC130" s="336"/>
      <c r="BD130" s="336"/>
      <c r="BE130" s="336"/>
      <c r="BF130" s="336"/>
    </row>
    <row r="131" spans="1:58" s="351" customFormat="1" x14ac:dyDescent="0.25">
      <c r="A131" s="336"/>
      <c r="B131" s="336"/>
      <c r="C131" s="336"/>
      <c r="D131" s="336"/>
      <c r="E131" s="336"/>
      <c r="F131" s="336"/>
      <c r="G131" s="336"/>
      <c r="H131" s="336"/>
      <c r="M131" s="352"/>
      <c r="N131" s="353"/>
      <c r="O131" s="353"/>
      <c r="T131" s="377"/>
      <c r="U131" s="352"/>
      <c r="V131" s="352"/>
      <c r="W131" s="352"/>
      <c r="X131" s="375"/>
      <c r="Y131" s="375"/>
      <c r="Z131" s="336"/>
      <c r="AA131" s="353"/>
      <c r="AB131" s="336"/>
      <c r="AC131" s="336"/>
      <c r="AD131" s="336"/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336"/>
      <c r="AS131" s="336"/>
      <c r="AT131" s="336"/>
      <c r="AU131" s="336"/>
      <c r="AV131" s="336"/>
      <c r="AW131" s="336"/>
      <c r="AX131" s="336"/>
      <c r="AY131" s="336"/>
      <c r="AZ131" s="336"/>
      <c r="BA131" s="336"/>
      <c r="BB131" s="336"/>
      <c r="BC131" s="336"/>
      <c r="BD131" s="336"/>
      <c r="BE131" s="336"/>
      <c r="BF131" s="336"/>
    </row>
    <row r="132" spans="1:58" s="351" customFormat="1" x14ac:dyDescent="0.25">
      <c r="A132" s="336"/>
      <c r="B132" s="336"/>
      <c r="C132" s="336"/>
      <c r="D132" s="336"/>
      <c r="E132" s="336"/>
      <c r="F132" s="336"/>
      <c r="G132" s="336"/>
      <c r="H132" s="336"/>
      <c r="M132" s="352"/>
      <c r="N132" s="353"/>
      <c r="O132" s="353"/>
      <c r="T132" s="377"/>
      <c r="U132" s="352"/>
      <c r="V132" s="352"/>
      <c r="W132" s="352"/>
      <c r="X132" s="375"/>
      <c r="Y132" s="375"/>
      <c r="Z132" s="336"/>
      <c r="AA132" s="353"/>
      <c r="AB132" s="336"/>
      <c r="AC132" s="336"/>
      <c r="AD132" s="336"/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336"/>
      <c r="AS132" s="336"/>
      <c r="AT132" s="336"/>
      <c r="AU132" s="336"/>
      <c r="AV132" s="336"/>
      <c r="AW132" s="336"/>
      <c r="AX132" s="336"/>
      <c r="AY132" s="336"/>
      <c r="AZ132" s="336"/>
      <c r="BA132" s="336"/>
      <c r="BB132" s="336"/>
      <c r="BC132" s="336"/>
      <c r="BD132" s="336"/>
      <c r="BE132" s="336"/>
      <c r="BF132" s="336"/>
    </row>
    <row r="133" spans="1:58" s="351" customFormat="1" x14ac:dyDescent="0.25">
      <c r="A133" s="336"/>
      <c r="B133" s="336"/>
      <c r="C133" s="336"/>
      <c r="D133" s="336"/>
      <c r="E133" s="336"/>
      <c r="F133" s="336"/>
      <c r="G133" s="336"/>
      <c r="H133" s="336"/>
      <c r="M133" s="352"/>
      <c r="N133" s="353"/>
      <c r="O133" s="353"/>
      <c r="T133" s="377"/>
      <c r="U133" s="352"/>
      <c r="V133" s="352"/>
      <c r="W133" s="352"/>
      <c r="X133" s="375"/>
      <c r="Y133" s="375"/>
      <c r="Z133" s="336"/>
      <c r="AA133" s="353"/>
      <c r="AB133" s="336"/>
      <c r="AC133" s="336"/>
      <c r="AD133" s="336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336"/>
      <c r="AU133" s="336"/>
      <c r="AV133" s="336"/>
      <c r="AW133" s="336"/>
      <c r="AX133" s="336"/>
      <c r="AY133" s="336"/>
      <c r="AZ133" s="336"/>
      <c r="BA133" s="336"/>
      <c r="BB133" s="336"/>
      <c r="BC133" s="336"/>
      <c r="BD133" s="336"/>
      <c r="BE133" s="336"/>
      <c r="BF133" s="336"/>
    </row>
    <row r="134" spans="1:58" s="351" customFormat="1" x14ac:dyDescent="0.25">
      <c r="A134" s="336"/>
      <c r="B134" s="336"/>
      <c r="C134" s="336"/>
      <c r="D134" s="336"/>
      <c r="E134" s="336"/>
      <c r="F134" s="336"/>
      <c r="G134" s="336"/>
      <c r="H134" s="336"/>
      <c r="M134" s="352"/>
      <c r="N134" s="353"/>
      <c r="O134" s="353"/>
      <c r="T134" s="377"/>
      <c r="U134" s="352"/>
      <c r="V134" s="352"/>
      <c r="W134" s="352"/>
      <c r="X134" s="375"/>
      <c r="Y134" s="375"/>
      <c r="Z134" s="336"/>
      <c r="AA134" s="353"/>
      <c r="AB134" s="336"/>
      <c r="AC134" s="336"/>
      <c r="AD134" s="336"/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336"/>
      <c r="AU134" s="336"/>
      <c r="AV134" s="336"/>
      <c r="AW134" s="336"/>
      <c r="AX134" s="336"/>
      <c r="AY134" s="336"/>
      <c r="AZ134" s="336"/>
      <c r="BA134" s="336"/>
      <c r="BB134" s="336"/>
      <c r="BC134" s="336"/>
      <c r="BD134" s="336"/>
      <c r="BE134" s="336"/>
      <c r="BF134" s="336"/>
    </row>
    <row r="135" spans="1:58" s="351" customFormat="1" x14ac:dyDescent="0.25">
      <c r="A135" s="336"/>
      <c r="B135" s="336"/>
      <c r="C135" s="336"/>
      <c r="D135" s="336"/>
      <c r="E135" s="336"/>
      <c r="F135" s="336"/>
      <c r="G135" s="336"/>
      <c r="H135" s="336"/>
      <c r="M135" s="352"/>
      <c r="N135" s="353"/>
      <c r="O135" s="353"/>
      <c r="T135" s="377"/>
      <c r="U135" s="352"/>
      <c r="V135" s="352"/>
      <c r="W135" s="352"/>
      <c r="X135" s="375"/>
      <c r="Y135" s="375"/>
      <c r="Z135" s="336"/>
      <c r="AA135" s="353"/>
      <c r="AB135" s="336"/>
      <c r="AC135" s="336"/>
      <c r="AD135" s="336"/>
      <c r="AE135" s="336"/>
      <c r="AF135" s="336"/>
      <c r="AG135" s="336"/>
      <c r="AH135" s="336"/>
      <c r="AI135" s="336"/>
      <c r="AJ135" s="336"/>
      <c r="AK135" s="336"/>
      <c r="AL135" s="336"/>
      <c r="AM135" s="336"/>
      <c r="AN135" s="336"/>
      <c r="AO135" s="336"/>
      <c r="AP135" s="336"/>
      <c r="AQ135" s="336"/>
      <c r="AR135" s="336"/>
      <c r="AS135" s="336"/>
      <c r="AT135" s="336"/>
      <c r="AU135" s="336"/>
      <c r="AV135" s="336"/>
      <c r="AW135" s="336"/>
      <c r="AX135" s="336"/>
      <c r="AY135" s="336"/>
      <c r="AZ135" s="336"/>
      <c r="BA135" s="336"/>
      <c r="BB135" s="336"/>
      <c r="BC135" s="336"/>
      <c r="BD135" s="336"/>
      <c r="BE135" s="336"/>
      <c r="BF135" s="336"/>
    </row>
    <row r="136" spans="1:58" s="351" customFormat="1" x14ac:dyDescent="0.25">
      <c r="A136" s="336"/>
      <c r="B136" s="336"/>
      <c r="C136" s="336"/>
      <c r="D136" s="336"/>
      <c r="E136" s="336"/>
      <c r="F136" s="336"/>
      <c r="G136" s="336"/>
      <c r="H136" s="336"/>
      <c r="M136" s="352"/>
      <c r="N136" s="353"/>
      <c r="O136" s="353"/>
      <c r="T136" s="377"/>
      <c r="U136" s="352"/>
      <c r="V136" s="352"/>
      <c r="W136" s="352"/>
      <c r="X136" s="375"/>
      <c r="Y136" s="375"/>
      <c r="Z136" s="336"/>
      <c r="AA136" s="353"/>
      <c r="AB136" s="336"/>
      <c r="AC136" s="336"/>
      <c r="AD136" s="336"/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336"/>
      <c r="AU136" s="336"/>
      <c r="AV136" s="336"/>
      <c r="AW136" s="336"/>
      <c r="AX136" s="336"/>
      <c r="AY136" s="336"/>
      <c r="AZ136" s="336"/>
      <c r="BA136" s="336"/>
      <c r="BB136" s="336"/>
      <c r="BC136" s="336"/>
      <c r="BD136" s="336"/>
      <c r="BE136" s="336"/>
      <c r="BF136" s="336"/>
    </row>
    <row r="137" spans="1:58" s="351" customFormat="1" x14ac:dyDescent="0.25">
      <c r="A137" s="336"/>
      <c r="B137" s="336"/>
      <c r="C137" s="336"/>
      <c r="D137" s="336"/>
      <c r="E137" s="336"/>
      <c r="F137" s="336"/>
      <c r="G137" s="336"/>
      <c r="H137" s="336"/>
      <c r="M137" s="352"/>
      <c r="N137" s="353"/>
      <c r="O137" s="353"/>
      <c r="T137" s="377"/>
      <c r="U137" s="352"/>
      <c r="V137" s="352"/>
      <c r="W137" s="352"/>
      <c r="X137" s="375"/>
      <c r="Y137" s="375"/>
      <c r="Z137" s="336"/>
      <c r="AA137" s="353"/>
      <c r="AB137" s="336"/>
      <c r="AC137" s="336"/>
      <c r="AD137" s="336"/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336"/>
      <c r="AS137" s="336"/>
      <c r="AT137" s="336"/>
      <c r="AU137" s="336"/>
      <c r="AV137" s="336"/>
      <c r="AW137" s="336"/>
      <c r="AX137" s="336"/>
      <c r="AY137" s="336"/>
      <c r="AZ137" s="336"/>
      <c r="BA137" s="336"/>
      <c r="BB137" s="336"/>
      <c r="BC137" s="336"/>
      <c r="BD137" s="336"/>
      <c r="BE137" s="336"/>
      <c r="BF137" s="336"/>
    </row>
    <row r="138" spans="1:58" s="351" customFormat="1" x14ac:dyDescent="0.25">
      <c r="A138" s="336"/>
      <c r="B138" s="336"/>
      <c r="C138" s="336"/>
      <c r="D138" s="336"/>
      <c r="E138" s="336"/>
      <c r="F138" s="336"/>
      <c r="G138" s="336"/>
      <c r="H138" s="336"/>
      <c r="M138" s="352"/>
      <c r="N138" s="353"/>
      <c r="O138" s="353"/>
      <c r="T138" s="377"/>
      <c r="U138" s="352"/>
      <c r="V138" s="352"/>
      <c r="W138" s="352"/>
      <c r="X138" s="375"/>
      <c r="Y138" s="375"/>
      <c r="Z138" s="336"/>
      <c r="AA138" s="353"/>
      <c r="AB138" s="336"/>
      <c r="AC138" s="336"/>
      <c r="AD138" s="336"/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336"/>
      <c r="AS138" s="336"/>
      <c r="AT138" s="336"/>
      <c r="AU138" s="336"/>
      <c r="AV138" s="336"/>
      <c r="AW138" s="336"/>
      <c r="AX138" s="336"/>
      <c r="AY138" s="336"/>
      <c r="AZ138" s="336"/>
      <c r="BA138" s="336"/>
      <c r="BB138" s="336"/>
      <c r="BC138" s="336"/>
      <c r="BD138" s="336"/>
      <c r="BE138" s="336"/>
      <c r="BF138" s="336"/>
    </row>
    <row r="139" spans="1:58" s="351" customFormat="1" x14ac:dyDescent="0.25">
      <c r="A139" s="336"/>
      <c r="B139" s="336"/>
      <c r="C139" s="336"/>
      <c r="D139" s="336"/>
      <c r="E139" s="336"/>
      <c r="F139" s="336"/>
      <c r="G139" s="336"/>
      <c r="H139" s="336"/>
      <c r="M139" s="352"/>
      <c r="N139" s="353"/>
      <c r="O139" s="353"/>
      <c r="T139" s="377"/>
      <c r="U139" s="352"/>
      <c r="V139" s="352"/>
      <c r="W139" s="352"/>
      <c r="X139" s="375"/>
      <c r="Y139" s="375"/>
      <c r="Z139" s="336"/>
      <c r="AA139" s="353"/>
      <c r="AB139" s="336"/>
      <c r="AC139" s="336"/>
      <c r="AD139" s="336"/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336"/>
      <c r="AS139" s="336"/>
      <c r="AT139" s="336"/>
      <c r="AU139" s="336"/>
      <c r="AV139" s="336"/>
      <c r="AW139" s="336"/>
      <c r="AX139" s="336"/>
      <c r="AY139" s="336"/>
      <c r="AZ139" s="336"/>
      <c r="BA139" s="336"/>
      <c r="BB139" s="336"/>
      <c r="BC139" s="336"/>
      <c r="BD139" s="336"/>
      <c r="BE139" s="336"/>
      <c r="BF139" s="336"/>
    </row>
    <row r="140" spans="1:58" s="351" customFormat="1" x14ac:dyDescent="0.25">
      <c r="A140" s="336"/>
      <c r="B140" s="336"/>
      <c r="C140" s="336"/>
      <c r="D140" s="336"/>
      <c r="E140" s="336"/>
      <c r="F140" s="336"/>
      <c r="G140" s="336"/>
      <c r="H140" s="336"/>
      <c r="M140" s="352"/>
      <c r="N140" s="353"/>
      <c r="O140" s="353"/>
      <c r="T140" s="377"/>
      <c r="U140" s="352"/>
      <c r="V140" s="352"/>
      <c r="W140" s="352"/>
      <c r="X140" s="375"/>
      <c r="Y140" s="375"/>
      <c r="Z140" s="336"/>
      <c r="AA140" s="353"/>
      <c r="AB140" s="336"/>
      <c r="AC140" s="336"/>
      <c r="AD140" s="336"/>
      <c r="AE140" s="336"/>
      <c r="AF140" s="336"/>
      <c r="AG140" s="336"/>
      <c r="AH140" s="336"/>
      <c r="AI140" s="336"/>
      <c r="AJ140" s="336"/>
      <c r="AK140" s="336"/>
      <c r="AL140" s="336"/>
      <c r="AM140" s="336"/>
      <c r="AN140" s="336"/>
      <c r="AO140" s="336"/>
      <c r="AP140" s="336"/>
      <c r="AQ140" s="336"/>
      <c r="AR140" s="336"/>
      <c r="AS140" s="336"/>
      <c r="AT140" s="336"/>
      <c r="AU140" s="336"/>
      <c r="AV140" s="336"/>
      <c r="AW140" s="336"/>
      <c r="AX140" s="336"/>
      <c r="AY140" s="336"/>
      <c r="AZ140" s="336"/>
      <c r="BA140" s="336"/>
      <c r="BB140" s="336"/>
      <c r="BC140" s="336"/>
      <c r="BD140" s="336"/>
      <c r="BE140" s="336"/>
      <c r="BF140" s="336"/>
    </row>
    <row r="141" spans="1:58" s="351" customFormat="1" x14ac:dyDescent="0.25">
      <c r="A141" s="336"/>
      <c r="B141" s="336"/>
      <c r="C141" s="336"/>
      <c r="D141" s="336"/>
      <c r="E141" s="336"/>
      <c r="F141" s="336"/>
      <c r="G141" s="336"/>
      <c r="H141" s="336"/>
      <c r="M141" s="352"/>
      <c r="N141" s="353"/>
      <c r="O141" s="353"/>
      <c r="T141" s="377"/>
      <c r="U141" s="352"/>
      <c r="V141" s="352"/>
      <c r="W141" s="352"/>
      <c r="X141" s="375"/>
      <c r="Y141" s="375"/>
      <c r="Z141" s="336"/>
      <c r="AA141" s="353"/>
      <c r="AB141" s="336"/>
      <c r="AC141" s="336"/>
      <c r="AD141" s="336"/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  <c r="AS141" s="336"/>
      <c r="AT141" s="336"/>
      <c r="AU141" s="336"/>
      <c r="AV141" s="336"/>
      <c r="AW141" s="336"/>
      <c r="AX141" s="336"/>
      <c r="AY141" s="336"/>
      <c r="AZ141" s="336"/>
      <c r="BA141" s="336"/>
      <c r="BB141" s="336"/>
      <c r="BC141" s="336"/>
      <c r="BD141" s="336"/>
      <c r="BE141" s="336"/>
      <c r="BF141" s="336"/>
    </row>
    <row r="142" spans="1:58" s="351" customFormat="1" x14ac:dyDescent="0.25">
      <c r="A142" s="336"/>
      <c r="B142" s="336"/>
      <c r="C142" s="336"/>
      <c r="D142" s="336"/>
      <c r="E142" s="336"/>
      <c r="F142" s="336"/>
      <c r="G142" s="336"/>
      <c r="H142" s="336"/>
      <c r="M142" s="352"/>
      <c r="N142" s="353"/>
      <c r="O142" s="353"/>
      <c r="T142" s="377"/>
      <c r="U142" s="352"/>
      <c r="V142" s="352"/>
      <c r="W142" s="352"/>
      <c r="X142" s="375"/>
      <c r="Y142" s="375"/>
      <c r="Z142" s="336"/>
      <c r="AA142" s="353"/>
      <c r="AB142" s="336"/>
      <c r="AC142" s="336"/>
      <c r="AD142" s="336"/>
      <c r="AE142" s="336"/>
      <c r="AF142" s="336"/>
      <c r="AG142" s="336"/>
      <c r="AH142" s="336"/>
      <c r="AI142" s="336"/>
      <c r="AJ142" s="336"/>
      <c r="AK142" s="336"/>
      <c r="AL142" s="336"/>
      <c r="AM142" s="336"/>
      <c r="AN142" s="336"/>
      <c r="AO142" s="336"/>
      <c r="AP142" s="336"/>
      <c r="AQ142" s="336"/>
      <c r="AR142" s="336"/>
      <c r="AS142" s="336"/>
      <c r="AT142" s="336"/>
      <c r="AU142" s="336"/>
      <c r="AV142" s="336"/>
      <c r="AW142" s="336"/>
      <c r="AX142" s="336"/>
      <c r="AY142" s="336"/>
      <c r="AZ142" s="336"/>
      <c r="BA142" s="336"/>
      <c r="BB142" s="336"/>
      <c r="BC142" s="336"/>
      <c r="BD142" s="336"/>
      <c r="BE142" s="336"/>
      <c r="BF142" s="336"/>
    </row>
    <row r="143" spans="1:58" s="351" customFormat="1" x14ac:dyDescent="0.25">
      <c r="A143" s="336"/>
      <c r="B143" s="336"/>
      <c r="C143" s="336"/>
      <c r="D143" s="336"/>
      <c r="E143" s="336"/>
      <c r="F143" s="336"/>
      <c r="G143" s="336"/>
      <c r="H143" s="336"/>
      <c r="M143" s="352"/>
      <c r="N143" s="353"/>
      <c r="O143" s="353"/>
      <c r="T143" s="377"/>
      <c r="U143" s="352"/>
      <c r="V143" s="352"/>
      <c r="W143" s="352"/>
      <c r="X143" s="375"/>
      <c r="Y143" s="375"/>
      <c r="Z143" s="336"/>
      <c r="AA143" s="353"/>
      <c r="AB143" s="336"/>
      <c r="AC143" s="336"/>
      <c r="AD143" s="336"/>
      <c r="AE143" s="336"/>
      <c r="AF143" s="336"/>
      <c r="AG143" s="336"/>
      <c r="AH143" s="336"/>
      <c r="AI143" s="336"/>
      <c r="AJ143" s="336"/>
      <c r="AK143" s="336"/>
      <c r="AL143" s="336"/>
      <c r="AM143" s="336"/>
      <c r="AN143" s="336"/>
      <c r="AO143" s="336"/>
      <c r="AP143" s="336"/>
      <c r="AQ143" s="336"/>
      <c r="AR143" s="336"/>
      <c r="AS143" s="336"/>
      <c r="AT143" s="336"/>
      <c r="AU143" s="336"/>
      <c r="AV143" s="336"/>
      <c r="AW143" s="336"/>
      <c r="AX143" s="336"/>
      <c r="AY143" s="336"/>
      <c r="AZ143" s="336"/>
      <c r="BA143" s="336"/>
      <c r="BB143" s="336"/>
      <c r="BC143" s="336"/>
      <c r="BD143" s="336"/>
      <c r="BE143" s="336"/>
      <c r="BF143" s="336"/>
    </row>
    <row r="144" spans="1:58" s="351" customFormat="1" x14ac:dyDescent="0.25">
      <c r="A144" s="336"/>
      <c r="B144" s="336"/>
      <c r="C144" s="336"/>
      <c r="D144" s="336"/>
      <c r="E144" s="336"/>
      <c r="F144" s="336"/>
      <c r="G144" s="336"/>
      <c r="H144" s="336"/>
      <c r="M144" s="352"/>
      <c r="N144" s="353"/>
      <c r="O144" s="353"/>
      <c r="T144" s="377"/>
      <c r="U144" s="352"/>
      <c r="V144" s="352"/>
      <c r="W144" s="352"/>
      <c r="X144" s="375"/>
      <c r="Y144" s="375"/>
      <c r="Z144" s="336"/>
      <c r="AA144" s="353"/>
      <c r="AB144" s="336"/>
      <c r="AC144" s="336"/>
      <c r="AD144" s="336"/>
      <c r="AE144" s="336"/>
      <c r="AF144" s="336"/>
      <c r="AG144" s="336"/>
      <c r="AH144" s="336"/>
      <c r="AI144" s="336"/>
      <c r="AJ144" s="336"/>
      <c r="AK144" s="336"/>
      <c r="AL144" s="336"/>
      <c r="AM144" s="336"/>
      <c r="AN144" s="336"/>
      <c r="AO144" s="336"/>
      <c r="AP144" s="336"/>
      <c r="AQ144" s="336"/>
      <c r="AR144" s="336"/>
      <c r="AS144" s="336"/>
      <c r="AT144" s="336"/>
      <c r="AU144" s="336"/>
      <c r="AV144" s="336"/>
      <c r="AW144" s="336"/>
      <c r="AX144" s="336"/>
      <c r="AY144" s="336"/>
      <c r="AZ144" s="336"/>
      <c r="BA144" s="336"/>
      <c r="BB144" s="336"/>
      <c r="BC144" s="336"/>
      <c r="BD144" s="336"/>
      <c r="BE144" s="336"/>
      <c r="BF144" s="336"/>
    </row>
    <row r="145" spans="1:58" s="351" customFormat="1" x14ac:dyDescent="0.25">
      <c r="A145" s="336"/>
      <c r="B145" s="336"/>
      <c r="C145" s="336"/>
      <c r="D145" s="336"/>
      <c r="E145" s="336"/>
      <c r="F145" s="336"/>
      <c r="G145" s="336"/>
      <c r="H145" s="336"/>
      <c r="M145" s="352"/>
      <c r="N145" s="353"/>
      <c r="O145" s="353"/>
      <c r="T145" s="377"/>
      <c r="U145" s="352"/>
      <c r="V145" s="352"/>
      <c r="W145" s="352"/>
      <c r="X145" s="375"/>
      <c r="Y145" s="375"/>
      <c r="Z145" s="336"/>
      <c r="AA145" s="353"/>
      <c r="AB145" s="336"/>
      <c r="AC145" s="336"/>
      <c r="AD145" s="336"/>
      <c r="AE145" s="336"/>
      <c r="AF145" s="336"/>
      <c r="AG145" s="336"/>
      <c r="AH145" s="336"/>
      <c r="AI145" s="336"/>
      <c r="AJ145" s="336"/>
      <c r="AK145" s="336"/>
      <c r="AL145" s="336"/>
      <c r="AM145" s="336"/>
      <c r="AN145" s="336"/>
      <c r="AO145" s="336"/>
      <c r="AP145" s="336"/>
      <c r="AQ145" s="336"/>
      <c r="AR145" s="336"/>
      <c r="AS145" s="336"/>
      <c r="AT145" s="336"/>
      <c r="AU145" s="336"/>
      <c r="AV145" s="336"/>
      <c r="AW145" s="336"/>
      <c r="AX145" s="336"/>
      <c r="AY145" s="336"/>
      <c r="AZ145" s="336"/>
      <c r="BA145" s="336"/>
      <c r="BB145" s="336"/>
      <c r="BC145" s="336"/>
      <c r="BD145" s="336"/>
      <c r="BE145" s="336"/>
      <c r="BF145" s="336"/>
    </row>
    <row r="146" spans="1:58" s="351" customFormat="1" x14ac:dyDescent="0.25">
      <c r="A146" s="336"/>
      <c r="B146" s="336"/>
      <c r="C146" s="336"/>
      <c r="D146" s="336"/>
      <c r="E146" s="336"/>
      <c r="F146" s="336"/>
      <c r="G146" s="336"/>
      <c r="H146" s="336"/>
      <c r="M146" s="352"/>
      <c r="N146" s="353"/>
      <c r="O146" s="353"/>
      <c r="T146" s="377"/>
      <c r="U146" s="352"/>
      <c r="V146" s="352"/>
      <c r="W146" s="352"/>
      <c r="X146" s="375"/>
      <c r="Y146" s="375"/>
      <c r="Z146" s="336"/>
      <c r="AA146" s="353"/>
      <c r="AB146" s="336"/>
      <c r="AC146" s="336"/>
      <c r="AD146" s="336"/>
      <c r="AE146" s="336"/>
      <c r="AF146" s="336"/>
      <c r="AG146" s="336"/>
      <c r="AH146" s="336"/>
      <c r="AI146" s="336"/>
      <c r="AJ146" s="336"/>
      <c r="AK146" s="336"/>
      <c r="AL146" s="336"/>
      <c r="AM146" s="336"/>
      <c r="AN146" s="336"/>
      <c r="AO146" s="336"/>
      <c r="AP146" s="336"/>
      <c r="AQ146" s="336"/>
      <c r="AR146" s="336"/>
      <c r="AS146" s="336"/>
      <c r="AT146" s="336"/>
      <c r="AU146" s="336"/>
      <c r="AV146" s="336"/>
      <c r="AW146" s="336"/>
      <c r="AX146" s="336"/>
      <c r="AY146" s="336"/>
      <c r="AZ146" s="336"/>
      <c r="BA146" s="336"/>
      <c r="BB146" s="336"/>
      <c r="BC146" s="336"/>
      <c r="BD146" s="336"/>
      <c r="BE146" s="336"/>
      <c r="BF146" s="336"/>
    </row>
    <row r="147" spans="1:58" s="351" customFormat="1" x14ac:dyDescent="0.25">
      <c r="A147" s="336"/>
      <c r="B147" s="336"/>
      <c r="C147" s="336"/>
      <c r="D147" s="336"/>
      <c r="E147" s="336"/>
      <c r="F147" s="336"/>
      <c r="G147" s="336"/>
      <c r="H147" s="336"/>
      <c r="M147" s="352"/>
      <c r="N147" s="353"/>
      <c r="O147" s="353"/>
      <c r="T147" s="377"/>
      <c r="U147" s="352"/>
      <c r="V147" s="352"/>
      <c r="W147" s="352"/>
      <c r="X147" s="375"/>
      <c r="Y147" s="375"/>
      <c r="Z147" s="336"/>
      <c r="AA147" s="353"/>
      <c r="AB147" s="336"/>
      <c r="AC147" s="336"/>
      <c r="AD147" s="336"/>
      <c r="AE147" s="336"/>
      <c r="AF147" s="336"/>
      <c r="AG147" s="336"/>
      <c r="AH147" s="336"/>
      <c r="AI147" s="336"/>
      <c r="AJ147" s="336"/>
      <c r="AK147" s="336"/>
      <c r="AL147" s="336"/>
      <c r="AM147" s="336"/>
      <c r="AN147" s="336"/>
      <c r="AO147" s="336"/>
      <c r="AP147" s="336"/>
      <c r="AQ147" s="336"/>
      <c r="AR147" s="336"/>
      <c r="AS147" s="336"/>
      <c r="AT147" s="336"/>
      <c r="AU147" s="336"/>
      <c r="AV147" s="336"/>
      <c r="AW147" s="336"/>
      <c r="AX147" s="336"/>
      <c r="AY147" s="336"/>
      <c r="AZ147" s="336"/>
      <c r="BA147" s="336"/>
      <c r="BB147" s="336"/>
      <c r="BC147" s="336"/>
      <c r="BD147" s="336"/>
      <c r="BE147" s="336"/>
      <c r="BF147" s="336"/>
    </row>
    <row r="148" spans="1:58" s="351" customFormat="1" x14ac:dyDescent="0.25">
      <c r="A148" s="336"/>
      <c r="B148" s="336"/>
      <c r="C148" s="336"/>
      <c r="D148" s="336"/>
      <c r="E148" s="336"/>
      <c r="F148" s="336"/>
      <c r="G148" s="336"/>
      <c r="H148" s="336"/>
      <c r="M148" s="352"/>
      <c r="N148" s="353"/>
      <c r="O148" s="353"/>
      <c r="T148" s="377"/>
      <c r="U148" s="352"/>
      <c r="V148" s="352"/>
      <c r="W148" s="352"/>
      <c r="X148" s="375"/>
      <c r="Y148" s="375"/>
      <c r="Z148" s="336"/>
      <c r="AA148" s="353"/>
      <c r="AB148" s="336"/>
      <c r="AC148" s="336"/>
      <c r="AD148" s="336"/>
      <c r="AE148" s="336"/>
      <c r="AF148" s="336"/>
      <c r="AG148" s="336"/>
      <c r="AH148" s="336"/>
      <c r="AI148" s="336"/>
      <c r="AJ148" s="336"/>
      <c r="AK148" s="336"/>
      <c r="AL148" s="336"/>
      <c r="AM148" s="336"/>
      <c r="AN148" s="336"/>
      <c r="AO148" s="336"/>
      <c r="AP148" s="336"/>
      <c r="AQ148" s="336"/>
      <c r="AR148" s="336"/>
      <c r="AS148" s="336"/>
      <c r="AT148" s="336"/>
      <c r="AU148" s="336"/>
      <c r="AV148" s="336"/>
      <c r="AW148" s="336"/>
      <c r="AX148" s="336"/>
      <c r="AY148" s="336"/>
      <c r="AZ148" s="336"/>
      <c r="BA148" s="336"/>
      <c r="BB148" s="336"/>
      <c r="BC148" s="336"/>
      <c r="BD148" s="336"/>
      <c r="BE148" s="336"/>
      <c r="BF148" s="336"/>
    </row>
    <row r="149" spans="1:58" s="351" customFormat="1" x14ac:dyDescent="0.25">
      <c r="A149" s="336"/>
      <c r="B149" s="336"/>
      <c r="C149" s="336"/>
      <c r="D149" s="336"/>
      <c r="E149" s="336"/>
      <c r="F149" s="336"/>
      <c r="G149" s="336"/>
      <c r="H149" s="336"/>
      <c r="M149" s="352"/>
      <c r="N149" s="353"/>
      <c r="O149" s="353"/>
      <c r="T149" s="377"/>
      <c r="U149" s="352"/>
      <c r="V149" s="352"/>
      <c r="W149" s="352"/>
      <c r="X149" s="375"/>
      <c r="Y149" s="375"/>
      <c r="Z149" s="336"/>
      <c r="AA149" s="353"/>
      <c r="AB149" s="336"/>
      <c r="AC149" s="336"/>
      <c r="AD149" s="336"/>
      <c r="AE149" s="336"/>
      <c r="AF149" s="336"/>
      <c r="AG149" s="336"/>
      <c r="AH149" s="336"/>
      <c r="AI149" s="336"/>
      <c r="AJ149" s="336"/>
      <c r="AK149" s="336"/>
      <c r="AL149" s="336"/>
      <c r="AM149" s="336"/>
      <c r="AN149" s="336"/>
      <c r="AO149" s="336"/>
      <c r="AP149" s="336"/>
      <c r="AQ149" s="336"/>
      <c r="AR149" s="336"/>
      <c r="AS149" s="336"/>
      <c r="AT149" s="336"/>
      <c r="AU149" s="336"/>
      <c r="AV149" s="336"/>
      <c r="AW149" s="336"/>
      <c r="AX149" s="336"/>
      <c r="AY149" s="336"/>
      <c r="AZ149" s="336"/>
      <c r="BA149" s="336"/>
      <c r="BB149" s="336"/>
      <c r="BC149" s="336"/>
      <c r="BD149" s="336"/>
      <c r="BE149" s="336"/>
      <c r="BF149" s="336"/>
    </row>
    <row r="150" spans="1:58" s="351" customFormat="1" x14ac:dyDescent="0.25">
      <c r="A150" s="336"/>
      <c r="B150" s="336"/>
      <c r="C150" s="336"/>
      <c r="D150" s="336"/>
      <c r="E150" s="336"/>
      <c r="F150" s="336"/>
      <c r="G150" s="336"/>
      <c r="H150" s="336"/>
      <c r="M150" s="352"/>
      <c r="N150" s="353"/>
      <c r="O150" s="353"/>
      <c r="T150" s="377"/>
      <c r="U150" s="352"/>
      <c r="V150" s="352"/>
      <c r="W150" s="352"/>
      <c r="X150" s="375"/>
      <c r="Y150" s="375"/>
      <c r="Z150" s="336"/>
      <c r="AA150" s="353"/>
      <c r="AB150" s="336"/>
      <c r="AC150" s="336"/>
      <c r="AD150" s="336"/>
      <c r="AE150" s="336"/>
      <c r="AF150" s="336"/>
      <c r="AG150" s="336"/>
      <c r="AH150" s="336"/>
      <c r="AI150" s="336"/>
      <c r="AJ150" s="336"/>
      <c r="AK150" s="336"/>
      <c r="AL150" s="336"/>
      <c r="AM150" s="336"/>
      <c r="AN150" s="336"/>
      <c r="AO150" s="336"/>
      <c r="AP150" s="336"/>
      <c r="AQ150" s="336"/>
      <c r="AR150" s="336"/>
      <c r="AS150" s="336"/>
      <c r="AT150" s="336"/>
      <c r="AU150" s="336"/>
      <c r="AV150" s="336"/>
      <c r="AW150" s="336"/>
      <c r="AX150" s="336"/>
      <c r="AY150" s="336"/>
      <c r="AZ150" s="336"/>
      <c r="BA150" s="336"/>
      <c r="BB150" s="336"/>
      <c r="BC150" s="336"/>
      <c r="BD150" s="336"/>
      <c r="BE150" s="336"/>
      <c r="BF150" s="336"/>
    </row>
    <row r="151" spans="1:58" s="351" customFormat="1" x14ac:dyDescent="0.25">
      <c r="A151" s="336"/>
      <c r="B151" s="336"/>
      <c r="C151" s="336"/>
      <c r="D151" s="336"/>
      <c r="E151" s="336"/>
      <c r="F151" s="336"/>
      <c r="G151" s="336"/>
      <c r="H151" s="336"/>
      <c r="M151" s="352"/>
      <c r="N151" s="353"/>
      <c r="O151" s="353"/>
      <c r="T151" s="377"/>
      <c r="U151" s="352"/>
      <c r="V151" s="352"/>
      <c r="W151" s="352"/>
      <c r="X151" s="375"/>
      <c r="Y151" s="375"/>
      <c r="Z151" s="336"/>
      <c r="AA151" s="353"/>
      <c r="AB151" s="336"/>
      <c r="AC151" s="336"/>
      <c r="AD151" s="336"/>
      <c r="AE151" s="336"/>
      <c r="AF151" s="336"/>
      <c r="AG151" s="336"/>
      <c r="AH151" s="336"/>
      <c r="AI151" s="336"/>
      <c r="AJ151" s="336"/>
      <c r="AK151" s="336"/>
      <c r="AL151" s="336"/>
      <c r="AM151" s="336"/>
      <c r="AN151" s="336"/>
      <c r="AO151" s="336"/>
      <c r="AP151" s="336"/>
      <c r="AQ151" s="336"/>
      <c r="AR151" s="336"/>
      <c r="AS151" s="336"/>
      <c r="AT151" s="336"/>
      <c r="AU151" s="336"/>
      <c r="AV151" s="336"/>
      <c r="AW151" s="336"/>
      <c r="AX151" s="336"/>
      <c r="AY151" s="336"/>
      <c r="AZ151" s="336"/>
      <c r="BA151" s="336"/>
      <c r="BB151" s="336"/>
      <c r="BC151" s="336"/>
      <c r="BD151" s="336"/>
      <c r="BE151" s="336"/>
      <c r="BF151" s="336"/>
    </row>
    <row r="152" spans="1:58" s="351" customFormat="1" x14ac:dyDescent="0.25">
      <c r="A152" s="336"/>
      <c r="B152" s="336"/>
      <c r="C152" s="336"/>
      <c r="D152" s="336"/>
      <c r="E152" s="336"/>
      <c r="F152" s="336"/>
      <c r="G152" s="336"/>
      <c r="H152" s="336"/>
      <c r="M152" s="352"/>
      <c r="N152" s="353"/>
      <c r="O152" s="353"/>
      <c r="T152" s="377"/>
      <c r="U152" s="352"/>
      <c r="V152" s="352"/>
      <c r="W152" s="352"/>
      <c r="X152" s="375"/>
      <c r="Y152" s="375"/>
      <c r="Z152" s="336"/>
      <c r="AA152" s="353"/>
      <c r="AB152" s="336"/>
      <c r="AC152" s="336"/>
      <c r="AD152" s="336"/>
      <c r="AE152" s="336"/>
      <c r="AF152" s="336"/>
      <c r="AG152" s="336"/>
      <c r="AH152" s="336"/>
      <c r="AI152" s="336"/>
      <c r="AJ152" s="336"/>
      <c r="AK152" s="336"/>
      <c r="AL152" s="336"/>
      <c r="AM152" s="336"/>
      <c r="AN152" s="336"/>
      <c r="AO152" s="336"/>
      <c r="AP152" s="336"/>
      <c r="AQ152" s="336"/>
      <c r="AR152" s="336"/>
      <c r="AS152" s="336"/>
      <c r="AT152" s="336"/>
      <c r="AU152" s="336"/>
      <c r="AV152" s="336"/>
      <c r="AW152" s="336"/>
      <c r="AX152" s="336"/>
      <c r="AY152" s="336"/>
      <c r="AZ152" s="336"/>
      <c r="BA152" s="336"/>
      <c r="BB152" s="336"/>
      <c r="BC152" s="336"/>
      <c r="BD152" s="336"/>
      <c r="BE152" s="336"/>
      <c r="BF152" s="336"/>
    </row>
    <row r="153" spans="1:58" s="351" customFormat="1" x14ac:dyDescent="0.25">
      <c r="A153" s="336"/>
      <c r="B153" s="336"/>
      <c r="C153" s="336"/>
      <c r="D153" s="336"/>
      <c r="E153" s="336"/>
      <c r="F153" s="336"/>
      <c r="G153" s="336"/>
      <c r="H153" s="336"/>
      <c r="M153" s="352"/>
      <c r="N153" s="353"/>
      <c r="O153" s="353"/>
      <c r="T153" s="377"/>
      <c r="U153" s="352"/>
      <c r="V153" s="352"/>
      <c r="W153" s="352"/>
      <c r="X153" s="375"/>
      <c r="Y153" s="375"/>
      <c r="Z153" s="336"/>
      <c r="AA153" s="353"/>
      <c r="AB153" s="336"/>
      <c r="AC153" s="336"/>
      <c r="AD153" s="336"/>
      <c r="AE153" s="336"/>
      <c r="AF153" s="336"/>
      <c r="AG153" s="336"/>
      <c r="AH153" s="336"/>
      <c r="AI153" s="336"/>
      <c r="AJ153" s="336"/>
      <c r="AK153" s="336"/>
      <c r="AL153" s="336"/>
      <c r="AM153" s="336"/>
      <c r="AN153" s="336"/>
      <c r="AO153" s="336"/>
      <c r="AP153" s="336"/>
      <c r="AQ153" s="336"/>
      <c r="AR153" s="336"/>
      <c r="AS153" s="336"/>
      <c r="AT153" s="336"/>
      <c r="AU153" s="336"/>
      <c r="AV153" s="336"/>
      <c r="AW153" s="336"/>
      <c r="AX153" s="336"/>
      <c r="AY153" s="336"/>
      <c r="AZ153" s="336"/>
      <c r="BA153" s="336"/>
      <c r="BB153" s="336"/>
      <c r="BC153" s="336"/>
      <c r="BD153" s="336"/>
      <c r="BE153" s="336"/>
      <c r="BF153" s="336"/>
    </row>
    <row r="154" spans="1:58" s="351" customFormat="1" x14ac:dyDescent="0.25">
      <c r="A154" s="336"/>
      <c r="B154" s="336"/>
      <c r="C154" s="336"/>
      <c r="D154" s="336"/>
      <c r="E154" s="336"/>
      <c r="F154" s="336"/>
      <c r="G154" s="336"/>
      <c r="H154" s="336"/>
      <c r="M154" s="352"/>
      <c r="N154" s="353"/>
      <c r="O154" s="353"/>
      <c r="T154" s="377"/>
      <c r="U154" s="352"/>
      <c r="V154" s="352"/>
      <c r="W154" s="352"/>
      <c r="X154" s="375"/>
      <c r="Y154" s="375"/>
      <c r="Z154" s="336"/>
      <c r="AA154" s="353"/>
      <c r="AB154" s="336"/>
      <c r="AC154" s="336"/>
      <c r="AD154" s="336"/>
      <c r="AE154" s="336"/>
      <c r="AF154" s="336"/>
      <c r="AG154" s="336"/>
      <c r="AH154" s="336"/>
      <c r="AI154" s="336"/>
      <c r="AJ154" s="336"/>
      <c r="AK154" s="336"/>
      <c r="AL154" s="336"/>
      <c r="AM154" s="336"/>
      <c r="AN154" s="336"/>
      <c r="AO154" s="336"/>
      <c r="AP154" s="336"/>
      <c r="AQ154" s="336"/>
      <c r="AR154" s="336"/>
      <c r="AS154" s="336"/>
      <c r="AT154" s="336"/>
      <c r="AU154" s="336"/>
      <c r="AV154" s="336"/>
      <c r="AW154" s="336"/>
      <c r="AX154" s="336"/>
      <c r="AY154" s="336"/>
      <c r="AZ154" s="336"/>
      <c r="BA154" s="336"/>
      <c r="BB154" s="336"/>
      <c r="BC154" s="336"/>
      <c r="BD154" s="336"/>
      <c r="BE154" s="336"/>
      <c r="BF154" s="336"/>
    </row>
    <row r="155" spans="1:58" s="351" customFormat="1" x14ac:dyDescent="0.25">
      <c r="A155" s="336"/>
      <c r="B155" s="336"/>
      <c r="C155" s="336"/>
      <c r="D155" s="336"/>
      <c r="E155" s="336"/>
      <c r="F155" s="336"/>
      <c r="G155" s="336"/>
      <c r="H155" s="336"/>
      <c r="M155" s="352"/>
      <c r="N155" s="353"/>
      <c r="O155" s="353"/>
      <c r="T155" s="377"/>
      <c r="U155" s="352"/>
      <c r="V155" s="352"/>
      <c r="W155" s="352"/>
      <c r="X155" s="375"/>
      <c r="Y155" s="375"/>
      <c r="Z155" s="336"/>
      <c r="AA155" s="353"/>
      <c r="AB155" s="336"/>
      <c r="AC155" s="336"/>
      <c r="AD155" s="336"/>
      <c r="AE155" s="336"/>
      <c r="AF155" s="336"/>
      <c r="AG155" s="336"/>
      <c r="AH155" s="336"/>
      <c r="AI155" s="336"/>
      <c r="AJ155" s="336"/>
      <c r="AK155" s="336"/>
      <c r="AL155" s="336"/>
      <c r="AM155" s="336"/>
      <c r="AN155" s="336"/>
      <c r="AO155" s="336"/>
      <c r="AP155" s="336"/>
      <c r="AQ155" s="336"/>
      <c r="AR155" s="336"/>
      <c r="AS155" s="336"/>
      <c r="AT155" s="336"/>
      <c r="AU155" s="336"/>
      <c r="AV155" s="336"/>
      <c r="AW155" s="336"/>
      <c r="AX155" s="336"/>
      <c r="AY155" s="336"/>
      <c r="AZ155" s="336"/>
      <c r="BA155" s="336"/>
      <c r="BB155" s="336"/>
      <c r="BC155" s="336"/>
      <c r="BD155" s="336"/>
      <c r="BE155" s="336"/>
      <c r="BF155" s="336"/>
    </row>
    <row r="156" spans="1:58" s="351" customFormat="1" x14ac:dyDescent="0.25">
      <c r="A156" s="336"/>
      <c r="B156" s="336"/>
      <c r="C156" s="336"/>
      <c r="D156" s="336"/>
      <c r="E156" s="336"/>
      <c r="F156" s="336"/>
      <c r="G156" s="336"/>
      <c r="H156" s="336"/>
      <c r="M156" s="352"/>
      <c r="N156" s="353"/>
      <c r="O156" s="353"/>
      <c r="T156" s="377"/>
      <c r="U156" s="352"/>
      <c r="V156" s="352"/>
      <c r="W156" s="352"/>
      <c r="X156" s="375"/>
      <c r="Y156" s="375"/>
      <c r="Z156" s="336"/>
      <c r="AA156" s="353"/>
      <c r="AB156" s="336"/>
      <c r="AC156" s="336"/>
      <c r="AD156" s="336"/>
      <c r="AE156" s="336"/>
      <c r="AF156" s="336"/>
      <c r="AG156" s="336"/>
      <c r="AH156" s="336"/>
      <c r="AI156" s="336"/>
      <c r="AJ156" s="336"/>
      <c r="AK156" s="336"/>
      <c r="AL156" s="336"/>
      <c r="AM156" s="336"/>
      <c r="AN156" s="336"/>
      <c r="AO156" s="336"/>
      <c r="AP156" s="336"/>
      <c r="AQ156" s="336"/>
      <c r="AR156" s="336"/>
      <c r="AS156" s="336"/>
      <c r="AT156" s="336"/>
      <c r="AU156" s="336"/>
      <c r="AV156" s="336"/>
      <c r="AW156" s="336"/>
      <c r="AX156" s="336"/>
      <c r="AY156" s="336"/>
      <c r="AZ156" s="336"/>
      <c r="BA156" s="336"/>
      <c r="BB156" s="336"/>
      <c r="BC156" s="336"/>
      <c r="BD156" s="336"/>
      <c r="BE156" s="336"/>
      <c r="BF156" s="336"/>
    </row>
    <row r="157" spans="1:58" s="351" customFormat="1" x14ac:dyDescent="0.25">
      <c r="A157" s="336"/>
      <c r="B157" s="336"/>
      <c r="C157" s="336"/>
      <c r="D157" s="336"/>
      <c r="E157" s="336"/>
      <c r="F157" s="336"/>
      <c r="G157" s="336"/>
      <c r="H157" s="336"/>
      <c r="M157" s="352"/>
      <c r="N157" s="353"/>
      <c r="O157" s="353"/>
      <c r="T157" s="377"/>
      <c r="U157" s="352"/>
      <c r="V157" s="352"/>
      <c r="W157" s="352"/>
      <c r="X157" s="375"/>
      <c r="Y157" s="375"/>
      <c r="Z157" s="336"/>
      <c r="AA157" s="353"/>
      <c r="AB157" s="336"/>
      <c r="AC157" s="336"/>
      <c r="AD157" s="336"/>
      <c r="AE157" s="336"/>
      <c r="AF157" s="336"/>
      <c r="AG157" s="336"/>
      <c r="AH157" s="336"/>
      <c r="AI157" s="336"/>
      <c r="AJ157" s="336"/>
      <c r="AK157" s="336"/>
      <c r="AL157" s="336"/>
      <c r="AM157" s="336"/>
      <c r="AN157" s="336"/>
      <c r="AO157" s="336"/>
      <c r="AP157" s="336"/>
      <c r="AQ157" s="336"/>
      <c r="AR157" s="336"/>
      <c r="AS157" s="336"/>
      <c r="AT157" s="336"/>
      <c r="AU157" s="336"/>
      <c r="AV157" s="336"/>
      <c r="AW157" s="336"/>
      <c r="AX157" s="336"/>
      <c r="AY157" s="336"/>
      <c r="AZ157" s="336"/>
      <c r="BA157" s="336"/>
      <c r="BB157" s="336"/>
      <c r="BC157" s="336"/>
      <c r="BD157" s="336"/>
      <c r="BE157" s="336"/>
      <c r="BF157" s="336"/>
    </row>
    <row r="158" spans="1:58" s="351" customFormat="1" x14ac:dyDescent="0.25">
      <c r="A158" s="336"/>
      <c r="B158" s="336"/>
      <c r="C158" s="336"/>
      <c r="D158" s="336"/>
      <c r="E158" s="336"/>
      <c r="F158" s="336"/>
      <c r="G158" s="336"/>
      <c r="H158" s="336"/>
      <c r="M158" s="352"/>
      <c r="N158" s="353"/>
      <c r="O158" s="353"/>
      <c r="T158" s="377"/>
      <c r="U158" s="352"/>
      <c r="V158" s="352"/>
      <c r="W158" s="352"/>
      <c r="X158" s="375"/>
      <c r="Y158" s="375"/>
      <c r="Z158" s="336"/>
      <c r="AA158" s="353"/>
      <c r="AB158" s="336"/>
      <c r="AC158" s="336"/>
      <c r="AD158" s="336"/>
      <c r="AE158" s="336"/>
      <c r="AF158" s="336"/>
      <c r="AG158" s="336"/>
      <c r="AH158" s="336"/>
      <c r="AI158" s="336"/>
      <c r="AJ158" s="336"/>
      <c r="AK158" s="336"/>
      <c r="AL158" s="336"/>
      <c r="AM158" s="336"/>
      <c r="AN158" s="336"/>
      <c r="AO158" s="336"/>
      <c r="AP158" s="336"/>
      <c r="AQ158" s="336"/>
      <c r="AR158" s="336"/>
      <c r="AS158" s="336"/>
      <c r="AT158" s="336"/>
      <c r="AU158" s="336"/>
      <c r="AV158" s="336"/>
      <c r="AW158" s="336"/>
      <c r="AX158" s="336"/>
      <c r="AY158" s="336"/>
      <c r="AZ158" s="336"/>
      <c r="BA158" s="336"/>
      <c r="BB158" s="336"/>
      <c r="BC158" s="336"/>
      <c r="BD158" s="336"/>
      <c r="BE158" s="336"/>
      <c r="BF158" s="336"/>
    </row>
    <row r="159" spans="1:58" s="351" customFormat="1" x14ac:dyDescent="0.25">
      <c r="A159" s="336"/>
      <c r="B159" s="336"/>
      <c r="C159" s="336"/>
      <c r="D159" s="336"/>
      <c r="E159" s="336"/>
      <c r="F159" s="336"/>
      <c r="G159" s="336"/>
      <c r="H159" s="336"/>
      <c r="M159" s="352"/>
      <c r="N159" s="353"/>
      <c r="O159" s="353"/>
      <c r="T159" s="377"/>
      <c r="U159" s="352"/>
      <c r="V159" s="352"/>
      <c r="W159" s="352"/>
      <c r="X159" s="375"/>
      <c r="Y159" s="375"/>
      <c r="Z159" s="336"/>
      <c r="AA159" s="353"/>
      <c r="AB159" s="336"/>
      <c r="AC159" s="336"/>
      <c r="AD159" s="336"/>
      <c r="AE159" s="336"/>
      <c r="AF159" s="336"/>
      <c r="AG159" s="336"/>
      <c r="AH159" s="336"/>
      <c r="AI159" s="336"/>
      <c r="AJ159" s="336"/>
      <c r="AK159" s="336"/>
      <c r="AL159" s="336"/>
      <c r="AM159" s="336"/>
      <c r="AN159" s="336"/>
      <c r="AO159" s="336"/>
      <c r="AP159" s="336"/>
      <c r="AQ159" s="336"/>
      <c r="AR159" s="336"/>
      <c r="AS159" s="336"/>
      <c r="AT159" s="336"/>
      <c r="AU159" s="336"/>
      <c r="AV159" s="336"/>
      <c r="AW159" s="336"/>
      <c r="AX159" s="336"/>
      <c r="AY159" s="336"/>
      <c r="AZ159" s="336"/>
      <c r="BA159" s="336"/>
      <c r="BB159" s="336"/>
      <c r="BC159" s="336"/>
      <c r="BD159" s="336"/>
      <c r="BE159" s="336"/>
      <c r="BF159" s="336"/>
    </row>
    <row r="160" spans="1:58" s="351" customFormat="1" x14ac:dyDescent="0.25">
      <c r="A160" s="336"/>
      <c r="B160" s="336"/>
      <c r="C160" s="336"/>
      <c r="D160" s="336"/>
      <c r="E160" s="336"/>
      <c r="F160" s="336"/>
      <c r="G160" s="336"/>
      <c r="H160" s="336"/>
      <c r="M160" s="352"/>
      <c r="N160" s="353"/>
      <c r="O160" s="353"/>
      <c r="T160" s="377"/>
      <c r="U160" s="352"/>
      <c r="V160" s="352"/>
      <c r="W160" s="352"/>
      <c r="X160" s="375"/>
      <c r="Y160" s="375"/>
      <c r="Z160" s="336"/>
      <c r="AA160" s="353"/>
      <c r="AB160" s="336"/>
      <c r="AC160" s="336"/>
      <c r="AD160" s="336"/>
      <c r="AE160" s="336"/>
      <c r="AF160" s="336"/>
      <c r="AG160" s="336"/>
      <c r="AH160" s="336"/>
      <c r="AI160" s="336"/>
      <c r="AJ160" s="336"/>
      <c r="AK160" s="336"/>
      <c r="AL160" s="336"/>
      <c r="AM160" s="336"/>
      <c r="AN160" s="336"/>
      <c r="AO160" s="336"/>
      <c r="AP160" s="336"/>
      <c r="AQ160" s="336"/>
      <c r="AR160" s="336"/>
      <c r="AS160" s="336"/>
      <c r="AT160" s="336"/>
      <c r="AU160" s="336"/>
      <c r="AV160" s="336"/>
      <c r="AW160" s="336"/>
      <c r="AX160" s="336"/>
      <c r="AY160" s="336"/>
      <c r="AZ160" s="336"/>
      <c r="BA160" s="336"/>
      <c r="BB160" s="336"/>
      <c r="BC160" s="336"/>
      <c r="BD160" s="336"/>
      <c r="BE160" s="336"/>
      <c r="BF160" s="336"/>
    </row>
    <row r="161" spans="1:58" s="351" customFormat="1" x14ac:dyDescent="0.25">
      <c r="A161" s="336"/>
      <c r="B161" s="336"/>
      <c r="C161" s="336"/>
      <c r="D161" s="336"/>
      <c r="E161" s="336"/>
      <c r="F161" s="336"/>
      <c r="G161" s="336"/>
      <c r="H161" s="336"/>
      <c r="M161" s="352"/>
      <c r="N161" s="353"/>
      <c r="O161" s="353"/>
      <c r="T161" s="377"/>
      <c r="U161" s="352"/>
      <c r="V161" s="352"/>
      <c r="W161" s="352"/>
      <c r="X161" s="375"/>
      <c r="Y161" s="375"/>
      <c r="Z161" s="336"/>
      <c r="AA161" s="353"/>
      <c r="AB161" s="336"/>
      <c r="AC161" s="336"/>
      <c r="AD161" s="336"/>
      <c r="AE161" s="336"/>
      <c r="AF161" s="336"/>
      <c r="AG161" s="336"/>
      <c r="AH161" s="336"/>
      <c r="AI161" s="336"/>
      <c r="AJ161" s="336"/>
      <c r="AK161" s="336"/>
      <c r="AL161" s="336"/>
      <c r="AM161" s="336"/>
      <c r="AN161" s="336"/>
      <c r="AO161" s="336"/>
      <c r="AP161" s="336"/>
      <c r="AQ161" s="336"/>
      <c r="AR161" s="336"/>
      <c r="AS161" s="336"/>
      <c r="AT161" s="336"/>
      <c r="AU161" s="336"/>
      <c r="AV161" s="336"/>
      <c r="AW161" s="336"/>
      <c r="AX161" s="336"/>
      <c r="AY161" s="336"/>
      <c r="AZ161" s="336"/>
      <c r="BA161" s="336"/>
      <c r="BB161" s="336"/>
      <c r="BC161" s="336"/>
      <c r="BD161" s="336"/>
      <c r="BE161" s="336"/>
      <c r="BF161" s="336"/>
    </row>
    <row r="162" spans="1:58" s="351" customFormat="1" x14ac:dyDescent="0.25">
      <c r="A162" s="336"/>
      <c r="B162" s="336"/>
      <c r="C162" s="336"/>
      <c r="D162" s="336"/>
      <c r="E162" s="336"/>
      <c r="F162" s="336"/>
      <c r="G162" s="336"/>
      <c r="H162" s="336"/>
      <c r="M162" s="352"/>
      <c r="N162" s="353"/>
      <c r="O162" s="353"/>
      <c r="T162" s="377"/>
      <c r="U162" s="352"/>
      <c r="V162" s="352"/>
      <c r="W162" s="352"/>
      <c r="X162" s="375"/>
      <c r="Y162" s="375"/>
      <c r="Z162" s="336"/>
      <c r="AA162" s="353"/>
      <c r="AB162" s="336"/>
      <c r="AC162" s="336"/>
      <c r="AD162" s="336"/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336"/>
      <c r="AS162" s="336"/>
      <c r="AT162" s="336"/>
      <c r="AU162" s="336"/>
      <c r="AV162" s="336"/>
      <c r="AW162" s="336"/>
      <c r="AX162" s="336"/>
      <c r="AY162" s="336"/>
      <c r="AZ162" s="336"/>
      <c r="BA162" s="336"/>
      <c r="BB162" s="336"/>
      <c r="BC162" s="336"/>
      <c r="BD162" s="336"/>
      <c r="BE162" s="336"/>
      <c r="BF162" s="336"/>
    </row>
    <row r="163" spans="1:58" s="351" customFormat="1" x14ac:dyDescent="0.25">
      <c r="A163" s="336"/>
      <c r="B163" s="336"/>
      <c r="C163" s="336"/>
      <c r="D163" s="336"/>
      <c r="E163" s="336"/>
      <c r="F163" s="336"/>
      <c r="G163" s="336"/>
      <c r="H163" s="336"/>
      <c r="M163" s="352"/>
      <c r="N163" s="353"/>
      <c r="O163" s="353"/>
      <c r="T163" s="377"/>
      <c r="U163" s="352"/>
      <c r="V163" s="352"/>
      <c r="W163" s="352"/>
      <c r="X163" s="375"/>
      <c r="Y163" s="375"/>
      <c r="Z163" s="336"/>
      <c r="AA163" s="353"/>
      <c r="AB163" s="336"/>
      <c r="AC163" s="336"/>
      <c r="AD163" s="336"/>
      <c r="AE163" s="336"/>
      <c r="AF163" s="336"/>
      <c r="AG163" s="336"/>
      <c r="AH163" s="336"/>
      <c r="AI163" s="336"/>
      <c r="AJ163" s="336"/>
      <c r="AK163" s="336"/>
      <c r="AL163" s="336"/>
      <c r="AM163" s="336"/>
      <c r="AN163" s="336"/>
      <c r="AO163" s="336"/>
      <c r="AP163" s="336"/>
      <c r="AQ163" s="336"/>
      <c r="AR163" s="336"/>
      <c r="AS163" s="336"/>
      <c r="AT163" s="336"/>
      <c r="AU163" s="336"/>
      <c r="AV163" s="336"/>
      <c r="AW163" s="336"/>
      <c r="AX163" s="336"/>
      <c r="AY163" s="336"/>
      <c r="AZ163" s="336"/>
      <c r="BA163" s="336"/>
      <c r="BB163" s="336"/>
      <c r="BC163" s="336"/>
      <c r="BD163" s="336"/>
      <c r="BE163" s="336"/>
      <c r="BF163" s="336"/>
    </row>
    <row r="164" spans="1:58" s="351" customFormat="1" x14ac:dyDescent="0.25">
      <c r="A164" s="336"/>
      <c r="B164" s="336"/>
      <c r="C164" s="336"/>
      <c r="D164" s="336"/>
      <c r="E164" s="336"/>
      <c r="F164" s="336"/>
      <c r="G164" s="336"/>
      <c r="H164" s="336"/>
      <c r="M164" s="352"/>
      <c r="N164" s="353"/>
      <c r="O164" s="353"/>
      <c r="T164" s="377"/>
      <c r="U164" s="352"/>
      <c r="V164" s="352"/>
      <c r="W164" s="352"/>
      <c r="X164" s="375"/>
      <c r="Y164" s="375"/>
      <c r="Z164" s="336"/>
      <c r="AA164" s="353"/>
      <c r="AB164" s="336"/>
      <c r="AC164" s="336"/>
      <c r="AD164" s="336"/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336"/>
      <c r="AS164" s="336"/>
      <c r="AT164" s="336"/>
      <c r="AU164" s="336"/>
      <c r="AV164" s="336"/>
      <c r="AW164" s="336"/>
      <c r="AX164" s="336"/>
      <c r="AY164" s="336"/>
      <c r="AZ164" s="336"/>
      <c r="BA164" s="336"/>
      <c r="BB164" s="336"/>
      <c r="BC164" s="336"/>
      <c r="BD164" s="336"/>
      <c r="BE164" s="336"/>
      <c r="BF164" s="336"/>
    </row>
    <row r="165" spans="1:58" s="351" customFormat="1" x14ac:dyDescent="0.25">
      <c r="A165" s="336"/>
      <c r="B165" s="336"/>
      <c r="C165" s="336"/>
      <c r="D165" s="336"/>
      <c r="E165" s="336"/>
      <c r="F165" s="336"/>
      <c r="G165" s="336"/>
      <c r="H165" s="336"/>
      <c r="M165" s="352"/>
      <c r="N165" s="353"/>
      <c r="O165" s="353"/>
      <c r="T165" s="377"/>
      <c r="U165" s="352"/>
      <c r="V165" s="352"/>
      <c r="W165" s="352"/>
      <c r="X165" s="375"/>
      <c r="Y165" s="375"/>
      <c r="Z165" s="336"/>
      <c r="AA165" s="353"/>
      <c r="AB165" s="336"/>
      <c r="AC165" s="336"/>
      <c r="AD165" s="336"/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336"/>
      <c r="AS165" s="336"/>
      <c r="AT165" s="336"/>
      <c r="AU165" s="336"/>
      <c r="AV165" s="336"/>
      <c r="AW165" s="336"/>
      <c r="AX165" s="336"/>
      <c r="AY165" s="336"/>
      <c r="AZ165" s="336"/>
      <c r="BA165" s="336"/>
      <c r="BB165" s="336"/>
      <c r="BC165" s="336"/>
      <c r="BD165" s="336"/>
      <c r="BE165" s="336"/>
      <c r="BF165" s="336"/>
    </row>
    <row r="166" spans="1:58" s="351" customFormat="1" x14ac:dyDescent="0.25">
      <c r="A166" s="336"/>
      <c r="B166" s="336"/>
      <c r="C166" s="336"/>
      <c r="D166" s="336"/>
      <c r="E166" s="336"/>
      <c r="F166" s="336"/>
      <c r="G166" s="336"/>
      <c r="H166" s="336"/>
      <c r="M166" s="352"/>
      <c r="N166" s="353"/>
      <c r="O166" s="353"/>
      <c r="T166" s="377"/>
      <c r="U166" s="352"/>
      <c r="V166" s="352"/>
      <c r="W166" s="352"/>
      <c r="X166" s="375"/>
      <c r="Y166" s="375"/>
      <c r="Z166" s="336"/>
      <c r="AA166" s="353"/>
      <c r="AB166" s="336"/>
      <c r="AC166" s="336"/>
      <c r="AD166" s="336"/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336"/>
      <c r="AS166" s="336"/>
      <c r="AT166" s="336"/>
      <c r="AU166" s="336"/>
      <c r="AV166" s="336"/>
      <c r="AW166" s="336"/>
      <c r="AX166" s="336"/>
      <c r="AY166" s="336"/>
      <c r="AZ166" s="336"/>
      <c r="BA166" s="336"/>
      <c r="BB166" s="336"/>
      <c r="BC166" s="336"/>
      <c r="BD166" s="336"/>
      <c r="BE166" s="336"/>
      <c r="BF166" s="336"/>
    </row>
    <row r="167" spans="1:58" s="351" customFormat="1" x14ac:dyDescent="0.25">
      <c r="A167" s="336"/>
      <c r="B167" s="336"/>
      <c r="C167" s="336"/>
      <c r="D167" s="336"/>
      <c r="E167" s="336"/>
      <c r="F167" s="336"/>
      <c r="G167" s="336"/>
      <c r="H167" s="336"/>
      <c r="M167" s="352"/>
      <c r="N167" s="353"/>
      <c r="O167" s="353"/>
      <c r="T167" s="377"/>
      <c r="U167" s="352"/>
      <c r="V167" s="352"/>
      <c r="W167" s="352"/>
      <c r="X167" s="375"/>
      <c r="Y167" s="375"/>
      <c r="Z167" s="336"/>
      <c r="AA167" s="353"/>
      <c r="AB167" s="336"/>
      <c r="AC167" s="336"/>
      <c r="AD167" s="336"/>
      <c r="AE167" s="336"/>
      <c r="AF167" s="336"/>
      <c r="AG167" s="336"/>
      <c r="AH167" s="336"/>
      <c r="AI167" s="336"/>
      <c r="AJ167" s="336"/>
      <c r="AK167" s="336"/>
      <c r="AL167" s="336"/>
      <c r="AM167" s="336"/>
      <c r="AN167" s="336"/>
      <c r="AO167" s="336"/>
      <c r="AP167" s="336"/>
      <c r="AQ167" s="336"/>
      <c r="AR167" s="336"/>
      <c r="AS167" s="336"/>
      <c r="AT167" s="336"/>
      <c r="AU167" s="336"/>
      <c r="AV167" s="336"/>
      <c r="AW167" s="336"/>
      <c r="AX167" s="336"/>
      <c r="AY167" s="336"/>
      <c r="AZ167" s="336"/>
      <c r="BA167" s="336"/>
      <c r="BB167" s="336"/>
      <c r="BC167" s="336"/>
      <c r="BD167" s="336"/>
      <c r="BE167" s="336"/>
      <c r="BF167" s="336"/>
    </row>
    <row r="168" spans="1:58" s="351" customFormat="1" x14ac:dyDescent="0.25">
      <c r="A168" s="336"/>
      <c r="B168" s="336"/>
      <c r="C168" s="336"/>
      <c r="D168" s="336"/>
      <c r="E168" s="336"/>
      <c r="F168" s="336"/>
      <c r="G168" s="336"/>
      <c r="H168" s="336"/>
      <c r="M168" s="352"/>
      <c r="N168" s="353"/>
      <c r="O168" s="353"/>
      <c r="T168" s="377"/>
      <c r="U168" s="352"/>
      <c r="V168" s="352"/>
      <c r="W168" s="352"/>
      <c r="X168" s="375"/>
      <c r="Y168" s="375"/>
      <c r="Z168" s="336"/>
      <c r="AA168" s="353"/>
      <c r="AB168" s="336"/>
      <c r="AC168" s="336"/>
      <c r="AD168" s="336"/>
      <c r="AE168" s="336"/>
      <c r="AF168" s="336"/>
      <c r="AG168" s="336"/>
      <c r="AH168" s="336"/>
      <c r="AI168" s="336"/>
      <c r="AJ168" s="336"/>
      <c r="AK168" s="336"/>
      <c r="AL168" s="336"/>
      <c r="AM168" s="336"/>
      <c r="AN168" s="336"/>
      <c r="AO168" s="336"/>
      <c r="AP168" s="336"/>
      <c r="AQ168" s="336"/>
      <c r="AR168" s="336"/>
      <c r="AS168" s="336"/>
      <c r="AT168" s="336"/>
      <c r="AU168" s="336"/>
      <c r="AV168" s="336"/>
      <c r="AW168" s="336"/>
      <c r="AX168" s="336"/>
      <c r="AY168" s="336"/>
      <c r="AZ168" s="336"/>
      <c r="BA168" s="336"/>
      <c r="BB168" s="336"/>
      <c r="BC168" s="336"/>
      <c r="BD168" s="336"/>
      <c r="BE168" s="336"/>
      <c r="BF168" s="336"/>
    </row>
    <row r="169" spans="1:58" s="351" customFormat="1" x14ac:dyDescent="0.25">
      <c r="A169" s="336"/>
      <c r="B169" s="336"/>
      <c r="C169" s="336"/>
      <c r="D169" s="336"/>
      <c r="E169" s="336"/>
      <c r="F169" s="336"/>
      <c r="G169" s="336"/>
      <c r="H169" s="336"/>
      <c r="M169" s="352"/>
      <c r="N169" s="353"/>
      <c r="O169" s="353"/>
      <c r="T169" s="377"/>
      <c r="U169" s="352"/>
      <c r="V169" s="352"/>
      <c r="W169" s="352"/>
      <c r="X169" s="375"/>
      <c r="Y169" s="375"/>
      <c r="Z169" s="336"/>
      <c r="AA169" s="353"/>
      <c r="AB169" s="336"/>
      <c r="AC169" s="336"/>
      <c r="AD169" s="336"/>
      <c r="AE169" s="336"/>
      <c r="AF169" s="336"/>
      <c r="AG169" s="336"/>
      <c r="AH169" s="336"/>
      <c r="AI169" s="336"/>
      <c r="AJ169" s="336"/>
      <c r="AK169" s="336"/>
      <c r="AL169" s="336"/>
      <c r="AM169" s="336"/>
      <c r="AN169" s="336"/>
      <c r="AO169" s="336"/>
      <c r="AP169" s="336"/>
      <c r="AQ169" s="336"/>
      <c r="AR169" s="336"/>
      <c r="AS169" s="336"/>
      <c r="AT169" s="336"/>
      <c r="AU169" s="336"/>
      <c r="AV169" s="336"/>
      <c r="AW169" s="336"/>
      <c r="AX169" s="336"/>
      <c r="AY169" s="336"/>
      <c r="AZ169" s="336"/>
      <c r="BA169" s="336"/>
      <c r="BB169" s="336"/>
      <c r="BC169" s="336"/>
      <c r="BD169" s="336"/>
      <c r="BE169" s="336"/>
      <c r="BF169" s="336"/>
    </row>
    <row r="170" spans="1:58" s="351" customFormat="1" x14ac:dyDescent="0.25">
      <c r="A170" s="336"/>
      <c r="B170" s="336"/>
      <c r="C170" s="336"/>
      <c r="D170" s="336"/>
      <c r="E170" s="336"/>
      <c r="F170" s="336"/>
      <c r="G170" s="336"/>
      <c r="H170" s="336"/>
      <c r="M170" s="352"/>
      <c r="N170" s="353"/>
      <c r="O170" s="353"/>
      <c r="T170" s="377"/>
      <c r="U170" s="352"/>
      <c r="V170" s="352"/>
      <c r="W170" s="352"/>
      <c r="X170" s="375"/>
      <c r="Y170" s="375"/>
      <c r="Z170" s="336"/>
      <c r="AA170" s="353"/>
      <c r="AB170" s="336"/>
      <c r="AC170" s="336"/>
      <c r="AD170" s="336"/>
      <c r="AE170" s="336"/>
      <c r="AF170" s="336"/>
      <c r="AG170" s="336"/>
      <c r="AH170" s="336"/>
      <c r="AI170" s="336"/>
      <c r="AJ170" s="336"/>
      <c r="AK170" s="336"/>
      <c r="AL170" s="336"/>
      <c r="AM170" s="336"/>
      <c r="AN170" s="336"/>
      <c r="AO170" s="336"/>
      <c r="AP170" s="336"/>
      <c r="AQ170" s="336"/>
      <c r="AR170" s="336"/>
      <c r="AS170" s="336"/>
      <c r="AT170" s="336"/>
      <c r="AU170" s="336"/>
      <c r="AV170" s="336"/>
      <c r="AW170" s="336"/>
      <c r="AX170" s="336"/>
      <c r="AY170" s="336"/>
      <c r="AZ170" s="336"/>
      <c r="BA170" s="336"/>
      <c r="BB170" s="336"/>
      <c r="BC170" s="336"/>
      <c r="BD170" s="336"/>
      <c r="BE170" s="336"/>
      <c r="BF170" s="336"/>
    </row>
    <row r="171" spans="1:58" s="351" customFormat="1" x14ac:dyDescent="0.25">
      <c r="A171" s="336"/>
      <c r="B171" s="336"/>
      <c r="C171" s="336"/>
      <c r="D171" s="336"/>
      <c r="E171" s="336"/>
      <c r="F171" s="336"/>
      <c r="G171" s="336"/>
      <c r="H171" s="336"/>
      <c r="M171" s="352"/>
      <c r="N171" s="353"/>
      <c r="O171" s="353"/>
      <c r="T171" s="377"/>
      <c r="U171" s="352"/>
      <c r="V171" s="352"/>
      <c r="W171" s="352"/>
      <c r="X171" s="375"/>
      <c r="Y171" s="375"/>
      <c r="Z171" s="336"/>
      <c r="AA171" s="353"/>
      <c r="AB171" s="336"/>
      <c r="AC171" s="336"/>
      <c r="AD171" s="336"/>
      <c r="AE171" s="336"/>
      <c r="AF171" s="336"/>
      <c r="AG171" s="336"/>
      <c r="AH171" s="336"/>
      <c r="AI171" s="336"/>
      <c r="AJ171" s="336"/>
      <c r="AK171" s="336"/>
      <c r="AL171" s="336"/>
      <c r="AM171" s="336"/>
      <c r="AN171" s="336"/>
      <c r="AO171" s="336"/>
      <c r="AP171" s="336"/>
      <c r="AQ171" s="336"/>
      <c r="AR171" s="336"/>
      <c r="AS171" s="336"/>
      <c r="AT171" s="336"/>
      <c r="AU171" s="336"/>
      <c r="AV171" s="336"/>
      <c r="AW171" s="336"/>
      <c r="AX171" s="336"/>
      <c r="AY171" s="336"/>
      <c r="AZ171" s="336"/>
      <c r="BA171" s="336"/>
      <c r="BB171" s="336"/>
      <c r="BC171" s="336"/>
      <c r="BD171" s="336"/>
      <c r="BE171" s="336"/>
      <c r="BF171" s="336"/>
    </row>
    <row r="172" spans="1:58" s="351" customFormat="1" x14ac:dyDescent="0.25">
      <c r="A172" s="336"/>
      <c r="B172" s="336"/>
      <c r="C172" s="336"/>
      <c r="D172" s="336"/>
      <c r="E172" s="336"/>
      <c r="F172" s="336"/>
      <c r="G172" s="336"/>
      <c r="H172" s="336"/>
      <c r="M172" s="352"/>
      <c r="N172" s="353"/>
      <c r="O172" s="353"/>
      <c r="T172" s="377"/>
      <c r="U172" s="352"/>
      <c r="V172" s="352"/>
      <c r="W172" s="352"/>
      <c r="X172" s="375"/>
      <c r="Y172" s="375"/>
      <c r="Z172" s="336"/>
      <c r="AA172" s="353"/>
      <c r="AB172" s="336"/>
      <c r="AC172" s="336"/>
      <c r="AD172" s="336"/>
      <c r="AE172" s="336"/>
      <c r="AF172" s="336"/>
      <c r="AG172" s="336"/>
      <c r="AH172" s="336"/>
      <c r="AI172" s="336"/>
      <c r="AJ172" s="336"/>
      <c r="AK172" s="336"/>
      <c r="AL172" s="336"/>
      <c r="AM172" s="336"/>
      <c r="AN172" s="336"/>
      <c r="AO172" s="336"/>
      <c r="AP172" s="336"/>
      <c r="AQ172" s="336"/>
      <c r="AR172" s="336"/>
      <c r="AS172" s="336"/>
      <c r="AT172" s="336"/>
      <c r="AU172" s="336"/>
      <c r="AV172" s="336"/>
      <c r="AW172" s="336"/>
      <c r="AX172" s="336"/>
      <c r="AY172" s="336"/>
      <c r="AZ172" s="336"/>
      <c r="BA172" s="336"/>
      <c r="BB172" s="336"/>
      <c r="BC172" s="336"/>
      <c r="BD172" s="336"/>
      <c r="BE172" s="336"/>
      <c r="BF172" s="336"/>
    </row>
    <row r="173" spans="1:58" s="351" customFormat="1" x14ac:dyDescent="0.25">
      <c r="A173" s="336"/>
      <c r="B173" s="336"/>
      <c r="C173" s="336"/>
      <c r="D173" s="336"/>
      <c r="E173" s="336"/>
      <c r="F173" s="336"/>
      <c r="G173" s="336"/>
      <c r="H173" s="336"/>
      <c r="M173" s="352"/>
      <c r="N173" s="353"/>
      <c r="O173" s="353"/>
      <c r="T173" s="377"/>
      <c r="U173" s="352"/>
      <c r="V173" s="352"/>
      <c r="W173" s="352"/>
      <c r="X173" s="375"/>
      <c r="Y173" s="375"/>
      <c r="Z173" s="336"/>
      <c r="AA173" s="353"/>
      <c r="AB173" s="336"/>
      <c r="AC173" s="336"/>
      <c r="AD173" s="336"/>
      <c r="AE173" s="336"/>
      <c r="AF173" s="336"/>
      <c r="AG173" s="336"/>
      <c r="AH173" s="336"/>
      <c r="AI173" s="336"/>
      <c r="AJ173" s="336"/>
      <c r="AK173" s="336"/>
      <c r="AL173" s="336"/>
      <c r="AM173" s="336"/>
      <c r="AN173" s="336"/>
      <c r="AO173" s="336"/>
      <c r="AP173" s="336"/>
      <c r="AQ173" s="336"/>
      <c r="AR173" s="336"/>
      <c r="AS173" s="336"/>
      <c r="AT173" s="336"/>
      <c r="AU173" s="336"/>
      <c r="AV173" s="336"/>
      <c r="AW173" s="336"/>
      <c r="AX173" s="336"/>
      <c r="AY173" s="336"/>
      <c r="AZ173" s="336"/>
      <c r="BA173" s="336"/>
      <c r="BB173" s="336"/>
      <c r="BC173" s="336"/>
      <c r="BD173" s="336"/>
      <c r="BE173" s="336"/>
      <c r="BF173" s="336"/>
    </row>
    <row r="174" spans="1:58" s="351" customFormat="1" x14ac:dyDescent="0.25">
      <c r="A174" s="336"/>
      <c r="B174" s="336"/>
      <c r="C174" s="336"/>
      <c r="D174" s="336"/>
      <c r="E174" s="336"/>
      <c r="F174" s="336"/>
      <c r="G174" s="336"/>
      <c r="H174" s="336"/>
      <c r="M174" s="352"/>
      <c r="N174" s="353"/>
      <c r="O174" s="353"/>
      <c r="T174" s="377"/>
      <c r="U174" s="352"/>
      <c r="V174" s="352"/>
      <c r="W174" s="352"/>
      <c r="X174" s="375"/>
      <c r="Y174" s="375"/>
      <c r="Z174" s="336"/>
      <c r="AA174" s="353"/>
      <c r="AB174" s="336"/>
      <c r="AC174" s="336"/>
      <c r="AD174" s="336"/>
      <c r="AE174" s="336"/>
      <c r="AF174" s="336"/>
      <c r="AG174" s="336"/>
      <c r="AH174" s="336"/>
      <c r="AI174" s="336"/>
      <c r="AJ174" s="336"/>
      <c r="AK174" s="336"/>
      <c r="AL174" s="336"/>
      <c r="AM174" s="336"/>
      <c r="AN174" s="336"/>
      <c r="AO174" s="336"/>
      <c r="AP174" s="336"/>
      <c r="AQ174" s="336"/>
      <c r="AR174" s="336"/>
      <c r="AS174" s="336"/>
      <c r="AT174" s="336"/>
      <c r="AU174" s="336"/>
      <c r="AV174" s="336"/>
      <c r="AW174" s="336"/>
      <c r="AX174" s="336"/>
      <c r="AY174" s="336"/>
      <c r="AZ174" s="336"/>
      <c r="BA174" s="336"/>
      <c r="BB174" s="336"/>
      <c r="BC174" s="336"/>
      <c r="BD174" s="336"/>
      <c r="BE174" s="336"/>
      <c r="BF174" s="336"/>
    </row>
    <row r="175" spans="1:58" s="351" customFormat="1" x14ac:dyDescent="0.25">
      <c r="A175" s="336"/>
      <c r="B175" s="336"/>
      <c r="C175" s="336"/>
      <c r="D175" s="336"/>
      <c r="E175" s="336"/>
      <c r="F175" s="336"/>
      <c r="G175" s="336"/>
      <c r="H175" s="336"/>
      <c r="M175" s="352"/>
      <c r="N175" s="353"/>
      <c r="O175" s="353"/>
      <c r="T175" s="377"/>
      <c r="U175" s="352"/>
      <c r="V175" s="352"/>
      <c r="W175" s="352"/>
      <c r="X175" s="375"/>
      <c r="Y175" s="375"/>
      <c r="Z175" s="336"/>
      <c r="AA175" s="353"/>
      <c r="AB175" s="336"/>
      <c r="AC175" s="336"/>
      <c r="AD175" s="336"/>
      <c r="AE175" s="336"/>
      <c r="AF175" s="336"/>
      <c r="AG175" s="336"/>
      <c r="AH175" s="336"/>
      <c r="AI175" s="336"/>
      <c r="AJ175" s="336"/>
      <c r="AK175" s="336"/>
      <c r="AL175" s="336"/>
      <c r="AM175" s="336"/>
      <c r="AN175" s="336"/>
      <c r="AO175" s="336"/>
      <c r="AP175" s="336"/>
      <c r="AQ175" s="336"/>
      <c r="AR175" s="336"/>
      <c r="AS175" s="336"/>
      <c r="AT175" s="336"/>
      <c r="AU175" s="336"/>
      <c r="AV175" s="336"/>
      <c r="AW175" s="336"/>
      <c r="AX175" s="336"/>
      <c r="AY175" s="336"/>
      <c r="AZ175" s="336"/>
      <c r="BA175" s="336"/>
      <c r="BB175" s="336"/>
      <c r="BC175" s="336"/>
      <c r="BD175" s="336"/>
      <c r="BE175" s="336"/>
      <c r="BF175" s="336"/>
    </row>
    <row r="176" spans="1:58" s="351" customFormat="1" x14ac:dyDescent="0.25">
      <c r="A176" s="336"/>
      <c r="B176" s="336"/>
      <c r="C176" s="336"/>
      <c r="D176" s="336"/>
      <c r="E176" s="336"/>
      <c r="F176" s="336"/>
      <c r="G176" s="336"/>
      <c r="H176" s="336"/>
      <c r="M176" s="352"/>
      <c r="N176" s="353"/>
      <c r="O176" s="353"/>
      <c r="T176" s="377"/>
      <c r="U176" s="352"/>
      <c r="V176" s="352"/>
      <c r="W176" s="352"/>
      <c r="X176" s="375"/>
      <c r="Y176" s="375"/>
      <c r="Z176" s="336"/>
      <c r="AA176" s="353"/>
      <c r="AB176" s="336"/>
      <c r="AC176" s="336"/>
      <c r="AD176" s="336"/>
      <c r="AE176" s="336"/>
      <c r="AF176" s="336"/>
      <c r="AG176" s="336"/>
      <c r="AH176" s="336"/>
      <c r="AI176" s="336"/>
      <c r="AJ176" s="336"/>
      <c r="AK176" s="336"/>
      <c r="AL176" s="336"/>
      <c r="AM176" s="336"/>
      <c r="AN176" s="336"/>
      <c r="AO176" s="336"/>
      <c r="AP176" s="336"/>
      <c r="AQ176" s="336"/>
      <c r="AR176" s="336"/>
      <c r="AS176" s="336"/>
      <c r="AT176" s="336"/>
      <c r="AU176" s="336"/>
      <c r="AV176" s="336"/>
      <c r="AW176" s="336"/>
      <c r="AX176" s="336"/>
      <c r="AY176" s="336"/>
      <c r="AZ176" s="336"/>
      <c r="BA176" s="336"/>
      <c r="BB176" s="336"/>
      <c r="BC176" s="336"/>
      <c r="BD176" s="336"/>
      <c r="BE176" s="336"/>
      <c r="BF176" s="336"/>
    </row>
    <row r="177" spans="1:58" s="351" customFormat="1" x14ac:dyDescent="0.25">
      <c r="A177" s="336"/>
      <c r="B177" s="336"/>
      <c r="C177" s="336"/>
      <c r="D177" s="336"/>
      <c r="E177" s="336"/>
      <c r="F177" s="336"/>
      <c r="G177" s="336"/>
      <c r="H177" s="336"/>
      <c r="M177" s="352"/>
      <c r="N177" s="353"/>
      <c r="O177" s="353"/>
      <c r="T177" s="377"/>
      <c r="U177" s="352"/>
      <c r="V177" s="352"/>
      <c r="W177" s="352"/>
      <c r="X177" s="375"/>
      <c r="Y177" s="375"/>
      <c r="Z177" s="336"/>
      <c r="AA177" s="353"/>
      <c r="AB177" s="336"/>
      <c r="AC177" s="336"/>
      <c r="AD177" s="336"/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336"/>
      <c r="AS177" s="336"/>
      <c r="AT177" s="336"/>
      <c r="AU177" s="336"/>
      <c r="AV177" s="336"/>
      <c r="AW177" s="336"/>
      <c r="AX177" s="336"/>
      <c r="AY177" s="336"/>
      <c r="AZ177" s="336"/>
      <c r="BA177" s="336"/>
      <c r="BB177" s="336"/>
      <c r="BC177" s="336"/>
      <c r="BD177" s="336"/>
      <c r="BE177" s="336"/>
      <c r="BF177" s="336"/>
    </row>
    <row r="178" spans="1:58" s="351" customFormat="1" x14ac:dyDescent="0.25">
      <c r="A178" s="336"/>
      <c r="B178" s="336"/>
      <c r="C178" s="336"/>
      <c r="D178" s="336"/>
      <c r="E178" s="336"/>
      <c r="F178" s="336"/>
      <c r="G178" s="336"/>
      <c r="H178" s="336"/>
      <c r="M178" s="352"/>
      <c r="N178" s="353"/>
      <c r="O178" s="353"/>
      <c r="T178" s="377"/>
      <c r="U178" s="352"/>
      <c r="V178" s="352"/>
      <c r="W178" s="352"/>
      <c r="X178" s="375"/>
      <c r="Y178" s="375"/>
      <c r="Z178" s="336"/>
      <c r="AA178" s="353"/>
      <c r="AB178" s="336"/>
      <c r="AC178" s="336"/>
      <c r="AD178" s="336"/>
      <c r="AE178" s="336"/>
      <c r="AF178" s="336"/>
      <c r="AG178" s="336"/>
      <c r="AH178" s="336"/>
      <c r="AI178" s="336"/>
      <c r="AJ178" s="336"/>
      <c r="AK178" s="336"/>
      <c r="AL178" s="336"/>
      <c r="AM178" s="336"/>
      <c r="AN178" s="336"/>
      <c r="AO178" s="336"/>
      <c r="AP178" s="336"/>
      <c r="AQ178" s="336"/>
      <c r="AR178" s="336"/>
      <c r="AS178" s="336"/>
      <c r="AT178" s="336"/>
      <c r="AU178" s="336"/>
      <c r="AV178" s="336"/>
      <c r="AW178" s="336"/>
      <c r="AX178" s="336"/>
      <c r="AY178" s="336"/>
      <c r="AZ178" s="336"/>
      <c r="BA178" s="336"/>
      <c r="BB178" s="336"/>
      <c r="BC178" s="336"/>
      <c r="BD178" s="336"/>
      <c r="BE178" s="336"/>
      <c r="BF178" s="336"/>
    </row>
    <row r="179" spans="1:58" s="351" customFormat="1" x14ac:dyDescent="0.25">
      <c r="A179" s="336"/>
      <c r="B179" s="336"/>
      <c r="C179" s="336"/>
      <c r="D179" s="336"/>
      <c r="E179" s="336"/>
      <c r="F179" s="336"/>
      <c r="G179" s="336"/>
      <c r="H179" s="336"/>
      <c r="M179" s="352"/>
      <c r="N179" s="353"/>
      <c r="O179" s="353"/>
      <c r="T179" s="377"/>
      <c r="U179" s="352"/>
      <c r="V179" s="352"/>
      <c r="W179" s="352"/>
      <c r="X179" s="375"/>
      <c r="Y179" s="375"/>
      <c r="Z179" s="336"/>
      <c r="AA179" s="353"/>
      <c r="AB179" s="336"/>
      <c r="AC179" s="336"/>
      <c r="AD179" s="336"/>
      <c r="AE179" s="336"/>
      <c r="AF179" s="336"/>
      <c r="AG179" s="336"/>
      <c r="AH179" s="336"/>
      <c r="AI179" s="336"/>
      <c r="AJ179" s="336"/>
      <c r="AK179" s="336"/>
      <c r="AL179" s="336"/>
      <c r="AM179" s="336"/>
      <c r="AN179" s="336"/>
      <c r="AO179" s="336"/>
      <c r="AP179" s="336"/>
      <c r="AQ179" s="336"/>
      <c r="AR179" s="336"/>
      <c r="AS179" s="336"/>
      <c r="AT179" s="336"/>
      <c r="AU179" s="336"/>
      <c r="AV179" s="336"/>
      <c r="AW179" s="336"/>
      <c r="AX179" s="336"/>
      <c r="AY179" s="336"/>
      <c r="AZ179" s="336"/>
      <c r="BA179" s="336"/>
      <c r="BB179" s="336"/>
      <c r="BC179" s="336"/>
      <c r="BD179" s="336"/>
      <c r="BE179" s="336"/>
      <c r="BF179" s="336"/>
    </row>
    <row r="180" spans="1:58" s="351" customFormat="1" x14ac:dyDescent="0.25">
      <c r="A180" s="336"/>
      <c r="B180" s="336"/>
      <c r="C180" s="336"/>
      <c r="D180" s="336"/>
      <c r="E180" s="336"/>
      <c r="F180" s="336"/>
      <c r="G180" s="336"/>
      <c r="H180" s="336"/>
      <c r="M180" s="352"/>
      <c r="N180" s="353"/>
      <c r="O180" s="353"/>
      <c r="T180" s="377"/>
      <c r="U180" s="352"/>
      <c r="V180" s="352"/>
      <c r="W180" s="352"/>
      <c r="X180" s="375"/>
      <c r="Y180" s="375"/>
      <c r="Z180" s="336"/>
      <c r="AA180" s="353"/>
      <c r="AB180" s="336"/>
      <c r="AC180" s="336"/>
      <c r="AD180" s="336"/>
      <c r="AE180" s="336"/>
      <c r="AF180" s="336"/>
      <c r="AG180" s="336"/>
      <c r="AH180" s="336"/>
      <c r="AI180" s="336"/>
      <c r="AJ180" s="336"/>
      <c r="AK180" s="336"/>
      <c r="AL180" s="336"/>
      <c r="AM180" s="336"/>
      <c r="AN180" s="336"/>
      <c r="AO180" s="336"/>
      <c r="AP180" s="336"/>
      <c r="AQ180" s="336"/>
      <c r="AR180" s="336"/>
      <c r="AS180" s="336"/>
      <c r="AT180" s="336"/>
      <c r="AU180" s="336"/>
      <c r="AV180" s="336"/>
      <c r="AW180" s="336"/>
      <c r="AX180" s="336"/>
      <c r="AY180" s="336"/>
      <c r="AZ180" s="336"/>
      <c r="BA180" s="336"/>
      <c r="BB180" s="336"/>
      <c r="BC180" s="336"/>
      <c r="BD180" s="336"/>
      <c r="BE180" s="336"/>
      <c r="BF180" s="336"/>
    </row>
    <row r="181" spans="1:58" s="351" customFormat="1" x14ac:dyDescent="0.25">
      <c r="A181" s="336"/>
      <c r="B181" s="336"/>
      <c r="C181" s="336"/>
      <c r="D181" s="336"/>
      <c r="E181" s="336"/>
      <c r="F181" s="336"/>
      <c r="G181" s="336"/>
      <c r="H181" s="336"/>
      <c r="M181" s="352"/>
      <c r="N181" s="353"/>
      <c r="O181" s="353"/>
      <c r="T181" s="377"/>
      <c r="U181" s="352"/>
      <c r="V181" s="352"/>
      <c r="W181" s="352"/>
      <c r="X181" s="375"/>
      <c r="Y181" s="375"/>
      <c r="Z181" s="336"/>
      <c r="AA181" s="353"/>
      <c r="AB181" s="336"/>
      <c r="AC181" s="336"/>
      <c r="AD181" s="336"/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336"/>
      <c r="AS181" s="336"/>
      <c r="AT181" s="336"/>
      <c r="AU181" s="336"/>
      <c r="AV181" s="336"/>
      <c r="AW181" s="336"/>
      <c r="AX181" s="336"/>
      <c r="AY181" s="336"/>
      <c r="AZ181" s="336"/>
      <c r="BA181" s="336"/>
      <c r="BB181" s="336"/>
      <c r="BC181" s="336"/>
      <c r="BD181" s="336"/>
      <c r="BE181" s="336"/>
      <c r="BF181" s="336"/>
    </row>
    <row r="182" spans="1:58" s="351" customFormat="1" x14ac:dyDescent="0.25">
      <c r="A182" s="336"/>
      <c r="B182" s="336"/>
      <c r="C182" s="336"/>
      <c r="D182" s="336"/>
      <c r="E182" s="336"/>
      <c r="F182" s="336"/>
      <c r="G182" s="336"/>
      <c r="H182" s="336"/>
      <c r="M182" s="352"/>
      <c r="N182" s="353"/>
      <c r="O182" s="353"/>
      <c r="T182" s="377"/>
      <c r="U182" s="352"/>
      <c r="V182" s="352"/>
      <c r="W182" s="352"/>
      <c r="X182" s="375"/>
      <c r="Y182" s="375"/>
      <c r="Z182" s="336"/>
      <c r="AA182" s="353"/>
      <c r="AB182" s="336"/>
      <c r="AC182" s="336"/>
      <c r="AD182" s="336"/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336"/>
      <c r="AS182" s="336"/>
      <c r="AT182" s="336"/>
      <c r="AU182" s="336"/>
      <c r="AV182" s="336"/>
      <c r="AW182" s="336"/>
      <c r="AX182" s="336"/>
      <c r="AY182" s="336"/>
      <c r="AZ182" s="336"/>
      <c r="BA182" s="336"/>
      <c r="BB182" s="336"/>
      <c r="BC182" s="336"/>
      <c r="BD182" s="336"/>
      <c r="BE182" s="336"/>
      <c r="BF182" s="336"/>
    </row>
    <row r="183" spans="1:58" s="351" customFormat="1" x14ac:dyDescent="0.25">
      <c r="A183" s="336"/>
      <c r="B183" s="336"/>
      <c r="C183" s="336"/>
      <c r="D183" s="336"/>
      <c r="E183" s="336"/>
      <c r="F183" s="336"/>
      <c r="G183" s="336"/>
      <c r="H183" s="336"/>
      <c r="M183" s="352"/>
      <c r="N183" s="353"/>
      <c r="O183" s="353"/>
      <c r="T183" s="377"/>
      <c r="U183" s="352"/>
      <c r="V183" s="352"/>
      <c r="W183" s="352"/>
      <c r="X183" s="375"/>
      <c r="Y183" s="375"/>
      <c r="Z183" s="336"/>
      <c r="AA183" s="353"/>
      <c r="AB183" s="336"/>
      <c r="AC183" s="336"/>
      <c r="AD183" s="336"/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336"/>
      <c r="AS183" s="336"/>
      <c r="AT183" s="336"/>
      <c r="AU183" s="336"/>
      <c r="AV183" s="336"/>
      <c r="AW183" s="336"/>
      <c r="AX183" s="336"/>
      <c r="AY183" s="336"/>
      <c r="AZ183" s="336"/>
      <c r="BA183" s="336"/>
      <c r="BB183" s="336"/>
      <c r="BC183" s="336"/>
      <c r="BD183" s="336"/>
      <c r="BE183" s="336"/>
      <c r="BF183" s="336"/>
    </row>
    <row r="184" spans="1:58" s="351" customFormat="1" x14ac:dyDescent="0.25">
      <c r="A184" s="336"/>
      <c r="B184" s="336"/>
      <c r="C184" s="336"/>
      <c r="D184" s="336"/>
      <c r="E184" s="336"/>
      <c r="F184" s="336"/>
      <c r="G184" s="336"/>
      <c r="H184" s="336"/>
      <c r="M184" s="352"/>
      <c r="N184" s="353"/>
      <c r="O184" s="353"/>
      <c r="T184" s="377"/>
      <c r="U184" s="352"/>
      <c r="V184" s="352"/>
      <c r="W184" s="352"/>
      <c r="X184" s="375"/>
      <c r="Y184" s="375"/>
      <c r="Z184" s="336"/>
      <c r="AA184" s="353"/>
      <c r="AB184" s="336"/>
      <c r="AC184" s="336"/>
      <c r="AD184" s="336"/>
      <c r="AE184" s="336"/>
      <c r="AF184" s="336"/>
      <c r="AG184" s="336"/>
      <c r="AH184" s="336"/>
      <c r="AI184" s="336"/>
      <c r="AJ184" s="336"/>
      <c r="AK184" s="336"/>
      <c r="AL184" s="336"/>
      <c r="AM184" s="336"/>
      <c r="AN184" s="336"/>
      <c r="AO184" s="336"/>
      <c r="AP184" s="336"/>
      <c r="AQ184" s="336"/>
      <c r="AR184" s="336"/>
      <c r="AS184" s="336"/>
      <c r="AT184" s="336"/>
      <c r="AU184" s="336"/>
      <c r="AV184" s="336"/>
      <c r="AW184" s="336"/>
      <c r="AX184" s="336"/>
      <c r="AY184" s="336"/>
      <c r="AZ184" s="336"/>
      <c r="BA184" s="336"/>
      <c r="BB184" s="336"/>
      <c r="BC184" s="336"/>
      <c r="BD184" s="336"/>
      <c r="BE184" s="336"/>
      <c r="BF184" s="336"/>
    </row>
    <row r="185" spans="1:58" s="351" customFormat="1" x14ac:dyDescent="0.25">
      <c r="A185" s="336"/>
      <c r="B185" s="336"/>
      <c r="C185" s="336"/>
      <c r="D185" s="336"/>
      <c r="E185" s="336"/>
      <c r="F185" s="336"/>
      <c r="G185" s="336"/>
      <c r="H185" s="336"/>
      <c r="M185" s="352"/>
      <c r="N185" s="353"/>
      <c r="O185" s="353"/>
      <c r="T185" s="377"/>
      <c r="U185" s="352"/>
      <c r="V185" s="352"/>
      <c r="W185" s="352"/>
      <c r="X185" s="375"/>
      <c r="Y185" s="375"/>
      <c r="Z185" s="336"/>
      <c r="AA185" s="353"/>
      <c r="AB185" s="336"/>
      <c r="AC185" s="336"/>
      <c r="AD185" s="336"/>
      <c r="AE185" s="336"/>
      <c r="AF185" s="336"/>
      <c r="AG185" s="336"/>
      <c r="AH185" s="336"/>
      <c r="AI185" s="336"/>
      <c r="AJ185" s="336"/>
      <c r="AK185" s="336"/>
      <c r="AL185" s="336"/>
      <c r="AM185" s="336"/>
      <c r="AN185" s="336"/>
      <c r="AO185" s="336"/>
      <c r="AP185" s="336"/>
      <c r="AQ185" s="336"/>
      <c r="AR185" s="336"/>
      <c r="AS185" s="336"/>
      <c r="AT185" s="336"/>
      <c r="AU185" s="336"/>
      <c r="AV185" s="336"/>
      <c r="AW185" s="336"/>
      <c r="AX185" s="336"/>
      <c r="AY185" s="336"/>
      <c r="AZ185" s="336"/>
      <c r="BA185" s="336"/>
      <c r="BB185" s="336"/>
      <c r="BC185" s="336"/>
      <c r="BD185" s="336"/>
      <c r="BE185" s="336"/>
      <c r="BF185" s="336"/>
    </row>
    <row r="186" spans="1:58" s="351" customFormat="1" x14ac:dyDescent="0.25">
      <c r="A186" s="336"/>
      <c r="B186" s="336"/>
      <c r="C186" s="336"/>
      <c r="D186" s="336"/>
      <c r="E186" s="336"/>
      <c r="F186" s="336"/>
      <c r="G186" s="336"/>
      <c r="H186" s="336"/>
      <c r="M186" s="352"/>
      <c r="N186" s="353"/>
      <c r="O186" s="353"/>
      <c r="T186" s="377"/>
      <c r="U186" s="352"/>
      <c r="V186" s="352"/>
      <c r="W186" s="352"/>
      <c r="X186" s="375"/>
      <c r="Y186" s="375"/>
      <c r="Z186" s="336"/>
      <c r="AA186" s="353"/>
      <c r="AB186" s="336"/>
      <c r="AC186" s="336"/>
      <c r="AD186" s="336"/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336"/>
      <c r="AS186" s="336"/>
      <c r="AT186" s="336"/>
      <c r="AU186" s="336"/>
      <c r="AV186" s="336"/>
      <c r="AW186" s="336"/>
      <c r="AX186" s="336"/>
      <c r="AY186" s="336"/>
      <c r="AZ186" s="336"/>
      <c r="BA186" s="336"/>
      <c r="BB186" s="336"/>
      <c r="BC186" s="336"/>
      <c r="BD186" s="336"/>
      <c r="BE186" s="336"/>
      <c r="BF186" s="336"/>
    </row>
    <row r="187" spans="1:58" s="351" customFormat="1" x14ac:dyDescent="0.25">
      <c r="A187" s="336"/>
      <c r="B187" s="336"/>
      <c r="C187" s="336"/>
      <c r="D187" s="336"/>
      <c r="E187" s="336"/>
      <c r="F187" s="336"/>
      <c r="G187" s="336"/>
      <c r="H187" s="336"/>
      <c r="M187" s="352"/>
      <c r="N187" s="353"/>
      <c r="O187" s="353"/>
      <c r="T187" s="377"/>
      <c r="U187" s="352"/>
      <c r="V187" s="352"/>
      <c r="W187" s="352"/>
      <c r="X187" s="375"/>
      <c r="Y187" s="375"/>
      <c r="Z187" s="336"/>
      <c r="AA187" s="353"/>
      <c r="AB187" s="336"/>
      <c r="AC187" s="336"/>
      <c r="AD187" s="336"/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336"/>
      <c r="AS187" s="336"/>
      <c r="AT187" s="336"/>
      <c r="AU187" s="336"/>
      <c r="AV187" s="336"/>
      <c r="AW187" s="336"/>
      <c r="AX187" s="336"/>
      <c r="AY187" s="336"/>
      <c r="AZ187" s="336"/>
      <c r="BA187" s="336"/>
      <c r="BB187" s="336"/>
      <c r="BC187" s="336"/>
      <c r="BD187" s="336"/>
      <c r="BE187" s="336"/>
      <c r="BF187" s="336"/>
    </row>
    <row r="188" spans="1:58" s="351" customFormat="1" x14ac:dyDescent="0.25">
      <c r="A188" s="336"/>
      <c r="B188" s="336"/>
      <c r="C188" s="336"/>
      <c r="D188" s="336"/>
      <c r="E188" s="336"/>
      <c r="F188" s="336"/>
      <c r="G188" s="336"/>
      <c r="H188" s="336"/>
      <c r="M188" s="352"/>
      <c r="N188" s="353"/>
      <c r="O188" s="353"/>
      <c r="T188" s="377"/>
      <c r="U188" s="352"/>
      <c r="V188" s="352"/>
      <c r="W188" s="352"/>
      <c r="X188" s="375"/>
      <c r="Y188" s="375"/>
      <c r="Z188" s="336"/>
      <c r="AA188" s="353"/>
      <c r="AB188" s="336"/>
      <c r="AC188" s="336"/>
      <c r="AD188" s="336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336"/>
      <c r="AS188" s="336"/>
      <c r="AT188" s="336"/>
      <c r="AU188" s="336"/>
      <c r="AV188" s="336"/>
      <c r="AW188" s="336"/>
      <c r="AX188" s="336"/>
      <c r="AY188" s="336"/>
      <c r="AZ188" s="336"/>
      <c r="BA188" s="336"/>
      <c r="BB188" s="336"/>
      <c r="BC188" s="336"/>
      <c r="BD188" s="336"/>
      <c r="BE188" s="336"/>
      <c r="BF188" s="336"/>
    </row>
    <row r="189" spans="1:58" s="351" customFormat="1" x14ac:dyDescent="0.25">
      <c r="A189" s="336"/>
      <c r="B189" s="336"/>
      <c r="C189" s="336"/>
      <c r="D189" s="336"/>
      <c r="E189" s="336"/>
      <c r="F189" s="336"/>
      <c r="G189" s="336"/>
      <c r="H189" s="336"/>
      <c r="M189" s="352"/>
      <c r="N189" s="353"/>
      <c r="O189" s="353"/>
      <c r="T189" s="377"/>
      <c r="U189" s="352"/>
      <c r="V189" s="352"/>
      <c r="W189" s="352"/>
      <c r="X189" s="375"/>
      <c r="Y189" s="375"/>
      <c r="Z189" s="336"/>
      <c r="AA189" s="353"/>
      <c r="AB189" s="336"/>
      <c r="AC189" s="336"/>
      <c r="AD189" s="336"/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336"/>
      <c r="AS189" s="336"/>
      <c r="AT189" s="336"/>
      <c r="AU189" s="336"/>
      <c r="AV189" s="336"/>
      <c r="AW189" s="336"/>
      <c r="AX189" s="336"/>
      <c r="AY189" s="336"/>
      <c r="AZ189" s="336"/>
      <c r="BA189" s="336"/>
      <c r="BB189" s="336"/>
      <c r="BC189" s="336"/>
      <c r="BD189" s="336"/>
      <c r="BE189" s="336"/>
      <c r="BF189" s="336"/>
    </row>
    <row r="190" spans="1:58" s="351" customFormat="1" x14ac:dyDescent="0.25">
      <c r="A190" s="336"/>
      <c r="B190" s="336"/>
      <c r="C190" s="336"/>
      <c r="D190" s="336"/>
      <c r="E190" s="336"/>
      <c r="F190" s="336"/>
      <c r="G190" s="336"/>
      <c r="H190" s="336"/>
      <c r="M190" s="352"/>
      <c r="N190" s="353"/>
      <c r="O190" s="353"/>
      <c r="T190" s="377"/>
      <c r="U190" s="352"/>
      <c r="V190" s="352"/>
      <c r="W190" s="352"/>
      <c r="X190" s="375"/>
      <c r="Y190" s="375"/>
      <c r="Z190" s="336"/>
      <c r="AA190" s="353"/>
      <c r="AB190" s="336"/>
      <c r="AC190" s="336"/>
      <c r="AD190" s="336"/>
      <c r="AE190" s="336"/>
      <c r="AF190" s="336"/>
      <c r="AG190" s="336"/>
      <c r="AH190" s="336"/>
      <c r="AI190" s="336"/>
      <c r="AJ190" s="336"/>
      <c r="AK190" s="336"/>
      <c r="AL190" s="336"/>
      <c r="AM190" s="336"/>
      <c r="AN190" s="336"/>
      <c r="AO190" s="336"/>
      <c r="AP190" s="336"/>
      <c r="AQ190" s="336"/>
      <c r="AR190" s="336"/>
      <c r="AS190" s="336"/>
      <c r="AT190" s="336"/>
      <c r="AU190" s="336"/>
      <c r="AV190" s="336"/>
      <c r="AW190" s="336"/>
      <c r="AX190" s="336"/>
      <c r="AY190" s="336"/>
      <c r="AZ190" s="336"/>
      <c r="BA190" s="336"/>
      <c r="BB190" s="336"/>
      <c r="BC190" s="336"/>
      <c r="BD190" s="336"/>
      <c r="BE190" s="336"/>
      <c r="BF190" s="336"/>
    </row>
    <row r="191" spans="1:58" s="351" customFormat="1" x14ac:dyDescent="0.25">
      <c r="A191" s="336"/>
      <c r="B191" s="336"/>
      <c r="C191" s="336"/>
      <c r="D191" s="336"/>
      <c r="E191" s="336"/>
      <c r="F191" s="336"/>
      <c r="G191" s="336"/>
      <c r="H191" s="336"/>
      <c r="M191" s="352"/>
      <c r="N191" s="353"/>
      <c r="O191" s="353"/>
      <c r="T191" s="377"/>
      <c r="U191" s="352"/>
      <c r="V191" s="352"/>
      <c r="W191" s="352"/>
      <c r="X191" s="375"/>
      <c r="Y191" s="375"/>
      <c r="Z191" s="336"/>
      <c r="AA191" s="353"/>
      <c r="AB191" s="336"/>
      <c r="AC191" s="336"/>
      <c r="AD191" s="336"/>
      <c r="AE191" s="336"/>
      <c r="AF191" s="336"/>
      <c r="AG191" s="336"/>
      <c r="AH191" s="336"/>
      <c r="AI191" s="336"/>
      <c r="AJ191" s="336"/>
      <c r="AK191" s="336"/>
      <c r="AL191" s="336"/>
      <c r="AM191" s="336"/>
      <c r="AN191" s="336"/>
      <c r="AO191" s="336"/>
      <c r="AP191" s="336"/>
      <c r="AQ191" s="336"/>
      <c r="AR191" s="336"/>
      <c r="AS191" s="336"/>
      <c r="AT191" s="336"/>
      <c r="AU191" s="336"/>
      <c r="AV191" s="336"/>
      <c r="AW191" s="336"/>
      <c r="AX191" s="336"/>
      <c r="AY191" s="336"/>
      <c r="AZ191" s="336"/>
      <c r="BA191" s="336"/>
      <c r="BB191" s="336"/>
      <c r="BC191" s="336"/>
      <c r="BD191" s="336"/>
      <c r="BE191" s="336"/>
      <c r="BF191" s="336"/>
    </row>
    <row r="192" spans="1:58" s="351" customFormat="1" x14ac:dyDescent="0.25">
      <c r="A192" s="336"/>
      <c r="B192" s="336"/>
      <c r="C192" s="336"/>
      <c r="D192" s="336"/>
      <c r="E192" s="336"/>
      <c r="F192" s="336"/>
      <c r="G192" s="336"/>
      <c r="H192" s="336"/>
      <c r="M192" s="352"/>
      <c r="N192" s="353"/>
      <c r="O192" s="353"/>
      <c r="T192" s="377"/>
      <c r="U192" s="352"/>
      <c r="V192" s="352"/>
      <c r="W192" s="352"/>
      <c r="X192" s="375"/>
      <c r="Y192" s="375"/>
      <c r="Z192" s="336"/>
      <c r="AA192" s="353"/>
      <c r="AB192" s="336"/>
      <c r="AC192" s="336"/>
      <c r="AD192" s="336"/>
      <c r="AE192" s="336"/>
      <c r="AF192" s="336"/>
      <c r="AG192" s="336"/>
      <c r="AH192" s="336"/>
      <c r="AI192" s="336"/>
      <c r="AJ192" s="336"/>
      <c r="AK192" s="336"/>
      <c r="AL192" s="336"/>
      <c r="AM192" s="336"/>
      <c r="AN192" s="336"/>
      <c r="AO192" s="336"/>
      <c r="AP192" s="336"/>
      <c r="AQ192" s="336"/>
      <c r="AR192" s="336"/>
      <c r="AS192" s="336"/>
      <c r="AT192" s="336"/>
      <c r="AU192" s="336"/>
      <c r="AV192" s="336"/>
      <c r="AW192" s="336"/>
      <c r="AX192" s="336"/>
      <c r="AY192" s="336"/>
      <c r="AZ192" s="336"/>
      <c r="BA192" s="336"/>
      <c r="BB192" s="336"/>
      <c r="BC192" s="336"/>
      <c r="BD192" s="336"/>
      <c r="BE192" s="336"/>
      <c r="BF192" s="336"/>
    </row>
    <row r="193" spans="1:58" s="351" customFormat="1" x14ac:dyDescent="0.25">
      <c r="A193" s="336"/>
      <c r="B193" s="336"/>
      <c r="C193" s="336"/>
      <c r="D193" s="336"/>
      <c r="E193" s="336"/>
      <c r="F193" s="336"/>
      <c r="G193" s="336"/>
      <c r="H193" s="336"/>
      <c r="M193" s="352"/>
      <c r="N193" s="353"/>
      <c r="O193" s="353"/>
      <c r="T193" s="377"/>
      <c r="U193" s="352"/>
      <c r="V193" s="352"/>
      <c r="W193" s="352"/>
      <c r="X193" s="375"/>
      <c r="Y193" s="375"/>
      <c r="Z193" s="336"/>
      <c r="AA193" s="353"/>
      <c r="AB193" s="336"/>
      <c r="AC193" s="336"/>
      <c r="AD193" s="336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336"/>
      <c r="AS193" s="336"/>
      <c r="AT193" s="336"/>
      <c r="AU193" s="336"/>
      <c r="AV193" s="336"/>
      <c r="AW193" s="336"/>
      <c r="AX193" s="336"/>
      <c r="AY193" s="336"/>
      <c r="AZ193" s="336"/>
      <c r="BA193" s="336"/>
      <c r="BB193" s="336"/>
      <c r="BC193" s="336"/>
      <c r="BD193" s="336"/>
      <c r="BE193" s="336"/>
      <c r="BF193" s="336"/>
    </row>
    <row r="194" spans="1:58" s="351" customFormat="1" x14ac:dyDescent="0.25">
      <c r="A194" s="336"/>
      <c r="B194" s="336"/>
      <c r="C194" s="336"/>
      <c r="D194" s="336"/>
      <c r="E194" s="336"/>
      <c r="F194" s="336"/>
      <c r="G194" s="336"/>
      <c r="H194" s="336"/>
      <c r="M194" s="352"/>
      <c r="N194" s="353"/>
      <c r="O194" s="353"/>
      <c r="T194" s="377"/>
      <c r="U194" s="352"/>
      <c r="V194" s="352"/>
      <c r="W194" s="352"/>
      <c r="X194" s="375"/>
      <c r="Y194" s="375"/>
      <c r="Z194" s="336"/>
      <c r="AA194" s="353"/>
      <c r="AB194" s="336"/>
      <c r="AC194" s="336"/>
      <c r="AD194" s="336"/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336"/>
      <c r="AS194" s="336"/>
      <c r="AT194" s="336"/>
      <c r="AU194" s="336"/>
      <c r="AV194" s="336"/>
      <c r="AW194" s="336"/>
      <c r="AX194" s="336"/>
      <c r="AY194" s="336"/>
      <c r="AZ194" s="336"/>
      <c r="BA194" s="336"/>
      <c r="BB194" s="336"/>
      <c r="BC194" s="336"/>
      <c r="BD194" s="336"/>
      <c r="BE194" s="336"/>
      <c r="BF194" s="336"/>
    </row>
    <row r="195" spans="1:58" s="351" customFormat="1" x14ac:dyDescent="0.25">
      <c r="A195" s="336"/>
      <c r="B195" s="336"/>
      <c r="C195" s="336"/>
      <c r="D195" s="336"/>
      <c r="E195" s="336"/>
      <c r="F195" s="336"/>
      <c r="G195" s="336"/>
      <c r="H195" s="336"/>
      <c r="M195" s="352"/>
      <c r="N195" s="353"/>
      <c r="O195" s="353"/>
      <c r="T195" s="377"/>
      <c r="U195" s="352"/>
      <c r="V195" s="352"/>
      <c r="W195" s="352"/>
      <c r="X195" s="375"/>
      <c r="Y195" s="375"/>
      <c r="Z195" s="336"/>
      <c r="AA195" s="353"/>
      <c r="AB195" s="336"/>
      <c r="AC195" s="336"/>
      <c r="AD195" s="336"/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336"/>
      <c r="AS195" s="336"/>
      <c r="AT195" s="336"/>
      <c r="AU195" s="336"/>
      <c r="AV195" s="336"/>
      <c r="AW195" s="336"/>
      <c r="AX195" s="336"/>
      <c r="AY195" s="336"/>
      <c r="AZ195" s="336"/>
      <c r="BA195" s="336"/>
      <c r="BB195" s="336"/>
      <c r="BC195" s="336"/>
      <c r="BD195" s="336"/>
      <c r="BE195" s="336"/>
      <c r="BF195" s="336"/>
    </row>
    <row r="196" spans="1:58" s="351" customFormat="1" x14ac:dyDescent="0.25">
      <c r="A196" s="336"/>
      <c r="B196" s="336"/>
      <c r="C196" s="336"/>
      <c r="D196" s="336"/>
      <c r="E196" s="336"/>
      <c r="F196" s="336"/>
      <c r="G196" s="336"/>
      <c r="H196" s="336"/>
      <c r="M196" s="352"/>
      <c r="N196" s="353"/>
      <c r="O196" s="353"/>
      <c r="T196" s="377"/>
      <c r="U196" s="352"/>
      <c r="V196" s="352"/>
      <c r="W196" s="352"/>
      <c r="X196" s="375"/>
      <c r="Y196" s="375"/>
      <c r="Z196" s="336"/>
      <c r="AA196" s="353"/>
      <c r="AB196" s="336"/>
      <c r="AC196" s="336"/>
      <c r="AD196" s="336"/>
      <c r="AE196" s="336"/>
      <c r="AF196" s="336"/>
      <c r="AG196" s="336"/>
      <c r="AH196" s="336"/>
      <c r="AI196" s="336"/>
      <c r="AJ196" s="336"/>
      <c r="AK196" s="336"/>
      <c r="AL196" s="336"/>
      <c r="AM196" s="336"/>
      <c r="AN196" s="336"/>
      <c r="AO196" s="336"/>
      <c r="AP196" s="336"/>
      <c r="AQ196" s="336"/>
      <c r="AR196" s="336"/>
      <c r="AS196" s="336"/>
      <c r="AT196" s="336"/>
      <c r="AU196" s="336"/>
      <c r="AV196" s="336"/>
      <c r="AW196" s="336"/>
      <c r="AX196" s="336"/>
      <c r="AY196" s="336"/>
      <c r="AZ196" s="336"/>
      <c r="BA196" s="336"/>
      <c r="BB196" s="336"/>
      <c r="BC196" s="336"/>
      <c r="BD196" s="336"/>
      <c r="BE196" s="336"/>
      <c r="BF196" s="336"/>
    </row>
    <row r="197" spans="1:58" s="351" customFormat="1" x14ac:dyDescent="0.25">
      <c r="A197" s="336"/>
      <c r="B197" s="336"/>
      <c r="C197" s="336"/>
      <c r="D197" s="336"/>
      <c r="E197" s="336"/>
      <c r="F197" s="336"/>
      <c r="G197" s="336"/>
      <c r="H197" s="336"/>
      <c r="M197" s="352"/>
      <c r="N197" s="353"/>
      <c r="O197" s="353"/>
      <c r="T197" s="377"/>
      <c r="U197" s="352"/>
      <c r="V197" s="352"/>
      <c r="W197" s="352"/>
      <c r="X197" s="375"/>
      <c r="Y197" s="375"/>
      <c r="Z197" s="336"/>
      <c r="AA197" s="353"/>
      <c r="AB197" s="336"/>
      <c r="AC197" s="336"/>
      <c r="AD197" s="336"/>
      <c r="AE197" s="336"/>
      <c r="AF197" s="336"/>
      <c r="AG197" s="336"/>
      <c r="AH197" s="336"/>
      <c r="AI197" s="336"/>
      <c r="AJ197" s="336"/>
      <c r="AK197" s="336"/>
      <c r="AL197" s="336"/>
      <c r="AM197" s="336"/>
      <c r="AN197" s="336"/>
      <c r="AO197" s="336"/>
      <c r="AP197" s="336"/>
      <c r="AQ197" s="336"/>
      <c r="AR197" s="336"/>
      <c r="AS197" s="336"/>
      <c r="AT197" s="336"/>
      <c r="AU197" s="336"/>
      <c r="AV197" s="336"/>
      <c r="AW197" s="336"/>
      <c r="AX197" s="336"/>
      <c r="AY197" s="336"/>
      <c r="AZ197" s="336"/>
      <c r="BA197" s="336"/>
      <c r="BB197" s="336"/>
      <c r="BC197" s="336"/>
      <c r="BD197" s="336"/>
      <c r="BE197" s="336"/>
      <c r="BF197" s="336"/>
    </row>
    <row r="198" spans="1:58" s="351" customFormat="1" x14ac:dyDescent="0.25">
      <c r="A198" s="336"/>
      <c r="B198" s="336"/>
      <c r="C198" s="336"/>
      <c r="D198" s="336"/>
      <c r="E198" s="336"/>
      <c r="F198" s="336"/>
      <c r="G198" s="336"/>
      <c r="H198" s="336"/>
      <c r="M198" s="352"/>
      <c r="N198" s="353"/>
      <c r="O198" s="353"/>
      <c r="T198" s="377"/>
      <c r="U198" s="352"/>
      <c r="V198" s="352"/>
      <c r="W198" s="352"/>
      <c r="X198" s="375"/>
      <c r="Y198" s="375"/>
      <c r="Z198" s="336"/>
      <c r="AA198" s="353"/>
      <c r="AB198" s="336"/>
      <c r="AC198" s="336"/>
      <c r="AD198" s="336"/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336"/>
      <c r="AS198" s="336"/>
      <c r="AT198" s="336"/>
      <c r="AU198" s="336"/>
      <c r="AV198" s="336"/>
      <c r="AW198" s="336"/>
      <c r="AX198" s="336"/>
      <c r="AY198" s="336"/>
      <c r="AZ198" s="336"/>
      <c r="BA198" s="336"/>
      <c r="BB198" s="336"/>
      <c r="BC198" s="336"/>
      <c r="BD198" s="336"/>
      <c r="BE198" s="336"/>
      <c r="BF198" s="336"/>
    </row>
    <row r="199" spans="1:58" s="351" customFormat="1" x14ac:dyDescent="0.25">
      <c r="A199" s="336"/>
      <c r="B199" s="336"/>
      <c r="C199" s="336"/>
      <c r="D199" s="336"/>
      <c r="E199" s="336"/>
      <c r="F199" s="336"/>
      <c r="G199" s="336"/>
      <c r="H199" s="336"/>
      <c r="M199" s="352"/>
      <c r="N199" s="353"/>
      <c r="O199" s="353"/>
      <c r="T199" s="377"/>
      <c r="U199" s="352"/>
      <c r="V199" s="352"/>
      <c r="W199" s="352"/>
      <c r="X199" s="375"/>
      <c r="Y199" s="375"/>
      <c r="Z199" s="336"/>
      <c r="AA199" s="353"/>
      <c r="AB199" s="336"/>
      <c r="AC199" s="336"/>
      <c r="AD199" s="336"/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336"/>
      <c r="AS199" s="336"/>
      <c r="AT199" s="336"/>
      <c r="AU199" s="336"/>
      <c r="AV199" s="336"/>
      <c r="AW199" s="336"/>
      <c r="AX199" s="336"/>
      <c r="AY199" s="336"/>
      <c r="AZ199" s="336"/>
      <c r="BA199" s="336"/>
      <c r="BB199" s="336"/>
      <c r="BC199" s="336"/>
      <c r="BD199" s="336"/>
      <c r="BE199" s="336"/>
      <c r="BF199" s="336"/>
    </row>
    <row r="200" spans="1:58" s="351" customFormat="1" x14ac:dyDescent="0.25">
      <c r="A200" s="336"/>
      <c r="B200" s="336"/>
      <c r="C200" s="336"/>
      <c r="D200" s="336"/>
      <c r="E200" s="336"/>
      <c r="F200" s="336"/>
      <c r="G200" s="336"/>
      <c r="H200" s="336"/>
      <c r="M200" s="352"/>
      <c r="N200" s="353"/>
      <c r="O200" s="353"/>
      <c r="T200" s="377"/>
      <c r="U200" s="352"/>
      <c r="V200" s="352"/>
      <c r="W200" s="352"/>
      <c r="X200" s="375"/>
      <c r="Y200" s="375"/>
      <c r="Z200" s="336"/>
      <c r="AA200" s="353"/>
      <c r="AB200" s="336"/>
      <c r="AC200" s="336"/>
      <c r="AD200" s="336"/>
      <c r="AE200" s="336"/>
      <c r="AF200" s="336"/>
      <c r="AG200" s="336"/>
      <c r="AH200" s="336"/>
      <c r="AI200" s="336"/>
      <c r="AJ200" s="336"/>
      <c r="AK200" s="336"/>
      <c r="AL200" s="336"/>
      <c r="AM200" s="336"/>
      <c r="AN200" s="336"/>
      <c r="AO200" s="336"/>
      <c r="AP200" s="336"/>
      <c r="AQ200" s="336"/>
      <c r="AR200" s="336"/>
      <c r="AS200" s="336"/>
      <c r="AT200" s="336"/>
      <c r="AU200" s="336"/>
      <c r="AV200" s="336"/>
      <c r="AW200" s="336"/>
      <c r="AX200" s="336"/>
      <c r="AY200" s="336"/>
      <c r="AZ200" s="336"/>
      <c r="BA200" s="336"/>
      <c r="BB200" s="336"/>
      <c r="BC200" s="336"/>
      <c r="BD200" s="336"/>
      <c r="BE200" s="336"/>
      <c r="BF200" s="336"/>
    </row>
    <row r="201" spans="1:58" s="351" customFormat="1" x14ac:dyDescent="0.25">
      <c r="A201" s="336"/>
      <c r="B201" s="336"/>
      <c r="C201" s="336"/>
      <c r="D201" s="336"/>
      <c r="E201" s="336"/>
      <c r="F201" s="336"/>
      <c r="G201" s="336"/>
      <c r="H201" s="336"/>
      <c r="M201" s="352"/>
      <c r="N201" s="353"/>
      <c r="O201" s="353"/>
      <c r="T201" s="377"/>
      <c r="U201" s="352"/>
      <c r="V201" s="352"/>
      <c r="W201" s="352"/>
      <c r="X201" s="375"/>
      <c r="Y201" s="375"/>
      <c r="Z201" s="336"/>
      <c r="AA201" s="353"/>
      <c r="AB201" s="336"/>
      <c r="AC201" s="336"/>
      <c r="AD201" s="336"/>
      <c r="AE201" s="336"/>
      <c r="AF201" s="336"/>
      <c r="AG201" s="336"/>
      <c r="AH201" s="336"/>
      <c r="AI201" s="336"/>
      <c r="AJ201" s="336"/>
      <c r="AK201" s="336"/>
      <c r="AL201" s="336"/>
      <c r="AM201" s="336"/>
      <c r="AN201" s="336"/>
      <c r="AO201" s="336"/>
      <c r="AP201" s="336"/>
      <c r="AQ201" s="336"/>
      <c r="AR201" s="336"/>
      <c r="AS201" s="336"/>
      <c r="AT201" s="336"/>
      <c r="AU201" s="336"/>
      <c r="AV201" s="336"/>
      <c r="AW201" s="336"/>
      <c r="AX201" s="336"/>
      <c r="AY201" s="336"/>
      <c r="AZ201" s="336"/>
      <c r="BA201" s="336"/>
      <c r="BB201" s="336"/>
      <c r="BC201" s="336"/>
      <c r="BD201" s="336"/>
      <c r="BE201" s="336"/>
      <c r="BF201" s="336"/>
    </row>
    <row r="202" spans="1:58" s="351" customFormat="1" x14ac:dyDescent="0.25">
      <c r="A202" s="336"/>
      <c r="B202" s="336"/>
      <c r="C202" s="336"/>
      <c r="D202" s="336"/>
      <c r="E202" s="336"/>
      <c r="F202" s="336"/>
      <c r="G202" s="336"/>
      <c r="H202" s="336"/>
      <c r="M202" s="352"/>
      <c r="N202" s="353"/>
      <c r="O202" s="353"/>
      <c r="T202" s="377"/>
      <c r="U202" s="352"/>
      <c r="V202" s="352"/>
      <c r="W202" s="352"/>
      <c r="X202" s="375"/>
      <c r="Y202" s="375"/>
      <c r="Z202" s="336"/>
      <c r="AA202" s="353"/>
      <c r="AB202" s="336"/>
      <c r="AC202" s="336"/>
      <c r="AD202" s="336"/>
      <c r="AE202" s="336"/>
      <c r="AF202" s="336"/>
      <c r="AG202" s="336"/>
      <c r="AH202" s="336"/>
      <c r="AI202" s="336"/>
      <c r="AJ202" s="336"/>
      <c r="AK202" s="336"/>
      <c r="AL202" s="336"/>
      <c r="AM202" s="336"/>
      <c r="AN202" s="336"/>
      <c r="AO202" s="336"/>
      <c r="AP202" s="336"/>
      <c r="AQ202" s="336"/>
      <c r="AR202" s="336"/>
      <c r="AS202" s="336"/>
      <c r="AT202" s="336"/>
      <c r="AU202" s="336"/>
      <c r="AV202" s="336"/>
      <c r="AW202" s="336"/>
      <c r="AX202" s="336"/>
      <c r="AY202" s="336"/>
      <c r="AZ202" s="336"/>
      <c r="BA202" s="336"/>
      <c r="BB202" s="336"/>
      <c r="BC202" s="336"/>
      <c r="BD202" s="336"/>
      <c r="BE202" s="336"/>
      <c r="BF202" s="336"/>
    </row>
    <row r="203" spans="1:58" s="351" customFormat="1" x14ac:dyDescent="0.25">
      <c r="A203" s="336"/>
      <c r="B203" s="336"/>
      <c r="C203" s="336"/>
      <c r="D203" s="336"/>
      <c r="E203" s="336"/>
      <c r="F203" s="336"/>
      <c r="G203" s="336"/>
      <c r="H203" s="336"/>
      <c r="M203" s="352"/>
      <c r="N203" s="353"/>
      <c r="O203" s="353"/>
      <c r="T203" s="377"/>
      <c r="U203" s="352"/>
      <c r="V203" s="352"/>
      <c r="W203" s="352"/>
      <c r="X203" s="375"/>
      <c r="Y203" s="375"/>
      <c r="Z203" s="336"/>
      <c r="AA203" s="353"/>
      <c r="AB203" s="336"/>
      <c r="AC203" s="336"/>
      <c r="AD203" s="336"/>
      <c r="AE203" s="336"/>
      <c r="AF203" s="336"/>
      <c r="AG203" s="336"/>
      <c r="AH203" s="336"/>
      <c r="AI203" s="336"/>
      <c r="AJ203" s="336"/>
      <c r="AK203" s="336"/>
      <c r="AL203" s="336"/>
      <c r="AM203" s="336"/>
      <c r="AN203" s="336"/>
      <c r="AO203" s="336"/>
      <c r="AP203" s="336"/>
      <c r="AQ203" s="336"/>
      <c r="AR203" s="336"/>
      <c r="AS203" s="336"/>
      <c r="AT203" s="336"/>
      <c r="AU203" s="336"/>
      <c r="AV203" s="336"/>
      <c r="AW203" s="336"/>
      <c r="AX203" s="336"/>
      <c r="AY203" s="336"/>
      <c r="AZ203" s="336"/>
      <c r="BA203" s="336"/>
      <c r="BB203" s="336"/>
      <c r="BC203" s="336"/>
      <c r="BD203" s="336"/>
      <c r="BE203" s="336"/>
      <c r="BF203" s="336"/>
    </row>
    <row r="204" spans="1:58" s="351" customFormat="1" x14ac:dyDescent="0.25">
      <c r="A204" s="336"/>
      <c r="B204" s="336"/>
      <c r="C204" s="336"/>
      <c r="D204" s="336"/>
      <c r="E204" s="336"/>
      <c r="F204" s="336"/>
      <c r="G204" s="336"/>
      <c r="H204" s="336"/>
      <c r="M204" s="352"/>
      <c r="N204" s="353"/>
      <c r="O204" s="353"/>
      <c r="T204" s="377"/>
      <c r="U204" s="352"/>
      <c r="V204" s="352"/>
      <c r="W204" s="352"/>
      <c r="X204" s="375"/>
      <c r="Y204" s="375"/>
      <c r="Z204" s="336"/>
      <c r="AA204" s="353"/>
      <c r="AB204" s="336"/>
      <c r="AC204" s="336"/>
      <c r="AD204" s="336"/>
      <c r="AE204" s="336"/>
      <c r="AF204" s="336"/>
      <c r="AG204" s="336"/>
      <c r="AH204" s="336"/>
      <c r="AI204" s="336"/>
      <c r="AJ204" s="336"/>
      <c r="AK204" s="336"/>
      <c r="AL204" s="336"/>
      <c r="AM204" s="336"/>
      <c r="AN204" s="336"/>
      <c r="AO204" s="336"/>
      <c r="AP204" s="336"/>
      <c r="AQ204" s="336"/>
      <c r="AR204" s="336"/>
      <c r="AS204" s="336"/>
      <c r="AT204" s="336"/>
      <c r="AU204" s="336"/>
      <c r="AV204" s="336"/>
      <c r="AW204" s="336"/>
      <c r="AX204" s="336"/>
      <c r="AY204" s="336"/>
      <c r="AZ204" s="336"/>
      <c r="BA204" s="336"/>
      <c r="BB204" s="336"/>
      <c r="BC204" s="336"/>
      <c r="BD204" s="336"/>
      <c r="BE204" s="336"/>
      <c r="BF204" s="336"/>
    </row>
    <row r="205" spans="1:58" s="351" customFormat="1" x14ac:dyDescent="0.25">
      <c r="A205" s="336"/>
      <c r="B205" s="336"/>
      <c r="C205" s="336"/>
      <c r="D205" s="336"/>
      <c r="E205" s="336"/>
      <c r="F205" s="336"/>
      <c r="G205" s="336"/>
      <c r="H205" s="336"/>
      <c r="M205" s="352"/>
      <c r="N205" s="353"/>
      <c r="O205" s="353"/>
      <c r="T205" s="377"/>
      <c r="U205" s="352"/>
      <c r="V205" s="352"/>
      <c r="W205" s="352"/>
      <c r="X205" s="375"/>
      <c r="Y205" s="375"/>
      <c r="Z205" s="336"/>
      <c r="AA205" s="353"/>
      <c r="AB205" s="336"/>
      <c r="AC205" s="336"/>
      <c r="AD205" s="336"/>
      <c r="AE205" s="336"/>
      <c r="AF205" s="336"/>
      <c r="AG205" s="336"/>
      <c r="AH205" s="336"/>
      <c r="AI205" s="336"/>
      <c r="AJ205" s="336"/>
      <c r="AK205" s="336"/>
      <c r="AL205" s="336"/>
      <c r="AM205" s="336"/>
      <c r="AN205" s="336"/>
      <c r="AO205" s="336"/>
      <c r="AP205" s="336"/>
      <c r="AQ205" s="336"/>
      <c r="AR205" s="336"/>
      <c r="AS205" s="336"/>
      <c r="AT205" s="336"/>
      <c r="AU205" s="336"/>
      <c r="AV205" s="336"/>
      <c r="AW205" s="336"/>
      <c r="AX205" s="336"/>
      <c r="AY205" s="336"/>
      <c r="AZ205" s="336"/>
      <c r="BA205" s="336"/>
      <c r="BB205" s="336"/>
      <c r="BC205" s="336"/>
      <c r="BD205" s="336"/>
      <c r="BE205" s="336"/>
      <c r="BF205" s="336"/>
    </row>
    <row r="206" spans="1:58" s="351" customFormat="1" x14ac:dyDescent="0.25">
      <c r="A206" s="336"/>
      <c r="B206" s="336"/>
      <c r="C206" s="336"/>
      <c r="D206" s="336"/>
      <c r="E206" s="336"/>
      <c r="F206" s="336"/>
      <c r="G206" s="336"/>
      <c r="H206" s="336"/>
      <c r="M206" s="352"/>
      <c r="N206" s="353"/>
      <c r="O206" s="353"/>
      <c r="T206" s="377"/>
      <c r="U206" s="352"/>
      <c r="V206" s="352"/>
      <c r="W206" s="352"/>
      <c r="X206" s="375"/>
      <c r="Y206" s="375"/>
      <c r="Z206" s="336"/>
      <c r="AA206" s="353"/>
      <c r="AB206" s="336"/>
      <c r="AC206" s="336"/>
      <c r="AD206" s="336"/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336"/>
      <c r="AS206" s="336"/>
      <c r="AT206" s="336"/>
      <c r="AU206" s="336"/>
      <c r="AV206" s="336"/>
      <c r="AW206" s="336"/>
      <c r="AX206" s="336"/>
      <c r="AY206" s="336"/>
      <c r="AZ206" s="336"/>
      <c r="BA206" s="336"/>
      <c r="BB206" s="336"/>
      <c r="BC206" s="336"/>
      <c r="BD206" s="336"/>
      <c r="BE206" s="336"/>
      <c r="BF206" s="336"/>
    </row>
    <row r="207" spans="1:58" s="351" customFormat="1" x14ac:dyDescent="0.25">
      <c r="A207" s="336"/>
      <c r="B207" s="336"/>
      <c r="C207" s="336"/>
      <c r="D207" s="336"/>
      <c r="E207" s="336"/>
      <c r="F207" s="336"/>
      <c r="G207" s="336"/>
      <c r="H207" s="336"/>
      <c r="M207" s="352"/>
      <c r="N207" s="353"/>
      <c r="O207" s="353"/>
      <c r="T207" s="377"/>
      <c r="U207" s="352"/>
      <c r="V207" s="352"/>
      <c r="W207" s="352"/>
      <c r="X207" s="375"/>
      <c r="Y207" s="375"/>
      <c r="Z207" s="336"/>
      <c r="AA207" s="353"/>
      <c r="AB207" s="336"/>
      <c r="AC207" s="336"/>
      <c r="AD207" s="336"/>
      <c r="AE207" s="336"/>
      <c r="AF207" s="336"/>
      <c r="AG207" s="336"/>
      <c r="AH207" s="336"/>
      <c r="AI207" s="336"/>
      <c r="AJ207" s="336"/>
      <c r="AK207" s="336"/>
      <c r="AL207" s="336"/>
      <c r="AM207" s="336"/>
      <c r="AN207" s="336"/>
      <c r="AO207" s="336"/>
      <c r="AP207" s="336"/>
      <c r="AQ207" s="336"/>
      <c r="AR207" s="336"/>
      <c r="AS207" s="336"/>
      <c r="AT207" s="336"/>
      <c r="AU207" s="336"/>
      <c r="AV207" s="336"/>
      <c r="AW207" s="336"/>
      <c r="AX207" s="336"/>
      <c r="AY207" s="336"/>
      <c r="AZ207" s="336"/>
      <c r="BA207" s="336"/>
      <c r="BB207" s="336"/>
      <c r="BC207" s="336"/>
      <c r="BD207" s="336"/>
      <c r="BE207" s="336"/>
      <c r="BF207" s="336"/>
    </row>
    <row r="208" spans="1:58" s="351" customFormat="1" x14ac:dyDescent="0.25">
      <c r="A208" s="336"/>
      <c r="B208" s="336"/>
      <c r="C208" s="336"/>
      <c r="D208" s="336"/>
      <c r="E208" s="336"/>
      <c r="F208" s="336"/>
      <c r="G208" s="336"/>
      <c r="H208" s="336"/>
      <c r="M208" s="352"/>
      <c r="N208" s="353"/>
      <c r="O208" s="353"/>
      <c r="T208" s="377"/>
      <c r="U208" s="352"/>
      <c r="V208" s="352"/>
      <c r="W208" s="352"/>
      <c r="X208" s="375"/>
      <c r="Y208" s="375"/>
      <c r="Z208" s="336"/>
      <c r="AA208" s="353"/>
      <c r="AB208" s="336"/>
      <c r="AC208" s="336"/>
      <c r="AD208" s="336"/>
      <c r="AE208" s="336"/>
      <c r="AF208" s="336"/>
      <c r="AG208" s="336"/>
      <c r="AH208" s="336"/>
      <c r="AI208" s="336"/>
      <c r="AJ208" s="336"/>
      <c r="AK208" s="336"/>
      <c r="AL208" s="336"/>
      <c r="AM208" s="336"/>
      <c r="AN208" s="336"/>
      <c r="AO208" s="336"/>
      <c r="AP208" s="336"/>
      <c r="AQ208" s="336"/>
      <c r="AR208" s="336"/>
      <c r="AS208" s="336"/>
      <c r="AT208" s="336"/>
      <c r="AU208" s="336"/>
      <c r="AV208" s="336"/>
      <c r="AW208" s="336"/>
      <c r="AX208" s="336"/>
      <c r="AY208" s="336"/>
      <c r="AZ208" s="336"/>
      <c r="BA208" s="336"/>
      <c r="BB208" s="336"/>
      <c r="BC208" s="336"/>
      <c r="BD208" s="336"/>
      <c r="BE208" s="336"/>
      <c r="BF208" s="336"/>
    </row>
    <row r="209" spans="1:58" s="351" customFormat="1" x14ac:dyDescent="0.25">
      <c r="A209" s="336"/>
      <c r="B209" s="336"/>
      <c r="C209" s="336"/>
      <c r="D209" s="336"/>
      <c r="E209" s="336"/>
      <c r="F209" s="336"/>
      <c r="G209" s="336"/>
      <c r="H209" s="336"/>
      <c r="M209" s="352"/>
      <c r="N209" s="353"/>
      <c r="O209" s="353"/>
      <c r="T209" s="377"/>
      <c r="U209" s="352"/>
      <c r="V209" s="352"/>
      <c r="W209" s="352"/>
      <c r="X209" s="375"/>
      <c r="Y209" s="375"/>
      <c r="Z209" s="336"/>
      <c r="AA209" s="353"/>
      <c r="AB209" s="336"/>
      <c r="AC209" s="336"/>
      <c r="AD209" s="336"/>
      <c r="AE209" s="336"/>
      <c r="AF209" s="336"/>
      <c r="AG209" s="336"/>
      <c r="AH209" s="336"/>
      <c r="AI209" s="336"/>
      <c r="AJ209" s="336"/>
      <c r="AK209" s="336"/>
      <c r="AL209" s="336"/>
      <c r="AM209" s="336"/>
      <c r="AN209" s="336"/>
      <c r="AO209" s="336"/>
      <c r="AP209" s="336"/>
      <c r="AQ209" s="336"/>
      <c r="AR209" s="336"/>
      <c r="AS209" s="336"/>
      <c r="AT209" s="336"/>
      <c r="AU209" s="336"/>
      <c r="AV209" s="336"/>
      <c r="AW209" s="336"/>
      <c r="AX209" s="336"/>
      <c r="AY209" s="336"/>
      <c r="AZ209" s="336"/>
      <c r="BA209" s="336"/>
      <c r="BB209" s="336"/>
      <c r="BC209" s="336"/>
      <c r="BD209" s="336"/>
      <c r="BE209" s="336"/>
      <c r="BF209" s="336"/>
    </row>
    <row r="210" spans="1:58" s="351" customFormat="1" x14ac:dyDescent="0.25">
      <c r="A210" s="336"/>
      <c r="B210" s="336"/>
      <c r="C210" s="336"/>
      <c r="D210" s="336"/>
      <c r="E210" s="336"/>
      <c r="F210" s="336"/>
      <c r="G210" s="336"/>
      <c r="H210" s="336"/>
      <c r="M210" s="352"/>
      <c r="N210" s="353"/>
      <c r="O210" s="353"/>
      <c r="T210" s="377"/>
      <c r="U210" s="352"/>
      <c r="V210" s="352"/>
      <c r="W210" s="352"/>
      <c r="X210" s="375"/>
      <c r="Y210" s="375"/>
      <c r="Z210" s="336"/>
      <c r="AA210" s="353"/>
      <c r="AB210" s="336"/>
      <c r="AC210" s="336"/>
      <c r="AD210" s="336"/>
      <c r="AE210" s="336"/>
      <c r="AF210" s="336"/>
      <c r="AG210" s="336"/>
      <c r="AH210" s="336"/>
      <c r="AI210" s="336"/>
      <c r="AJ210" s="336"/>
      <c r="AK210" s="336"/>
      <c r="AL210" s="336"/>
      <c r="AM210" s="336"/>
      <c r="AN210" s="336"/>
      <c r="AO210" s="336"/>
      <c r="AP210" s="336"/>
      <c r="AQ210" s="336"/>
      <c r="AR210" s="336"/>
      <c r="AS210" s="336"/>
      <c r="AT210" s="336"/>
      <c r="AU210" s="336"/>
      <c r="AV210" s="336"/>
      <c r="AW210" s="336"/>
      <c r="AX210" s="336"/>
      <c r="AY210" s="336"/>
      <c r="AZ210" s="336"/>
      <c r="BA210" s="336"/>
      <c r="BB210" s="336"/>
      <c r="BC210" s="336"/>
      <c r="BD210" s="336"/>
      <c r="BE210" s="336"/>
      <c r="BF210" s="336"/>
    </row>
    <row r="211" spans="1:58" s="351" customFormat="1" x14ac:dyDescent="0.25">
      <c r="A211" s="336"/>
      <c r="B211" s="336"/>
      <c r="C211" s="336"/>
      <c r="D211" s="336"/>
      <c r="E211" s="336"/>
      <c r="F211" s="336"/>
      <c r="G211" s="336"/>
      <c r="H211" s="336"/>
      <c r="M211" s="352"/>
      <c r="N211" s="353"/>
      <c r="O211" s="353"/>
      <c r="T211" s="377"/>
      <c r="U211" s="352"/>
      <c r="V211" s="352"/>
      <c r="W211" s="352"/>
      <c r="X211" s="375"/>
      <c r="Y211" s="375"/>
      <c r="Z211" s="336"/>
      <c r="AA211" s="353"/>
      <c r="AB211" s="336"/>
      <c r="AC211" s="336"/>
      <c r="AD211" s="336"/>
      <c r="AE211" s="336"/>
      <c r="AF211" s="336"/>
      <c r="AG211" s="336"/>
      <c r="AH211" s="336"/>
      <c r="AI211" s="336"/>
      <c r="AJ211" s="336"/>
      <c r="AK211" s="336"/>
      <c r="AL211" s="336"/>
      <c r="AM211" s="336"/>
      <c r="AN211" s="336"/>
      <c r="AO211" s="336"/>
      <c r="AP211" s="336"/>
      <c r="AQ211" s="336"/>
      <c r="AR211" s="336"/>
      <c r="AS211" s="336"/>
      <c r="AT211" s="336"/>
      <c r="AU211" s="336"/>
      <c r="AV211" s="336"/>
      <c r="AW211" s="336"/>
      <c r="AX211" s="336"/>
      <c r="AY211" s="336"/>
      <c r="AZ211" s="336"/>
      <c r="BA211" s="336"/>
      <c r="BB211" s="336"/>
      <c r="BC211" s="336"/>
      <c r="BD211" s="336"/>
      <c r="BE211" s="336"/>
      <c r="BF211" s="336"/>
    </row>
    <row r="212" spans="1:58" s="351" customFormat="1" x14ac:dyDescent="0.25">
      <c r="A212" s="336"/>
      <c r="B212" s="336"/>
      <c r="C212" s="336"/>
      <c r="D212" s="336"/>
      <c r="E212" s="336"/>
      <c r="F212" s="336"/>
      <c r="G212" s="336"/>
      <c r="H212" s="336"/>
      <c r="M212" s="352"/>
      <c r="N212" s="353"/>
      <c r="O212" s="353"/>
      <c r="T212" s="377"/>
      <c r="U212" s="352"/>
      <c r="V212" s="352"/>
      <c r="W212" s="352"/>
      <c r="X212" s="375"/>
      <c r="Y212" s="375"/>
      <c r="Z212" s="336"/>
      <c r="AA212" s="353"/>
      <c r="AB212" s="336"/>
      <c r="AC212" s="336"/>
      <c r="AD212" s="336"/>
      <c r="AE212" s="336"/>
      <c r="AF212" s="336"/>
      <c r="AG212" s="336"/>
      <c r="AH212" s="336"/>
      <c r="AI212" s="336"/>
      <c r="AJ212" s="336"/>
      <c r="AK212" s="336"/>
      <c r="AL212" s="336"/>
      <c r="AM212" s="336"/>
      <c r="AN212" s="336"/>
      <c r="AO212" s="336"/>
      <c r="AP212" s="336"/>
      <c r="AQ212" s="336"/>
      <c r="AR212" s="336"/>
      <c r="AS212" s="336"/>
      <c r="AT212" s="336"/>
      <c r="AU212" s="336"/>
      <c r="AV212" s="336"/>
      <c r="AW212" s="336"/>
      <c r="AX212" s="336"/>
      <c r="AY212" s="336"/>
      <c r="AZ212" s="336"/>
      <c r="BA212" s="336"/>
      <c r="BB212" s="336"/>
      <c r="BC212" s="336"/>
      <c r="BD212" s="336"/>
      <c r="BE212" s="336"/>
      <c r="BF212" s="336"/>
    </row>
    <row r="213" spans="1:58" s="351" customFormat="1" x14ac:dyDescent="0.25">
      <c r="A213" s="336"/>
      <c r="B213" s="336"/>
      <c r="C213" s="336"/>
      <c r="D213" s="336"/>
      <c r="E213" s="336"/>
      <c r="F213" s="336"/>
      <c r="G213" s="336"/>
      <c r="H213" s="336"/>
      <c r="M213" s="352"/>
      <c r="N213" s="353"/>
      <c r="O213" s="353"/>
      <c r="T213" s="377"/>
      <c r="U213" s="352"/>
      <c r="V213" s="352"/>
      <c r="W213" s="352"/>
      <c r="X213" s="375"/>
      <c r="Y213" s="375"/>
      <c r="Z213" s="336"/>
      <c r="AA213" s="353"/>
      <c r="AB213" s="336"/>
      <c r="AC213" s="336"/>
      <c r="AD213" s="336"/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336"/>
      <c r="AQ213" s="336"/>
      <c r="AR213" s="336"/>
      <c r="AS213" s="336"/>
      <c r="AT213" s="336"/>
      <c r="AU213" s="336"/>
      <c r="AV213" s="336"/>
      <c r="AW213" s="336"/>
      <c r="AX213" s="336"/>
      <c r="AY213" s="336"/>
      <c r="AZ213" s="336"/>
      <c r="BA213" s="336"/>
      <c r="BB213" s="336"/>
      <c r="BC213" s="336"/>
      <c r="BD213" s="336"/>
      <c r="BE213" s="336"/>
      <c r="BF213" s="336"/>
    </row>
    <row r="214" spans="1:58" s="351" customFormat="1" x14ac:dyDescent="0.25">
      <c r="A214" s="336"/>
      <c r="B214" s="336"/>
      <c r="C214" s="336"/>
      <c r="D214" s="336"/>
      <c r="E214" s="336"/>
      <c r="F214" s="336"/>
      <c r="G214" s="336"/>
      <c r="H214" s="336"/>
      <c r="M214" s="352"/>
      <c r="N214" s="353"/>
      <c r="O214" s="353"/>
      <c r="T214" s="377"/>
      <c r="U214" s="352"/>
      <c r="V214" s="352"/>
      <c r="W214" s="352"/>
      <c r="X214" s="375"/>
      <c r="Y214" s="375"/>
      <c r="Z214" s="336"/>
      <c r="AA214" s="353"/>
      <c r="AB214" s="336"/>
      <c r="AC214" s="336"/>
      <c r="AD214" s="336"/>
      <c r="AE214" s="336"/>
      <c r="AF214" s="336"/>
      <c r="AG214" s="336"/>
      <c r="AH214" s="336"/>
      <c r="AI214" s="336"/>
      <c r="AJ214" s="336"/>
      <c r="AK214" s="336"/>
      <c r="AL214" s="336"/>
      <c r="AM214" s="336"/>
      <c r="AN214" s="336"/>
      <c r="AO214" s="336"/>
      <c r="AP214" s="336"/>
      <c r="AQ214" s="336"/>
      <c r="AR214" s="336"/>
      <c r="AS214" s="336"/>
      <c r="AT214" s="336"/>
      <c r="AU214" s="336"/>
      <c r="AV214" s="336"/>
      <c r="AW214" s="336"/>
      <c r="AX214" s="336"/>
      <c r="AY214" s="336"/>
      <c r="AZ214" s="336"/>
      <c r="BA214" s="336"/>
      <c r="BB214" s="336"/>
      <c r="BC214" s="336"/>
      <c r="BD214" s="336"/>
      <c r="BE214" s="336"/>
      <c r="BF214" s="336"/>
    </row>
    <row r="215" spans="1:58" s="351" customFormat="1" x14ac:dyDescent="0.25">
      <c r="A215" s="336"/>
      <c r="B215" s="336"/>
      <c r="C215" s="336"/>
      <c r="D215" s="336"/>
      <c r="E215" s="336"/>
      <c r="F215" s="336"/>
      <c r="G215" s="336"/>
      <c r="H215" s="336"/>
      <c r="M215" s="352"/>
      <c r="N215" s="353"/>
      <c r="O215" s="353"/>
      <c r="T215" s="377"/>
      <c r="U215" s="352"/>
      <c r="V215" s="352"/>
      <c r="W215" s="352"/>
      <c r="X215" s="375"/>
      <c r="Y215" s="375"/>
      <c r="Z215" s="336"/>
      <c r="AA215" s="353"/>
      <c r="AB215" s="336"/>
      <c r="AC215" s="336"/>
      <c r="AD215" s="336"/>
      <c r="AE215" s="336"/>
      <c r="AF215" s="336"/>
      <c r="AG215" s="336"/>
      <c r="AH215" s="336"/>
      <c r="AI215" s="336"/>
      <c r="AJ215" s="336"/>
      <c r="AK215" s="336"/>
      <c r="AL215" s="336"/>
      <c r="AM215" s="336"/>
      <c r="AN215" s="336"/>
      <c r="AO215" s="336"/>
      <c r="AP215" s="336"/>
      <c r="AQ215" s="336"/>
      <c r="AR215" s="336"/>
      <c r="AS215" s="336"/>
      <c r="AT215" s="336"/>
      <c r="AU215" s="336"/>
      <c r="AV215" s="336"/>
      <c r="AW215" s="336"/>
      <c r="AX215" s="336"/>
      <c r="AY215" s="336"/>
      <c r="AZ215" s="336"/>
      <c r="BA215" s="336"/>
      <c r="BB215" s="336"/>
      <c r="BC215" s="336"/>
      <c r="BD215" s="336"/>
      <c r="BE215" s="336"/>
      <c r="BF215" s="336"/>
    </row>
    <row r="216" spans="1:58" s="351" customFormat="1" x14ac:dyDescent="0.25">
      <c r="A216" s="336"/>
      <c r="B216" s="336"/>
      <c r="C216" s="336"/>
      <c r="D216" s="336"/>
      <c r="E216" s="336"/>
      <c r="F216" s="336"/>
      <c r="G216" s="336"/>
      <c r="H216" s="336"/>
      <c r="M216" s="352"/>
      <c r="N216" s="353"/>
      <c r="O216" s="353"/>
      <c r="T216" s="377"/>
      <c r="U216" s="352"/>
      <c r="V216" s="352"/>
      <c r="W216" s="352"/>
      <c r="X216" s="375"/>
      <c r="Y216" s="375"/>
      <c r="Z216" s="336"/>
      <c r="AA216" s="353"/>
      <c r="AB216" s="336"/>
      <c r="AC216" s="336"/>
      <c r="AD216" s="336"/>
      <c r="AE216" s="336"/>
      <c r="AF216" s="336"/>
      <c r="AG216" s="336"/>
      <c r="AH216" s="336"/>
      <c r="AI216" s="336"/>
      <c r="AJ216" s="336"/>
      <c r="AK216" s="336"/>
      <c r="AL216" s="336"/>
      <c r="AM216" s="336"/>
      <c r="AN216" s="336"/>
      <c r="AO216" s="336"/>
      <c r="AP216" s="336"/>
      <c r="AQ216" s="336"/>
      <c r="AR216" s="336"/>
      <c r="AS216" s="336"/>
      <c r="AT216" s="336"/>
      <c r="AU216" s="336"/>
      <c r="AV216" s="336"/>
      <c r="AW216" s="336"/>
      <c r="AX216" s="336"/>
      <c r="AY216" s="336"/>
      <c r="AZ216" s="336"/>
      <c r="BA216" s="336"/>
      <c r="BB216" s="336"/>
      <c r="BC216" s="336"/>
      <c r="BD216" s="336"/>
      <c r="BE216" s="336"/>
      <c r="BF216" s="336"/>
    </row>
    <row r="217" spans="1:58" s="351" customFormat="1" x14ac:dyDescent="0.25">
      <c r="A217" s="336"/>
      <c r="B217" s="336"/>
      <c r="C217" s="336"/>
      <c r="D217" s="336"/>
      <c r="E217" s="336"/>
      <c r="F217" s="336"/>
      <c r="G217" s="336"/>
      <c r="H217" s="336"/>
      <c r="M217" s="352"/>
      <c r="N217" s="353"/>
      <c r="O217" s="353"/>
      <c r="T217" s="377"/>
      <c r="U217" s="352"/>
      <c r="V217" s="352"/>
      <c r="W217" s="352"/>
      <c r="X217" s="375"/>
      <c r="Y217" s="375"/>
      <c r="Z217" s="336"/>
      <c r="AA217" s="353"/>
      <c r="AB217" s="336"/>
      <c r="AC217" s="336"/>
      <c r="AD217" s="336"/>
      <c r="AE217" s="336"/>
      <c r="AF217" s="336"/>
      <c r="AG217" s="336"/>
      <c r="AH217" s="336"/>
      <c r="AI217" s="336"/>
      <c r="AJ217" s="336"/>
      <c r="AK217" s="336"/>
      <c r="AL217" s="336"/>
      <c r="AM217" s="336"/>
      <c r="AN217" s="336"/>
      <c r="AO217" s="336"/>
      <c r="AP217" s="336"/>
      <c r="AQ217" s="336"/>
      <c r="AR217" s="336"/>
      <c r="AS217" s="336"/>
      <c r="AT217" s="336"/>
      <c r="AU217" s="336"/>
      <c r="AV217" s="336"/>
      <c r="AW217" s="336"/>
      <c r="AX217" s="336"/>
      <c r="AY217" s="336"/>
      <c r="AZ217" s="336"/>
      <c r="BA217" s="336"/>
      <c r="BB217" s="336"/>
      <c r="BC217" s="336"/>
      <c r="BD217" s="336"/>
      <c r="BE217" s="336"/>
      <c r="BF217" s="336"/>
    </row>
    <row r="218" spans="1:58" s="351" customFormat="1" x14ac:dyDescent="0.25">
      <c r="A218" s="336"/>
      <c r="B218" s="336"/>
      <c r="C218" s="336"/>
      <c r="D218" s="336"/>
      <c r="E218" s="336"/>
      <c r="F218" s="336"/>
      <c r="G218" s="336"/>
      <c r="H218" s="336"/>
      <c r="M218" s="352"/>
      <c r="N218" s="353"/>
      <c r="O218" s="353"/>
      <c r="T218" s="377"/>
      <c r="U218" s="352"/>
      <c r="V218" s="352"/>
      <c r="W218" s="352"/>
      <c r="X218" s="375"/>
      <c r="Y218" s="375"/>
      <c r="Z218" s="336"/>
      <c r="AA218" s="353"/>
      <c r="AB218" s="336"/>
      <c r="AC218" s="336"/>
      <c r="AD218" s="336"/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336"/>
      <c r="AS218" s="336"/>
      <c r="AT218" s="336"/>
      <c r="AU218" s="336"/>
      <c r="AV218" s="336"/>
      <c r="AW218" s="336"/>
      <c r="AX218" s="336"/>
      <c r="AY218" s="336"/>
      <c r="AZ218" s="336"/>
      <c r="BA218" s="336"/>
      <c r="BB218" s="336"/>
      <c r="BC218" s="336"/>
      <c r="BD218" s="336"/>
      <c r="BE218" s="336"/>
      <c r="BF218" s="336"/>
    </row>
    <row r="219" spans="1:58" s="351" customFormat="1" x14ac:dyDescent="0.25">
      <c r="A219" s="336"/>
      <c r="B219" s="336"/>
      <c r="C219" s="336"/>
      <c r="D219" s="336"/>
      <c r="E219" s="336"/>
      <c r="F219" s="336"/>
      <c r="G219" s="336"/>
      <c r="H219" s="336"/>
      <c r="M219" s="352"/>
      <c r="N219" s="353"/>
      <c r="O219" s="353"/>
      <c r="T219" s="377"/>
      <c r="U219" s="352"/>
      <c r="V219" s="352"/>
      <c r="W219" s="352"/>
      <c r="X219" s="375"/>
      <c r="Y219" s="375"/>
      <c r="Z219" s="336"/>
      <c r="AA219" s="353"/>
      <c r="AB219" s="336"/>
      <c r="AC219" s="336"/>
      <c r="AD219" s="336"/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336"/>
      <c r="AS219" s="336"/>
      <c r="AT219" s="336"/>
      <c r="AU219" s="336"/>
      <c r="AV219" s="336"/>
      <c r="AW219" s="336"/>
      <c r="AX219" s="336"/>
      <c r="AY219" s="336"/>
      <c r="AZ219" s="336"/>
      <c r="BA219" s="336"/>
      <c r="BB219" s="336"/>
      <c r="BC219" s="336"/>
      <c r="BD219" s="336"/>
      <c r="BE219" s="336"/>
      <c r="BF219" s="336"/>
    </row>
    <row r="220" spans="1:58" s="351" customFormat="1" x14ac:dyDescent="0.25">
      <c r="A220" s="336"/>
      <c r="B220" s="336"/>
      <c r="C220" s="336"/>
      <c r="D220" s="336"/>
      <c r="E220" s="336"/>
      <c r="F220" s="336"/>
      <c r="G220" s="336"/>
      <c r="H220" s="336"/>
      <c r="M220" s="352"/>
      <c r="N220" s="353"/>
      <c r="O220" s="353"/>
      <c r="T220" s="377"/>
      <c r="U220" s="352"/>
      <c r="V220" s="352"/>
      <c r="W220" s="352"/>
      <c r="X220" s="375"/>
      <c r="Y220" s="375"/>
      <c r="Z220" s="336"/>
      <c r="AA220" s="353"/>
      <c r="AB220" s="336"/>
      <c r="AC220" s="336"/>
      <c r="AD220" s="336"/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336"/>
      <c r="AS220" s="336"/>
      <c r="AT220" s="336"/>
      <c r="AU220" s="336"/>
      <c r="AV220" s="336"/>
      <c r="AW220" s="336"/>
      <c r="AX220" s="336"/>
      <c r="AY220" s="336"/>
      <c r="AZ220" s="336"/>
      <c r="BA220" s="336"/>
      <c r="BB220" s="336"/>
      <c r="BC220" s="336"/>
      <c r="BD220" s="336"/>
      <c r="BE220" s="336"/>
      <c r="BF220" s="336"/>
    </row>
    <row r="221" spans="1:58" s="351" customFormat="1" x14ac:dyDescent="0.25">
      <c r="A221" s="336"/>
      <c r="B221" s="336"/>
      <c r="C221" s="336"/>
      <c r="D221" s="336"/>
      <c r="E221" s="336"/>
      <c r="F221" s="336"/>
      <c r="G221" s="336"/>
      <c r="H221" s="336"/>
      <c r="M221" s="352"/>
      <c r="N221" s="353"/>
      <c r="O221" s="353"/>
      <c r="T221" s="377"/>
      <c r="U221" s="352"/>
      <c r="V221" s="352"/>
      <c r="W221" s="352"/>
      <c r="X221" s="375"/>
      <c r="Y221" s="375"/>
      <c r="Z221" s="336"/>
      <c r="AA221" s="353"/>
      <c r="AB221" s="336"/>
      <c r="AC221" s="336"/>
      <c r="AD221" s="336"/>
      <c r="AE221" s="336"/>
      <c r="AF221" s="336"/>
      <c r="AG221" s="336"/>
      <c r="AH221" s="336"/>
      <c r="AI221" s="336"/>
      <c r="AJ221" s="336"/>
      <c r="AK221" s="336"/>
      <c r="AL221" s="336"/>
      <c r="AM221" s="336"/>
      <c r="AN221" s="336"/>
      <c r="AO221" s="336"/>
      <c r="AP221" s="336"/>
      <c r="AQ221" s="336"/>
      <c r="AR221" s="336"/>
      <c r="AS221" s="336"/>
      <c r="AT221" s="336"/>
      <c r="AU221" s="336"/>
      <c r="AV221" s="336"/>
      <c r="AW221" s="336"/>
      <c r="AX221" s="336"/>
      <c r="AY221" s="336"/>
      <c r="AZ221" s="336"/>
      <c r="BA221" s="336"/>
      <c r="BB221" s="336"/>
      <c r="BC221" s="336"/>
      <c r="BD221" s="336"/>
      <c r="BE221" s="336"/>
      <c r="BF221" s="336"/>
    </row>
    <row r="222" spans="1:58" s="351" customFormat="1" x14ac:dyDescent="0.25">
      <c r="A222" s="336"/>
      <c r="B222" s="336"/>
      <c r="C222" s="336"/>
      <c r="D222" s="336"/>
      <c r="E222" s="336"/>
      <c r="F222" s="336"/>
      <c r="G222" s="336"/>
      <c r="H222" s="336"/>
      <c r="M222" s="352"/>
      <c r="N222" s="353"/>
      <c r="O222" s="353"/>
      <c r="T222" s="377"/>
      <c r="U222" s="352"/>
      <c r="V222" s="352"/>
      <c r="W222" s="352"/>
      <c r="X222" s="375"/>
      <c r="Y222" s="375"/>
      <c r="Z222" s="336"/>
      <c r="AA222" s="353"/>
      <c r="AB222" s="336"/>
      <c r="AC222" s="336"/>
      <c r="AD222" s="336"/>
      <c r="AE222" s="336"/>
      <c r="AF222" s="336"/>
      <c r="AG222" s="336"/>
      <c r="AH222" s="336"/>
      <c r="AI222" s="336"/>
      <c r="AJ222" s="336"/>
      <c r="AK222" s="336"/>
      <c r="AL222" s="336"/>
      <c r="AM222" s="336"/>
      <c r="AN222" s="336"/>
      <c r="AO222" s="336"/>
      <c r="AP222" s="336"/>
      <c r="AQ222" s="336"/>
      <c r="AR222" s="336"/>
      <c r="AS222" s="336"/>
      <c r="AT222" s="336"/>
      <c r="AU222" s="336"/>
      <c r="AV222" s="336"/>
      <c r="AW222" s="336"/>
      <c r="AX222" s="336"/>
      <c r="AY222" s="336"/>
      <c r="AZ222" s="336"/>
      <c r="BA222" s="336"/>
      <c r="BB222" s="336"/>
      <c r="BC222" s="336"/>
      <c r="BD222" s="336"/>
      <c r="BE222" s="336"/>
      <c r="BF222" s="336"/>
    </row>
    <row r="223" spans="1:58" s="351" customFormat="1" x14ac:dyDescent="0.25">
      <c r="A223" s="336"/>
      <c r="B223" s="336"/>
      <c r="C223" s="336"/>
      <c r="D223" s="336"/>
      <c r="E223" s="336"/>
      <c r="F223" s="336"/>
      <c r="G223" s="336"/>
      <c r="H223" s="336"/>
      <c r="M223" s="352"/>
      <c r="N223" s="353"/>
      <c r="O223" s="353"/>
      <c r="T223" s="377"/>
      <c r="U223" s="352"/>
      <c r="V223" s="352"/>
      <c r="W223" s="352"/>
      <c r="X223" s="375"/>
      <c r="Y223" s="375"/>
      <c r="Z223" s="336"/>
      <c r="AA223" s="353"/>
      <c r="AB223" s="336"/>
      <c r="AC223" s="336"/>
      <c r="AD223" s="336"/>
      <c r="AE223" s="336"/>
      <c r="AF223" s="336"/>
      <c r="AG223" s="336"/>
      <c r="AH223" s="336"/>
      <c r="AI223" s="336"/>
      <c r="AJ223" s="336"/>
      <c r="AK223" s="336"/>
      <c r="AL223" s="336"/>
      <c r="AM223" s="336"/>
      <c r="AN223" s="336"/>
      <c r="AO223" s="336"/>
      <c r="AP223" s="336"/>
      <c r="AQ223" s="336"/>
      <c r="AR223" s="336"/>
      <c r="AS223" s="336"/>
      <c r="AT223" s="336"/>
      <c r="AU223" s="336"/>
      <c r="AV223" s="336"/>
      <c r="AW223" s="336"/>
      <c r="AX223" s="336"/>
      <c r="AY223" s="336"/>
      <c r="AZ223" s="336"/>
      <c r="BA223" s="336"/>
      <c r="BB223" s="336"/>
      <c r="BC223" s="336"/>
      <c r="BD223" s="336"/>
      <c r="BE223" s="336"/>
      <c r="BF223" s="336"/>
    </row>
    <row r="224" spans="1:58" s="351" customFormat="1" x14ac:dyDescent="0.25">
      <c r="A224" s="336"/>
      <c r="B224" s="336"/>
      <c r="C224" s="336"/>
      <c r="D224" s="336"/>
      <c r="E224" s="336"/>
      <c r="F224" s="336"/>
      <c r="G224" s="336"/>
      <c r="H224" s="336"/>
      <c r="M224" s="352"/>
      <c r="N224" s="353"/>
      <c r="O224" s="353"/>
      <c r="T224" s="377"/>
      <c r="U224" s="352"/>
      <c r="V224" s="352"/>
      <c r="W224" s="352"/>
      <c r="X224" s="375"/>
      <c r="Y224" s="375"/>
      <c r="Z224" s="336"/>
      <c r="AA224" s="353"/>
      <c r="AB224" s="336"/>
      <c r="AC224" s="336"/>
      <c r="AD224" s="336"/>
      <c r="AE224" s="336"/>
      <c r="AF224" s="336"/>
      <c r="AG224" s="336"/>
      <c r="AH224" s="336"/>
      <c r="AI224" s="336"/>
      <c r="AJ224" s="336"/>
      <c r="AK224" s="336"/>
      <c r="AL224" s="336"/>
      <c r="AM224" s="336"/>
      <c r="AN224" s="336"/>
      <c r="AO224" s="336"/>
      <c r="AP224" s="336"/>
      <c r="AQ224" s="336"/>
      <c r="AR224" s="336"/>
      <c r="AS224" s="336"/>
      <c r="AT224" s="336"/>
      <c r="AU224" s="336"/>
      <c r="AV224" s="336"/>
      <c r="AW224" s="336"/>
      <c r="AX224" s="336"/>
      <c r="AY224" s="336"/>
      <c r="AZ224" s="336"/>
      <c r="BA224" s="336"/>
      <c r="BB224" s="336"/>
      <c r="BC224" s="336"/>
      <c r="BD224" s="336"/>
      <c r="BE224" s="336"/>
      <c r="BF224" s="336"/>
    </row>
    <row r="225" spans="1:58" s="351" customFormat="1" x14ac:dyDescent="0.25">
      <c r="A225" s="336"/>
      <c r="B225" s="336"/>
      <c r="C225" s="336"/>
      <c r="D225" s="336"/>
      <c r="E225" s="336"/>
      <c r="F225" s="336"/>
      <c r="G225" s="336"/>
      <c r="H225" s="336"/>
      <c r="M225" s="352"/>
      <c r="N225" s="353"/>
      <c r="O225" s="353"/>
      <c r="T225" s="377"/>
      <c r="U225" s="352"/>
      <c r="V225" s="352"/>
      <c r="W225" s="352"/>
      <c r="X225" s="375"/>
      <c r="Y225" s="375"/>
      <c r="Z225" s="336"/>
      <c r="AA225" s="353"/>
      <c r="AB225" s="336"/>
      <c r="AC225" s="336"/>
      <c r="AD225" s="336"/>
      <c r="AE225" s="336"/>
      <c r="AF225" s="336"/>
      <c r="AG225" s="336"/>
      <c r="AH225" s="336"/>
      <c r="AI225" s="336"/>
      <c r="AJ225" s="336"/>
      <c r="AK225" s="336"/>
      <c r="AL225" s="336"/>
      <c r="AM225" s="336"/>
      <c r="AN225" s="336"/>
      <c r="AO225" s="336"/>
      <c r="AP225" s="336"/>
      <c r="AQ225" s="336"/>
      <c r="AR225" s="336"/>
      <c r="AS225" s="336"/>
      <c r="AT225" s="336"/>
      <c r="AU225" s="336"/>
      <c r="AV225" s="336"/>
      <c r="AW225" s="336"/>
      <c r="AX225" s="336"/>
      <c r="AY225" s="336"/>
      <c r="AZ225" s="336"/>
      <c r="BA225" s="336"/>
      <c r="BB225" s="336"/>
      <c r="BC225" s="336"/>
      <c r="BD225" s="336"/>
      <c r="BE225" s="336"/>
      <c r="BF225" s="336"/>
    </row>
    <row r="226" spans="1:58" s="351" customFormat="1" x14ac:dyDescent="0.25">
      <c r="A226" s="336"/>
      <c r="B226" s="336"/>
      <c r="C226" s="336"/>
      <c r="D226" s="336"/>
      <c r="E226" s="336"/>
      <c r="F226" s="336"/>
      <c r="G226" s="336"/>
      <c r="H226" s="336"/>
      <c r="M226" s="352"/>
      <c r="N226" s="353"/>
      <c r="O226" s="353"/>
      <c r="T226" s="377"/>
      <c r="U226" s="352"/>
      <c r="V226" s="352"/>
      <c r="W226" s="352"/>
      <c r="X226" s="375"/>
      <c r="Y226" s="375"/>
      <c r="Z226" s="336"/>
      <c r="AA226" s="353"/>
      <c r="AB226" s="336"/>
      <c r="AC226" s="336"/>
      <c r="AD226" s="336"/>
      <c r="AE226" s="336"/>
      <c r="AF226" s="336"/>
      <c r="AG226" s="336"/>
      <c r="AH226" s="336"/>
      <c r="AI226" s="336"/>
      <c r="AJ226" s="336"/>
      <c r="AK226" s="336"/>
      <c r="AL226" s="336"/>
      <c r="AM226" s="336"/>
      <c r="AN226" s="336"/>
      <c r="AO226" s="336"/>
      <c r="AP226" s="336"/>
      <c r="AQ226" s="336"/>
      <c r="AR226" s="336"/>
      <c r="AS226" s="336"/>
      <c r="AT226" s="336"/>
      <c r="AU226" s="336"/>
      <c r="AV226" s="336"/>
      <c r="AW226" s="336"/>
      <c r="AX226" s="336"/>
      <c r="AY226" s="336"/>
      <c r="AZ226" s="336"/>
      <c r="BA226" s="336"/>
      <c r="BB226" s="336"/>
      <c r="BC226" s="336"/>
      <c r="BD226" s="336"/>
      <c r="BE226" s="336"/>
      <c r="BF226" s="336"/>
    </row>
    <row r="227" spans="1:58" s="351" customFormat="1" x14ac:dyDescent="0.25">
      <c r="A227" s="336"/>
      <c r="B227" s="336"/>
      <c r="C227" s="336"/>
      <c r="D227" s="336"/>
      <c r="E227" s="336"/>
      <c r="F227" s="336"/>
      <c r="G227" s="336"/>
      <c r="H227" s="336"/>
      <c r="M227" s="352"/>
      <c r="N227" s="353"/>
      <c r="O227" s="353"/>
      <c r="T227" s="377"/>
      <c r="U227" s="352"/>
      <c r="V227" s="352"/>
      <c r="W227" s="352"/>
      <c r="X227" s="375"/>
      <c r="Y227" s="375"/>
      <c r="Z227" s="336"/>
      <c r="AA227" s="353"/>
      <c r="AB227" s="336"/>
      <c r="AC227" s="336"/>
      <c r="AD227" s="336"/>
      <c r="AE227" s="336"/>
      <c r="AF227" s="336"/>
      <c r="AG227" s="336"/>
      <c r="AH227" s="336"/>
      <c r="AI227" s="336"/>
      <c r="AJ227" s="336"/>
      <c r="AK227" s="336"/>
      <c r="AL227" s="336"/>
      <c r="AM227" s="336"/>
      <c r="AN227" s="336"/>
      <c r="AO227" s="336"/>
      <c r="AP227" s="336"/>
      <c r="AQ227" s="336"/>
      <c r="AR227" s="336"/>
      <c r="AS227" s="336"/>
      <c r="AT227" s="336"/>
      <c r="AU227" s="336"/>
      <c r="AV227" s="336"/>
      <c r="AW227" s="336"/>
      <c r="AX227" s="336"/>
      <c r="AY227" s="336"/>
      <c r="AZ227" s="336"/>
      <c r="BA227" s="336"/>
      <c r="BB227" s="336"/>
      <c r="BC227" s="336"/>
      <c r="BD227" s="336"/>
      <c r="BE227" s="336"/>
      <c r="BF227" s="336"/>
    </row>
    <row r="228" spans="1:58" s="351" customFormat="1" x14ac:dyDescent="0.25">
      <c r="A228" s="336"/>
      <c r="B228" s="336"/>
      <c r="C228" s="336"/>
      <c r="D228" s="336"/>
      <c r="E228" s="336"/>
      <c r="F228" s="336"/>
      <c r="G228" s="336"/>
      <c r="H228" s="336"/>
      <c r="M228" s="352"/>
      <c r="N228" s="353"/>
      <c r="O228" s="353"/>
      <c r="T228" s="377"/>
      <c r="U228" s="352"/>
      <c r="V228" s="352"/>
      <c r="W228" s="352"/>
      <c r="X228" s="375"/>
      <c r="Y228" s="375"/>
      <c r="Z228" s="336"/>
      <c r="AA228" s="353"/>
      <c r="AB228" s="336"/>
      <c r="AC228" s="336"/>
      <c r="AD228" s="336"/>
      <c r="AE228" s="336"/>
      <c r="AF228" s="336"/>
      <c r="AG228" s="336"/>
      <c r="AH228" s="336"/>
      <c r="AI228" s="336"/>
      <c r="AJ228" s="336"/>
      <c r="AK228" s="336"/>
      <c r="AL228" s="336"/>
      <c r="AM228" s="336"/>
      <c r="AN228" s="336"/>
      <c r="AO228" s="336"/>
      <c r="AP228" s="336"/>
      <c r="AQ228" s="336"/>
      <c r="AR228" s="336"/>
      <c r="AS228" s="336"/>
      <c r="AT228" s="336"/>
      <c r="AU228" s="336"/>
      <c r="AV228" s="336"/>
      <c r="AW228" s="336"/>
      <c r="AX228" s="336"/>
      <c r="AY228" s="336"/>
      <c r="AZ228" s="336"/>
      <c r="BA228" s="336"/>
      <c r="BB228" s="336"/>
      <c r="BC228" s="336"/>
      <c r="BD228" s="336"/>
      <c r="BE228" s="336"/>
      <c r="BF228" s="336"/>
    </row>
    <row r="229" spans="1:58" s="351" customFormat="1" x14ac:dyDescent="0.25">
      <c r="A229" s="336"/>
      <c r="B229" s="336"/>
      <c r="C229" s="336"/>
      <c r="D229" s="336"/>
      <c r="E229" s="336"/>
      <c r="F229" s="336"/>
      <c r="G229" s="336"/>
      <c r="H229" s="336"/>
      <c r="M229" s="352"/>
      <c r="N229" s="353"/>
      <c r="O229" s="353"/>
      <c r="T229" s="377"/>
      <c r="U229" s="352"/>
      <c r="V229" s="352"/>
      <c r="W229" s="352"/>
      <c r="X229" s="375"/>
      <c r="Y229" s="375"/>
      <c r="Z229" s="336"/>
      <c r="AA229" s="353"/>
      <c r="AB229" s="336"/>
      <c r="AC229" s="336"/>
      <c r="AD229" s="336"/>
      <c r="AE229" s="336"/>
      <c r="AF229" s="336"/>
      <c r="AG229" s="336"/>
      <c r="AH229" s="336"/>
      <c r="AI229" s="336"/>
      <c r="AJ229" s="336"/>
      <c r="AK229" s="336"/>
      <c r="AL229" s="336"/>
      <c r="AM229" s="336"/>
      <c r="AN229" s="336"/>
      <c r="AO229" s="336"/>
      <c r="AP229" s="336"/>
      <c r="AQ229" s="336"/>
      <c r="AR229" s="336"/>
      <c r="AS229" s="336"/>
      <c r="AT229" s="336"/>
      <c r="AU229" s="336"/>
      <c r="AV229" s="336"/>
      <c r="AW229" s="336"/>
      <c r="AX229" s="336"/>
      <c r="AY229" s="336"/>
      <c r="AZ229" s="336"/>
      <c r="BA229" s="336"/>
      <c r="BB229" s="336"/>
      <c r="BC229" s="336"/>
      <c r="BD229" s="336"/>
      <c r="BE229" s="336"/>
      <c r="BF229" s="336"/>
    </row>
    <row r="230" spans="1:58" s="351" customFormat="1" x14ac:dyDescent="0.25">
      <c r="A230" s="336"/>
      <c r="B230" s="336"/>
      <c r="C230" s="336"/>
      <c r="D230" s="336"/>
      <c r="E230" s="336"/>
      <c r="F230" s="336"/>
      <c r="G230" s="336"/>
      <c r="H230" s="336"/>
      <c r="M230" s="352"/>
      <c r="N230" s="353"/>
      <c r="O230" s="353"/>
      <c r="T230" s="377"/>
      <c r="U230" s="352"/>
      <c r="V230" s="352"/>
      <c r="W230" s="352"/>
      <c r="X230" s="375"/>
      <c r="Y230" s="375"/>
      <c r="Z230" s="336"/>
      <c r="AA230" s="353"/>
      <c r="AB230" s="336"/>
      <c r="AC230" s="336"/>
      <c r="AD230" s="336"/>
      <c r="AE230" s="336"/>
      <c r="AF230" s="336"/>
      <c r="AG230" s="336"/>
      <c r="AH230" s="336"/>
      <c r="AI230" s="336"/>
      <c r="AJ230" s="336"/>
      <c r="AK230" s="336"/>
      <c r="AL230" s="336"/>
      <c r="AM230" s="336"/>
      <c r="AN230" s="336"/>
      <c r="AO230" s="336"/>
      <c r="AP230" s="336"/>
      <c r="AQ230" s="336"/>
      <c r="AR230" s="336"/>
      <c r="AS230" s="336"/>
      <c r="AT230" s="336"/>
      <c r="AU230" s="336"/>
      <c r="AV230" s="336"/>
      <c r="AW230" s="336"/>
      <c r="AX230" s="336"/>
      <c r="AY230" s="336"/>
      <c r="AZ230" s="336"/>
      <c r="BA230" s="336"/>
      <c r="BB230" s="336"/>
      <c r="BC230" s="336"/>
      <c r="BD230" s="336"/>
      <c r="BE230" s="336"/>
      <c r="BF230" s="336"/>
    </row>
    <row r="231" spans="1:58" s="351" customFormat="1" x14ac:dyDescent="0.25">
      <c r="A231" s="336"/>
      <c r="B231" s="336"/>
      <c r="C231" s="336"/>
      <c r="D231" s="336"/>
      <c r="E231" s="336"/>
      <c r="F231" s="336"/>
      <c r="G231" s="336"/>
      <c r="H231" s="336"/>
      <c r="M231" s="352"/>
      <c r="N231" s="353"/>
      <c r="O231" s="353"/>
      <c r="T231" s="377"/>
      <c r="U231" s="352"/>
      <c r="V231" s="352"/>
      <c r="W231" s="352"/>
      <c r="X231" s="375"/>
      <c r="Y231" s="375"/>
      <c r="Z231" s="336"/>
      <c r="AA231" s="353"/>
      <c r="AB231" s="336"/>
      <c r="AC231" s="336"/>
      <c r="AD231" s="336"/>
      <c r="AE231" s="336"/>
      <c r="AF231" s="336"/>
      <c r="AG231" s="336"/>
      <c r="AH231" s="336"/>
      <c r="AI231" s="336"/>
      <c r="AJ231" s="336"/>
      <c r="AK231" s="336"/>
      <c r="AL231" s="336"/>
      <c r="AM231" s="336"/>
      <c r="AN231" s="336"/>
      <c r="AO231" s="336"/>
      <c r="AP231" s="336"/>
      <c r="AQ231" s="336"/>
      <c r="AR231" s="336"/>
      <c r="AS231" s="336"/>
      <c r="AT231" s="336"/>
      <c r="AU231" s="336"/>
      <c r="AV231" s="336"/>
      <c r="AW231" s="336"/>
      <c r="AX231" s="336"/>
      <c r="AY231" s="336"/>
      <c r="AZ231" s="336"/>
      <c r="BA231" s="336"/>
      <c r="BB231" s="336"/>
      <c r="BC231" s="336"/>
      <c r="BD231" s="336"/>
      <c r="BE231" s="336"/>
      <c r="BF231" s="336"/>
    </row>
    <row r="232" spans="1:58" s="351" customFormat="1" x14ac:dyDescent="0.25">
      <c r="A232" s="336"/>
      <c r="B232" s="336"/>
      <c r="C232" s="336"/>
      <c r="D232" s="336"/>
      <c r="E232" s="336"/>
      <c r="F232" s="336"/>
      <c r="G232" s="336"/>
      <c r="H232" s="336"/>
      <c r="M232" s="352"/>
      <c r="N232" s="353"/>
      <c r="O232" s="353"/>
      <c r="T232" s="377"/>
      <c r="U232" s="352"/>
      <c r="V232" s="352"/>
      <c r="W232" s="352"/>
      <c r="X232" s="375"/>
      <c r="Y232" s="375"/>
      <c r="Z232" s="336"/>
      <c r="AA232" s="353"/>
      <c r="AB232" s="336"/>
      <c r="AC232" s="336"/>
      <c r="AD232" s="336"/>
      <c r="AE232" s="336"/>
      <c r="AF232" s="336"/>
      <c r="AG232" s="336"/>
      <c r="AH232" s="336"/>
      <c r="AI232" s="336"/>
      <c r="AJ232" s="336"/>
      <c r="AK232" s="336"/>
      <c r="AL232" s="336"/>
      <c r="AM232" s="336"/>
      <c r="AN232" s="336"/>
      <c r="AO232" s="336"/>
      <c r="AP232" s="336"/>
      <c r="AQ232" s="336"/>
      <c r="AR232" s="336"/>
      <c r="AS232" s="336"/>
      <c r="AT232" s="336"/>
      <c r="AU232" s="336"/>
      <c r="AV232" s="336"/>
      <c r="AW232" s="336"/>
      <c r="AX232" s="336"/>
      <c r="AY232" s="336"/>
      <c r="AZ232" s="336"/>
      <c r="BA232" s="336"/>
      <c r="BB232" s="336"/>
      <c r="BC232" s="336"/>
      <c r="BD232" s="336"/>
      <c r="BE232" s="336"/>
      <c r="BF232" s="336"/>
    </row>
    <row r="233" spans="1:58" s="351" customFormat="1" x14ac:dyDescent="0.25">
      <c r="A233" s="336"/>
      <c r="B233" s="336"/>
      <c r="C233" s="336"/>
      <c r="D233" s="336"/>
      <c r="E233" s="336"/>
      <c r="F233" s="336"/>
      <c r="G233" s="336"/>
      <c r="H233" s="336"/>
      <c r="M233" s="352"/>
      <c r="N233" s="353"/>
      <c r="O233" s="353"/>
      <c r="T233" s="377"/>
      <c r="U233" s="352"/>
      <c r="V233" s="352"/>
      <c r="W233" s="352"/>
      <c r="X233" s="375"/>
      <c r="Y233" s="375"/>
      <c r="Z233" s="336"/>
      <c r="AA233" s="353"/>
      <c r="AB233" s="336"/>
      <c r="AC233" s="336"/>
      <c r="AD233" s="336"/>
      <c r="AE233" s="336"/>
      <c r="AF233" s="336"/>
      <c r="AG233" s="336"/>
      <c r="AH233" s="336"/>
      <c r="AI233" s="336"/>
      <c r="AJ233" s="336"/>
      <c r="AK233" s="336"/>
      <c r="AL233" s="336"/>
      <c r="AM233" s="336"/>
      <c r="AN233" s="336"/>
      <c r="AO233" s="336"/>
      <c r="AP233" s="336"/>
      <c r="AQ233" s="336"/>
      <c r="AR233" s="336"/>
      <c r="AS233" s="336"/>
      <c r="AT233" s="336"/>
      <c r="AU233" s="336"/>
      <c r="AV233" s="336"/>
      <c r="AW233" s="336"/>
      <c r="AX233" s="336"/>
      <c r="AY233" s="336"/>
      <c r="AZ233" s="336"/>
      <c r="BA233" s="336"/>
      <c r="BB233" s="336"/>
      <c r="BC233" s="336"/>
      <c r="BD233" s="336"/>
      <c r="BE233" s="336"/>
      <c r="BF233" s="336"/>
    </row>
    <row r="234" spans="1:58" s="351" customFormat="1" x14ac:dyDescent="0.25">
      <c r="A234" s="336"/>
      <c r="B234" s="336"/>
      <c r="C234" s="336"/>
      <c r="D234" s="336"/>
      <c r="E234" s="336"/>
      <c r="F234" s="336"/>
      <c r="G234" s="336"/>
      <c r="H234" s="336"/>
      <c r="M234" s="352"/>
      <c r="N234" s="353"/>
      <c r="O234" s="353"/>
      <c r="T234" s="377"/>
      <c r="U234" s="352"/>
      <c r="V234" s="352"/>
      <c r="W234" s="352"/>
      <c r="X234" s="375"/>
      <c r="Y234" s="375"/>
      <c r="Z234" s="336"/>
      <c r="AA234" s="353"/>
      <c r="AB234" s="336"/>
      <c r="AC234" s="336"/>
      <c r="AD234" s="336"/>
      <c r="AE234" s="336"/>
      <c r="AF234" s="336"/>
      <c r="AG234" s="336"/>
      <c r="AH234" s="336"/>
      <c r="AI234" s="336"/>
      <c r="AJ234" s="336"/>
      <c r="AK234" s="336"/>
      <c r="AL234" s="336"/>
      <c r="AM234" s="336"/>
      <c r="AN234" s="336"/>
      <c r="AO234" s="336"/>
      <c r="AP234" s="336"/>
      <c r="AQ234" s="336"/>
      <c r="AR234" s="336"/>
      <c r="AS234" s="336"/>
      <c r="AT234" s="336"/>
      <c r="AU234" s="336"/>
      <c r="AV234" s="336"/>
      <c r="AW234" s="336"/>
      <c r="AX234" s="336"/>
      <c r="AY234" s="336"/>
      <c r="AZ234" s="336"/>
      <c r="BA234" s="336"/>
      <c r="BB234" s="336"/>
      <c r="BC234" s="336"/>
      <c r="BD234" s="336"/>
      <c r="BE234" s="336"/>
      <c r="BF234" s="336"/>
    </row>
    <row r="235" spans="1:58" s="351" customFormat="1" x14ac:dyDescent="0.25">
      <c r="A235" s="336"/>
      <c r="B235" s="336"/>
      <c r="C235" s="336"/>
      <c r="D235" s="336"/>
      <c r="E235" s="336"/>
      <c r="F235" s="336"/>
      <c r="G235" s="336"/>
      <c r="H235" s="336"/>
      <c r="M235" s="352"/>
      <c r="N235" s="353"/>
      <c r="O235" s="353"/>
      <c r="T235" s="377"/>
      <c r="U235" s="352"/>
      <c r="V235" s="352"/>
      <c r="W235" s="352"/>
      <c r="X235" s="375"/>
      <c r="Y235" s="375"/>
      <c r="Z235" s="336"/>
      <c r="AA235" s="353"/>
      <c r="AB235" s="336"/>
      <c r="AC235" s="336"/>
      <c r="AD235" s="336"/>
      <c r="AE235" s="336"/>
      <c r="AF235" s="336"/>
      <c r="AG235" s="336"/>
      <c r="AH235" s="336"/>
      <c r="AI235" s="336"/>
      <c r="AJ235" s="336"/>
      <c r="AK235" s="336"/>
      <c r="AL235" s="336"/>
      <c r="AM235" s="336"/>
      <c r="AN235" s="336"/>
      <c r="AO235" s="336"/>
      <c r="AP235" s="336"/>
      <c r="AQ235" s="336"/>
      <c r="AR235" s="336"/>
      <c r="AS235" s="336"/>
      <c r="AT235" s="336"/>
      <c r="AU235" s="336"/>
      <c r="AV235" s="336"/>
      <c r="AW235" s="336"/>
      <c r="AX235" s="336"/>
      <c r="AY235" s="336"/>
      <c r="AZ235" s="336"/>
      <c r="BA235" s="336"/>
      <c r="BB235" s="336"/>
      <c r="BC235" s="336"/>
      <c r="BD235" s="336"/>
      <c r="BE235" s="336"/>
      <c r="BF235" s="336"/>
    </row>
    <row r="236" spans="1:58" s="351" customFormat="1" x14ac:dyDescent="0.25">
      <c r="A236" s="336"/>
      <c r="B236" s="336"/>
      <c r="C236" s="336"/>
      <c r="D236" s="336"/>
      <c r="E236" s="336"/>
      <c r="F236" s="336"/>
      <c r="G236" s="336"/>
      <c r="H236" s="336"/>
      <c r="M236" s="352"/>
      <c r="N236" s="353"/>
      <c r="O236" s="353"/>
      <c r="T236" s="377"/>
      <c r="U236" s="352"/>
      <c r="V236" s="352"/>
      <c r="W236" s="352"/>
      <c r="X236" s="375"/>
      <c r="Y236" s="375"/>
      <c r="Z236" s="336"/>
      <c r="AA236" s="353"/>
      <c r="AB236" s="336"/>
      <c r="AC236" s="336"/>
      <c r="AD236" s="336"/>
      <c r="AE236" s="336"/>
      <c r="AF236" s="336"/>
      <c r="AG236" s="336"/>
      <c r="AH236" s="336"/>
      <c r="AI236" s="336"/>
      <c r="AJ236" s="336"/>
      <c r="AK236" s="336"/>
      <c r="AL236" s="336"/>
      <c r="AM236" s="336"/>
      <c r="AN236" s="336"/>
      <c r="AO236" s="336"/>
      <c r="AP236" s="336"/>
      <c r="AQ236" s="336"/>
      <c r="AR236" s="336"/>
      <c r="AS236" s="336"/>
      <c r="AT236" s="336"/>
      <c r="AU236" s="336"/>
      <c r="AV236" s="336"/>
      <c r="AW236" s="336"/>
      <c r="AX236" s="336"/>
      <c r="AY236" s="336"/>
      <c r="AZ236" s="336"/>
      <c r="BA236" s="336"/>
      <c r="BB236" s="336"/>
      <c r="BC236" s="336"/>
      <c r="BD236" s="336"/>
      <c r="BE236" s="336"/>
      <c r="BF236" s="336"/>
    </row>
    <row r="237" spans="1:58" s="351" customFormat="1" x14ac:dyDescent="0.25">
      <c r="A237" s="336"/>
      <c r="B237" s="336"/>
      <c r="C237" s="336"/>
      <c r="D237" s="336"/>
      <c r="E237" s="336"/>
      <c r="F237" s="336"/>
      <c r="G237" s="336"/>
      <c r="H237" s="336"/>
      <c r="M237" s="352"/>
      <c r="N237" s="353"/>
      <c r="O237" s="353"/>
      <c r="T237" s="377"/>
      <c r="U237" s="352"/>
      <c r="V237" s="352"/>
      <c r="W237" s="352"/>
      <c r="X237" s="375"/>
      <c r="Y237" s="375"/>
      <c r="Z237" s="336"/>
      <c r="AA237" s="353"/>
      <c r="AB237" s="336"/>
      <c r="AC237" s="336"/>
      <c r="AD237" s="336"/>
      <c r="AE237" s="336"/>
      <c r="AF237" s="336"/>
      <c r="AG237" s="336"/>
      <c r="AH237" s="336"/>
      <c r="AI237" s="336"/>
      <c r="AJ237" s="336"/>
      <c r="AK237" s="336"/>
      <c r="AL237" s="336"/>
      <c r="AM237" s="336"/>
      <c r="AN237" s="336"/>
      <c r="AO237" s="336"/>
      <c r="AP237" s="336"/>
      <c r="AQ237" s="336"/>
      <c r="AR237" s="336"/>
      <c r="AS237" s="336"/>
      <c r="AT237" s="336"/>
      <c r="AU237" s="336"/>
      <c r="AV237" s="336"/>
      <c r="AW237" s="336"/>
      <c r="AX237" s="336"/>
      <c r="AY237" s="336"/>
      <c r="AZ237" s="336"/>
      <c r="BA237" s="336"/>
      <c r="BB237" s="336"/>
      <c r="BC237" s="336"/>
      <c r="BD237" s="336"/>
      <c r="BE237" s="336"/>
      <c r="BF237" s="336"/>
    </row>
    <row r="238" spans="1:58" s="351" customFormat="1" x14ac:dyDescent="0.25">
      <c r="A238" s="336"/>
      <c r="B238" s="336"/>
      <c r="C238" s="336"/>
      <c r="D238" s="336"/>
      <c r="E238" s="336"/>
      <c r="F238" s="336"/>
      <c r="G238" s="336"/>
      <c r="H238" s="336"/>
      <c r="M238" s="352"/>
      <c r="N238" s="353"/>
      <c r="O238" s="353"/>
      <c r="T238" s="377"/>
      <c r="U238" s="352"/>
      <c r="V238" s="352"/>
      <c r="W238" s="352"/>
      <c r="X238" s="375"/>
      <c r="Y238" s="375"/>
      <c r="Z238" s="336"/>
      <c r="AA238" s="353"/>
      <c r="AB238" s="336"/>
      <c r="AC238" s="336"/>
      <c r="AD238" s="336"/>
      <c r="AE238" s="336"/>
      <c r="AF238" s="336"/>
      <c r="AG238" s="336"/>
      <c r="AH238" s="336"/>
      <c r="AI238" s="336"/>
      <c r="AJ238" s="336"/>
      <c r="AK238" s="336"/>
      <c r="AL238" s="336"/>
      <c r="AM238" s="336"/>
      <c r="AN238" s="336"/>
      <c r="AO238" s="336"/>
      <c r="AP238" s="336"/>
      <c r="AQ238" s="336"/>
      <c r="AR238" s="336"/>
      <c r="AS238" s="336"/>
      <c r="AT238" s="336"/>
      <c r="AU238" s="336"/>
      <c r="AV238" s="336"/>
      <c r="AW238" s="336"/>
      <c r="AX238" s="336"/>
      <c r="AY238" s="336"/>
      <c r="AZ238" s="336"/>
      <c r="BA238" s="336"/>
      <c r="BB238" s="336"/>
      <c r="BC238" s="336"/>
      <c r="BD238" s="336"/>
      <c r="BE238" s="336"/>
      <c r="BF238" s="336"/>
    </row>
    <row r="239" spans="1:58" s="351" customFormat="1" x14ac:dyDescent="0.25">
      <c r="A239" s="336"/>
      <c r="B239" s="336"/>
      <c r="C239" s="336"/>
      <c r="D239" s="336"/>
      <c r="E239" s="336"/>
      <c r="F239" s="336"/>
      <c r="G239" s="336"/>
      <c r="H239" s="336"/>
      <c r="M239" s="352"/>
      <c r="N239" s="353"/>
      <c r="O239" s="353"/>
      <c r="T239" s="377"/>
      <c r="U239" s="352"/>
      <c r="V239" s="352"/>
      <c r="W239" s="352"/>
      <c r="X239" s="375"/>
      <c r="Y239" s="375"/>
      <c r="Z239" s="336"/>
      <c r="AA239" s="353"/>
      <c r="AB239" s="336"/>
      <c r="AC239" s="336"/>
      <c r="AD239" s="336"/>
      <c r="AE239" s="336"/>
      <c r="AF239" s="336"/>
      <c r="AG239" s="336"/>
      <c r="AH239" s="336"/>
      <c r="AI239" s="336"/>
      <c r="AJ239" s="336"/>
      <c r="AK239" s="336"/>
      <c r="AL239" s="336"/>
      <c r="AM239" s="336"/>
      <c r="AN239" s="336"/>
      <c r="AO239" s="336"/>
      <c r="AP239" s="336"/>
      <c r="AQ239" s="336"/>
      <c r="AR239" s="336"/>
      <c r="AS239" s="336"/>
      <c r="AT239" s="336"/>
      <c r="AU239" s="336"/>
      <c r="AV239" s="336"/>
      <c r="AW239" s="336"/>
      <c r="AX239" s="336"/>
      <c r="AY239" s="336"/>
      <c r="AZ239" s="336"/>
      <c r="BA239" s="336"/>
      <c r="BB239" s="336"/>
      <c r="BC239" s="336"/>
      <c r="BD239" s="336"/>
      <c r="BE239" s="336"/>
      <c r="BF239" s="336"/>
    </row>
    <row r="240" spans="1:58" s="351" customFormat="1" x14ac:dyDescent="0.25">
      <c r="A240" s="336"/>
      <c r="B240" s="336"/>
      <c r="C240" s="336"/>
      <c r="D240" s="336"/>
      <c r="E240" s="336"/>
      <c r="F240" s="336"/>
      <c r="G240" s="336"/>
      <c r="H240" s="336"/>
      <c r="M240" s="352"/>
      <c r="N240" s="353"/>
      <c r="O240" s="353"/>
      <c r="T240" s="377"/>
      <c r="U240" s="352"/>
      <c r="V240" s="352"/>
      <c r="W240" s="352"/>
      <c r="X240" s="375"/>
      <c r="Y240" s="375"/>
      <c r="Z240" s="336"/>
      <c r="AA240" s="353"/>
      <c r="AB240" s="336"/>
      <c r="AC240" s="336"/>
      <c r="AD240" s="336"/>
      <c r="AE240" s="336"/>
      <c r="AF240" s="336"/>
      <c r="AG240" s="336"/>
      <c r="AH240" s="336"/>
      <c r="AI240" s="336"/>
      <c r="AJ240" s="336"/>
      <c r="AK240" s="336"/>
      <c r="AL240" s="336"/>
      <c r="AM240" s="336"/>
      <c r="AN240" s="336"/>
      <c r="AO240" s="336"/>
      <c r="AP240" s="336"/>
      <c r="AQ240" s="336"/>
      <c r="AR240" s="336"/>
      <c r="AS240" s="336"/>
      <c r="AT240" s="336"/>
      <c r="AU240" s="336"/>
      <c r="AV240" s="336"/>
      <c r="AW240" s="336"/>
      <c r="AX240" s="336"/>
      <c r="AY240" s="336"/>
      <c r="AZ240" s="336"/>
      <c r="BA240" s="336"/>
      <c r="BB240" s="336"/>
      <c r="BC240" s="336"/>
      <c r="BD240" s="336"/>
      <c r="BE240" s="336"/>
      <c r="BF240" s="336"/>
    </row>
    <row r="241" spans="1:58" s="351" customFormat="1" x14ac:dyDescent="0.25">
      <c r="A241" s="336"/>
      <c r="B241" s="336"/>
      <c r="C241" s="336"/>
      <c r="D241" s="336"/>
      <c r="E241" s="336"/>
      <c r="F241" s="336"/>
      <c r="G241" s="336"/>
      <c r="H241" s="336"/>
      <c r="M241" s="352"/>
      <c r="N241" s="353"/>
      <c r="O241" s="353"/>
      <c r="T241" s="377"/>
      <c r="U241" s="352"/>
      <c r="V241" s="352"/>
      <c r="W241" s="352"/>
      <c r="X241" s="375"/>
      <c r="Y241" s="375"/>
      <c r="Z241" s="336"/>
      <c r="AA241" s="353"/>
      <c r="AB241" s="336"/>
      <c r="AC241" s="336"/>
      <c r="AD241" s="336"/>
      <c r="AE241" s="336"/>
      <c r="AF241" s="336"/>
      <c r="AG241" s="336"/>
      <c r="AH241" s="336"/>
      <c r="AI241" s="336"/>
      <c r="AJ241" s="336"/>
      <c r="AK241" s="336"/>
      <c r="AL241" s="336"/>
      <c r="AM241" s="336"/>
      <c r="AN241" s="336"/>
      <c r="AO241" s="336"/>
      <c r="AP241" s="336"/>
      <c r="AQ241" s="336"/>
      <c r="AR241" s="336"/>
      <c r="AS241" s="336"/>
      <c r="AT241" s="336"/>
      <c r="AU241" s="336"/>
      <c r="AV241" s="336"/>
      <c r="AW241" s="336"/>
      <c r="AX241" s="336"/>
      <c r="AY241" s="336"/>
      <c r="AZ241" s="336"/>
      <c r="BA241" s="336"/>
      <c r="BB241" s="336"/>
      <c r="BC241" s="336"/>
      <c r="BD241" s="336"/>
      <c r="BE241" s="336"/>
      <c r="BF241" s="336"/>
    </row>
    <row r="242" spans="1:58" s="351" customFormat="1" x14ac:dyDescent="0.25">
      <c r="A242" s="336"/>
      <c r="B242" s="336"/>
      <c r="C242" s="336"/>
      <c r="D242" s="336"/>
      <c r="E242" s="336"/>
      <c r="F242" s="336"/>
      <c r="G242" s="336"/>
      <c r="H242" s="336"/>
      <c r="M242" s="352"/>
      <c r="N242" s="353"/>
      <c r="O242" s="353"/>
      <c r="T242" s="377"/>
      <c r="U242" s="352"/>
      <c r="V242" s="352"/>
      <c r="W242" s="352"/>
      <c r="X242" s="375"/>
      <c r="Y242" s="375"/>
      <c r="Z242" s="336"/>
      <c r="AA242" s="353"/>
      <c r="AB242" s="336"/>
      <c r="AC242" s="336"/>
      <c r="AD242" s="336"/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336"/>
      <c r="AS242" s="336"/>
      <c r="AT242" s="336"/>
      <c r="AU242" s="336"/>
      <c r="AV242" s="336"/>
      <c r="AW242" s="336"/>
      <c r="AX242" s="336"/>
      <c r="AY242" s="336"/>
      <c r="AZ242" s="336"/>
      <c r="BA242" s="336"/>
      <c r="BB242" s="336"/>
      <c r="BC242" s="336"/>
      <c r="BD242" s="336"/>
      <c r="BE242" s="336"/>
      <c r="BF242" s="336"/>
    </row>
    <row r="243" spans="1:58" s="351" customFormat="1" x14ac:dyDescent="0.25">
      <c r="A243" s="336"/>
      <c r="B243" s="336"/>
      <c r="C243" s="336"/>
      <c r="D243" s="336"/>
      <c r="E243" s="336"/>
      <c r="F243" s="336"/>
      <c r="G243" s="336"/>
      <c r="H243" s="336"/>
      <c r="M243" s="352"/>
      <c r="N243" s="353"/>
      <c r="O243" s="353"/>
      <c r="T243" s="377"/>
      <c r="U243" s="352"/>
      <c r="V243" s="352"/>
      <c r="W243" s="352"/>
      <c r="X243" s="375"/>
      <c r="Y243" s="375"/>
      <c r="Z243" s="336"/>
      <c r="AA243" s="353"/>
      <c r="AB243" s="336"/>
      <c r="AC243" s="336"/>
      <c r="AD243" s="336"/>
      <c r="AE243" s="336"/>
      <c r="AF243" s="336"/>
      <c r="AG243" s="336"/>
      <c r="AH243" s="336"/>
      <c r="AI243" s="336"/>
      <c r="AJ243" s="336"/>
      <c r="AK243" s="336"/>
      <c r="AL243" s="336"/>
      <c r="AM243" s="336"/>
      <c r="AN243" s="336"/>
      <c r="AO243" s="336"/>
      <c r="AP243" s="336"/>
      <c r="AQ243" s="336"/>
      <c r="AR243" s="336"/>
      <c r="AS243" s="336"/>
      <c r="AT243" s="336"/>
      <c r="AU243" s="336"/>
      <c r="AV243" s="336"/>
      <c r="AW243" s="336"/>
      <c r="AX243" s="336"/>
      <c r="AY243" s="336"/>
      <c r="AZ243" s="336"/>
      <c r="BA243" s="336"/>
      <c r="BB243" s="336"/>
      <c r="BC243" s="336"/>
      <c r="BD243" s="336"/>
      <c r="BE243" s="336"/>
      <c r="BF243" s="336"/>
    </row>
    <row r="244" spans="1:58" s="351" customFormat="1" x14ac:dyDescent="0.25">
      <c r="A244" s="336"/>
      <c r="B244" s="336"/>
      <c r="C244" s="336"/>
      <c r="D244" s="336"/>
      <c r="E244" s="336"/>
      <c r="F244" s="336"/>
      <c r="G244" s="336"/>
      <c r="H244" s="336"/>
      <c r="M244" s="352"/>
      <c r="N244" s="353"/>
      <c r="O244" s="353"/>
      <c r="T244" s="377"/>
      <c r="U244" s="352"/>
      <c r="V244" s="352"/>
      <c r="W244" s="352"/>
      <c r="X244" s="375"/>
      <c r="Y244" s="375"/>
      <c r="Z244" s="336"/>
      <c r="AA244" s="353"/>
      <c r="AB244" s="336"/>
      <c r="AC244" s="336"/>
      <c r="AD244" s="336"/>
      <c r="AE244" s="336"/>
      <c r="AF244" s="336"/>
      <c r="AG244" s="336"/>
      <c r="AH244" s="336"/>
      <c r="AI244" s="336"/>
      <c r="AJ244" s="336"/>
      <c r="AK244" s="336"/>
      <c r="AL244" s="336"/>
      <c r="AM244" s="336"/>
      <c r="AN244" s="336"/>
      <c r="AO244" s="336"/>
      <c r="AP244" s="336"/>
      <c r="AQ244" s="336"/>
      <c r="AR244" s="336"/>
      <c r="AS244" s="336"/>
      <c r="AT244" s="336"/>
      <c r="AU244" s="336"/>
      <c r="AV244" s="336"/>
      <c r="AW244" s="336"/>
      <c r="AX244" s="336"/>
      <c r="AY244" s="336"/>
      <c r="AZ244" s="336"/>
      <c r="BA244" s="336"/>
      <c r="BB244" s="336"/>
      <c r="BC244" s="336"/>
      <c r="BD244" s="336"/>
      <c r="BE244" s="336"/>
      <c r="BF244" s="336"/>
    </row>
    <row r="245" spans="1:58" s="351" customFormat="1" x14ac:dyDescent="0.25">
      <c r="A245" s="336"/>
      <c r="B245" s="336"/>
      <c r="C245" s="336"/>
      <c r="D245" s="336"/>
      <c r="E245" s="336"/>
      <c r="F245" s="336"/>
      <c r="G245" s="336"/>
      <c r="H245" s="336"/>
      <c r="M245" s="352"/>
      <c r="N245" s="353"/>
      <c r="O245" s="353"/>
      <c r="T245" s="377"/>
      <c r="U245" s="352"/>
      <c r="V245" s="352"/>
      <c r="W245" s="352"/>
      <c r="X245" s="375"/>
      <c r="Y245" s="375"/>
      <c r="Z245" s="336"/>
      <c r="AA245" s="353"/>
      <c r="AB245" s="336"/>
      <c r="AC245" s="336"/>
      <c r="AD245" s="336"/>
      <c r="AE245" s="336"/>
      <c r="AF245" s="336"/>
      <c r="AG245" s="336"/>
      <c r="AH245" s="336"/>
      <c r="AI245" s="336"/>
      <c r="AJ245" s="336"/>
      <c r="AK245" s="336"/>
      <c r="AL245" s="336"/>
      <c r="AM245" s="336"/>
      <c r="AN245" s="336"/>
      <c r="AO245" s="336"/>
      <c r="AP245" s="336"/>
      <c r="AQ245" s="336"/>
      <c r="AR245" s="336"/>
      <c r="AS245" s="336"/>
      <c r="AT245" s="336"/>
      <c r="AU245" s="336"/>
      <c r="AV245" s="336"/>
      <c r="AW245" s="336"/>
      <c r="AX245" s="336"/>
      <c r="AY245" s="336"/>
      <c r="AZ245" s="336"/>
      <c r="BA245" s="336"/>
      <c r="BB245" s="336"/>
      <c r="BC245" s="336"/>
      <c r="BD245" s="336"/>
      <c r="BE245" s="336"/>
      <c r="BF245" s="336"/>
    </row>
    <row r="246" spans="1:58" s="351" customFormat="1" x14ac:dyDescent="0.25">
      <c r="A246" s="336"/>
      <c r="B246" s="336"/>
      <c r="C246" s="336"/>
      <c r="D246" s="336"/>
      <c r="E246" s="336"/>
      <c r="F246" s="336"/>
      <c r="G246" s="336"/>
      <c r="H246" s="336"/>
      <c r="M246" s="352"/>
      <c r="N246" s="353"/>
      <c r="O246" s="353"/>
      <c r="T246" s="377"/>
      <c r="U246" s="352"/>
      <c r="V246" s="352"/>
      <c r="W246" s="352"/>
      <c r="X246" s="375"/>
      <c r="Y246" s="375"/>
      <c r="Z246" s="336"/>
      <c r="AA246" s="353"/>
      <c r="AB246" s="336"/>
      <c r="AC246" s="336"/>
      <c r="AD246" s="336"/>
      <c r="AE246" s="336"/>
      <c r="AF246" s="336"/>
      <c r="AG246" s="336"/>
      <c r="AH246" s="336"/>
      <c r="AI246" s="336"/>
      <c r="AJ246" s="336"/>
      <c r="AK246" s="336"/>
      <c r="AL246" s="336"/>
      <c r="AM246" s="336"/>
      <c r="AN246" s="336"/>
      <c r="AO246" s="336"/>
      <c r="AP246" s="336"/>
      <c r="AQ246" s="336"/>
      <c r="AR246" s="336"/>
      <c r="AS246" s="336"/>
      <c r="AT246" s="336"/>
      <c r="AU246" s="336"/>
      <c r="AV246" s="336"/>
      <c r="AW246" s="336"/>
      <c r="AX246" s="336"/>
      <c r="AY246" s="336"/>
      <c r="AZ246" s="336"/>
      <c r="BA246" s="336"/>
      <c r="BB246" s="336"/>
      <c r="BC246" s="336"/>
      <c r="BD246" s="336"/>
      <c r="BE246" s="336"/>
      <c r="BF246" s="336"/>
    </row>
    <row r="247" spans="1:58" s="351" customFormat="1" x14ac:dyDescent="0.25">
      <c r="A247" s="336"/>
      <c r="B247" s="336"/>
      <c r="C247" s="336"/>
      <c r="D247" s="336"/>
      <c r="E247" s="336"/>
      <c r="F247" s="336"/>
      <c r="G247" s="336"/>
      <c r="H247" s="336"/>
      <c r="M247" s="352"/>
      <c r="N247" s="353"/>
      <c r="O247" s="353"/>
      <c r="T247" s="377"/>
      <c r="U247" s="352"/>
      <c r="V247" s="352"/>
      <c r="W247" s="352"/>
      <c r="X247" s="375"/>
      <c r="Y247" s="375"/>
      <c r="Z247" s="336"/>
      <c r="AA247" s="353"/>
      <c r="AB247" s="336"/>
      <c r="AC247" s="336"/>
      <c r="AD247" s="336"/>
      <c r="AE247" s="336"/>
      <c r="AF247" s="336"/>
      <c r="AG247" s="336"/>
      <c r="AH247" s="336"/>
      <c r="AI247" s="336"/>
      <c r="AJ247" s="336"/>
      <c r="AK247" s="336"/>
      <c r="AL247" s="336"/>
      <c r="AM247" s="336"/>
      <c r="AN247" s="336"/>
      <c r="AO247" s="336"/>
      <c r="AP247" s="336"/>
      <c r="AQ247" s="336"/>
      <c r="AR247" s="336"/>
      <c r="AS247" s="336"/>
      <c r="AT247" s="336"/>
      <c r="AU247" s="336"/>
      <c r="AV247" s="336"/>
      <c r="AW247" s="336"/>
      <c r="AX247" s="336"/>
      <c r="AY247" s="336"/>
      <c r="AZ247" s="336"/>
      <c r="BA247" s="336"/>
      <c r="BB247" s="336"/>
      <c r="BC247" s="336"/>
      <c r="BD247" s="336"/>
      <c r="BE247" s="336"/>
      <c r="BF247" s="336"/>
    </row>
    <row r="248" spans="1:58" s="351" customFormat="1" x14ac:dyDescent="0.25">
      <c r="A248" s="336"/>
      <c r="B248" s="336"/>
      <c r="C248" s="336"/>
      <c r="D248" s="336"/>
      <c r="E248" s="336"/>
      <c r="F248" s="336"/>
      <c r="G248" s="336"/>
      <c r="H248" s="336"/>
      <c r="M248" s="352"/>
      <c r="N248" s="353"/>
      <c r="O248" s="353"/>
      <c r="T248" s="377"/>
      <c r="U248" s="352"/>
      <c r="V248" s="352"/>
      <c r="W248" s="352"/>
      <c r="X248" s="375"/>
      <c r="Y248" s="375"/>
      <c r="Z248" s="336"/>
      <c r="AA248" s="353"/>
      <c r="AB248" s="336"/>
      <c r="AC248" s="336"/>
      <c r="AD248" s="336"/>
      <c r="AE248" s="336"/>
      <c r="AF248" s="336"/>
      <c r="AG248" s="336"/>
      <c r="AH248" s="336"/>
      <c r="AI248" s="336"/>
      <c r="AJ248" s="336"/>
      <c r="AK248" s="336"/>
      <c r="AL248" s="336"/>
      <c r="AM248" s="336"/>
      <c r="AN248" s="336"/>
      <c r="AO248" s="336"/>
      <c r="AP248" s="336"/>
      <c r="AQ248" s="336"/>
      <c r="AR248" s="336"/>
      <c r="AS248" s="336"/>
      <c r="AT248" s="336"/>
      <c r="AU248" s="336"/>
      <c r="AV248" s="336"/>
      <c r="AW248" s="336"/>
      <c r="AX248" s="336"/>
      <c r="AY248" s="336"/>
      <c r="AZ248" s="336"/>
      <c r="BA248" s="336"/>
      <c r="BB248" s="336"/>
      <c r="BC248" s="336"/>
      <c r="BD248" s="336"/>
      <c r="BE248" s="336"/>
      <c r="BF248" s="336"/>
    </row>
    <row r="249" spans="1:58" s="351" customFormat="1" x14ac:dyDescent="0.25">
      <c r="A249" s="336"/>
      <c r="B249" s="336"/>
      <c r="C249" s="336"/>
      <c r="D249" s="336"/>
      <c r="E249" s="336"/>
      <c r="F249" s="336"/>
      <c r="G249" s="336"/>
      <c r="H249" s="336"/>
      <c r="M249" s="352"/>
      <c r="N249" s="353"/>
      <c r="O249" s="353"/>
      <c r="T249" s="377"/>
      <c r="U249" s="352"/>
      <c r="V249" s="352"/>
      <c r="W249" s="352"/>
      <c r="X249" s="375"/>
      <c r="Y249" s="375"/>
      <c r="Z249" s="336"/>
      <c r="AA249" s="353"/>
      <c r="AB249" s="336"/>
      <c r="AC249" s="336"/>
      <c r="AD249" s="336"/>
      <c r="AE249" s="336"/>
      <c r="AF249" s="336"/>
      <c r="AG249" s="336"/>
      <c r="AH249" s="336"/>
      <c r="AI249" s="336"/>
      <c r="AJ249" s="336"/>
      <c r="AK249" s="336"/>
      <c r="AL249" s="336"/>
      <c r="AM249" s="336"/>
      <c r="AN249" s="336"/>
      <c r="AO249" s="336"/>
      <c r="AP249" s="336"/>
      <c r="AQ249" s="336"/>
      <c r="AR249" s="336"/>
      <c r="AS249" s="336"/>
      <c r="AT249" s="336"/>
      <c r="AU249" s="336"/>
      <c r="AV249" s="336"/>
      <c r="AW249" s="336"/>
      <c r="AX249" s="336"/>
      <c r="AY249" s="336"/>
      <c r="AZ249" s="336"/>
      <c r="BA249" s="336"/>
      <c r="BB249" s="336"/>
      <c r="BC249" s="336"/>
      <c r="BD249" s="336"/>
      <c r="BE249" s="336"/>
      <c r="BF249" s="336"/>
    </row>
    <row r="250" spans="1:58" s="351" customFormat="1" x14ac:dyDescent="0.25">
      <c r="A250" s="336"/>
      <c r="B250" s="336"/>
      <c r="C250" s="336"/>
      <c r="D250" s="336"/>
      <c r="E250" s="336"/>
      <c r="F250" s="336"/>
      <c r="G250" s="336"/>
      <c r="H250" s="336"/>
      <c r="M250" s="352"/>
      <c r="N250" s="353"/>
      <c r="O250" s="353"/>
      <c r="T250" s="377"/>
      <c r="U250" s="352"/>
      <c r="V250" s="352"/>
      <c r="W250" s="352"/>
      <c r="X250" s="375"/>
      <c r="Y250" s="375"/>
      <c r="Z250" s="336"/>
      <c r="AA250" s="353"/>
      <c r="AB250" s="336"/>
      <c r="AC250" s="336"/>
      <c r="AD250" s="336"/>
      <c r="AE250" s="336"/>
      <c r="AF250" s="336"/>
      <c r="AG250" s="336"/>
      <c r="AH250" s="336"/>
      <c r="AI250" s="336"/>
      <c r="AJ250" s="336"/>
      <c r="AK250" s="336"/>
      <c r="AL250" s="336"/>
      <c r="AM250" s="336"/>
      <c r="AN250" s="336"/>
      <c r="AO250" s="336"/>
      <c r="AP250" s="336"/>
      <c r="AQ250" s="336"/>
      <c r="AR250" s="336"/>
      <c r="AS250" s="336"/>
      <c r="AT250" s="336"/>
      <c r="AU250" s="336"/>
      <c r="AV250" s="336"/>
      <c r="AW250" s="336"/>
      <c r="AX250" s="336"/>
      <c r="AY250" s="336"/>
      <c r="AZ250" s="336"/>
      <c r="BA250" s="336"/>
      <c r="BB250" s="336"/>
      <c r="BC250" s="336"/>
      <c r="BD250" s="336"/>
      <c r="BE250" s="336"/>
      <c r="BF250" s="336"/>
    </row>
    <row r="251" spans="1:58" s="351" customFormat="1" x14ac:dyDescent="0.25">
      <c r="A251" s="336"/>
      <c r="B251" s="336"/>
      <c r="C251" s="336"/>
      <c r="D251" s="336"/>
      <c r="E251" s="336"/>
      <c r="F251" s="336"/>
      <c r="G251" s="336"/>
      <c r="H251" s="336"/>
      <c r="M251" s="352"/>
      <c r="N251" s="353"/>
      <c r="O251" s="353"/>
      <c r="T251" s="377"/>
      <c r="U251" s="352"/>
      <c r="V251" s="352"/>
      <c r="W251" s="352"/>
      <c r="X251" s="375"/>
      <c r="Y251" s="375"/>
      <c r="Z251" s="336"/>
      <c r="AA251" s="353"/>
      <c r="AB251" s="336"/>
      <c r="AC251" s="336"/>
      <c r="AD251" s="336"/>
      <c r="AE251" s="336"/>
      <c r="AF251" s="336"/>
      <c r="AG251" s="336"/>
      <c r="AH251" s="336"/>
      <c r="AI251" s="336"/>
      <c r="AJ251" s="336"/>
      <c r="AK251" s="336"/>
      <c r="AL251" s="336"/>
      <c r="AM251" s="336"/>
      <c r="AN251" s="336"/>
      <c r="AO251" s="336"/>
      <c r="AP251" s="336"/>
      <c r="AQ251" s="336"/>
      <c r="AR251" s="336"/>
      <c r="AS251" s="336"/>
      <c r="AT251" s="336"/>
      <c r="AU251" s="336"/>
      <c r="AV251" s="336"/>
      <c r="AW251" s="336"/>
      <c r="AX251" s="336"/>
      <c r="AY251" s="336"/>
      <c r="AZ251" s="336"/>
      <c r="BA251" s="336"/>
      <c r="BB251" s="336"/>
      <c r="BC251" s="336"/>
      <c r="BD251" s="336"/>
      <c r="BE251" s="336"/>
      <c r="BF251" s="336"/>
    </row>
    <row r="252" spans="1:58" s="351" customFormat="1" x14ac:dyDescent="0.25">
      <c r="A252" s="336"/>
      <c r="B252" s="336"/>
      <c r="C252" s="336"/>
      <c r="D252" s="336"/>
      <c r="E252" s="336"/>
      <c r="F252" s="336"/>
      <c r="G252" s="336"/>
      <c r="H252" s="336"/>
      <c r="M252" s="352"/>
      <c r="N252" s="353"/>
      <c r="O252" s="353"/>
      <c r="T252" s="377"/>
      <c r="U252" s="352"/>
      <c r="V252" s="352"/>
      <c r="W252" s="352"/>
      <c r="X252" s="375"/>
      <c r="Y252" s="375"/>
      <c r="Z252" s="336"/>
      <c r="AA252" s="353"/>
      <c r="AB252" s="336"/>
      <c r="AC252" s="336"/>
      <c r="AD252" s="336"/>
      <c r="AE252" s="336"/>
      <c r="AF252" s="336"/>
      <c r="AG252" s="336"/>
      <c r="AH252" s="336"/>
      <c r="AI252" s="336"/>
      <c r="AJ252" s="336"/>
      <c r="AK252" s="336"/>
      <c r="AL252" s="336"/>
      <c r="AM252" s="336"/>
      <c r="AN252" s="336"/>
      <c r="AO252" s="336"/>
      <c r="AP252" s="336"/>
      <c r="AQ252" s="336"/>
      <c r="AR252" s="336"/>
      <c r="AS252" s="336"/>
      <c r="AT252" s="336"/>
      <c r="AU252" s="336"/>
      <c r="AV252" s="336"/>
      <c r="AW252" s="336"/>
      <c r="AX252" s="336"/>
      <c r="AY252" s="336"/>
      <c r="AZ252" s="336"/>
      <c r="BA252" s="336"/>
      <c r="BB252" s="336"/>
      <c r="BC252" s="336"/>
      <c r="BD252" s="336"/>
      <c r="BE252" s="336"/>
      <c r="BF252" s="336"/>
    </row>
    <row r="253" spans="1:58" s="351" customFormat="1" x14ac:dyDescent="0.25">
      <c r="A253" s="336"/>
      <c r="B253" s="336"/>
      <c r="C253" s="336"/>
      <c r="D253" s="336"/>
      <c r="E253" s="336"/>
      <c r="F253" s="336"/>
      <c r="G253" s="336"/>
      <c r="H253" s="336"/>
      <c r="M253" s="352"/>
      <c r="N253" s="353"/>
      <c r="O253" s="353"/>
      <c r="T253" s="377"/>
      <c r="U253" s="352"/>
      <c r="V253" s="352"/>
      <c r="W253" s="352"/>
      <c r="X253" s="375"/>
      <c r="Y253" s="375"/>
      <c r="Z253" s="336"/>
      <c r="AA253" s="353"/>
      <c r="AB253" s="336"/>
      <c r="AC253" s="336"/>
      <c r="AD253" s="336"/>
      <c r="AE253" s="336"/>
      <c r="AF253" s="336"/>
      <c r="AG253" s="336"/>
      <c r="AH253" s="336"/>
      <c r="AI253" s="336"/>
      <c r="AJ253" s="336"/>
      <c r="AK253" s="336"/>
      <c r="AL253" s="336"/>
      <c r="AM253" s="336"/>
      <c r="AN253" s="336"/>
      <c r="AO253" s="336"/>
      <c r="AP253" s="336"/>
      <c r="AQ253" s="336"/>
      <c r="AR253" s="336"/>
      <c r="AS253" s="336"/>
      <c r="AT253" s="336"/>
      <c r="AU253" s="336"/>
      <c r="AV253" s="336"/>
      <c r="AW253" s="336"/>
      <c r="AX253" s="336"/>
      <c r="AY253" s="336"/>
      <c r="AZ253" s="336"/>
      <c r="BA253" s="336"/>
      <c r="BB253" s="336"/>
      <c r="BC253" s="336"/>
      <c r="BD253" s="336"/>
      <c r="BE253" s="336"/>
      <c r="BF253" s="336"/>
    </row>
    <row r="254" spans="1:58" s="351" customFormat="1" x14ac:dyDescent="0.25">
      <c r="A254" s="336"/>
      <c r="B254" s="336"/>
      <c r="C254" s="336"/>
      <c r="D254" s="336"/>
      <c r="E254" s="336"/>
      <c r="F254" s="336"/>
      <c r="G254" s="336"/>
      <c r="H254" s="336"/>
      <c r="M254" s="352"/>
      <c r="N254" s="353"/>
      <c r="O254" s="353"/>
      <c r="T254" s="377"/>
      <c r="U254" s="352"/>
      <c r="V254" s="352"/>
      <c r="W254" s="352"/>
      <c r="X254" s="375"/>
      <c r="Y254" s="375"/>
      <c r="Z254" s="336"/>
      <c r="AA254" s="353"/>
      <c r="AB254" s="336"/>
      <c r="AC254" s="336"/>
      <c r="AD254" s="336"/>
      <c r="AE254" s="336"/>
      <c r="AF254" s="336"/>
      <c r="AG254" s="336"/>
      <c r="AH254" s="336"/>
      <c r="AI254" s="336"/>
      <c r="AJ254" s="336"/>
      <c r="AK254" s="336"/>
      <c r="AL254" s="336"/>
      <c r="AM254" s="336"/>
      <c r="AN254" s="336"/>
      <c r="AO254" s="336"/>
      <c r="AP254" s="336"/>
      <c r="AQ254" s="336"/>
      <c r="AR254" s="336"/>
      <c r="AS254" s="336"/>
      <c r="AT254" s="336"/>
      <c r="AU254" s="336"/>
      <c r="AV254" s="336"/>
      <c r="AW254" s="336"/>
      <c r="AX254" s="336"/>
      <c r="AY254" s="336"/>
      <c r="AZ254" s="336"/>
      <c r="BA254" s="336"/>
      <c r="BB254" s="336"/>
      <c r="BC254" s="336"/>
      <c r="BD254" s="336"/>
      <c r="BE254" s="336"/>
      <c r="BF254" s="336"/>
    </row>
    <row r="255" spans="1:58" s="351" customFormat="1" x14ac:dyDescent="0.25">
      <c r="A255" s="336"/>
      <c r="B255" s="336"/>
      <c r="C255" s="336"/>
      <c r="D255" s="336"/>
      <c r="E255" s="336"/>
      <c r="F255" s="336"/>
      <c r="G255" s="336"/>
      <c r="H255" s="336"/>
      <c r="M255" s="352"/>
      <c r="N255" s="353"/>
      <c r="O255" s="353"/>
      <c r="T255" s="377"/>
      <c r="U255" s="352"/>
      <c r="V255" s="352"/>
      <c r="W255" s="352"/>
      <c r="X255" s="375"/>
      <c r="Y255" s="375"/>
      <c r="Z255" s="336"/>
      <c r="AA255" s="353"/>
      <c r="AB255" s="336"/>
      <c r="AC255" s="336"/>
      <c r="AD255" s="336"/>
      <c r="AE255" s="336"/>
      <c r="AF255" s="336"/>
      <c r="AG255" s="336"/>
      <c r="AH255" s="336"/>
      <c r="AI255" s="336"/>
      <c r="AJ255" s="336"/>
      <c r="AK255" s="336"/>
      <c r="AL255" s="336"/>
      <c r="AM255" s="336"/>
      <c r="AN255" s="336"/>
      <c r="AO255" s="336"/>
      <c r="AP255" s="336"/>
      <c r="AQ255" s="336"/>
      <c r="AR255" s="336"/>
      <c r="AS255" s="336"/>
      <c r="AT255" s="336"/>
      <c r="AU255" s="336"/>
      <c r="AV255" s="336"/>
      <c r="AW255" s="336"/>
      <c r="AX255" s="336"/>
      <c r="AY255" s="336"/>
      <c r="AZ255" s="336"/>
      <c r="BA255" s="336"/>
      <c r="BB255" s="336"/>
      <c r="BC255" s="336"/>
      <c r="BD255" s="336"/>
      <c r="BE255" s="336"/>
      <c r="BF255" s="336"/>
    </row>
    <row r="256" spans="1:58" s="351" customFormat="1" x14ac:dyDescent="0.25">
      <c r="A256" s="336"/>
      <c r="B256" s="336"/>
      <c r="C256" s="336"/>
      <c r="D256" s="336"/>
      <c r="E256" s="336"/>
      <c r="F256" s="336"/>
      <c r="G256" s="336"/>
      <c r="H256" s="336"/>
      <c r="M256" s="352"/>
      <c r="N256" s="353"/>
      <c r="O256" s="353"/>
      <c r="T256" s="377"/>
      <c r="U256" s="352"/>
      <c r="V256" s="352"/>
      <c r="W256" s="352"/>
      <c r="X256" s="375"/>
      <c r="Y256" s="375"/>
      <c r="Z256" s="336"/>
      <c r="AA256" s="353"/>
      <c r="AB256" s="336"/>
      <c r="AC256" s="336"/>
      <c r="AD256" s="336"/>
      <c r="AE256" s="336"/>
      <c r="AF256" s="336"/>
      <c r="AG256" s="336"/>
      <c r="AH256" s="336"/>
      <c r="AI256" s="336"/>
      <c r="AJ256" s="336"/>
      <c r="AK256" s="336"/>
      <c r="AL256" s="336"/>
      <c r="AM256" s="336"/>
      <c r="AN256" s="336"/>
      <c r="AO256" s="336"/>
      <c r="AP256" s="336"/>
      <c r="AQ256" s="336"/>
      <c r="AR256" s="336"/>
      <c r="AS256" s="336"/>
      <c r="AT256" s="336"/>
      <c r="AU256" s="336"/>
      <c r="AV256" s="336"/>
      <c r="AW256" s="336"/>
      <c r="AX256" s="336"/>
      <c r="AY256" s="336"/>
      <c r="AZ256" s="336"/>
      <c r="BA256" s="336"/>
      <c r="BB256" s="336"/>
      <c r="BC256" s="336"/>
      <c r="BD256" s="336"/>
      <c r="BE256" s="336"/>
      <c r="BF256" s="336"/>
    </row>
    <row r="257" spans="1:58" s="351" customFormat="1" x14ac:dyDescent="0.25">
      <c r="A257" s="336"/>
      <c r="B257" s="336"/>
      <c r="C257" s="336"/>
      <c r="D257" s="336"/>
      <c r="E257" s="336"/>
      <c r="F257" s="336"/>
      <c r="G257" s="336"/>
      <c r="H257" s="336"/>
      <c r="M257" s="352"/>
      <c r="N257" s="353"/>
      <c r="O257" s="353"/>
      <c r="T257" s="377"/>
      <c r="U257" s="352"/>
      <c r="V257" s="352"/>
      <c r="W257" s="352"/>
      <c r="X257" s="375"/>
      <c r="Y257" s="375"/>
      <c r="Z257" s="336"/>
      <c r="AA257" s="353"/>
      <c r="AB257" s="336"/>
      <c r="AC257" s="336"/>
      <c r="AD257" s="336"/>
      <c r="AE257" s="336"/>
      <c r="AF257" s="336"/>
      <c r="AG257" s="336"/>
      <c r="AH257" s="336"/>
      <c r="AI257" s="336"/>
      <c r="AJ257" s="336"/>
      <c r="AK257" s="336"/>
      <c r="AL257" s="336"/>
      <c r="AM257" s="336"/>
      <c r="AN257" s="336"/>
      <c r="AO257" s="336"/>
      <c r="AP257" s="336"/>
      <c r="AQ257" s="336"/>
      <c r="AR257" s="336"/>
      <c r="AS257" s="336"/>
      <c r="AT257" s="336"/>
      <c r="AU257" s="336"/>
      <c r="AV257" s="336"/>
      <c r="AW257" s="336"/>
      <c r="AX257" s="336"/>
      <c r="AY257" s="336"/>
      <c r="AZ257" s="336"/>
      <c r="BA257" s="336"/>
      <c r="BB257" s="336"/>
      <c r="BC257" s="336"/>
      <c r="BD257" s="336"/>
      <c r="BE257" s="336"/>
      <c r="BF257" s="336"/>
    </row>
    <row r="258" spans="1:58" s="351" customFormat="1" x14ac:dyDescent="0.25">
      <c r="A258" s="336"/>
      <c r="B258" s="336"/>
      <c r="C258" s="336"/>
      <c r="D258" s="336"/>
      <c r="E258" s="336"/>
      <c r="F258" s="336"/>
      <c r="G258" s="336"/>
      <c r="H258" s="336"/>
      <c r="M258" s="352"/>
      <c r="N258" s="353"/>
      <c r="O258" s="353"/>
      <c r="T258" s="377"/>
      <c r="U258" s="352"/>
      <c r="V258" s="352"/>
      <c r="W258" s="352"/>
      <c r="X258" s="375"/>
      <c r="Y258" s="375"/>
      <c r="Z258" s="336"/>
      <c r="AA258" s="353"/>
      <c r="AB258" s="336"/>
      <c r="AC258" s="336"/>
      <c r="AD258" s="336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336"/>
      <c r="AS258" s="336"/>
      <c r="AT258" s="336"/>
      <c r="AU258" s="336"/>
      <c r="AV258" s="336"/>
      <c r="AW258" s="336"/>
      <c r="AX258" s="336"/>
      <c r="AY258" s="336"/>
      <c r="AZ258" s="336"/>
      <c r="BA258" s="336"/>
      <c r="BB258" s="336"/>
      <c r="BC258" s="336"/>
      <c r="BD258" s="336"/>
      <c r="BE258" s="336"/>
      <c r="BF258" s="336"/>
    </row>
    <row r="259" spans="1:58" s="351" customFormat="1" x14ac:dyDescent="0.25">
      <c r="A259" s="336"/>
      <c r="B259" s="336"/>
      <c r="C259" s="336"/>
      <c r="D259" s="336"/>
      <c r="E259" s="336"/>
      <c r="F259" s="336"/>
      <c r="G259" s="336"/>
      <c r="H259" s="336"/>
      <c r="M259" s="352"/>
      <c r="N259" s="353"/>
      <c r="O259" s="353"/>
      <c r="T259" s="377"/>
      <c r="U259" s="352"/>
      <c r="V259" s="352"/>
      <c r="W259" s="352"/>
      <c r="X259" s="375"/>
      <c r="Y259" s="375"/>
      <c r="Z259" s="336"/>
      <c r="AA259" s="353"/>
      <c r="AB259" s="336"/>
      <c r="AC259" s="336"/>
      <c r="AD259" s="336"/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336"/>
      <c r="AS259" s="336"/>
      <c r="AT259" s="336"/>
      <c r="AU259" s="336"/>
      <c r="AV259" s="336"/>
      <c r="AW259" s="336"/>
      <c r="AX259" s="336"/>
      <c r="AY259" s="336"/>
      <c r="AZ259" s="336"/>
      <c r="BA259" s="336"/>
      <c r="BB259" s="336"/>
      <c r="BC259" s="336"/>
      <c r="BD259" s="336"/>
      <c r="BE259" s="336"/>
      <c r="BF259" s="336"/>
    </row>
    <row r="260" spans="1:58" s="351" customFormat="1" x14ac:dyDescent="0.25">
      <c r="A260" s="336"/>
      <c r="B260" s="336"/>
      <c r="C260" s="336"/>
      <c r="D260" s="336"/>
      <c r="E260" s="336"/>
      <c r="F260" s="336"/>
      <c r="G260" s="336"/>
      <c r="H260" s="336"/>
      <c r="M260" s="352"/>
      <c r="N260" s="353"/>
      <c r="O260" s="353"/>
      <c r="T260" s="377"/>
      <c r="U260" s="352"/>
      <c r="V260" s="352"/>
      <c r="W260" s="352"/>
      <c r="X260" s="375"/>
      <c r="Y260" s="375"/>
      <c r="Z260" s="336"/>
      <c r="AA260" s="353"/>
      <c r="AB260" s="336"/>
      <c r="AC260" s="336"/>
      <c r="AD260" s="336"/>
      <c r="AE260" s="336"/>
      <c r="AF260" s="336"/>
      <c r="AG260" s="336"/>
      <c r="AH260" s="336"/>
      <c r="AI260" s="336"/>
      <c r="AJ260" s="336"/>
      <c r="AK260" s="336"/>
      <c r="AL260" s="336"/>
      <c r="AM260" s="336"/>
      <c r="AN260" s="336"/>
      <c r="AO260" s="336"/>
      <c r="AP260" s="336"/>
      <c r="AQ260" s="336"/>
      <c r="AR260" s="336"/>
      <c r="AS260" s="336"/>
      <c r="AT260" s="336"/>
      <c r="AU260" s="336"/>
      <c r="AV260" s="336"/>
      <c r="AW260" s="336"/>
      <c r="AX260" s="336"/>
      <c r="AY260" s="336"/>
      <c r="AZ260" s="336"/>
      <c r="BA260" s="336"/>
      <c r="BB260" s="336"/>
      <c r="BC260" s="336"/>
      <c r="BD260" s="336"/>
      <c r="BE260" s="336"/>
      <c r="BF260" s="336"/>
    </row>
    <row r="261" spans="1:58" s="351" customFormat="1" x14ac:dyDescent="0.25">
      <c r="A261" s="336"/>
      <c r="B261" s="336"/>
      <c r="C261" s="336"/>
      <c r="D261" s="336"/>
      <c r="E261" s="336"/>
      <c r="F261" s="336"/>
      <c r="G261" s="336"/>
      <c r="H261" s="336"/>
      <c r="M261" s="352"/>
      <c r="N261" s="353"/>
      <c r="O261" s="353"/>
      <c r="T261" s="377"/>
      <c r="U261" s="352"/>
      <c r="V261" s="352"/>
      <c r="W261" s="352"/>
      <c r="X261" s="375"/>
      <c r="Y261" s="375"/>
      <c r="Z261" s="336"/>
      <c r="AA261" s="353"/>
      <c r="AB261" s="336"/>
      <c r="AC261" s="336"/>
      <c r="AD261" s="336"/>
      <c r="AE261" s="336"/>
      <c r="AF261" s="336"/>
      <c r="AG261" s="336"/>
      <c r="AH261" s="336"/>
      <c r="AI261" s="336"/>
      <c r="AJ261" s="336"/>
      <c r="AK261" s="336"/>
      <c r="AL261" s="336"/>
      <c r="AM261" s="336"/>
      <c r="AN261" s="336"/>
      <c r="AO261" s="336"/>
      <c r="AP261" s="336"/>
      <c r="AQ261" s="336"/>
      <c r="AR261" s="336"/>
      <c r="AS261" s="336"/>
      <c r="AT261" s="336"/>
      <c r="AU261" s="336"/>
      <c r="AV261" s="336"/>
      <c r="AW261" s="336"/>
      <c r="AX261" s="336"/>
      <c r="AY261" s="336"/>
      <c r="AZ261" s="336"/>
      <c r="BA261" s="336"/>
      <c r="BB261" s="336"/>
      <c r="BC261" s="336"/>
      <c r="BD261" s="336"/>
      <c r="BE261" s="336"/>
      <c r="BF261" s="336"/>
    </row>
    <row r="262" spans="1:58" s="351" customFormat="1" x14ac:dyDescent="0.25">
      <c r="A262" s="336"/>
      <c r="B262" s="336"/>
      <c r="C262" s="336"/>
      <c r="D262" s="336"/>
      <c r="E262" s="336"/>
      <c r="F262" s="336"/>
      <c r="G262" s="336"/>
      <c r="H262" s="336"/>
      <c r="M262" s="352"/>
      <c r="N262" s="353"/>
      <c r="O262" s="353"/>
      <c r="T262" s="377"/>
      <c r="U262" s="352"/>
      <c r="V262" s="352"/>
      <c r="W262" s="352"/>
      <c r="X262" s="375"/>
      <c r="Y262" s="375"/>
      <c r="Z262" s="336"/>
      <c r="AA262" s="353"/>
      <c r="AB262" s="336"/>
      <c r="AC262" s="336"/>
      <c r="AD262" s="336"/>
      <c r="AE262" s="336"/>
      <c r="AF262" s="336"/>
      <c r="AG262" s="336"/>
      <c r="AH262" s="336"/>
      <c r="AI262" s="336"/>
      <c r="AJ262" s="336"/>
      <c r="AK262" s="336"/>
      <c r="AL262" s="336"/>
      <c r="AM262" s="336"/>
      <c r="AN262" s="336"/>
      <c r="AO262" s="336"/>
      <c r="AP262" s="336"/>
      <c r="AQ262" s="336"/>
      <c r="AR262" s="336"/>
      <c r="AS262" s="336"/>
      <c r="AT262" s="336"/>
      <c r="AU262" s="336"/>
      <c r="AV262" s="336"/>
      <c r="AW262" s="336"/>
      <c r="AX262" s="336"/>
      <c r="AY262" s="336"/>
      <c r="AZ262" s="336"/>
      <c r="BA262" s="336"/>
      <c r="BB262" s="336"/>
      <c r="BC262" s="336"/>
      <c r="BD262" s="336"/>
      <c r="BE262" s="336"/>
      <c r="BF262" s="336"/>
    </row>
    <row r="263" spans="1:58" s="351" customFormat="1" x14ac:dyDescent="0.25">
      <c r="A263" s="336"/>
      <c r="B263" s="336"/>
      <c r="C263" s="336"/>
      <c r="D263" s="336"/>
      <c r="E263" s="336"/>
      <c r="F263" s="336"/>
      <c r="G263" s="336"/>
      <c r="H263" s="336"/>
      <c r="M263" s="352"/>
      <c r="N263" s="353"/>
      <c r="O263" s="353"/>
      <c r="T263" s="377"/>
      <c r="U263" s="352"/>
      <c r="V263" s="352"/>
      <c r="W263" s="352"/>
      <c r="X263" s="375"/>
      <c r="Y263" s="375"/>
      <c r="Z263" s="336"/>
      <c r="AA263" s="353"/>
      <c r="AB263" s="336"/>
      <c r="AC263" s="336"/>
      <c r="AD263" s="336"/>
      <c r="AE263" s="336"/>
      <c r="AF263" s="336"/>
      <c r="AG263" s="336"/>
      <c r="AH263" s="336"/>
      <c r="AI263" s="336"/>
      <c r="AJ263" s="336"/>
      <c r="AK263" s="336"/>
      <c r="AL263" s="336"/>
      <c r="AM263" s="336"/>
      <c r="AN263" s="336"/>
      <c r="AO263" s="336"/>
      <c r="AP263" s="336"/>
      <c r="AQ263" s="336"/>
      <c r="AR263" s="336"/>
      <c r="AS263" s="336"/>
      <c r="AT263" s="336"/>
      <c r="AU263" s="336"/>
      <c r="AV263" s="336"/>
      <c r="AW263" s="336"/>
      <c r="AX263" s="336"/>
      <c r="AY263" s="336"/>
      <c r="AZ263" s="336"/>
      <c r="BA263" s="336"/>
      <c r="BB263" s="336"/>
      <c r="BC263" s="336"/>
      <c r="BD263" s="336"/>
      <c r="BE263" s="336"/>
      <c r="BF263" s="336"/>
    </row>
    <row r="264" spans="1:58" s="351" customFormat="1" x14ac:dyDescent="0.25">
      <c r="A264" s="336"/>
      <c r="B264" s="336"/>
      <c r="C264" s="336"/>
      <c r="D264" s="336"/>
      <c r="E264" s="336"/>
      <c r="F264" s="336"/>
      <c r="G264" s="336"/>
      <c r="H264" s="336"/>
      <c r="M264" s="352"/>
      <c r="N264" s="353"/>
      <c r="O264" s="353"/>
      <c r="T264" s="377"/>
      <c r="U264" s="352"/>
      <c r="V264" s="352"/>
      <c r="W264" s="352"/>
      <c r="X264" s="375"/>
      <c r="Y264" s="375"/>
      <c r="Z264" s="336"/>
      <c r="AA264" s="353"/>
      <c r="AB264" s="336"/>
      <c r="AC264" s="336"/>
      <c r="AD264" s="336"/>
      <c r="AE264" s="336"/>
      <c r="AF264" s="336"/>
      <c r="AG264" s="336"/>
      <c r="AH264" s="336"/>
      <c r="AI264" s="336"/>
      <c r="AJ264" s="336"/>
      <c r="AK264" s="336"/>
      <c r="AL264" s="336"/>
      <c r="AM264" s="336"/>
      <c r="AN264" s="336"/>
      <c r="AO264" s="336"/>
      <c r="AP264" s="336"/>
      <c r="AQ264" s="336"/>
      <c r="AR264" s="336"/>
      <c r="AS264" s="336"/>
      <c r="AT264" s="336"/>
      <c r="AU264" s="336"/>
      <c r="AV264" s="336"/>
      <c r="AW264" s="336"/>
      <c r="AX264" s="336"/>
      <c r="AY264" s="336"/>
      <c r="AZ264" s="336"/>
      <c r="BA264" s="336"/>
      <c r="BB264" s="336"/>
      <c r="BC264" s="336"/>
      <c r="BD264" s="336"/>
      <c r="BE264" s="336"/>
      <c r="BF264" s="336"/>
    </row>
    <row r="265" spans="1:58" s="351" customFormat="1" x14ac:dyDescent="0.25">
      <c r="A265" s="336"/>
      <c r="B265" s="336"/>
      <c r="C265" s="336"/>
      <c r="D265" s="336"/>
      <c r="E265" s="336"/>
      <c r="F265" s="336"/>
      <c r="G265" s="336"/>
      <c r="H265" s="336"/>
      <c r="M265" s="352"/>
      <c r="N265" s="353"/>
      <c r="O265" s="353"/>
      <c r="T265" s="377"/>
      <c r="U265" s="352"/>
      <c r="V265" s="352"/>
      <c r="W265" s="352"/>
      <c r="X265" s="375"/>
      <c r="Y265" s="375"/>
      <c r="Z265" s="336"/>
      <c r="AA265" s="353"/>
      <c r="AB265" s="336"/>
      <c r="AC265" s="336"/>
      <c r="AD265" s="336"/>
      <c r="AE265" s="336"/>
      <c r="AF265" s="336"/>
      <c r="AG265" s="336"/>
      <c r="AH265" s="336"/>
      <c r="AI265" s="336"/>
      <c r="AJ265" s="336"/>
      <c r="AK265" s="336"/>
      <c r="AL265" s="336"/>
      <c r="AM265" s="336"/>
      <c r="AN265" s="336"/>
      <c r="AO265" s="336"/>
      <c r="AP265" s="336"/>
      <c r="AQ265" s="336"/>
      <c r="AR265" s="336"/>
      <c r="AS265" s="336"/>
      <c r="AT265" s="336"/>
      <c r="AU265" s="336"/>
      <c r="AV265" s="336"/>
      <c r="AW265" s="336"/>
      <c r="AX265" s="336"/>
      <c r="AY265" s="336"/>
      <c r="AZ265" s="336"/>
      <c r="BA265" s="336"/>
      <c r="BB265" s="336"/>
      <c r="BC265" s="336"/>
      <c r="BD265" s="336"/>
      <c r="BE265" s="336"/>
      <c r="BF265" s="336"/>
    </row>
    <row r="266" spans="1:58" s="351" customFormat="1" x14ac:dyDescent="0.25">
      <c r="A266" s="336"/>
      <c r="B266" s="336"/>
      <c r="C266" s="336"/>
      <c r="D266" s="336"/>
      <c r="E266" s="336"/>
      <c r="F266" s="336"/>
      <c r="G266" s="336"/>
      <c r="H266" s="336"/>
      <c r="M266" s="352"/>
      <c r="N266" s="353"/>
      <c r="O266" s="353"/>
      <c r="T266" s="377"/>
      <c r="U266" s="352"/>
      <c r="V266" s="352"/>
      <c r="W266" s="352"/>
      <c r="X266" s="375"/>
      <c r="Y266" s="375"/>
      <c r="Z266" s="336"/>
      <c r="AA266" s="353"/>
      <c r="AB266" s="336"/>
      <c r="AC266" s="336"/>
      <c r="AD266" s="336"/>
      <c r="AE266" s="336"/>
      <c r="AF266" s="336"/>
      <c r="AG266" s="336"/>
      <c r="AH266" s="336"/>
      <c r="AI266" s="336"/>
      <c r="AJ266" s="336"/>
      <c r="AK266" s="336"/>
      <c r="AL266" s="336"/>
      <c r="AM266" s="336"/>
      <c r="AN266" s="336"/>
      <c r="AO266" s="336"/>
      <c r="AP266" s="336"/>
      <c r="AQ266" s="336"/>
      <c r="AR266" s="336"/>
      <c r="AS266" s="336"/>
      <c r="AT266" s="336"/>
      <c r="AU266" s="336"/>
      <c r="AV266" s="336"/>
      <c r="AW266" s="336"/>
      <c r="AX266" s="336"/>
      <c r="AY266" s="336"/>
      <c r="AZ266" s="336"/>
      <c r="BA266" s="336"/>
      <c r="BB266" s="336"/>
      <c r="BC266" s="336"/>
      <c r="BD266" s="336"/>
      <c r="BE266" s="336"/>
      <c r="BF266" s="336"/>
    </row>
    <row r="267" spans="1:58" s="351" customFormat="1" x14ac:dyDescent="0.25">
      <c r="A267" s="336"/>
      <c r="B267" s="336"/>
      <c r="C267" s="336"/>
      <c r="D267" s="336"/>
      <c r="E267" s="336"/>
      <c r="F267" s="336"/>
      <c r="G267" s="336"/>
      <c r="H267" s="336"/>
      <c r="M267" s="352"/>
      <c r="N267" s="353"/>
      <c r="O267" s="353"/>
      <c r="T267" s="377"/>
      <c r="U267" s="352"/>
      <c r="V267" s="352"/>
      <c r="W267" s="352"/>
      <c r="X267" s="375"/>
      <c r="Y267" s="375"/>
      <c r="Z267" s="336"/>
      <c r="AA267" s="353"/>
      <c r="AB267" s="336"/>
      <c r="AC267" s="336"/>
      <c r="AD267" s="336"/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336"/>
      <c r="AS267" s="336"/>
      <c r="AT267" s="336"/>
      <c r="AU267" s="336"/>
      <c r="AV267" s="336"/>
      <c r="AW267" s="336"/>
      <c r="AX267" s="336"/>
      <c r="AY267" s="336"/>
      <c r="AZ267" s="336"/>
      <c r="BA267" s="336"/>
      <c r="BB267" s="336"/>
      <c r="BC267" s="336"/>
      <c r="BD267" s="336"/>
      <c r="BE267" s="336"/>
      <c r="BF267" s="336"/>
    </row>
    <row r="268" spans="1:58" s="351" customFormat="1" x14ac:dyDescent="0.25">
      <c r="A268" s="336"/>
      <c r="B268" s="336"/>
      <c r="C268" s="336"/>
      <c r="D268" s="336"/>
      <c r="E268" s="336"/>
      <c r="F268" s="336"/>
      <c r="G268" s="336"/>
      <c r="H268" s="336"/>
      <c r="M268" s="352"/>
      <c r="N268" s="353"/>
      <c r="O268" s="353"/>
      <c r="T268" s="377"/>
      <c r="U268" s="352"/>
      <c r="V268" s="352"/>
      <c r="W268" s="352"/>
      <c r="X268" s="375"/>
      <c r="Y268" s="375"/>
      <c r="Z268" s="336"/>
      <c r="AA268" s="353"/>
      <c r="AB268" s="336"/>
      <c r="AC268" s="336"/>
      <c r="AD268" s="336"/>
      <c r="AE268" s="336"/>
      <c r="AF268" s="336"/>
      <c r="AG268" s="336"/>
      <c r="AH268" s="336"/>
      <c r="AI268" s="336"/>
      <c r="AJ268" s="336"/>
      <c r="AK268" s="336"/>
      <c r="AL268" s="336"/>
      <c r="AM268" s="336"/>
      <c r="AN268" s="336"/>
      <c r="AO268" s="336"/>
      <c r="AP268" s="336"/>
      <c r="AQ268" s="336"/>
      <c r="AR268" s="336"/>
      <c r="AS268" s="336"/>
      <c r="AT268" s="336"/>
      <c r="AU268" s="336"/>
      <c r="AV268" s="336"/>
      <c r="AW268" s="336"/>
      <c r="AX268" s="336"/>
      <c r="AY268" s="336"/>
      <c r="AZ268" s="336"/>
      <c r="BA268" s="336"/>
      <c r="BB268" s="336"/>
      <c r="BC268" s="336"/>
      <c r="BD268" s="336"/>
      <c r="BE268" s="336"/>
      <c r="BF268" s="336"/>
    </row>
    <row r="269" spans="1:58" s="351" customFormat="1" x14ac:dyDescent="0.25">
      <c r="A269" s="336"/>
      <c r="B269" s="336"/>
      <c r="C269" s="336"/>
      <c r="D269" s="336"/>
      <c r="E269" s="336"/>
      <c r="F269" s="336"/>
      <c r="G269" s="336"/>
      <c r="H269" s="336"/>
      <c r="M269" s="352"/>
      <c r="N269" s="353"/>
      <c r="O269" s="353"/>
      <c r="T269" s="377"/>
      <c r="U269" s="352"/>
      <c r="V269" s="352"/>
      <c r="W269" s="352"/>
      <c r="X269" s="375"/>
      <c r="Y269" s="375"/>
      <c r="Z269" s="336"/>
      <c r="AA269" s="353"/>
      <c r="AB269" s="336"/>
      <c r="AC269" s="336"/>
      <c r="AD269" s="336"/>
      <c r="AE269" s="336"/>
      <c r="AF269" s="336"/>
      <c r="AG269" s="336"/>
      <c r="AH269" s="336"/>
      <c r="AI269" s="336"/>
      <c r="AJ269" s="336"/>
      <c r="AK269" s="336"/>
      <c r="AL269" s="336"/>
      <c r="AM269" s="336"/>
      <c r="AN269" s="336"/>
      <c r="AO269" s="336"/>
      <c r="AP269" s="336"/>
      <c r="AQ269" s="336"/>
      <c r="AR269" s="336"/>
      <c r="AS269" s="336"/>
      <c r="AT269" s="336"/>
      <c r="AU269" s="336"/>
      <c r="AV269" s="336"/>
      <c r="AW269" s="336"/>
      <c r="AX269" s="336"/>
      <c r="AY269" s="336"/>
      <c r="AZ269" s="336"/>
      <c r="BA269" s="336"/>
      <c r="BB269" s="336"/>
      <c r="BC269" s="336"/>
      <c r="BD269" s="336"/>
      <c r="BE269" s="336"/>
      <c r="BF269" s="336"/>
    </row>
    <row r="270" spans="1:58" s="351" customFormat="1" x14ac:dyDescent="0.25">
      <c r="A270" s="336"/>
      <c r="B270" s="336"/>
      <c r="C270" s="336"/>
      <c r="D270" s="336"/>
      <c r="E270" s="336"/>
      <c r="F270" s="336"/>
      <c r="G270" s="336"/>
      <c r="H270" s="336"/>
      <c r="M270" s="352"/>
      <c r="N270" s="353"/>
      <c r="O270" s="353"/>
      <c r="T270" s="377"/>
      <c r="U270" s="352"/>
      <c r="V270" s="352"/>
      <c r="W270" s="352"/>
      <c r="X270" s="375"/>
      <c r="Y270" s="375"/>
      <c r="Z270" s="336"/>
      <c r="AA270" s="353"/>
      <c r="AB270" s="336"/>
      <c r="AC270" s="336"/>
      <c r="AD270" s="336"/>
      <c r="AE270" s="336"/>
      <c r="AF270" s="336"/>
      <c r="AG270" s="336"/>
      <c r="AH270" s="336"/>
      <c r="AI270" s="336"/>
      <c r="AJ270" s="336"/>
      <c r="AK270" s="336"/>
      <c r="AL270" s="336"/>
      <c r="AM270" s="336"/>
      <c r="AN270" s="336"/>
      <c r="AO270" s="336"/>
      <c r="AP270" s="336"/>
      <c r="AQ270" s="336"/>
      <c r="AR270" s="336"/>
      <c r="AS270" s="336"/>
      <c r="AT270" s="336"/>
      <c r="AU270" s="336"/>
      <c r="AV270" s="336"/>
      <c r="AW270" s="336"/>
      <c r="AX270" s="336"/>
      <c r="AY270" s="336"/>
      <c r="AZ270" s="336"/>
      <c r="BA270" s="336"/>
      <c r="BB270" s="336"/>
      <c r="BC270" s="336"/>
      <c r="BD270" s="336"/>
      <c r="BE270" s="336"/>
      <c r="BF270" s="336"/>
    </row>
    <row r="271" spans="1:58" s="351" customFormat="1" x14ac:dyDescent="0.25">
      <c r="A271" s="336"/>
      <c r="B271" s="336"/>
      <c r="C271" s="336"/>
      <c r="D271" s="336"/>
      <c r="E271" s="336"/>
      <c r="F271" s="336"/>
      <c r="G271" s="336"/>
      <c r="H271" s="336"/>
      <c r="M271" s="352"/>
      <c r="N271" s="353"/>
      <c r="O271" s="353"/>
      <c r="T271" s="377"/>
      <c r="U271" s="352"/>
      <c r="V271" s="352"/>
      <c r="W271" s="352"/>
      <c r="X271" s="375"/>
      <c r="Y271" s="375"/>
      <c r="Z271" s="336"/>
      <c r="AA271" s="353"/>
      <c r="AB271" s="336"/>
      <c r="AC271" s="336"/>
      <c r="AD271" s="336"/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336"/>
      <c r="AS271" s="336"/>
      <c r="AT271" s="336"/>
      <c r="AU271" s="336"/>
      <c r="AV271" s="336"/>
      <c r="AW271" s="336"/>
      <c r="AX271" s="336"/>
      <c r="AY271" s="336"/>
      <c r="AZ271" s="336"/>
      <c r="BA271" s="336"/>
      <c r="BB271" s="336"/>
      <c r="BC271" s="336"/>
      <c r="BD271" s="336"/>
      <c r="BE271" s="336"/>
      <c r="BF271" s="336"/>
    </row>
    <row r="272" spans="1:58" s="351" customFormat="1" x14ac:dyDescent="0.25">
      <c r="A272" s="336"/>
      <c r="B272" s="336"/>
      <c r="C272" s="336"/>
      <c r="D272" s="336"/>
      <c r="E272" s="336"/>
      <c r="F272" s="336"/>
      <c r="G272" s="336"/>
      <c r="H272" s="336"/>
      <c r="M272" s="352"/>
      <c r="N272" s="353"/>
      <c r="O272" s="353"/>
      <c r="T272" s="377"/>
      <c r="U272" s="352"/>
      <c r="V272" s="352"/>
      <c r="W272" s="352"/>
      <c r="X272" s="375"/>
      <c r="Y272" s="375"/>
      <c r="Z272" s="336"/>
      <c r="AA272" s="353"/>
      <c r="AB272" s="336"/>
      <c r="AC272" s="336"/>
      <c r="AD272" s="336"/>
      <c r="AE272" s="336"/>
      <c r="AF272" s="336"/>
      <c r="AG272" s="336"/>
      <c r="AH272" s="336"/>
      <c r="AI272" s="336"/>
      <c r="AJ272" s="336"/>
      <c r="AK272" s="336"/>
      <c r="AL272" s="336"/>
      <c r="AM272" s="336"/>
      <c r="AN272" s="336"/>
      <c r="AO272" s="336"/>
      <c r="AP272" s="336"/>
      <c r="AQ272" s="336"/>
      <c r="AR272" s="336"/>
      <c r="AS272" s="336"/>
      <c r="AT272" s="336"/>
      <c r="AU272" s="336"/>
      <c r="AV272" s="336"/>
      <c r="AW272" s="336"/>
      <c r="AX272" s="336"/>
      <c r="AY272" s="336"/>
      <c r="AZ272" s="336"/>
      <c r="BA272" s="336"/>
      <c r="BB272" s="336"/>
      <c r="BC272" s="336"/>
      <c r="BD272" s="336"/>
      <c r="BE272" s="336"/>
      <c r="BF272" s="336"/>
    </row>
    <row r="273" spans="1:58" s="351" customFormat="1" x14ac:dyDescent="0.25">
      <c r="A273" s="336"/>
      <c r="B273" s="336"/>
      <c r="C273" s="336"/>
      <c r="D273" s="336"/>
      <c r="E273" s="336"/>
      <c r="F273" s="336"/>
      <c r="G273" s="336"/>
      <c r="H273" s="336"/>
      <c r="M273" s="352"/>
      <c r="N273" s="353"/>
      <c r="O273" s="353"/>
      <c r="T273" s="377"/>
      <c r="U273" s="352"/>
      <c r="V273" s="352"/>
      <c r="W273" s="352"/>
      <c r="X273" s="375"/>
      <c r="Y273" s="375"/>
      <c r="Z273" s="336"/>
      <c r="AA273" s="353"/>
      <c r="AB273" s="336"/>
      <c r="AC273" s="336"/>
      <c r="AD273" s="336"/>
      <c r="AE273" s="336"/>
      <c r="AF273" s="336"/>
      <c r="AG273" s="336"/>
      <c r="AH273" s="336"/>
      <c r="AI273" s="336"/>
      <c r="AJ273" s="336"/>
      <c r="AK273" s="336"/>
      <c r="AL273" s="336"/>
      <c r="AM273" s="336"/>
      <c r="AN273" s="336"/>
      <c r="AO273" s="336"/>
      <c r="AP273" s="336"/>
      <c r="AQ273" s="336"/>
      <c r="AR273" s="336"/>
      <c r="AS273" s="336"/>
      <c r="AT273" s="336"/>
      <c r="AU273" s="336"/>
      <c r="AV273" s="336"/>
      <c r="AW273" s="336"/>
      <c r="AX273" s="336"/>
      <c r="AY273" s="336"/>
      <c r="AZ273" s="336"/>
      <c r="BA273" s="336"/>
      <c r="BB273" s="336"/>
      <c r="BC273" s="336"/>
      <c r="BD273" s="336"/>
      <c r="BE273" s="336"/>
      <c r="BF273" s="336"/>
    </row>
    <row r="274" spans="1:58" s="351" customFormat="1" x14ac:dyDescent="0.25">
      <c r="A274" s="336"/>
      <c r="B274" s="336"/>
      <c r="C274" s="336"/>
      <c r="D274" s="336"/>
      <c r="E274" s="336"/>
      <c r="F274" s="336"/>
      <c r="G274" s="336"/>
      <c r="H274" s="336"/>
      <c r="M274" s="352"/>
      <c r="N274" s="353"/>
      <c r="O274" s="353"/>
      <c r="T274" s="377"/>
      <c r="U274" s="352"/>
      <c r="V274" s="352"/>
      <c r="W274" s="352"/>
      <c r="X274" s="375"/>
      <c r="Y274" s="375"/>
      <c r="Z274" s="336"/>
      <c r="AA274" s="353"/>
      <c r="AB274" s="336"/>
      <c r="AC274" s="336"/>
      <c r="AD274" s="336"/>
      <c r="AE274" s="336"/>
      <c r="AF274" s="336"/>
      <c r="AG274" s="336"/>
      <c r="AH274" s="336"/>
      <c r="AI274" s="336"/>
      <c r="AJ274" s="336"/>
      <c r="AK274" s="336"/>
      <c r="AL274" s="336"/>
      <c r="AM274" s="336"/>
      <c r="AN274" s="336"/>
      <c r="AO274" s="336"/>
      <c r="AP274" s="336"/>
      <c r="AQ274" s="336"/>
      <c r="AR274" s="336"/>
      <c r="AS274" s="336"/>
      <c r="AT274" s="336"/>
      <c r="AU274" s="336"/>
      <c r="AV274" s="336"/>
      <c r="AW274" s="336"/>
      <c r="AX274" s="336"/>
      <c r="AY274" s="336"/>
      <c r="AZ274" s="336"/>
      <c r="BA274" s="336"/>
      <c r="BB274" s="336"/>
      <c r="BC274" s="336"/>
      <c r="BD274" s="336"/>
      <c r="BE274" s="336"/>
      <c r="BF274" s="336"/>
    </row>
    <row r="275" spans="1:58" s="351" customFormat="1" x14ac:dyDescent="0.25">
      <c r="A275" s="336"/>
      <c r="B275" s="336"/>
      <c r="C275" s="336"/>
      <c r="D275" s="336"/>
      <c r="E275" s="336"/>
      <c r="F275" s="336"/>
      <c r="G275" s="336"/>
      <c r="H275" s="336"/>
      <c r="M275" s="352"/>
      <c r="N275" s="353"/>
      <c r="O275" s="353"/>
      <c r="T275" s="377"/>
      <c r="U275" s="352"/>
      <c r="V275" s="352"/>
      <c r="W275" s="352"/>
      <c r="X275" s="375"/>
      <c r="Y275" s="375"/>
      <c r="Z275" s="336"/>
      <c r="AA275" s="353"/>
      <c r="AB275" s="336"/>
      <c r="AC275" s="336"/>
      <c r="AD275" s="336"/>
      <c r="AE275" s="336"/>
      <c r="AF275" s="336"/>
      <c r="AG275" s="336"/>
      <c r="AH275" s="336"/>
      <c r="AI275" s="336"/>
      <c r="AJ275" s="336"/>
      <c r="AK275" s="336"/>
      <c r="AL275" s="336"/>
      <c r="AM275" s="336"/>
      <c r="AN275" s="336"/>
      <c r="AO275" s="336"/>
      <c r="AP275" s="336"/>
      <c r="AQ275" s="336"/>
      <c r="AR275" s="336"/>
      <c r="AS275" s="336"/>
      <c r="AT275" s="336"/>
      <c r="AU275" s="336"/>
      <c r="AV275" s="336"/>
      <c r="AW275" s="336"/>
      <c r="AX275" s="336"/>
      <c r="AY275" s="336"/>
      <c r="AZ275" s="336"/>
      <c r="BA275" s="336"/>
      <c r="BB275" s="336"/>
      <c r="BC275" s="336"/>
      <c r="BD275" s="336"/>
      <c r="BE275" s="336"/>
      <c r="BF275" s="336"/>
    </row>
    <row r="276" spans="1:58" s="351" customFormat="1" x14ac:dyDescent="0.25">
      <c r="A276" s="336"/>
      <c r="B276" s="336"/>
      <c r="C276" s="336"/>
      <c r="D276" s="336"/>
      <c r="E276" s="336"/>
      <c r="F276" s="336"/>
      <c r="G276" s="336"/>
      <c r="H276" s="336"/>
      <c r="M276" s="352"/>
      <c r="N276" s="353"/>
      <c r="O276" s="353"/>
      <c r="T276" s="377"/>
      <c r="U276" s="352"/>
      <c r="V276" s="352"/>
      <c r="W276" s="352"/>
      <c r="X276" s="375"/>
      <c r="Y276" s="375"/>
      <c r="Z276" s="336"/>
      <c r="AA276" s="353"/>
      <c r="AB276" s="336"/>
      <c r="AC276" s="336"/>
      <c r="AD276" s="336"/>
      <c r="AE276" s="336"/>
      <c r="AF276" s="336"/>
      <c r="AG276" s="336"/>
      <c r="AH276" s="336"/>
      <c r="AI276" s="336"/>
      <c r="AJ276" s="336"/>
      <c r="AK276" s="336"/>
      <c r="AL276" s="336"/>
      <c r="AM276" s="336"/>
      <c r="AN276" s="336"/>
      <c r="AO276" s="336"/>
      <c r="AP276" s="336"/>
      <c r="AQ276" s="336"/>
      <c r="AR276" s="336"/>
      <c r="AS276" s="336"/>
      <c r="AT276" s="336"/>
      <c r="AU276" s="336"/>
      <c r="AV276" s="336"/>
      <c r="AW276" s="336"/>
      <c r="AX276" s="336"/>
      <c r="AY276" s="336"/>
      <c r="AZ276" s="336"/>
      <c r="BA276" s="336"/>
      <c r="BB276" s="336"/>
      <c r="BC276" s="336"/>
      <c r="BD276" s="336"/>
      <c r="BE276" s="336"/>
      <c r="BF276" s="336"/>
    </row>
    <row r="277" spans="1:58" s="351" customFormat="1" x14ac:dyDescent="0.25">
      <c r="A277" s="336"/>
      <c r="B277" s="336"/>
      <c r="C277" s="336"/>
      <c r="D277" s="336"/>
      <c r="E277" s="336"/>
      <c r="F277" s="336"/>
      <c r="G277" s="336"/>
      <c r="H277" s="336"/>
      <c r="M277" s="352"/>
      <c r="N277" s="353"/>
      <c r="O277" s="353"/>
      <c r="T277" s="377"/>
      <c r="U277" s="352"/>
      <c r="V277" s="352"/>
      <c r="W277" s="352"/>
      <c r="X277" s="375"/>
      <c r="Y277" s="375"/>
      <c r="Z277" s="336"/>
      <c r="AA277" s="353"/>
      <c r="AB277" s="336"/>
      <c r="AC277" s="336"/>
      <c r="AD277" s="336"/>
      <c r="AE277" s="336"/>
      <c r="AF277" s="336"/>
      <c r="AG277" s="336"/>
      <c r="AH277" s="336"/>
      <c r="AI277" s="336"/>
      <c r="AJ277" s="336"/>
      <c r="AK277" s="336"/>
      <c r="AL277" s="336"/>
      <c r="AM277" s="336"/>
      <c r="AN277" s="336"/>
      <c r="AO277" s="336"/>
      <c r="AP277" s="336"/>
      <c r="AQ277" s="336"/>
      <c r="AR277" s="336"/>
      <c r="AS277" s="336"/>
      <c r="AT277" s="336"/>
      <c r="AU277" s="336"/>
      <c r="AV277" s="336"/>
      <c r="AW277" s="336"/>
      <c r="AX277" s="336"/>
      <c r="AY277" s="336"/>
      <c r="AZ277" s="336"/>
      <c r="BA277" s="336"/>
      <c r="BB277" s="336"/>
      <c r="BC277" s="336"/>
      <c r="BD277" s="336"/>
      <c r="BE277" s="336"/>
      <c r="BF277" s="336"/>
    </row>
    <row r="278" spans="1:58" s="351" customFormat="1" x14ac:dyDescent="0.25">
      <c r="A278" s="336"/>
      <c r="B278" s="336"/>
      <c r="C278" s="336"/>
      <c r="D278" s="336"/>
      <c r="E278" s="336"/>
      <c r="F278" s="336"/>
      <c r="G278" s="336"/>
      <c r="H278" s="336"/>
      <c r="M278" s="352"/>
      <c r="N278" s="353"/>
      <c r="O278" s="353"/>
      <c r="T278" s="377"/>
      <c r="U278" s="352"/>
      <c r="V278" s="352"/>
      <c r="W278" s="352"/>
      <c r="X278" s="375"/>
      <c r="Y278" s="375"/>
      <c r="Z278" s="336"/>
      <c r="AA278" s="353"/>
      <c r="AB278" s="336"/>
      <c r="AC278" s="336"/>
      <c r="AD278" s="336"/>
      <c r="AE278" s="336"/>
      <c r="AF278" s="336"/>
      <c r="AG278" s="336"/>
      <c r="AH278" s="336"/>
      <c r="AI278" s="336"/>
      <c r="AJ278" s="336"/>
      <c r="AK278" s="336"/>
      <c r="AL278" s="336"/>
      <c r="AM278" s="336"/>
      <c r="AN278" s="336"/>
      <c r="AO278" s="336"/>
      <c r="AP278" s="336"/>
      <c r="AQ278" s="336"/>
      <c r="AR278" s="336"/>
      <c r="AS278" s="336"/>
      <c r="AT278" s="336"/>
      <c r="AU278" s="336"/>
      <c r="AV278" s="336"/>
      <c r="AW278" s="336"/>
      <c r="AX278" s="336"/>
      <c r="AY278" s="336"/>
      <c r="AZ278" s="336"/>
      <c r="BA278" s="336"/>
      <c r="BB278" s="336"/>
      <c r="BC278" s="336"/>
      <c r="BD278" s="336"/>
      <c r="BE278" s="336"/>
      <c r="BF278" s="336"/>
    </row>
    <row r="279" spans="1:58" s="351" customFormat="1" x14ac:dyDescent="0.25">
      <c r="A279" s="336"/>
      <c r="B279" s="336"/>
      <c r="C279" s="336"/>
      <c r="D279" s="336"/>
      <c r="E279" s="336"/>
      <c r="F279" s="336"/>
      <c r="G279" s="336"/>
      <c r="H279" s="336"/>
      <c r="M279" s="352"/>
      <c r="N279" s="353"/>
      <c r="O279" s="353"/>
      <c r="T279" s="377"/>
      <c r="U279" s="352"/>
      <c r="V279" s="352"/>
      <c r="W279" s="352"/>
      <c r="X279" s="375"/>
      <c r="Y279" s="375"/>
      <c r="Z279" s="336"/>
      <c r="AA279" s="353"/>
      <c r="AB279" s="336"/>
      <c r="AC279" s="336"/>
      <c r="AD279" s="336"/>
      <c r="AE279" s="336"/>
      <c r="AF279" s="336"/>
      <c r="AG279" s="336"/>
      <c r="AH279" s="336"/>
      <c r="AI279" s="336"/>
      <c r="AJ279" s="336"/>
      <c r="AK279" s="336"/>
      <c r="AL279" s="336"/>
      <c r="AM279" s="336"/>
      <c r="AN279" s="336"/>
      <c r="AO279" s="336"/>
      <c r="AP279" s="336"/>
      <c r="AQ279" s="336"/>
      <c r="AR279" s="336"/>
      <c r="AS279" s="336"/>
      <c r="AT279" s="336"/>
      <c r="AU279" s="336"/>
      <c r="AV279" s="336"/>
      <c r="AW279" s="336"/>
      <c r="AX279" s="336"/>
      <c r="AY279" s="336"/>
      <c r="AZ279" s="336"/>
      <c r="BA279" s="336"/>
      <c r="BB279" s="336"/>
      <c r="BC279" s="336"/>
      <c r="BD279" s="336"/>
      <c r="BE279" s="336"/>
      <c r="BF279" s="336"/>
    </row>
    <row r="280" spans="1:58" s="351" customFormat="1" x14ac:dyDescent="0.25">
      <c r="A280" s="336"/>
      <c r="B280" s="336"/>
      <c r="C280" s="336"/>
      <c r="D280" s="336"/>
      <c r="E280" s="336"/>
      <c r="F280" s="336"/>
      <c r="G280" s="336"/>
      <c r="H280" s="336"/>
      <c r="M280" s="352"/>
      <c r="N280" s="353"/>
      <c r="O280" s="353"/>
      <c r="T280" s="377"/>
      <c r="U280" s="352"/>
      <c r="V280" s="352"/>
      <c r="W280" s="352"/>
      <c r="X280" s="375"/>
      <c r="Y280" s="375"/>
      <c r="Z280" s="336"/>
      <c r="AA280" s="353"/>
      <c r="AB280" s="336"/>
      <c r="AC280" s="336"/>
      <c r="AD280" s="336"/>
      <c r="AE280" s="336"/>
      <c r="AF280" s="336"/>
      <c r="AG280" s="336"/>
      <c r="AH280" s="336"/>
      <c r="AI280" s="336"/>
      <c r="AJ280" s="336"/>
      <c r="AK280" s="336"/>
      <c r="AL280" s="336"/>
      <c r="AM280" s="336"/>
      <c r="AN280" s="336"/>
      <c r="AO280" s="336"/>
      <c r="AP280" s="336"/>
      <c r="AQ280" s="336"/>
      <c r="AR280" s="336"/>
      <c r="AS280" s="336"/>
      <c r="AT280" s="336"/>
      <c r="AU280" s="336"/>
      <c r="AV280" s="336"/>
      <c r="AW280" s="336"/>
      <c r="AX280" s="336"/>
      <c r="AY280" s="336"/>
      <c r="AZ280" s="336"/>
      <c r="BA280" s="336"/>
      <c r="BB280" s="336"/>
      <c r="BC280" s="336"/>
      <c r="BD280" s="336"/>
      <c r="BE280" s="336"/>
      <c r="BF280" s="336"/>
    </row>
    <row r="281" spans="1:58" s="351" customFormat="1" x14ac:dyDescent="0.25">
      <c r="A281" s="336"/>
      <c r="B281" s="336"/>
      <c r="C281" s="336"/>
      <c r="D281" s="336"/>
      <c r="E281" s="336"/>
      <c r="F281" s="336"/>
      <c r="G281" s="336"/>
      <c r="H281" s="336"/>
      <c r="M281" s="352"/>
      <c r="N281" s="353"/>
      <c r="O281" s="353"/>
      <c r="T281" s="377"/>
      <c r="U281" s="352"/>
      <c r="V281" s="352"/>
      <c r="W281" s="352"/>
      <c r="X281" s="375"/>
      <c r="Y281" s="375"/>
      <c r="Z281" s="336"/>
      <c r="AA281" s="353"/>
      <c r="AB281" s="336"/>
      <c r="AC281" s="336"/>
      <c r="AD281" s="336"/>
      <c r="AE281" s="336"/>
      <c r="AF281" s="336"/>
      <c r="AG281" s="336"/>
      <c r="AH281" s="336"/>
      <c r="AI281" s="336"/>
      <c r="AJ281" s="336"/>
      <c r="AK281" s="336"/>
      <c r="AL281" s="336"/>
      <c r="AM281" s="336"/>
      <c r="AN281" s="336"/>
      <c r="AO281" s="336"/>
      <c r="AP281" s="336"/>
      <c r="AQ281" s="336"/>
      <c r="AR281" s="336"/>
      <c r="AS281" s="336"/>
      <c r="AT281" s="336"/>
      <c r="AU281" s="336"/>
      <c r="AV281" s="336"/>
      <c r="AW281" s="336"/>
      <c r="AX281" s="336"/>
      <c r="AY281" s="336"/>
      <c r="AZ281" s="336"/>
      <c r="BA281" s="336"/>
      <c r="BB281" s="336"/>
      <c r="BC281" s="336"/>
      <c r="BD281" s="336"/>
      <c r="BE281" s="336"/>
      <c r="BF281" s="336"/>
    </row>
    <row r="282" spans="1:58" s="351" customFormat="1" x14ac:dyDescent="0.25">
      <c r="A282" s="336"/>
      <c r="B282" s="336"/>
      <c r="C282" s="336"/>
      <c r="D282" s="336"/>
      <c r="E282" s="336"/>
      <c r="F282" s="336"/>
      <c r="G282" s="336"/>
      <c r="H282" s="336"/>
      <c r="M282" s="352"/>
      <c r="N282" s="353"/>
      <c r="O282" s="353"/>
      <c r="T282" s="377"/>
      <c r="U282" s="352"/>
      <c r="V282" s="352"/>
      <c r="W282" s="352"/>
      <c r="X282" s="375"/>
      <c r="Y282" s="375"/>
      <c r="Z282" s="336"/>
      <c r="AA282" s="353"/>
      <c r="AB282" s="336"/>
      <c r="AC282" s="336"/>
      <c r="AD282" s="336"/>
      <c r="AE282" s="336"/>
      <c r="AF282" s="336"/>
      <c r="AG282" s="336"/>
      <c r="AH282" s="336"/>
      <c r="AI282" s="336"/>
      <c r="AJ282" s="336"/>
      <c r="AK282" s="336"/>
      <c r="AL282" s="336"/>
      <c r="AM282" s="336"/>
      <c r="AN282" s="336"/>
      <c r="AO282" s="336"/>
      <c r="AP282" s="336"/>
      <c r="AQ282" s="336"/>
      <c r="AR282" s="336"/>
      <c r="AS282" s="336"/>
      <c r="AT282" s="336"/>
      <c r="AU282" s="336"/>
      <c r="AV282" s="336"/>
      <c r="AW282" s="336"/>
      <c r="AX282" s="336"/>
      <c r="AY282" s="336"/>
      <c r="AZ282" s="336"/>
      <c r="BA282" s="336"/>
      <c r="BB282" s="336"/>
      <c r="BC282" s="336"/>
      <c r="BD282" s="336"/>
      <c r="BE282" s="336"/>
      <c r="BF282" s="336"/>
    </row>
    <row r="283" spans="1:58" s="351" customFormat="1" x14ac:dyDescent="0.25">
      <c r="A283" s="336"/>
      <c r="B283" s="336"/>
      <c r="C283" s="336"/>
      <c r="D283" s="336"/>
      <c r="E283" s="336"/>
      <c r="F283" s="336"/>
      <c r="G283" s="336"/>
      <c r="H283" s="336"/>
      <c r="M283" s="352"/>
      <c r="N283" s="353"/>
      <c r="O283" s="353"/>
      <c r="T283" s="377"/>
      <c r="U283" s="352"/>
      <c r="V283" s="352"/>
      <c r="W283" s="352"/>
      <c r="X283" s="375"/>
      <c r="Y283" s="375"/>
      <c r="Z283" s="336"/>
      <c r="AA283" s="353"/>
      <c r="AB283" s="336"/>
      <c r="AC283" s="336"/>
      <c r="AD283" s="336"/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336"/>
      <c r="AS283" s="336"/>
      <c r="AT283" s="336"/>
      <c r="AU283" s="336"/>
      <c r="AV283" s="336"/>
      <c r="AW283" s="336"/>
      <c r="AX283" s="336"/>
      <c r="AY283" s="336"/>
      <c r="AZ283" s="336"/>
      <c r="BA283" s="336"/>
      <c r="BB283" s="336"/>
      <c r="BC283" s="336"/>
      <c r="BD283" s="336"/>
      <c r="BE283" s="336"/>
      <c r="BF283" s="336"/>
    </row>
    <row r="284" spans="1:58" s="351" customFormat="1" x14ac:dyDescent="0.25">
      <c r="A284" s="336"/>
      <c r="B284" s="336"/>
      <c r="C284" s="336"/>
      <c r="D284" s="336"/>
      <c r="E284" s="336"/>
      <c r="F284" s="336"/>
      <c r="G284" s="336"/>
      <c r="H284" s="336"/>
      <c r="M284" s="352"/>
      <c r="N284" s="353"/>
      <c r="O284" s="353"/>
      <c r="T284" s="377"/>
      <c r="U284" s="352"/>
      <c r="V284" s="352"/>
      <c r="W284" s="352"/>
      <c r="X284" s="375"/>
      <c r="Y284" s="375"/>
      <c r="Z284" s="336"/>
      <c r="AA284" s="353"/>
      <c r="AB284" s="336"/>
      <c r="AC284" s="336"/>
      <c r="AD284" s="336"/>
      <c r="AE284" s="336"/>
      <c r="AF284" s="336"/>
      <c r="AG284" s="336"/>
      <c r="AH284" s="336"/>
      <c r="AI284" s="336"/>
      <c r="AJ284" s="336"/>
      <c r="AK284" s="336"/>
      <c r="AL284" s="336"/>
      <c r="AM284" s="336"/>
      <c r="AN284" s="336"/>
      <c r="AO284" s="336"/>
      <c r="AP284" s="336"/>
      <c r="AQ284" s="336"/>
      <c r="AR284" s="336"/>
      <c r="AS284" s="336"/>
      <c r="AT284" s="336"/>
      <c r="AU284" s="336"/>
      <c r="AV284" s="336"/>
      <c r="AW284" s="336"/>
      <c r="AX284" s="336"/>
      <c r="AY284" s="336"/>
      <c r="AZ284" s="336"/>
      <c r="BA284" s="336"/>
      <c r="BB284" s="336"/>
      <c r="BC284" s="336"/>
      <c r="BD284" s="336"/>
      <c r="BE284" s="336"/>
      <c r="BF284" s="336"/>
    </row>
    <row r="285" spans="1:58" s="351" customFormat="1" x14ac:dyDescent="0.25">
      <c r="A285" s="336"/>
      <c r="B285" s="336"/>
      <c r="C285" s="336"/>
      <c r="D285" s="336"/>
      <c r="E285" s="336"/>
      <c r="F285" s="336"/>
      <c r="G285" s="336"/>
      <c r="H285" s="336"/>
      <c r="M285" s="352"/>
      <c r="N285" s="353"/>
      <c r="O285" s="353"/>
      <c r="T285" s="377"/>
      <c r="U285" s="352"/>
      <c r="V285" s="352"/>
      <c r="W285" s="352"/>
      <c r="X285" s="375"/>
      <c r="Y285" s="375"/>
      <c r="Z285" s="336"/>
      <c r="AA285" s="353"/>
      <c r="AB285" s="336"/>
      <c r="AC285" s="336"/>
      <c r="AD285" s="336"/>
      <c r="AE285" s="336"/>
      <c r="AF285" s="336"/>
      <c r="AG285" s="336"/>
      <c r="AH285" s="336"/>
      <c r="AI285" s="336"/>
      <c r="AJ285" s="336"/>
      <c r="AK285" s="336"/>
      <c r="AL285" s="336"/>
      <c r="AM285" s="336"/>
      <c r="AN285" s="336"/>
      <c r="AO285" s="336"/>
      <c r="AP285" s="336"/>
      <c r="AQ285" s="336"/>
      <c r="AR285" s="336"/>
      <c r="AS285" s="336"/>
      <c r="AT285" s="336"/>
      <c r="AU285" s="336"/>
      <c r="AV285" s="336"/>
      <c r="AW285" s="336"/>
      <c r="AX285" s="336"/>
      <c r="AY285" s="336"/>
      <c r="AZ285" s="336"/>
      <c r="BA285" s="336"/>
      <c r="BB285" s="336"/>
      <c r="BC285" s="336"/>
      <c r="BD285" s="336"/>
      <c r="BE285" s="336"/>
      <c r="BF285" s="336"/>
    </row>
    <row r="286" spans="1:58" s="351" customFormat="1" x14ac:dyDescent="0.25">
      <c r="A286" s="336"/>
      <c r="B286" s="336"/>
      <c r="C286" s="336"/>
      <c r="D286" s="336"/>
      <c r="E286" s="336"/>
      <c r="F286" s="336"/>
      <c r="G286" s="336"/>
      <c r="H286" s="336"/>
      <c r="M286" s="352"/>
      <c r="N286" s="353"/>
      <c r="O286" s="353"/>
      <c r="T286" s="377"/>
      <c r="U286" s="352"/>
      <c r="V286" s="352"/>
      <c r="W286" s="352"/>
      <c r="X286" s="375"/>
      <c r="Y286" s="375"/>
      <c r="Z286" s="336"/>
      <c r="AA286" s="353"/>
      <c r="AB286" s="336"/>
      <c r="AC286" s="336"/>
      <c r="AD286" s="336"/>
      <c r="AE286" s="336"/>
      <c r="AF286" s="336"/>
      <c r="AG286" s="336"/>
      <c r="AH286" s="336"/>
      <c r="AI286" s="336"/>
      <c r="AJ286" s="336"/>
      <c r="AK286" s="336"/>
      <c r="AL286" s="336"/>
      <c r="AM286" s="336"/>
      <c r="AN286" s="336"/>
      <c r="AO286" s="336"/>
      <c r="AP286" s="336"/>
      <c r="AQ286" s="336"/>
      <c r="AR286" s="336"/>
      <c r="AS286" s="336"/>
      <c r="AT286" s="336"/>
      <c r="AU286" s="336"/>
      <c r="AV286" s="336"/>
      <c r="AW286" s="336"/>
      <c r="AX286" s="336"/>
      <c r="AY286" s="336"/>
      <c r="AZ286" s="336"/>
      <c r="BA286" s="336"/>
      <c r="BB286" s="336"/>
      <c r="BC286" s="336"/>
      <c r="BD286" s="336"/>
      <c r="BE286" s="336"/>
      <c r="BF286" s="336"/>
    </row>
    <row r="287" spans="1:58" s="351" customFormat="1" x14ac:dyDescent="0.25">
      <c r="A287" s="336"/>
      <c r="B287" s="336"/>
      <c r="C287" s="336"/>
      <c r="D287" s="336"/>
      <c r="E287" s="336"/>
      <c r="F287" s="336"/>
      <c r="G287" s="336"/>
      <c r="H287" s="336"/>
      <c r="M287" s="352"/>
      <c r="N287" s="353"/>
      <c r="O287" s="353"/>
      <c r="T287" s="377"/>
      <c r="U287" s="352"/>
      <c r="V287" s="352"/>
      <c r="W287" s="352"/>
      <c r="X287" s="375"/>
      <c r="Y287" s="375"/>
      <c r="Z287" s="336"/>
      <c r="AA287" s="353"/>
      <c r="AB287" s="336"/>
      <c r="AC287" s="336"/>
      <c r="AD287" s="336"/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336"/>
      <c r="AS287" s="336"/>
      <c r="AT287" s="336"/>
      <c r="AU287" s="336"/>
      <c r="AV287" s="336"/>
      <c r="AW287" s="336"/>
      <c r="AX287" s="336"/>
      <c r="AY287" s="336"/>
      <c r="AZ287" s="336"/>
      <c r="BA287" s="336"/>
      <c r="BB287" s="336"/>
      <c r="BC287" s="336"/>
      <c r="BD287" s="336"/>
      <c r="BE287" s="336"/>
      <c r="BF287" s="336"/>
    </row>
    <row r="288" spans="1:58" s="351" customFormat="1" x14ac:dyDescent="0.25">
      <c r="A288" s="336"/>
      <c r="B288" s="336"/>
      <c r="C288" s="336"/>
      <c r="D288" s="336"/>
      <c r="E288" s="336"/>
      <c r="F288" s="336"/>
      <c r="G288" s="336"/>
      <c r="H288" s="336"/>
      <c r="M288" s="352"/>
      <c r="N288" s="353"/>
      <c r="O288" s="353"/>
      <c r="T288" s="377"/>
      <c r="U288" s="352"/>
      <c r="V288" s="352"/>
      <c r="W288" s="352"/>
      <c r="X288" s="375"/>
      <c r="Y288" s="375"/>
      <c r="Z288" s="336"/>
      <c r="AA288" s="353"/>
      <c r="AB288" s="336"/>
      <c r="AC288" s="336"/>
      <c r="AD288" s="336"/>
      <c r="AE288" s="336"/>
      <c r="AF288" s="336"/>
      <c r="AG288" s="336"/>
      <c r="AH288" s="336"/>
      <c r="AI288" s="336"/>
      <c r="AJ288" s="336"/>
      <c r="AK288" s="336"/>
      <c r="AL288" s="336"/>
      <c r="AM288" s="336"/>
      <c r="AN288" s="336"/>
      <c r="AO288" s="336"/>
      <c r="AP288" s="336"/>
      <c r="AQ288" s="336"/>
      <c r="AR288" s="336"/>
      <c r="AS288" s="336"/>
      <c r="AT288" s="336"/>
      <c r="AU288" s="336"/>
      <c r="AV288" s="336"/>
      <c r="AW288" s="336"/>
      <c r="AX288" s="336"/>
      <c r="AY288" s="336"/>
      <c r="AZ288" s="336"/>
      <c r="BA288" s="336"/>
      <c r="BB288" s="336"/>
      <c r="BC288" s="336"/>
      <c r="BD288" s="336"/>
      <c r="BE288" s="336"/>
      <c r="BF288" s="336"/>
    </row>
    <row r="289" spans="1:58" s="351" customFormat="1" x14ac:dyDescent="0.25">
      <c r="A289" s="336"/>
      <c r="B289" s="336"/>
      <c r="C289" s="336"/>
      <c r="D289" s="336"/>
      <c r="E289" s="336"/>
      <c r="F289" s="336"/>
      <c r="G289" s="336"/>
      <c r="H289" s="336"/>
      <c r="M289" s="352"/>
      <c r="N289" s="353"/>
      <c r="O289" s="353"/>
      <c r="T289" s="377"/>
      <c r="U289" s="352"/>
      <c r="V289" s="352"/>
      <c r="W289" s="352"/>
      <c r="X289" s="375"/>
      <c r="Y289" s="375"/>
      <c r="Z289" s="336"/>
      <c r="AA289" s="353"/>
      <c r="AB289" s="336"/>
      <c r="AC289" s="336"/>
      <c r="AD289" s="336"/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336"/>
      <c r="AS289" s="336"/>
      <c r="AT289" s="336"/>
      <c r="AU289" s="336"/>
      <c r="AV289" s="336"/>
      <c r="AW289" s="336"/>
      <c r="AX289" s="336"/>
      <c r="AY289" s="336"/>
      <c r="AZ289" s="336"/>
      <c r="BA289" s="336"/>
      <c r="BB289" s="336"/>
      <c r="BC289" s="336"/>
      <c r="BD289" s="336"/>
      <c r="BE289" s="336"/>
      <c r="BF289" s="336"/>
    </row>
    <row r="290" spans="1:58" s="351" customFormat="1" x14ac:dyDescent="0.25">
      <c r="A290" s="336"/>
      <c r="B290" s="336"/>
      <c r="C290" s="336"/>
      <c r="D290" s="336"/>
      <c r="E290" s="336"/>
      <c r="F290" s="336"/>
      <c r="G290" s="336"/>
      <c r="H290" s="336"/>
      <c r="M290" s="352"/>
      <c r="N290" s="353"/>
      <c r="O290" s="353"/>
      <c r="T290" s="377"/>
      <c r="U290" s="352"/>
      <c r="V290" s="352"/>
      <c r="W290" s="352"/>
      <c r="X290" s="375"/>
      <c r="Y290" s="375"/>
      <c r="Z290" s="336"/>
      <c r="AA290" s="353"/>
      <c r="AB290" s="336"/>
      <c r="AC290" s="336"/>
      <c r="AD290" s="336"/>
      <c r="AE290" s="336"/>
      <c r="AF290" s="336"/>
      <c r="AG290" s="336"/>
      <c r="AH290" s="336"/>
      <c r="AI290" s="336"/>
      <c r="AJ290" s="336"/>
      <c r="AK290" s="336"/>
      <c r="AL290" s="336"/>
      <c r="AM290" s="336"/>
      <c r="AN290" s="336"/>
      <c r="AO290" s="336"/>
      <c r="AP290" s="336"/>
      <c r="AQ290" s="336"/>
      <c r="AR290" s="336"/>
      <c r="AS290" s="336"/>
      <c r="AT290" s="336"/>
      <c r="AU290" s="336"/>
      <c r="AV290" s="336"/>
      <c r="AW290" s="336"/>
      <c r="AX290" s="336"/>
      <c r="AY290" s="336"/>
      <c r="AZ290" s="336"/>
      <c r="BA290" s="336"/>
      <c r="BB290" s="336"/>
      <c r="BC290" s="336"/>
      <c r="BD290" s="336"/>
      <c r="BE290" s="336"/>
      <c r="BF290" s="336"/>
    </row>
    <row r="291" spans="1:58" s="351" customFormat="1" x14ac:dyDescent="0.25">
      <c r="A291" s="336"/>
      <c r="B291" s="336"/>
      <c r="C291" s="336"/>
      <c r="D291" s="336"/>
      <c r="E291" s="336"/>
      <c r="F291" s="336"/>
      <c r="G291" s="336"/>
      <c r="H291" s="336"/>
      <c r="M291" s="352"/>
      <c r="N291" s="353"/>
      <c r="O291" s="353"/>
      <c r="T291" s="377"/>
      <c r="U291" s="352"/>
      <c r="V291" s="352"/>
      <c r="W291" s="352"/>
      <c r="X291" s="375"/>
      <c r="Y291" s="375"/>
      <c r="Z291" s="336"/>
      <c r="AA291" s="353"/>
      <c r="AB291" s="336"/>
      <c r="AC291" s="336"/>
      <c r="AD291" s="336"/>
      <c r="AE291" s="336"/>
      <c r="AF291" s="336"/>
      <c r="AG291" s="336"/>
      <c r="AH291" s="336"/>
      <c r="AI291" s="336"/>
      <c r="AJ291" s="336"/>
      <c r="AK291" s="336"/>
      <c r="AL291" s="336"/>
      <c r="AM291" s="336"/>
      <c r="AN291" s="336"/>
      <c r="AO291" s="336"/>
      <c r="AP291" s="336"/>
      <c r="AQ291" s="336"/>
      <c r="AR291" s="336"/>
      <c r="AS291" s="336"/>
      <c r="AT291" s="336"/>
      <c r="AU291" s="336"/>
      <c r="AV291" s="336"/>
      <c r="AW291" s="336"/>
      <c r="AX291" s="336"/>
      <c r="AY291" s="336"/>
      <c r="AZ291" s="336"/>
      <c r="BA291" s="336"/>
      <c r="BB291" s="336"/>
      <c r="BC291" s="336"/>
      <c r="BD291" s="336"/>
      <c r="BE291" s="336"/>
      <c r="BF291" s="336"/>
    </row>
    <row r="292" spans="1:58" s="351" customFormat="1" x14ac:dyDescent="0.25">
      <c r="A292" s="336"/>
      <c r="B292" s="336"/>
      <c r="C292" s="336"/>
      <c r="D292" s="336"/>
      <c r="E292" s="336"/>
      <c r="F292" s="336"/>
      <c r="G292" s="336"/>
      <c r="H292" s="336"/>
      <c r="M292" s="352"/>
      <c r="N292" s="353"/>
      <c r="O292" s="353"/>
      <c r="T292" s="377"/>
      <c r="U292" s="352"/>
      <c r="V292" s="352"/>
      <c r="W292" s="352"/>
      <c r="X292" s="375"/>
      <c r="Y292" s="375"/>
      <c r="Z292" s="336"/>
      <c r="AA292" s="353"/>
      <c r="AB292" s="336"/>
      <c r="AC292" s="336"/>
      <c r="AD292" s="336"/>
      <c r="AE292" s="336"/>
      <c r="AF292" s="336"/>
      <c r="AG292" s="336"/>
      <c r="AH292" s="336"/>
      <c r="AI292" s="336"/>
      <c r="AJ292" s="336"/>
      <c r="AK292" s="336"/>
      <c r="AL292" s="336"/>
      <c r="AM292" s="336"/>
      <c r="AN292" s="336"/>
      <c r="AO292" s="336"/>
      <c r="AP292" s="336"/>
      <c r="AQ292" s="336"/>
      <c r="AR292" s="336"/>
      <c r="AS292" s="336"/>
      <c r="AT292" s="336"/>
      <c r="AU292" s="336"/>
      <c r="AV292" s="336"/>
      <c r="AW292" s="336"/>
      <c r="AX292" s="336"/>
      <c r="AY292" s="336"/>
      <c r="AZ292" s="336"/>
      <c r="BA292" s="336"/>
      <c r="BB292" s="336"/>
      <c r="BC292" s="336"/>
      <c r="BD292" s="336"/>
      <c r="BE292" s="336"/>
      <c r="BF292" s="336"/>
    </row>
    <row r="293" spans="1:58" s="351" customFormat="1" x14ac:dyDescent="0.25">
      <c r="A293" s="336"/>
      <c r="B293" s="336"/>
      <c r="C293" s="336"/>
      <c r="D293" s="336"/>
      <c r="E293" s="336"/>
      <c r="F293" s="336"/>
      <c r="G293" s="336"/>
      <c r="H293" s="336"/>
      <c r="M293" s="352"/>
      <c r="N293" s="353"/>
      <c r="O293" s="353"/>
      <c r="T293" s="377"/>
      <c r="U293" s="352"/>
      <c r="V293" s="352"/>
      <c r="W293" s="352"/>
      <c r="X293" s="375"/>
      <c r="Y293" s="375"/>
      <c r="Z293" s="336"/>
      <c r="AA293" s="353"/>
      <c r="AB293" s="336"/>
      <c r="AC293" s="336"/>
      <c r="AD293" s="336"/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336"/>
      <c r="AS293" s="336"/>
      <c r="AT293" s="336"/>
      <c r="AU293" s="336"/>
      <c r="AV293" s="336"/>
      <c r="AW293" s="336"/>
      <c r="AX293" s="336"/>
      <c r="AY293" s="336"/>
      <c r="AZ293" s="336"/>
      <c r="BA293" s="336"/>
      <c r="BB293" s="336"/>
      <c r="BC293" s="336"/>
      <c r="BD293" s="336"/>
      <c r="BE293" s="336"/>
      <c r="BF293" s="336"/>
    </row>
    <row r="294" spans="1:58" s="351" customFormat="1" x14ac:dyDescent="0.25">
      <c r="A294" s="336"/>
      <c r="B294" s="336"/>
      <c r="C294" s="336"/>
      <c r="D294" s="336"/>
      <c r="E294" s="336"/>
      <c r="F294" s="336"/>
      <c r="G294" s="336"/>
      <c r="H294" s="336"/>
      <c r="M294" s="352"/>
      <c r="N294" s="353"/>
      <c r="O294" s="353"/>
      <c r="T294" s="377"/>
      <c r="U294" s="352"/>
      <c r="V294" s="352"/>
      <c r="W294" s="352"/>
      <c r="X294" s="375"/>
      <c r="Y294" s="375"/>
      <c r="Z294" s="336"/>
      <c r="AA294" s="353"/>
      <c r="AB294" s="336"/>
      <c r="AC294" s="336"/>
      <c r="AD294" s="336"/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336"/>
      <c r="AS294" s="336"/>
      <c r="AT294" s="336"/>
      <c r="AU294" s="336"/>
      <c r="AV294" s="336"/>
      <c r="AW294" s="336"/>
      <c r="AX294" s="336"/>
      <c r="AY294" s="336"/>
      <c r="AZ294" s="336"/>
      <c r="BA294" s="336"/>
      <c r="BB294" s="336"/>
      <c r="BC294" s="336"/>
      <c r="BD294" s="336"/>
      <c r="BE294" s="336"/>
      <c r="BF294" s="336"/>
    </row>
    <row r="295" spans="1:58" s="351" customFormat="1" x14ac:dyDescent="0.25">
      <c r="A295" s="336"/>
      <c r="B295" s="336"/>
      <c r="C295" s="336"/>
      <c r="D295" s="336"/>
      <c r="E295" s="336"/>
      <c r="F295" s="336"/>
      <c r="G295" s="336"/>
      <c r="H295" s="336"/>
      <c r="M295" s="352"/>
      <c r="N295" s="353"/>
      <c r="O295" s="353"/>
      <c r="T295" s="377"/>
      <c r="U295" s="352"/>
      <c r="V295" s="352"/>
      <c r="W295" s="352"/>
      <c r="X295" s="375"/>
      <c r="Y295" s="375"/>
      <c r="Z295" s="336"/>
      <c r="AA295" s="353"/>
      <c r="AB295" s="336"/>
      <c r="AC295" s="336"/>
      <c r="AD295" s="336"/>
      <c r="AE295" s="336"/>
      <c r="AF295" s="336"/>
      <c r="AG295" s="336"/>
      <c r="AH295" s="336"/>
      <c r="AI295" s="336"/>
      <c r="AJ295" s="336"/>
      <c r="AK295" s="336"/>
      <c r="AL295" s="336"/>
      <c r="AM295" s="336"/>
      <c r="AN295" s="336"/>
      <c r="AO295" s="336"/>
      <c r="AP295" s="336"/>
      <c r="AQ295" s="336"/>
      <c r="AR295" s="336"/>
      <c r="AS295" s="336"/>
      <c r="AT295" s="336"/>
      <c r="AU295" s="336"/>
      <c r="AV295" s="336"/>
      <c r="AW295" s="336"/>
      <c r="AX295" s="336"/>
      <c r="AY295" s="336"/>
      <c r="AZ295" s="336"/>
      <c r="BA295" s="336"/>
      <c r="BB295" s="336"/>
      <c r="BC295" s="336"/>
      <c r="BD295" s="336"/>
      <c r="BE295" s="336"/>
      <c r="BF295" s="336"/>
    </row>
    <row r="296" spans="1:58" s="351" customFormat="1" x14ac:dyDescent="0.25">
      <c r="A296" s="336"/>
      <c r="B296" s="336"/>
      <c r="C296" s="336"/>
      <c r="D296" s="336"/>
      <c r="E296" s="336"/>
      <c r="F296" s="336"/>
      <c r="G296" s="336"/>
      <c r="H296" s="336"/>
      <c r="M296" s="352"/>
      <c r="N296" s="353"/>
      <c r="O296" s="353"/>
      <c r="T296" s="377"/>
      <c r="U296" s="352"/>
      <c r="V296" s="352"/>
      <c r="W296" s="352"/>
      <c r="X296" s="375"/>
      <c r="Y296" s="375"/>
      <c r="Z296" s="336"/>
      <c r="AA296" s="353"/>
      <c r="AB296" s="336"/>
      <c r="AC296" s="336"/>
      <c r="AD296" s="336"/>
      <c r="AE296" s="336"/>
      <c r="AF296" s="336"/>
      <c r="AG296" s="336"/>
      <c r="AH296" s="336"/>
      <c r="AI296" s="336"/>
      <c r="AJ296" s="336"/>
      <c r="AK296" s="336"/>
      <c r="AL296" s="336"/>
      <c r="AM296" s="336"/>
      <c r="AN296" s="336"/>
      <c r="AO296" s="336"/>
      <c r="AP296" s="336"/>
      <c r="AQ296" s="336"/>
      <c r="AR296" s="336"/>
      <c r="AS296" s="336"/>
      <c r="AT296" s="336"/>
      <c r="AU296" s="336"/>
      <c r="AV296" s="336"/>
      <c r="AW296" s="336"/>
      <c r="AX296" s="336"/>
      <c r="AY296" s="336"/>
      <c r="AZ296" s="336"/>
      <c r="BA296" s="336"/>
      <c r="BB296" s="336"/>
      <c r="BC296" s="336"/>
      <c r="BD296" s="336"/>
      <c r="BE296" s="336"/>
      <c r="BF296" s="336"/>
    </row>
    <row r="297" spans="1:58" s="351" customFormat="1" x14ac:dyDescent="0.25">
      <c r="A297" s="336"/>
      <c r="B297" s="336"/>
      <c r="C297" s="336"/>
      <c r="D297" s="336"/>
      <c r="E297" s="336"/>
      <c r="F297" s="336"/>
      <c r="G297" s="336"/>
      <c r="H297" s="336"/>
      <c r="M297" s="352"/>
      <c r="N297" s="353"/>
      <c r="O297" s="353"/>
      <c r="T297" s="377"/>
      <c r="U297" s="352"/>
      <c r="V297" s="352"/>
      <c r="W297" s="352"/>
      <c r="X297" s="375"/>
      <c r="Y297" s="375"/>
      <c r="Z297" s="336"/>
      <c r="AA297" s="353"/>
      <c r="AB297" s="336"/>
      <c r="AC297" s="336"/>
      <c r="AD297" s="336"/>
      <c r="AE297" s="336"/>
      <c r="AF297" s="336"/>
      <c r="AG297" s="336"/>
      <c r="AH297" s="336"/>
      <c r="AI297" s="336"/>
      <c r="AJ297" s="336"/>
      <c r="AK297" s="336"/>
      <c r="AL297" s="336"/>
      <c r="AM297" s="336"/>
      <c r="AN297" s="336"/>
      <c r="AO297" s="336"/>
      <c r="AP297" s="336"/>
      <c r="AQ297" s="336"/>
      <c r="AR297" s="336"/>
      <c r="AS297" s="336"/>
      <c r="AT297" s="336"/>
      <c r="AU297" s="336"/>
      <c r="AV297" s="336"/>
      <c r="AW297" s="336"/>
      <c r="AX297" s="336"/>
      <c r="AY297" s="336"/>
      <c r="AZ297" s="336"/>
      <c r="BA297" s="336"/>
      <c r="BB297" s="336"/>
      <c r="BC297" s="336"/>
      <c r="BD297" s="336"/>
      <c r="BE297" s="336"/>
      <c r="BF297" s="336"/>
    </row>
    <row r="298" spans="1:58" s="351" customFormat="1" x14ac:dyDescent="0.25">
      <c r="A298" s="336"/>
      <c r="B298" s="336"/>
      <c r="C298" s="336"/>
      <c r="D298" s="336"/>
      <c r="E298" s="336"/>
      <c r="F298" s="336"/>
      <c r="G298" s="336"/>
      <c r="H298" s="336"/>
      <c r="M298" s="352"/>
      <c r="N298" s="353"/>
      <c r="O298" s="353"/>
      <c r="T298" s="377"/>
      <c r="U298" s="352"/>
      <c r="V298" s="352"/>
      <c r="W298" s="352"/>
      <c r="X298" s="375"/>
      <c r="Y298" s="375"/>
      <c r="Z298" s="336"/>
      <c r="AA298" s="353"/>
      <c r="AB298" s="336"/>
      <c r="AC298" s="336"/>
      <c r="AD298" s="336"/>
      <c r="AE298" s="336"/>
      <c r="AF298" s="336"/>
      <c r="AG298" s="336"/>
      <c r="AH298" s="336"/>
      <c r="AI298" s="336"/>
      <c r="AJ298" s="336"/>
      <c r="AK298" s="336"/>
      <c r="AL298" s="336"/>
      <c r="AM298" s="336"/>
      <c r="AN298" s="336"/>
      <c r="AO298" s="336"/>
      <c r="AP298" s="336"/>
      <c r="AQ298" s="336"/>
      <c r="AR298" s="336"/>
      <c r="AS298" s="336"/>
      <c r="AT298" s="336"/>
      <c r="AU298" s="336"/>
      <c r="AV298" s="336"/>
      <c r="AW298" s="336"/>
      <c r="AX298" s="336"/>
      <c r="AY298" s="336"/>
      <c r="AZ298" s="336"/>
      <c r="BA298" s="336"/>
      <c r="BB298" s="336"/>
      <c r="BC298" s="336"/>
      <c r="BD298" s="336"/>
      <c r="BE298" s="336"/>
      <c r="BF298" s="336"/>
    </row>
    <row r="299" spans="1:58" s="351" customFormat="1" x14ac:dyDescent="0.25">
      <c r="A299" s="336"/>
      <c r="B299" s="336"/>
      <c r="C299" s="336"/>
      <c r="D299" s="336"/>
      <c r="E299" s="336"/>
      <c r="F299" s="336"/>
      <c r="G299" s="336"/>
      <c r="H299" s="336"/>
      <c r="M299" s="352"/>
      <c r="N299" s="353"/>
      <c r="O299" s="353"/>
      <c r="T299" s="377"/>
      <c r="U299" s="352"/>
      <c r="V299" s="352"/>
      <c r="W299" s="352"/>
      <c r="X299" s="375"/>
      <c r="Y299" s="375"/>
      <c r="Z299" s="336"/>
      <c r="AA299" s="353"/>
      <c r="AB299" s="336"/>
      <c r="AC299" s="336"/>
      <c r="AD299" s="336"/>
      <c r="AE299" s="336"/>
      <c r="AF299" s="336"/>
      <c r="AG299" s="336"/>
      <c r="AH299" s="336"/>
      <c r="AI299" s="336"/>
      <c r="AJ299" s="336"/>
      <c r="AK299" s="336"/>
      <c r="AL299" s="336"/>
      <c r="AM299" s="336"/>
      <c r="AN299" s="336"/>
      <c r="AO299" s="336"/>
      <c r="AP299" s="336"/>
      <c r="AQ299" s="336"/>
      <c r="AR299" s="336"/>
      <c r="AS299" s="336"/>
      <c r="AT299" s="336"/>
      <c r="AU299" s="336"/>
      <c r="AV299" s="336"/>
      <c r="AW299" s="336"/>
      <c r="AX299" s="336"/>
      <c r="AY299" s="336"/>
      <c r="AZ299" s="336"/>
      <c r="BA299" s="336"/>
      <c r="BB299" s="336"/>
      <c r="BC299" s="336"/>
      <c r="BD299" s="336"/>
      <c r="BE299" s="336"/>
      <c r="BF299" s="336"/>
    </row>
    <row r="300" spans="1:58" s="351" customFormat="1" x14ac:dyDescent="0.25">
      <c r="A300" s="336"/>
      <c r="B300" s="336"/>
      <c r="C300" s="336"/>
      <c r="D300" s="336"/>
      <c r="E300" s="336"/>
      <c r="F300" s="336"/>
      <c r="G300" s="336"/>
      <c r="H300" s="336"/>
      <c r="M300" s="352"/>
      <c r="N300" s="353"/>
      <c r="O300" s="353"/>
      <c r="T300" s="377"/>
      <c r="U300" s="352"/>
      <c r="V300" s="352"/>
      <c r="W300" s="352"/>
      <c r="X300" s="375"/>
      <c r="Y300" s="375"/>
      <c r="Z300" s="336"/>
      <c r="AA300" s="353"/>
      <c r="AB300" s="336"/>
      <c r="AC300" s="336"/>
      <c r="AD300" s="336"/>
      <c r="AE300" s="336"/>
      <c r="AF300" s="336"/>
      <c r="AG300" s="336"/>
      <c r="AH300" s="336"/>
      <c r="AI300" s="336"/>
      <c r="AJ300" s="336"/>
      <c r="AK300" s="336"/>
      <c r="AL300" s="336"/>
      <c r="AM300" s="336"/>
      <c r="AN300" s="336"/>
      <c r="AO300" s="336"/>
      <c r="AP300" s="336"/>
      <c r="AQ300" s="336"/>
      <c r="AR300" s="336"/>
      <c r="AS300" s="336"/>
      <c r="AT300" s="336"/>
      <c r="AU300" s="336"/>
      <c r="AV300" s="336"/>
      <c r="AW300" s="336"/>
      <c r="AX300" s="336"/>
      <c r="AY300" s="336"/>
      <c r="AZ300" s="336"/>
      <c r="BA300" s="336"/>
      <c r="BB300" s="336"/>
      <c r="BC300" s="336"/>
      <c r="BD300" s="336"/>
      <c r="BE300" s="336"/>
      <c r="BF300" s="336"/>
    </row>
    <row r="301" spans="1:58" s="351" customFormat="1" x14ac:dyDescent="0.25">
      <c r="A301" s="336"/>
      <c r="B301" s="336"/>
      <c r="C301" s="336"/>
      <c r="D301" s="336"/>
      <c r="E301" s="336"/>
      <c r="F301" s="336"/>
      <c r="G301" s="336"/>
      <c r="H301" s="336"/>
      <c r="M301" s="352"/>
      <c r="N301" s="353"/>
      <c r="O301" s="353"/>
      <c r="T301" s="377"/>
      <c r="U301" s="352"/>
      <c r="V301" s="352"/>
      <c r="W301" s="352"/>
      <c r="X301" s="375"/>
      <c r="Y301" s="375"/>
      <c r="Z301" s="336"/>
      <c r="AA301" s="353"/>
      <c r="AB301" s="336"/>
      <c r="AC301" s="336"/>
      <c r="AD301" s="336"/>
      <c r="AE301" s="336"/>
      <c r="AF301" s="336"/>
      <c r="AG301" s="336"/>
      <c r="AH301" s="336"/>
      <c r="AI301" s="336"/>
      <c r="AJ301" s="336"/>
      <c r="AK301" s="336"/>
      <c r="AL301" s="336"/>
      <c r="AM301" s="336"/>
      <c r="AN301" s="336"/>
      <c r="AO301" s="336"/>
      <c r="AP301" s="336"/>
      <c r="AQ301" s="336"/>
      <c r="AR301" s="336"/>
      <c r="AS301" s="336"/>
      <c r="AT301" s="336"/>
      <c r="AU301" s="336"/>
      <c r="AV301" s="336"/>
      <c r="AW301" s="336"/>
      <c r="AX301" s="336"/>
      <c r="AY301" s="336"/>
      <c r="AZ301" s="336"/>
      <c r="BA301" s="336"/>
      <c r="BB301" s="336"/>
      <c r="BC301" s="336"/>
      <c r="BD301" s="336"/>
      <c r="BE301" s="336"/>
      <c r="BF301" s="336"/>
    </row>
    <row r="302" spans="1:58" s="351" customFormat="1" x14ac:dyDescent="0.25">
      <c r="A302" s="336"/>
      <c r="B302" s="336"/>
      <c r="C302" s="336"/>
      <c r="D302" s="336"/>
      <c r="E302" s="336"/>
      <c r="F302" s="336"/>
      <c r="G302" s="336"/>
      <c r="H302" s="336"/>
      <c r="M302" s="352"/>
      <c r="N302" s="353"/>
      <c r="O302" s="353"/>
      <c r="T302" s="377"/>
      <c r="U302" s="352"/>
      <c r="V302" s="352"/>
      <c r="W302" s="352"/>
      <c r="X302" s="375"/>
      <c r="Y302" s="375"/>
      <c r="Z302" s="336"/>
      <c r="AA302" s="353"/>
      <c r="AB302" s="336"/>
      <c r="AC302" s="336"/>
      <c r="AD302" s="336"/>
      <c r="AE302" s="336"/>
      <c r="AF302" s="336"/>
      <c r="AG302" s="336"/>
      <c r="AH302" s="336"/>
      <c r="AI302" s="336"/>
      <c r="AJ302" s="336"/>
      <c r="AK302" s="336"/>
      <c r="AL302" s="336"/>
      <c r="AM302" s="336"/>
      <c r="AN302" s="336"/>
      <c r="AO302" s="336"/>
      <c r="AP302" s="336"/>
      <c r="AQ302" s="336"/>
      <c r="AR302" s="336"/>
      <c r="AS302" s="336"/>
      <c r="AT302" s="336"/>
      <c r="AU302" s="336"/>
      <c r="AV302" s="336"/>
      <c r="AW302" s="336"/>
      <c r="AX302" s="336"/>
      <c r="AY302" s="336"/>
      <c r="AZ302" s="336"/>
      <c r="BA302" s="336"/>
      <c r="BB302" s="336"/>
      <c r="BC302" s="336"/>
      <c r="BD302" s="336"/>
      <c r="BE302" s="336"/>
      <c r="BF302" s="336"/>
    </row>
    <row r="303" spans="1:58" s="351" customFormat="1" x14ac:dyDescent="0.25">
      <c r="A303" s="336"/>
      <c r="B303" s="336"/>
      <c r="C303" s="336"/>
      <c r="D303" s="336"/>
      <c r="E303" s="336"/>
      <c r="F303" s="336"/>
      <c r="G303" s="336"/>
      <c r="H303" s="336"/>
      <c r="M303" s="352"/>
      <c r="N303" s="353"/>
      <c r="O303" s="353"/>
      <c r="T303" s="377"/>
      <c r="U303" s="352"/>
      <c r="V303" s="352"/>
      <c r="W303" s="352"/>
      <c r="X303" s="375"/>
      <c r="Y303" s="375"/>
      <c r="Z303" s="336"/>
      <c r="AA303" s="353"/>
      <c r="AB303" s="336"/>
      <c r="AC303" s="336"/>
      <c r="AD303" s="336"/>
      <c r="AE303" s="336"/>
      <c r="AF303" s="336"/>
      <c r="AG303" s="336"/>
      <c r="AH303" s="336"/>
      <c r="AI303" s="336"/>
      <c r="AJ303" s="336"/>
      <c r="AK303" s="336"/>
      <c r="AL303" s="336"/>
      <c r="AM303" s="336"/>
      <c r="AN303" s="336"/>
      <c r="AO303" s="336"/>
      <c r="AP303" s="336"/>
      <c r="AQ303" s="336"/>
      <c r="AR303" s="336"/>
      <c r="AS303" s="336"/>
      <c r="AT303" s="336"/>
      <c r="AU303" s="336"/>
      <c r="AV303" s="336"/>
      <c r="AW303" s="336"/>
      <c r="AX303" s="336"/>
      <c r="AY303" s="336"/>
      <c r="AZ303" s="336"/>
      <c r="BA303" s="336"/>
      <c r="BB303" s="336"/>
      <c r="BC303" s="336"/>
      <c r="BD303" s="336"/>
      <c r="BE303" s="336"/>
      <c r="BF303" s="336"/>
    </row>
    <row r="304" spans="1:58" s="351" customFormat="1" x14ac:dyDescent="0.25">
      <c r="A304" s="336"/>
      <c r="B304" s="336"/>
      <c r="C304" s="336"/>
      <c r="D304" s="336"/>
      <c r="E304" s="336"/>
      <c r="F304" s="336"/>
      <c r="G304" s="336"/>
      <c r="H304" s="336"/>
      <c r="M304" s="352"/>
      <c r="N304" s="353"/>
      <c r="O304" s="353"/>
      <c r="T304" s="377"/>
      <c r="U304" s="352"/>
      <c r="V304" s="352"/>
      <c r="W304" s="352"/>
      <c r="X304" s="375"/>
      <c r="Y304" s="375"/>
      <c r="Z304" s="336"/>
      <c r="AA304" s="353"/>
      <c r="AB304" s="336"/>
      <c r="AC304" s="336"/>
      <c r="AD304" s="336"/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336"/>
      <c r="AS304" s="336"/>
      <c r="AT304" s="336"/>
      <c r="AU304" s="336"/>
      <c r="AV304" s="336"/>
      <c r="AW304" s="336"/>
      <c r="AX304" s="336"/>
      <c r="AY304" s="336"/>
      <c r="AZ304" s="336"/>
      <c r="BA304" s="336"/>
      <c r="BB304" s="336"/>
      <c r="BC304" s="336"/>
      <c r="BD304" s="336"/>
      <c r="BE304" s="336"/>
      <c r="BF304" s="336"/>
    </row>
    <row r="305" spans="1:58" s="351" customFormat="1" x14ac:dyDescent="0.25">
      <c r="A305" s="336"/>
      <c r="B305" s="336"/>
      <c r="C305" s="336"/>
      <c r="D305" s="336"/>
      <c r="E305" s="336"/>
      <c r="F305" s="336"/>
      <c r="G305" s="336"/>
      <c r="H305" s="336"/>
      <c r="M305" s="352"/>
      <c r="N305" s="353"/>
      <c r="O305" s="353"/>
      <c r="T305" s="377"/>
      <c r="U305" s="352"/>
      <c r="V305" s="352"/>
      <c r="W305" s="352"/>
      <c r="X305" s="375"/>
      <c r="Y305" s="375"/>
      <c r="Z305" s="336"/>
      <c r="AA305" s="353"/>
      <c r="AB305" s="336"/>
      <c r="AC305" s="336"/>
      <c r="AD305" s="336"/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336"/>
      <c r="AS305" s="336"/>
      <c r="AT305" s="336"/>
      <c r="AU305" s="336"/>
      <c r="AV305" s="336"/>
      <c r="AW305" s="336"/>
      <c r="AX305" s="336"/>
      <c r="AY305" s="336"/>
      <c r="AZ305" s="336"/>
      <c r="BA305" s="336"/>
      <c r="BB305" s="336"/>
      <c r="BC305" s="336"/>
      <c r="BD305" s="336"/>
      <c r="BE305" s="336"/>
      <c r="BF305" s="336"/>
    </row>
    <row r="306" spans="1:58" s="351" customFormat="1" x14ac:dyDescent="0.25">
      <c r="A306" s="336"/>
      <c r="B306" s="336"/>
      <c r="C306" s="336"/>
      <c r="D306" s="336"/>
      <c r="E306" s="336"/>
      <c r="F306" s="336"/>
      <c r="G306" s="336"/>
      <c r="H306" s="336"/>
      <c r="M306" s="352"/>
      <c r="N306" s="353"/>
      <c r="O306" s="353"/>
      <c r="T306" s="377"/>
      <c r="U306" s="352"/>
      <c r="V306" s="352"/>
      <c r="W306" s="352"/>
      <c r="X306" s="375"/>
      <c r="Y306" s="375"/>
      <c r="Z306" s="336"/>
      <c r="AA306" s="353"/>
      <c r="AB306" s="336"/>
      <c r="AC306" s="336"/>
      <c r="AD306" s="336"/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336"/>
      <c r="AS306" s="336"/>
      <c r="AT306" s="336"/>
      <c r="AU306" s="336"/>
      <c r="AV306" s="336"/>
      <c r="AW306" s="336"/>
      <c r="AX306" s="336"/>
      <c r="AY306" s="336"/>
      <c r="AZ306" s="336"/>
      <c r="BA306" s="336"/>
      <c r="BB306" s="336"/>
      <c r="BC306" s="336"/>
      <c r="BD306" s="336"/>
      <c r="BE306" s="336"/>
      <c r="BF306" s="336"/>
    </row>
    <row r="307" spans="1:58" s="351" customFormat="1" x14ac:dyDescent="0.25">
      <c r="A307" s="336"/>
      <c r="B307" s="336"/>
      <c r="C307" s="336"/>
      <c r="D307" s="336"/>
      <c r="E307" s="336"/>
      <c r="F307" s="336"/>
      <c r="G307" s="336"/>
      <c r="H307" s="336"/>
      <c r="M307" s="352"/>
      <c r="N307" s="353"/>
      <c r="O307" s="353"/>
      <c r="T307" s="377"/>
      <c r="U307" s="352"/>
      <c r="V307" s="352"/>
      <c r="W307" s="352"/>
      <c r="X307" s="375"/>
      <c r="Y307" s="375"/>
      <c r="Z307" s="336"/>
      <c r="AA307" s="353"/>
      <c r="AB307" s="336"/>
      <c r="AC307" s="336"/>
      <c r="AD307" s="336"/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336"/>
      <c r="AS307" s="336"/>
      <c r="AT307" s="336"/>
      <c r="AU307" s="336"/>
      <c r="AV307" s="336"/>
      <c r="AW307" s="336"/>
      <c r="AX307" s="336"/>
      <c r="AY307" s="336"/>
      <c r="AZ307" s="336"/>
      <c r="BA307" s="336"/>
      <c r="BB307" s="336"/>
      <c r="BC307" s="336"/>
      <c r="BD307" s="336"/>
      <c r="BE307" s="336"/>
      <c r="BF307" s="336"/>
    </row>
    <row r="308" spans="1:58" s="351" customFormat="1" x14ac:dyDescent="0.25">
      <c r="A308" s="336"/>
      <c r="B308" s="336"/>
      <c r="C308" s="336"/>
      <c r="D308" s="336"/>
      <c r="E308" s="336"/>
      <c r="F308" s="336"/>
      <c r="G308" s="336"/>
      <c r="H308" s="336"/>
      <c r="M308" s="352"/>
      <c r="N308" s="353"/>
      <c r="O308" s="353"/>
      <c r="T308" s="377"/>
      <c r="U308" s="352"/>
      <c r="V308" s="352"/>
      <c r="W308" s="352"/>
      <c r="X308" s="375"/>
      <c r="Y308" s="375"/>
      <c r="Z308" s="336"/>
      <c r="AA308" s="353"/>
      <c r="AB308" s="336"/>
      <c r="AC308" s="336"/>
      <c r="AD308" s="336"/>
      <c r="AE308" s="336"/>
      <c r="AF308" s="336"/>
      <c r="AG308" s="336"/>
      <c r="AH308" s="336"/>
      <c r="AI308" s="336"/>
      <c r="AJ308" s="336"/>
      <c r="AK308" s="336"/>
      <c r="AL308" s="336"/>
      <c r="AM308" s="336"/>
      <c r="AN308" s="336"/>
      <c r="AO308" s="336"/>
      <c r="AP308" s="336"/>
      <c r="AQ308" s="336"/>
      <c r="AR308" s="336"/>
      <c r="AS308" s="336"/>
      <c r="AT308" s="336"/>
      <c r="AU308" s="336"/>
      <c r="AV308" s="336"/>
      <c r="AW308" s="336"/>
      <c r="AX308" s="336"/>
      <c r="AY308" s="336"/>
      <c r="AZ308" s="336"/>
      <c r="BA308" s="336"/>
      <c r="BB308" s="336"/>
      <c r="BC308" s="336"/>
      <c r="BD308" s="336"/>
      <c r="BE308" s="336"/>
      <c r="BF308" s="336"/>
    </row>
    <row r="309" spans="1:58" s="351" customFormat="1" x14ac:dyDescent="0.25">
      <c r="A309" s="336"/>
      <c r="B309" s="336"/>
      <c r="C309" s="336"/>
      <c r="D309" s="336"/>
      <c r="E309" s="336"/>
      <c r="F309" s="336"/>
      <c r="G309" s="336"/>
      <c r="H309" s="336"/>
      <c r="M309" s="352"/>
      <c r="N309" s="353"/>
      <c r="O309" s="353"/>
      <c r="T309" s="377"/>
      <c r="U309" s="352"/>
      <c r="V309" s="352"/>
      <c r="W309" s="352"/>
      <c r="X309" s="375"/>
      <c r="Y309" s="375"/>
      <c r="Z309" s="336"/>
      <c r="AA309" s="353"/>
      <c r="AB309" s="336"/>
      <c r="AC309" s="336"/>
      <c r="AD309" s="336"/>
      <c r="AE309" s="336"/>
      <c r="AF309" s="336"/>
      <c r="AG309" s="336"/>
      <c r="AH309" s="336"/>
      <c r="AI309" s="336"/>
      <c r="AJ309" s="336"/>
      <c r="AK309" s="336"/>
      <c r="AL309" s="336"/>
      <c r="AM309" s="336"/>
      <c r="AN309" s="336"/>
      <c r="AO309" s="336"/>
      <c r="AP309" s="336"/>
      <c r="AQ309" s="336"/>
      <c r="AR309" s="336"/>
      <c r="AS309" s="336"/>
      <c r="AT309" s="336"/>
      <c r="AU309" s="336"/>
      <c r="AV309" s="336"/>
      <c r="AW309" s="336"/>
      <c r="AX309" s="336"/>
      <c r="AY309" s="336"/>
      <c r="AZ309" s="336"/>
      <c r="BA309" s="336"/>
      <c r="BB309" s="336"/>
      <c r="BC309" s="336"/>
      <c r="BD309" s="336"/>
      <c r="BE309" s="336"/>
      <c r="BF309" s="336"/>
    </row>
    <row r="310" spans="1:58" s="351" customFormat="1" x14ac:dyDescent="0.25">
      <c r="A310" s="336"/>
      <c r="B310" s="336"/>
      <c r="C310" s="336"/>
      <c r="D310" s="336"/>
      <c r="E310" s="336"/>
      <c r="F310" s="336"/>
      <c r="G310" s="336"/>
      <c r="H310" s="336"/>
      <c r="M310" s="352"/>
      <c r="N310" s="353"/>
      <c r="O310" s="353"/>
      <c r="T310" s="377"/>
      <c r="U310" s="352"/>
      <c r="V310" s="352"/>
      <c r="W310" s="352"/>
      <c r="X310" s="375"/>
      <c r="Y310" s="375"/>
      <c r="Z310" s="336"/>
      <c r="AA310" s="353"/>
      <c r="AB310" s="336"/>
      <c r="AC310" s="336"/>
      <c r="AD310" s="336"/>
      <c r="AE310" s="336"/>
      <c r="AF310" s="336"/>
      <c r="AG310" s="336"/>
      <c r="AH310" s="336"/>
      <c r="AI310" s="336"/>
      <c r="AJ310" s="336"/>
      <c r="AK310" s="336"/>
      <c r="AL310" s="336"/>
      <c r="AM310" s="336"/>
      <c r="AN310" s="336"/>
      <c r="AO310" s="336"/>
      <c r="AP310" s="336"/>
      <c r="AQ310" s="336"/>
      <c r="AR310" s="336"/>
      <c r="AS310" s="336"/>
      <c r="AT310" s="336"/>
      <c r="AU310" s="336"/>
      <c r="AV310" s="336"/>
      <c r="AW310" s="336"/>
      <c r="AX310" s="336"/>
      <c r="AY310" s="336"/>
      <c r="AZ310" s="336"/>
      <c r="BA310" s="336"/>
      <c r="BB310" s="336"/>
      <c r="BC310" s="336"/>
      <c r="BD310" s="336"/>
      <c r="BE310" s="336"/>
      <c r="BF310" s="336"/>
    </row>
    <row r="311" spans="1:58" s="351" customFormat="1" x14ac:dyDescent="0.25">
      <c r="A311" s="336"/>
      <c r="B311" s="336"/>
      <c r="C311" s="336"/>
      <c r="D311" s="336"/>
      <c r="E311" s="336"/>
      <c r="F311" s="336"/>
      <c r="G311" s="336"/>
      <c r="H311" s="336"/>
      <c r="M311" s="352"/>
      <c r="N311" s="353"/>
      <c r="O311" s="353"/>
      <c r="T311" s="377"/>
      <c r="U311" s="352"/>
      <c r="V311" s="352"/>
      <c r="W311" s="352"/>
      <c r="X311" s="375"/>
      <c r="Y311" s="375"/>
      <c r="Z311" s="336"/>
      <c r="AA311" s="353"/>
      <c r="AB311" s="336"/>
      <c r="AC311" s="336"/>
      <c r="AD311" s="336"/>
      <c r="AE311" s="336"/>
      <c r="AF311" s="336"/>
      <c r="AG311" s="336"/>
      <c r="AH311" s="336"/>
      <c r="AI311" s="336"/>
      <c r="AJ311" s="336"/>
      <c r="AK311" s="336"/>
      <c r="AL311" s="336"/>
      <c r="AM311" s="336"/>
      <c r="AN311" s="336"/>
      <c r="AO311" s="336"/>
      <c r="AP311" s="336"/>
      <c r="AQ311" s="336"/>
      <c r="AR311" s="336"/>
      <c r="AS311" s="336"/>
      <c r="AT311" s="336"/>
      <c r="AU311" s="336"/>
      <c r="AV311" s="336"/>
      <c r="AW311" s="336"/>
      <c r="AX311" s="336"/>
      <c r="AY311" s="336"/>
      <c r="AZ311" s="336"/>
      <c r="BA311" s="336"/>
      <c r="BB311" s="336"/>
      <c r="BC311" s="336"/>
      <c r="BD311" s="336"/>
      <c r="BE311" s="336"/>
      <c r="BF311" s="336"/>
    </row>
    <row r="312" spans="1:58" s="351" customFormat="1" x14ac:dyDescent="0.25">
      <c r="A312" s="336"/>
      <c r="B312" s="336"/>
      <c r="C312" s="336"/>
      <c r="D312" s="336"/>
      <c r="E312" s="336"/>
      <c r="F312" s="336"/>
      <c r="G312" s="336"/>
      <c r="H312" s="336"/>
      <c r="M312" s="352"/>
      <c r="N312" s="353"/>
      <c r="O312" s="353"/>
      <c r="T312" s="377"/>
      <c r="U312" s="352"/>
      <c r="V312" s="352"/>
      <c r="W312" s="352"/>
      <c r="X312" s="375"/>
      <c r="Y312" s="375"/>
      <c r="Z312" s="336"/>
      <c r="AA312" s="353"/>
      <c r="AB312" s="336"/>
      <c r="AC312" s="336"/>
      <c r="AD312" s="336"/>
      <c r="AE312" s="336"/>
      <c r="AF312" s="336"/>
      <c r="AG312" s="336"/>
      <c r="AH312" s="336"/>
      <c r="AI312" s="336"/>
      <c r="AJ312" s="336"/>
      <c r="AK312" s="336"/>
      <c r="AL312" s="336"/>
      <c r="AM312" s="336"/>
      <c r="AN312" s="336"/>
      <c r="AO312" s="336"/>
      <c r="AP312" s="336"/>
      <c r="AQ312" s="336"/>
      <c r="AR312" s="336"/>
      <c r="AS312" s="336"/>
      <c r="AT312" s="336"/>
      <c r="AU312" s="336"/>
      <c r="AV312" s="336"/>
      <c r="AW312" s="336"/>
      <c r="AX312" s="336"/>
      <c r="AY312" s="336"/>
      <c r="AZ312" s="336"/>
      <c r="BA312" s="336"/>
      <c r="BB312" s="336"/>
      <c r="BC312" s="336"/>
      <c r="BD312" s="336"/>
      <c r="BE312" s="336"/>
      <c r="BF312" s="336"/>
    </row>
    <row r="313" spans="1:58" s="351" customFormat="1" x14ac:dyDescent="0.25">
      <c r="A313" s="336"/>
      <c r="B313" s="336"/>
      <c r="C313" s="336"/>
      <c r="D313" s="336"/>
      <c r="E313" s="336"/>
      <c r="F313" s="336"/>
      <c r="G313" s="336"/>
      <c r="H313" s="336"/>
      <c r="M313" s="352"/>
      <c r="N313" s="353"/>
      <c r="O313" s="353"/>
      <c r="T313" s="377"/>
      <c r="U313" s="352"/>
      <c r="V313" s="352"/>
      <c r="W313" s="352"/>
      <c r="X313" s="375"/>
      <c r="Y313" s="375"/>
      <c r="Z313" s="336"/>
      <c r="AA313" s="353"/>
      <c r="AB313" s="336"/>
      <c r="AC313" s="336"/>
      <c r="AD313" s="336"/>
      <c r="AE313" s="336"/>
      <c r="AF313" s="336"/>
      <c r="AG313" s="336"/>
      <c r="AH313" s="336"/>
      <c r="AI313" s="336"/>
      <c r="AJ313" s="336"/>
      <c r="AK313" s="336"/>
      <c r="AL313" s="336"/>
      <c r="AM313" s="336"/>
      <c r="AN313" s="336"/>
      <c r="AO313" s="336"/>
      <c r="AP313" s="336"/>
      <c r="AQ313" s="336"/>
      <c r="AR313" s="336"/>
      <c r="AS313" s="336"/>
      <c r="AT313" s="336"/>
      <c r="AU313" s="336"/>
      <c r="AV313" s="336"/>
      <c r="AW313" s="336"/>
      <c r="AX313" s="336"/>
      <c r="AY313" s="336"/>
      <c r="AZ313" s="336"/>
      <c r="BA313" s="336"/>
      <c r="BB313" s="336"/>
      <c r="BC313" s="336"/>
      <c r="BD313" s="336"/>
      <c r="BE313" s="336"/>
      <c r="BF313" s="336"/>
    </row>
    <row r="314" spans="1:58" s="351" customFormat="1" x14ac:dyDescent="0.25">
      <c r="A314" s="336"/>
      <c r="B314" s="336"/>
      <c r="C314" s="336"/>
      <c r="D314" s="336"/>
      <c r="E314" s="336"/>
      <c r="F314" s="336"/>
      <c r="G314" s="336"/>
      <c r="H314" s="336"/>
      <c r="M314" s="352"/>
      <c r="N314" s="353"/>
      <c r="O314" s="353"/>
      <c r="T314" s="377"/>
      <c r="U314" s="352"/>
      <c r="V314" s="352"/>
      <c r="W314" s="352"/>
      <c r="X314" s="375"/>
      <c r="Y314" s="375"/>
      <c r="Z314" s="336"/>
      <c r="AA314" s="353"/>
      <c r="AB314" s="336"/>
      <c r="AC314" s="336"/>
      <c r="AD314" s="336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336"/>
      <c r="AS314" s="336"/>
      <c r="AT314" s="336"/>
      <c r="AU314" s="336"/>
      <c r="AV314" s="336"/>
      <c r="AW314" s="336"/>
      <c r="AX314" s="336"/>
      <c r="AY314" s="336"/>
      <c r="AZ314" s="336"/>
      <c r="BA314" s="336"/>
      <c r="BB314" s="336"/>
      <c r="BC314" s="336"/>
      <c r="BD314" s="336"/>
      <c r="BE314" s="336"/>
      <c r="BF314" s="336"/>
    </row>
    <row r="315" spans="1:58" s="351" customFormat="1" x14ac:dyDescent="0.25">
      <c r="A315" s="336"/>
      <c r="B315" s="336"/>
      <c r="C315" s="336"/>
      <c r="D315" s="336"/>
      <c r="E315" s="336"/>
      <c r="F315" s="336"/>
      <c r="G315" s="336"/>
      <c r="H315" s="336"/>
      <c r="M315" s="352"/>
      <c r="N315" s="353"/>
      <c r="O315" s="353"/>
      <c r="T315" s="377"/>
      <c r="U315" s="352"/>
      <c r="V315" s="352"/>
      <c r="W315" s="352"/>
      <c r="X315" s="375"/>
      <c r="Y315" s="375"/>
      <c r="Z315" s="336"/>
      <c r="AA315" s="353"/>
      <c r="AB315" s="336"/>
      <c r="AC315" s="336"/>
      <c r="AD315" s="336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336"/>
      <c r="AS315" s="336"/>
      <c r="AT315" s="336"/>
      <c r="AU315" s="336"/>
      <c r="AV315" s="336"/>
      <c r="AW315" s="336"/>
      <c r="AX315" s="336"/>
      <c r="AY315" s="336"/>
      <c r="AZ315" s="336"/>
      <c r="BA315" s="336"/>
      <c r="BB315" s="336"/>
      <c r="BC315" s="336"/>
      <c r="BD315" s="336"/>
      <c r="BE315" s="336"/>
      <c r="BF315" s="336"/>
    </row>
    <row r="316" spans="1:58" s="351" customFormat="1" x14ac:dyDescent="0.25">
      <c r="A316" s="336"/>
      <c r="B316" s="336"/>
      <c r="C316" s="336"/>
      <c r="D316" s="336"/>
      <c r="E316" s="336"/>
      <c r="F316" s="336"/>
      <c r="G316" s="336"/>
      <c r="H316" s="336"/>
      <c r="M316" s="352"/>
      <c r="N316" s="353"/>
      <c r="O316" s="353"/>
      <c r="T316" s="377"/>
      <c r="U316" s="352"/>
      <c r="V316" s="352"/>
      <c r="W316" s="352"/>
      <c r="X316" s="375"/>
      <c r="Y316" s="375"/>
      <c r="Z316" s="336"/>
      <c r="AA316" s="353"/>
      <c r="AB316" s="336"/>
      <c r="AC316" s="336"/>
      <c r="AD316" s="336"/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336"/>
      <c r="AS316" s="336"/>
      <c r="AT316" s="336"/>
      <c r="AU316" s="336"/>
      <c r="AV316" s="336"/>
      <c r="AW316" s="336"/>
      <c r="AX316" s="336"/>
      <c r="AY316" s="336"/>
      <c r="AZ316" s="336"/>
      <c r="BA316" s="336"/>
      <c r="BB316" s="336"/>
      <c r="BC316" s="336"/>
      <c r="BD316" s="336"/>
      <c r="BE316" s="336"/>
      <c r="BF316" s="336"/>
    </row>
    <row r="317" spans="1:58" s="351" customFormat="1" x14ac:dyDescent="0.25">
      <c r="A317" s="336"/>
      <c r="B317" s="336"/>
      <c r="C317" s="336"/>
      <c r="D317" s="336"/>
      <c r="E317" s="336"/>
      <c r="F317" s="336"/>
      <c r="G317" s="336"/>
      <c r="H317" s="336"/>
      <c r="M317" s="352"/>
      <c r="N317" s="353"/>
      <c r="O317" s="353"/>
      <c r="T317" s="377"/>
      <c r="U317" s="352"/>
      <c r="V317" s="352"/>
      <c r="W317" s="352"/>
      <c r="X317" s="375"/>
      <c r="Y317" s="375"/>
      <c r="Z317" s="336"/>
      <c r="AA317" s="353"/>
      <c r="AB317" s="336"/>
      <c r="AC317" s="336"/>
      <c r="AD317" s="336"/>
      <c r="AE317" s="336"/>
      <c r="AF317" s="336"/>
      <c r="AG317" s="336"/>
      <c r="AH317" s="336"/>
      <c r="AI317" s="336"/>
      <c r="AJ317" s="336"/>
      <c r="AK317" s="336"/>
      <c r="AL317" s="336"/>
      <c r="AM317" s="336"/>
      <c r="AN317" s="336"/>
      <c r="AO317" s="336"/>
      <c r="AP317" s="336"/>
      <c r="AQ317" s="336"/>
      <c r="AR317" s="336"/>
      <c r="AS317" s="336"/>
      <c r="AT317" s="336"/>
      <c r="AU317" s="336"/>
      <c r="AV317" s="336"/>
      <c r="AW317" s="336"/>
      <c r="AX317" s="336"/>
      <c r="AY317" s="336"/>
      <c r="AZ317" s="336"/>
      <c r="BA317" s="336"/>
      <c r="BB317" s="336"/>
      <c r="BC317" s="336"/>
      <c r="BD317" s="336"/>
      <c r="BE317" s="336"/>
      <c r="BF317" s="336"/>
    </row>
    <row r="318" spans="1:58" s="351" customFormat="1" x14ac:dyDescent="0.25">
      <c r="A318" s="336"/>
      <c r="B318" s="336"/>
      <c r="C318" s="336"/>
      <c r="D318" s="336"/>
      <c r="E318" s="336"/>
      <c r="F318" s="336"/>
      <c r="G318" s="336"/>
      <c r="H318" s="336"/>
      <c r="M318" s="352"/>
      <c r="N318" s="353"/>
      <c r="O318" s="353"/>
      <c r="T318" s="377"/>
      <c r="U318" s="352"/>
      <c r="V318" s="352"/>
      <c r="W318" s="352"/>
      <c r="X318" s="375"/>
      <c r="Y318" s="375"/>
      <c r="Z318" s="336"/>
      <c r="AA318" s="353"/>
      <c r="AB318" s="336"/>
      <c r="AC318" s="336"/>
      <c r="AD318" s="336"/>
      <c r="AE318" s="336"/>
      <c r="AF318" s="336"/>
      <c r="AG318" s="336"/>
      <c r="AH318" s="336"/>
      <c r="AI318" s="336"/>
      <c r="AJ318" s="336"/>
      <c r="AK318" s="336"/>
      <c r="AL318" s="336"/>
      <c r="AM318" s="336"/>
      <c r="AN318" s="336"/>
      <c r="AO318" s="336"/>
      <c r="AP318" s="336"/>
      <c r="AQ318" s="336"/>
      <c r="AR318" s="336"/>
      <c r="AS318" s="336"/>
      <c r="AT318" s="336"/>
      <c r="AU318" s="336"/>
      <c r="AV318" s="336"/>
      <c r="AW318" s="336"/>
      <c r="AX318" s="336"/>
      <c r="AY318" s="336"/>
      <c r="AZ318" s="336"/>
      <c r="BA318" s="336"/>
      <c r="BB318" s="336"/>
      <c r="BC318" s="336"/>
      <c r="BD318" s="336"/>
      <c r="BE318" s="336"/>
      <c r="BF318" s="336"/>
    </row>
    <row r="319" spans="1:58" s="351" customFormat="1" x14ac:dyDescent="0.25">
      <c r="A319" s="336"/>
      <c r="B319" s="336"/>
      <c r="C319" s="336"/>
      <c r="D319" s="336"/>
      <c r="E319" s="336"/>
      <c r="F319" s="336"/>
      <c r="G319" s="336"/>
      <c r="H319" s="336"/>
      <c r="M319" s="352"/>
      <c r="N319" s="353"/>
      <c r="O319" s="353"/>
      <c r="T319" s="377"/>
      <c r="U319" s="352"/>
      <c r="V319" s="352"/>
      <c r="W319" s="352"/>
      <c r="X319" s="375"/>
      <c r="Y319" s="375"/>
      <c r="Z319" s="336"/>
      <c r="AA319" s="353"/>
      <c r="AB319" s="336"/>
      <c r="AC319" s="336"/>
      <c r="AD319" s="336"/>
      <c r="AE319" s="336"/>
      <c r="AF319" s="336"/>
      <c r="AG319" s="336"/>
      <c r="AH319" s="336"/>
      <c r="AI319" s="336"/>
      <c r="AJ319" s="336"/>
      <c r="AK319" s="336"/>
      <c r="AL319" s="336"/>
      <c r="AM319" s="336"/>
      <c r="AN319" s="336"/>
      <c r="AO319" s="336"/>
      <c r="AP319" s="336"/>
      <c r="AQ319" s="336"/>
      <c r="AR319" s="336"/>
      <c r="AS319" s="336"/>
      <c r="AT319" s="336"/>
      <c r="AU319" s="336"/>
      <c r="AV319" s="336"/>
      <c r="AW319" s="336"/>
      <c r="AX319" s="336"/>
      <c r="AY319" s="336"/>
      <c r="AZ319" s="336"/>
      <c r="BA319" s="336"/>
      <c r="BB319" s="336"/>
      <c r="BC319" s="336"/>
      <c r="BD319" s="336"/>
      <c r="BE319" s="336"/>
      <c r="BF319" s="336"/>
    </row>
    <row r="320" spans="1:58" s="351" customFormat="1" x14ac:dyDescent="0.25">
      <c r="A320" s="336"/>
      <c r="B320" s="336"/>
      <c r="C320" s="336"/>
      <c r="D320" s="336"/>
      <c r="E320" s="336"/>
      <c r="F320" s="336"/>
      <c r="G320" s="336"/>
      <c r="H320" s="336"/>
      <c r="M320" s="352"/>
      <c r="N320" s="353"/>
      <c r="O320" s="353"/>
      <c r="T320" s="377"/>
      <c r="U320" s="352"/>
      <c r="V320" s="352"/>
      <c r="W320" s="352"/>
      <c r="X320" s="375"/>
      <c r="Y320" s="375"/>
      <c r="Z320" s="336"/>
      <c r="AA320" s="353"/>
      <c r="AB320" s="336"/>
      <c r="AC320" s="336"/>
      <c r="AD320" s="336"/>
      <c r="AE320" s="336"/>
      <c r="AF320" s="336"/>
      <c r="AG320" s="336"/>
      <c r="AH320" s="336"/>
      <c r="AI320" s="336"/>
      <c r="AJ320" s="336"/>
      <c r="AK320" s="336"/>
      <c r="AL320" s="336"/>
      <c r="AM320" s="336"/>
      <c r="AN320" s="336"/>
      <c r="AO320" s="336"/>
      <c r="AP320" s="336"/>
      <c r="AQ320" s="336"/>
      <c r="AR320" s="336"/>
      <c r="AS320" s="336"/>
      <c r="AT320" s="336"/>
      <c r="AU320" s="336"/>
      <c r="AV320" s="336"/>
      <c r="AW320" s="336"/>
      <c r="AX320" s="336"/>
      <c r="AY320" s="336"/>
      <c r="AZ320" s="336"/>
      <c r="BA320" s="336"/>
      <c r="BB320" s="336"/>
      <c r="BC320" s="336"/>
      <c r="BD320" s="336"/>
      <c r="BE320" s="336"/>
      <c r="BF320" s="336"/>
    </row>
    <row r="321" spans="1:58" s="351" customFormat="1" x14ac:dyDescent="0.25">
      <c r="A321" s="336"/>
      <c r="B321" s="336"/>
      <c r="C321" s="336"/>
      <c r="D321" s="336"/>
      <c r="E321" s="336"/>
      <c r="F321" s="336"/>
      <c r="G321" s="336"/>
      <c r="H321" s="336"/>
      <c r="M321" s="352"/>
      <c r="N321" s="353"/>
      <c r="O321" s="353"/>
      <c r="T321" s="377"/>
      <c r="U321" s="352"/>
      <c r="V321" s="352"/>
      <c r="W321" s="352"/>
      <c r="X321" s="375"/>
      <c r="Y321" s="375"/>
      <c r="Z321" s="336"/>
      <c r="AA321" s="353"/>
      <c r="AB321" s="336"/>
      <c r="AC321" s="336"/>
      <c r="AD321" s="336"/>
      <c r="AE321" s="336"/>
      <c r="AF321" s="336"/>
      <c r="AG321" s="336"/>
      <c r="AH321" s="336"/>
      <c r="AI321" s="336"/>
      <c r="AJ321" s="336"/>
      <c r="AK321" s="336"/>
      <c r="AL321" s="336"/>
      <c r="AM321" s="336"/>
      <c r="AN321" s="336"/>
      <c r="AO321" s="336"/>
      <c r="AP321" s="336"/>
      <c r="AQ321" s="336"/>
      <c r="AR321" s="336"/>
      <c r="AS321" s="336"/>
      <c r="AT321" s="336"/>
      <c r="AU321" s="336"/>
      <c r="AV321" s="336"/>
      <c r="AW321" s="336"/>
      <c r="AX321" s="336"/>
      <c r="AY321" s="336"/>
      <c r="AZ321" s="336"/>
      <c r="BA321" s="336"/>
      <c r="BB321" s="336"/>
      <c r="BC321" s="336"/>
      <c r="BD321" s="336"/>
      <c r="BE321" s="336"/>
      <c r="BF321" s="336"/>
    </row>
    <row r="322" spans="1:58" s="351" customFormat="1" x14ac:dyDescent="0.25">
      <c r="A322" s="336"/>
      <c r="B322" s="336"/>
      <c r="C322" s="336"/>
      <c r="D322" s="336"/>
      <c r="E322" s="336"/>
      <c r="F322" s="336"/>
      <c r="G322" s="336"/>
      <c r="H322" s="336"/>
      <c r="M322" s="352"/>
      <c r="N322" s="353"/>
      <c r="O322" s="353"/>
      <c r="T322" s="377"/>
      <c r="U322" s="352"/>
      <c r="V322" s="352"/>
      <c r="W322" s="352"/>
      <c r="X322" s="375"/>
      <c r="Y322" s="375"/>
      <c r="Z322" s="336"/>
      <c r="AA322" s="353"/>
      <c r="AB322" s="336"/>
      <c r="AC322" s="336"/>
      <c r="AD322" s="336"/>
      <c r="AE322" s="336"/>
      <c r="AF322" s="336"/>
      <c r="AG322" s="336"/>
      <c r="AH322" s="336"/>
      <c r="AI322" s="336"/>
      <c r="AJ322" s="336"/>
      <c r="AK322" s="336"/>
      <c r="AL322" s="336"/>
      <c r="AM322" s="336"/>
      <c r="AN322" s="336"/>
      <c r="AO322" s="336"/>
      <c r="AP322" s="336"/>
      <c r="AQ322" s="336"/>
      <c r="AR322" s="336"/>
      <c r="AS322" s="336"/>
      <c r="AT322" s="336"/>
      <c r="AU322" s="336"/>
      <c r="AV322" s="336"/>
      <c r="AW322" s="336"/>
      <c r="AX322" s="336"/>
      <c r="AY322" s="336"/>
      <c r="AZ322" s="336"/>
      <c r="BA322" s="336"/>
      <c r="BB322" s="336"/>
      <c r="BC322" s="336"/>
      <c r="BD322" s="336"/>
      <c r="BE322" s="336"/>
      <c r="BF322" s="336"/>
    </row>
    <row r="323" spans="1:58" s="351" customFormat="1" x14ac:dyDescent="0.25">
      <c r="A323" s="336"/>
      <c r="B323" s="336"/>
      <c r="C323" s="336"/>
      <c r="D323" s="336"/>
      <c r="E323" s="336"/>
      <c r="F323" s="336"/>
      <c r="G323" s="336"/>
      <c r="H323" s="336"/>
      <c r="M323" s="352"/>
      <c r="N323" s="353"/>
      <c r="O323" s="353"/>
      <c r="T323" s="377"/>
      <c r="U323" s="352"/>
      <c r="V323" s="352"/>
      <c r="W323" s="352"/>
      <c r="X323" s="375"/>
      <c r="Y323" s="375"/>
      <c r="Z323" s="336"/>
      <c r="AA323" s="353"/>
      <c r="AB323" s="336"/>
      <c r="AC323" s="336"/>
      <c r="AD323" s="336"/>
      <c r="AE323" s="336"/>
      <c r="AF323" s="336"/>
      <c r="AG323" s="336"/>
      <c r="AH323" s="336"/>
      <c r="AI323" s="336"/>
      <c r="AJ323" s="336"/>
      <c r="AK323" s="336"/>
      <c r="AL323" s="336"/>
      <c r="AM323" s="336"/>
      <c r="AN323" s="336"/>
      <c r="AO323" s="336"/>
      <c r="AP323" s="336"/>
      <c r="AQ323" s="336"/>
      <c r="AR323" s="336"/>
      <c r="AS323" s="336"/>
      <c r="AT323" s="336"/>
      <c r="AU323" s="336"/>
      <c r="AV323" s="336"/>
      <c r="AW323" s="336"/>
      <c r="AX323" s="336"/>
      <c r="AY323" s="336"/>
      <c r="AZ323" s="336"/>
      <c r="BA323" s="336"/>
      <c r="BB323" s="336"/>
      <c r="BC323" s="336"/>
      <c r="BD323" s="336"/>
      <c r="BE323" s="336"/>
      <c r="BF323" s="336"/>
    </row>
    <row r="324" spans="1:58" s="351" customFormat="1" x14ac:dyDescent="0.25">
      <c r="A324" s="336"/>
      <c r="B324" s="336"/>
      <c r="C324" s="336"/>
      <c r="D324" s="336"/>
      <c r="E324" s="336"/>
      <c r="F324" s="336"/>
      <c r="G324" s="336"/>
      <c r="H324" s="336"/>
      <c r="M324" s="352"/>
      <c r="N324" s="353"/>
      <c r="O324" s="353"/>
      <c r="T324" s="377"/>
      <c r="U324" s="352"/>
      <c r="V324" s="352"/>
      <c r="W324" s="352"/>
      <c r="X324" s="375"/>
      <c r="Y324" s="375"/>
      <c r="Z324" s="336"/>
      <c r="AA324" s="353"/>
      <c r="AB324" s="336"/>
      <c r="AC324" s="336"/>
      <c r="AD324" s="336"/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336"/>
      <c r="AS324" s="336"/>
      <c r="AT324" s="336"/>
      <c r="AU324" s="336"/>
      <c r="AV324" s="336"/>
      <c r="AW324" s="336"/>
      <c r="AX324" s="336"/>
      <c r="AY324" s="336"/>
      <c r="AZ324" s="336"/>
      <c r="BA324" s="336"/>
      <c r="BB324" s="336"/>
      <c r="BC324" s="336"/>
      <c r="BD324" s="336"/>
      <c r="BE324" s="336"/>
      <c r="BF324" s="336"/>
    </row>
    <row r="325" spans="1:58" s="351" customFormat="1" x14ac:dyDescent="0.25">
      <c r="A325" s="336"/>
      <c r="B325" s="336"/>
      <c r="C325" s="336"/>
      <c r="D325" s="336"/>
      <c r="E325" s="336"/>
      <c r="F325" s="336"/>
      <c r="G325" s="336"/>
      <c r="H325" s="336"/>
      <c r="M325" s="352"/>
      <c r="N325" s="353"/>
      <c r="O325" s="353"/>
      <c r="T325" s="377"/>
      <c r="U325" s="352"/>
      <c r="V325" s="352"/>
      <c r="W325" s="352"/>
      <c r="X325" s="375"/>
      <c r="Y325" s="375"/>
      <c r="Z325" s="336"/>
      <c r="AA325" s="353"/>
      <c r="AB325" s="336"/>
      <c r="AC325" s="336"/>
      <c r="AD325" s="336"/>
      <c r="AE325" s="336"/>
      <c r="AF325" s="336"/>
      <c r="AG325" s="336"/>
      <c r="AH325" s="336"/>
      <c r="AI325" s="336"/>
      <c r="AJ325" s="336"/>
      <c r="AK325" s="336"/>
      <c r="AL325" s="336"/>
      <c r="AM325" s="336"/>
      <c r="AN325" s="336"/>
      <c r="AO325" s="336"/>
      <c r="AP325" s="336"/>
      <c r="AQ325" s="336"/>
      <c r="AR325" s="336"/>
      <c r="AS325" s="336"/>
      <c r="AT325" s="336"/>
      <c r="AU325" s="336"/>
      <c r="AV325" s="336"/>
      <c r="AW325" s="336"/>
      <c r="AX325" s="336"/>
      <c r="AY325" s="336"/>
      <c r="AZ325" s="336"/>
      <c r="BA325" s="336"/>
      <c r="BB325" s="336"/>
      <c r="BC325" s="336"/>
      <c r="BD325" s="336"/>
      <c r="BE325" s="336"/>
      <c r="BF325" s="336"/>
    </row>
    <row r="326" spans="1:58" s="351" customFormat="1" x14ac:dyDescent="0.25">
      <c r="A326" s="336"/>
      <c r="B326" s="336"/>
      <c r="C326" s="336"/>
      <c r="D326" s="336"/>
      <c r="E326" s="336"/>
      <c r="F326" s="336"/>
      <c r="G326" s="336"/>
      <c r="H326" s="336"/>
      <c r="M326" s="352"/>
      <c r="N326" s="353"/>
      <c r="O326" s="353"/>
      <c r="T326" s="377"/>
      <c r="U326" s="352"/>
      <c r="V326" s="352"/>
      <c r="W326" s="352"/>
      <c r="X326" s="375"/>
      <c r="Y326" s="375"/>
      <c r="Z326" s="336"/>
      <c r="AA326" s="353"/>
      <c r="AB326" s="336"/>
      <c r="AC326" s="336"/>
      <c r="AD326" s="336"/>
      <c r="AE326" s="336"/>
      <c r="AF326" s="336"/>
      <c r="AG326" s="336"/>
      <c r="AH326" s="336"/>
      <c r="AI326" s="336"/>
      <c r="AJ326" s="336"/>
      <c r="AK326" s="336"/>
      <c r="AL326" s="336"/>
      <c r="AM326" s="336"/>
      <c r="AN326" s="336"/>
      <c r="AO326" s="336"/>
      <c r="AP326" s="336"/>
      <c r="AQ326" s="336"/>
      <c r="AR326" s="336"/>
      <c r="AS326" s="336"/>
      <c r="AT326" s="336"/>
      <c r="AU326" s="336"/>
      <c r="AV326" s="336"/>
      <c r="AW326" s="336"/>
      <c r="AX326" s="336"/>
      <c r="AY326" s="336"/>
      <c r="AZ326" s="336"/>
      <c r="BA326" s="336"/>
      <c r="BB326" s="336"/>
      <c r="BC326" s="336"/>
      <c r="BD326" s="336"/>
      <c r="BE326" s="336"/>
      <c r="BF326" s="336"/>
    </row>
    <row r="327" spans="1:58" s="351" customFormat="1" x14ac:dyDescent="0.25">
      <c r="A327" s="336"/>
      <c r="B327" s="336"/>
      <c r="C327" s="336"/>
      <c r="D327" s="336"/>
      <c r="E327" s="336"/>
      <c r="F327" s="336"/>
      <c r="G327" s="336"/>
      <c r="H327" s="336"/>
      <c r="M327" s="352"/>
      <c r="N327" s="353"/>
      <c r="O327" s="353"/>
      <c r="T327" s="377"/>
      <c r="U327" s="352"/>
      <c r="V327" s="352"/>
      <c r="W327" s="352"/>
      <c r="X327" s="375"/>
      <c r="Y327" s="375"/>
      <c r="Z327" s="336"/>
      <c r="AA327" s="353"/>
      <c r="AB327" s="336"/>
      <c r="AC327" s="336"/>
      <c r="AD327" s="336"/>
      <c r="AE327" s="336"/>
      <c r="AF327" s="336"/>
      <c r="AG327" s="336"/>
      <c r="AH327" s="336"/>
      <c r="AI327" s="336"/>
      <c r="AJ327" s="336"/>
      <c r="AK327" s="336"/>
      <c r="AL327" s="336"/>
      <c r="AM327" s="336"/>
      <c r="AN327" s="336"/>
      <c r="AO327" s="336"/>
      <c r="AP327" s="336"/>
      <c r="AQ327" s="336"/>
      <c r="AR327" s="336"/>
      <c r="AS327" s="336"/>
      <c r="AT327" s="336"/>
      <c r="AU327" s="336"/>
      <c r="AV327" s="336"/>
      <c r="AW327" s="336"/>
      <c r="AX327" s="336"/>
      <c r="AY327" s="336"/>
      <c r="AZ327" s="336"/>
      <c r="BA327" s="336"/>
      <c r="BB327" s="336"/>
      <c r="BC327" s="336"/>
      <c r="BD327" s="336"/>
      <c r="BE327" s="336"/>
      <c r="BF327" s="336"/>
    </row>
    <row r="328" spans="1:58" s="351" customFormat="1" x14ac:dyDescent="0.25">
      <c r="A328" s="336"/>
      <c r="B328" s="336"/>
      <c r="C328" s="336"/>
      <c r="D328" s="336"/>
      <c r="E328" s="336"/>
      <c r="F328" s="336"/>
      <c r="G328" s="336"/>
      <c r="H328" s="336"/>
      <c r="M328" s="352"/>
      <c r="N328" s="353"/>
      <c r="O328" s="353"/>
      <c r="T328" s="377"/>
      <c r="U328" s="352"/>
      <c r="V328" s="352"/>
      <c r="W328" s="352"/>
      <c r="X328" s="375"/>
      <c r="Y328" s="375"/>
      <c r="Z328" s="336"/>
      <c r="AA328" s="353"/>
      <c r="AB328" s="336"/>
      <c r="AC328" s="336"/>
      <c r="AD328" s="336"/>
      <c r="AE328" s="336"/>
      <c r="AF328" s="336"/>
      <c r="AG328" s="336"/>
      <c r="AH328" s="336"/>
      <c r="AI328" s="336"/>
      <c r="AJ328" s="336"/>
      <c r="AK328" s="336"/>
      <c r="AL328" s="336"/>
      <c r="AM328" s="336"/>
      <c r="AN328" s="336"/>
      <c r="AO328" s="336"/>
      <c r="AP328" s="336"/>
      <c r="AQ328" s="336"/>
      <c r="AR328" s="336"/>
      <c r="AS328" s="336"/>
      <c r="AT328" s="336"/>
      <c r="AU328" s="336"/>
      <c r="AV328" s="336"/>
      <c r="AW328" s="336"/>
      <c r="AX328" s="336"/>
      <c r="AY328" s="336"/>
      <c r="AZ328" s="336"/>
      <c r="BA328" s="336"/>
      <c r="BB328" s="336"/>
      <c r="BC328" s="336"/>
      <c r="BD328" s="336"/>
      <c r="BE328" s="336"/>
      <c r="BF328" s="336"/>
    </row>
    <row r="329" spans="1:58" s="351" customFormat="1" x14ac:dyDescent="0.25">
      <c r="A329" s="336"/>
      <c r="B329" s="336"/>
      <c r="C329" s="336"/>
      <c r="D329" s="336"/>
      <c r="E329" s="336"/>
      <c r="F329" s="336"/>
      <c r="G329" s="336"/>
      <c r="H329" s="336"/>
      <c r="M329" s="352"/>
      <c r="N329" s="353"/>
      <c r="O329" s="353"/>
      <c r="T329" s="377"/>
      <c r="U329" s="352"/>
      <c r="V329" s="352"/>
      <c r="W329" s="352"/>
      <c r="X329" s="375"/>
      <c r="Y329" s="375"/>
      <c r="Z329" s="336"/>
      <c r="AA329" s="353"/>
      <c r="AB329" s="336"/>
      <c r="AC329" s="336"/>
      <c r="AD329" s="336"/>
      <c r="AE329" s="336"/>
      <c r="AF329" s="336"/>
      <c r="AG329" s="336"/>
      <c r="AH329" s="336"/>
      <c r="AI329" s="336"/>
      <c r="AJ329" s="336"/>
      <c r="AK329" s="336"/>
      <c r="AL329" s="336"/>
      <c r="AM329" s="336"/>
      <c r="AN329" s="336"/>
      <c r="AO329" s="336"/>
      <c r="AP329" s="336"/>
      <c r="AQ329" s="336"/>
      <c r="AR329" s="336"/>
      <c r="AS329" s="336"/>
      <c r="AT329" s="336"/>
      <c r="AU329" s="336"/>
      <c r="AV329" s="336"/>
      <c r="AW329" s="336"/>
      <c r="AX329" s="336"/>
      <c r="AY329" s="336"/>
      <c r="AZ329" s="336"/>
      <c r="BA329" s="336"/>
      <c r="BB329" s="336"/>
      <c r="BC329" s="336"/>
      <c r="BD329" s="336"/>
      <c r="BE329" s="336"/>
      <c r="BF329" s="336"/>
    </row>
    <row r="330" spans="1:58" s="351" customFormat="1" x14ac:dyDescent="0.25">
      <c r="A330" s="336"/>
      <c r="B330" s="336"/>
      <c r="C330" s="336"/>
      <c r="D330" s="336"/>
      <c r="E330" s="336"/>
      <c r="F330" s="336"/>
      <c r="G330" s="336"/>
      <c r="H330" s="336"/>
      <c r="M330" s="352"/>
      <c r="N330" s="353"/>
      <c r="O330" s="353"/>
      <c r="T330" s="377"/>
      <c r="U330" s="352"/>
      <c r="V330" s="352"/>
      <c r="W330" s="352"/>
      <c r="X330" s="375"/>
      <c r="Y330" s="375"/>
      <c r="Z330" s="336"/>
      <c r="AA330" s="353"/>
      <c r="AB330" s="336"/>
      <c r="AC330" s="336"/>
      <c r="AD330" s="336"/>
      <c r="AE330" s="336"/>
      <c r="AF330" s="336"/>
      <c r="AG330" s="336"/>
      <c r="AH330" s="336"/>
      <c r="AI330" s="336"/>
      <c r="AJ330" s="336"/>
      <c r="AK330" s="336"/>
      <c r="AL330" s="336"/>
      <c r="AM330" s="336"/>
      <c r="AN330" s="336"/>
      <c r="AO330" s="336"/>
      <c r="AP330" s="336"/>
      <c r="AQ330" s="336"/>
      <c r="AR330" s="336"/>
      <c r="AS330" s="336"/>
      <c r="AT330" s="336"/>
      <c r="AU330" s="336"/>
      <c r="AV330" s="336"/>
      <c r="AW330" s="336"/>
      <c r="AX330" s="336"/>
      <c r="AY330" s="336"/>
      <c r="AZ330" s="336"/>
      <c r="BA330" s="336"/>
      <c r="BB330" s="336"/>
      <c r="BC330" s="336"/>
      <c r="BD330" s="336"/>
      <c r="BE330" s="336"/>
      <c r="BF330" s="336"/>
    </row>
    <row r="331" spans="1:58" s="351" customFormat="1" x14ac:dyDescent="0.25">
      <c r="A331" s="336"/>
      <c r="B331" s="336"/>
      <c r="C331" s="336"/>
      <c r="D331" s="336"/>
      <c r="E331" s="336"/>
      <c r="F331" s="336"/>
      <c r="G331" s="336"/>
      <c r="H331" s="336"/>
      <c r="M331" s="352"/>
      <c r="N331" s="353"/>
      <c r="O331" s="353"/>
      <c r="T331" s="377"/>
      <c r="U331" s="352"/>
      <c r="V331" s="352"/>
      <c r="W331" s="352"/>
      <c r="X331" s="375"/>
      <c r="Y331" s="375"/>
      <c r="Z331" s="336"/>
      <c r="AA331" s="353"/>
      <c r="AB331" s="336"/>
      <c r="AC331" s="336"/>
      <c r="AD331" s="336"/>
      <c r="AE331" s="336"/>
      <c r="AF331" s="336"/>
      <c r="AG331" s="336"/>
      <c r="AH331" s="336"/>
      <c r="AI331" s="336"/>
      <c r="AJ331" s="336"/>
      <c r="AK331" s="336"/>
      <c r="AL331" s="336"/>
      <c r="AM331" s="336"/>
      <c r="AN331" s="336"/>
      <c r="AO331" s="336"/>
      <c r="AP331" s="336"/>
      <c r="AQ331" s="336"/>
      <c r="AR331" s="336"/>
      <c r="AS331" s="336"/>
      <c r="AT331" s="336"/>
      <c r="AU331" s="336"/>
      <c r="AV331" s="336"/>
      <c r="AW331" s="336"/>
      <c r="AX331" s="336"/>
      <c r="AY331" s="336"/>
      <c r="AZ331" s="336"/>
      <c r="BA331" s="336"/>
      <c r="BB331" s="336"/>
      <c r="BC331" s="336"/>
      <c r="BD331" s="336"/>
      <c r="BE331" s="336"/>
      <c r="BF331" s="336"/>
    </row>
    <row r="332" spans="1:58" s="351" customFormat="1" x14ac:dyDescent="0.25">
      <c r="A332" s="336"/>
      <c r="B332" s="336"/>
      <c r="C332" s="336"/>
      <c r="D332" s="336"/>
      <c r="E332" s="336"/>
      <c r="F332" s="336"/>
      <c r="G332" s="336"/>
      <c r="H332" s="336"/>
      <c r="M332" s="352"/>
      <c r="N332" s="353"/>
      <c r="O332" s="353"/>
      <c r="T332" s="377"/>
      <c r="U332" s="352"/>
      <c r="V332" s="352"/>
      <c r="W332" s="352"/>
      <c r="X332" s="375"/>
      <c r="Y332" s="375"/>
      <c r="Z332" s="336"/>
      <c r="AA332" s="353"/>
      <c r="AB332" s="336"/>
      <c r="AC332" s="336"/>
      <c r="AD332" s="336"/>
      <c r="AE332" s="336"/>
      <c r="AF332" s="336"/>
      <c r="AG332" s="336"/>
      <c r="AH332" s="336"/>
      <c r="AI332" s="336"/>
      <c r="AJ332" s="336"/>
      <c r="AK332" s="336"/>
      <c r="AL332" s="336"/>
      <c r="AM332" s="336"/>
      <c r="AN332" s="336"/>
      <c r="AO332" s="336"/>
      <c r="AP332" s="336"/>
      <c r="AQ332" s="336"/>
      <c r="AR332" s="336"/>
      <c r="AS332" s="336"/>
      <c r="AT332" s="336"/>
      <c r="AU332" s="336"/>
      <c r="AV332" s="336"/>
      <c r="AW332" s="336"/>
      <c r="AX332" s="336"/>
      <c r="AY332" s="336"/>
      <c r="AZ332" s="336"/>
      <c r="BA332" s="336"/>
      <c r="BB332" s="336"/>
      <c r="BC332" s="336"/>
      <c r="BD332" s="336"/>
      <c r="BE332" s="336"/>
      <c r="BF332" s="336"/>
    </row>
    <row r="333" spans="1:58" s="351" customFormat="1" x14ac:dyDescent="0.25">
      <c r="A333" s="336"/>
      <c r="B333" s="336"/>
      <c r="C333" s="336"/>
      <c r="D333" s="336"/>
      <c r="E333" s="336"/>
      <c r="F333" s="336"/>
      <c r="G333" s="336"/>
      <c r="H333" s="336"/>
      <c r="M333" s="352"/>
      <c r="N333" s="353"/>
      <c r="O333" s="353"/>
      <c r="T333" s="377"/>
      <c r="U333" s="352"/>
      <c r="V333" s="352"/>
      <c r="W333" s="352"/>
      <c r="X333" s="375"/>
      <c r="Y333" s="375"/>
      <c r="Z333" s="336"/>
      <c r="AA333" s="353"/>
      <c r="AB333" s="336"/>
      <c r="AC333" s="336"/>
      <c r="AD333" s="336"/>
      <c r="AE333" s="336"/>
      <c r="AF333" s="336"/>
      <c r="AG333" s="336"/>
      <c r="AH333" s="336"/>
      <c r="AI333" s="336"/>
      <c r="AJ333" s="336"/>
      <c r="AK333" s="336"/>
      <c r="AL333" s="336"/>
      <c r="AM333" s="336"/>
      <c r="AN333" s="336"/>
      <c r="AO333" s="336"/>
      <c r="AP333" s="336"/>
      <c r="AQ333" s="336"/>
      <c r="AR333" s="336"/>
      <c r="AS333" s="336"/>
      <c r="AT333" s="336"/>
      <c r="AU333" s="336"/>
      <c r="AV333" s="336"/>
      <c r="AW333" s="336"/>
      <c r="AX333" s="336"/>
      <c r="AY333" s="336"/>
      <c r="AZ333" s="336"/>
      <c r="BA333" s="336"/>
      <c r="BB333" s="336"/>
      <c r="BC333" s="336"/>
      <c r="BD333" s="336"/>
      <c r="BE333" s="336"/>
      <c r="BF333" s="336"/>
    </row>
    <row r="334" spans="1:58" s="351" customFormat="1" x14ac:dyDescent="0.25">
      <c r="A334" s="336"/>
      <c r="B334" s="336"/>
      <c r="C334" s="336"/>
      <c r="D334" s="336"/>
      <c r="E334" s="336"/>
      <c r="F334" s="336"/>
      <c r="G334" s="336"/>
      <c r="H334" s="336"/>
      <c r="M334" s="352"/>
      <c r="N334" s="353"/>
      <c r="O334" s="353"/>
      <c r="T334" s="377"/>
      <c r="U334" s="352"/>
      <c r="V334" s="352"/>
      <c r="W334" s="352"/>
      <c r="X334" s="375"/>
      <c r="Y334" s="375"/>
      <c r="Z334" s="336"/>
      <c r="AA334" s="353"/>
      <c r="AB334" s="336"/>
      <c r="AC334" s="336"/>
      <c r="AD334" s="336"/>
      <c r="AE334" s="336"/>
      <c r="AF334" s="336"/>
      <c r="AG334" s="336"/>
      <c r="AH334" s="336"/>
      <c r="AI334" s="336"/>
      <c r="AJ334" s="336"/>
      <c r="AK334" s="336"/>
      <c r="AL334" s="336"/>
      <c r="AM334" s="336"/>
      <c r="AN334" s="336"/>
      <c r="AO334" s="336"/>
      <c r="AP334" s="336"/>
      <c r="AQ334" s="336"/>
      <c r="AR334" s="336"/>
      <c r="AS334" s="336"/>
      <c r="AT334" s="336"/>
      <c r="AU334" s="336"/>
      <c r="AV334" s="336"/>
      <c r="AW334" s="336"/>
      <c r="AX334" s="336"/>
      <c r="AY334" s="336"/>
      <c r="AZ334" s="336"/>
      <c r="BA334" s="336"/>
      <c r="BB334" s="336"/>
      <c r="BC334" s="336"/>
      <c r="BD334" s="336"/>
      <c r="BE334" s="336"/>
      <c r="BF334" s="336"/>
    </row>
    <row r="335" spans="1:58" s="351" customFormat="1" x14ac:dyDescent="0.25">
      <c r="A335" s="336"/>
      <c r="B335" s="336"/>
      <c r="C335" s="336"/>
      <c r="D335" s="336"/>
      <c r="E335" s="336"/>
      <c r="F335" s="336"/>
      <c r="G335" s="336"/>
      <c r="H335" s="336"/>
      <c r="M335" s="352"/>
      <c r="N335" s="353"/>
      <c r="O335" s="353"/>
      <c r="T335" s="377"/>
      <c r="U335" s="352"/>
      <c r="V335" s="352"/>
      <c r="W335" s="352"/>
      <c r="X335" s="375"/>
      <c r="Y335" s="375"/>
      <c r="Z335" s="336"/>
      <c r="AA335" s="353"/>
      <c r="AB335" s="336"/>
      <c r="AC335" s="336"/>
      <c r="AD335" s="336"/>
      <c r="AE335" s="336"/>
      <c r="AF335" s="336"/>
      <c r="AG335" s="336"/>
      <c r="AH335" s="336"/>
      <c r="AI335" s="336"/>
      <c r="AJ335" s="336"/>
      <c r="AK335" s="336"/>
      <c r="AL335" s="336"/>
      <c r="AM335" s="336"/>
      <c r="AN335" s="336"/>
      <c r="AO335" s="336"/>
      <c r="AP335" s="336"/>
      <c r="AQ335" s="336"/>
      <c r="AR335" s="336"/>
      <c r="AS335" s="336"/>
      <c r="AT335" s="336"/>
      <c r="AU335" s="336"/>
      <c r="AV335" s="336"/>
      <c r="AW335" s="336"/>
      <c r="AX335" s="336"/>
      <c r="AY335" s="336"/>
      <c r="AZ335" s="336"/>
      <c r="BA335" s="336"/>
      <c r="BB335" s="336"/>
      <c r="BC335" s="336"/>
      <c r="BD335" s="336"/>
      <c r="BE335" s="336"/>
      <c r="BF335" s="336"/>
    </row>
    <row r="336" spans="1:58" s="351" customFormat="1" x14ac:dyDescent="0.25">
      <c r="A336" s="336"/>
      <c r="B336" s="336"/>
      <c r="C336" s="336"/>
      <c r="D336" s="336"/>
      <c r="E336" s="336"/>
      <c r="F336" s="336"/>
      <c r="G336" s="336"/>
      <c r="H336" s="336"/>
      <c r="M336" s="352"/>
      <c r="N336" s="353"/>
      <c r="O336" s="353"/>
      <c r="T336" s="377"/>
      <c r="U336" s="352"/>
      <c r="V336" s="352"/>
      <c r="W336" s="352"/>
      <c r="X336" s="375"/>
      <c r="Y336" s="375"/>
      <c r="Z336" s="336"/>
      <c r="AA336" s="353"/>
      <c r="AB336" s="336"/>
      <c r="AC336" s="336"/>
      <c r="AD336" s="336"/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336"/>
      <c r="AS336" s="336"/>
      <c r="AT336" s="336"/>
      <c r="AU336" s="336"/>
      <c r="AV336" s="336"/>
      <c r="AW336" s="336"/>
      <c r="AX336" s="336"/>
      <c r="AY336" s="336"/>
      <c r="AZ336" s="336"/>
      <c r="BA336" s="336"/>
      <c r="BB336" s="336"/>
      <c r="BC336" s="336"/>
      <c r="BD336" s="336"/>
      <c r="BE336" s="336"/>
      <c r="BF336" s="336"/>
    </row>
    <row r="337" spans="1:58" s="351" customFormat="1" x14ac:dyDescent="0.25">
      <c r="A337" s="336"/>
      <c r="B337" s="336"/>
      <c r="C337" s="336"/>
      <c r="D337" s="336"/>
      <c r="E337" s="336"/>
      <c r="F337" s="336"/>
      <c r="G337" s="336"/>
      <c r="H337" s="336"/>
      <c r="M337" s="352"/>
      <c r="N337" s="353"/>
      <c r="O337" s="353"/>
      <c r="T337" s="377"/>
      <c r="U337" s="352"/>
      <c r="V337" s="352"/>
      <c r="W337" s="352"/>
      <c r="X337" s="375"/>
      <c r="Y337" s="375"/>
      <c r="Z337" s="336"/>
      <c r="AA337" s="353"/>
      <c r="AB337" s="336"/>
      <c r="AC337" s="336"/>
      <c r="AD337" s="336"/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336"/>
      <c r="AS337" s="336"/>
      <c r="AT337" s="336"/>
      <c r="AU337" s="336"/>
      <c r="AV337" s="336"/>
      <c r="AW337" s="336"/>
      <c r="AX337" s="336"/>
      <c r="AY337" s="336"/>
      <c r="AZ337" s="336"/>
      <c r="BA337" s="336"/>
      <c r="BB337" s="336"/>
      <c r="BC337" s="336"/>
      <c r="BD337" s="336"/>
      <c r="BE337" s="336"/>
      <c r="BF337" s="336"/>
    </row>
    <row r="338" spans="1:58" s="351" customFormat="1" x14ac:dyDescent="0.25">
      <c r="A338" s="336"/>
      <c r="B338" s="336"/>
      <c r="C338" s="336"/>
      <c r="D338" s="336"/>
      <c r="E338" s="336"/>
      <c r="F338" s="336"/>
      <c r="G338" s="336"/>
      <c r="H338" s="336"/>
      <c r="M338" s="352"/>
      <c r="N338" s="353"/>
      <c r="O338" s="353"/>
      <c r="T338" s="377"/>
      <c r="U338" s="352"/>
      <c r="V338" s="352"/>
      <c r="W338" s="352"/>
      <c r="X338" s="375"/>
      <c r="Y338" s="375"/>
      <c r="Z338" s="336"/>
      <c r="AA338" s="353"/>
      <c r="AB338" s="336"/>
      <c r="AC338" s="336"/>
      <c r="AD338" s="336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336"/>
      <c r="AS338" s="336"/>
      <c r="AT338" s="336"/>
      <c r="AU338" s="336"/>
      <c r="AV338" s="336"/>
      <c r="AW338" s="336"/>
      <c r="AX338" s="336"/>
      <c r="AY338" s="336"/>
      <c r="AZ338" s="336"/>
      <c r="BA338" s="336"/>
      <c r="BB338" s="336"/>
      <c r="BC338" s="336"/>
      <c r="BD338" s="336"/>
      <c r="BE338" s="336"/>
      <c r="BF338" s="336"/>
    </row>
    <row r="339" spans="1:58" s="351" customFormat="1" x14ac:dyDescent="0.25">
      <c r="A339" s="336"/>
      <c r="B339" s="336"/>
      <c r="C339" s="336"/>
      <c r="D339" s="336"/>
      <c r="E339" s="336"/>
      <c r="F339" s="336"/>
      <c r="G339" s="336"/>
      <c r="H339" s="336"/>
      <c r="M339" s="352"/>
      <c r="N339" s="353"/>
      <c r="O339" s="353"/>
      <c r="T339" s="377"/>
      <c r="U339" s="352"/>
      <c r="V339" s="352"/>
      <c r="W339" s="352"/>
      <c r="X339" s="375"/>
      <c r="Y339" s="375"/>
      <c r="Z339" s="336"/>
      <c r="AA339" s="353"/>
      <c r="AB339" s="336"/>
      <c r="AC339" s="336"/>
      <c r="AD339" s="336"/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336"/>
      <c r="AS339" s="336"/>
      <c r="AT339" s="336"/>
      <c r="AU339" s="336"/>
      <c r="AV339" s="336"/>
      <c r="AW339" s="336"/>
      <c r="AX339" s="336"/>
      <c r="AY339" s="336"/>
      <c r="AZ339" s="336"/>
      <c r="BA339" s="336"/>
      <c r="BB339" s="336"/>
      <c r="BC339" s="336"/>
      <c r="BD339" s="336"/>
      <c r="BE339" s="336"/>
      <c r="BF339" s="336"/>
    </row>
    <row r="340" spans="1:58" s="351" customFormat="1" x14ac:dyDescent="0.25">
      <c r="A340" s="336"/>
      <c r="B340" s="336"/>
      <c r="C340" s="336"/>
      <c r="D340" s="336"/>
      <c r="E340" s="336"/>
      <c r="F340" s="336"/>
      <c r="G340" s="336"/>
      <c r="H340" s="336"/>
      <c r="M340" s="352"/>
      <c r="N340" s="353"/>
      <c r="O340" s="353"/>
      <c r="T340" s="377"/>
      <c r="U340" s="352"/>
      <c r="V340" s="352"/>
      <c r="W340" s="352"/>
      <c r="X340" s="375"/>
      <c r="Y340" s="375"/>
      <c r="Z340" s="336"/>
      <c r="AA340" s="353"/>
      <c r="AB340" s="336"/>
      <c r="AC340" s="336"/>
      <c r="AD340" s="336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336"/>
      <c r="AS340" s="336"/>
      <c r="AT340" s="336"/>
      <c r="AU340" s="336"/>
      <c r="AV340" s="336"/>
      <c r="AW340" s="336"/>
      <c r="AX340" s="336"/>
      <c r="AY340" s="336"/>
      <c r="AZ340" s="336"/>
      <c r="BA340" s="336"/>
      <c r="BB340" s="336"/>
      <c r="BC340" s="336"/>
      <c r="BD340" s="336"/>
      <c r="BE340" s="336"/>
      <c r="BF340" s="336"/>
    </row>
    <row r="341" spans="1:58" s="351" customFormat="1" x14ac:dyDescent="0.25">
      <c r="A341" s="336"/>
      <c r="B341" s="336"/>
      <c r="C341" s="336"/>
      <c r="D341" s="336"/>
      <c r="E341" s="336"/>
      <c r="F341" s="336"/>
      <c r="G341" s="336"/>
      <c r="H341" s="336"/>
      <c r="M341" s="352"/>
      <c r="N341" s="353"/>
      <c r="O341" s="353"/>
      <c r="T341" s="377"/>
      <c r="U341" s="352"/>
      <c r="V341" s="352"/>
      <c r="W341" s="352"/>
      <c r="X341" s="375"/>
      <c r="Y341" s="375"/>
      <c r="Z341" s="336"/>
      <c r="AA341" s="353"/>
      <c r="AB341" s="336"/>
      <c r="AC341" s="336"/>
      <c r="AD341" s="336"/>
      <c r="AE341" s="336"/>
      <c r="AF341" s="336"/>
      <c r="AG341" s="336"/>
      <c r="AH341" s="336"/>
      <c r="AI341" s="336"/>
      <c r="AJ341" s="336"/>
      <c r="AK341" s="336"/>
      <c r="AL341" s="336"/>
      <c r="AM341" s="336"/>
      <c r="AN341" s="336"/>
      <c r="AO341" s="336"/>
      <c r="AP341" s="336"/>
      <c r="AQ341" s="336"/>
      <c r="AR341" s="336"/>
      <c r="AS341" s="336"/>
      <c r="AT341" s="336"/>
      <c r="AU341" s="336"/>
      <c r="AV341" s="336"/>
      <c r="AW341" s="336"/>
      <c r="AX341" s="336"/>
      <c r="AY341" s="336"/>
      <c r="AZ341" s="336"/>
      <c r="BA341" s="336"/>
      <c r="BB341" s="336"/>
      <c r="BC341" s="336"/>
      <c r="BD341" s="336"/>
      <c r="BE341" s="336"/>
      <c r="BF341" s="336"/>
    </row>
    <row r="342" spans="1:58" s="351" customFormat="1" x14ac:dyDescent="0.25">
      <c r="A342" s="336"/>
      <c r="B342" s="336"/>
      <c r="C342" s="336"/>
      <c r="D342" s="336"/>
      <c r="E342" s="336"/>
      <c r="F342" s="336"/>
      <c r="G342" s="336"/>
      <c r="H342" s="336"/>
      <c r="M342" s="352"/>
      <c r="N342" s="353"/>
      <c r="O342" s="353"/>
      <c r="T342" s="377"/>
      <c r="U342" s="352"/>
      <c r="V342" s="352"/>
      <c r="W342" s="352"/>
      <c r="X342" s="375"/>
      <c r="Y342" s="375"/>
      <c r="Z342" s="336"/>
      <c r="AA342" s="353"/>
      <c r="AB342" s="336"/>
      <c r="AC342" s="336"/>
      <c r="AD342" s="336"/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336"/>
      <c r="AS342" s="336"/>
      <c r="AT342" s="336"/>
      <c r="AU342" s="336"/>
      <c r="AV342" s="336"/>
      <c r="AW342" s="336"/>
      <c r="AX342" s="336"/>
      <c r="AY342" s="336"/>
      <c r="AZ342" s="336"/>
      <c r="BA342" s="336"/>
      <c r="BB342" s="336"/>
      <c r="BC342" s="336"/>
      <c r="BD342" s="336"/>
      <c r="BE342" s="336"/>
      <c r="BF342" s="336"/>
    </row>
    <row r="343" spans="1:58" s="351" customFormat="1" x14ac:dyDescent="0.25">
      <c r="A343" s="336"/>
      <c r="B343" s="336"/>
      <c r="C343" s="336"/>
      <c r="D343" s="336"/>
      <c r="E343" s="336"/>
      <c r="F343" s="336"/>
      <c r="G343" s="336"/>
      <c r="H343" s="336"/>
      <c r="M343" s="352"/>
      <c r="N343" s="353"/>
      <c r="O343" s="353"/>
      <c r="T343" s="377"/>
      <c r="U343" s="352"/>
      <c r="V343" s="352"/>
      <c r="W343" s="352"/>
      <c r="X343" s="375"/>
      <c r="Y343" s="375"/>
      <c r="Z343" s="336"/>
      <c r="AA343" s="353"/>
      <c r="AB343" s="336"/>
      <c r="AC343" s="336"/>
      <c r="AD343" s="336"/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336"/>
      <c r="AS343" s="336"/>
      <c r="AT343" s="336"/>
      <c r="AU343" s="336"/>
      <c r="AV343" s="336"/>
      <c r="AW343" s="336"/>
      <c r="AX343" s="336"/>
      <c r="AY343" s="336"/>
      <c r="AZ343" s="336"/>
      <c r="BA343" s="336"/>
      <c r="BB343" s="336"/>
      <c r="BC343" s="336"/>
      <c r="BD343" s="336"/>
      <c r="BE343" s="336"/>
      <c r="BF343" s="336"/>
    </row>
  </sheetData>
  <autoFilter ref="A3:AZ3" xr:uid="{00000000-0009-0000-0000-000003000000}"/>
  <pageMargins left="0" right="0" top="0.75" bottom="0" header="0.3" footer="0.3"/>
  <pageSetup scale="5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2CEE0-D0C4-4B99-AB74-B82FB1AB31FC}">
  <dimension ref="A1:BB111"/>
  <sheetViews>
    <sheetView topLeftCell="N1" zoomScale="70" zoomScaleNormal="70" workbookViewId="0">
      <pane ySplit="3" topLeftCell="A4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2" width="8.5703125" style="336" customWidth="1"/>
    <col min="3" max="4" width="26.7109375" style="336" customWidth="1"/>
    <col min="5" max="5" width="20.42578125" style="336" customWidth="1"/>
    <col min="6" max="6" width="25" style="336" customWidth="1"/>
    <col min="7" max="7" width="9.7109375" style="336" customWidth="1"/>
    <col min="8" max="8" width="9.140625" style="336"/>
    <col min="9" max="12" width="12.42578125" style="351" customWidth="1"/>
    <col min="13" max="14" width="9.7109375" style="352" customWidth="1"/>
    <col min="15" max="15" width="12.140625" style="353" customWidth="1"/>
    <col min="16" max="16" width="14.42578125" style="351" customWidth="1"/>
    <col min="17" max="18" width="13" style="351" customWidth="1"/>
    <col min="19" max="19" width="29.28515625" style="351" customWidth="1"/>
    <col min="20" max="20" width="28.42578125" style="352" customWidth="1"/>
    <col min="21" max="21" width="36" style="375" customWidth="1"/>
    <col min="22" max="22" width="19.140625" style="375" customWidth="1"/>
    <col min="23" max="25" width="11" style="336" customWidth="1"/>
    <col min="26" max="27" width="12.140625" style="353" customWidth="1"/>
    <col min="28" max="31" width="11.5703125" style="336" customWidth="1"/>
    <col min="32" max="32" width="12.5703125" style="336" customWidth="1"/>
    <col min="33" max="33" width="14.140625" style="336" customWidth="1"/>
    <col min="34" max="34" width="14.7109375" style="336" customWidth="1"/>
    <col min="35" max="35" width="11.140625" style="336" customWidth="1"/>
    <col min="36" max="36" width="19" style="336" customWidth="1"/>
    <col min="37" max="37" width="14.5703125" style="336" customWidth="1"/>
    <col min="38" max="38" width="14" style="336" customWidth="1"/>
    <col min="39" max="39" width="11.28515625" style="336" customWidth="1"/>
    <col min="40" max="43" width="13.42578125" style="336" customWidth="1"/>
    <col min="44" max="45" width="17.140625" style="336" customWidth="1"/>
    <col min="46" max="46" width="16.28515625" style="336" customWidth="1"/>
    <col min="47" max="47" width="12" style="336" customWidth="1"/>
    <col min="48" max="16384" width="9.140625" style="336"/>
  </cols>
  <sheetData>
    <row r="1" spans="1:54" ht="20.25" x14ac:dyDescent="0.25">
      <c r="A1" s="334"/>
      <c r="B1" s="334"/>
      <c r="C1" s="4" t="s">
        <v>3793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Z1" s="334"/>
      <c r="AA1" s="334"/>
      <c r="AB1" s="334"/>
      <c r="AC1" s="334"/>
      <c r="AD1" s="334"/>
      <c r="AE1" s="334"/>
      <c r="AN1" s="334"/>
      <c r="AO1" s="334"/>
      <c r="AP1" s="334"/>
      <c r="AQ1" s="334"/>
    </row>
    <row r="3" spans="1:54" ht="49.5" x14ac:dyDescent="0.25">
      <c r="A3" s="337" t="s">
        <v>3794</v>
      </c>
      <c r="B3" s="152" t="s">
        <v>74</v>
      </c>
      <c r="C3" s="153" t="s">
        <v>5</v>
      </c>
      <c r="D3" s="154" t="s">
        <v>3795</v>
      </c>
      <c r="E3" s="337" t="s">
        <v>76</v>
      </c>
      <c r="F3" s="337" t="s">
        <v>77</v>
      </c>
      <c r="G3" s="337" t="s">
        <v>78</v>
      </c>
      <c r="H3" s="337" t="s">
        <v>79</v>
      </c>
      <c r="I3" s="338" t="s">
        <v>5118</v>
      </c>
      <c r="J3" s="338" t="s">
        <v>81</v>
      </c>
      <c r="K3" s="397" t="s">
        <v>5456</v>
      </c>
      <c r="L3" s="397" t="s">
        <v>5457</v>
      </c>
      <c r="M3" s="340" t="s">
        <v>84</v>
      </c>
      <c r="N3" s="340"/>
      <c r="O3" s="378" t="s">
        <v>5119</v>
      </c>
      <c r="P3" s="338" t="s">
        <v>5458</v>
      </c>
      <c r="Q3" s="338" t="s">
        <v>5459</v>
      </c>
      <c r="R3" s="338" t="s">
        <v>87</v>
      </c>
      <c r="S3" s="338" t="s">
        <v>88</v>
      </c>
      <c r="T3" s="338"/>
      <c r="U3" s="338"/>
      <c r="V3" s="342" t="s">
        <v>3801</v>
      </c>
      <c r="W3" s="343" t="s">
        <v>3802</v>
      </c>
      <c r="X3" s="161" t="s">
        <v>3803</v>
      </c>
      <c r="Y3" s="162" t="s">
        <v>3804</v>
      </c>
      <c r="Z3" s="344" t="s">
        <v>3805</v>
      </c>
      <c r="AA3" s="164" t="s">
        <v>3806</v>
      </c>
      <c r="AB3" s="345" t="s">
        <v>3807</v>
      </c>
      <c r="AC3" s="346" t="s">
        <v>3808</v>
      </c>
      <c r="AD3" s="167" t="s">
        <v>3809</v>
      </c>
      <c r="AE3" s="343" t="s">
        <v>3810</v>
      </c>
      <c r="AF3" s="338" t="s">
        <v>91</v>
      </c>
      <c r="AG3" s="338" t="s">
        <v>92</v>
      </c>
      <c r="AH3" s="337" t="s">
        <v>93</v>
      </c>
      <c r="AI3" s="337" t="s">
        <v>94</v>
      </c>
      <c r="AJ3" s="347" t="s">
        <v>95</v>
      </c>
      <c r="AK3" s="347" t="s">
        <v>96</v>
      </c>
      <c r="AP3" s="337" t="s">
        <v>100</v>
      </c>
      <c r="AQ3" s="337" t="s">
        <v>101</v>
      </c>
      <c r="AR3" s="348" t="s">
        <v>5460</v>
      </c>
      <c r="AS3" s="348" t="s">
        <v>3815</v>
      </c>
      <c r="AT3" s="348" t="s">
        <v>4351</v>
      </c>
      <c r="AU3" s="348" t="s">
        <v>3817</v>
      </c>
    </row>
    <row r="4" spans="1:54" s="142" customFormat="1" ht="21" customHeight="1" x14ac:dyDescent="0.25">
      <c r="E4" s="196"/>
      <c r="F4" s="196"/>
      <c r="I4" s="187"/>
      <c r="J4" s="187"/>
      <c r="K4" s="187"/>
      <c r="L4" s="187"/>
      <c r="M4" s="188"/>
      <c r="N4" s="149"/>
      <c r="O4" s="149"/>
      <c r="P4" s="188"/>
      <c r="S4" s="214"/>
      <c r="T4" s="214"/>
      <c r="U4" s="149"/>
      <c r="V4" s="216"/>
      <c r="W4" s="216"/>
      <c r="X4" s="216"/>
      <c r="Y4" s="216"/>
      <c r="Z4" s="216"/>
      <c r="AA4" s="216"/>
      <c r="AB4" s="216"/>
      <c r="AC4" s="216"/>
      <c r="AD4" s="216"/>
      <c r="AE4" s="216"/>
      <c r="AF4" s="217"/>
      <c r="AH4" s="218"/>
      <c r="AI4" s="218"/>
      <c r="AJ4" s="218"/>
      <c r="AK4" s="218"/>
      <c r="AL4" s="218"/>
      <c r="AM4" s="218"/>
      <c r="AP4" s="218"/>
      <c r="AQ4" s="196"/>
      <c r="AR4" s="149"/>
      <c r="AS4" s="149"/>
      <c r="AT4" s="149"/>
      <c r="AU4" s="149"/>
      <c r="BB4" s="187"/>
    </row>
    <row r="5" spans="1:54" ht="15.75" customHeight="1" x14ac:dyDescent="0.25"/>
    <row r="6" spans="1:54" x14ac:dyDescent="0.25">
      <c r="N6" s="368">
        <f>SUBTOTAL(9,N4:N5)</f>
        <v>0</v>
      </c>
      <c r="O6" s="368">
        <f>SUBTOTAL(9,O4:O5)</f>
        <v>0</v>
      </c>
    </row>
    <row r="10" spans="1:54" x14ac:dyDescent="0.25">
      <c r="P10" s="369"/>
      <c r="Q10" s="369"/>
    </row>
    <row r="12" spans="1:54" x14ac:dyDescent="0.25">
      <c r="Q12" s="353"/>
    </row>
    <row r="13" spans="1:54" x14ac:dyDescent="0.25">
      <c r="P13" s="353"/>
    </row>
    <row r="15" spans="1:54" x14ac:dyDescent="0.25">
      <c r="Q15" s="369"/>
    </row>
    <row r="48" spans="1:54" s="351" customFormat="1" x14ac:dyDescent="0.25">
      <c r="A48" s="336"/>
      <c r="B48" s="336"/>
      <c r="C48" s="336"/>
      <c r="D48" s="336"/>
      <c r="E48" s="336"/>
      <c r="F48" s="336"/>
      <c r="G48" s="336"/>
      <c r="H48" s="336"/>
      <c r="M48" s="352"/>
      <c r="N48" s="352"/>
      <c r="O48" s="353"/>
      <c r="T48" s="352"/>
      <c r="U48" s="375"/>
      <c r="V48" s="375"/>
      <c r="W48" s="336"/>
      <c r="X48" s="336"/>
      <c r="Y48" s="336"/>
      <c r="Z48" s="353"/>
      <c r="AA48" s="353"/>
      <c r="AB48" s="336"/>
      <c r="AC48" s="336"/>
      <c r="AD48" s="336"/>
      <c r="AE48" s="336"/>
      <c r="AF48" s="336"/>
      <c r="AG48" s="336"/>
      <c r="AH48" s="336"/>
      <c r="AI48" s="336"/>
      <c r="AJ48" s="336"/>
      <c r="AK48" s="336"/>
      <c r="AL48" s="336"/>
      <c r="AM48" s="336"/>
      <c r="AN48" s="336"/>
      <c r="AO48" s="336"/>
      <c r="AP48" s="336"/>
      <c r="AQ48" s="336"/>
      <c r="AR48" s="336"/>
      <c r="AS48" s="336"/>
      <c r="AT48" s="336"/>
      <c r="AU48" s="336"/>
      <c r="AV48" s="336"/>
      <c r="AW48" s="336"/>
      <c r="AX48" s="336"/>
      <c r="AY48" s="336"/>
      <c r="AZ48" s="336"/>
      <c r="BA48" s="336"/>
      <c r="BB48" s="336"/>
    </row>
    <row r="111" spans="7:7" x14ac:dyDescent="0.25">
      <c r="G111" s="336" t="s">
        <v>5461</v>
      </c>
    </row>
  </sheetData>
  <autoFilter ref="A3:AW3" xr:uid="{00000000-0009-0000-0000-000004000000}"/>
  <pageMargins left="0" right="0" top="0.75" bottom="0" header="0.3" footer="0.3"/>
  <pageSetup scale="5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50852-1EFB-40A5-AF16-C0109F30F95E}">
  <sheetPr>
    <pageSetUpPr fitToPage="1"/>
  </sheetPr>
  <dimension ref="A1:BO609"/>
  <sheetViews>
    <sheetView topLeftCell="E1" zoomScale="70" zoomScaleNormal="70" workbookViewId="0">
      <pane ySplit="4" topLeftCell="A238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2" width="15.140625" style="336" customWidth="1"/>
    <col min="3" max="3" width="16.85546875" style="336" customWidth="1"/>
    <col min="4" max="4" width="43" style="336" customWidth="1"/>
    <col min="5" max="5" width="26.42578125" style="336" customWidth="1"/>
    <col min="6" max="6" width="21.7109375" style="336" customWidth="1"/>
    <col min="7" max="7" width="25.140625" style="336" customWidth="1"/>
    <col min="8" max="8" width="11.28515625" style="336" customWidth="1"/>
    <col min="9" max="9" width="9.140625" style="336" customWidth="1"/>
    <col min="10" max="10" width="13.5703125" style="351" customWidth="1"/>
    <col min="11" max="11" width="11.140625" style="399" customWidth="1"/>
    <col min="12" max="12" width="10.85546875" style="399" customWidth="1"/>
    <col min="13" max="13" width="10" style="399" customWidth="1"/>
    <col min="14" max="14" width="9.7109375" style="352" customWidth="1"/>
    <col min="15" max="15" width="14.140625" style="353" customWidth="1"/>
    <col min="16" max="16" width="13" style="353" customWidth="1"/>
    <col min="17" max="17" width="11.140625" style="353" customWidth="1"/>
    <col min="18" max="18" width="12.5703125" style="351" customWidth="1"/>
    <col min="19" max="19" width="12.42578125" style="353" customWidth="1"/>
    <col min="20" max="20" width="26.5703125" style="399" customWidth="1"/>
    <col min="21" max="21" width="35.140625" style="351" customWidth="1"/>
    <col min="22" max="22" width="57.5703125" style="351" customWidth="1"/>
    <col min="23" max="23" width="34.85546875" style="351" customWidth="1"/>
    <col min="24" max="24" width="13.28515625" style="351" customWidth="1"/>
    <col min="25" max="33" width="12.42578125" style="351" customWidth="1"/>
    <col min="34" max="34" width="18.85546875" style="351" customWidth="1"/>
    <col min="35" max="35" width="12.42578125" style="351" customWidth="1"/>
    <col min="36" max="36" width="36.42578125" style="336" customWidth="1"/>
    <col min="37" max="37" width="18.28515625" style="336" customWidth="1"/>
    <col min="38" max="38" width="12.85546875" style="336" customWidth="1"/>
    <col min="39" max="39" width="12.7109375" style="336" customWidth="1"/>
    <col min="40" max="43" width="13.42578125" style="336" customWidth="1"/>
    <col min="44" max="44" width="22.42578125" style="336" customWidth="1"/>
    <col min="45" max="45" width="19.85546875" style="336" customWidth="1"/>
    <col min="46" max="48" width="13.5703125" style="364" customWidth="1"/>
    <col min="49" max="50" width="12.42578125" style="351" customWidth="1"/>
    <col min="51" max="51" width="11.42578125" style="336" customWidth="1"/>
    <col min="52" max="61" width="9.140625" style="336" customWidth="1"/>
    <col min="62" max="62" width="13.85546875" style="336" customWidth="1"/>
    <col min="63" max="63" width="14.140625" style="336" customWidth="1"/>
    <col min="64" max="64" width="13.5703125" style="336" customWidth="1"/>
    <col min="65" max="65" width="16.140625" style="336" customWidth="1"/>
    <col min="66" max="66" width="11.5703125" style="336" customWidth="1"/>
    <col min="67" max="67" width="10.5703125" style="336" bestFit="1" customWidth="1"/>
    <col min="68" max="16384" width="9.140625" style="336"/>
  </cols>
  <sheetData>
    <row r="1" spans="1:66" ht="31.5" customHeight="1" x14ac:dyDescent="0.25">
      <c r="A1" s="398" t="s">
        <v>5462</v>
      </c>
      <c r="B1" s="398"/>
      <c r="C1" s="398"/>
      <c r="D1" s="398"/>
      <c r="E1" s="398"/>
      <c r="F1" s="398"/>
      <c r="G1" s="398"/>
      <c r="H1" s="398"/>
      <c r="I1" s="398"/>
      <c r="J1" s="398"/>
      <c r="K1" s="398"/>
      <c r="L1" s="398"/>
      <c r="M1" s="398"/>
      <c r="N1" s="398"/>
      <c r="O1" s="398"/>
      <c r="P1" s="398"/>
      <c r="Q1" s="398"/>
      <c r="R1" s="398"/>
      <c r="S1" s="398"/>
      <c r="T1" s="398"/>
      <c r="U1" s="398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334"/>
      <c r="AK1" s="334"/>
      <c r="AL1" s="334"/>
      <c r="AM1" s="334"/>
      <c r="AN1" s="334"/>
      <c r="AO1" s="334"/>
      <c r="AP1" s="334"/>
      <c r="AQ1" s="334"/>
      <c r="AR1" s="334"/>
      <c r="AS1" s="334"/>
      <c r="AT1" s="334"/>
      <c r="AU1" s="334"/>
      <c r="AV1" s="334"/>
      <c r="AW1" s="334"/>
      <c r="AX1" s="334"/>
    </row>
    <row r="2" spans="1:66" x14ac:dyDescent="0.25">
      <c r="C2" s="4" t="s">
        <v>3793</v>
      </c>
      <c r="D2" s="361" t="str">
        <f>IF(G2="","",IF(Q2="MULTI","FGMS","FGC")&amp;"-"&amp;H2&amp;"/"&amp;I2&amp;"-"&amp;TEXT(K2,"0.00")&amp;"X"&amp;IF(Q2="MULTI",R2,Q2))</f>
        <v/>
      </c>
      <c r="BK2" s="361"/>
      <c r="BL2" s="361"/>
      <c r="BM2" s="400"/>
      <c r="BN2" s="361"/>
    </row>
    <row r="3" spans="1:66" x14ac:dyDescent="0.25">
      <c r="G3" s="359"/>
    </row>
    <row r="4" spans="1:66" ht="66" x14ac:dyDescent="0.25">
      <c r="A4" s="347" t="s">
        <v>5463</v>
      </c>
      <c r="B4" s="337" t="s">
        <v>5464</v>
      </c>
      <c r="C4" s="337" t="s">
        <v>5465</v>
      </c>
      <c r="D4" s="152" t="s">
        <v>74</v>
      </c>
      <c r="E4" s="153" t="s">
        <v>5</v>
      </c>
      <c r="F4" s="337" t="s">
        <v>76</v>
      </c>
      <c r="G4" s="337" t="s">
        <v>77</v>
      </c>
      <c r="H4" s="337" t="s">
        <v>78</v>
      </c>
      <c r="I4" s="337" t="s">
        <v>79</v>
      </c>
      <c r="J4" s="338" t="s">
        <v>5466</v>
      </c>
      <c r="K4" s="338" t="s">
        <v>5467</v>
      </c>
      <c r="L4" s="339" t="s">
        <v>3797</v>
      </c>
      <c r="M4" s="339" t="s">
        <v>3798</v>
      </c>
      <c r="N4" s="340" t="s">
        <v>5468</v>
      </c>
      <c r="O4" s="378" t="s">
        <v>5469</v>
      </c>
      <c r="P4" s="401" t="s">
        <v>5470</v>
      </c>
      <c r="Q4" s="338" t="s">
        <v>5471</v>
      </c>
      <c r="R4" s="402" t="s">
        <v>5472</v>
      </c>
      <c r="S4" s="338" t="s">
        <v>5473</v>
      </c>
      <c r="T4" s="397" t="s">
        <v>5474</v>
      </c>
      <c r="U4" s="338" t="s">
        <v>88</v>
      </c>
      <c r="V4" s="338"/>
      <c r="W4" s="338" t="s">
        <v>5475</v>
      </c>
      <c r="X4" s="342" t="s">
        <v>3801</v>
      </c>
      <c r="Y4" s="343" t="s">
        <v>3802</v>
      </c>
      <c r="Z4" s="161" t="s">
        <v>3803</v>
      </c>
      <c r="AA4" s="162" t="s">
        <v>3804</v>
      </c>
      <c r="AB4" s="344" t="s">
        <v>3805</v>
      </c>
      <c r="AC4" s="164" t="s">
        <v>3806</v>
      </c>
      <c r="AD4" s="345" t="s">
        <v>3807</v>
      </c>
      <c r="AE4" s="346" t="s">
        <v>3808</v>
      </c>
      <c r="AF4" s="167" t="s">
        <v>3809</v>
      </c>
      <c r="AG4" s="343" t="s">
        <v>3810</v>
      </c>
      <c r="AH4" s="338" t="s">
        <v>91</v>
      </c>
      <c r="AI4" s="338" t="s">
        <v>92</v>
      </c>
      <c r="AJ4" s="337" t="s">
        <v>93</v>
      </c>
      <c r="AK4" s="337" t="s">
        <v>94</v>
      </c>
      <c r="AL4" s="347" t="s">
        <v>95</v>
      </c>
      <c r="AM4" s="347" t="s">
        <v>96</v>
      </c>
      <c r="AN4" s="347" t="s">
        <v>3811</v>
      </c>
      <c r="AO4" s="347" t="s">
        <v>3812</v>
      </c>
      <c r="AP4" s="347" t="s">
        <v>98</v>
      </c>
      <c r="AQ4" s="347"/>
      <c r="AR4" s="337" t="s">
        <v>100</v>
      </c>
      <c r="AS4" s="337" t="s">
        <v>101</v>
      </c>
      <c r="AT4" s="348" t="s">
        <v>3814</v>
      </c>
      <c r="AU4" s="348" t="s">
        <v>3815</v>
      </c>
      <c r="AV4" s="348" t="s">
        <v>3816</v>
      </c>
      <c r="AW4" s="338" t="s">
        <v>3817</v>
      </c>
      <c r="AX4" s="338"/>
      <c r="AY4" s="403"/>
      <c r="BG4" s="403" t="s">
        <v>5476</v>
      </c>
      <c r="BH4" s="404" t="s">
        <v>5477</v>
      </c>
      <c r="BI4" s="403" t="s">
        <v>5478</v>
      </c>
      <c r="BJ4" s="403" t="s">
        <v>110</v>
      </c>
      <c r="BK4" s="403"/>
      <c r="BL4" s="403"/>
      <c r="BM4" s="403" t="s">
        <v>5479</v>
      </c>
      <c r="BN4" s="141" t="s">
        <v>5480</v>
      </c>
    </row>
    <row r="5" spans="1:66" s="406" customFormat="1" ht="19.5" customHeight="1" x14ac:dyDescent="0.25">
      <c r="A5" s="405" t="s">
        <v>5481</v>
      </c>
      <c r="B5" s="405"/>
      <c r="J5" s="407"/>
      <c r="K5" s="408"/>
      <c r="L5" s="408"/>
      <c r="M5" s="408"/>
      <c r="N5" s="409"/>
      <c r="O5" s="410"/>
      <c r="P5" s="410"/>
      <c r="Q5" s="410"/>
      <c r="R5" s="407"/>
      <c r="S5" s="410"/>
      <c r="T5" s="408"/>
      <c r="U5" s="407"/>
      <c r="V5" s="407"/>
      <c r="W5" s="407"/>
      <c r="X5" s="407"/>
      <c r="Y5" s="407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T5" s="411"/>
      <c r="AU5" s="411"/>
      <c r="AV5" s="411"/>
      <c r="AW5" s="407"/>
      <c r="AX5" s="407"/>
    </row>
    <row r="6" spans="1:66" x14ac:dyDescent="0.25">
      <c r="A6" s="412" t="s">
        <v>5482</v>
      </c>
    </row>
    <row r="7" spans="1:66" s="200" customFormat="1" ht="19.5" customHeight="1" x14ac:dyDescent="0.25">
      <c r="A7" s="199">
        <v>43457</v>
      </c>
      <c r="B7" s="204">
        <f ca="1">IF(A7="",(IF(ISNUMBER(SUBSTITUTE(LEFT(RIGHT(E7,LEN(E7)-MIN(SEARCH({1,2,3,4,5,6,7,8,9,0},E7&amp;"1234567890"))+1),10),".","/"))=TRUE,AO7-(SUBSTITUTE(LEFT(RIGHT(E7,LEN(E7)-MIN(SEARCH({1,2,3,4,5,6,7,8,9,0},E7&amp;"1234567890"))+1),10),".","/")),IF((SUBSTITUTE(LEFT(RIGHT(E7,LEN(E7)-MIN(SEARCH({1,2,3,4,5,6,7,8,9,0},E7&amp;"1234567890"))+1),10),".","/"))="","",(AO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O7-A7))</f>
        <v>1501</v>
      </c>
      <c r="C7" s="201"/>
      <c r="D7" s="201" t="str">
        <f>"FGS"&amp;"-"&amp;H7&amp;"/"&amp;I7&amp;"-"&amp;IF(K7="",(TEXT(J7,"0.00")),(TEXT(K7,"0.00")))&amp;"X"&amp;N7&amp;"X"&amp;Q7</f>
        <v>FGS-430/2B-1.20X762XSHEET</v>
      </c>
      <c r="E7" s="208" t="s">
        <v>5483</v>
      </c>
      <c r="F7" s="201" t="s">
        <v>5484</v>
      </c>
      <c r="G7" s="201" t="s">
        <v>5485</v>
      </c>
      <c r="H7" s="201">
        <v>430</v>
      </c>
      <c r="I7" s="202" t="s">
        <v>114</v>
      </c>
      <c r="J7" s="203">
        <v>4</v>
      </c>
      <c r="K7" s="203">
        <v>1.2</v>
      </c>
      <c r="L7" s="203">
        <v>1.1499999999999999</v>
      </c>
      <c r="M7" s="203">
        <v>1.17</v>
      </c>
      <c r="N7" s="204">
        <v>762</v>
      </c>
      <c r="O7" s="381">
        <v>0.28299999999999997</v>
      </c>
      <c r="P7" s="413">
        <v>0.317</v>
      </c>
      <c r="Q7" s="185" t="s">
        <v>5486</v>
      </c>
      <c r="R7" s="371">
        <v>3048</v>
      </c>
      <c r="S7" s="414">
        <v>13</v>
      </c>
      <c r="T7" s="371"/>
      <c r="U7" s="206" t="s">
        <v>5487</v>
      </c>
      <c r="V7" s="206"/>
      <c r="W7" s="206" t="s">
        <v>176</v>
      </c>
      <c r="X7" s="205">
        <v>43438</v>
      </c>
      <c r="Y7" s="205"/>
      <c r="Z7" s="205">
        <v>43444</v>
      </c>
      <c r="AA7" s="205"/>
      <c r="AB7" s="205">
        <v>43447</v>
      </c>
      <c r="AC7" s="205"/>
      <c r="AD7" s="205">
        <v>43448</v>
      </c>
      <c r="AE7" s="205"/>
      <c r="AF7" s="205"/>
      <c r="AG7" s="205"/>
      <c r="AH7" s="207"/>
      <c r="AI7" s="208" t="s">
        <v>69</v>
      </c>
      <c r="AJ7" s="208" t="s">
        <v>119</v>
      </c>
      <c r="AK7" s="209" t="s">
        <v>168</v>
      </c>
      <c r="AL7" s="209">
        <v>43329</v>
      </c>
      <c r="AM7" s="209">
        <v>43348</v>
      </c>
      <c r="AN7" s="209"/>
      <c r="AO7" s="199">
        <f t="shared" ref="AO7:AO30" ca="1" si="0">TODAY()</f>
        <v>44958</v>
      </c>
      <c r="AP7" s="208">
        <f t="shared" ref="AP7:AP30" ca="1" si="1">IF(AM7&lt;&gt;0,AO7-AM7,0)</f>
        <v>1610</v>
      </c>
      <c r="AQ7" s="208">
        <f ca="1">IF(ISNUMBER(AB7)=TRUE,AO7-AB7,IF(AB7="","",(AO7)-(MID(RIGHT(AB7,10),4,2)&amp;"/"&amp;LEFT((RIGHT(AB7,10)),2)&amp;"/"&amp;RIGHT(AB7,4))))</f>
        <v>1511</v>
      </c>
      <c r="AR7" s="209" t="s">
        <v>5488</v>
      </c>
      <c r="AS7" s="173">
        <v>1012726</v>
      </c>
      <c r="AT7" s="210">
        <v>9.9339999999999993</v>
      </c>
      <c r="AU7" s="210">
        <v>9.9489999999999998</v>
      </c>
      <c r="AV7" s="210">
        <v>9.9550000000000001</v>
      </c>
      <c r="AW7" s="210">
        <v>9.9600000000000009</v>
      </c>
      <c r="BB7" s="200" t="s">
        <v>123</v>
      </c>
      <c r="BJ7" s="200" t="s">
        <v>124</v>
      </c>
    </row>
    <row r="8" spans="1:66" s="200" customFormat="1" ht="18" customHeight="1" x14ac:dyDescent="0.25">
      <c r="A8" s="199"/>
      <c r="B8" s="204">
        <f ca="1">IF(A8="",(IF(ISNUMBER(SUBSTITUTE(LEFT(RIGHT(E8,LEN(E8)-MIN(SEARCH({1,2,3,4,5,6,7,8,9,0},E8&amp;"1234567890"))+1),10),".","/"))=TRUE,AO8-(SUBSTITUTE(LEFT(RIGHT(E8,LEN(E8)-MIN(SEARCH({1,2,3,4,5,6,7,8,9,0},E8&amp;"1234567890"))+1),10),".","/")),IF((SUBSTITUTE(LEFT(RIGHT(E8,LEN(E8)-MIN(SEARCH({1,2,3,4,5,6,7,8,9,0},E8&amp;"1234567890"))+1),10),".","/"))="","",(AO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O8-A8))</f>
        <v>580</v>
      </c>
      <c r="C8" s="199"/>
      <c r="D8" s="201" t="str">
        <f t="shared" ref="D8:D30" si="2">"FGS"&amp;"-"&amp;G8&amp;"/"&amp;H8&amp;"-"&amp;IF(J8="",(TEXT(I8,"0.00")),(TEXT(J8,"0.00")))&amp;"X"&amp;M8&amp;"X"&amp;O8</f>
        <v>FGS-LM410467/410-0.92XX1.966</v>
      </c>
      <c r="E8" s="201" t="s">
        <v>5489</v>
      </c>
      <c r="F8" s="201" t="s">
        <v>5490</v>
      </c>
      <c r="G8" s="201" t="s">
        <v>5491</v>
      </c>
      <c r="H8" s="201">
        <v>410</v>
      </c>
      <c r="I8" s="202" t="s">
        <v>158</v>
      </c>
      <c r="J8" s="203">
        <v>0.92</v>
      </c>
      <c r="K8" s="203">
        <v>0.92</v>
      </c>
      <c r="L8" s="203"/>
      <c r="M8" s="203"/>
      <c r="N8" s="204">
        <v>1219</v>
      </c>
      <c r="O8" s="381">
        <v>1.966</v>
      </c>
      <c r="P8" s="413">
        <v>2.0179999999999998</v>
      </c>
      <c r="Q8" s="185" t="s">
        <v>5486</v>
      </c>
      <c r="R8" s="185">
        <v>2438</v>
      </c>
      <c r="S8" s="414">
        <v>92</v>
      </c>
      <c r="T8" s="371"/>
      <c r="U8" s="206"/>
      <c r="V8" s="206"/>
      <c r="W8" s="206"/>
      <c r="X8" s="205"/>
      <c r="Y8" s="205"/>
      <c r="Z8" s="205"/>
      <c r="AA8" s="205"/>
      <c r="AB8" s="205"/>
      <c r="AC8" s="205"/>
      <c r="AD8" s="205"/>
      <c r="AE8" s="205"/>
      <c r="AF8" s="205"/>
      <c r="AG8" s="205"/>
      <c r="AH8" s="207"/>
      <c r="AI8" s="208" t="s">
        <v>158</v>
      </c>
      <c r="AJ8" s="208" t="s">
        <v>430</v>
      </c>
      <c r="AK8" s="209" t="s">
        <v>5492</v>
      </c>
      <c r="AL8" s="209">
        <v>44358</v>
      </c>
      <c r="AM8" s="209">
        <v>44378</v>
      </c>
      <c r="AN8" s="209"/>
      <c r="AO8" s="199">
        <f t="shared" ca="1" si="0"/>
        <v>44958</v>
      </c>
      <c r="AP8" s="208">
        <f t="shared" ca="1" si="1"/>
        <v>580</v>
      </c>
      <c r="AQ8" s="208"/>
      <c r="AR8" s="209" t="s">
        <v>5493</v>
      </c>
      <c r="AS8" s="209" t="s">
        <v>5494</v>
      </c>
      <c r="AT8" s="210">
        <v>1.966</v>
      </c>
      <c r="AU8" s="210">
        <v>2.0179999999999998</v>
      </c>
      <c r="AV8" s="210">
        <v>1.966</v>
      </c>
      <c r="AW8" s="210">
        <v>2.0179999999999998</v>
      </c>
    </row>
    <row r="9" spans="1:66" s="200" customFormat="1" ht="18" customHeight="1" x14ac:dyDescent="0.25">
      <c r="A9" s="199"/>
      <c r="B9" s="204">
        <f ca="1">IF(A9="",(IF(ISNUMBER(SUBSTITUTE(LEFT(RIGHT(E9,LEN(E9)-MIN(SEARCH({1,2,3,4,5,6,7,8,9,0},E9&amp;"1234567890"))+1),10),".","/"))=TRUE,AO9-(SUBSTITUTE(LEFT(RIGHT(E9,LEN(E9)-MIN(SEARCH({1,2,3,4,5,6,7,8,9,0},E9&amp;"1234567890"))+1),10),".","/")),IF((SUBSTITUTE(LEFT(RIGHT(E9,LEN(E9)-MIN(SEARCH({1,2,3,4,5,6,7,8,9,0},E9&amp;"1234567890"))+1),10),".","/"))="","",(AO9)-(MID(RIGHT((SUBSTITUTE(LEFT(RIGHT(E9,LEN(E9)-MIN(SEARCH({1,2,3,4,5,6,7,8,9,0},E9&amp;"1234567890"))+1),10),".","/")),10),4,2)&amp;"/"&amp;LEFT((RIGHT((SUBSTITUTE(LEFT(RIGHT(E9,LEN(E9)-MIN(SEARCH({1,2,3,4,5,6,7,8,9,0},E9&amp;"1234567890"))+1),10),".","/")),10)),2)&amp;"/"&amp;RIGHT((SUBSTITUTE(LEFT(RIGHT(E9,LEN(E9)-MIN(SEARCH({1,2,3,4,5,6,7,8,9,0},E9&amp;"1234567890"))+1),10),".","/")),4))))),(AO9-A9))</f>
        <v>580</v>
      </c>
      <c r="C9" s="199"/>
      <c r="D9" s="201" t="str">
        <f t="shared" si="2"/>
        <v>FGS-LM410469/410-0.92XX2.095</v>
      </c>
      <c r="E9" s="201" t="s">
        <v>5489</v>
      </c>
      <c r="F9" s="201" t="s">
        <v>5495</v>
      </c>
      <c r="G9" s="201" t="s">
        <v>5496</v>
      </c>
      <c r="H9" s="201">
        <v>410</v>
      </c>
      <c r="I9" s="202" t="s">
        <v>158</v>
      </c>
      <c r="J9" s="203">
        <v>0.92</v>
      </c>
      <c r="K9" s="203">
        <v>0.92</v>
      </c>
      <c r="L9" s="203"/>
      <c r="M9" s="203"/>
      <c r="N9" s="204">
        <v>1219</v>
      </c>
      <c r="O9" s="381">
        <v>2.0950000000000002</v>
      </c>
      <c r="P9" s="413">
        <v>2.1480000000000001</v>
      </c>
      <c r="Q9" s="185" t="s">
        <v>5486</v>
      </c>
      <c r="R9" s="185">
        <v>2438</v>
      </c>
      <c r="S9" s="414">
        <v>98</v>
      </c>
      <c r="T9" s="371"/>
      <c r="U9" s="206"/>
      <c r="V9" s="206"/>
      <c r="W9" s="206"/>
      <c r="X9" s="205"/>
      <c r="Y9" s="205"/>
      <c r="Z9" s="205"/>
      <c r="AA9" s="205"/>
      <c r="AB9" s="205"/>
      <c r="AC9" s="205"/>
      <c r="AD9" s="205"/>
      <c r="AE9" s="205"/>
      <c r="AF9" s="205"/>
      <c r="AG9" s="205"/>
      <c r="AH9" s="207"/>
      <c r="AI9" s="208" t="s">
        <v>158</v>
      </c>
      <c r="AJ9" s="208" t="s">
        <v>430</v>
      </c>
      <c r="AK9" s="209" t="s">
        <v>5492</v>
      </c>
      <c r="AL9" s="209">
        <v>44358</v>
      </c>
      <c r="AM9" s="209">
        <v>44378</v>
      </c>
      <c r="AN9" s="209"/>
      <c r="AO9" s="199">
        <f t="shared" ca="1" si="0"/>
        <v>44958</v>
      </c>
      <c r="AP9" s="208">
        <f t="shared" ca="1" si="1"/>
        <v>580</v>
      </c>
      <c r="AQ9" s="208"/>
      <c r="AR9" s="209" t="s">
        <v>5497</v>
      </c>
      <c r="AS9" s="209" t="s">
        <v>5498</v>
      </c>
      <c r="AT9" s="210">
        <v>2.0950000000000002</v>
      </c>
      <c r="AU9" s="210">
        <v>2.1480000000000001</v>
      </c>
      <c r="AV9" s="210">
        <v>2.0950000000000002</v>
      </c>
      <c r="AW9" s="210">
        <v>2.1480000000000001</v>
      </c>
    </row>
    <row r="10" spans="1:66" s="200" customFormat="1" ht="18" customHeight="1" x14ac:dyDescent="0.25">
      <c r="A10" s="199"/>
      <c r="B10" s="204">
        <f ca="1">IF(A10="",(IF(ISNUMBER(SUBSTITUTE(LEFT(RIGHT(E10,LEN(E10)-MIN(SEARCH({1,2,3,4,5,6,7,8,9,0},E10&amp;"1234567890"))+1),10),".","/"))=TRUE,AO10-(SUBSTITUTE(LEFT(RIGHT(E10,LEN(E10)-MIN(SEARCH({1,2,3,4,5,6,7,8,9,0},E10&amp;"1234567890"))+1),10),".","/")),IF((SUBSTITUTE(LEFT(RIGHT(E10,LEN(E10)-MIN(SEARCH({1,2,3,4,5,6,7,8,9,0},E10&amp;"1234567890"))+1),10),".","/"))="","",(AO10)-(MID(RIGHT((SUBSTITUTE(LEFT(RIGHT(E10,LEN(E10)-MIN(SEARCH({1,2,3,4,5,6,7,8,9,0},E10&amp;"1234567890"))+1),10),".","/")),10),4,2)&amp;"/"&amp;LEFT((RIGHT((SUBSTITUTE(LEFT(RIGHT(E10,LEN(E10)-MIN(SEARCH({1,2,3,4,5,6,7,8,9,0},E10&amp;"1234567890"))+1),10),".","/")),10)),2)&amp;"/"&amp;RIGHT((SUBSTITUTE(LEFT(RIGHT(E10,LEN(E10)-MIN(SEARCH({1,2,3,4,5,6,7,8,9,0},E10&amp;"1234567890"))+1),10),".","/")),4))))),(AO10-A10))</f>
        <v>580</v>
      </c>
      <c r="C10" s="199"/>
      <c r="D10" s="201" t="str">
        <f t="shared" si="2"/>
        <v>FGS-LM410470/410-0.92XX2.095</v>
      </c>
      <c r="E10" s="201" t="s">
        <v>5489</v>
      </c>
      <c r="F10" s="201" t="s">
        <v>5499</v>
      </c>
      <c r="G10" s="201" t="s">
        <v>5500</v>
      </c>
      <c r="H10" s="201">
        <v>410</v>
      </c>
      <c r="I10" s="202" t="s">
        <v>158</v>
      </c>
      <c r="J10" s="203">
        <v>0.92</v>
      </c>
      <c r="K10" s="203">
        <v>0.92</v>
      </c>
      <c r="L10" s="203"/>
      <c r="M10" s="203"/>
      <c r="N10" s="204">
        <v>1219</v>
      </c>
      <c r="O10" s="381">
        <v>2.0950000000000002</v>
      </c>
      <c r="P10" s="413">
        <v>2.1440000000000001</v>
      </c>
      <c r="Q10" s="185" t="s">
        <v>5486</v>
      </c>
      <c r="R10" s="185">
        <v>2438</v>
      </c>
      <c r="S10" s="414">
        <v>98</v>
      </c>
      <c r="T10" s="371"/>
      <c r="U10" s="206"/>
      <c r="V10" s="206"/>
      <c r="W10" s="206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7"/>
      <c r="AI10" s="208" t="s">
        <v>158</v>
      </c>
      <c r="AJ10" s="208" t="s">
        <v>430</v>
      </c>
      <c r="AK10" s="209" t="s">
        <v>5492</v>
      </c>
      <c r="AL10" s="209">
        <v>44358</v>
      </c>
      <c r="AM10" s="209">
        <v>44378</v>
      </c>
      <c r="AN10" s="209"/>
      <c r="AO10" s="199">
        <f t="shared" ca="1" si="0"/>
        <v>44958</v>
      </c>
      <c r="AP10" s="208">
        <f t="shared" ca="1" si="1"/>
        <v>580</v>
      </c>
      <c r="AQ10" s="208"/>
      <c r="AR10" s="209" t="s">
        <v>5501</v>
      </c>
      <c r="AS10" s="209" t="s">
        <v>5502</v>
      </c>
      <c r="AT10" s="210">
        <v>2.0950000000000002</v>
      </c>
      <c r="AU10" s="210">
        <v>2.1440000000000001</v>
      </c>
      <c r="AV10" s="210">
        <v>2.0950000000000002</v>
      </c>
      <c r="AW10" s="210">
        <v>2.1440000000000001</v>
      </c>
    </row>
    <row r="11" spans="1:66" s="200" customFormat="1" ht="18" customHeight="1" x14ac:dyDescent="0.25">
      <c r="A11" s="199"/>
      <c r="B11" s="204">
        <f ca="1">IF(A11="",(IF(ISNUMBER(SUBSTITUTE(LEFT(RIGHT(E11,LEN(E11)-MIN(SEARCH({1,2,3,4,5,6,7,8,9,0},E11&amp;"1234567890"))+1),10),".","/"))=TRUE,AO11-(SUBSTITUTE(LEFT(RIGHT(E11,LEN(E11)-MIN(SEARCH({1,2,3,4,5,6,7,8,9,0},E11&amp;"1234567890"))+1),10),".","/")),IF((SUBSTITUTE(LEFT(RIGHT(E11,LEN(E11)-MIN(SEARCH({1,2,3,4,5,6,7,8,9,0},E11&amp;"1234567890"))+1),10),".","/"))="","",(AO11)-(MID(RIGHT((SUBSTITUTE(LEFT(RIGHT(E11,LEN(E11)-MIN(SEARCH({1,2,3,4,5,6,7,8,9,0},E11&amp;"1234567890"))+1),10),".","/")),10),4,2)&amp;"/"&amp;LEFT((RIGHT((SUBSTITUTE(LEFT(RIGHT(E11,LEN(E11)-MIN(SEARCH({1,2,3,4,5,6,7,8,9,0},E11&amp;"1234567890"))+1),10),".","/")),10)),2)&amp;"/"&amp;RIGHT((SUBSTITUTE(LEFT(RIGHT(E11,LEN(E11)-MIN(SEARCH({1,2,3,4,5,6,7,8,9,0},E11&amp;"1234567890"))+1),10),".","/")),4))))),(AO11-A11))</f>
        <v>580</v>
      </c>
      <c r="C11" s="199"/>
      <c r="D11" s="201" t="str">
        <f t="shared" si="2"/>
        <v>FGS-LM410471/410-0.92XX2.095</v>
      </c>
      <c r="E11" s="201" t="s">
        <v>5489</v>
      </c>
      <c r="F11" s="201" t="s">
        <v>5503</v>
      </c>
      <c r="G11" s="201" t="s">
        <v>5504</v>
      </c>
      <c r="H11" s="201">
        <v>410</v>
      </c>
      <c r="I11" s="202" t="s">
        <v>158</v>
      </c>
      <c r="J11" s="203">
        <v>0.92</v>
      </c>
      <c r="K11" s="203">
        <v>0.92</v>
      </c>
      <c r="L11" s="203"/>
      <c r="M11" s="203"/>
      <c r="N11" s="204">
        <v>1219</v>
      </c>
      <c r="O11" s="381">
        <v>2.0950000000000002</v>
      </c>
      <c r="P11" s="413">
        <v>2.15</v>
      </c>
      <c r="Q11" s="185" t="s">
        <v>5486</v>
      </c>
      <c r="R11" s="185">
        <v>2438</v>
      </c>
      <c r="S11" s="414">
        <v>98</v>
      </c>
      <c r="T11" s="371"/>
      <c r="U11" s="206"/>
      <c r="V11" s="206"/>
      <c r="W11" s="206"/>
      <c r="X11" s="205"/>
      <c r="Y11" s="205"/>
      <c r="Z11" s="205"/>
      <c r="AA11" s="205"/>
      <c r="AB11" s="205"/>
      <c r="AC11" s="205"/>
      <c r="AD11" s="205"/>
      <c r="AE11" s="205"/>
      <c r="AF11" s="205"/>
      <c r="AG11" s="205"/>
      <c r="AH11" s="207"/>
      <c r="AI11" s="208" t="s">
        <v>158</v>
      </c>
      <c r="AJ11" s="208" t="s">
        <v>430</v>
      </c>
      <c r="AK11" s="209" t="s">
        <v>5492</v>
      </c>
      <c r="AL11" s="209">
        <v>44358</v>
      </c>
      <c r="AM11" s="209">
        <v>44378</v>
      </c>
      <c r="AN11" s="209"/>
      <c r="AO11" s="199">
        <f t="shared" ca="1" si="0"/>
        <v>44958</v>
      </c>
      <c r="AP11" s="208">
        <f t="shared" ca="1" si="1"/>
        <v>580</v>
      </c>
      <c r="AQ11" s="208"/>
      <c r="AR11" s="209" t="s">
        <v>5501</v>
      </c>
      <c r="AS11" s="209" t="s">
        <v>5505</v>
      </c>
      <c r="AT11" s="210">
        <v>2.0950000000000002</v>
      </c>
      <c r="AU11" s="210">
        <v>2.15</v>
      </c>
      <c r="AV11" s="210">
        <v>2.0950000000000002</v>
      </c>
      <c r="AW11" s="210">
        <v>2.15</v>
      </c>
    </row>
    <row r="12" spans="1:66" s="200" customFormat="1" ht="18" customHeight="1" x14ac:dyDescent="0.25">
      <c r="A12" s="199"/>
      <c r="B12" s="204">
        <f ca="1">IF(A12="",(IF(ISNUMBER(SUBSTITUTE(LEFT(RIGHT(E12,LEN(E12)-MIN(SEARCH({1,2,3,4,5,6,7,8,9,0},E12&amp;"1234567890"))+1),10),".","/"))=TRUE,AO12-(SUBSTITUTE(LEFT(RIGHT(E12,LEN(E12)-MIN(SEARCH({1,2,3,4,5,6,7,8,9,0},E12&amp;"1234567890"))+1),10),".","/")),IF((SUBSTITUTE(LEFT(RIGHT(E12,LEN(E12)-MIN(SEARCH({1,2,3,4,5,6,7,8,9,0},E12&amp;"1234567890"))+1),10),".","/"))="","",(AO12)-(MID(RIGHT((SUBSTITUTE(LEFT(RIGHT(E12,LEN(E12)-MIN(SEARCH({1,2,3,4,5,6,7,8,9,0},E12&amp;"1234567890"))+1),10),".","/")),10),4,2)&amp;"/"&amp;LEFT((RIGHT((SUBSTITUTE(LEFT(RIGHT(E12,LEN(E12)-MIN(SEARCH({1,2,3,4,5,6,7,8,9,0},E12&amp;"1234567890"))+1),10),".","/")),10)),2)&amp;"/"&amp;RIGHT((SUBSTITUTE(LEFT(RIGHT(E12,LEN(E12)-MIN(SEARCH({1,2,3,4,5,6,7,8,9,0},E12&amp;"1234567890"))+1),10),".","/")),4))))),(AO12-A12))</f>
        <v>580</v>
      </c>
      <c r="C12" s="199"/>
      <c r="D12" s="201" t="str">
        <f t="shared" si="2"/>
        <v>FGS-LM410472/410-0.92XX1.84</v>
      </c>
      <c r="E12" s="201" t="s">
        <v>5489</v>
      </c>
      <c r="F12" s="201" t="s">
        <v>5506</v>
      </c>
      <c r="G12" s="201" t="s">
        <v>5507</v>
      </c>
      <c r="H12" s="201">
        <v>410</v>
      </c>
      <c r="I12" s="202" t="s">
        <v>158</v>
      </c>
      <c r="J12" s="203">
        <v>0.92</v>
      </c>
      <c r="K12" s="203">
        <v>0.92</v>
      </c>
      <c r="L12" s="203"/>
      <c r="M12" s="203"/>
      <c r="N12" s="204">
        <v>1219</v>
      </c>
      <c r="O12" s="381">
        <v>1.84</v>
      </c>
      <c r="P12" s="413">
        <v>1.8959999999999999</v>
      </c>
      <c r="Q12" s="185" t="s">
        <v>5486</v>
      </c>
      <c r="R12" s="185">
        <v>2438</v>
      </c>
      <c r="S12" s="414">
        <v>86</v>
      </c>
      <c r="T12" s="371"/>
      <c r="U12" s="206"/>
      <c r="V12" s="206"/>
      <c r="W12" s="206"/>
      <c r="X12" s="205"/>
      <c r="Y12" s="205"/>
      <c r="Z12" s="205"/>
      <c r="AA12" s="205"/>
      <c r="AB12" s="205"/>
      <c r="AC12" s="205"/>
      <c r="AD12" s="205"/>
      <c r="AE12" s="205"/>
      <c r="AF12" s="205"/>
      <c r="AG12" s="205"/>
      <c r="AH12" s="207"/>
      <c r="AI12" s="208" t="s">
        <v>158</v>
      </c>
      <c r="AJ12" s="208" t="s">
        <v>430</v>
      </c>
      <c r="AK12" s="209" t="s">
        <v>5492</v>
      </c>
      <c r="AL12" s="209">
        <v>44358</v>
      </c>
      <c r="AM12" s="209">
        <v>44378</v>
      </c>
      <c r="AN12" s="209"/>
      <c r="AO12" s="199">
        <f t="shared" ca="1" si="0"/>
        <v>44958</v>
      </c>
      <c r="AP12" s="208">
        <f t="shared" ca="1" si="1"/>
        <v>580</v>
      </c>
      <c r="AQ12" s="208"/>
      <c r="AR12" s="209" t="s">
        <v>5501</v>
      </c>
      <c r="AS12" s="209" t="s">
        <v>5508</v>
      </c>
      <c r="AT12" s="210">
        <v>1.84</v>
      </c>
      <c r="AU12" s="210">
        <v>1.8959999999999999</v>
      </c>
      <c r="AV12" s="210">
        <v>1.84</v>
      </c>
      <c r="AW12" s="210">
        <v>1.8959999999999999</v>
      </c>
    </row>
    <row r="13" spans="1:66" s="200" customFormat="1" ht="18" customHeight="1" x14ac:dyDescent="0.25">
      <c r="A13" s="199"/>
      <c r="B13" s="204">
        <f ca="1">IF(A13="",(IF(ISNUMBER(SUBSTITUTE(LEFT(RIGHT(E13,LEN(E13)-MIN(SEARCH({1,2,3,4,5,6,7,8,9,0},E13&amp;"1234567890"))+1),10),".","/"))=TRUE,AO13-(SUBSTITUTE(LEFT(RIGHT(E13,LEN(E13)-MIN(SEARCH({1,2,3,4,5,6,7,8,9,0},E13&amp;"1234567890"))+1),10),".","/")),IF((SUBSTITUTE(LEFT(RIGHT(E13,LEN(E13)-MIN(SEARCH({1,2,3,4,5,6,7,8,9,0},E13&amp;"1234567890"))+1),10),".","/"))="","",(AO13)-(MID(RIGHT((SUBSTITUTE(LEFT(RIGHT(E13,LEN(E13)-MIN(SEARCH({1,2,3,4,5,6,7,8,9,0},E13&amp;"1234567890"))+1),10),".","/")),10),4,2)&amp;"/"&amp;LEFT((RIGHT((SUBSTITUTE(LEFT(RIGHT(E13,LEN(E13)-MIN(SEARCH({1,2,3,4,5,6,7,8,9,0},E13&amp;"1234567890"))+1),10),".","/")),10)),2)&amp;"/"&amp;RIGHT((SUBSTITUTE(LEFT(RIGHT(E13,LEN(E13)-MIN(SEARCH({1,2,3,4,5,6,7,8,9,0},E13&amp;"1234567890"))+1),10),".","/")),4))))),(AO13-A13))</f>
        <v>580</v>
      </c>
      <c r="C13" s="199"/>
      <c r="D13" s="201" t="str">
        <f t="shared" si="2"/>
        <v>FGS-LM410478/410-0.83XX1.979</v>
      </c>
      <c r="E13" s="201" t="s">
        <v>5489</v>
      </c>
      <c r="F13" s="201" t="s">
        <v>5509</v>
      </c>
      <c r="G13" s="201" t="s">
        <v>5510</v>
      </c>
      <c r="H13" s="201">
        <v>410</v>
      </c>
      <c r="I13" s="202" t="s">
        <v>158</v>
      </c>
      <c r="J13" s="203">
        <v>0.83</v>
      </c>
      <c r="K13" s="203">
        <v>0.83</v>
      </c>
      <c r="L13" s="203"/>
      <c r="M13" s="203"/>
      <c r="N13" s="204">
        <v>1219</v>
      </c>
      <c r="O13" s="381">
        <v>1.9790000000000001</v>
      </c>
      <c r="P13" s="413">
        <v>2.024</v>
      </c>
      <c r="Q13" s="185" t="s">
        <v>5486</v>
      </c>
      <c r="R13" s="185">
        <v>2438</v>
      </c>
      <c r="S13" s="414">
        <v>102</v>
      </c>
      <c r="T13" s="371"/>
      <c r="U13" s="206"/>
      <c r="V13" s="206"/>
      <c r="W13" s="206"/>
      <c r="X13" s="205"/>
      <c r="Y13" s="205"/>
      <c r="Z13" s="205"/>
      <c r="AA13" s="205"/>
      <c r="AB13" s="205"/>
      <c r="AC13" s="205"/>
      <c r="AD13" s="205"/>
      <c r="AE13" s="205"/>
      <c r="AF13" s="205"/>
      <c r="AG13" s="205"/>
      <c r="AH13" s="207"/>
      <c r="AI13" s="208" t="s">
        <v>158</v>
      </c>
      <c r="AJ13" s="208" t="s">
        <v>430</v>
      </c>
      <c r="AK13" s="209" t="s">
        <v>5492</v>
      </c>
      <c r="AL13" s="209">
        <v>44358</v>
      </c>
      <c r="AM13" s="209">
        <v>44378</v>
      </c>
      <c r="AN13" s="209"/>
      <c r="AO13" s="199">
        <f t="shared" ca="1" si="0"/>
        <v>44958</v>
      </c>
      <c r="AP13" s="208">
        <f t="shared" ca="1" si="1"/>
        <v>580</v>
      </c>
      <c r="AQ13" s="208"/>
      <c r="AR13" s="209" t="s">
        <v>5511</v>
      </c>
      <c r="AS13" s="209" t="s">
        <v>5512</v>
      </c>
      <c r="AT13" s="210">
        <v>1.9790000000000001</v>
      </c>
      <c r="AU13" s="210">
        <v>2.024</v>
      </c>
      <c r="AV13" s="210">
        <v>1.9790000000000001</v>
      </c>
      <c r="AW13" s="210">
        <v>2.024</v>
      </c>
    </row>
    <row r="14" spans="1:66" s="200" customFormat="1" ht="18" customHeight="1" x14ac:dyDescent="0.25">
      <c r="A14" s="199"/>
      <c r="B14" s="204">
        <f ca="1">IF(A14="",(IF(ISNUMBER(SUBSTITUTE(LEFT(RIGHT(E14,LEN(E14)-MIN(SEARCH({1,2,3,4,5,6,7,8,9,0},E14&amp;"1234567890"))+1),10),".","/"))=TRUE,AO14-(SUBSTITUTE(LEFT(RIGHT(E14,LEN(E14)-MIN(SEARCH({1,2,3,4,5,6,7,8,9,0},E14&amp;"1234567890"))+1),10),".","/")),IF((SUBSTITUTE(LEFT(RIGHT(E14,LEN(E14)-MIN(SEARCH({1,2,3,4,5,6,7,8,9,0},E14&amp;"1234567890"))+1),10),".","/"))="","",(AO14)-(MID(RIGHT((SUBSTITUTE(LEFT(RIGHT(E14,LEN(E14)-MIN(SEARCH({1,2,3,4,5,6,7,8,9,0},E14&amp;"1234567890"))+1),10),".","/")),10),4,2)&amp;"/"&amp;LEFT((RIGHT((SUBSTITUTE(LEFT(RIGHT(E14,LEN(E14)-MIN(SEARCH({1,2,3,4,5,6,7,8,9,0},E14&amp;"1234567890"))+1),10),".","/")),10)),2)&amp;"/"&amp;RIGHT((SUBSTITUTE(LEFT(RIGHT(E14,LEN(E14)-MIN(SEARCH({1,2,3,4,5,6,7,8,9,0},E14&amp;"1234567890"))+1),10),".","/")),4))))),(AO14-A14))</f>
        <v>580</v>
      </c>
      <c r="C14" s="199"/>
      <c r="D14" s="201" t="str">
        <f t="shared" si="2"/>
        <v>FGS-LM410479/410-0.83XX1.979</v>
      </c>
      <c r="E14" s="201" t="s">
        <v>5489</v>
      </c>
      <c r="F14" s="201" t="s">
        <v>5513</v>
      </c>
      <c r="G14" s="201" t="s">
        <v>5514</v>
      </c>
      <c r="H14" s="201">
        <v>410</v>
      </c>
      <c r="I14" s="202" t="s">
        <v>158</v>
      </c>
      <c r="J14" s="203">
        <v>0.83</v>
      </c>
      <c r="K14" s="203">
        <v>0.83</v>
      </c>
      <c r="L14" s="203"/>
      <c r="M14" s="203"/>
      <c r="N14" s="204">
        <v>1219</v>
      </c>
      <c r="O14" s="381">
        <v>1.9790000000000001</v>
      </c>
      <c r="P14" s="413">
        <v>2.024</v>
      </c>
      <c r="Q14" s="185" t="s">
        <v>5486</v>
      </c>
      <c r="R14" s="185">
        <v>2438</v>
      </c>
      <c r="S14" s="414">
        <v>102</v>
      </c>
      <c r="T14" s="371"/>
      <c r="U14" s="206"/>
      <c r="V14" s="206"/>
      <c r="W14" s="206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7"/>
      <c r="AI14" s="208" t="s">
        <v>158</v>
      </c>
      <c r="AJ14" s="208" t="s">
        <v>430</v>
      </c>
      <c r="AK14" s="209" t="s">
        <v>5492</v>
      </c>
      <c r="AL14" s="209">
        <v>44358</v>
      </c>
      <c r="AM14" s="209">
        <v>44378</v>
      </c>
      <c r="AN14" s="209"/>
      <c r="AO14" s="199">
        <f t="shared" ca="1" si="0"/>
        <v>44958</v>
      </c>
      <c r="AP14" s="208">
        <f t="shared" ca="1" si="1"/>
        <v>580</v>
      </c>
      <c r="AQ14" s="208"/>
      <c r="AR14" s="209" t="s">
        <v>5511</v>
      </c>
      <c r="AS14" s="209" t="s">
        <v>5515</v>
      </c>
      <c r="AT14" s="210">
        <v>1.9790000000000001</v>
      </c>
      <c r="AU14" s="210">
        <v>2.024</v>
      </c>
      <c r="AV14" s="210">
        <v>1.9790000000000001</v>
      </c>
      <c r="AW14" s="210">
        <v>2.024</v>
      </c>
    </row>
    <row r="15" spans="1:66" s="200" customFormat="1" ht="18" customHeight="1" x14ac:dyDescent="0.25">
      <c r="A15" s="199"/>
      <c r="B15" s="204">
        <f ca="1">IF(A15="",(IF(ISNUMBER(SUBSTITUTE(LEFT(RIGHT(E15,LEN(E15)-MIN(SEARCH({1,2,3,4,5,6,7,8,9,0},E15&amp;"1234567890"))+1),10),".","/"))=TRUE,AO15-(SUBSTITUTE(LEFT(RIGHT(E15,LEN(E15)-MIN(SEARCH({1,2,3,4,5,6,7,8,9,0},E15&amp;"1234567890"))+1),10),".","/")),IF((SUBSTITUTE(LEFT(RIGHT(E15,LEN(E15)-MIN(SEARCH({1,2,3,4,5,6,7,8,9,0},E15&amp;"1234567890"))+1),10),".","/"))="","",(AO15)-(MID(RIGHT((SUBSTITUTE(LEFT(RIGHT(E15,LEN(E15)-MIN(SEARCH({1,2,3,4,5,6,7,8,9,0},E15&amp;"1234567890"))+1),10),".","/")),10),4,2)&amp;"/"&amp;LEFT((RIGHT((SUBSTITUTE(LEFT(RIGHT(E15,LEN(E15)-MIN(SEARCH({1,2,3,4,5,6,7,8,9,0},E15&amp;"1234567890"))+1),10),".","/")),10)),2)&amp;"/"&amp;RIGHT((SUBSTITUTE(LEFT(RIGHT(E15,LEN(E15)-MIN(SEARCH({1,2,3,4,5,6,7,8,9,0},E15&amp;"1234567890"))+1),10),".","/")),4))))),(AO15-A15))</f>
        <v>580</v>
      </c>
      <c r="C15" s="199"/>
      <c r="D15" s="201" t="str">
        <f t="shared" si="2"/>
        <v>FGS-LM410480/410-0.83XX1.979</v>
      </c>
      <c r="E15" s="201" t="s">
        <v>5489</v>
      </c>
      <c r="F15" s="201" t="s">
        <v>5516</v>
      </c>
      <c r="G15" s="201" t="s">
        <v>5517</v>
      </c>
      <c r="H15" s="201">
        <v>410</v>
      </c>
      <c r="I15" s="202" t="s">
        <v>158</v>
      </c>
      <c r="J15" s="203">
        <v>0.83</v>
      </c>
      <c r="K15" s="203">
        <v>0.83</v>
      </c>
      <c r="L15" s="203"/>
      <c r="M15" s="203"/>
      <c r="N15" s="204">
        <v>1219</v>
      </c>
      <c r="O15" s="381">
        <v>1.9790000000000001</v>
      </c>
      <c r="P15" s="413">
        <v>2.0339999999999998</v>
      </c>
      <c r="Q15" s="185" t="s">
        <v>5486</v>
      </c>
      <c r="R15" s="185">
        <v>2438</v>
      </c>
      <c r="S15" s="414">
        <v>102</v>
      </c>
      <c r="T15" s="371"/>
      <c r="U15" s="206"/>
      <c r="V15" s="206"/>
      <c r="W15" s="206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7"/>
      <c r="AI15" s="208" t="s">
        <v>158</v>
      </c>
      <c r="AJ15" s="208" t="s">
        <v>430</v>
      </c>
      <c r="AK15" s="209" t="s">
        <v>5492</v>
      </c>
      <c r="AL15" s="209">
        <v>44358</v>
      </c>
      <c r="AM15" s="209">
        <v>44378</v>
      </c>
      <c r="AN15" s="209"/>
      <c r="AO15" s="199">
        <f t="shared" ca="1" si="0"/>
        <v>44958</v>
      </c>
      <c r="AP15" s="208">
        <f t="shared" ca="1" si="1"/>
        <v>580</v>
      </c>
      <c r="AQ15" s="208"/>
      <c r="AR15" s="209" t="s">
        <v>5511</v>
      </c>
      <c r="AS15" s="209" t="s">
        <v>5518</v>
      </c>
      <c r="AT15" s="210">
        <v>1.9790000000000001</v>
      </c>
      <c r="AU15" s="210">
        <v>2.0339999999999998</v>
      </c>
      <c r="AV15" s="210">
        <v>1.9790000000000001</v>
      </c>
      <c r="AW15" s="210">
        <v>2.0339999999999998</v>
      </c>
    </row>
    <row r="16" spans="1:66" s="200" customFormat="1" ht="18" customHeight="1" x14ac:dyDescent="0.25">
      <c r="A16" s="199"/>
      <c r="B16" s="204">
        <f ca="1">IF(A16="",(IF(ISNUMBER(SUBSTITUTE(LEFT(RIGHT(E16,LEN(E16)-MIN(SEARCH({1,2,3,4,5,6,7,8,9,0},E16&amp;"1234567890"))+1),10),".","/"))=TRUE,AO16-(SUBSTITUTE(LEFT(RIGHT(E16,LEN(E16)-MIN(SEARCH({1,2,3,4,5,6,7,8,9,0},E16&amp;"1234567890"))+1),10),".","/")),IF((SUBSTITUTE(LEFT(RIGHT(E16,LEN(E16)-MIN(SEARCH({1,2,3,4,5,6,7,8,9,0},E16&amp;"1234567890"))+1),10),".","/"))="","",(AO16)-(MID(RIGHT((SUBSTITUTE(LEFT(RIGHT(E16,LEN(E16)-MIN(SEARCH({1,2,3,4,5,6,7,8,9,0},E16&amp;"1234567890"))+1),10),".","/")),10),4,2)&amp;"/"&amp;LEFT((RIGHT((SUBSTITUTE(LEFT(RIGHT(E16,LEN(E16)-MIN(SEARCH({1,2,3,4,5,6,7,8,9,0},E16&amp;"1234567890"))+1),10),".","/")),10)),2)&amp;"/"&amp;RIGHT((SUBSTITUTE(LEFT(RIGHT(E16,LEN(E16)-MIN(SEARCH({1,2,3,4,5,6,7,8,9,0},E16&amp;"1234567890"))+1),10),".","/")),4))))),(AO16-A16))</f>
        <v>580</v>
      </c>
      <c r="C16" s="199"/>
      <c r="D16" s="201" t="str">
        <f t="shared" si="2"/>
        <v>FGS-LM410481/410-0.83XX1.979</v>
      </c>
      <c r="E16" s="201" t="s">
        <v>5489</v>
      </c>
      <c r="F16" s="201" t="s">
        <v>5519</v>
      </c>
      <c r="G16" s="201" t="s">
        <v>5520</v>
      </c>
      <c r="H16" s="201">
        <v>410</v>
      </c>
      <c r="I16" s="202" t="s">
        <v>158</v>
      </c>
      <c r="J16" s="203">
        <v>0.83</v>
      </c>
      <c r="K16" s="203">
        <v>0.83</v>
      </c>
      <c r="L16" s="203"/>
      <c r="M16" s="203"/>
      <c r="N16" s="204">
        <v>1219</v>
      </c>
      <c r="O16" s="381">
        <v>1.9790000000000001</v>
      </c>
      <c r="P16" s="413">
        <v>2.044</v>
      </c>
      <c r="Q16" s="185" t="s">
        <v>5486</v>
      </c>
      <c r="R16" s="185">
        <v>2438</v>
      </c>
      <c r="S16" s="414">
        <v>102</v>
      </c>
      <c r="T16" s="371"/>
      <c r="U16" s="206"/>
      <c r="V16" s="206"/>
      <c r="W16" s="206"/>
      <c r="X16" s="205"/>
      <c r="Y16" s="205"/>
      <c r="Z16" s="205"/>
      <c r="AA16" s="205"/>
      <c r="AB16" s="205"/>
      <c r="AC16" s="205"/>
      <c r="AD16" s="205"/>
      <c r="AE16" s="205"/>
      <c r="AF16" s="205"/>
      <c r="AG16" s="205"/>
      <c r="AH16" s="207"/>
      <c r="AI16" s="208" t="s">
        <v>158</v>
      </c>
      <c r="AJ16" s="208" t="s">
        <v>430</v>
      </c>
      <c r="AK16" s="209" t="s">
        <v>5492</v>
      </c>
      <c r="AL16" s="209">
        <v>44358</v>
      </c>
      <c r="AM16" s="209">
        <v>44378</v>
      </c>
      <c r="AN16" s="209"/>
      <c r="AO16" s="199">
        <f t="shared" ca="1" si="0"/>
        <v>44958</v>
      </c>
      <c r="AP16" s="208">
        <f t="shared" ca="1" si="1"/>
        <v>580</v>
      </c>
      <c r="AQ16" s="208"/>
      <c r="AR16" s="209" t="s">
        <v>5493</v>
      </c>
      <c r="AS16" s="209" t="s">
        <v>5521</v>
      </c>
      <c r="AT16" s="210">
        <v>1.9790000000000001</v>
      </c>
      <c r="AU16" s="210">
        <v>2.044</v>
      </c>
      <c r="AV16" s="210">
        <v>1.9790000000000001</v>
      </c>
      <c r="AW16" s="210">
        <v>2.044</v>
      </c>
    </row>
    <row r="17" spans="1:49" s="200" customFormat="1" ht="18" customHeight="1" x14ac:dyDescent="0.25">
      <c r="A17" s="199"/>
      <c r="B17" s="204">
        <f ca="1">IF(A17="",(IF(ISNUMBER(SUBSTITUTE(LEFT(RIGHT(E17,LEN(E17)-MIN(SEARCH({1,2,3,4,5,6,7,8,9,0},E17&amp;"1234567890"))+1),10),".","/"))=TRUE,AO17-(SUBSTITUTE(LEFT(RIGHT(E17,LEN(E17)-MIN(SEARCH({1,2,3,4,5,6,7,8,9,0},E17&amp;"1234567890"))+1),10),".","/")),IF((SUBSTITUTE(LEFT(RIGHT(E17,LEN(E17)-MIN(SEARCH({1,2,3,4,5,6,7,8,9,0},E17&amp;"1234567890"))+1),10),".","/"))="","",(AO17)-(MID(RIGHT((SUBSTITUTE(LEFT(RIGHT(E17,LEN(E17)-MIN(SEARCH({1,2,3,4,5,6,7,8,9,0},E17&amp;"1234567890"))+1),10),".","/")),10),4,2)&amp;"/"&amp;LEFT((RIGHT((SUBSTITUTE(LEFT(RIGHT(E17,LEN(E17)-MIN(SEARCH({1,2,3,4,5,6,7,8,9,0},E17&amp;"1234567890"))+1),10),".","/")),10)),2)&amp;"/"&amp;RIGHT((SUBSTITUTE(LEFT(RIGHT(E17,LEN(E17)-MIN(SEARCH({1,2,3,4,5,6,7,8,9,0},E17&amp;"1234567890"))+1),10),".","/")),4))))),(AO17-A17))</f>
        <v>580</v>
      </c>
      <c r="C17" s="199"/>
      <c r="D17" s="201" t="str">
        <f t="shared" si="2"/>
        <v>FGS-LM410482/410-0.83XX1.841</v>
      </c>
      <c r="E17" s="201" t="s">
        <v>5489</v>
      </c>
      <c r="F17" s="201" t="s">
        <v>5522</v>
      </c>
      <c r="G17" s="201" t="s">
        <v>5523</v>
      </c>
      <c r="H17" s="201">
        <v>410</v>
      </c>
      <c r="I17" s="202" t="s">
        <v>158</v>
      </c>
      <c r="J17" s="203">
        <v>0.83</v>
      </c>
      <c r="K17" s="203">
        <v>0.83</v>
      </c>
      <c r="L17" s="203"/>
      <c r="M17" s="203"/>
      <c r="N17" s="204">
        <v>1219</v>
      </c>
      <c r="O17" s="381">
        <v>1.841</v>
      </c>
      <c r="P17" s="413">
        <v>1.9119999999999999</v>
      </c>
      <c r="Q17" s="185" t="s">
        <v>5486</v>
      </c>
      <c r="R17" s="185">
        <v>2438</v>
      </c>
      <c r="S17" s="414">
        <v>95</v>
      </c>
      <c r="T17" s="371"/>
      <c r="U17" s="206"/>
      <c r="V17" s="206"/>
      <c r="W17" s="206"/>
      <c r="X17" s="205"/>
      <c r="Y17" s="205"/>
      <c r="Z17" s="205"/>
      <c r="AA17" s="205"/>
      <c r="AB17" s="205"/>
      <c r="AC17" s="205"/>
      <c r="AD17" s="205"/>
      <c r="AE17" s="205"/>
      <c r="AF17" s="205"/>
      <c r="AG17" s="205"/>
      <c r="AH17" s="207"/>
      <c r="AI17" s="208" t="s">
        <v>158</v>
      </c>
      <c r="AJ17" s="208" t="s">
        <v>430</v>
      </c>
      <c r="AK17" s="209" t="s">
        <v>5492</v>
      </c>
      <c r="AL17" s="209">
        <v>44358</v>
      </c>
      <c r="AM17" s="209">
        <v>44378</v>
      </c>
      <c r="AN17" s="209"/>
      <c r="AO17" s="199">
        <f t="shared" ca="1" si="0"/>
        <v>44958</v>
      </c>
      <c r="AP17" s="208">
        <f t="shared" ca="1" si="1"/>
        <v>580</v>
      </c>
      <c r="AQ17" s="208"/>
      <c r="AR17" s="209" t="s">
        <v>5493</v>
      </c>
      <c r="AS17" s="209" t="s">
        <v>5524</v>
      </c>
      <c r="AT17" s="210">
        <v>1.841</v>
      </c>
      <c r="AU17" s="210">
        <v>1.9119999999999999</v>
      </c>
      <c r="AV17" s="210">
        <v>1.841</v>
      </c>
      <c r="AW17" s="210">
        <v>1.9119999999999999</v>
      </c>
    </row>
    <row r="18" spans="1:49" s="200" customFormat="1" ht="18" customHeight="1" x14ac:dyDescent="0.25">
      <c r="A18" s="199"/>
      <c r="B18" s="204">
        <f ca="1">IF(A18="",(IF(ISNUMBER(SUBSTITUTE(LEFT(RIGHT(E18,LEN(E18)-MIN(SEARCH({1,2,3,4,5,6,7,8,9,0},E18&amp;"1234567890"))+1),10),".","/"))=TRUE,AO18-(SUBSTITUTE(LEFT(RIGHT(E18,LEN(E18)-MIN(SEARCH({1,2,3,4,5,6,7,8,9,0},E18&amp;"1234567890"))+1),10),".","/")),IF((SUBSTITUTE(LEFT(RIGHT(E18,LEN(E18)-MIN(SEARCH({1,2,3,4,5,6,7,8,9,0},E18&amp;"1234567890"))+1),10),".","/"))="","",(AO18)-(MID(RIGHT((SUBSTITUTE(LEFT(RIGHT(E18,LEN(E18)-MIN(SEARCH({1,2,3,4,5,6,7,8,9,0},E18&amp;"1234567890"))+1),10),".","/")),10),4,2)&amp;"/"&amp;LEFT((RIGHT((SUBSTITUTE(LEFT(RIGHT(E18,LEN(E18)-MIN(SEARCH({1,2,3,4,5,6,7,8,9,0},E18&amp;"1234567890"))+1),10),".","/")),10)),2)&amp;"/"&amp;RIGHT((SUBSTITUTE(LEFT(RIGHT(E18,LEN(E18)-MIN(SEARCH({1,2,3,4,5,6,7,8,9,0},E18&amp;"1234567890"))+1),10),".","/")),4))))),(AO18-A18))</f>
        <v>580</v>
      </c>
      <c r="C18" s="199"/>
      <c r="D18" s="201" t="str">
        <f t="shared" si="2"/>
        <v>FGS-LM410483/410-0.83XX1.881</v>
      </c>
      <c r="E18" s="201" t="s">
        <v>5489</v>
      </c>
      <c r="F18" s="201" t="s">
        <v>5525</v>
      </c>
      <c r="G18" s="201" t="s">
        <v>5526</v>
      </c>
      <c r="H18" s="201">
        <v>410</v>
      </c>
      <c r="I18" s="202" t="s">
        <v>158</v>
      </c>
      <c r="J18" s="203">
        <v>0.83</v>
      </c>
      <c r="K18" s="203">
        <v>0.83</v>
      </c>
      <c r="L18" s="203"/>
      <c r="M18" s="203"/>
      <c r="N18" s="204">
        <v>1219</v>
      </c>
      <c r="O18" s="381">
        <v>1.881</v>
      </c>
      <c r="P18" s="413">
        <v>1.9379999999999999</v>
      </c>
      <c r="Q18" s="185" t="s">
        <v>5486</v>
      </c>
      <c r="R18" s="185">
        <v>2438</v>
      </c>
      <c r="S18" s="414">
        <v>97</v>
      </c>
      <c r="T18" s="371"/>
      <c r="U18" s="206"/>
      <c r="V18" s="206"/>
      <c r="W18" s="206"/>
      <c r="X18" s="205"/>
      <c r="Y18" s="205"/>
      <c r="Z18" s="205"/>
      <c r="AA18" s="205"/>
      <c r="AB18" s="205"/>
      <c r="AC18" s="205"/>
      <c r="AD18" s="205"/>
      <c r="AE18" s="205"/>
      <c r="AF18" s="205"/>
      <c r="AG18" s="205"/>
      <c r="AH18" s="207"/>
      <c r="AI18" s="208" t="s">
        <v>158</v>
      </c>
      <c r="AJ18" s="208" t="s">
        <v>430</v>
      </c>
      <c r="AK18" s="209" t="s">
        <v>5492</v>
      </c>
      <c r="AL18" s="209">
        <v>44358</v>
      </c>
      <c r="AM18" s="209">
        <v>44378</v>
      </c>
      <c r="AN18" s="209"/>
      <c r="AO18" s="199">
        <f t="shared" ca="1" si="0"/>
        <v>44958</v>
      </c>
      <c r="AP18" s="208">
        <f t="shared" ca="1" si="1"/>
        <v>580</v>
      </c>
      <c r="AQ18" s="208"/>
      <c r="AR18" s="209" t="s">
        <v>5511</v>
      </c>
      <c r="AS18" s="209" t="s">
        <v>5527</v>
      </c>
      <c r="AT18" s="210">
        <v>1.881</v>
      </c>
      <c r="AU18" s="210">
        <v>1.9379999999999999</v>
      </c>
      <c r="AV18" s="210">
        <v>1.881</v>
      </c>
      <c r="AW18" s="210">
        <v>1.9379999999999999</v>
      </c>
    </row>
    <row r="19" spans="1:49" s="200" customFormat="1" ht="18" customHeight="1" x14ac:dyDescent="0.25">
      <c r="A19" s="199"/>
      <c r="B19" s="204">
        <f ca="1">IF(A19="",(IF(ISNUMBER(SUBSTITUTE(LEFT(RIGHT(E19,LEN(E19)-MIN(SEARCH({1,2,3,4,5,6,7,8,9,0},E19&amp;"1234567890"))+1),10),".","/"))=TRUE,AO19-(SUBSTITUTE(LEFT(RIGHT(E19,LEN(E19)-MIN(SEARCH({1,2,3,4,5,6,7,8,9,0},E19&amp;"1234567890"))+1),10),".","/")),IF((SUBSTITUTE(LEFT(RIGHT(E19,LEN(E19)-MIN(SEARCH({1,2,3,4,5,6,7,8,9,0},E19&amp;"1234567890"))+1),10),".","/"))="","",(AO19)-(MID(RIGHT((SUBSTITUTE(LEFT(RIGHT(E19,LEN(E19)-MIN(SEARCH({1,2,3,4,5,6,7,8,9,0},E19&amp;"1234567890"))+1),10),".","/")),10),4,2)&amp;"/"&amp;LEFT((RIGHT((SUBSTITUTE(LEFT(RIGHT(E19,LEN(E19)-MIN(SEARCH({1,2,3,4,5,6,7,8,9,0},E19&amp;"1234567890"))+1),10),".","/")),10)),2)&amp;"/"&amp;RIGHT((SUBSTITUTE(LEFT(RIGHT(E19,LEN(E19)-MIN(SEARCH({1,2,3,4,5,6,7,8,9,0},E19&amp;"1234567890"))+1),10),".","/")),4))))),(AO19-A19))</f>
        <v>580</v>
      </c>
      <c r="C19" s="199"/>
      <c r="D19" s="201" t="str">
        <f t="shared" si="2"/>
        <v>FGS-LM410484/410-0.83XX1.881</v>
      </c>
      <c r="E19" s="201" t="s">
        <v>5489</v>
      </c>
      <c r="F19" s="201" t="s">
        <v>5528</v>
      </c>
      <c r="G19" s="201" t="s">
        <v>5529</v>
      </c>
      <c r="H19" s="201">
        <v>410</v>
      </c>
      <c r="I19" s="202" t="s">
        <v>158</v>
      </c>
      <c r="J19" s="203">
        <v>0.83</v>
      </c>
      <c r="K19" s="203">
        <v>0.83</v>
      </c>
      <c r="L19" s="203"/>
      <c r="M19" s="203"/>
      <c r="N19" s="204">
        <v>1219</v>
      </c>
      <c r="O19" s="381">
        <v>1.881</v>
      </c>
      <c r="P19" s="413">
        <v>1.9379999999999999</v>
      </c>
      <c r="Q19" s="185" t="s">
        <v>5486</v>
      </c>
      <c r="R19" s="185">
        <v>2438</v>
      </c>
      <c r="S19" s="414">
        <v>97</v>
      </c>
      <c r="T19" s="371"/>
      <c r="U19" s="206"/>
      <c r="V19" s="206"/>
      <c r="W19" s="206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7"/>
      <c r="AI19" s="208" t="s">
        <v>158</v>
      </c>
      <c r="AJ19" s="208" t="s">
        <v>430</v>
      </c>
      <c r="AK19" s="209" t="s">
        <v>5492</v>
      </c>
      <c r="AL19" s="209">
        <v>44358</v>
      </c>
      <c r="AM19" s="209">
        <v>44378</v>
      </c>
      <c r="AN19" s="209"/>
      <c r="AO19" s="199">
        <f t="shared" ca="1" si="0"/>
        <v>44958</v>
      </c>
      <c r="AP19" s="208">
        <f t="shared" ca="1" si="1"/>
        <v>580</v>
      </c>
      <c r="AQ19" s="208"/>
      <c r="AR19" s="209" t="s">
        <v>5511</v>
      </c>
      <c r="AS19" s="209" t="s">
        <v>5530</v>
      </c>
      <c r="AT19" s="210">
        <v>1.881</v>
      </c>
      <c r="AU19" s="210">
        <v>1.9379999999999999</v>
      </c>
      <c r="AV19" s="210">
        <v>1.881</v>
      </c>
      <c r="AW19" s="210">
        <v>1.9379999999999999</v>
      </c>
    </row>
    <row r="20" spans="1:49" s="200" customFormat="1" ht="18" customHeight="1" x14ac:dyDescent="0.25">
      <c r="A20" s="199"/>
      <c r="B20" s="204">
        <f ca="1">IF(A20="",(IF(ISNUMBER(SUBSTITUTE(LEFT(RIGHT(E20,LEN(E20)-MIN(SEARCH({1,2,3,4,5,6,7,8,9,0},E20&amp;"1234567890"))+1),10),".","/"))=TRUE,AO20-(SUBSTITUTE(LEFT(RIGHT(E20,LEN(E20)-MIN(SEARCH({1,2,3,4,5,6,7,8,9,0},E20&amp;"1234567890"))+1),10),".","/")),IF((SUBSTITUTE(LEFT(RIGHT(E20,LEN(E20)-MIN(SEARCH({1,2,3,4,5,6,7,8,9,0},E20&amp;"1234567890"))+1),10),".","/"))="","",(AO20)-(MID(RIGHT((SUBSTITUTE(LEFT(RIGHT(E20,LEN(E20)-MIN(SEARCH({1,2,3,4,5,6,7,8,9,0},E20&amp;"1234567890"))+1),10),".","/")),10),4,2)&amp;"/"&amp;LEFT((RIGHT((SUBSTITUTE(LEFT(RIGHT(E20,LEN(E20)-MIN(SEARCH({1,2,3,4,5,6,7,8,9,0},E20&amp;"1234567890"))+1),10),".","/")),10)),2)&amp;"/"&amp;RIGHT((SUBSTITUTE(LEFT(RIGHT(E20,LEN(E20)-MIN(SEARCH({1,2,3,4,5,6,7,8,9,0},E20&amp;"1234567890"))+1),10),".","/")),4))))),(AO20-A20))</f>
        <v>580</v>
      </c>
      <c r="C20" s="199"/>
      <c r="D20" s="201" t="str">
        <f t="shared" si="2"/>
        <v>FGS-LM410485/410-0.83XX1.881</v>
      </c>
      <c r="E20" s="201" t="s">
        <v>5489</v>
      </c>
      <c r="F20" s="201" t="s">
        <v>5531</v>
      </c>
      <c r="G20" s="201" t="s">
        <v>5532</v>
      </c>
      <c r="H20" s="201">
        <v>410</v>
      </c>
      <c r="I20" s="202" t="s">
        <v>158</v>
      </c>
      <c r="J20" s="203">
        <v>0.83</v>
      </c>
      <c r="K20" s="203">
        <v>0.83</v>
      </c>
      <c r="L20" s="203"/>
      <c r="M20" s="203"/>
      <c r="N20" s="204">
        <v>1219</v>
      </c>
      <c r="O20" s="381">
        <v>1.881</v>
      </c>
      <c r="P20" s="413">
        <v>1.9339999999999999</v>
      </c>
      <c r="Q20" s="185" t="s">
        <v>5486</v>
      </c>
      <c r="R20" s="185">
        <v>2438</v>
      </c>
      <c r="S20" s="414">
        <v>97</v>
      </c>
      <c r="T20" s="371"/>
      <c r="U20" s="206"/>
      <c r="V20" s="206"/>
      <c r="W20" s="206"/>
      <c r="X20" s="205"/>
      <c r="Y20" s="205"/>
      <c r="Z20" s="205"/>
      <c r="AA20" s="205"/>
      <c r="AB20" s="205"/>
      <c r="AC20" s="205"/>
      <c r="AD20" s="205"/>
      <c r="AE20" s="205"/>
      <c r="AF20" s="205"/>
      <c r="AG20" s="205"/>
      <c r="AH20" s="207"/>
      <c r="AI20" s="208" t="s">
        <v>158</v>
      </c>
      <c r="AJ20" s="208" t="s">
        <v>430</v>
      </c>
      <c r="AK20" s="209" t="s">
        <v>5492</v>
      </c>
      <c r="AL20" s="209">
        <v>44358</v>
      </c>
      <c r="AM20" s="209">
        <v>44378</v>
      </c>
      <c r="AN20" s="209"/>
      <c r="AO20" s="199">
        <f t="shared" ca="1" si="0"/>
        <v>44958</v>
      </c>
      <c r="AP20" s="208">
        <f t="shared" ca="1" si="1"/>
        <v>580</v>
      </c>
      <c r="AQ20" s="208"/>
      <c r="AR20" s="209" t="s">
        <v>5511</v>
      </c>
      <c r="AS20" s="209" t="s">
        <v>5533</v>
      </c>
      <c r="AT20" s="210">
        <v>1.881</v>
      </c>
      <c r="AU20" s="210">
        <v>1.9339999999999999</v>
      </c>
      <c r="AV20" s="210">
        <v>1.881</v>
      </c>
      <c r="AW20" s="210">
        <v>1.9339999999999999</v>
      </c>
    </row>
    <row r="21" spans="1:49" s="200" customFormat="1" ht="18" customHeight="1" x14ac:dyDescent="0.25">
      <c r="A21" s="199"/>
      <c r="B21" s="204">
        <f ca="1">IF(A21="",(IF(ISNUMBER(SUBSTITUTE(LEFT(RIGHT(E21,LEN(E21)-MIN(SEARCH({1,2,3,4,5,6,7,8,9,0},E21&amp;"1234567890"))+1),10),".","/"))=TRUE,AO21-(SUBSTITUTE(LEFT(RIGHT(E21,LEN(E21)-MIN(SEARCH({1,2,3,4,5,6,7,8,9,0},E21&amp;"1234567890"))+1),10),".","/")),IF((SUBSTITUTE(LEFT(RIGHT(E21,LEN(E21)-MIN(SEARCH({1,2,3,4,5,6,7,8,9,0},E21&amp;"1234567890"))+1),10),".","/"))="","",(AO21)-(MID(RIGHT((SUBSTITUTE(LEFT(RIGHT(E21,LEN(E21)-MIN(SEARCH({1,2,3,4,5,6,7,8,9,0},E21&amp;"1234567890"))+1),10),".","/")),10),4,2)&amp;"/"&amp;LEFT((RIGHT((SUBSTITUTE(LEFT(RIGHT(E21,LEN(E21)-MIN(SEARCH({1,2,3,4,5,6,7,8,9,0},E21&amp;"1234567890"))+1),10),".","/")),10)),2)&amp;"/"&amp;RIGHT((SUBSTITUTE(LEFT(RIGHT(E21,LEN(E21)-MIN(SEARCH({1,2,3,4,5,6,7,8,9,0},E21&amp;"1234567890"))+1),10),".","/")),4))))),(AO21-A21))</f>
        <v>580</v>
      </c>
      <c r="C21" s="199"/>
      <c r="D21" s="201" t="str">
        <f t="shared" si="2"/>
        <v>FGS-LM410486/410-0.83XX1.881</v>
      </c>
      <c r="E21" s="201" t="s">
        <v>5489</v>
      </c>
      <c r="F21" s="201" t="s">
        <v>5534</v>
      </c>
      <c r="G21" s="201" t="s">
        <v>5535</v>
      </c>
      <c r="H21" s="201">
        <v>410</v>
      </c>
      <c r="I21" s="202" t="s">
        <v>158</v>
      </c>
      <c r="J21" s="203">
        <v>0.83</v>
      </c>
      <c r="K21" s="203">
        <v>0.83</v>
      </c>
      <c r="L21" s="203"/>
      <c r="M21" s="203"/>
      <c r="N21" s="204">
        <v>1219</v>
      </c>
      <c r="O21" s="381">
        <v>1.881</v>
      </c>
      <c r="P21" s="413">
        <v>1.9339999999999999</v>
      </c>
      <c r="Q21" s="185" t="s">
        <v>5486</v>
      </c>
      <c r="R21" s="185">
        <v>2438</v>
      </c>
      <c r="S21" s="414">
        <v>97</v>
      </c>
      <c r="T21" s="371"/>
      <c r="U21" s="206"/>
      <c r="V21" s="206"/>
      <c r="W21" s="206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7"/>
      <c r="AI21" s="208" t="s">
        <v>158</v>
      </c>
      <c r="AJ21" s="208" t="s">
        <v>430</v>
      </c>
      <c r="AK21" s="209" t="s">
        <v>5492</v>
      </c>
      <c r="AL21" s="209">
        <v>44358</v>
      </c>
      <c r="AM21" s="209">
        <v>44378</v>
      </c>
      <c r="AN21" s="209"/>
      <c r="AO21" s="199">
        <f t="shared" ca="1" si="0"/>
        <v>44958</v>
      </c>
      <c r="AP21" s="208">
        <f t="shared" ca="1" si="1"/>
        <v>580</v>
      </c>
      <c r="AQ21" s="208"/>
      <c r="AR21" s="209" t="s">
        <v>5511</v>
      </c>
      <c r="AS21" s="209" t="s">
        <v>5536</v>
      </c>
      <c r="AT21" s="210">
        <v>1.881</v>
      </c>
      <c r="AU21" s="210">
        <v>1.9339999999999999</v>
      </c>
      <c r="AV21" s="210">
        <v>1.881</v>
      </c>
      <c r="AW21" s="210">
        <v>1.9339999999999999</v>
      </c>
    </row>
    <row r="22" spans="1:49" s="200" customFormat="1" ht="18" customHeight="1" x14ac:dyDescent="0.25">
      <c r="A22" s="199"/>
      <c r="B22" s="204">
        <f ca="1">IF(A22="",(IF(ISNUMBER(SUBSTITUTE(LEFT(RIGHT(E22,LEN(E22)-MIN(SEARCH({1,2,3,4,5,6,7,8,9,0},E22&amp;"1234567890"))+1),10),".","/"))=TRUE,AO22-(SUBSTITUTE(LEFT(RIGHT(E22,LEN(E22)-MIN(SEARCH({1,2,3,4,5,6,7,8,9,0},E22&amp;"1234567890"))+1),10),".","/")),IF((SUBSTITUTE(LEFT(RIGHT(E22,LEN(E22)-MIN(SEARCH({1,2,3,4,5,6,7,8,9,0},E22&amp;"1234567890"))+1),10),".","/"))="","",(AO22)-(MID(RIGHT((SUBSTITUTE(LEFT(RIGHT(E22,LEN(E22)-MIN(SEARCH({1,2,3,4,5,6,7,8,9,0},E22&amp;"1234567890"))+1),10),".","/")),10),4,2)&amp;"/"&amp;LEFT((RIGHT((SUBSTITUTE(LEFT(RIGHT(E22,LEN(E22)-MIN(SEARCH({1,2,3,4,5,6,7,8,9,0},E22&amp;"1234567890"))+1),10),".","/")),10)),2)&amp;"/"&amp;RIGHT((SUBSTITUTE(LEFT(RIGHT(E22,LEN(E22)-MIN(SEARCH({1,2,3,4,5,6,7,8,9,0},E22&amp;"1234567890"))+1),10),".","/")),4))))),(AO22-A22))</f>
        <v>580</v>
      </c>
      <c r="C22" s="199"/>
      <c r="D22" s="201" t="str">
        <f t="shared" si="2"/>
        <v>FGS-LM410487/410-0.83XX1.785</v>
      </c>
      <c r="E22" s="201" t="s">
        <v>5489</v>
      </c>
      <c r="F22" s="201" t="s">
        <v>5537</v>
      </c>
      <c r="G22" s="201" t="s">
        <v>5538</v>
      </c>
      <c r="H22" s="201">
        <v>410</v>
      </c>
      <c r="I22" s="202" t="s">
        <v>158</v>
      </c>
      <c r="J22" s="203">
        <v>0.83</v>
      </c>
      <c r="K22" s="203">
        <v>0.83</v>
      </c>
      <c r="L22" s="203"/>
      <c r="M22" s="203"/>
      <c r="N22" s="204">
        <v>1219</v>
      </c>
      <c r="O22" s="381">
        <v>1.7849999999999999</v>
      </c>
      <c r="P22" s="413">
        <v>1.84</v>
      </c>
      <c r="Q22" s="185" t="s">
        <v>5486</v>
      </c>
      <c r="R22" s="185">
        <v>2438</v>
      </c>
      <c r="S22" s="414">
        <v>92</v>
      </c>
      <c r="T22" s="371"/>
      <c r="U22" s="206"/>
      <c r="V22" s="206"/>
      <c r="W22" s="206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7"/>
      <c r="AI22" s="208" t="s">
        <v>158</v>
      </c>
      <c r="AJ22" s="208" t="s">
        <v>430</v>
      </c>
      <c r="AK22" s="209" t="s">
        <v>5492</v>
      </c>
      <c r="AL22" s="209">
        <v>44358</v>
      </c>
      <c r="AM22" s="209">
        <v>44378</v>
      </c>
      <c r="AN22" s="209"/>
      <c r="AO22" s="199">
        <f t="shared" ca="1" si="0"/>
        <v>44958</v>
      </c>
      <c r="AP22" s="208">
        <f t="shared" ca="1" si="1"/>
        <v>580</v>
      </c>
      <c r="AQ22" s="208"/>
      <c r="AR22" s="209" t="s">
        <v>5511</v>
      </c>
      <c r="AS22" s="209" t="s">
        <v>5539</v>
      </c>
      <c r="AT22" s="210">
        <v>1.7849999999999999</v>
      </c>
      <c r="AU22" s="210">
        <v>1.84</v>
      </c>
      <c r="AV22" s="210">
        <v>1.7849999999999999</v>
      </c>
      <c r="AW22" s="210">
        <v>1.84</v>
      </c>
    </row>
    <row r="23" spans="1:49" s="200" customFormat="1" ht="18" customHeight="1" x14ac:dyDescent="0.25">
      <c r="A23" s="199"/>
      <c r="B23" s="204">
        <f ca="1">IF(A23="",(IF(ISNUMBER(SUBSTITUTE(LEFT(RIGHT(E23,LEN(E23)-MIN(SEARCH({1,2,3,4,5,6,7,8,9,0},E23&amp;"1234567890"))+1),10),".","/"))=TRUE,AO23-(SUBSTITUTE(LEFT(RIGHT(E23,LEN(E23)-MIN(SEARCH({1,2,3,4,5,6,7,8,9,0},E23&amp;"1234567890"))+1),10),".","/")),IF((SUBSTITUTE(LEFT(RIGHT(E23,LEN(E23)-MIN(SEARCH({1,2,3,4,5,6,7,8,9,0},E23&amp;"1234567890"))+1),10),".","/"))="","",(AO23)-(MID(RIGHT((SUBSTITUTE(LEFT(RIGHT(E23,LEN(E23)-MIN(SEARCH({1,2,3,4,5,6,7,8,9,0},E23&amp;"1234567890"))+1),10),".","/")),10),4,2)&amp;"/"&amp;LEFT((RIGHT((SUBSTITUTE(LEFT(RIGHT(E23,LEN(E23)-MIN(SEARCH({1,2,3,4,5,6,7,8,9,0},E23&amp;"1234567890"))+1),10),".","/")),10)),2)&amp;"/"&amp;RIGHT((SUBSTITUTE(LEFT(RIGHT(E23,LEN(E23)-MIN(SEARCH({1,2,3,4,5,6,7,8,9,0},E23&amp;"1234567890"))+1),10),".","/")),4))))),(AO23-A23))</f>
        <v>580</v>
      </c>
      <c r="C23" s="199"/>
      <c r="D23" s="201" t="str">
        <f t="shared" si="2"/>
        <v>FGS-LM410488/410-0.92XX1.905</v>
      </c>
      <c r="E23" s="201" t="s">
        <v>5489</v>
      </c>
      <c r="F23" s="201" t="s">
        <v>5540</v>
      </c>
      <c r="G23" s="201" t="s">
        <v>5541</v>
      </c>
      <c r="H23" s="201">
        <v>410</v>
      </c>
      <c r="I23" s="202" t="s">
        <v>158</v>
      </c>
      <c r="J23" s="203">
        <v>0.92</v>
      </c>
      <c r="K23" s="203">
        <v>0.92</v>
      </c>
      <c r="L23" s="203"/>
      <c r="M23" s="203"/>
      <c r="N23" s="204">
        <v>1219</v>
      </c>
      <c r="O23" s="381">
        <v>1.905</v>
      </c>
      <c r="P23" s="413">
        <v>1.954</v>
      </c>
      <c r="Q23" s="185" t="s">
        <v>5486</v>
      </c>
      <c r="R23" s="185">
        <v>2438</v>
      </c>
      <c r="S23" s="414">
        <v>89</v>
      </c>
      <c r="T23" s="371"/>
      <c r="U23" s="206"/>
      <c r="V23" s="206"/>
      <c r="W23" s="206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7"/>
      <c r="AI23" s="208" t="s">
        <v>158</v>
      </c>
      <c r="AJ23" s="208" t="s">
        <v>430</v>
      </c>
      <c r="AK23" s="209" t="s">
        <v>5492</v>
      </c>
      <c r="AL23" s="209">
        <v>44358</v>
      </c>
      <c r="AM23" s="209">
        <v>44378</v>
      </c>
      <c r="AN23" s="209"/>
      <c r="AO23" s="199">
        <f t="shared" ca="1" si="0"/>
        <v>44958</v>
      </c>
      <c r="AP23" s="208">
        <f t="shared" ca="1" si="1"/>
        <v>580</v>
      </c>
      <c r="AQ23" s="208"/>
      <c r="AR23" s="209" t="s">
        <v>5501</v>
      </c>
      <c r="AS23" s="209" t="s">
        <v>5542</v>
      </c>
      <c r="AT23" s="210">
        <v>1.905</v>
      </c>
      <c r="AU23" s="210">
        <v>1.954</v>
      </c>
      <c r="AV23" s="210">
        <v>1.905</v>
      </c>
      <c r="AW23" s="210">
        <v>1.954</v>
      </c>
    </row>
    <row r="24" spans="1:49" s="200" customFormat="1" ht="18" customHeight="1" x14ac:dyDescent="0.25">
      <c r="A24" s="199"/>
      <c r="B24" s="204">
        <f ca="1">IF(A24="",(IF(ISNUMBER(SUBSTITUTE(LEFT(RIGHT(E24,LEN(E24)-MIN(SEARCH({1,2,3,4,5,6,7,8,9,0},E24&amp;"1234567890"))+1),10),".","/"))=TRUE,AO24-(SUBSTITUTE(LEFT(RIGHT(E24,LEN(E24)-MIN(SEARCH({1,2,3,4,5,6,7,8,9,0},E24&amp;"1234567890"))+1),10),".","/")),IF((SUBSTITUTE(LEFT(RIGHT(E24,LEN(E24)-MIN(SEARCH({1,2,3,4,5,6,7,8,9,0},E24&amp;"1234567890"))+1),10),".","/"))="","",(AO24)-(MID(RIGHT((SUBSTITUTE(LEFT(RIGHT(E24,LEN(E24)-MIN(SEARCH({1,2,3,4,5,6,7,8,9,0},E24&amp;"1234567890"))+1),10),".","/")),10),4,2)&amp;"/"&amp;LEFT((RIGHT((SUBSTITUTE(LEFT(RIGHT(E24,LEN(E24)-MIN(SEARCH({1,2,3,4,5,6,7,8,9,0},E24&amp;"1234567890"))+1),10),".","/")),10)),2)&amp;"/"&amp;RIGHT((SUBSTITUTE(LEFT(RIGHT(E24,LEN(E24)-MIN(SEARCH({1,2,3,4,5,6,7,8,9,0},E24&amp;"1234567890"))+1),10),".","/")),4))))),(AO24-A24))</f>
        <v>580</v>
      </c>
      <c r="C24" s="199"/>
      <c r="D24" s="201" t="str">
        <f t="shared" si="2"/>
        <v>FGS-LM410489/410-0.92XX1.905</v>
      </c>
      <c r="E24" s="201" t="s">
        <v>5489</v>
      </c>
      <c r="F24" s="201" t="s">
        <v>5543</v>
      </c>
      <c r="G24" s="201" t="s">
        <v>5544</v>
      </c>
      <c r="H24" s="201">
        <v>410</v>
      </c>
      <c r="I24" s="202" t="s">
        <v>158</v>
      </c>
      <c r="J24" s="203">
        <v>0.92</v>
      </c>
      <c r="K24" s="203">
        <v>0.92</v>
      </c>
      <c r="L24" s="203"/>
      <c r="M24" s="203"/>
      <c r="N24" s="204">
        <v>1219</v>
      </c>
      <c r="O24" s="381">
        <v>1.905</v>
      </c>
      <c r="P24" s="413">
        <v>1.954</v>
      </c>
      <c r="Q24" s="185" t="s">
        <v>5486</v>
      </c>
      <c r="R24" s="185">
        <v>2438</v>
      </c>
      <c r="S24" s="414">
        <v>89</v>
      </c>
      <c r="T24" s="371"/>
      <c r="U24" s="206"/>
      <c r="V24" s="206"/>
      <c r="W24" s="206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7"/>
      <c r="AI24" s="208" t="s">
        <v>158</v>
      </c>
      <c r="AJ24" s="208" t="s">
        <v>430</v>
      </c>
      <c r="AK24" s="209" t="s">
        <v>5492</v>
      </c>
      <c r="AL24" s="209">
        <v>44358</v>
      </c>
      <c r="AM24" s="209">
        <v>44378</v>
      </c>
      <c r="AN24" s="209"/>
      <c r="AO24" s="199">
        <f t="shared" ca="1" si="0"/>
        <v>44958</v>
      </c>
      <c r="AP24" s="208">
        <f t="shared" ca="1" si="1"/>
        <v>580</v>
      </c>
      <c r="AQ24" s="208"/>
      <c r="AR24" s="209" t="s">
        <v>5501</v>
      </c>
      <c r="AS24" s="209" t="s">
        <v>5545</v>
      </c>
      <c r="AT24" s="210">
        <v>1.905</v>
      </c>
      <c r="AU24" s="210">
        <v>1.954</v>
      </c>
      <c r="AV24" s="210">
        <v>1.905</v>
      </c>
      <c r="AW24" s="210">
        <v>1.954</v>
      </c>
    </row>
    <row r="25" spans="1:49" s="200" customFormat="1" ht="18" customHeight="1" x14ac:dyDescent="0.25">
      <c r="A25" s="199"/>
      <c r="B25" s="204">
        <f ca="1">IF(A25="",(IF(ISNUMBER(SUBSTITUTE(LEFT(RIGHT(E25,LEN(E25)-MIN(SEARCH({1,2,3,4,5,6,7,8,9,0},E25&amp;"1234567890"))+1),10),".","/"))=TRUE,AO25-(SUBSTITUTE(LEFT(RIGHT(E25,LEN(E25)-MIN(SEARCH({1,2,3,4,5,6,7,8,9,0},E25&amp;"1234567890"))+1),10),".","/")),IF((SUBSTITUTE(LEFT(RIGHT(E25,LEN(E25)-MIN(SEARCH({1,2,3,4,5,6,7,8,9,0},E25&amp;"1234567890"))+1),10),".","/"))="","",(AO25)-(MID(RIGHT((SUBSTITUTE(LEFT(RIGHT(E25,LEN(E25)-MIN(SEARCH({1,2,3,4,5,6,7,8,9,0},E25&amp;"1234567890"))+1),10),".","/")),10),4,2)&amp;"/"&amp;LEFT((RIGHT((SUBSTITUTE(LEFT(RIGHT(E25,LEN(E25)-MIN(SEARCH({1,2,3,4,5,6,7,8,9,0},E25&amp;"1234567890"))+1),10),".","/")),10)),2)&amp;"/"&amp;RIGHT((SUBSTITUTE(LEFT(RIGHT(E25,LEN(E25)-MIN(SEARCH({1,2,3,4,5,6,7,8,9,0},E25&amp;"1234567890"))+1),10),".","/")),4))))),(AO25-A25))</f>
        <v>580</v>
      </c>
      <c r="C25" s="199"/>
      <c r="D25" s="201" t="str">
        <f t="shared" si="2"/>
        <v>FGS-LM410490/410-0.92XX1.905</v>
      </c>
      <c r="E25" s="201" t="s">
        <v>5489</v>
      </c>
      <c r="F25" s="201" t="s">
        <v>5546</v>
      </c>
      <c r="G25" s="201" t="s">
        <v>5547</v>
      </c>
      <c r="H25" s="201">
        <v>410</v>
      </c>
      <c r="I25" s="202" t="s">
        <v>158</v>
      </c>
      <c r="J25" s="203">
        <v>0.92</v>
      </c>
      <c r="K25" s="203">
        <v>0.92</v>
      </c>
      <c r="L25" s="203"/>
      <c r="M25" s="203"/>
      <c r="N25" s="204">
        <v>1219</v>
      </c>
      <c r="O25" s="381">
        <v>1.905</v>
      </c>
      <c r="P25" s="413">
        <v>1.954</v>
      </c>
      <c r="Q25" s="185" t="s">
        <v>5486</v>
      </c>
      <c r="R25" s="185">
        <v>2438</v>
      </c>
      <c r="S25" s="414">
        <v>89</v>
      </c>
      <c r="T25" s="371"/>
      <c r="U25" s="206"/>
      <c r="V25" s="206"/>
      <c r="W25" s="206"/>
      <c r="X25" s="205"/>
      <c r="Y25" s="205"/>
      <c r="Z25" s="205"/>
      <c r="AA25" s="205"/>
      <c r="AB25" s="205"/>
      <c r="AC25" s="205"/>
      <c r="AD25" s="205"/>
      <c r="AE25" s="205"/>
      <c r="AF25" s="205"/>
      <c r="AG25" s="205"/>
      <c r="AH25" s="207"/>
      <c r="AI25" s="208" t="s">
        <v>158</v>
      </c>
      <c r="AJ25" s="208" t="s">
        <v>430</v>
      </c>
      <c r="AK25" s="209" t="s">
        <v>5492</v>
      </c>
      <c r="AL25" s="209">
        <v>44358</v>
      </c>
      <c r="AM25" s="209">
        <v>44378</v>
      </c>
      <c r="AN25" s="209"/>
      <c r="AO25" s="199">
        <f t="shared" ca="1" si="0"/>
        <v>44958</v>
      </c>
      <c r="AP25" s="208">
        <f t="shared" ca="1" si="1"/>
        <v>580</v>
      </c>
      <c r="AQ25" s="208"/>
      <c r="AR25" s="209" t="s">
        <v>5501</v>
      </c>
      <c r="AS25" s="209" t="s">
        <v>5548</v>
      </c>
      <c r="AT25" s="210">
        <v>1.905</v>
      </c>
      <c r="AU25" s="210">
        <v>1.954</v>
      </c>
      <c r="AV25" s="210">
        <v>1.905</v>
      </c>
      <c r="AW25" s="210">
        <v>1.954</v>
      </c>
    </row>
    <row r="26" spans="1:49" s="200" customFormat="1" ht="18" customHeight="1" x14ac:dyDescent="0.25">
      <c r="A26" s="199"/>
      <c r="B26" s="204">
        <f ca="1">IF(A26="",(IF(ISNUMBER(SUBSTITUTE(LEFT(RIGHT(E26,LEN(E26)-MIN(SEARCH({1,2,3,4,5,6,7,8,9,0},E26&amp;"1234567890"))+1),10),".","/"))=TRUE,AO26-(SUBSTITUTE(LEFT(RIGHT(E26,LEN(E26)-MIN(SEARCH({1,2,3,4,5,6,7,8,9,0},E26&amp;"1234567890"))+1),10),".","/")),IF((SUBSTITUTE(LEFT(RIGHT(E26,LEN(E26)-MIN(SEARCH({1,2,3,4,5,6,7,8,9,0},E26&amp;"1234567890"))+1),10),".","/"))="","",(AO26)-(MID(RIGHT((SUBSTITUTE(LEFT(RIGHT(E26,LEN(E26)-MIN(SEARCH({1,2,3,4,5,6,7,8,9,0},E26&amp;"1234567890"))+1),10),".","/")),10),4,2)&amp;"/"&amp;LEFT((RIGHT((SUBSTITUTE(LEFT(RIGHT(E26,LEN(E26)-MIN(SEARCH({1,2,3,4,5,6,7,8,9,0},E26&amp;"1234567890"))+1),10),".","/")),10)),2)&amp;"/"&amp;RIGHT((SUBSTITUTE(LEFT(RIGHT(E26,LEN(E26)-MIN(SEARCH({1,2,3,4,5,6,7,8,9,0},E26&amp;"1234567890"))+1),10),".","/")),4))))),(AO26-A26))</f>
        <v>580</v>
      </c>
      <c r="C26" s="199"/>
      <c r="D26" s="201" t="str">
        <f t="shared" si="2"/>
        <v>FGS-LM410491/410-0.92XX1.905</v>
      </c>
      <c r="E26" s="201" t="s">
        <v>5489</v>
      </c>
      <c r="F26" s="201" t="s">
        <v>5549</v>
      </c>
      <c r="G26" s="201" t="s">
        <v>5550</v>
      </c>
      <c r="H26" s="201">
        <v>410</v>
      </c>
      <c r="I26" s="202" t="s">
        <v>158</v>
      </c>
      <c r="J26" s="203">
        <v>0.92</v>
      </c>
      <c r="K26" s="203">
        <v>0.92</v>
      </c>
      <c r="L26" s="203"/>
      <c r="M26" s="203"/>
      <c r="N26" s="204">
        <v>1219</v>
      </c>
      <c r="O26" s="381">
        <v>1.905</v>
      </c>
      <c r="P26" s="413">
        <v>1.95</v>
      </c>
      <c r="Q26" s="185" t="s">
        <v>5486</v>
      </c>
      <c r="R26" s="185">
        <v>2438</v>
      </c>
      <c r="S26" s="414">
        <v>89</v>
      </c>
      <c r="T26" s="371"/>
      <c r="U26" s="206"/>
      <c r="V26" s="206"/>
      <c r="W26" s="206"/>
      <c r="X26" s="205"/>
      <c r="Y26" s="205"/>
      <c r="Z26" s="205"/>
      <c r="AA26" s="205"/>
      <c r="AB26" s="205"/>
      <c r="AC26" s="205"/>
      <c r="AD26" s="205"/>
      <c r="AE26" s="205"/>
      <c r="AF26" s="205"/>
      <c r="AG26" s="205"/>
      <c r="AH26" s="207"/>
      <c r="AI26" s="208" t="s">
        <v>158</v>
      </c>
      <c r="AJ26" s="208" t="s">
        <v>430</v>
      </c>
      <c r="AK26" s="209" t="s">
        <v>5492</v>
      </c>
      <c r="AL26" s="209">
        <v>44358</v>
      </c>
      <c r="AM26" s="209">
        <v>44378</v>
      </c>
      <c r="AN26" s="209"/>
      <c r="AO26" s="199">
        <f t="shared" ca="1" si="0"/>
        <v>44958</v>
      </c>
      <c r="AP26" s="208">
        <f t="shared" ca="1" si="1"/>
        <v>580</v>
      </c>
      <c r="AQ26" s="208"/>
      <c r="AR26" s="209" t="s">
        <v>5501</v>
      </c>
      <c r="AS26" s="209" t="s">
        <v>5551</v>
      </c>
      <c r="AT26" s="210">
        <v>1.905</v>
      </c>
      <c r="AU26" s="210">
        <v>1.95</v>
      </c>
      <c r="AV26" s="210">
        <v>1.905</v>
      </c>
      <c r="AW26" s="210">
        <v>1.95</v>
      </c>
    </row>
    <row r="27" spans="1:49" s="200" customFormat="1" ht="18" customHeight="1" x14ac:dyDescent="0.25">
      <c r="A27" s="199"/>
      <c r="B27" s="204">
        <f ca="1">IF(A27="",(IF(ISNUMBER(SUBSTITUTE(LEFT(RIGHT(E27,LEN(E27)-MIN(SEARCH({1,2,3,4,5,6,7,8,9,0},E27&amp;"1234567890"))+1),10),".","/"))=TRUE,AO27-(SUBSTITUTE(LEFT(RIGHT(E27,LEN(E27)-MIN(SEARCH({1,2,3,4,5,6,7,8,9,0},E27&amp;"1234567890"))+1),10),".","/")),IF((SUBSTITUTE(LEFT(RIGHT(E27,LEN(E27)-MIN(SEARCH({1,2,3,4,5,6,7,8,9,0},E27&amp;"1234567890"))+1),10),".","/"))="","",(AO27)-(MID(RIGHT((SUBSTITUTE(LEFT(RIGHT(E27,LEN(E27)-MIN(SEARCH({1,2,3,4,5,6,7,8,9,0},E27&amp;"1234567890"))+1),10),".","/")),10),4,2)&amp;"/"&amp;LEFT((RIGHT((SUBSTITUTE(LEFT(RIGHT(E27,LEN(E27)-MIN(SEARCH({1,2,3,4,5,6,7,8,9,0},E27&amp;"1234567890"))+1),10),".","/")),10)),2)&amp;"/"&amp;RIGHT((SUBSTITUTE(LEFT(RIGHT(E27,LEN(E27)-MIN(SEARCH({1,2,3,4,5,6,7,8,9,0},E27&amp;"1234567890"))+1),10),".","/")),4))))),(AO27-A27))</f>
        <v>580</v>
      </c>
      <c r="C27" s="199"/>
      <c r="D27" s="201" t="str">
        <f t="shared" si="2"/>
        <v>FGS-LM410493/410-0.73XX2.014</v>
      </c>
      <c r="E27" s="201" t="s">
        <v>5489</v>
      </c>
      <c r="F27" s="201" t="s">
        <v>5552</v>
      </c>
      <c r="G27" s="201" t="s">
        <v>5553</v>
      </c>
      <c r="H27" s="201">
        <v>410</v>
      </c>
      <c r="I27" s="202" t="s">
        <v>158</v>
      </c>
      <c r="J27" s="203">
        <v>0.73</v>
      </c>
      <c r="K27" s="203">
        <v>0.73</v>
      </c>
      <c r="L27" s="203"/>
      <c r="M27" s="203"/>
      <c r="N27" s="204">
        <v>1219</v>
      </c>
      <c r="O27" s="381">
        <v>2.0139999999999998</v>
      </c>
      <c r="P27" s="413">
        <v>2.0760000000000001</v>
      </c>
      <c r="Q27" s="185" t="s">
        <v>5486</v>
      </c>
      <c r="R27" s="185">
        <v>2438</v>
      </c>
      <c r="S27" s="414">
        <v>118</v>
      </c>
      <c r="T27" s="371"/>
      <c r="U27" s="206"/>
      <c r="V27" s="206"/>
      <c r="W27" s="206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7"/>
      <c r="AI27" s="208" t="s">
        <v>158</v>
      </c>
      <c r="AJ27" s="208" t="s">
        <v>430</v>
      </c>
      <c r="AK27" s="209" t="s">
        <v>5492</v>
      </c>
      <c r="AL27" s="209">
        <v>44358</v>
      </c>
      <c r="AM27" s="209">
        <v>44378</v>
      </c>
      <c r="AN27" s="209"/>
      <c r="AO27" s="199">
        <f t="shared" ca="1" si="0"/>
        <v>44958</v>
      </c>
      <c r="AP27" s="208">
        <f t="shared" ca="1" si="1"/>
        <v>580</v>
      </c>
      <c r="AQ27" s="208"/>
      <c r="AR27" s="209" t="s">
        <v>5497</v>
      </c>
      <c r="AS27" s="209" t="s">
        <v>5554</v>
      </c>
      <c r="AT27" s="210">
        <v>2.0139999999999998</v>
      </c>
      <c r="AU27" s="210">
        <v>2.0760000000000001</v>
      </c>
      <c r="AV27" s="210">
        <v>2.0139999999999998</v>
      </c>
      <c r="AW27" s="210">
        <v>2.0760000000000001</v>
      </c>
    </row>
    <row r="28" spans="1:49" s="200" customFormat="1" ht="18" customHeight="1" x14ac:dyDescent="0.25">
      <c r="A28" s="199"/>
      <c r="B28" s="204">
        <f ca="1">IF(A28="",(IF(ISNUMBER(SUBSTITUTE(LEFT(RIGHT(E28,LEN(E28)-MIN(SEARCH({1,2,3,4,5,6,7,8,9,0},E28&amp;"1234567890"))+1),10),".","/"))=TRUE,AO28-(SUBSTITUTE(LEFT(RIGHT(E28,LEN(E28)-MIN(SEARCH({1,2,3,4,5,6,7,8,9,0},E28&amp;"1234567890"))+1),10),".","/")),IF((SUBSTITUTE(LEFT(RIGHT(E28,LEN(E28)-MIN(SEARCH({1,2,3,4,5,6,7,8,9,0},E28&amp;"1234567890"))+1),10),".","/"))="","",(AO28)-(MID(RIGHT((SUBSTITUTE(LEFT(RIGHT(E28,LEN(E28)-MIN(SEARCH({1,2,3,4,5,6,7,8,9,0},E28&amp;"1234567890"))+1),10),".","/")),10),4,2)&amp;"/"&amp;LEFT((RIGHT((SUBSTITUTE(LEFT(RIGHT(E28,LEN(E28)-MIN(SEARCH({1,2,3,4,5,6,7,8,9,0},E28&amp;"1234567890"))+1),10),".","/")),10)),2)&amp;"/"&amp;RIGHT((SUBSTITUTE(LEFT(RIGHT(E28,LEN(E28)-MIN(SEARCH({1,2,3,4,5,6,7,8,9,0},E28&amp;"1234567890"))+1),10),".","/")),4))))),(AO28-A28))</f>
        <v>580</v>
      </c>
      <c r="C28" s="199"/>
      <c r="D28" s="201" t="str">
        <f t="shared" si="2"/>
        <v>FGS-LM410496/410-0.73XX2.014</v>
      </c>
      <c r="E28" s="201" t="s">
        <v>5489</v>
      </c>
      <c r="F28" s="201" t="s">
        <v>5555</v>
      </c>
      <c r="G28" s="201" t="s">
        <v>5556</v>
      </c>
      <c r="H28" s="201">
        <v>410</v>
      </c>
      <c r="I28" s="202" t="s">
        <v>158</v>
      </c>
      <c r="J28" s="203">
        <v>0.73</v>
      </c>
      <c r="K28" s="203">
        <v>0.73</v>
      </c>
      <c r="L28" s="203"/>
      <c r="M28" s="203"/>
      <c r="N28" s="204">
        <v>1219</v>
      </c>
      <c r="O28" s="381">
        <v>2.0139999999999998</v>
      </c>
      <c r="P28" s="413">
        <v>2.0720000000000001</v>
      </c>
      <c r="Q28" s="185" t="s">
        <v>5486</v>
      </c>
      <c r="R28" s="185">
        <v>2438</v>
      </c>
      <c r="S28" s="414">
        <v>118</v>
      </c>
      <c r="T28" s="371"/>
      <c r="U28" s="206"/>
      <c r="V28" s="206"/>
      <c r="W28" s="206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7"/>
      <c r="AI28" s="208" t="s">
        <v>158</v>
      </c>
      <c r="AJ28" s="208" t="s">
        <v>430</v>
      </c>
      <c r="AK28" s="209" t="s">
        <v>5492</v>
      </c>
      <c r="AL28" s="209">
        <v>44358</v>
      </c>
      <c r="AM28" s="209">
        <v>44378</v>
      </c>
      <c r="AN28" s="209"/>
      <c r="AO28" s="199">
        <f t="shared" ca="1" si="0"/>
        <v>44958</v>
      </c>
      <c r="AP28" s="208">
        <f t="shared" ca="1" si="1"/>
        <v>580</v>
      </c>
      <c r="AQ28" s="208"/>
      <c r="AR28" s="209" t="s">
        <v>5497</v>
      </c>
      <c r="AS28" s="209" t="s">
        <v>5557</v>
      </c>
      <c r="AT28" s="210">
        <v>2.0139999999999998</v>
      </c>
      <c r="AU28" s="210">
        <v>2.0720000000000001</v>
      </c>
      <c r="AV28" s="210">
        <v>2.0139999999999998</v>
      </c>
      <c r="AW28" s="210">
        <v>2.0720000000000001</v>
      </c>
    </row>
    <row r="29" spans="1:49" s="200" customFormat="1" ht="18" customHeight="1" x14ac:dyDescent="0.25">
      <c r="A29" s="199"/>
      <c r="B29" s="204">
        <f ca="1">IF(A29="",(IF(ISNUMBER(SUBSTITUTE(LEFT(RIGHT(E29,LEN(E29)-MIN(SEARCH({1,2,3,4,5,6,7,8,9,0},E29&amp;"1234567890"))+1),10),".","/"))=TRUE,AO29-(SUBSTITUTE(LEFT(RIGHT(E29,LEN(E29)-MIN(SEARCH({1,2,3,4,5,6,7,8,9,0},E29&amp;"1234567890"))+1),10),".","/")),IF((SUBSTITUTE(LEFT(RIGHT(E29,LEN(E29)-MIN(SEARCH({1,2,3,4,5,6,7,8,9,0},E29&amp;"1234567890"))+1),10),".","/"))="","",(AO29)-(MID(RIGHT((SUBSTITUTE(LEFT(RIGHT(E29,LEN(E29)-MIN(SEARCH({1,2,3,4,5,6,7,8,9,0},E29&amp;"1234567890"))+1),10),".","/")),10),4,2)&amp;"/"&amp;LEFT((RIGHT((SUBSTITUTE(LEFT(RIGHT(E29,LEN(E29)-MIN(SEARCH({1,2,3,4,5,6,7,8,9,0},E29&amp;"1234567890"))+1),10),".","/")),10)),2)&amp;"/"&amp;RIGHT((SUBSTITUTE(LEFT(RIGHT(E29,LEN(E29)-MIN(SEARCH({1,2,3,4,5,6,7,8,9,0},E29&amp;"1234567890"))+1),10),".","/")),4))))),(AO29-A29))</f>
        <v>547</v>
      </c>
      <c r="C29" s="199"/>
      <c r="D29" s="201" t="str">
        <f t="shared" si="2"/>
        <v>FGS-LM410603/410-0.36XX1.996</v>
      </c>
      <c r="E29" s="201" t="s">
        <v>5558</v>
      </c>
      <c r="F29" s="201" t="s">
        <v>5559</v>
      </c>
      <c r="G29" s="201" t="s">
        <v>5560</v>
      </c>
      <c r="H29" s="201">
        <v>410</v>
      </c>
      <c r="I29" s="202" t="s">
        <v>158</v>
      </c>
      <c r="J29" s="203">
        <v>0.36</v>
      </c>
      <c r="K29" s="203">
        <v>0.36</v>
      </c>
      <c r="L29" s="203"/>
      <c r="M29" s="203"/>
      <c r="N29" s="204">
        <v>1000</v>
      </c>
      <c r="O29" s="381">
        <v>1.996</v>
      </c>
      <c r="P29" s="413">
        <v>2.028</v>
      </c>
      <c r="Q29" s="185" t="s">
        <v>5486</v>
      </c>
      <c r="R29" s="415">
        <v>2000</v>
      </c>
      <c r="S29" s="414">
        <v>350</v>
      </c>
      <c r="T29" s="371"/>
      <c r="U29" s="206"/>
      <c r="V29" s="206"/>
      <c r="W29" s="206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7"/>
      <c r="AI29" s="208" t="s">
        <v>158</v>
      </c>
      <c r="AJ29" s="208" t="s">
        <v>430</v>
      </c>
      <c r="AK29" s="209" t="s">
        <v>5561</v>
      </c>
      <c r="AL29" s="209">
        <v>44383</v>
      </c>
      <c r="AM29" s="209">
        <v>44411</v>
      </c>
      <c r="AN29" s="209"/>
      <c r="AO29" s="199">
        <f t="shared" ca="1" si="0"/>
        <v>44958</v>
      </c>
      <c r="AP29" s="208">
        <f t="shared" ca="1" si="1"/>
        <v>547</v>
      </c>
      <c r="AQ29" s="208"/>
      <c r="AR29" s="209" t="s">
        <v>5562</v>
      </c>
      <c r="AS29" s="209" t="s">
        <v>5563</v>
      </c>
      <c r="AT29" s="210">
        <v>1.996</v>
      </c>
      <c r="AU29" s="210">
        <v>2.028</v>
      </c>
      <c r="AV29" s="210">
        <v>1.996</v>
      </c>
      <c r="AW29" s="210">
        <v>2.028</v>
      </c>
    </row>
    <row r="30" spans="1:49" s="200" customFormat="1" ht="18" customHeight="1" x14ac:dyDescent="0.25">
      <c r="A30" s="199"/>
      <c r="B30" s="204">
        <f ca="1">IF(A30="",(IF(ISNUMBER(SUBSTITUTE(LEFT(RIGHT(E30,LEN(E30)-MIN(SEARCH({1,2,3,4,5,6,7,8,9,0},E30&amp;"1234567890"))+1),10),".","/"))=TRUE,AO30-(SUBSTITUTE(LEFT(RIGHT(E30,LEN(E30)-MIN(SEARCH({1,2,3,4,5,6,7,8,9,0},E30&amp;"1234567890"))+1),10),".","/")),IF((SUBSTITUTE(LEFT(RIGHT(E30,LEN(E30)-MIN(SEARCH({1,2,3,4,5,6,7,8,9,0},E30&amp;"1234567890"))+1),10),".","/"))="","",(AO30)-(MID(RIGHT((SUBSTITUTE(LEFT(RIGHT(E30,LEN(E30)-MIN(SEARCH({1,2,3,4,5,6,7,8,9,0},E30&amp;"1234567890"))+1),10),".","/")),10),4,2)&amp;"/"&amp;LEFT((RIGHT((SUBSTITUTE(LEFT(RIGHT(E30,LEN(E30)-MIN(SEARCH({1,2,3,4,5,6,7,8,9,0},E30&amp;"1234567890"))+1),10),".","/")),10)),2)&amp;"/"&amp;RIGHT((SUBSTITUTE(LEFT(RIGHT(E30,LEN(E30)-MIN(SEARCH({1,2,3,4,5,6,7,8,9,0},E30&amp;"1234567890"))+1),10),".","/")),4))))),(AO30-A30))</f>
        <v>541</v>
      </c>
      <c r="C30" s="199"/>
      <c r="D30" s="201" t="str">
        <f t="shared" si="2"/>
        <v>FGS-LM410646/410-0.26XX1.928</v>
      </c>
      <c r="E30" s="201" t="s">
        <v>5564</v>
      </c>
      <c r="F30" s="201" t="s">
        <v>5565</v>
      </c>
      <c r="G30" s="201" t="s">
        <v>5566</v>
      </c>
      <c r="H30" s="201">
        <v>410</v>
      </c>
      <c r="I30" s="202" t="s">
        <v>158</v>
      </c>
      <c r="J30" s="203">
        <v>0.26</v>
      </c>
      <c r="K30" s="203">
        <v>0.26</v>
      </c>
      <c r="L30" s="203"/>
      <c r="M30" s="203"/>
      <c r="N30" s="204">
        <v>1000</v>
      </c>
      <c r="O30" s="381">
        <v>1.9279999999999999</v>
      </c>
      <c r="P30" s="413">
        <v>1.964</v>
      </c>
      <c r="Q30" s="185" t="s">
        <v>5486</v>
      </c>
      <c r="R30" s="185">
        <v>2000</v>
      </c>
      <c r="S30" s="414">
        <v>480</v>
      </c>
      <c r="T30" s="371"/>
      <c r="U30" s="206"/>
      <c r="V30" s="206"/>
      <c r="W30" s="206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7"/>
      <c r="AI30" s="208" t="s">
        <v>158</v>
      </c>
      <c r="AJ30" s="208" t="s">
        <v>430</v>
      </c>
      <c r="AK30" s="209" t="s">
        <v>5567</v>
      </c>
      <c r="AL30" s="209">
        <v>44392</v>
      </c>
      <c r="AM30" s="209">
        <v>44417</v>
      </c>
      <c r="AN30" s="209"/>
      <c r="AO30" s="199">
        <f t="shared" ca="1" si="0"/>
        <v>44958</v>
      </c>
      <c r="AP30" s="208">
        <f t="shared" ca="1" si="1"/>
        <v>541</v>
      </c>
      <c r="AQ30" s="208"/>
      <c r="AR30" s="209" t="s">
        <v>5568</v>
      </c>
      <c r="AS30" s="209" t="s">
        <v>5569</v>
      </c>
      <c r="AT30" s="210">
        <v>1.9279999999999999</v>
      </c>
      <c r="AU30" s="210">
        <v>1.964</v>
      </c>
      <c r="AV30" s="210">
        <v>1.9279999999999999</v>
      </c>
      <c r="AW30" s="210">
        <v>1.964</v>
      </c>
    </row>
    <row r="31" spans="1:49" s="200" customFormat="1" ht="20.25" customHeight="1" x14ac:dyDescent="0.25">
      <c r="A31" s="416"/>
      <c r="B31" s="363"/>
      <c r="C31" s="416"/>
      <c r="D31" s="361"/>
      <c r="E31" s="361"/>
      <c r="F31" s="361"/>
      <c r="G31" s="361"/>
      <c r="H31" s="361"/>
      <c r="I31" s="336"/>
      <c r="J31" s="417"/>
      <c r="K31" s="417"/>
      <c r="L31" s="417"/>
      <c r="M31" s="417"/>
      <c r="N31" s="363"/>
      <c r="O31" s="418">
        <f>SUM(O7:O30)</f>
        <v>45.012000000000008</v>
      </c>
      <c r="P31" s="419"/>
      <c r="Q31" s="420"/>
      <c r="R31" s="421"/>
      <c r="S31" s="422"/>
      <c r="T31" s="362"/>
      <c r="U31" s="423"/>
      <c r="V31" s="423"/>
      <c r="W31" s="423"/>
      <c r="X31" s="424"/>
      <c r="Y31" s="424"/>
      <c r="Z31" s="424"/>
      <c r="AA31" s="424"/>
      <c r="AB31" s="424"/>
      <c r="AC31" s="424"/>
      <c r="AD31" s="424"/>
      <c r="AE31" s="424"/>
      <c r="AF31" s="424"/>
      <c r="AG31" s="424"/>
      <c r="AH31" s="425"/>
      <c r="AK31" s="426"/>
      <c r="AL31" s="426"/>
      <c r="AM31" s="426"/>
      <c r="AN31" s="426"/>
      <c r="AO31" s="416"/>
      <c r="AR31" s="426"/>
      <c r="AS31" s="426"/>
      <c r="AT31" s="427"/>
      <c r="AU31" s="427"/>
      <c r="AV31" s="427"/>
      <c r="AW31" s="427"/>
    </row>
    <row r="32" spans="1:49" s="200" customFormat="1" ht="20.25" customHeight="1" x14ac:dyDescent="0.25">
      <c r="A32" s="416"/>
      <c r="B32" s="363"/>
      <c r="C32" s="416"/>
      <c r="D32" s="361"/>
      <c r="E32" s="361"/>
      <c r="F32" s="361"/>
      <c r="G32" s="361"/>
      <c r="H32" s="361"/>
      <c r="I32" s="336"/>
      <c r="J32" s="417"/>
      <c r="K32" s="417"/>
      <c r="L32" s="417"/>
      <c r="M32" s="417"/>
      <c r="N32" s="363"/>
      <c r="O32" s="418"/>
      <c r="P32" s="419"/>
      <c r="Q32" s="420"/>
      <c r="R32" s="421"/>
      <c r="S32" s="422"/>
      <c r="T32" s="362"/>
      <c r="U32" s="423"/>
      <c r="V32" s="423"/>
      <c r="W32" s="423"/>
      <c r="X32" s="424"/>
      <c r="Y32" s="424"/>
      <c r="Z32" s="424"/>
      <c r="AA32" s="424"/>
      <c r="AB32" s="424"/>
      <c r="AC32" s="424"/>
      <c r="AD32" s="424"/>
      <c r="AE32" s="424"/>
      <c r="AF32" s="424"/>
      <c r="AG32" s="424"/>
      <c r="AH32" s="425"/>
      <c r="AK32" s="426"/>
      <c r="AL32" s="426"/>
      <c r="AM32" s="426"/>
      <c r="AN32" s="426"/>
      <c r="AO32" s="416"/>
      <c r="AR32" s="426"/>
      <c r="AS32" s="426"/>
      <c r="AT32" s="427"/>
      <c r="AU32" s="427"/>
      <c r="AV32" s="427"/>
      <c r="AW32" s="427"/>
    </row>
    <row r="33" spans="1:66" s="200" customFormat="1" ht="18" customHeight="1" x14ac:dyDescent="0.25">
      <c r="A33" s="428" t="s">
        <v>5570</v>
      </c>
      <c r="B33" s="363"/>
      <c r="C33" s="416"/>
      <c r="D33" s="361"/>
      <c r="E33" s="361"/>
      <c r="F33" s="361"/>
      <c r="G33" s="361"/>
      <c r="H33" s="361"/>
      <c r="I33" s="336"/>
      <c r="J33" s="417"/>
      <c r="K33" s="417"/>
      <c r="L33" s="417"/>
      <c r="M33" s="417"/>
      <c r="N33" s="363"/>
      <c r="O33" s="429"/>
      <c r="P33" s="419"/>
      <c r="Q33" s="390"/>
      <c r="R33" s="390"/>
      <c r="S33" s="422"/>
      <c r="T33" s="362"/>
      <c r="U33" s="423"/>
      <c r="V33" s="423"/>
      <c r="W33" s="423"/>
      <c r="X33" s="424"/>
      <c r="Y33" s="424"/>
      <c r="Z33" s="424"/>
      <c r="AA33" s="424"/>
      <c r="AB33" s="424"/>
      <c r="AC33" s="424"/>
      <c r="AD33" s="424"/>
      <c r="AE33" s="424"/>
      <c r="AF33" s="424"/>
      <c r="AG33" s="424"/>
      <c r="AH33" s="425"/>
      <c r="AK33" s="426"/>
      <c r="AL33" s="426"/>
      <c r="AM33" s="426"/>
      <c r="AN33" s="426"/>
      <c r="AO33" s="416"/>
      <c r="AR33" s="426"/>
      <c r="AS33" s="426"/>
      <c r="AT33" s="427"/>
      <c r="AU33" s="427"/>
      <c r="AV33" s="427"/>
      <c r="AW33" s="427"/>
    </row>
    <row r="34" spans="1:66" s="200" customFormat="1" ht="18" customHeight="1" x14ac:dyDescent="0.25">
      <c r="A34" s="199"/>
      <c r="B34" s="204"/>
      <c r="C34" s="199"/>
      <c r="D34" s="201" t="str">
        <f>IF(Q34="MULTI","FGM","FGC")&amp;"-"&amp;H34&amp;"/"&amp;I34&amp;"-"&amp;TEXT(K34,"0.00")&amp;"X"&amp;IF(Q34="MULTI",N34,Q34)</f>
        <v>FGC-304/304L/2B-2.00X1250</v>
      </c>
      <c r="E34" s="201" t="s">
        <v>5571</v>
      </c>
      <c r="F34" s="173" t="s">
        <v>5572</v>
      </c>
      <c r="G34" s="201" t="s">
        <v>5573</v>
      </c>
      <c r="H34" s="201" t="s">
        <v>614</v>
      </c>
      <c r="I34" s="202" t="s">
        <v>114</v>
      </c>
      <c r="J34" s="203">
        <v>2</v>
      </c>
      <c r="K34" s="203">
        <v>2</v>
      </c>
      <c r="L34" s="203"/>
      <c r="M34" s="203"/>
      <c r="N34" s="204">
        <v>1250</v>
      </c>
      <c r="O34" s="381">
        <v>10.49</v>
      </c>
      <c r="P34" s="413"/>
      <c r="Q34" s="185">
        <v>1250</v>
      </c>
      <c r="R34" s="185"/>
      <c r="S34" s="414"/>
      <c r="T34" s="371"/>
      <c r="U34" s="206"/>
      <c r="V34" s="206"/>
      <c r="W34" s="206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7"/>
      <c r="AI34" s="208" t="s">
        <v>114</v>
      </c>
      <c r="AJ34" s="173" t="s">
        <v>1396</v>
      </c>
      <c r="AK34" s="209" t="s">
        <v>5574</v>
      </c>
      <c r="AL34" s="209"/>
      <c r="AM34" s="209">
        <v>44431</v>
      </c>
      <c r="AN34" s="209"/>
      <c r="AO34" s="199"/>
      <c r="AP34" s="208"/>
      <c r="AQ34" s="208"/>
      <c r="AR34" s="209"/>
      <c r="AS34" s="209" t="s">
        <v>5575</v>
      </c>
      <c r="AT34" s="210">
        <v>10.49</v>
      </c>
      <c r="AU34" s="210">
        <v>10.541</v>
      </c>
      <c r="AV34" s="210">
        <v>10.565999999999999</v>
      </c>
      <c r="AW34" s="210">
        <v>10.571</v>
      </c>
      <c r="AX34" s="427"/>
      <c r="AY34" s="427"/>
      <c r="BA34" s="200" t="s">
        <v>123</v>
      </c>
    </row>
    <row r="35" spans="1:66" s="200" customFormat="1" ht="18" customHeight="1" x14ac:dyDescent="0.25">
      <c r="A35" s="199"/>
      <c r="B35" s="204"/>
      <c r="C35" s="199"/>
      <c r="D35" s="201" t="str">
        <f>IF(Q35="MULTI","FGM","FGC")&amp;"-"&amp;H35&amp;"/"&amp;I35&amp;"-"&amp;TEXT(K35,"0.00")&amp;"X"&amp;IF(Q35="MULTI",N35,Q35)</f>
        <v>FGC-304/304L/2B-2.00X1250</v>
      </c>
      <c r="E35" s="201" t="s">
        <v>5571</v>
      </c>
      <c r="F35" s="173" t="s">
        <v>5576</v>
      </c>
      <c r="G35" s="201" t="s">
        <v>5577</v>
      </c>
      <c r="H35" s="201" t="s">
        <v>614</v>
      </c>
      <c r="I35" s="202" t="s">
        <v>114</v>
      </c>
      <c r="J35" s="203">
        <v>2</v>
      </c>
      <c r="K35" s="203">
        <v>2</v>
      </c>
      <c r="L35" s="203"/>
      <c r="M35" s="203"/>
      <c r="N35" s="204">
        <v>1250</v>
      </c>
      <c r="O35" s="381">
        <v>10.417999999999999</v>
      </c>
      <c r="P35" s="413"/>
      <c r="Q35" s="185">
        <v>1250</v>
      </c>
      <c r="R35" s="185"/>
      <c r="S35" s="414"/>
      <c r="T35" s="371"/>
      <c r="U35" s="206"/>
      <c r="V35" s="206"/>
      <c r="W35" s="206"/>
      <c r="X35" s="205"/>
      <c r="Y35" s="205"/>
      <c r="Z35" s="205"/>
      <c r="AA35" s="205"/>
      <c r="AB35" s="205"/>
      <c r="AC35" s="205"/>
      <c r="AD35" s="205"/>
      <c r="AE35" s="205"/>
      <c r="AF35" s="205"/>
      <c r="AG35" s="205"/>
      <c r="AH35" s="207"/>
      <c r="AI35" s="208" t="s">
        <v>114</v>
      </c>
      <c r="AJ35" s="173" t="s">
        <v>1396</v>
      </c>
      <c r="AK35" s="209" t="s">
        <v>5574</v>
      </c>
      <c r="AL35" s="209"/>
      <c r="AM35" s="209">
        <v>44431</v>
      </c>
      <c r="AN35" s="209"/>
      <c r="AO35" s="199"/>
      <c r="AP35" s="208"/>
      <c r="AQ35" s="208"/>
      <c r="AR35" s="209"/>
      <c r="AS35" s="209" t="s">
        <v>5575</v>
      </c>
      <c r="AT35" s="210">
        <v>10.417999999999999</v>
      </c>
      <c r="AU35" s="210">
        <v>10.471</v>
      </c>
      <c r="AV35" s="210">
        <v>10.495999999999999</v>
      </c>
      <c r="AW35" s="210">
        <v>10.500999999999999</v>
      </c>
      <c r="AX35" s="427"/>
      <c r="AY35" s="427"/>
      <c r="BA35" s="200" t="s">
        <v>123</v>
      </c>
    </row>
    <row r="36" spans="1:66" s="200" customFormat="1" ht="18" customHeight="1" x14ac:dyDescent="0.25">
      <c r="A36" s="199"/>
      <c r="B36" s="204"/>
      <c r="C36" s="199"/>
      <c r="D36" s="201" t="str">
        <f>IF(Q36="MULTI","FGM","FGC")&amp;"-"&amp;H36&amp;"/"&amp;I36&amp;"-"&amp;TEXT(K36,"0.00")&amp;"X"&amp;IF(Q36="MULTI",N36,Q36)</f>
        <v>FGC-304L/2B-2.00X1250</v>
      </c>
      <c r="E36" s="201" t="s">
        <v>5578</v>
      </c>
      <c r="F36" s="201" t="s">
        <v>5579</v>
      </c>
      <c r="G36" s="201" t="s">
        <v>5580</v>
      </c>
      <c r="H36" s="201" t="s">
        <v>182</v>
      </c>
      <c r="I36" s="202" t="s">
        <v>114</v>
      </c>
      <c r="J36" s="203">
        <v>2</v>
      </c>
      <c r="K36" s="203">
        <v>2</v>
      </c>
      <c r="L36" s="203"/>
      <c r="M36" s="203"/>
      <c r="N36" s="204">
        <v>1250</v>
      </c>
      <c r="O36" s="381">
        <v>10.47</v>
      </c>
      <c r="P36" s="413"/>
      <c r="Q36" s="185">
        <v>1250</v>
      </c>
      <c r="R36" s="185"/>
      <c r="S36" s="414"/>
      <c r="T36" s="371"/>
      <c r="U36" s="206"/>
      <c r="V36" s="206"/>
      <c r="W36" s="206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7"/>
      <c r="AI36" s="208" t="s">
        <v>114</v>
      </c>
      <c r="AJ36" s="208" t="s">
        <v>1396</v>
      </c>
      <c r="AK36" s="209" t="s">
        <v>5574</v>
      </c>
      <c r="AL36" s="209"/>
      <c r="AM36" s="209">
        <v>44466</v>
      </c>
      <c r="AN36" s="209"/>
      <c r="AO36" s="199">
        <f ca="1">TODAY()</f>
        <v>44958</v>
      </c>
      <c r="AP36" s="208">
        <f ca="1">IF(AM36&lt;&gt;0,AO36-AM36,0)</f>
        <v>492</v>
      </c>
      <c r="AQ36" s="208"/>
      <c r="AR36" s="209"/>
      <c r="AS36" s="209" t="s">
        <v>5581</v>
      </c>
      <c r="AT36" s="210">
        <v>10.47</v>
      </c>
      <c r="AU36" s="210">
        <v>10.525</v>
      </c>
      <c r="AV36" s="210">
        <v>10.549999999999999</v>
      </c>
      <c r="AW36" s="210">
        <v>10.555</v>
      </c>
      <c r="AX36" s="427"/>
      <c r="AY36" s="427"/>
      <c r="BA36" s="200" t="s">
        <v>123</v>
      </c>
    </row>
    <row r="37" spans="1:66" s="200" customFormat="1" ht="18" customHeight="1" x14ac:dyDescent="0.25">
      <c r="A37" s="199"/>
      <c r="B37" s="204"/>
      <c r="C37" s="199"/>
      <c r="D37" s="201" t="str">
        <f>IF(Q37="MULTI","FGM","FGC")&amp;"-"&amp;H37&amp;"/"&amp;I37&amp;"-"&amp;TEXT(K37,"0.00")&amp;"X"&amp;IF(Q37="MULTI",N37,Q37)</f>
        <v>FGC-304L/2B-2.00X1250</v>
      </c>
      <c r="E37" s="201" t="s">
        <v>5578</v>
      </c>
      <c r="F37" s="201" t="s">
        <v>5582</v>
      </c>
      <c r="G37" s="201" t="s">
        <v>5583</v>
      </c>
      <c r="H37" s="201" t="s">
        <v>182</v>
      </c>
      <c r="I37" s="202" t="s">
        <v>114</v>
      </c>
      <c r="J37" s="203">
        <v>2</v>
      </c>
      <c r="K37" s="203">
        <v>2</v>
      </c>
      <c r="L37" s="203"/>
      <c r="M37" s="203"/>
      <c r="N37" s="204">
        <v>1250</v>
      </c>
      <c r="O37" s="381">
        <v>10.513999999999999</v>
      </c>
      <c r="P37" s="413"/>
      <c r="Q37" s="185">
        <v>1250</v>
      </c>
      <c r="R37" s="185"/>
      <c r="S37" s="414"/>
      <c r="T37" s="371"/>
      <c r="U37" s="206"/>
      <c r="V37" s="206"/>
      <c r="W37" s="206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7"/>
      <c r="AI37" s="208" t="s">
        <v>114</v>
      </c>
      <c r="AJ37" s="208" t="s">
        <v>1396</v>
      </c>
      <c r="AK37" s="209" t="s">
        <v>5574</v>
      </c>
      <c r="AL37" s="209"/>
      <c r="AM37" s="209">
        <v>44466</v>
      </c>
      <c r="AN37" s="209"/>
      <c r="AO37" s="199">
        <f ca="1">TODAY()</f>
        <v>44958</v>
      </c>
      <c r="AP37" s="208">
        <f ca="1">IF(AM37&lt;&gt;0,AO37-AM37,0)</f>
        <v>492</v>
      </c>
      <c r="AQ37" s="208"/>
      <c r="AR37" s="209"/>
      <c r="AS37" s="209" t="s">
        <v>5581</v>
      </c>
      <c r="AT37" s="210">
        <v>10.513999999999999</v>
      </c>
      <c r="AU37" s="210">
        <v>10.568</v>
      </c>
      <c r="AV37" s="210">
        <v>10.592999999999998</v>
      </c>
      <c r="AW37" s="210">
        <v>10.597999999999999</v>
      </c>
      <c r="AX37" s="427"/>
      <c r="AY37" s="427"/>
      <c r="BA37" s="200" t="s">
        <v>123</v>
      </c>
    </row>
    <row r="38" spans="1:66" s="200" customFormat="1" ht="18" customHeight="1" x14ac:dyDescent="0.25">
      <c r="A38" s="199"/>
      <c r="B38" s="204">
        <f ca="1">IF(A38="",(IF(ISNUMBER(SUBSTITUTE(LEFT(RIGHT(E38,LEN(E38)-MIN(SEARCH({1,2,3,4,5,6,7,8,9,0},E38&amp;"1234567890"))+1),10),".","/"))=TRUE,AO38-(SUBSTITUTE(LEFT(RIGHT(E38,LEN(E38)-MIN(SEARCH({1,2,3,4,5,6,7,8,9,0},E38&amp;"1234567890"))+1),10),".","/")),IF((SUBSTITUTE(LEFT(RIGHT(E38,LEN(E38)-MIN(SEARCH({1,2,3,4,5,6,7,8,9,0},E38&amp;"1234567890"))+1),10),".","/"))="","",(AO38)-(MID(RIGHT((SUBSTITUTE(LEFT(RIGHT(E38,LEN(E38)-MIN(SEARCH({1,2,3,4,5,6,7,8,9,0},E38&amp;"1234567890"))+1),10),".","/")),10),4,2)&amp;"/"&amp;LEFT((RIGHT((SUBSTITUTE(LEFT(RIGHT(E38,LEN(E38)-MIN(SEARCH({1,2,3,4,5,6,7,8,9,0},E38&amp;"1234567890"))+1),10),".","/")),10)),2)&amp;"/"&amp;RIGHT((SUBSTITUTE(LEFT(RIGHT(E38,LEN(E38)-MIN(SEARCH({1,2,3,4,5,6,7,8,9,0},E38&amp;"1234567890"))+1),10),".","/")),4))))),(AO38-A38))</f>
        <v>442</v>
      </c>
      <c r="C38" s="199"/>
      <c r="D38" s="201" t="str">
        <f>IF(Q38="MULTI","FGM","FGC")&amp;"-"&amp;H38&amp;"/"&amp;I38&amp;"-"&amp;TEXT(K38,"0.00")&amp;"X"&amp;IF(Q38="MULTI",N38,Q38)</f>
        <v>FGC-304L/2B-2.00X1219</v>
      </c>
      <c r="E38" s="201" t="s">
        <v>5584</v>
      </c>
      <c r="F38" s="201" t="s">
        <v>5585</v>
      </c>
      <c r="G38" s="201" t="s">
        <v>5586</v>
      </c>
      <c r="H38" s="201" t="s">
        <v>182</v>
      </c>
      <c r="I38" s="202" t="s">
        <v>114</v>
      </c>
      <c r="J38" s="203">
        <v>2</v>
      </c>
      <c r="K38" s="203">
        <v>2</v>
      </c>
      <c r="L38" s="203"/>
      <c r="M38" s="203"/>
      <c r="N38" s="204">
        <v>1219</v>
      </c>
      <c r="O38" s="381">
        <v>13.968</v>
      </c>
      <c r="P38" s="413"/>
      <c r="Q38" s="185">
        <v>1219</v>
      </c>
      <c r="R38" s="185"/>
      <c r="S38" s="414"/>
      <c r="T38" s="371"/>
      <c r="U38" s="206"/>
      <c r="V38" s="180" t="s">
        <v>5587</v>
      </c>
      <c r="W38" s="18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7"/>
      <c r="AI38" s="208" t="s">
        <v>114</v>
      </c>
      <c r="AJ38" s="208" t="s">
        <v>1396</v>
      </c>
      <c r="AK38" s="209" t="s">
        <v>5588</v>
      </c>
      <c r="AL38" s="209"/>
      <c r="AM38" s="209">
        <v>44516</v>
      </c>
      <c r="AN38" s="209"/>
      <c r="AO38" s="199">
        <f ca="1">TODAY()</f>
        <v>44958</v>
      </c>
      <c r="AP38" s="208">
        <f ca="1">IF(AM38&lt;&gt;0,AO38-AM38,0)</f>
        <v>442</v>
      </c>
      <c r="AQ38" s="208" t="str">
        <f>IF(ISNUMBER(AB38)=TRUE,AO38-AB38,IF(AB38="","",(AO38)-(MID(RIGHT(AB38,10),4,2)&amp;"/"&amp;LEFT((RIGHT(AB38,10)),2)&amp;"/"&amp;RIGHT(AB38,4))))</f>
        <v/>
      </c>
      <c r="AR38" s="209"/>
      <c r="AS38" s="209" t="s">
        <v>5589</v>
      </c>
      <c r="AT38" s="210">
        <v>13.968</v>
      </c>
      <c r="AU38" s="210">
        <v>14.037000000000001</v>
      </c>
      <c r="AV38" s="210">
        <v>14.061999999999999</v>
      </c>
      <c r="AW38" s="210">
        <v>14.067</v>
      </c>
      <c r="AX38" s="427"/>
      <c r="AY38" s="427"/>
      <c r="BA38" s="200" t="s">
        <v>123</v>
      </c>
    </row>
    <row r="39" spans="1:66" s="200" customFormat="1" ht="20.25" customHeight="1" x14ac:dyDescent="0.25">
      <c r="A39" s="416"/>
      <c r="B39" s="416"/>
      <c r="C39" s="361"/>
      <c r="D39" s="361"/>
      <c r="F39" s="361"/>
      <c r="G39" s="361"/>
      <c r="H39" s="361"/>
      <c r="I39" s="336"/>
      <c r="J39" s="417"/>
      <c r="K39" s="417"/>
      <c r="L39" s="417"/>
      <c r="M39" s="417"/>
      <c r="N39" s="363"/>
      <c r="O39" s="429">
        <f>SUM(O34:O38)</f>
        <v>55.86</v>
      </c>
      <c r="P39" s="419"/>
      <c r="Q39" s="363"/>
      <c r="R39" s="390"/>
      <c r="S39" s="419"/>
      <c r="T39" s="419"/>
      <c r="U39" s="215"/>
      <c r="V39" s="423"/>
      <c r="W39" s="423"/>
      <c r="X39" s="424"/>
      <c r="Y39" s="424"/>
      <c r="Z39" s="424"/>
      <c r="AA39" s="424"/>
      <c r="AB39" s="424"/>
      <c r="AC39" s="424"/>
      <c r="AD39" s="424"/>
      <c r="AE39" s="424"/>
      <c r="AF39" s="424"/>
      <c r="AG39" s="424"/>
      <c r="AH39" s="425"/>
      <c r="AK39" s="426"/>
      <c r="AL39" s="426"/>
      <c r="AM39" s="426"/>
      <c r="AN39" s="426"/>
      <c r="AO39" s="416"/>
      <c r="AR39" s="426"/>
      <c r="AS39" s="426"/>
      <c r="AT39" s="427"/>
      <c r="AU39" s="427"/>
      <c r="AV39" s="427"/>
      <c r="AW39" s="427"/>
    </row>
    <row r="40" spans="1:66" s="200" customFormat="1" ht="20.25" customHeight="1" x14ac:dyDescent="0.25">
      <c r="A40" s="416"/>
      <c r="B40" s="416"/>
      <c r="C40" s="361"/>
      <c r="D40" s="361"/>
      <c r="F40" s="361"/>
      <c r="G40" s="361"/>
      <c r="H40" s="361"/>
      <c r="I40" s="336"/>
      <c r="J40" s="417"/>
      <c r="K40" s="417"/>
      <c r="L40" s="417"/>
      <c r="M40" s="417"/>
      <c r="N40" s="363"/>
      <c r="O40" s="429"/>
      <c r="P40" s="419"/>
      <c r="Q40" s="363"/>
      <c r="R40" s="390"/>
      <c r="S40" s="419"/>
      <c r="T40" s="419"/>
      <c r="U40" s="215"/>
      <c r="V40" s="423"/>
      <c r="W40" s="423"/>
      <c r="X40" s="424"/>
      <c r="Y40" s="424"/>
      <c r="Z40" s="424"/>
      <c r="AA40" s="424"/>
      <c r="AB40" s="424"/>
      <c r="AC40" s="424"/>
      <c r="AD40" s="424"/>
      <c r="AE40" s="424"/>
      <c r="AF40" s="424"/>
      <c r="AG40" s="424"/>
      <c r="AH40" s="425"/>
      <c r="AK40" s="426"/>
      <c r="AL40" s="426"/>
      <c r="AM40" s="426"/>
      <c r="AN40" s="426"/>
      <c r="AO40" s="416"/>
      <c r="AR40" s="426"/>
      <c r="AS40" s="426"/>
      <c r="AT40" s="427"/>
      <c r="AU40" s="427"/>
      <c r="AV40" s="427"/>
      <c r="AW40" s="427"/>
    </row>
    <row r="41" spans="1:66" s="200" customFormat="1" ht="20.25" customHeight="1" x14ac:dyDescent="0.25">
      <c r="A41" s="428" t="s">
        <v>295</v>
      </c>
      <c r="B41" s="416"/>
      <c r="C41" s="361"/>
      <c r="D41" s="361"/>
      <c r="F41" s="361"/>
      <c r="G41" s="361"/>
      <c r="H41" s="361"/>
      <c r="I41" s="336"/>
      <c r="J41" s="417"/>
      <c r="K41" s="417"/>
      <c r="L41" s="417"/>
      <c r="M41" s="417"/>
      <c r="N41" s="363"/>
      <c r="O41" s="429"/>
      <c r="P41" s="419"/>
      <c r="Q41" s="363"/>
      <c r="R41" s="390"/>
      <c r="S41" s="419"/>
      <c r="T41" s="419"/>
      <c r="U41" s="215"/>
      <c r="V41" s="423"/>
      <c r="W41" s="423"/>
      <c r="X41" s="424"/>
      <c r="Y41" s="424"/>
      <c r="Z41" s="424"/>
      <c r="AA41" s="424"/>
      <c r="AB41" s="424"/>
      <c r="AC41" s="424"/>
      <c r="AD41" s="424"/>
      <c r="AE41" s="424"/>
      <c r="AF41" s="424"/>
      <c r="AG41" s="424"/>
      <c r="AH41" s="425"/>
      <c r="AK41" s="426"/>
      <c r="AL41" s="426"/>
      <c r="AM41" s="426"/>
      <c r="AN41" s="426"/>
      <c r="AO41" s="416"/>
      <c r="AR41" s="426"/>
      <c r="AS41" s="426"/>
      <c r="AT41" s="427"/>
      <c r="AU41" s="427"/>
      <c r="AV41" s="427"/>
      <c r="AW41" s="427"/>
    </row>
    <row r="42" spans="1:66" s="200" customFormat="1" ht="18.75" customHeight="1" x14ac:dyDescent="0.25">
      <c r="A42" s="199">
        <v>44770</v>
      </c>
      <c r="B42" s="204">
        <f ca="1">IF(A42="",(IF(ISNUMBER(SUBSTITUTE(LEFT(RIGHT(E42,LEN(E42)-MIN(SEARCH({1,2,3,4,5,6,7,8,9,0},E42&amp;"1234567890"))+1),10),".","/"))=TRUE,AO42-(SUBSTITUTE(LEFT(RIGHT(E42,LEN(E42)-MIN(SEARCH({1,2,3,4,5,6,7,8,9,0},E42&amp;"1234567890"))+1),10),".","/")),IF((SUBSTITUTE(LEFT(RIGHT(E42,LEN(E42)-MIN(SEARCH({1,2,3,4,5,6,7,8,9,0},E42&amp;"1234567890"))+1),10),".","/"))="","",(AO42)-(MID(RIGHT((SUBSTITUTE(LEFT(RIGHT(E42,LEN(E42)-MIN(SEARCH({1,2,3,4,5,6,7,8,9,0},E42&amp;"1234567890"))+1),10),".","/")),10),4,2)&amp;"/"&amp;LEFT((RIGHT((SUBSTITUTE(LEFT(RIGHT(E42,LEN(E42)-MIN(SEARCH({1,2,3,4,5,6,7,8,9,0},E42&amp;"1234567890"))+1),10),".","/")),10)),2)&amp;"/"&amp;RIGHT((SUBSTITUTE(LEFT(RIGHT(E42,LEN(E42)-MIN(SEARCH({1,2,3,4,5,6,7,8,9,0},E42&amp;"1234567890"))+1),10),".","/")),4))))),(AO42-A42))</f>
        <v>188</v>
      </c>
      <c r="C42" s="199"/>
      <c r="D42" s="201" t="str">
        <f>IF(Q42="MULTI","FGM","FGC")&amp;"-"&amp;H42&amp;"/"&amp;I42&amp;"-"&amp;TEXT(K42,"0.00")&amp;"X"&amp;IF(Q42="MULTI",N42,Q42)</f>
        <v>FGM-J3/2B-0.75X620</v>
      </c>
      <c r="E42" s="201" t="s">
        <v>5590</v>
      </c>
      <c r="F42" s="201" t="s">
        <v>5591</v>
      </c>
      <c r="G42" s="201" t="s">
        <v>5592</v>
      </c>
      <c r="H42" s="201" t="s">
        <v>34</v>
      </c>
      <c r="I42" s="202" t="s">
        <v>114</v>
      </c>
      <c r="J42" s="203">
        <v>2.2000000000000002</v>
      </c>
      <c r="K42" s="203">
        <v>0.75</v>
      </c>
      <c r="L42" s="203">
        <v>0.74</v>
      </c>
      <c r="M42" s="203">
        <v>0.77</v>
      </c>
      <c r="N42" s="204">
        <v>620</v>
      </c>
      <c r="O42" s="381">
        <f>4.88</f>
        <v>4.88</v>
      </c>
      <c r="P42" s="413">
        <v>4.915</v>
      </c>
      <c r="Q42" s="185" t="s">
        <v>5124</v>
      </c>
      <c r="R42" s="430">
        <v>612.9</v>
      </c>
      <c r="S42" s="414"/>
      <c r="T42" s="371" t="s">
        <v>5593</v>
      </c>
      <c r="U42" s="206" t="s">
        <v>295</v>
      </c>
      <c r="V42" s="206"/>
      <c r="W42" s="185" t="s">
        <v>114</v>
      </c>
      <c r="X42" s="205">
        <v>44749</v>
      </c>
      <c r="Y42" s="205"/>
      <c r="Z42" s="205">
        <v>44754</v>
      </c>
      <c r="AA42" s="205"/>
      <c r="AB42" s="205">
        <v>44756</v>
      </c>
      <c r="AC42" s="205"/>
      <c r="AD42" s="205"/>
      <c r="AE42" s="205"/>
      <c r="AF42" s="205"/>
      <c r="AG42" s="205"/>
      <c r="AH42" s="207"/>
      <c r="AI42" s="208" t="s">
        <v>69</v>
      </c>
      <c r="AJ42" s="208" t="s">
        <v>119</v>
      </c>
      <c r="AK42" s="209" t="s">
        <v>994</v>
      </c>
      <c r="AL42" s="209">
        <v>44713</v>
      </c>
      <c r="AM42" s="209">
        <v>44747</v>
      </c>
      <c r="AN42" s="209"/>
      <c r="AO42" s="199">
        <f ca="1">TODAY()</f>
        <v>44958</v>
      </c>
      <c r="AP42" s="208">
        <f ca="1">IF(AM42&lt;&gt;0,AO42-AM42,0)</f>
        <v>211</v>
      </c>
      <c r="AQ42" s="208">
        <f ca="1">IF(ISNUMBER(AB42)=TRUE,AO42-AB42,IF(AB42="","",(AO42)-(MID(RIGHT(AB42,10),4,2)&amp;"/"&amp;LEFT((RIGHT(AB42,10)),2)&amp;"/"&amp;RIGHT(AB42,4))))</f>
        <v>202</v>
      </c>
      <c r="AR42" s="209" t="s">
        <v>1023</v>
      </c>
      <c r="AS42" s="209" t="s">
        <v>1007</v>
      </c>
      <c r="AT42" s="210">
        <v>10.09</v>
      </c>
      <c r="AU42" s="210">
        <v>10.11</v>
      </c>
      <c r="AV42" s="210">
        <v>10.134999999999998</v>
      </c>
      <c r="AW42" s="210">
        <v>10.139999999999999</v>
      </c>
      <c r="AX42" s="200">
        <f ca="1">IF(ISNUMBER(Z42)=TRUE,AO42-Z42,IF(Z42="","",(AO42)-(MID(RIGHT(Z42,10),4,2)&amp;"/"&amp;LEFT((RIGHT(Z42,10)),2)&amp;"/"&amp;RIGHT(Z42,4))))</f>
        <v>204</v>
      </c>
      <c r="AY42" s="200">
        <v>442</v>
      </c>
      <c r="BA42" s="200" t="s">
        <v>123</v>
      </c>
      <c r="BN42" s="211"/>
    </row>
    <row r="43" spans="1:66" s="200" customFormat="1" ht="18.75" customHeight="1" x14ac:dyDescent="0.25">
      <c r="A43" s="199">
        <v>44770</v>
      </c>
      <c r="B43" s="204">
        <f ca="1">IF(A43="",(IF(ISNUMBER(SUBSTITUTE(LEFT(RIGHT(E43,LEN(E43)-MIN(SEARCH({1,2,3,4,5,6,7,8,9,0},E43&amp;"1234567890"))+1),10),".","/"))=TRUE,AO43-(SUBSTITUTE(LEFT(RIGHT(E43,LEN(E43)-MIN(SEARCH({1,2,3,4,5,6,7,8,9,0},E43&amp;"1234567890"))+1),10),".","/")),IF((SUBSTITUTE(LEFT(RIGHT(E43,LEN(E43)-MIN(SEARCH({1,2,3,4,5,6,7,8,9,0},E43&amp;"1234567890"))+1),10),".","/"))="","",(AO43)-(MID(RIGHT((SUBSTITUTE(LEFT(RIGHT(E43,LEN(E43)-MIN(SEARCH({1,2,3,4,5,6,7,8,9,0},E43&amp;"1234567890"))+1),10),".","/")),10),4,2)&amp;"/"&amp;LEFT((RIGHT((SUBSTITUTE(LEFT(RIGHT(E43,LEN(E43)-MIN(SEARCH({1,2,3,4,5,6,7,8,9,0},E43&amp;"1234567890"))+1),10),".","/")),10)),2)&amp;"/"&amp;RIGHT((SUBSTITUTE(LEFT(RIGHT(E43,LEN(E43)-MIN(SEARCH({1,2,3,4,5,6,7,8,9,0},E43&amp;"1234567890"))+1),10),".","/")),4))))),(AO43-A43))</f>
        <v>188</v>
      </c>
      <c r="C43" s="199"/>
      <c r="D43" s="201" t="str">
        <f>IF(Q43="MULTI","FGM","FGC")&amp;"-"&amp;H43&amp;"/"&amp;I43&amp;"-"&amp;TEXT(K43,"0.00")&amp;"X"&amp;IF(Q43="MULTI",N43,Q43)</f>
        <v>FGM-J3/2B-0.75X620</v>
      </c>
      <c r="E43" s="201" t="s">
        <v>5590</v>
      </c>
      <c r="F43" s="201" t="s">
        <v>5591</v>
      </c>
      <c r="G43" s="201" t="s">
        <v>5594</v>
      </c>
      <c r="H43" s="201" t="s">
        <v>34</v>
      </c>
      <c r="I43" s="202" t="s">
        <v>114</v>
      </c>
      <c r="J43" s="203">
        <v>2.2000000000000002</v>
      </c>
      <c r="K43" s="203">
        <v>0.75</v>
      </c>
      <c r="L43" s="203">
        <v>0.74</v>
      </c>
      <c r="M43" s="203">
        <v>0.77</v>
      </c>
      <c r="N43" s="204">
        <v>620</v>
      </c>
      <c r="O43" s="381">
        <v>4.87</v>
      </c>
      <c r="P43" s="413">
        <v>4.93</v>
      </c>
      <c r="Q43" s="185" t="s">
        <v>5124</v>
      </c>
      <c r="R43" s="430">
        <v>612.9</v>
      </c>
      <c r="S43" s="414"/>
      <c r="T43" s="371" t="s">
        <v>5593</v>
      </c>
      <c r="U43" s="206" t="s">
        <v>295</v>
      </c>
      <c r="V43" s="206"/>
      <c r="W43" s="185" t="s">
        <v>114</v>
      </c>
      <c r="X43" s="205">
        <v>44749</v>
      </c>
      <c r="Y43" s="205"/>
      <c r="Z43" s="205">
        <v>44754</v>
      </c>
      <c r="AA43" s="205"/>
      <c r="AB43" s="205">
        <v>44756</v>
      </c>
      <c r="AC43" s="205"/>
      <c r="AD43" s="205"/>
      <c r="AE43" s="205"/>
      <c r="AF43" s="205"/>
      <c r="AG43" s="205"/>
      <c r="AH43" s="207"/>
      <c r="AI43" s="208" t="s">
        <v>69</v>
      </c>
      <c r="AJ43" s="208" t="s">
        <v>119</v>
      </c>
      <c r="AK43" s="209" t="s">
        <v>994</v>
      </c>
      <c r="AL43" s="209">
        <v>44713</v>
      </c>
      <c r="AM43" s="209">
        <v>44747</v>
      </c>
      <c r="AN43" s="209"/>
      <c r="AO43" s="199">
        <f ca="1">TODAY()</f>
        <v>44958</v>
      </c>
      <c r="AP43" s="208">
        <f ca="1">IF(AM43&lt;&gt;0,AO43-AM43,0)</f>
        <v>211</v>
      </c>
      <c r="AQ43" s="208">
        <f ca="1">IF(ISNUMBER(AB43)=TRUE,AO43-AB43,IF(AB43="","",(AO43)-(MID(RIGHT(AB43,10),4,2)&amp;"/"&amp;LEFT((RIGHT(AB43,10)),2)&amp;"/"&amp;RIGHT(AB43,4))))</f>
        <v>202</v>
      </c>
      <c r="AR43" s="209" t="s">
        <v>1023</v>
      </c>
      <c r="AS43" s="209" t="s">
        <v>1007</v>
      </c>
      <c r="AT43" s="210">
        <v>10.09</v>
      </c>
      <c r="AU43" s="210">
        <v>10.11</v>
      </c>
      <c r="AV43" s="210">
        <v>10.134999999999998</v>
      </c>
      <c r="AW43" s="210">
        <v>10.139999999999999</v>
      </c>
      <c r="AX43" s="200">
        <f ca="1">IF(ISNUMBER(Z43)=TRUE,AO43-Z43,IF(Z43="","",(AO43)-(MID(RIGHT(Z43,10),4,2)&amp;"/"&amp;LEFT((RIGHT(Z43,10)),2)&amp;"/"&amp;RIGHT(Z43,4))))</f>
        <v>204</v>
      </c>
      <c r="AY43" s="200">
        <v>442</v>
      </c>
      <c r="BA43" s="200" t="s">
        <v>123</v>
      </c>
      <c r="BN43" s="211"/>
    </row>
    <row r="44" spans="1:66" s="200" customFormat="1" ht="18.75" customHeight="1" x14ac:dyDescent="0.25">
      <c r="A44" s="199">
        <v>44770</v>
      </c>
      <c r="B44" s="204">
        <f ca="1">IF(A44="",(IF(ISNUMBER(SUBSTITUTE(LEFT(RIGHT(E44,LEN(E44)-MIN(SEARCH({1,2,3,4,5,6,7,8,9,0},E44&amp;"1234567890"))+1),10),".","/"))=TRUE,AO44-(SUBSTITUTE(LEFT(RIGHT(E44,LEN(E44)-MIN(SEARCH({1,2,3,4,5,6,7,8,9,0},E44&amp;"1234567890"))+1),10),".","/")),IF((SUBSTITUTE(LEFT(RIGHT(E44,LEN(E44)-MIN(SEARCH({1,2,3,4,5,6,7,8,9,0},E44&amp;"1234567890"))+1),10),".","/"))="","",(AO44)-(MID(RIGHT((SUBSTITUTE(LEFT(RIGHT(E44,LEN(E44)-MIN(SEARCH({1,2,3,4,5,6,7,8,9,0},E44&amp;"1234567890"))+1),10),".","/")),10),4,2)&amp;"/"&amp;LEFT((RIGHT((SUBSTITUTE(LEFT(RIGHT(E44,LEN(E44)-MIN(SEARCH({1,2,3,4,5,6,7,8,9,0},E44&amp;"1234567890"))+1),10),".","/")),10)),2)&amp;"/"&amp;RIGHT((SUBSTITUTE(LEFT(RIGHT(E44,LEN(E44)-MIN(SEARCH({1,2,3,4,5,6,7,8,9,0},E44&amp;"1234567890"))+1),10),".","/")),4))))),(AO44-A44))</f>
        <v>188</v>
      </c>
      <c r="C44" s="199"/>
      <c r="D44" s="201" t="str">
        <f>IF(Q44="MULTI","FGM","FGC")&amp;"-"&amp;H44&amp;"/"&amp;I44&amp;"-"&amp;TEXT(K44,"0.00")&amp;"X"&amp;IF(Q44="MULTI",N44,Q44)</f>
        <v>FGM-J3/2B-0.75X620</v>
      </c>
      <c r="E44" s="201" t="s">
        <v>5590</v>
      </c>
      <c r="F44" s="201" t="s">
        <v>5595</v>
      </c>
      <c r="G44" s="201" t="s">
        <v>5596</v>
      </c>
      <c r="H44" s="201" t="s">
        <v>34</v>
      </c>
      <c r="I44" s="202" t="s">
        <v>114</v>
      </c>
      <c r="J44" s="203">
        <v>2.2000000000000002</v>
      </c>
      <c r="K44" s="203">
        <v>0.75</v>
      </c>
      <c r="L44" s="203">
        <v>0.74</v>
      </c>
      <c r="M44" s="203">
        <v>0.76</v>
      </c>
      <c r="N44" s="204">
        <v>620</v>
      </c>
      <c r="O44" s="381">
        <v>4.7750000000000004</v>
      </c>
      <c r="P44" s="413">
        <v>4.8150000000000004</v>
      </c>
      <c r="Q44" s="185" t="s">
        <v>5124</v>
      </c>
      <c r="R44" s="430">
        <v>612.9</v>
      </c>
      <c r="S44" s="414"/>
      <c r="T44" s="371" t="s">
        <v>5593</v>
      </c>
      <c r="U44" s="206" t="s">
        <v>295</v>
      </c>
      <c r="V44" s="206"/>
      <c r="W44" s="185" t="s">
        <v>114</v>
      </c>
      <c r="X44" s="205">
        <v>44747</v>
      </c>
      <c r="Y44" s="205"/>
      <c r="Z44" s="205">
        <v>44747</v>
      </c>
      <c r="AA44" s="205"/>
      <c r="AB44" s="205">
        <v>44748</v>
      </c>
      <c r="AC44" s="205"/>
      <c r="AD44" s="205"/>
      <c r="AE44" s="205"/>
      <c r="AF44" s="205"/>
      <c r="AG44" s="205"/>
      <c r="AH44" s="207"/>
      <c r="AI44" s="208" t="s">
        <v>69</v>
      </c>
      <c r="AJ44" s="208" t="s">
        <v>248</v>
      </c>
      <c r="AK44" s="209" t="s">
        <v>924</v>
      </c>
      <c r="AL44" s="209">
        <v>44697</v>
      </c>
      <c r="AM44" s="209">
        <v>44721</v>
      </c>
      <c r="AN44" s="209"/>
      <c r="AO44" s="199">
        <f ca="1">TODAY()</f>
        <v>44958</v>
      </c>
      <c r="AP44" s="208">
        <f ca="1">IF(AM44&lt;&gt;0,AO44-AM44,0)</f>
        <v>237</v>
      </c>
      <c r="AQ44" s="208">
        <f ca="1">IF(ISNUMBER(AB44)=TRUE,AO44-AB44,IF(AB44="","",(AO44)-(MID(RIGHT(AB44,10),4,2)&amp;"/"&amp;LEFT((RIGHT(AB44,10)),2)&amp;"/"&amp;RIGHT(AB44,4))))</f>
        <v>210</v>
      </c>
      <c r="AR44" s="209" t="s">
        <v>939</v>
      </c>
      <c r="AS44" s="209" t="s">
        <v>934</v>
      </c>
      <c r="AT44" s="210">
        <v>9.9600000000000009</v>
      </c>
      <c r="AU44" s="210">
        <v>10</v>
      </c>
      <c r="AV44" s="210">
        <v>10.024999999999999</v>
      </c>
      <c r="AW44" s="210">
        <v>10.029999999999999</v>
      </c>
      <c r="AX44" s="200">
        <f ca="1">IF(ISNUMBER(Z44)=TRUE,AO44-Z44,IF(Z44="","",(AO44)-(MID(RIGHT(Z44,10),4,2)&amp;"/"&amp;LEFT((RIGHT(Z44,10)),2)&amp;"/"&amp;RIGHT(Z44,4))))</f>
        <v>211</v>
      </c>
      <c r="AY44" s="200">
        <v>440</v>
      </c>
      <c r="BA44" s="200" t="s">
        <v>123</v>
      </c>
      <c r="BN44" s="211"/>
    </row>
    <row r="45" spans="1:66" s="200" customFormat="1" ht="18.600000000000001" customHeight="1" x14ac:dyDescent="0.25">
      <c r="A45" s="199">
        <v>44821</v>
      </c>
      <c r="B45" s="204">
        <f ca="1">IF(A45="",(IF(ISNUMBER(SUBSTITUTE(LEFT(RIGHT(E45,LEN(E45)-MIN(SEARCH({1,2,3,4,5,6,7,8,9,0},E45&amp;"1234567890"))+1),10),".","/"))=TRUE,AO45-(SUBSTITUTE(LEFT(RIGHT(E45,LEN(E45)-MIN(SEARCH({1,2,3,4,5,6,7,8,9,0},E45&amp;"1234567890"))+1),10),".","/")),IF((SUBSTITUTE(LEFT(RIGHT(E45,LEN(E45)-MIN(SEARCH({1,2,3,4,5,6,7,8,9,0},E45&amp;"1234567890"))+1),10),".","/"))="","",(AO45)-(MID(RIGHT((SUBSTITUTE(LEFT(RIGHT(E45,LEN(E45)-MIN(SEARCH({1,2,3,4,5,6,7,8,9,0},E45&amp;"1234567890"))+1),10),".","/")),10),4,2)&amp;"/"&amp;LEFT((RIGHT((SUBSTITUTE(LEFT(RIGHT(E45,LEN(E45)-MIN(SEARCH({1,2,3,4,5,6,7,8,9,0},E45&amp;"1234567890"))+1),10),".","/")),10)),2)&amp;"/"&amp;RIGHT((SUBSTITUTE(LEFT(RIGHT(E45,LEN(E45)-MIN(SEARCH({1,2,3,4,5,6,7,8,9,0},E45&amp;"1234567890"))+1),10),".","/")),4))))),(AO45-A45))</f>
        <v>137</v>
      </c>
      <c r="C45" s="199"/>
      <c r="D45" s="201" t="str">
        <f>IF(Q45="MULTI","FGM","FGC")&amp;"-"&amp;H45&amp;"/"&amp;I45&amp;"-"&amp;TEXT(K45,"0.00")&amp;"X"&amp;IF(Q45="MULTI",N45,Q45)</f>
        <v>FGM-J3/2B-0.75X620</v>
      </c>
      <c r="E45" s="201" t="s">
        <v>5597</v>
      </c>
      <c r="F45" s="201" t="s">
        <v>5598</v>
      </c>
      <c r="G45" s="201" t="s">
        <v>5599</v>
      </c>
      <c r="H45" s="201" t="s">
        <v>34</v>
      </c>
      <c r="I45" s="202" t="s">
        <v>114</v>
      </c>
      <c r="J45" s="203">
        <v>2.2000000000000002</v>
      </c>
      <c r="K45" s="203">
        <v>0.75</v>
      </c>
      <c r="L45" s="203">
        <v>0.74</v>
      </c>
      <c r="M45" s="203">
        <v>0.76</v>
      </c>
      <c r="N45" s="204">
        <v>620</v>
      </c>
      <c r="O45" s="381">
        <f>4.945</f>
        <v>4.9450000000000003</v>
      </c>
      <c r="P45" s="413">
        <v>4.9800000000000004</v>
      </c>
      <c r="Q45" s="185" t="s">
        <v>5124</v>
      </c>
      <c r="R45" s="430">
        <v>610.1</v>
      </c>
      <c r="S45" s="414"/>
      <c r="T45" s="371" t="s">
        <v>5593</v>
      </c>
      <c r="U45" s="206" t="s">
        <v>295</v>
      </c>
      <c r="V45" s="206"/>
      <c r="W45" s="185" t="s">
        <v>114</v>
      </c>
      <c r="X45" s="205">
        <v>44732</v>
      </c>
      <c r="Y45" s="205"/>
      <c r="Z45" s="205">
        <v>44733</v>
      </c>
      <c r="AA45" s="205"/>
      <c r="AB45" s="205">
        <v>44747</v>
      </c>
      <c r="AC45" s="205"/>
      <c r="AD45" s="205"/>
      <c r="AE45" s="205"/>
      <c r="AF45" s="205"/>
      <c r="AG45" s="205"/>
      <c r="AH45" s="207"/>
      <c r="AI45" s="208" t="s">
        <v>69</v>
      </c>
      <c r="AJ45" s="208" t="s">
        <v>119</v>
      </c>
      <c r="AK45" s="209" t="s">
        <v>891</v>
      </c>
      <c r="AL45" s="209">
        <v>44667</v>
      </c>
      <c r="AM45" s="209">
        <v>44706</v>
      </c>
      <c r="AN45" s="209"/>
      <c r="AO45" s="199">
        <f ca="1">TODAY()</f>
        <v>44958</v>
      </c>
      <c r="AP45" s="208">
        <f ca="1">IF(AM45&lt;&gt;0,AO45-AM45,0)</f>
        <v>252</v>
      </c>
      <c r="AQ45" s="208">
        <f ca="1">IF(ISNUMBER(AB45)=TRUE,AO45-AB45,IF(AB45="","",(AO45)-(MID(RIGHT(AB45,10),4,2)&amp;"/"&amp;LEFT((RIGHT(AB45,10)),2)&amp;"/"&amp;RIGHT(AB45,4))))</f>
        <v>211</v>
      </c>
      <c r="AR45" s="209" t="s">
        <v>5600</v>
      </c>
      <c r="AS45" s="209" t="s">
        <v>5601</v>
      </c>
      <c r="AT45" s="210">
        <v>10.093999999999999</v>
      </c>
      <c r="AU45" s="210">
        <v>10.113999999999999</v>
      </c>
      <c r="AV45" s="210">
        <v>10.138999999999998</v>
      </c>
      <c r="AW45" s="210">
        <v>10.143999999999998</v>
      </c>
      <c r="AX45" s="200">
        <f ca="1">IF(ISNUMBER(Z45)=TRUE,AO45-Z45,IF(Z45="","",(AO45)-(MID(RIGHT(Z45,10),4,2)&amp;"/"&amp;LEFT((RIGHT(Z45,10)),2)&amp;"/"&amp;RIGHT(Z45,4))))</f>
        <v>225</v>
      </c>
      <c r="AY45" s="200">
        <v>437</v>
      </c>
      <c r="BA45" s="200" t="s">
        <v>123</v>
      </c>
      <c r="BN45" s="211"/>
    </row>
    <row r="46" spans="1:66" s="200" customFormat="1" ht="18.600000000000001" customHeight="1" x14ac:dyDescent="0.25">
      <c r="A46" s="199">
        <v>44821</v>
      </c>
      <c r="B46" s="204">
        <f ca="1">IF(A46="",(IF(ISNUMBER(SUBSTITUTE(LEFT(RIGHT(E46,LEN(E46)-MIN(SEARCH({1,2,3,4,5,6,7,8,9,0},E46&amp;"1234567890"))+1),10),".","/"))=TRUE,AO46-(SUBSTITUTE(LEFT(RIGHT(E46,LEN(E46)-MIN(SEARCH({1,2,3,4,5,6,7,8,9,0},E46&amp;"1234567890"))+1),10),".","/")),IF((SUBSTITUTE(LEFT(RIGHT(E46,LEN(E46)-MIN(SEARCH({1,2,3,4,5,6,7,8,9,0},E46&amp;"1234567890"))+1),10),".","/"))="","",(AO46)-(MID(RIGHT((SUBSTITUTE(LEFT(RIGHT(E46,LEN(E46)-MIN(SEARCH({1,2,3,4,5,6,7,8,9,0},E46&amp;"1234567890"))+1),10),".","/")),10),4,2)&amp;"/"&amp;LEFT((RIGHT((SUBSTITUTE(LEFT(RIGHT(E46,LEN(E46)-MIN(SEARCH({1,2,3,4,5,6,7,8,9,0},E46&amp;"1234567890"))+1),10),".","/")),10)),2)&amp;"/"&amp;RIGHT((SUBSTITUTE(LEFT(RIGHT(E46,LEN(E46)-MIN(SEARCH({1,2,3,4,5,6,7,8,9,0},E46&amp;"1234567890"))+1),10),".","/")),4))))),(AO46-A46))</f>
        <v>137</v>
      </c>
      <c r="C46" s="199"/>
      <c r="D46" s="201" t="str">
        <f>IF(Q46="MULTI","FGM","FGC")&amp;"-"&amp;H46&amp;"/"&amp;I46&amp;"-"&amp;TEXT(K46,"0.00")&amp;"X"&amp;IF(Q46="MULTI",N46,Q46)</f>
        <v>FGM-J3/2B-0.75X620</v>
      </c>
      <c r="E46" s="201" t="s">
        <v>5597</v>
      </c>
      <c r="F46" s="201" t="s">
        <v>5598</v>
      </c>
      <c r="G46" s="201" t="s">
        <v>5602</v>
      </c>
      <c r="H46" s="201" t="s">
        <v>34</v>
      </c>
      <c r="I46" s="202" t="s">
        <v>114</v>
      </c>
      <c r="J46" s="203">
        <v>2.2000000000000002</v>
      </c>
      <c r="K46" s="203">
        <v>0.75</v>
      </c>
      <c r="L46" s="203">
        <v>0.74</v>
      </c>
      <c r="M46" s="203">
        <v>0.76</v>
      </c>
      <c r="N46" s="204">
        <v>620</v>
      </c>
      <c r="O46" s="381">
        <v>4.8150000000000004</v>
      </c>
      <c r="P46" s="413">
        <v>4.84</v>
      </c>
      <c r="Q46" s="185" t="s">
        <v>5124</v>
      </c>
      <c r="R46" s="430">
        <v>610.1</v>
      </c>
      <c r="S46" s="414"/>
      <c r="T46" s="371" t="s">
        <v>5593</v>
      </c>
      <c r="U46" s="206" t="s">
        <v>295</v>
      </c>
      <c r="V46" s="206"/>
      <c r="W46" s="185" t="s">
        <v>114</v>
      </c>
      <c r="X46" s="205">
        <v>44732</v>
      </c>
      <c r="Y46" s="205"/>
      <c r="Z46" s="205">
        <v>44733</v>
      </c>
      <c r="AA46" s="205"/>
      <c r="AB46" s="205">
        <v>44747</v>
      </c>
      <c r="AC46" s="205"/>
      <c r="AD46" s="205"/>
      <c r="AE46" s="205"/>
      <c r="AF46" s="205"/>
      <c r="AG46" s="205"/>
      <c r="AH46" s="207"/>
      <c r="AI46" s="208" t="s">
        <v>69</v>
      </c>
      <c r="AJ46" s="208" t="s">
        <v>119</v>
      </c>
      <c r="AK46" s="209" t="s">
        <v>891</v>
      </c>
      <c r="AL46" s="209">
        <v>44667</v>
      </c>
      <c r="AM46" s="209">
        <v>44706</v>
      </c>
      <c r="AN46" s="209"/>
      <c r="AO46" s="199">
        <f ca="1">TODAY()</f>
        <v>44958</v>
      </c>
      <c r="AP46" s="208">
        <f ca="1">IF(AM46&lt;&gt;0,AO46-AM46,0)</f>
        <v>252</v>
      </c>
      <c r="AQ46" s="208">
        <f ca="1">IF(ISNUMBER(AB46)=TRUE,AO46-AB46,IF(AB46="","",(AO46)-(MID(RIGHT(AB46,10),4,2)&amp;"/"&amp;LEFT((RIGHT(AB46,10)),2)&amp;"/"&amp;RIGHT(AB46,4))))</f>
        <v>211</v>
      </c>
      <c r="AR46" s="209" t="s">
        <v>5600</v>
      </c>
      <c r="AS46" s="209" t="s">
        <v>5601</v>
      </c>
      <c r="AT46" s="210">
        <v>10.093999999999999</v>
      </c>
      <c r="AU46" s="210">
        <v>10.113999999999999</v>
      </c>
      <c r="AV46" s="210">
        <v>10.138999999999998</v>
      </c>
      <c r="AW46" s="210">
        <v>10.143999999999998</v>
      </c>
      <c r="AX46" s="200">
        <f ca="1">IF(ISNUMBER(Z46)=TRUE,AO46-Z46,IF(Z46="","",(AO46)-(MID(RIGHT(Z46,10),4,2)&amp;"/"&amp;LEFT((RIGHT(Z46,10)),2)&amp;"/"&amp;RIGHT(Z46,4))))</f>
        <v>225</v>
      </c>
      <c r="AY46" s="200">
        <v>437</v>
      </c>
      <c r="BA46" s="200" t="s">
        <v>123</v>
      </c>
      <c r="BN46" s="211"/>
    </row>
    <row r="47" spans="1:66" s="200" customFormat="1" ht="20.25" customHeight="1" x14ac:dyDescent="0.25">
      <c r="A47" s="416"/>
      <c r="B47" s="416"/>
      <c r="C47" s="361"/>
      <c r="D47" s="361"/>
      <c r="F47" s="361"/>
      <c r="G47" s="361"/>
      <c r="H47" s="361"/>
      <c r="I47" s="336"/>
      <c r="J47" s="417"/>
      <c r="K47" s="417"/>
      <c r="L47" s="417"/>
      <c r="M47" s="417"/>
      <c r="N47" s="363"/>
      <c r="O47" s="429">
        <f>SUM(O42:O46)</f>
        <v>24.285</v>
      </c>
      <c r="P47" s="429"/>
      <c r="Q47" s="363"/>
      <c r="R47" s="390"/>
      <c r="S47" s="419"/>
      <c r="T47" s="419"/>
      <c r="U47" s="215"/>
      <c r="V47" s="423"/>
      <c r="W47" s="423"/>
      <c r="X47" s="424"/>
      <c r="Y47" s="424"/>
      <c r="Z47" s="424"/>
      <c r="AA47" s="424"/>
      <c r="AB47" s="424"/>
      <c r="AC47" s="424"/>
      <c r="AD47" s="424"/>
      <c r="AE47" s="424"/>
      <c r="AF47" s="424"/>
      <c r="AG47" s="424"/>
      <c r="AH47" s="425"/>
      <c r="AK47" s="426"/>
      <c r="AL47" s="426"/>
      <c r="AM47" s="426"/>
      <c r="AN47" s="426"/>
      <c r="AO47" s="416"/>
      <c r="AR47" s="426"/>
      <c r="AS47" s="426"/>
      <c r="AT47" s="427"/>
      <c r="AU47" s="427"/>
      <c r="AV47" s="427"/>
      <c r="AW47" s="427"/>
    </row>
    <row r="48" spans="1:66" s="200" customFormat="1" ht="20.25" customHeight="1" x14ac:dyDescent="0.25">
      <c r="A48" s="416"/>
      <c r="B48" s="416"/>
      <c r="C48" s="361"/>
      <c r="D48" s="361"/>
      <c r="F48" s="361"/>
      <c r="G48" s="361"/>
      <c r="H48" s="361"/>
      <c r="I48" s="336"/>
      <c r="J48" s="417"/>
      <c r="K48" s="417"/>
      <c r="L48" s="417"/>
      <c r="M48" s="417"/>
      <c r="N48" s="363"/>
      <c r="O48" s="429"/>
      <c r="P48" s="429"/>
      <c r="Q48" s="363"/>
      <c r="R48" s="390"/>
      <c r="S48" s="419"/>
      <c r="T48" s="419"/>
      <c r="U48" s="215"/>
      <c r="V48" s="423"/>
      <c r="W48" s="423"/>
      <c r="X48" s="424"/>
      <c r="Y48" s="424"/>
      <c r="Z48" s="424"/>
      <c r="AA48" s="424"/>
      <c r="AB48" s="424"/>
      <c r="AC48" s="424"/>
      <c r="AD48" s="424"/>
      <c r="AE48" s="424"/>
      <c r="AF48" s="424"/>
      <c r="AG48" s="424"/>
      <c r="AH48" s="425"/>
      <c r="AK48" s="426"/>
      <c r="AL48" s="426"/>
      <c r="AM48" s="426"/>
      <c r="AN48" s="426"/>
      <c r="AO48" s="416"/>
      <c r="AR48" s="426"/>
      <c r="AS48" s="426"/>
      <c r="AT48" s="427"/>
      <c r="AU48" s="427"/>
      <c r="AV48" s="427"/>
      <c r="AW48" s="427"/>
    </row>
    <row r="49" spans="1:66" s="200" customFormat="1" ht="20.25" customHeight="1" x14ac:dyDescent="0.25">
      <c r="A49" s="431" t="s">
        <v>361</v>
      </c>
      <c r="B49" s="416"/>
      <c r="C49" s="361"/>
      <c r="D49" s="361"/>
      <c r="F49" s="361"/>
      <c r="G49" s="361"/>
      <c r="H49" s="361"/>
      <c r="I49" s="336"/>
      <c r="J49" s="417"/>
      <c r="K49" s="417"/>
      <c r="L49" s="417"/>
      <c r="M49" s="417"/>
      <c r="N49" s="363"/>
      <c r="O49" s="429"/>
      <c r="P49" s="429"/>
      <c r="Q49" s="363"/>
      <c r="R49" s="390"/>
      <c r="S49" s="419"/>
      <c r="T49" s="419"/>
      <c r="U49" s="215"/>
      <c r="V49" s="423"/>
      <c r="W49" s="423"/>
      <c r="X49" s="424"/>
      <c r="Y49" s="424"/>
      <c r="Z49" s="424"/>
      <c r="AA49" s="424"/>
      <c r="AB49" s="424"/>
      <c r="AC49" s="424"/>
      <c r="AD49" s="424"/>
      <c r="AE49" s="424"/>
      <c r="AF49" s="424"/>
      <c r="AG49" s="424"/>
      <c r="AH49" s="425"/>
      <c r="AK49" s="426"/>
      <c r="AL49" s="426"/>
      <c r="AM49" s="426"/>
      <c r="AN49" s="426"/>
      <c r="AO49" s="416"/>
      <c r="AR49" s="426"/>
      <c r="AS49" s="426"/>
      <c r="AT49" s="427"/>
      <c r="AU49" s="427"/>
      <c r="AV49" s="427"/>
      <c r="AW49" s="427"/>
    </row>
    <row r="50" spans="1:66" s="200" customFormat="1" ht="18.75" customHeight="1" x14ac:dyDescent="0.25">
      <c r="A50" s="199">
        <v>44957</v>
      </c>
      <c r="B50" s="204">
        <f ca="1">IF(A50="",(IF(ISNUMBER(SUBSTITUTE(LEFT(RIGHT(E50,LEN(E50)-MIN(SEARCH({1,2,3,4,5,6,7,8,9,0},E50&amp;"1234567890"))+1),10),".","/"))=TRUE,AO50-(SUBSTITUTE(LEFT(RIGHT(E50,LEN(E50)-MIN(SEARCH({1,2,3,4,5,6,7,8,9,0},E50&amp;"1234567890"))+1),10),".","/")),IF((SUBSTITUTE(LEFT(RIGHT(E50,LEN(E50)-MIN(SEARCH({1,2,3,4,5,6,7,8,9,0},E50&amp;"1234567890"))+1),10),".","/"))="","",(AO50)-(MID(RIGHT((SUBSTITUTE(LEFT(RIGHT(E50,LEN(E50)-MIN(SEARCH({1,2,3,4,5,6,7,8,9,0},E50&amp;"1234567890"))+1),10),".","/")),10),4,2)&amp;"/"&amp;LEFT((RIGHT((SUBSTITUTE(LEFT(RIGHT(E50,LEN(E50)-MIN(SEARCH({1,2,3,4,5,6,7,8,9,0},E50&amp;"1234567890"))+1),10),".","/")),10)),2)&amp;"/"&amp;RIGHT((SUBSTITUTE(LEFT(RIGHT(E50,LEN(E50)-MIN(SEARCH({1,2,3,4,5,6,7,8,9,0},E50&amp;"1234567890"))+1),10),".","/")),4))))),(AO50-A50))</f>
        <v>1</v>
      </c>
      <c r="C50" s="199"/>
      <c r="D50" s="201" t="str">
        <f>IF(Q50="MULTI","FGM","FGC")&amp;"-"&amp;H50&amp;"/"&amp;I50&amp;"-"&amp;TEXT(K50,"0.00")&amp;"X"&amp;IF(Q50="MULTI",N50,Q50)</f>
        <v>FGM-J3/2B-0.91X620</v>
      </c>
      <c r="E50" s="201" t="s">
        <v>5412</v>
      </c>
      <c r="F50" s="201" t="s">
        <v>5109</v>
      </c>
      <c r="G50" s="201" t="s">
        <v>5603</v>
      </c>
      <c r="H50" s="201" t="s">
        <v>34</v>
      </c>
      <c r="I50" s="202" t="s">
        <v>114</v>
      </c>
      <c r="J50" s="203">
        <v>2.4</v>
      </c>
      <c r="K50" s="203">
        <v>0.91</v>
      </c>
      <c r="L50" s="203">
        <v>0.88</v>
      </c>
      <c r="M50" s="203">
        <v>0.91</v>
      </c>
      <c r="N50" s="204">
        <v>620</v>
      </c>
      <c r="O50" s="381">
        <f>4.775</f>
        <v>4.7750000000000004</v>
      </c>
      <c r="P50" s="432">
        <v>5.9749999999999996</v>
      </c>
      <c r="Q50" s="185" t="s">
        <v>5124</v>
      </c>
      <c r="R50" s="430">
        <v>606.1</v>
      </c>
      <c r="S50" s="414"/>
      <c r="T50" s="371" t="s">
        <v>5308</v>
      </c>
      <c r="U50" s="206" t="s">
        <v>361</v>
      </c>
      <c r="V50" s="206"/>
      <c r="W50" s="185" t="s">
        <v>114</v>
      </c>
      <c r="X50" s="205">
        <v>44887</v>
      </c>
      <c r="Y50" s="205"/>
      <c r="Z50" s="205"/>
      <c r="AA50" s="205">
        <v>44888</v>
      </c>
      <c r="AB50" s="205"/>
      <c r="AC50" s="205">
        <v>44956</v>
      </c>
      <c r="AD50" s="205"/>
      <c r="AE50" s="205"/>
      <c r="AF50" s="205"/>
      <c r="AG50" s="205"/>
      <c r="AH50" s="207"/>
      <c r="AI50" s="208" t="s">
        <v>69</v>
      </c>
      <c r="AJ50" s="208" t="s">
        <v>119</v>
      </c>
      <c r="AK50" s="209" t="s">
        <v>2387</v>
      </c>
      <c r="AL50" s="209">
        <v>44848</v>
      </c>
      <c r="AM50" s="209">
        <v>44880</v>
      </c>
      <c r="AN50" s="209"/>
      <c r="AO50" s="199">
        <f t="shared" ref="AO50:AO242" ca="1" si="3">TODAY()</f>
        <v>44958</v>
      </c>
      <c r="AP50" s="208">
        <f ca="1">IF(AM50&lt;&gt;0,AO50-AM50,0)</f>
        <v>78</v>
      </c>
      <c r="AQ50" s="208" t="str">
        <f>IF(ISNUMBER(AB50)=TRUE,AO50-AB50,IF(AB50="","",(AO50)-(MID(RIGHT(AB50,10),4,2)&amp;"/"&amp;LEFT((RIGHT(AB50,10)),2)&amp;"/"&amp;RIGHT(AB50,4))))</f>
        <v/>
      </c>
      <c r="AR50" s="209" t="s">
        <v>2413</v>
      </c>
      <c r="AS50" s="209" t="s">
        <v>2424</v>
      </c>
      <c r="AT50" s="210">
        <v>10.119999999999999</v>
      </c>
      <c r="AU50" s="210">
        <v>10.139999999999999</v>
      </c>
      <c r="AV50" s="210">
        <v>10.164999999999997</v>
      </c>
      <c r="AW50" s="210">
        <v>10.169999999999998</v>
      </c>
      <c r="AX50" s="200" t="str">
        <f>IF(ISNUMBER(Y50)=TRUE,AO50-Y50,IF(Y50="","",(AO50)-(MID(RIGHT(Y50,10),4,2)&amp;"/"&amp;LEFT((RIGHT(Y50,10)),2)&amp;"/"&amp;RIGHT(Y50,4))))</f>
        <v/>
      </c>
      <c r="AY50" s="200">
        <v>461</v>
      </c>
      <c r="BA50" s="200" t="s">
        <v>123</v>
      </c>
      <c r="BN50" s="211"/>
    </row>
    <row r="51" spans="1:66" s="200" customFormat="1" ht="18.75" customHeight="1" x14ac:dyDescent="0.25">
      <c r="A51" s="199">
        <v>44957</v>
      </c>
      <c r="B51" s="204">
        <f ca="1">IF(A51="",(IF(ISNUMBER(SUBSTITUTE(LEFT(RIGHT(E51,LEN(E51)-MIN(SEARCH({1,2,3,4,5,6,7,8,9,0},E51&amp;"1234567890"))+1),10),".","/"))=TRUE,AO51-(SUBSTITUTE(LEFT(RIGHT(E51,LEN(E51)-MIN(SEARCH({1,2,3,4,5,6,7,8,9,0},E51&amp;"1234567890"))+1),10),".","/")),IF((SUBSTITUTE(LEFT(RIGHT(E51,LEN(E51)-MIN(SEARCH({1,2,3,4,5,6,7,8,9,0},E51&amp;"1234567890"))+1),10),".","/"))="","",(AO51)-(MID(RIGHT((SUBSTITUTE(LEFT(RIGHT(E51,LEN(E51)-MIN(SEARCH({1,2,3,4,5,6,7,8,9,0},E51&amp;"1234567890"))+1),10),".","/")),10),4,2)&amp;"/"&amp;LEFT((RIGHT((SUBSTITUTE(LEFT(RIGHT(E51,LEN(E51)-MIN(SEARCH({1,2,3,4,5,6,7,8,9,0},E51&amp;"1234567890"))+1),10),".","/")),10)),2)&amp;"/"&amp;RIGHT((SUBSTITUTE(LEFT(RIGHT(E51,LEN(E51)-MIN(SEARCH({1,2,3,4,5,6,7,8,9,0},E51&amp;"1234567890"))+1),10),".","/")),4))))),(AO51-A51))</f>
        <v>1</v>
      </c>
      <c r="C51" s="199"/>
      <c r="D51" s="201" t="str">
        <f>IF(Q51="MULTI","FGM","FGC")&amp;"-"&amp;H51&amp;"/"&amp;I51&amp;"-"&amp;TEXT(K51,"0.00")&amp;"X"&amp;IF(Q51="MULTI",N51,Q51)</f>
        <v>FGM-J3/2B-0.45X158.8</v>
      </c>
      <c r="E51" s="201" t="s">
        <v>5412</v>
      </c>
      <c r="F51" s="201" t="s">
        <v>4664</v>
      </c>
      <c r="G51" s="201" t="s">
        <v>5418</v>
      </c>
      <c r="H51" s="201" t="s">
        <v>34</v>
      </c>
      <c r="I51" s="202" t="s">
        <v>114</v>
      </c>
      <c r="J51" s="203">
        <v>0.75</v>
      </c>
      <c r="K51" s="203">
        <v>0.45</v>
      </c>
      <c r="L51" s="203">
        <v>0.43</v>
      </c>
      <c r="M51" s="203">
        <v>0.45</v>
      </c>
      <c r="N51" s="204">
        <v>158.80000000000001</v>
      </c>
      <c r="O51" s="381">
        <v>1.145</v>
      </c>
      <c r="P51" s="433"/>
      <c r="Q51" s="185" t="s">
        <v>5124</v>
      </c>
      <c r="R51" s="430">
        <v>146.4</v>
      </c>
      <c r="S51" s="414"/>
      <c r="T51" s="371"/>
      <c r="U51" s="206" t="s">
        <v>5148</v>
      </c>
      <c r="V51" s="206" t="s">
        <v>5149</v>
      </c>
      <c r="W51" s="185" t="s">
        <v>114</v>
      </c>
      <c r="X51" s="205" t="s">
        <v>4666</v>
      </c>
      <c r="Y51" s="205"/>
      <c r="Z51" s="205">
        <v>44747</v>
      </c>
      <c r="AA51" s="205">
        <v>44910</v>
      </c>
      <c r="AB51" s="205" t="s">
        <v>4667</v>
      </c>
      <c r="AC51" s="205"/>
      <c r="AD51" s="205">
        <v>44904</v>
      </c>
      <c r="AE51" s="205"/>
      <c r="AF51" s="205"/>
      <c r="AG51" s="205"/>
      <c r="AH51" s="207"/>
      <c r="AI51" s="208" t="s">
        <v>69</v>
      </c>
      <c r="AJ51" s="208" t="s">
        <v>248</v>
      </c>
      <c r="AK51" s="209" t="s">
        <v>924</v>
      </c>
      <c r="AL51" s="209">
        <v>44697</v>
      </c>
      <c r="AM51" s="209">
        <v>44721</v>
      </c>
      <c r="AN51" s="209"/>
      <c r="AO51" s="199">
        <f t="shared" ca="1" si="3"/>
        <v>44958</v>
      </c>
      <c r="AP51" s="208">
        <f ca="1">IF(AM51&lt;&gt;0,AO51-AM51,0)</f>
        <v>237</v>
      </c>
      <c r="AQ51" s="208">
        <f ca="1">IF(ISNUMBER(AB51)=TRUE,AO51-AB51,IF(AB51="","",(AO51)-(MID(RIGHT(AB51,10),4,2)&amp;"/"&amp;LEFT((RIGHT(AB51,10)),2)&amp;"/"&amp;RIGHT(AB51,4))))</f>
        <v>21</v>
      </c>
      <c r="AR51" s="209" t="s">
        <v>4668</v>
      </c>
      <c r="AS51" s="209" t="s">
        <v>4669</v>
      </c>
      <c r="AT51" s="210">
        <v>10.002000000000001</v>
      </c>
      <c r="AU51" s="210">
        <v>10.042</v>
      </c>
      <c r="AV51" s="210">
        <v>10.066999999999998</v>
      </c>
      <c r="AW51" s="210">
        <v>10.071999999999999</v>
      </c>
      <c r="AX51" s="200">
        <f ca="1">IF(ISNUMBER(Z51)=TRUE,AO51-Z51,IF(Z51="","",(AO51)-(MID(RIGHT(Z51,10),4,2)&amp;"/"&amp;LEFT((RIGHT(Z51,10)),2)&amp;"/"&amp;RIGHT(Z51,4))))</f>
        <v>211</v>
      </c>
      <c r="AY51" s="200">
        <v>440</v>
      </c>
      <c r="BA51" s="200" t="s">
        <v>123</v>
      </c>
      <c r="BN51" s="211"/>
    </row>
    <row r="52" spans="1:66" s="200" customFormat="1" ht="18.75" customHeight="1" x14ac:dyDescent="0.25">
      <c r="A52" s="199">
        <v>44957</v>
      </c>
      <c r="B52" s="204">
        <f ca="1">IF(A52="",(IF(ISNUMBER(SUBSTITUTE(LEFT(RIGHT(E52,LEN(E52)-MIN(SEARCH({1,2,3,4,5,6,7,8,9,0},E52&amp;"1234567890"))+1),10),".","/"))=TRUE,AO52-(SUBSTITUTE(LEFT(RIGHT(E52,LEN(E52)-MIN(SEARCH({1,2,3,4,5,6,7,8,9,0},E52&amp;"1234567890"))+1),10),".","/")),IF((SUBSTITUTE(LEFT(RIGHT(E52,LEN(E52)-MIN(SEARCH({1,2,3,4,5,6,7,8,9,0},E52&amp;"1234567890"))+1),10),".","/"))="","",(AO52)-(MID(RIGHT((SUBSTITUTE(LEFT(RIGHT(E52,LEN(E52)-MIN(SEARCH({1,2,3,4,5,6,7,8,9,0},E52&amp;"1234567890"))+1),10),".","/")),10),4,2)&amp;"/"&amp;LEFT((RIGHT((SUBSTITUTE(LEFT(RIGHT(E52,LEN(E52)-MIN(SEARCH({1,2,3,4,5,6,7,8,9,0},E52&amp;"1234567890"))+1),10),".","/")),10)),2)&amp;"/"&amp;RIGHT((SUBSTITUTE(LEFT(RIGHT(E52,LEN(E52)-MIN(SEARCH({1,2,3,4,5,6,7,8,9,0},E52&amp;"1234567890"))+1),10),".","/")),4))))),(AO52-A52))</f>
        <v>1</v>
      </c>
      <c r="C52" s="199"/>
      <c r="D52" s="201" t="str">
        <f t="shared" ref="D52" si="4">IF(Q52="MULTI","FGM","FGC")&amp;"-"&amp;H52&amp;"/"&amp;I52&amp;"-"&amp;TEXT(K52,"0.00")&amp;"X"&amp;IF(Q52="MULTI",N52,Q52)</f>
        <v>FGM-J3/2B-0.91X620</v>
      </c>
      <c r="E52" s="201" t="s">
        <v>5412</v>
      </c>
      <c r="F52" s="201" t="s">
        <v>5109</v>
      </c>
      <c r="G52" s="201" t="s">
        <v>5604</v>
      </c>
      <c r="H52" s="201" t="s">
        <v>34</v>
      </c>
      <c r="I52" s="202" t="s">
        <v>114</v>
      </c>
      <c r="J52" s="203">
        <v>2.4</v>
      </c>
      <c r="K52" s="203">
        <v>0.91</v>
      </c>
      <c r="L52" s="203">
        <v>0.88</v>
      </c>
      <c r="M52" s="203">
        <v>0.91</v>
      </c>
      <c r="N52" s="204">
        <v>620</v>
      </c>
      <c r="O52" s="381">
        <v>4.8049999999999997</v>
      </c>
      <c r="P52" s="432">
        <v>5.9950000000000001</v>
      </c>
      <c r="Q52" s="185" t="s">
        <v>5124</v>
      </c>
      <c r="R52" s="430">
        <v>606.1</v>
      </c>
      <c r="S52" s="414"/>
      <c r="T52" s="371" t="s">
        <v>5308</v>
      </c>
      <c r="U52" s="206" t="s">
        <v>361</v>
      </c>
      <c r="V52" s="206"/>
      <c r="W52" s="185" t="s">
        <v>114</v>
      </c>
      <c r="X52" s="205">
        <v>44887</v>
      </c>
      <c r="Y52" s="205"/>
      <c r="Z52" s="205"/>
      <c r="AA52" s="205">
        <v>44888</v>
      </c>
      <c r="AB52" s="205"/>
      <c r="AC52" s="205">
        <v>44956</v>
      </c>
      <c r="AD52" s="205"/>
      <c r="AE52" s="205"/>
      <c r="AF52" s="205"/>
      <c r="AG52" s="205"/>
      <c r="AH52" s="207"/>
      <c r="AI52" s="208" t="s">
        <v>69</v>
      </c>
      <c r="AJ52" s="208" t="s">
        <v>119</v>
      </c>
      <c r="AK52" s="209" t="s">
        <v>2387</v>
      </c>
      <c r="AL52" s="209">
        <v>44848</v>
      </c>
      <c r="AM52" s="209">
        <v>44880</v>
      </c>
      <c r="AN52" s="209"/>
      <c r="AO52" s="199">
        <f ca="1">TODAY()</f>
        <v>44958</v>
      </c>
      <c r="AP52" s="208">
        <f ca="1">IF(AM52&lt;&gt;0,AO52-AM52,0)</f>
        <v>78</v>
      </c>
      <c r="AQ52" s="208" t="str">
        <f>IF(ISNUMBER(AB52)=TRUE,AO52-AB52,IF(AB52="","",(AO52)-(MID(RIGHT(AB52,10),4,2)&amp;"/"&amp;LEFT((RIGHT(AB52,10)),2)&amp;"/"&amp;RIGHT(AB52,4))))</f>
        <v/>
      </c>
      <c r="AR52" s="209" t="s">
        <v>2413</v>
      </c>
      <c r="AS52" s="209" t="s">
        <v>2424</v>
      </c>
      <c r="AT52" s="210">
        <v>10.119999999999999</v>
      </c>
      <c r="AU52" s="210">
        <v>10.139999999999999</v>
      </c>
      <c r="AV52" s="210">
        <v>10.164999999999997</v>
      </c>
      <c r="AW52" s="210">
        <v>10.169999999999998</v>
      </c>
      <c r="AX52" s="200" t="str">
        <f>IF(ISNUMBER(Y52)=TRUE,AO52-Y52,IF(Y52="","",(AO52)-(MID(RIGHT(Y52,10),4,2)&amp;"/"&amp;LEFT((RIGHT(Y52,10)),2)&amp;"/"&amp;RIGHT(Y52,4))))</f>
        <v/>
      </c>
      <c r="AY52" s="200">
        <v>461</v>
      </c>
      <c r="BA52" s="200" t="s">
        <v>123</v>
      </c>
      <c r="BN52" s="211"/>
    </row>
    <row r="53" spans="1:66" s="200" customFormat="1" ht="18.75" customHeight="1" x14ac:dyDescent="0.25">
      <c r="A53" s="199">
        <v>44957</v>
      </c>
      <c r="B53" s="204">
        <f ca="1">IF(A53="",(IF(ISNUMBER(SUBSTITUTE(LEFT(RIGHT(E53,LEN(E53)-MIN(SEARCH({1,2,3,4,5,6,7,8,9,0},E53&amp;"1234567890"))+1),10),".","/"))=TRUE,AO53-(SUBSTITUTE(LEFT(RIGHT(E53,LEN(E53)-MIN(SEARCH({1,2,3,4,5,6,7,8,9,0},E53&amp;"1234567890"))+1),10),".","/")),IF((SUBSTITUTE(LEFT(RIGHT(E53,LEN(E53)-MIN(SEARCH({1,2,3,4,5,6,7,8,9,0},E53&amp;"1234567890"))+1),10),".","/"))="","",(AO53)-(MID(RIGHT((SUBSTITUTE(LEFT(RIGHT(E53,LEN(E53)-MIN(SEARCH({1,2,3,4,5,6,7,8,9,0},E53&amp;"1234567890"))+1),10),".","/")),10),4,2)&amp;"/"&amp;LEFT((RIGHT((SUBSTITUTE(LEFT(RIGHT(E53,LEN(E53)-MIN(SEARCH({1,2,3,4,5,6,7,8,9,0},E53&amp;"1234567890"))+1),10),".","/")),10)),2)&amp;"/"&amp;RIGHT((SUBSTITUTE(LEFT(RIGHT(E53,LEN(E53)-MIN(SEARCH({1,2,3,4,5,6,7,8,9,0},E53&amp;"1234567890"))+1),10),".","/")),4))))),(AO53-A53))</f>
        <v>1</v>
      </c>
      <c r="C53" s="199"/>
      <c r="D53" s="201" t="str">
        <f>IF(Q53="MULTI","FGM","FGC")&amp;"-"&amp;H53&amp;"/"&amp;I53&amp;"-"&amp;TEXT(K53,"0.00")&amp;"X"&amp;IF(Q53="MULTI",N53,Q53)</f>
        <v>FGM-J3/2B-0.45X158.8</v>
      </c>
      <c r="E53" s="201" t="s">
        <v>5412</v>
      </c>
      <c r="F53" s="201" t="s">
        <v>4664</v>
      </c>
      <c r="G53" s="201" t="s">
        <v>5419</v>
      </c>
      <c r="H53" s="201" t="s">
        <v>34</v>
      </c>
      <c r="I53" s="202" t="s">
        <v>114</v>
      </c>
      <c r="J53" s="203">
        <v>0.75</v>
      </c>
      <c r="K53" s="203">
        <v>0.45</v>
      </c>
      <c r="L53" s="203">
        <v>0.43</v>
      </c>
      <c r="M53" s="203">
        <v>0.45</v>
      </c>
      <c r="N53" s="204">
        <v>158.80000000000001</v>
      </c>
      <c r="O53" s="381">
        <v>1.145</v>
      </c>
      <c r="P53" s="433"/>
      <c r="Q53" s="185" t="s">
        <v>5124</v>
      </c>
      <c r="R53" s="430">
        <v>146.4</v>
      </c>
      <c r="S53" s="414"/>
      <c r="T53" s="371"/>
      <c r="U53" s="206" t="s">
        <v>5148</v>
      </c>
      <c r="V53" s="206" t="s">
        <v>5149</v>
      </c>
      <c r="W53" s="185" t="s">
        <v>114</v>
      </c>
      <c r="X53" s="205" t="s">
        <v>4666</v>
      </c>
      <c r="Y53" s="205"/>
      <c r="Z53" s="205">
        <v>44747</v>
      </c>
      <c r="AA53" s="205">
        <v>44910</v>
      </c>
      <c r="AB53" s="205" t="s">
        <v>4667</v>
      </c>
      <c r="AC53" s="205"/>
      <c r="AD53" s="205">
        <v>44904</v>
      </c>
      <c r="AE53" s="205"/>
      <c r="AF53" s="205"/>
      <c r="AG53" s="205"/>
      <c r="AH53" s="207"/>
      <c r="AI53" s="208" t="s">
        <v>69</v>
      </c>
      <c r="AJ53" s="208" t="s">
        <v>248</v>
      </c>
      <c r="AK53" s="209" t="s">
        <v>924</v>
      </c>
      <c r="AL53" s="209">
        <v>44697</v>
      </c>
      <c r="AM53" s="209">
        <v>44721</v>
      </c>
      <c r="AN53" s="209"/>
      <c r="AO53" s="199">
        <f t="shared" ca="1" si="3"/>
        <v>44958</v>
      </c>
      <c r="AP53" s="208">
        <f t="shared" ref="AP53" ca="1" si="5">IF(AM53&lt;&gt;0,AO53-AM53,0)</f>
        <v>237</v>
      </c>
      <c r="AQ53" s="208">
        <f t="shared" ref="AQ53" ca="1" si="6">IF(ISNUMBER(AB53)=TRUE,AO53-AB53,IF(AB53="","",(AO53)-(MID(RIGHT(AB53,10),4,2)&amp;"/"&amp;LEFT((RIGHT(AB53,10)),2)&amp;"/"&amp;RIGHT(AB53,4))))</f>
        <v>21</v>
      </c>
      <c r="AR53" s="209" t="s">
        <v>4668</v>
      </c>
      <c r="AS53" s="209" t="s">
        <v>4669</v>
      </c>
      <c r="AT53" s="210">
        <v>10.002000000000001</v>
      </c>
      <c r="AU53" s="210">
        <v>10.042</v>
      </c>
      <c r="AV53" s="210">
        <v>10.066999999999998</v>
      </c>
      <c r="AW53" s="210">
        <v>10.071999999999999</v>
      </c>
      <c r="AX53" s="200">
        <f ca="1">IF(ISNUMBER(Z53)=TRUE,AO53-Z53,IF(Z53="","",(AO53)-(MID(RIGHT(Z53,10),4,2)&amp;"/"&amp;LEFT((RIGHT(Z53,10)),2)&amp;"/"&amp;RIGHT(Z53,4))))</f>
        <v>211</v>
      </c>
      <c r="AY53" s="200">
        <v>440</v>
      </c>
      <c r="BA53" s="200" t="s">
        <v>123</v>
      </c>
      <c r="BN53" s="211"/>
    </row>
    <row r="54" spans="1:66" s="200" customFormat="1" ht="20.25" customHeight="1" x14ac:dyDescent="0.25">
      <c r="A54" s="416"/>
      <c r="B54" s="416"/>
      <c r="C54" s="361"/>
      <c r="D54" s="361"/>
      <c r="F54" s="361"/>
      <c r="G54" s="361"/>
      <c r="H54" s="361"/>
      <c r="I54" s="336"/>
      <c r="J54" s="417"/>
      <c r="K54" s="417"/>
      <c r="L54" s="417"/>
      <c r="M54" s="417"/>
      <c r="N54" s="363"/>
      <c r="O54" s="429">
        <f>SUM(O50:O53)</f>
        <v>11.87</v>
      </c>
      <c r="P54" s="419"/>
      <c r="Q54" s="363"/>
      <c r="R54" s="390"/>
      <c r="S54" s="419"/>
      <c r="T54" s="419"/>
      <c r="U54" s="215"/>
      <c r="V54" s="423"/>
      <c r="W54" s="423"/>
      <c r="X54" s="424"/>
      <c r="Y54" s="424"/>
      <c r="Z54" s="424"/>
      <c r="AA54" s="424"/>
      <c r="AB54" s="424"/>
      <c r="AC54" s="424"/>
      <c r="AD54" s="424"/>
      <c r="AE54" s="424"/>
      <c r="AF54" s="424"/>
      <c r="AG54" s="424"/>
      <c r="AH54" s="425"/>
      <c r="AK54" s="426"/>
      <c r="AL54" s="426"/>
      <c r="AM54" s="426"/>
      <c r="AN54" s="426"/>
      <c r="AO54" s="416"/>
      <c r="AR54" s="426"/>
      <c r="AS54" s="426"/>
      <c r="AT54" s="427"/>
      <c r="AU54" s="427"/>
      <c r="AV54" s="427"/>
      <c r="AW54" s="427"/>
    </row>
    <row r="55" spans="1:66" s="200" customFormat="1" ht="20.25" customHeight="1" x14ac:dyDescent="0.25">
      <c r="A55" s="416"/>
      <c r="B55" s="416"/>
      <c r="C55" s="361"/>
      <c r="D55" s="361"/>
      <c r="F55" s="361"/>
      <c r="G55" s="361"/>
      <c r="H55" s="361"/>
      <c r="I55" s="336"/>
      <c r="J55" s="417"/>
      <c r="K55" s="417"/>
      <c r="L55" s="417"/>
      <c r="M55" s="417"/>
      <c r="N55" s="363"/>
      <c r="O55" s="429"/>
      <c r="P55" s="419"/>
      <c r="Q55" s="363"/>
      <c r="R55" s="390"/>
      <c r="S55" s="419"/>
      <c r="T55" s="419"/>
      <c r="U55" s="215"/>
      <c r="V55" s="423"/>
      <c r="W55" s="423"/>
      <c r="X55" s="424"/>
      <c r="Y55" s="424"/>
      <c r="Z55" s="424"/>
      <c r="AA55" s="424"/>
      <c r="AB55" s="424"/>
      <c r="AC55" s="424"/>
      <c r="AD55" s="424"/>
      <c r="AE55" s="424"/>
      <c r="AF55" s="424"/>
      <c r="AG55" s="424"/>
      <c r="AH55" s="425"/>
      <c r="AK55" s="426"/>
      <c r="AL55" s="426"/>
      <c r="AM55" s="426"/>
      <c r="AN55" s="426"/>
      <c r="AO55" s="416"/>
      <c r="AR55" s="426"/>
      <c r="AS55" s="426"/>
      <c r="AT55" s="427"/>
      <c r="AU55" s="427"/>
      <c r="AV55" s="427"/>
      <c r="AW55" s="427"/>
    </row>
    <row r="56" spans="1:66" s="200" customFormat="1" ht="20.25" customHeight="1" x14ac:dyDescent="0.25">
      <c r="A56" s="416"/>
      <c r="B56" s="416"/>
      <c r="C56" s="361"/>
      <c r="D56" s="361"/>
      <c r="F56" s="361"/>
      <c r="G56" s="361"/>
      <c r="H56" s="361"/>
      <c r="I56" s="336"/>
      <c r="J56" s="417"/>
      <c r="K56" s="417"/>
      <c r="L56" s="417"/>
      <c r="M56" s="417"/>
      <c r="N56" s="363"/>
      <c r="O56" s="429"/>
      <c r="P56" s="419"/>
      <c r="Q56" s="363"/>
      <c r="R56" s="390"/>
      <c r="S56" s="419"/>
      <c r="T56" s="419"/>
      <c r="U56" s="215"/>
      <c r="V56" s="423"/>
      <c r="W56" s="423"/>
      <c r="X56" s="424"/>
      <c r="Y56" s="424"/>
      <c r="Z56" s="424"/>
      <c r="AA56" s="424"/>
      <c r="AB56" s="424"/>
      <c r="AC56" s="424"/>
      <c r="AD56" s="424"/>
      <c r="AE56" s="424"/>
      <c r="AF56" s="424"/>
      <c r="AG56" s="424"/>
      <c r="AH56" s="425"/>
      <c r="AK56" s="426"/>
      <c r="AL56" s="426"/>
      <c r="AM56" s="426"/>
      <c r="AN56" s="426"/>
      <c r="AO56" s="416"/>
      <c r="AR56" s="426"/>
      <c r="AS56" s="426"/>
      <c r="AT56" s="427"/>
      <c r="AU56" s="427"/>
      <c r="AV56" s="427"/>
      <c r="AW56" s="427"/>
    </row>
    <row r="57" spans="1:66" s="200" customFormat="1" ht="20.25" customHeight="1" x14ac:dyDescent="0.25">
      <c r="A57" s="416"/>
      <c r="B57" s="416"/>
      <c r="C57" s="361"/>
      <c r="D57" s="361"/>
      <c r="F57" s="361"/>
      <c r="G57" s="361"/>
      <c r="H57" s="361"/>
      <c r="I57" s="336"/>
      <c r="J57" s="417"/>
      <c r="K57" s="417"/>
      <c r="L57" s="417"/>
      <c r="M57" s="417"/>
      <c r="N57" s="363"/>
      <c r="O57" s="363"/>
      <c r="P57" s="419"/>
      <c r="Q57" s="363"/>
      <c r="R57" s="390"/>
      <c r="S57" s="419"/>
      <c r="T57" s="419"/>
      <c r="U57" s="215"/>
      <c r="V57" s="423"/>
      <c r="W57" s="423"/>
      <c r="X57" s="424"/>
      <c r="Y57" s="424"/>
      <c r="Z57" s="424"/>
      <c r="AA57" s="424"/>
      <c r="AB57" s="424"/>
      <c r="AC57" s="424"/>
      <c r="AD57" s="424"/>
      <c r="AE57" s="424"/>
      <c r="AF57" s="424"/>
      <c r="AG57" s="424"/>
      <c r="AH57" s="425"/>
      <c r="AK57" s="426"/>
      <c r="AL57" s="426"/>
      <c r="AM57" s="426"/>
      <c r="AN57" s="426"/>
      <c r="AO57" s="416"/>
      <c r="AR57" s="426"/>
      <c r="AS57" s="426"/>
      <c r="AT57" s="427"/>
      <c r="AU57" s="427"/>
      <c r="AV57" s="427"/>
      <c r="AW57" s="427"/>
    </row>
    <row r="58" spans="1:66" s="406" customFormat="1" ht="19.5" customHeight="1" x14ac:dyDescent="0.25">
      <c r="A58" s="434" t="s">
        <v>5605</v>
      </c>
      <c r="B58" s="434"/>
      <c r="J58" s="407"/>
      <c r="K58" s="408"/>
      <c r="L58" s="408"/>
      <c r="M58" s="408"/>
      <c r="N58" s="409"/>
      <c r="O58" s="410"/>
      <c r="P58" s="410"/>
      <c r="Q58" s="410"/>
      <c r="R58" s="407"/>
      <c r="S58" s="410"/>
      <c r="T58" s="408"/>
      <c r="U58" s="407"/>
      <c r="V58" s="407"/>
      <c r="W58" s="407"/>
      <c r="X58" s="407"/>
      <c r="Y58" s="407"/>
      <c r="Z58" s="407"/>
      <c r="AA58" s="407"/>
      <c r="AB58" s="407"/>
      <c r="AC58" s="407"/>
      <c r="AD58" s="407"/>
      <c r="AE58" s="407"/>
      <c r="AF58" s="407"/>
      <c r="AG58" s="407"/>
      <c r="AH58" s="407"/>
      <c r="AI58" s="407"/>
      <c r="AT58" s="411"/>
      <c r="AU58" s="411"/>
      <c r="AV58" s="411"/>
      <c r="AW58" s="407"/>
      <c r="AX58" s="407"/>
    </row>
    <row r="59" spans="1:66" s="200" customFormat="1" ht="18.75" customHeight="1" x14ac:dyDescent="0.25">
      <c r="A59" s="431" t="s">
        <v>5606</v>
      </c>
      <c r="B59" s="363"/>
      <c r="C59" s="416"/>
      <c r="D59" s="361"/>
      <c r="E59" s="361"/>
      <c r="F59" s="361"/>
      <c r="G59" s="361"/>
      <c r="H59" s="361"/>
      <c r="I59" s="336"/>
      <c r="J59" s="417"/>
      <c r="K59" s="417"/>
      <c r="L59" s="417"/>
      <c r="M59" s="417"/>
      <c r="N59" s="363"/>
      <c r="O59" s="418"/>
      <c r="P59" s="419"/>
      <c r="Q59" s="390"/>
      <c r="R59" s="435"/>
      <c r="S59" s="422"/>
      <c r="T59" s="423"/>
      <c r="U59" s="423"/>
      <c r="V59" s="423"/>
      <c r="W59" s="390"/>
      <c r="X59" s="424"/>
      <c r="Y59" s="424"/>
      <c r="Z59" s="424"/>
      <c r="AA59" s="424"/>
      <c r="AB59" s="424"/>
      <c r="AC59" s="424"/>
      <c r="AD59" s="424"/>
      <c r="AE59" s="424"/>
      <c r="AF59" s="424"/>
      <c r="AG59" s="424"/>
      <c r="AH59" s="425"/>
      <c r="AK59" s="426"/>
      <c r="AL59" s="426"/>
      <c r="AM59" s="426"/>
      <c r="AN59" s="426"/>
      <c r="AO59" s="416"/>
      <c r="AR59" s="426"/>
      <c r="AS59" s="426"/>
      <c r="AT59" s="427"/>
      <c r="AU59" s="427"/>
      <c r="AV59" s="427"/>
      <c r="AW59" s="427"/>
      <c r="BN59" s="436"/>
    </row>
    <row r="60" spans="1:66" s="200" customFormat="1" ht="18" customHeight="1" x14ac:dyDescent="0.25">
      <c r="A60" s="199">
        <v>44900</v>
      </c>
      <c r="B60" s="204">
        <f ca="1">IF(A60="",(IF(ISNUMBER(SUBSTITUTE(LEFT(RIGHT(E60,LEN(E60)-MIN(SEARCH({1,2,3,4,5,6,7,8,9,0},E60&amp;"1234567890"))+1),10),".","/"))=TRUE,AO60-(SUBSTITUTE(LEFT(RIGHT(E60,LEN(E60)-MIN(SEARCH({1,2,3,4,5,6,7,8,9,0},E60&amp;"1234567890"))+1),10),".","/")),IF((SUBSTITUTE(LEFT(RIGHT(E60,LEN(E60)-MIN(SEARCH({1,2,3,4,5,6,7,8,9,0},E60&amp;"1234567890"))+1),10),".","/"))="","",(AO60)-(MID(RIGHT((SUBSTITUTE(LEFT(RIGHT(E60,LEN(E60)-MIN(SEARCH({1,2,3,4,5,6,7,8,9,0},E60&amp;"1234567890"))+1),10),".","/")),10),4,2)&amp;"/"&amp;LEFT((RIGHT((SUBSTITUTE(LEFT(RIGHT(E60,LEN(E60)-MIN(SEARCH({1,2,3,4,5,6,7,8,9,0},E60&amp;"1234567890"))+1),10),".","/")),10)),2)&amp;"/"&amp;RIGHT((SUBSTITUTE(LEFT(RIGHT(E60,LEN(E60)-MIN(SEARCH({1,2,3,4,5,6,7,8,9,0},E60&amp;"1234567890"))+1),10),".","/")),4))))),(AO60-A60))</f>
        <v>58</v>
      </c>
      <c r="C60" s="199"/>
      <c r="D60" s="201" t="str">
        <f t="shared" ref="D60:D66" si="7">IF(Q60="MULTI","FGM","FGC")&amp;"-"&amp;H60&amp;"/"&amp;I60&amp;"-"&amp;TEXT(K60,"0.00")&amp;"X"&amp;IF(Q60="MULTI",N60,Q60)</f>
        <v>FGC-304/2B-1.10X760</v>
      </c>
      <c r="E60" s="201" t="s">
        <v>5607</v>
      </c>
      <c r="F60" s="201" t="s">
        <v>5608</v>
      </c>
      <c r="G60" s="201" t="s">
        <v>5609</v>
      </c>
      <c r="H60" s="201">
        <v>304</v>
      </c>
      <c r="I60" s="202" t="s">
        <v>114</v>
      </c>
      <c r="J60" s="203">
        <v>2.89</v>
      </c>
      <c r="K60" s="203">
        <v>1.1000000000000001</v>
      </c>
      <c r="L60" s="203">
        <v>1.06</v>
      </c>
      <c r="M60" s="203">
        <v>1.08</v>
      </c>
      <c r="N60" s="204">
        <v>768</v>
      </c>
      <c r="O60" s="381">
        <f>5.965</f>
        <v>5.9649999999999999</v>
      </c>
      <c r="P60" s="413">
        <v>6.0149999999999997</v>
      </c>
      <c r="Q60" s="185">
        <v>760</v>
      </c>
      <c r="R60" s="413"/>
      <c r="S60" s="414"/>
      <c r="T60" s="371" t="s">
        <v>4972</v>
      </c>
      <c r="U60" s="206" t="s">
        <v>4358</v>
      </c>
      <c r="V60" s="206"/>
      <c r="W60" s="185" t="s">
        <v>114</v>
      </c>
      <c r="X60" s="205">
        <v>44899</v>
      </c>
      <c r="Y60" s="205"/>
      <c r="Z60" s="205">
        <v>44899</v>
      </c>
      <c r="AA60" s="205"/>
      <c r="AB60" s="205"/>
      <c r="AC60" s="205"/>
      <c r="AD60" s="205"/>
      <c r="AE60" s="205"/>
      <c r="AF60" s="205"/>
      <c r="AG60" s="205"/>
      <c r="AH60" s="207" t="s">
        <v>1609</v>
      </c>
      <c r="AI60" s="208" t="s">
        <v>69</v>
      </c>
      <c r="AJ60" s="208" t="s">
        <v>142</v>
      </c>
      <c r="AK60" s="209" t="s">
        <v>1653</v>
      </c>
      <c r="AL60" s="209"/>
      <c r="AM60" s="209">
        <v>44880</v>
      </c>
      <c r="AN60" s="209"/>
      <c r="AO60" s="199">
        <f t="shared" ref="AO60:AO66" ca="1" si="8">TODAY()</f>
        <v>44958</v>
      </c>
      <c r="AP60" s="208">
        <f t="shared" ref="AP60:AP66" ca="1" si="9">IF(AM60&lt;&gt;0,AO60-AM60,0)</f>
        <v>78</v>
      </c>
      <c r="AQ60" s="208" t="str">
        <f t="shared" ref="AQ60:AQ66" si="10">IF(ISNUMBER(AB60)=TRUE,AO60-AB60,IF(AB60="","",(AO60)-(MID(RIGHT(AB60,10),4,2)&amp;"/"&amp;LEFT((RIGHT(AB60,10)),2)&amp;"/"&amp;RIGHT(AB60,4))))</f>
        <v/>
      </c>
      <c r="AR60" s="209"/>
      <c r="AS60" s="209" t="s">
        <v>5610</v>
      </c>
      <c r="AT60" s="210">
        <v>10.35</v>
      </c>
      <c r="AU60" s="210">
        <v>10.36</v>
      </c>
      <c r="AV60" s="210">
        <v>10.384999999999998</v>
      </c>
      <c r="AW60" s="210">
        <v>10.389999999999999</v>
      </c>
      <c r="AX60" s="200">
        <f t="shared" ref="AX60:AX66" ca="1" si="11">IF(ISNUMBER(Z60)=TRUE,AO60-Z60,IF(Z60="","",(AO60)-(MID(RIGHT(Z60,10),4,2)&amp;"/"&amp;LEFT((RIGHT(Z60,10)),2)&amp;"/"&amp;RIGHT(Z60,4))))</f>
        <v>59</v>
      </c>
      <c r="AY60" s="200">
        <v>459</v>
      </c>
      <c r="BA60" s="200" t="s">
        <v>123</v>
      </c>
      <c r="BN60" s="211"/>
    </row>
    <row r="61" spans="1:66" s="200" customFormat="1" ht="18.75" customHeight="1" x14ac:dyDescent="0.25">
      <c r="A61" s="199">
        <v>44956</v>
      </c>
      <c r="B61" s="204">
        <f ca="1">IF(A61="",(IF(ISNUMBER(SUBSTITUTE(LEFT(RIGHT(E61,LEN(E61)-MIN(SEARCH({1,2,3,4,5,6,7,8,9,0},E61&amp;"1234567890"))+1),10),".","/"))=TRUE,AO61-(SUBSTITUTE(LEFT(RIGHT(E61,LEN(E61)-MIN(SEARCH({1,2,3,4,5,6,7,8,9,0},E61&amp;"1234567890"))+1),10),".","/")),IF((SUBSTITUTE(LEFT(RIGHT(E61,LEN(E61)-MIN(SEARCH({1,2,3,4,5,6,7,8,9,0},E61&amp;"1234567890"))+1),10),".","/"))="","",(AO61)-(MID(RIGHT((SUBSTITUTE(LEFT(RIGHT(E61,LEN(E61)-MIN(SEARCH({1,2,3,4,5,6,7,8,9,0},E61&amp;"1234567890"))+1),10),".","/")),10),4,2)&amp;"/"&amp;LEFT((RIGHT((SUBSTITUTE(LEFT(RIGHT(E61,LEN(E61)-MIN(SEARCH({1,2,3,4,5,6,7,8,9,0},E61&amp;"1234567890"))+1),10),".","/")),10)),2)&amp;"/"&amp;RIGHT((SUBSTITUTE(LEFT(RIGHT(E61,LEN(E61)-MIN(SEARCH({1,2,3,4,5,6,7,8,9,0},E61&amp;"1234567890"))+1),10),".","/")),4))))),(AO61-A61))</f>
        <v>2</v>
      </c>
      <c r="C61" s="199"/>
      <c r="D61" s="201" t="str">
        <f t="shared" si="7"/>
        <v>FGC-304/2B-1.10X760</v>
      </c>
      <c r="E61" s="201" t="s">
        <v>4959</v>
      </c>
      <c r="F61" s="201" t="s">
        <v>4970</v>
      </c>
      <c r="G61" s="201" t="s">
        <v>4971</v>
      </c>
      <c r="H61" s="201">
        <v>304</v>
      </c>
      <c r="I61" s="202" t="s">
        <v>114</v>
      </c>
      <c r="J61" s="203">
        <v>2.9</v>
      </c>
      <c r="K61" s="203">
        <v>1.1000000000000001</v>
      </c>
      <c r="L61" s="203"/>
      <c r="M61" s="203"/>
      <c r="N61" s="204">
        <v>768</v>
      </c>
      <c r="O61" s="381">
        <v>4.4000000000000004</v>
      </c>
      <c r="P61" s="413">
        <v>4.45</v>
      </c>
      <c r="Q61" s="185">
        <v>760</v>
      </c>
      <c r="R61" s="430"/>
      <c r="S61" s="414"/>
      <c r="T61" s="371" t="s">
        <v>4972</v>
      </c>
      <c r="U61" s="206" t="s">
        <v>4358</v>
      </c>
      <c r="V61" s="206"/>
      <c r="W61" s="185" t="s">
        <v>114</v>
      </c>
      <c r="X61" s="205">
        <v>44899</v>
      </c>
      <c r="Y61" s="205"/>
      <c r="Z61" s="205">
        <v>44900</v>
      </c>
      <c r="AA61" s="205"/>
      <c r="AB61" s="205"/>
      <c r="AC61" s="205"/>
      <c r="AD61" s="205"/>
      <c r="AE61" s="205"/>
      <c r="AF61" s="205"/>
      <c r="AG61" s="205"/>
      <c r="AH61" s="207" t="s">
        <v>1609</v>
      </c>
      <c r="AI61" s="208" t="s">
        <v>69</v>
      </c>
      <c r="AJ61" s="208" t="s">
        <v>142</v>
      </c>
      <c r="AK61" s="209" t="s">
        <v>1887</v>
      </c>
      <c r="AL61" s="209"/>
      <c r="AM61" s="209">
        <v>44880</v>
      </c>
      <c r="AN61" s="209"/>
      <c r="AO61" s="199">
        <f t="shared" ca="1" si="8"/>
        <v>44958</v>
      </c>
      <c r="AP61" s="208">
        <f t="shared" ca="1" si="9"/>
        <v>78</v>
      </c>
      <c r="AQ61" s="208" t="str">
        <f t="shared" si="10"/>
        <v/>
      </c>
      <c r="AR61" s="209"/>
      <c r="AS61" s="209" t="s">
        <v>4973</v>
      </c>
      <c r="AT61" s="210">
        <v>10.445</v>
      </c>
      <c r="AU61" s="210">
        <v>10.455</v>
      </c>
      <c r="AV61" s="210">
        <v>10.479999999999999</v>
      </c>
      <c r="AW61" s="210">
        <v>10.484999999999999</v>
      </c>
      <c r="AX61" s="200">
        <f t="shared" ca="1" si="11"/>
        <v>58</v>
      </c>
      <c r="AY61" s="200">
        <v>459</v>
      </c>
      <c r="BA61" s="200" t="s">
        <v>123</v>
      </c>
      <c r="BN61" s="211"/>
    </row>
    <row r="62" spans="1:66" s="200" customFormat="1" ht="18.75" customHeight="1" x14ac:dyDescent="0.25">
      <c r="A62" s="199">
        <v>44956</v>
      </c>
      <c r="B62" s="204">
        <f ca="1">IF(A62="",(IF(ISNUMBER(SUBSTITUTE(LEFT(RIGHT(E62,LEN(E62)-MIN(SEARCH({1,2,3,4,5,6,7,8,9,0},E62&amp;"1234567890"))+1),10),".","/"))=TRUE,AO62-(SUBSTITUTE(LEFT(RIGHT(E62,LEN(E62)-MIN(SEARCH({1,2,3,4,5,6,7,8,9,0},E62&amp;"1234567890"))+1),10),".","/")),IF((SUBSTITUTE(LEFT(RIGHT(E62,LEN(E62)-MIN(SEARCH({1,2,3,4,5,6,7,8,9,0},E62&amp;"1234567890"))+1),10),".","/"))="","",(AO62)-(MID(RIGHT((SUBSTITUTE(LEFT(RIGHT(E62,LEN(E62)-MIN(SEARCH({1,2,3,4,5,6,7,8,9,0},E62&amp;"1234567890"))+1),10),".","/")),10),4,2)&amp;"/"&amp;LEFT((RIGHT((SUBSTITUTE(LEFT(RIGHT(E62,LEN(E62)-MIN(SEARCH({1,2,3,4,5,6,7,8,9,0},E62&amp;"1234567890"))+1),10),".","/")),10)),2)&amp;"/"&amp;RIGHT((SUBSTITUTE(LEFT(RIGHT(E62,LEN(E62)-MIN(SEARCH({1,2,3,4,5,6,7,8,9,0},E62&amp;"1234567890"))+1),10),".","/")),4))))),(AO62-A62))</f>
        <v>2</v>
      </c>
      <c r="C62" s="199"/>
      <c r="D62" s="201" t="str">
        <f t="shared" si="7"/>
        <v>FGC-304/2B-1.10X760</v>
      </c>
      <c r="E62" s="201" t="s">
        <v>5395</v>
      </c>
      <c r="F62" s="201" t="s">
        <v>5100</v>
      </c>
      <c r="G62" s="201" t="s">
        <v>5397</v>
      </c>
      <c r="H62" s="201">
        <v>304</v>
      </c>
      <c r="I62" s="202" t="s">
        <v>114</v>
      </c>
      <c r="J62" s="203">
        <v>2.89</v>
      </c>
      <c r="K62" s="203">
        <v>1.1000000000000001</v>
      </c>
      <c r="L62" s="203">
        <v>1.07</v>
      </c>
      <c r="M62" s="203">
        <v>1.0900000000000001</v>
      </c>
      <c r="N62" s="204">
        <v>776</v>
      </c>
      <c r="O62" s="381">
        <v>3.96</v>
      </c>
      <c r="P62" s="413">
        <v>4.0049999999999999</v>
      </c>
      <c r="Q62" s="185">
        <v>760</v>
      </c>
      <c r="R62" s="430"/>
      <c r="S62" s="414"/>
      <c r="T62" s="371" t="s">
        <v>4972</v>
      </c>
      <c r="U62" s="206" t="s">
        <v>4358</v>
      </c>
      <c r="V62" s="206"/>
      <c r="W62" s="185" t="s">
        <v>114</v>
      </c>
      <c r="X62" s="205">
        <v>44899</v>
      </c>
      <c r="Y62" s="205"/>
      <c r="Z62" s="205">
        <v>44899</v>
      </c>
      <c r="AA62" s="205"/>
      <c r="AB62" s="205"/>
      <c r="AC62" s="205">
        <v>44956</v>
      </c>
      <c r="AD62" s="205"/>
      <c r="AE62" s="205"/>
      <c r="AF62" s="205"/>
      <c r="AG62" s="205"/>
      <c r="AH62" s="207" t="s">
        <v>1609</v>
      </c>
      <c r="AI62" s="208" t="s">
        <v>69</v>
      </c>
      <c r="AJ62" s="208" t="s">
        <v>142</v>
      </c>
      <c r="AK62" s="209" t="s">
        <v>2283</v>
      </c>
      <c r="AL62" s="209"/>
      <c r="AM62" s="209">
        <v>44880</v>
      </c>
      <c r="AN62" s="209"/>
      <c r="AO62" s="199">
        <f t="shared" ca="1" si="8"/>
        <v>44958</v>
      </c>
      <c r="AP62" s="208">
        <f t="shared" ca="1" si="9"/>
        <v>78</v>
      </c>
      <c r="AQ62" s="208" t="str">
        <f t="shared" si="10"/>
        <v/>
      </c>
      <c r="AR62" s="209"/>
      <c r="AS62" s="209" t="s">
        <v>4778</v>
      </c>
      <c r="AT62" s="210">
        <v>12.1</v>
      </c>
      <c r="AU62" s="210">
        <v>12.11</v>
      </c>
      <c r="AV62" s="210">
        <v>12.134999999999998</v>
      </c>
      <c r="AW62" s="210">
        <v>12.139999999999999</v>
      </c>
      <c r="AX62" s="200">
        <f t="shared" ca="1" si="11"/>
        <v>59</v>
      </c>
      <c r="AY62" s="200">
        <v>459</v>
      </c>
      <c r="BA62" s="200" t="s">
        <v>123</v>
      </c>
      <c r="BN62" s="211"/>
    </row>
    <row r="63" spans="1:66" s="200" customFormat="1" ht="18.75" customHeight="1" x14ac:dyDescent="0.25">
      <c r="A63" s="199">
        <v>44956</v>
      </c>
      <c r="B63" s="204">
        <f ca="1">IF(A63="",(IF(ISNUMBER(SUBSTITUTE(LEFT(RIGHT(E63,LEN(E63)-MIN(SEARCH({1,2,3,4,5,6,7,8,9,0},E63&amp;"1234567890"))+1),10),".","/"))=TRUE,AO63-(SUBSTITUTE(LEFT(RIGHT(E63,LEN(E63)-MIN(SEARCH({1,2,3,4,5,6,7,8,9,0},E63&amp;"1234567890"))+1),10),".","/")),IF((SUBSTITUTE(LEFT(RIGHT(E63,LEN(E63)-MIN(SEARCH({1,2,3,4,5,6,7,8,9,0},E63&amp;"1234567890"))+1),10),".","/"))="","",(AO63)-(MID(RIGHT((SUBSTITUTE(LEFT(RIGHT(E63,LEN(E63)-MIN(SEARCH({1,2,3,4,5,6,7,8,9,0},E63&amp;"1234567890"))+1),10),".","/")),10),4,2)&amp;"/"&amp;LEFT((RIGHT((SUBSTITUTE(LEFT(RIGHT(E63,LEN(E63)-MIN(SEARCH({1,2,3,4,5,6,7,8,9,0},E63&amp;"1234567890"))+1),10),".","/")),10)),2)&amp;"/"&amp;RIGHT((SUBSTITUTE(LEFT(RIGHT(E63,LEN(E63)-MIN(SEARCH({1,2,3,4,5,6,7,8,9,0},E63&amp;"1234567890"))+1),10),".","/")),4))))),(AO63-A63))</f>
        <v>2</v>
      </c>
      <c r="C63" s="199"/>
      <c r="D63" s="201" t="str">
        <f t="shared" si="7"/>
        <v>FGC-304/2B-1.10X760</v>
      </c>
      <c r="E63" s="201" t="s">
        <v>5395</v>
      </c>
      <c r="F63" s="201" t="s">
        <v>5100</v>
      </c>
      <c r="G63" s="201" t="s">
        <v>5400</v>
      </c>
      <c r="H63" s="201">
        <v>304</v>
      </c>
      <c r="I63" s="202" t="s">
        <v>114</v>
      </c>
      <c r="J63" s="203">
        <v>2.89</v>
      </c>
      <c r="K63" s="203">
        <v>1.1000000000000001</v>
      </c>
      <c r="L63" s="203">
        <v>1.07</v>
      </c>
      <c r="M63" s="203">
        <v>1.0900000000000001</v>
      </c>
      <c r="N63" s="204">
        <v>776</v>
      </c>
      <c r="O63" s="381">
        <v>4.0650000000000004</v>
      </c>
      <c r="P63" s="413">
        <v>4.1100000000000003</v>
      </c>
      <c r="Q63" s="185">
        <v>760</v>
      </c>
      <c r="R63" s="430"/>
      <c r="S63" s="414"/>
      <c r="T63" s="371" t="s">
        <v>4972</v>
      </c>
      <c r="U63" s="206" t="s">
        <v>4358</v>
      </c>
      <c r="V63" s="206"/>
      <c r="W63" s="185" t="s">
        <v>114</v>
      </c>
      <c r="X63" s="205">
        <v>44899</v>
      </c>
      <c r="Y63" s="205"/>
      <c r="Z63" s="205">
        <v>44899</v>
      </c>
      <c r="AA63" s="205"/>
      <c r="AB63" s="205"/>
      <c r="AC63" s="205">
        <v>44956</v>
      </c>
      <c r="AD63" s="205"/>
      <c r="AE63" s="205"/>
      <c r="AF63" s="205"/>
      <c r="AG63" s="205"/>
      <c r="AH63" s="207" t="s">
        <v>1609</v>
      </c>
      <c r="AI63" s="208" t="s">
        <v>69</v>
      </c>
      <c r="AJ63" s="208" t="s">
        <v>142</v>
      </c>
      <c r="AK63" s="209" t="s">
        <v>2283</v>
      </c>
      <c r="AL63" s="209"/>
      <c r="AM63" s="209">
        <v>44880</v>
      </c>
      <c r="AN63" s="209"/>
      <c r="AO63" s="199">
        <f t="shared" ca="1" si="8"/>
        <v>44958</v>
      </c>
      <c r="AP63" s="208">
        <f t="shared" ca="1" si="9"/>
        <v>78</v>
      </c>
      <c r="AQ63" s="208" t="str">
        <f t="shared" si="10"/>
        <v/>
      </c>
      <c r="AR63" s="209"/>
      <c r="AS63" s="209" t="s">
        <v>4778</v>
      </c>
      <c r="AT63" s="210">
        <v>12.1</v>
      </c>
      <c r="AU63" s="210">
        <v>12.11</v>
      </c>
      <c r="AV63" s="210">
        <v>12.134999999999998</v>
      </c>
      <c r="AW63" s="210">
        <v>12.139999999999999</v>
      </c>
      <c r="AX63" s="200">
        <f t="shared" ca="1" si="11"/>
        <v>59</v>
      </c>
      <c r="AY63" s="200">
        <v>459</v>
      </c>
      <c r="BA63" s="200" t="s">
        <v>123</v>
      </c>
      <c r="BN63" s="211"/>
    </row>
    <row r="64" spans="1:66" s="200" customFormat="1" ht="18.75" customHeight="1" x14ac:dyDescent="0.25">
      <c r="A64" s="199">
        <v>44956</v>
      </c>
      <c r="B64" s="204">
        <f ca="1">IF(A64="",(IF(ISNUMBER(SUBSTITUTE(LEFT(RIGHT(E64,LEN(E64)-MIN(SEARCH({1,2,3,4,5,6,7,8,9,0},E64&amp;"1234567890"))+1),10),".","/"))=TRUE,AO64-(SUBSTITUTE(LEFT(RIGHT(E64,LEN(E64)-MIN(SEARCH({1,2,3,4,5,6,7,8,9,0},E64&amp;"1234567890"))+1),10),".","/")),IF((SUBSTITUTE(LEFT(RIGHT(E64,LEN(E64)-MIN(SEARCH({1,2,3,4,5,6,7,8,9,0},E64&amp;"1234567890"))+1),10),".","/"))="","",(AO64)-(MID(RIGHT((SUBSTITUTE(LEFT(RIGHT(E64,LEN(E64)-MIN(SEARCH({1,2,3,4,5,6,7,8,9,0},E64&amp;"1234567890"))+1),10),".","/")),10),4,2)&amp;"/"&amp;LEFT((RIGHT((SUBSTITUTE(LEFT(RIGHT(E64,LEN(E64)-MIN(SEARCH({1,2,3,4,5,6,7,8,9,0},E64&amp;"1234567890"))+1),10),".","/")),10)),2)&amp;"/"&amp;RIGHT((SUBSTITUTE(LEFT(RIGHT(E64,LEN(E64)-MIN(SEARCH({1,2,3,4,5,6,7,8,9,0},E64&amp;"1234567890"))+1),10),".","/")),4))))),(AO64-A64))</f>
        <v>2</v>
      </c>
      <c r="C64" s="199"/>
      <c r="D64" s="201" t="str">
        <f t="shared" si="7"/>
        <v>FGC-304/2B-1.10X760</v>
      </c>
      <c r="E64" s="201" t="s">
        <v>5395</v>
      </c>
      <c r="F64" s="201" t="s">
        <v>5100</v>
      </c>
      <c r="G64" s="201" t="s">
        <v>5402</v>
      </c>
      <c r="H64" s="201">
        <v>304</v>
      </c>
      <c r="I64" s="202" t="s">
        <v>114</v>
      </c>
      <c r="J64" s="203">
        <v>2.89</v>
      </c>
      <c r="K64" s="203">
        <v>1.1000000000000001</v>
      </c>
      <c r="L64" s="203">
        <v>1.07</v>
      </c>
      <c r="M64" s="203">
        <v>1.0900000000000001</v>
      </c>
      <c r="N64" s="204">
        <v>776</v>
      </c>
      <c r="O64" s="381">
        <v>3.8849999999999998</v>
      </c>
      <c r="P64" s="413">
        <v>3.9350000000000001</v>
      </c>
      <c r="Q64" s="185">
        <v>760</v>
      </c>
      <c r="R64" s="413"/>
      <c r="S64" s="414"/>
      <c r="T64" s="371" t="s">
        <v>4972</v>
      </c>
      <c r="U64" s="206" t="s">
        <v>4358</v>
      </c>
      <c r="V64" s="206"/>
      <c r="W64" s="185" t="s">
        <v>114</v>
      </c>
      <c r="X64" s="205">
        <v>44899</v>
      </c>
      <c r="Y64" s="205"/>
      <c r="Z64" s="205">
        <v>44899</v>
      </c>
      <c r="AA64" s="205"/>
      <c r="AB64" s="205"/>
      <c r="AC64" s="205">
        <v>44956</v>
      </c>
      <c r="AD64" s="205"/>
      <c r="AE64" s="205"/>
      <c r="AF64" s="205"/>
      <c r="AG64" s="205"/>
      <c r="AH64" s="207" t="s">
        <v>1609</v>
      </c>
      <c r="AI64" s="208" t="s">
        <v>69</v>
      </c>
      <c r="AJ64" s="208" t="s">
        <v>142</v>
      </c>
      <c r="AK64" s="209" t="s">
        <v>2283</v>
      </c>
      <c r="AL64" s="209"/>
      <c r="AM64" s="209">
        <v>44880</v>
      </c>
      <c r="AN64" s="209"/>
      <c r="AO64" s="199">
        <f t="shared" ca="1" si="8"/>
        <v>44958</v>
      </c>
      <c r="AP64" s="208">
        <f t="shared" ca="1" si="9"/>
        <v>78</v>
      </c>
      <c r="AQ64" s="208" t="str">
        <f t="shared" si="10"/>
        <v/>
      </c>
      <c r="AR64" s="209"/>
      <c r="AS64" s="209" t="s">
        <v>4778</v>
      </c>
      <c r="AT64" s="210">
        <v>12.1</v>
      </c>
      <c r="AU64" s="210">
        <v>12.11</v>
      </c>
      <c r="AV64" s="210">
        <v>12.134999999999998</v>
      </c>
      <c r="AW64" s="210">
        <v>12.139999999999999</v>
      </c>
      <c r="AX64" s="200">
        <f t="shared" ca="1" si="11"/>
        <v>59</v>
      </c>
      <c r="AY64" s="200">
        <v>459</v>
      </c>
      <c r="BA64" s="200" t="s">
        <v>123</v>
      </c>
      <c r="BN64" s="211"/>
    </row>
    <row r="65" spans="1:66" s="200" customFormat="1" ht="18.75" customHeight="1" x14ac:dyDescent="0.25">
      <c r="A65" s="199">
        <v>44956</v>
      </c>
      <c r="B65" s="204">
        <f ca="1">IF(A65="",(IF(ISNUMBER(SUBSTITUTE(LEFT(RIGHT(E65,LEN(E65)-MIN(SEARCH({1,2,3,4,5,6,7,8,9,0},E65&amp;"1234567890"))+1),10),".","/"))=TRUE,AO65-(SUBSTITUTE(LEFT(RIGHT(E65,LEN(E65)-MIN(SEARCH({1,2,3,4,5,6,7,8,9,0},E65&amp;"1234567890"))+1),10),".","/")),IF((SUBSTITUTE(LEFT(RIGHT(E65,LEN(E65)-MIN(SEARCH({1,2,3,4,5,6,7,8,9,0},E65&amp;"1234567890"))+1),10),".","/"))="","",(AO65)-(MID(RIGHT((SUBSTITUTE(LEFT(RIGHT(E65,LEN(E65)-MIN(SEARCH({1,2,3,4,5,6,7,8,9,0},E65&amp;"1234567890"))+1),10),".","/")),10),4,2)&amp;"/"&amp;LEFT((RIGHT((SUBSTITUTE(LEFT(RIGHT(E65,LEN(E65)-MIN(SEARCH({1,2,3,4,5,6,7,8,9,0},E65&amp;"1234567890"))+1),10),".","/")),10)),2)&amp;"/"&amp;RIGHT((SUBSTITUTE(LEFT(RIGHT(E65,LEN(E65)-MIN(SEARCH({1,2,3,4,5,6,7,8,9,0},E65&amp;"1234567890"))+1),10),".","/")),4))))),(AO65-A65))</f>
        <v>2</v>
      </c>
      <c r="C65" s="199"/>
      <c r="D65" s="201" t="str">
        <f t="shared" si="7"/>
        <v>FGC-304L/2B-1.10X760</v>
      </c>
      <c r="E65" s="201" t="s">
        <v>5395</v>
      </c>
      <c r="F65" s="201" t="s">
        <v>5103</v>
      </c>
      <c r="G65" s="201" t="s">
        <v>5611</v>
      </c>
      <c r="H65" s="201" t="s">
        <v>182</v>
      </c>
      <c r="I65" s="202" t="s">
        <v>114</v>
      </c>
      <c r="J65" s="203">
        <v>2.89</v>
      </c>
      <c r="K65" s="203">
        <v>1.1000000000000001</v>
      </c>
      <c r="L65" s="203">
        <v>1.06</v>
      </c>
      <c r="M65" s="203">
        <v>1.1000000000000001</v>
      </c>
      <c r="N65" s="204">
        <v>767</v>
      </c>
      <c r="O65" s="381">
        <f>5.14</f>
        <v>5.14</v>
      </c>
      <c r="P65" s="413">
        <v>5.18</v>
      </c>
      <c r="Q65" s="185">
        <v>760</v>
      </c>
      <c r="R65" s="430"/>
      <c r="S65" s="414"/>
      <c r="T65" s="371" t="s">
        <v>4972</v>
      </c>
      <c r="U65" s="206" t="s">
        <v>4358</v>
      </c>
      <c r="V65" s="206"/>
      <c r="W65" s="185" t="s">
        <v>114</v>
      </c>
      <c r="X65" s="205">
        <v>44900</v>
      </c>
      <c r="Y65" s="205"/>
      <c r="Z65" s="205">
        <v>44900</v>
      </c>
      <c r="AA65" s="205"/>
      <c r="AB65" s="205"/>
      <c r="AC65" s="205">
        <v>44956</v>
      </c>
      <c r="AD65" s="205"/>
      <c r="AE65" s="205"/>
      <c r="AF65" s="205"/>
      <c r="AG65" s="205"/>
      <c r="AH65" s="207" t="s">
        <v>4789</v>
      </c>
      <c r="AI65" s="208" t="s">
        <v>69</v>
      </c>
      <c r="AJ65" s="208" t="s">
        <v>142</v>
      </c>
      <c r="AK65" s="209" t="s">
        <v>1594</v>
      </c>
      <c r="AL65" s="209"/>
      <c r="AM65" s="209">
        <v>44849</v>
      </c>
      <c r="AN65" s="209"/>
      <c r="AO65" s="199">
        <f t="shared" ca="1" si="8"/>
        <v>44958</v>
      </c>
      <c r="AP65" s="208">
        <f t="shared" ca="1" si="9"/>
        <v>109</v>
      </c>
      <c r="AQ65" s="208" t="str">
        <f t="shared" si="10"/>
        <v/>
      </c>
      <c r="AR65" s="209"/>
      <c r="AS65" s="209" t="s">
        <v>5105</v>
      </c>
      <c r="AT65" s="210">
        <v>10.335000000000001</v>
      </c>
      <c r="AU65" s="210">
        <v>10.345000000000001</v>
      </c>
      <c r="AV65" s="210">
        <v>10.37</v>
      </c>
      <c r="AW65" s="210">
        <v>10.375</v>
      </c>
      <c r="AX65" s="200">
        <f t="shared" ca="1" si="11"/>
        <v>58</v>
      </c>
      <c r="AY65" s="200">
        <v>456</v>
      </c>
      <c r="BA65" s="200" t="s">
        <v>123</v>
      </c>
      <c r="BN65" s="211"/>
    </row>
    <row r="66" spans="1:66" s="200" customFormat="1" ht="18.75" customHeight="1" x14ac:dyDescent="0.25">
      <c r="A66" s="199">
        <v>44956</v>
      </c>
      <c r="B66" s="204">
        <f ca="1">IF(A66="",(IF(ISNUMBER(SUBSTITUTE(LEFT(RIGHT(E66,LEN(E66)-MIN(SEARCH({1,2,3,4,5,6,7,8,9,0},E66&amp;"1234567890"))+1),10),".","/"))=TRUE,AO66-(SUBSTITUTE(LEFT(RIGHT(E66,LEN(E66)-MIN(SEARCH({1,2,3,4,5,6,7,8,9,0},E66&amp;"1234567890"))+1),10),".","/")),IF((SUBSTITUTE(LEFT(RIGHT(E66,LEN(E66)-MIN(SEARCH({1,2,3,4,5,6,7,8,9,0},E66&amp;"1234567890"))+1),10),".","/"))="","",(AO66)-(MID(RIGHT((SUBSTITUTE(LEFT(RIGHT(E66,LEN(E66)-MIN(SEARCH({1,2,3,4,5,6,7,8,9,0},E66&amp;"1234567890"))+1),10),".","/")),10),4,2)&amp;"/"&amp;LEFT((RIGHT((SUBSTITUTE(LEFT(RIGHT(E66,LEN(E66)-MIN(SEARCH({1,2,3,4,5,6,7,8,9,0},E66&amp;"1234567890"))+1),10),".","/")),10)),2)&amp;"/"&amp;RIGHT((SUBSTITUTE(LEFT(RIGHT(E66,LEN(E66)-MIN(SEARCH({1,2,3,4,5,6,7,8,9,0},E66&amp;"1234567890"))+1),10),".","/")),4))))),(AO66-A66))</f>
        <v>2</v>
      </c>
      <c r="C66" s="199"/>
      <c r="D66" s="201" t="str">
        <f t="shared" si="7"/>
        <v>FGC-304L/2B-1.10X760</v>
      </c>
      <c r="E66" s="201" t="s">
        <v>5395</v>
      </c>
      <c r="F66" s="201" t="s">
        <v>5103</v>
      </c>
      <c r="G66" s="201" t="s">
        <v>5612</v>
      </c>
      <c r="H66" s="201" t="s">
        <v>182</v>
      </c>
      <c r="I66" s="202" t="s">
        <v>114</v>
      </c>
      <c r="J66" s="203">
        <v>2.89</v>
      </c>
      <c r="K66" s="203">
        <v>1.1000000000000001</v>
      </c>
      <c r="L66" s="203">
        <v>1.06</v>
      </c>
      <c r="M66" s="203">
        <v>1.1000000000000001</v>
      </c>
      <c r="N66" s="204">
        <v>767</v>
      </c>
      <c r="O66" s="381">
        <v>5.08</v>
      </c>
      <c r="P66" s="413">
        <v>5.12</v>
      </c>
      <c r="Q66" s="185">
        <v>760</v>
      </c>
      <c r="R66" s="430"/>
      <c r="S66" s="414"/>
      <c r="T66" s="371" t="s">
        <v>4972</v>
      </c>
      <c r="U66" s="206" t="s">
        <v>4358</v>
      </c>
      <c r="V66" s="206"/>
      <c r="W66" s="185" t="s">
        <v>114</v>
      </c>
      <c r="X66" s="205">
        <v>44900</v>
      </c>
      <c r="Y66" s="205"/>
      <c r="Z66" s="205">
        <v>44900</v>
      </c>
      <c r="AA66" s="205"/>
      <c r="AB66" s="205"/>
      <c r="AC66" s="205">
        <v>44956</v>
      </c>
      <c r="AD66" s="205"/>
      <c r="AE66" s="205"/>
      <c r="AF66" s="205"/>
      <c r="AG66" s="205"/>
      <c r="AH66" s="207" t="s">
        <v>4789</v>
      </c>
      <c r="AI66" s="208" t="s">
        <v>69</v>
      </c>
      <c r="AJ66" s="208" t="s">
        <v>142</v>
      </c>
      <c r="AK66" s="209" t="s">
        <v>1594</v>
      </c>
      <c r="AL66" s="209"/>
      <c r="AM66" s="209">
        <v>44849</v>
      </c>
      <c r="AN66" s="209"/>
      <c r="AO66" s="199">
        <f t="shared" ca="1" si="8"/>
        <v>44958</v>
      </c>
      <c r="AP66" s="208">
        <f t="shared" ca="1" si="9"/>
        <v>109</v>
      </c>
      <c r="AQ66" s="208" t="str">
        <f t="shared" si="10"/>
        <v/>
      </c>
      <c r="AR66" s="209"/>
      <c r="AS66" s="209" t="s">
        <v>5105</v>
      </c>
      <c r="AT66" s="210">
        <v>10.335000000000001</v>
      </c>
      <c r="AU66" s="210">
        <v>10.345000000000001</v>
      </c>
      <c r="AV66" s="210">
        <v>10.37</v>
      </c>
      <c r="AW66" s="210">
        <v>10.375</v>
      </c>
      <c r="AX66" s="200">
        <f t="shared" ca="1" si="11"/>
        <v>58</v>
      </c>
      <c r="AY66" s="200">
        <v>456</v>
      </c>
      <c r="BA66" s="200" t="s">
        <v>123</v>
      </c>
      <c r="BN66" s="211"/>
    </row>
    <row r="67" spans="1:66" s="200" customFormat="1" ht="18.75" customHeight="1" x14ac:dyDescent="0.25">
      <c r="A67" s="199">
        <v>44957</v>
      </c>
      <c r="B67" s="204">
        <f ca="1">IF(A67="",(IF(ISNUMBER(SUBSTITUTE(LEFT(RIGHT(E67,LEN(E67)-MIN(SEARCH({1,2,3,4,5,6,7,8,9,0},E67&amp;"1234567890"))+1),10),".","/"))=TRUE,AO67-(SUBSTITUTE(LEFT(RIGHT(E67,LEN(E67)-MIN(SEARCH({1,2,3,4,5,6,7,8,9,0},E67&amp;"1234567890"))+1),10),".","/")),IF((SUBSTITUTE(LEFT(RIGHT(E67,LEN(E67)-MIN(SEARCH({1,2,3,4,5,6,7,8,9,0},E67&amp;"1234567890"))+1),10),".","/"))="","",(AO67)-(MID(RIGHT((SUBSTITUTE(LEFT(RIGHT(E67,LEN(E67)-MIN(SEARCH({1,2,3,4,5,6,7,8,9,0},E67&amp;"1234567890"))+1),10),".","/")),10),4,2)&amp;"/"&amp;LEFT((RIGHT((SUBSTITUTE(LEFT(RIGHT(E67,LEN(E67)-MIN(SEARCH({1,2,3,4,5,6,7,8,9,0},E67&amp;"1234567890"))+1),10),".","/")),10)),2)&amp;"/"&amp;RIGHT((SUBSTITUTE(LEFT(RIGHT(E67,LEN(E67)-MIN(SEARCH({1,2,3,4,5,6,7,8,9,0},E67&amp;"1234567890"))+1),10),".","/")),4))))),(AO67-A67))</f>
        <v>1</v>
      </c>
      <c r="C67" s="199"/>
      <c r="D67" s="201" t="str">
        <f>IF(Q67="MULTI","FGM","FGC")&amp;"-"&amp;H67&amp;"/"&amp;I67&amp;"-"&amp;TEXT(K67,"0.00")&amp;"X"&amp;IF(Q67="MULTI",N67,Q67)</f>
        <v>FGC-304/2B-1.10X760</v>
      </c>
      <c r="E67" s="201" t="s">
        <v>4974</v>
      </c>
      <c r="F67" s="201" t="s">
        <v>4970</v>
      </c>
      <c r="G67" s="201" t="s">
        <v>4975</v>
      </c>
      <c r="H67" s="201">
        <v>304</v>
      </c>
      <c r="I67" s="202" t="s">
        <v>114</v>
      </c>
      <c r="J67" s="203">
        <v>2.9</v>
      </c>
      <c r="K67" s="203">
        <v>1.1000000000000001</v>
      </c>
      <c r="L67" s="203">
        <v>1.0900000000000001</v>
      </c>
      <c r="M67" s="203">
        <v>1.1000000000000001</v>
      </c>
      <c r="N67" s="204">
        <v>768</v>
      </c>
      <c r="O67" s="381">
        <v>5.9649999999999999</v>
      </c>
      <c r="P67" s="413">
        <v>6.02</v>
      </c>
      <c r="Q67" s="185">
        <v>760</v>
      </c>
      <c r="R67" s="430"/>
      <c r="S67" s="414"/>
      <c r="T67" s="371" t="s">
        <v>4972</v>
      </c>
      <c r="U67" s="206" t="s">
        <v>4358</v>
      </c>
      <c r="V67" s="206"/>
      <c r="W67" s="185" t="s">
        <v>114</v>
      </c>
      <c r="X67" s="205">
        <v>44899</v>
      </c>
      <c r="Y67" s="205"/>
      <c r="Z67" s="205">
        <v>44900</v>
      </c>
      <c r="AA67" s="205"/>
      <c r="AB67" s="205"/>
      <c r="AC67" s="205"/>
      <c r="AD67" s="205"/>
      <c r="AE67" s="205"/>
      <c r="AF67" s="205"/>
      <c r="AG67" s="205"/>
      <c r="AH67" s="207" t="s">
        <v>1609</v>
      </c>
      <c r="AI67" s="208" t="s">
        <v>69</v>
      </c>
      <c r="AJ67" s="208" t="s">
        <v>142</v>
      </c>
      <c r="AK67" s="209" t="s">
        <v>1887</v>
      </c>
      <c r="AL67" s="209"/>
      <c r="AM67" s="209">
        <v>44880</v>
      </c>
      <c r="AN67" s="209"/>
      <c r="AO67" s="199">
        <f ca="1">TODAY()</f>
        <v>44958</v>
      </c>
      <c r="AP67" s="208">
        <f ca="1">IF(AM67&lt;&gt;0,AO67-AM67,0)</f>
        <v>78</v>
      </c>
      <c r="AQ67" s="208" t="str">
        <f>IF(ISNUMBER(AB67)=TRUE,AO67-AB67,IF(AB67="","",(AO67)-(MID(RIGHT(AB67,10),4,2)&amp;"/"&amp;LEFT((RIGHT(AB67,10)),2)&amp;"/"&amp;RIGHT(AB67,4))))</f>
        <v/>
      </c>
      <c r="AR67" s="209"/>
      <c r="AS67" s="209" t="s">
        <v>4973</v>
      </c>
      <c r="AT67" s="210">
        <v>10.445</v>
      </c>
      <c r="AU67" s="210">
        <v>10.455</v>
      </c>
      <c r="AV67" s="210">
        <v>10.479999999999999</v>
      </c>
      <c r="AW67" s="210">
        <v>10.484999999999999</v>
      </c>
      <c r="AX67" s="200" t="str">
        <f>IF(ISNUMBER(Y67)=TRUE,AO67-Y67,IF(Y67="","",(AO67)-(MID(RIGHT(Y67,10),4,2)&amp;"/"&amp;LEFT((RIGHT(Y67,10)),2)&amp;"/"&amp;RIGHT(Y67,4))))</f>
        <v/>
      </c>
      <c r="AY67" s="200">
        <v>459</v>
      </c>
      <c r="BA67" s="200" t="s">
        <v>123</v>
      </c>
      <c r="BN67" s="211"/>
    </row>
    <row r="68" spans="1:66" s="200" customFormat="1" ht="18.75" customHeight="1" x14ac:dyDescent="0.25">
      <c r="A68" s="199">
        <v>44957</v>
      </c>
      <c r="B68" s="204">
        <f ca="1">IF(A68="",(IF(ISNUMBER(SUBSTITUTE(LEFT(RIGHT(E68,LEN(E68)-MIN(SEARCH({1,2,3,4,5,6,7,8,9,0},E68&amp;"1234567890"))+1),10),".","/"))=TRUE,AO68-(SUBSTITUTE(LEFT(RIGHT(E68,LEN(E68)-MIN(SEARCH({1,2,3,4,5,6,7,8,9,0},E68&amp;"1234567890"))+1),10),".","/")),IF((SUBSTITUTE(LEFT(RIGHT(E68,LEN(E68)-MIN(SEARCH({1,2,3,4,5,6,7,8,9,0},E68&amp;"1234567890"))+1),10),".","/"))="","",(AO68)-(MID(RIGHT((SUBSTITUTE(LEFT(RIGHT(E68,LEN(E68)-MIN(SEARCH({1,2,3,4,5,6,7,8,9,0},E68&amp;"1234567890"))+1),10),".","/")),10),4,2)&amp;"/"&amp;LEFT((RIGHT((SUBSTITUTE(LEFT(RIGHT(E68,LEN(E68)-MIN(SEARCH({1,2,3,4,5,6,7,8,9,0},E68&amp;"1234567890"))+1),10),".","/")),10)),2)&amp;"/"&amp;RIGHT((SUBSTITUTE(LEFT(RIGHT(E68,LEN(E68)-MIN(SEARCH({1,2,3,4,5,6,7,8,9,0},E68&amp;"1234567890"))+1),10),".","/")),4))))),(AO68-A68))</f>
        <v>1</v>
      </c>
      <c r="C68" s="199"/>
      <c r="D68" s="201" t="str">
        <f>IF(Q68="MULTI","FGM","FGC")&amp;"-"&amp;H68&amp;"/"&amp;I68&amp;"-"&amp;TEXT(K68,"0.00")&amp;"X"&amp;IF(Q68="MULTI",N68,Q68)</f>
        <v>FGC-304/2B-1.10X760</v>
      </c>
      <c r="E68" s="201" t="s">
        <v>4974</v>
      </c>
      <c r="F68" s="201" t="s">
        <v>4976</v>
      </c>
      <c r="G68" s="201" t="s">
        <v>4977</v>
      </c>
      <c r="H68" s="201">
        <v>304</v>
      </c>
      <c r="I68" s="202" t="s">
        <v>114</v>
      </c>
      <c r="J68" s="203">
        <v>2.89</v>
      </c>
      <c r="K68" s="203">
        <v>1.1000000000000001</v>
      </c>
      <c r="L68" s="203">
        <v>1.0900000000000001</v>
      </c>
      <c r="M68" s="203">
        <v>1.1000000000000001</v>
      </c>
      <c r="N68" s="204">
        <v>767</v>
      </c>
      <c r="O68" s="381">
        <v>5.165</v>
      </c>
      <c r="P68" s="413">
        <v>5.2249999999999996</v>
      </c>
      <c r="Q68" s="185">
        <v>760</v>
      </c>
      <c r="R68" s="430"/>
      <c r="S68" s="414"/>
      <c r="T68" s="371" t="s">
        <v>4972</v>
      </c>
      <c r="U68" s="206" t="s">
        <v>4358</v>
      </c>
      <c r="V68" s="206"/>
      <c r="W68" s="185" t="s">
        <v>114</v>
      </c>
      <c r="X68" s="205">
        <v>44900</v>
      </c>
      <c r="Y68" s="205"/>
      <c r="Z68" s="205">
        <v>44900</v>
      </c>
      <c r="AA68" s="205"/>
      <c r="AB68" s="205"/>
      <c r="AC68" s="205"/>
      <c r="AD68" s="205"/>
      <c r="AE68" s="205"/>
      <c r="AF68" s="205"/>
      <c r="AG68" s="205"/>
      <c r="AH68" s="207" t="s">
        <v>1609</v>
      </c>
      <c r="AI68" s="208" t="s">
        <v>69</v>
      </c>
      <c r="AJ68" s="208" t="s">
        <v>142</v>
      </c>
      <c r="AK68" s="209" t="s">
        <v>1653</v>
      </c>
      <c r="AL68" s="209"/>
      <c r="AM68" s="209">
        <v>44880</v>
      </c>
      <c r="AN68" s="209"/>
      <c r="AO68" s="199">
        <f ca="1">TODAY()</f>
        <v>44958</v>
      </c>
      <c r="AP68" s="208">
        <f ca="1">IF(AM68&lt;&gt;0,AO68-AM68,0)</f>
        <v>78</v>
      </c>
      <c r="AQ68" s="208" t="str">
        <f>IF(ISNUMBER(AB68)=TRUE,AO68-AB68,IF(AB68="","",(AO68)-(MID(RIGHT(AB68,10),4,2)&amp;"/"&amp;LEFT((RIGHT(AB68,10)),2)&amp;"/"&amp;RIGHT(AB68,4))))</f>
        <v/>
      </c>
      <c r="AR68" s="209"/>
      <c r="AS68" s="209" t="s">
        <v>4978</v>
      </c>
      <c r="AT68" s="210">
        <v>10.48</v>
      </c>
      <c r="AU68" s="210">
        <v>10.49</v>
      </c>
      <c r="AV68" s="210">
        <v>10.514999999999999</v>
      </c>
      <c r="AW68" s="210">
        <v>10.52</v>
      </c>
      <c r="AX68" s="200" t="str">
        <f>IF(ISNUMBER(Y68)=TRUE,AO68-Y68,IF(Y68="","",(AO68)-(MID(RIGHT(Y68,10),4,2)&amp;"/"&amp;LEFT((RIGHT(Y68,10)),2)&amp;"/"&amp;RIGHT(Y68,4))))</f>
        <v/>
      </c>
      <c r="AY68" s="200">
        <v>459</v>
      </c>
      <c r="BA68" s="200" t="s">
        <v>123</v>
      </c>
      <c r="BN68" s="211"/>
    </row>
    <row r="69" spans="1:66" s="200" customFormat="1" ht="18.75" customHeight="1" x14ac:dyDescent="0.25">
      <c r="A69" s="199">
        <v>44957</v>
      </c>
      <c r="B69" s="204">
        <f ca="1">IF(A69="",(IF(ISNUMBER(SUBSTITUTE(LEFT(RIGHT(E69,LEN(E69)-MIN(SEARCH({1,2,3,4,5,6,7,8,9,0},E69&amp;"1234567890"))+1),10),".","/"))=TRUE,AO69-(SUBSTITUTE(LEFT(RIGHT(E69,LEN(E69)-MIN(SEARCH({1,2,3,4,5,6,7,8,9,0},E69&amp;"1234567890"))+1),10),".","/")),IF((SUBSTITUTE(LEFT(RIGHT(E69,LEN(E69)-MIN(SEARCH({1,2,3,4,5,6,7,8,9,0},E69&amp;"1234567890"))+1),10),".","/"))="","",(AO69)-(MID(RIGHT((SUBSTITUTE(LEFT(RIGHT(E69,LEN(E69)-MIN(SEARCH({1,2,3,4,5,6,7,8,9,0},E69&amp;"1234567890"))+1),10),".","/")),10),4,2)&amp;"/"&amp;LEFT((RIGHT((SUBSTITUTE(LEFT(RIGHT(E69,LEN(E69)-MIN(SEARCH({1,2,3,4,5,6,7,8,9,0},E69&amp;"1234567890"))+1),10),".","/")),10)),2)&amp;"/"&amp;RIGHT((SUBSTITUTE(LEFT(RIGHT(E69,LEN(E69)-MIN(SEARCH({1,2,3,4,5,6,7,8,9,0},E69&amp;"1234567890"))+1),10),".","/")),4))))),(AO69-A69))</f>
        <v>1</v>
      </c>
      <c r="C69" s="199"/>
      <c r="D69" s="201" t="str">
        <f>IF(Q69="MULTI","FGM","FGC")&amp;"-"&amp;H69&amp;"/"&amp;I69&amp;"-"&amp;TEXT(K69,"0.00")&amp;"X"&amp;IF(Q69="MULTI",N69,Q69)</f>
        <v>FGC-304/2B-1.10X760</v>
      </c>
      <c r="E69" s="201" t="s">
        <v>5412</v>
      </c>
      <c r="F69" s="201" t="s">
        <v>4976</v>
      </c>
      <c r="G69" s="201" t="s">
        <v>4980</v>
      </c>
      <c r="H69" s="201">
        <v>304</v>
      </c>
      <c r="I69" s="202" t="s">
        <v>114</v>
      </c>
      <c r="J69" s="203">
        <v>2.89</v>
      </c>
      <c r="K69" s="203">
        <v>1.1000000000000001</v>
      </c>
      <c r="L69" s="203">
        <v>1.0900000000000001</v>
      </c>
      <c r="M69" s="203">
        <v>1.1000000000000001</v>
      </c>
      <c r="N69" s="204">
        <v>767</v>
      </c>
      <c r="O69" s="381">
        <v>5.2450000000000001</v>
      </c>
      <c r="P69" s="413">
        <v>5.3</v>
      </c>
      <c r="Q69" s="185">
        <v>760</v>
      </c>
      <c r="R69" s="430"/>
      <c r="S69" s="414"/>
      <c r="T69" s="371" t="s">
        <v>4972</v>
      </c>
      <c r="U69" s="206" t="s">
        <v>4358</v>
      </c>
      <c r="V69" s="206"/>
      <c r="W69" s="185" t="s">
        <v>114</v>
      </c>
      <c r="X69" s="205">
        <v>44900</v>
      </c>
      <c r="Y69" s="205"/>
      <c r="Z69" s="205">
        <v>44900</v>
      </c>
      <c r="AA69" s="205"/>
      <c r="AB69" s="205">
        <v>44957</v>
      </c>
      <c r="AC69" s="205"/>
      <c r="AD69" s="205"/>
      <c r="AE69" s="205"/>
      <c r="AF69" s="205"/>
      <c r="AG69" s="205"/>
      <c r="AH69" s="207" t="s">
        <v>1609</v>
      </c>
      <c r="AI69" s="208" t="s">
        <v>69</v>
      </c>
      <c r="AJ69" s="208" t="s">
        <v>142</v>
      </c>
      <c r="AK69" s="209" t="s">
        <v>1653</v>
      </c>
      <c r="AL69" s="209"/>
      <c r="AM69" s="209">
        <v>44880</v>
      </c>
      <c r="AN69" s="209"/>
      <c r="AO69" s="199">
        <f ca="1">TODAY()</f>
        <v>44958</v>
      </c>
      <c r="AP69" s="208">
        <f ca="1">IF(AM69&lt;&gt;0,AO69-AM69,0)</f>
        <v>78</v>
      </c>
      <c r="AQ69" s="208">
        <f ca="1">IF(ISNUMBER(AB69)=TRUE,AO69-AB69,IF(AB69="","",(AO69)-(MID(RIGHT(AB69,10),4,2)&amp;"/"&amp;LEFT((RIGHT(AB69,10)),2)&amp;"/"&amp;RIGHT(AB69,4))))</f>
        <v>1</v>
      </c>
      <c r="AR69" s="209"/>
      <c r="AS69" s="209" t="s">
        <v>4978</v>
      </c>
      <c r="AT69" s="210">
        <v>10.48</v>
      </c>
      <c r="AU69" s="210">
        <v>10.49</v>
      </c>
      <c r="AV69" s="210">
        <v>10.514999999999999</v>
      </c>
      <c r="AW69" s="210">
        <v>10.52</v>
      </c>
      <c r="AX69" s="200" t="str">
        <f>IF(ISNUMBER(Y69)=TRUE,AO69-Y69,IF(Y69="","",(AO69)-(MID(RIGHT(Y69,10),4,2)&amp;"/"&amp;LEFT((RIGHT(Y69,10)),2)&amp;"/"&amp;RIGHT(Y69,4))))</f>
        <v/>
      </c>
      <c r="AY69" s="200">
        <v>459</v>
      </c>
      <c r="BA69" s="200" t="s">
        <v>123</v>
      </c>
      <c r="BN69" s="211"/>
    </row>
    <row r="70" spans="1:66" s="200" customFormat="1" ht="18.75" customHeight="1" x14ac:dyDescent="0.25">
      <c r="A70" s="431"/>
      <c r="B70" s="363"/>
      <c r="C70" s="416"/>
      <c r="D70" s="361"/>
      <c r="E70" s="361"/>
      <c r="F70" s="361"/>
      <c r="G70" s="361"/>
      <c r="H70" s="361"/>
      <c r="I70" s="336"/>
      <c r="J70" s="417"/>
      <c r="K70" s="417"/>
      <c r="L70" s="417"/>
      <c r="M70" s="417"/>
      <c r="N70" s="363"/>
      <c r="O70" s="418">
        <f>SUM(O60:O69)</f>
        <v>48.86999999999999</v>
      </c>
      <c r="P70" s="419"/>
      <c r="Q70" s="390"/>
      <c r="R70" s="435"/>
      <c r="S70" s="422"/>
      <c r="T70" s="423"/>
      <c r="U70" s="423"/>
      <c r="V70" s="423"/>
      <c r="W70" s="390"/>
      <c r="X70" s="424"/>
      <c r="Y70" s="424"/>
      <c r="Z70" s="424"/>
      <c r="AA70" s="424"/>
      <c r="AB70" s="424"/>
      <c r="AC70" s="424"/>
      <c r="AD70" s="424"/>
      <c r="AE70" s="424"/>
      <c r="AF70" s="424"/>
      <c r="AG70" s="424"/>
      <c r="AH70" s="425"/>
      <c r="AK70" s="426"/>
      <c r="AL70" s="426"/>
      <c r="AM70" s="426"/>
      <c r="AN70" s="426"/>
      <c r="AO70" s="416"/>
      <c r="AR70" s="426"/>
      <c r="AS70" s="426"/>
      <c r="AT70" s="427"/>
      <c r="AU70" s="427"/>
      <c r="AV70" s="427"/>
      <c r="AW70" s="427"/>
      <c r="BN70" s="436"/>
    </row>
    <row r="71" spans="1:66" s="200" customFormat="1" ht="18.75" customHeight="1" x14ac:dyDescent="0.25">
      <c r="A71" s="431"/>
      <c r="B71" s="363"/>
      <c r="C71" s="416"/>
      <c r="D71" s="361"/>
      <c r="E71" s="361"/>
      <c r="F71" s="361"/>
      <c r="G71" s="361"/>
      <c r="H71" s="361"/>
      <c r="I71" s="336"/>
      <c r="J71" s="417"/>
      <c r="K71" s="417"/>
      <c r="L71" s="417"/>
      <c r="M71" s="417"/>
      <c r="N71" s="363"/>
      <c r="O71" s="418"/>
      <c r="P71" s="419"/>
      <c r="Q71" s="390"/>
      <c r="R71" s="435"/>
      <c r="S71" s="422"/>
      <c r="T71" s="423"/>
      <c r="U71" s="423"/>
      <c r="V71" s="423"/>
      <c r="W71" s="390"/>
      <c r="X71" s="424"/>
      <c r="Y71" s="424"/>
      <c r="Z71" s="424"/>
      <c r="AA71" s="424"/>
      <c r="AB71" s="424"/>
      <c r="AC71" s="424"/>
      <c r="AD71" s="424"/>
      <c r="AE71" s="424"/>
      <c r="AF71" s="424"/>
      <c r="AG71" s="424"/>
      <c r="AH71" s="425"/>
      <c r="AK71" s="426"/>
      <c r="AL71" s="426"/>
      <c r="AM71" s="426"/>
      <c r="AN71" s="426"/>
      <c r="AO71" s="416"/>
      <c r="AR71" s="426"/>
      <c r="AS71" s="426"/>
      <c r="AT71" s="427"/>
      <c r="AU71" s="427"/>
      <c r="AV71" s="427"/>
      <c r="AW71" s="427"/>
      <c r="BN71" s="436"/>
    </row>
    <row r="72" spans="1:66" s="200" customFormat="1" ht="18.75" customHeight="1" x14ac:dyDescent="0.25">
      <c r="A72" s="431" t="s">
        <v>5613</v>
      </c>
      <c r="B72" s="363"/>
      <c r="C72" s="416"/>
      <c r="D72" s="361"/>
      <c r="E72" s="361"/>
      <c r="F72" s="361"/>
      <c r="G72" s="361"/>
      <c r="H72" s="361"/>
      <c r="I72" s="336"/>
      <c r="J72" s="417"/>
      <c r="K72" s="417"/>
      <c r="L72" s="417"/>
      <c r="M72" s="417"/>
      <c r="N72" s="363"/>
      <c r="O72" s="418"/>
      <c r="P72" s="419"/>
      <c r="Q72" s="390"/>
      <c r="R72" s="435"/>
      <c r="S72" s="422"/>
      <c r="T72" s="423"/>
      <c r="U72" s="423"/>
      <c r="V72" s="423"/>
      <c r="W72" s="390"/>
      <c r="X72" s="424"/>
      <c r="Y72" s="424"/>
      <c r="Z72" s="424"/>
      <c r="AA72" s="424"/>
      <c r="AB72" s="424"/>
      <c r="AC72" s="424"/>
      <c r="AD72" s="424"/>
      <c r="AE72" s="424"/>
      <c r="AF72" s="424"/>
      <c r="AG72" s="424"/>
      <c r="AH72" s="425"/>
      <c r="AK72" s="426"/>
      <c r="AL72" s="426"/>
      <c r="AM72" s="426"/>
      <c r="AN72" s="426"/>
      <c r="AO72" s="416"/>
      <c r="AR72" s="426"/>
      <c r="AS72" s="426"/>
      <c r="AT72" s="427"/>
      <c r="AU72" s="427"/>
      <c r="AV72" s="427"/>
      <c r="AW72" s="427"/>
      <c r="BN72" s="436"/>
    </row>
    <row r="73" spans="1:66" s="200" customFormat="1" ht="18.75" customHeight="1" x14ac:dyDescent="0.25">
      <c r="A73" s="199">
        <v>44935</v>
      </c>
      <c r="B73" s="204">
        <f ca="1">IF(A73="",(IF(ISNUMBER(SUBSTITUTE(LEFT(RIGHT(E73,LEN(E73)-MIN(SEARCH({1,2,3,4,5,6,7,8,9,0},E73&amp;"1234567890"))+1),10),".","/"))=TRUE,AO73-(SUBSTITUTE(LEFT(RIGHT(E73,LEN(E73)-MIN(SEARCH({1,2,3,4,5,6,7,8,9,0},E73&amp;"1234567890"))+1),10),".","/")),IF((SUBSTITUTE(LEFT(RIGHT(E73,LEN(E73)-MIN(SEARCH({1,2,3,4,5,6,7,8,9,0},E73&amp;"1234567890"))+1),10),".","/"))="","",(AO73)-(MID(RIGHT((SUBSTITUTE(LEFT(RIGHT(E73,LEN(E73)-MIN(SEARCH({1,2,3,4,5,6,7,8,9,0},E73&amp;"1234567890"))+1),10),".","/")),10),4,2)&amp;"/"&amp;LEFT((RIGHT((SUBSTITUTE(LEFT(RIGHT(E73,LEN(E73)-MIN(SEARCH({1,2,3,4,5,6,7,8,9,0},E73&amp;"1234567890"))+1),10),".","/")),10)),2)&amp;"/"&amp;RIGHT((SUBSTITUTE(LEFT(RIGHT(E73,LEN(E73)-MIN(SEARCH({1,2,3,4,5,6,7,8,9,0},E73&amp;"1234567890"))+1),10),".","/")),4))))),(AO73-A73))</f>
        <v>23</v>
      </c>
      <c r="C73" s="199"/>
      <c r="D73" s="201" t="str">
        <f>IF(Q73="MULTI","FGM","FGC")&amp;"-"&amp;H73&amp;"/"&amp;I73&amp;"-"&amp;TEXT(K73,"0.00")&amp;"X"&amp;IF(Q73="MULTI",N73,Q73)</f>
        <v>FGC-316L/2B-2.00X760</v>
      </c>
      <c r="E73" s="201" t="s">
        <v>5163</v>
      </c>
      <c r="F73" s="201" t="s">
        <v>3851</v>
      </c>
      <c r="G73" s="201" t="s">
        <v>5614</v>
      </c>
      <c r="H73" s="201" t="s">
        <v>135</v>
      </c>
      <c r="I73" s="202" t="s">
        <v>114</v>
      </c>
      <c r="J73" s="203">
        <v>3.92</v>
      </c>
      <c r="K73" s="203">
        <v>2</v>
      </c>
      <c r="L73" s="203">
        <v>1.98</v>
      </c>
      <c r="M73" s="203">
        <v>2</v>
      </c>
      <c r="N73" s="204">
        <v>777</v>
      </c>
      <c r="O73" s="381">
        <f>4.785</f>
        <v>4.7850000000000001</v>
      </c>
      <c r="P73" s="413">
        <v>4.82</v>
      </c>
      <c r="Q73" s="185">
        <v>760</v>
      </c>
      <c r="R73" s="430"/>
      <c r="S73" s="414"/>
      <c r="T73" s="371" t="s">
        <v>5615</v>
      </c>
      <c r="U73" s="206" t="s">
        <v>1540</v>
      </c>
      <c r="V73" s="206"/>
      <c r="W73" s="185" t="s">
        <v>114</v>
      </c>
      <c r="X73" s="205">
        <v>44928</v>
      </c>
      <c r="Y73" s="205"/>
      <c r="Z73" s="205">
        <v>44929</v>
      </c>
      <c r="AA73" s="205"/>
      <c r="AB73" s="205">
        <v>44934</v>
      </c>
      <c r="AC73" s="205"/>
      <c r="AD73" s="205"/>
      <c r="AE73" s="205">
        <v>44909</v>
      </c>
      <c r="AF73" s="205"/>
      <c r="AG73" s="205"/>
      <c r="AH73" s="207" t="s">
        <v>2374</v>
      </c>
      <c r="AI73" s="208" t="s">
        <v>69</v>
      </c>
      <c r="AJ73" s="208" t="s">
        <v>142</v>
      </c>
      <c r="AK73" s="209" t="s">
        <v>1887</v>
      </c>
      <c r="AL73" s="209"/>
      <c r="AM73" s="209">
        <v>44880</v>
      </c>
      <c r="AN73" s="209"/>
      <c r="AO73" s="199">
        <f ca="1">TODAY()</f>
        <v>44958</v>
      </c>
      <c r="AP73" s="208">
        <f ca="1">IF(AM73&lt;&gt;0,AO73-AM73,0)</f>
        <v>78</v>
      </c>
      <c r="AQ73" s="208">
        <f ca="1">IF(ISNUMBER(AB73)=TRUE,AO73-AB73,IF(AB73="","",(AO73)-(MID(RIGHT(AB73,10),4,2)&amp;"/"&amp;LEFT((RIGHT(AB73,10)),2)&amp;"/"&amp;RIGHT(AB73,4))))</f>
        <v>24</v>
      </c>
      <c r="AR73" s="209"/>
      <c r="AS73" s="209" t="s">
        <v>3853</v>
      </c>
      <c r="AT73" s="210">
        <v>21.605</v>
      </c>
      <c r="AU73" s="210">
        <v>21.664999999999999</v>
      </c>
      <c r="AV73" s="210">
        <v>21.69</v>
      </c>
      <c r="AW73" s="210">
        <v>21.695</v>
      </c>
      <c r="AX73" s="200">
        <f ca="1">IF(ISNUMBER(Z73)=TRUE,AO73-Z73,IF(Z73="","",(AO73)-(MID(RIGHT(Z73,10),4,2)&amp;"/"&amp;LEFT((RIGHT(Z73,10)),2)&amp;"/"&amp;RIGHT(Z73,4))))</f>
        <v>29</v>
      </c>
      <c r="AY73" s="200">
        <v>460</v>
      </c>
      <c r="BA73" s="200" t="s">
        <v>123</v>
      </c>
      <c r="BN73" s="211"/>
    </row>
    <row r="74" spans="1:66" s="200" customFormat="1" ht="18.75" customHeight="1" x14ac:dyDescent="0.25">
      <c r="A74" s="199">
        <v>44935</v>
      </c>
      <c r="B74" s="204">
        <f ca="1">IF(A74="",(IF(ISNUMBER(SUBSTITUTE(LEFT(RIGHT(E74,LEN(E74)-MIN(SEARCH({1,2,3,4,5,6,7,8,9,0},E74&amp;"1234567890"))+1),10),".","/"))=TRUE,AO74-(SUBSTITUTE(LEFT(RIGHT(E74,LEN(E74)-MIN(SEARCH({1,2,3,4,5,6,7,8,9,0},E74&amp;"1234567890"))+1),10),".","/")),IF((SUBSTITUTE(LEFT(RIGHT(E74,LEN(E74)-MIN(SEARCH({1,2,3,4,5,6,7,8,9,0},E74&amp;"1234567890"))+1),10),".","/"))="","",(AO74)-(MID(RIGHT((SUBSTITUTE(LEFT(RIGHT(E74,LEN(E74)-MIN(SEARCH({1,2,3,4,5,6,7,8,9,0},E74&amp;"1234567890"))+1),10),".","/")),10),4,2)&amp;"/"&amp;LEFT((RIGHT((SUBSTITUTE(LEFT(RIGHT(E74,LEN(E74)-MIN(SEARCH({1,2,3,4,5,6,7,8,9,0},E74&amp;"1234567890"))+1),10),".","/")),10)),2)&amp;"/"&amp;RIGHT((SUBSTITUTE(LEFT(RIGHT(E74,LEN(E74)-MIN(SEARCH({1,2,3,4,5,6,7,8,9,0},E74&amp;"1234567890"))+1),10),".","/")),4))))),(AO74-A74))</f>
        <v>23</v>
      </c>
      <c r="C74" s="199"/>
      <c r="D74" s="201" t="str">
        <f>IF(Q74="MULTI","FGM","FGC")&amp;"-"&amp;H74&amp;"/"&amp;I74&amp;"-"&amp;TEXT(K74,"0.00")&amp;"X"&amp;IF(Q74="MULTI",N74,Q74)</f>
        <v>FGC-316L/2B-1.50X760</v>
      </c>
      <c r="E74" s="201" t="s">
        <v>5163</v>
      </c>
      <c r="F74" s="201" t="s">
        <v>4599</v>
      </c>
      <c r="G74" s="201" t="s">
        <v>5616</v>
      </c>
      <c r="H74" s="201" t="s">
        <v>135</v>
      </c>
      <c r="I74" s="202" t="s">
        <v>114</v>
      </c>
      <c r="J74" s="203">
        <v>3.92</v>
      </c>
      <c r="K74" s="203">
        <v>1.5</v>
      </c>
      <c r="L74" s="203">
        <v>1.5</v>
      </c>
      <c r="M74" s="203">
        <v>1.53</v>
      </c>
      <c r="N74" s="204">
        <v>777</v>
      </c>
      <c r="O74" s="381">
        <f>4.81</f>
        <v>4.8099999999999996</v>
      </c>
      <c r="P74" s="413">
        <v>4.87</v>
      </c>
      <c r="Q74" s="185">
        <v>760</v>
      </c>
      <c r="R74" s="430"/>
      <c r="S74" s="414"/>
      <c r="T74" s="371" t="s">
        <v>5615</v>
      </c>
      <c r="U74" s="206" t="s">
        <v>1540</v>
      </c>
      <c r="V74" s="206"/>
      <c r="W74" s="185" t="s">
        <v>114</v>
      </c>
      <c r="X74" s="205">
        <v>44925</v>
      </c>
      <c r="Y74" s="205"/>
      <c r="Z74" s="205">
        <v>44925</v>
      </c>
      <c r="AA74" s="205"/>
      <c r="AB74" s="205">
        <v>44934</v>
      </c>
      <c r="AC74" s="205"/>
      <c r="AD74" s="205"/>
      <c r="AE74" s="205">
        <v>44909</v>
      </c>
      <c r="AF74" s="205"/>
      <c r="AG74" s="205"/>
      <c r="AH74" s="207" t="s">
        <v>2374</v>
      </c>
      <c r="AI74" s="208" t="s">
        <v>69</v>
      </c>
      <c r="AJ74" s="208" t="s">
        <v>142</v>
      </c>
      <c r="AK74" s="209" t="s">
        <v>1887</v>
      </c>
      <c r="AL74" s="209"/>
      <c r="AM74" s="209">
        <v>44880</v>
      </c>
      <c r="AN74" s="209"/>
      <c r="AO74" s="199">
        <f ca="1">TODAY()</f>
        <v>44958</v>
      </c>
      <c r="AP74" s="208">
        <f ca="1">IF(AM74&lt;&gt;0,AO74-AM74,0)</f>
        <v>78</v>
      </c>
      <c r="AQ74" s="208">
        <f ca="1">IF(ISNUMBER(AB74)=TRUE,AO74-AB74,IF(AB74="","",(AO74)-(MID(RIGHT(AB74,10),4,2)&amp;"/"&amp;LEFT((RIGHT(AB74,10)),2)&amp;"/"&amp;RIGHT(AB74,4))))</f>
        <v>24</v>
      </c>
      <c r="AR74" s="209"/>
      <c r="AS74" s="209" t="s">
        <v>4601</v>
      </c>
      <c r="AT74" s="210">
        <v>21.6</v>
      </c>
      <c r="AU74" s="210">
        <v>21.66</v>
      </c>
      <c r="AV74" s="210">
        <v>21.685000000000002</v>
      </c>
      <c r="AW74" s="210">
        <v>21.69</v>
      </c>
      <c r="AX74" s="200">
        <f ca="1">IF(ISNUMBER(Z74)=TRUE,AO74-Z74,IF(Z74="","",(AO74)-(MID(RIGHT(Z74,10),4,2)&amp;"/"&amp;LEFT((RIGHT(Z74,10)),2)&amp;"/"&amp;RIGHT(Z74,4))))</f>
        <v>33</v>
      </c>
      <c r="AY74" s="200">
        <v>460</v>
      </c>
      <c r="BA74" s="200" t="s">
        <v>123</v>
      </c>
      <c r="BN74" s="211"/>
    </row>
    <row r="75" spans="1:66" s="200" customFormat="1" ht="18.75" customHeight="1" x14ac:dyDescent="0.25">
      <c r="A75" s="416"/>
      <c r="B75" s="363"/>
      <c r="C75" s="416"/>
      <c r="D75" s="361"/>
      <c r="E75" s="361"/>
      <c r="F75" s="361"/>
      <c r="G75" s="361"/>
      <c r="H75" s="361"/>
      <c r="I75" s="336"/>
      <c r="J75" s="417"/>
      <c r="K75" s="417"/>
      <c r="L75" s="417"/>
      <c r="M75" s="417"/>
      <c r="N75" s="363"/>
      <c r="O75" s="418">
        <f>SUM(O73:O74)</f>
        <v>9.5949999999999989</v>
      </c>
      <c r="P75" s="419"/>
      <c r="Q75" s="390"/>
      <c r="R75" s="435"/>
      <c r="S75" s="422"/>
      <c r="T75" s="362"/>
      <c r="U75" s="423"/>
      <c r="V75" s="423"/>
      <c r="W75" s="390"/>
      <c r="X75" s="424"/>
      <c r="Y75" s="424"/>
      <c r="Z75" s="424"/>
      <c r="AA75" s="424"/>
      <c r="AB75" s="424"/>
      <c r="AC75" s="424"/>
      <c r="AD75" s="424"/>
      <c r="AE75" s="424"/>
      <c r="AF75" s="424"/>
      <c r="AG75" s="424"/>
      <c r="AH75" s="425"/>
      <c r="AK75" s="426"/>
      <c r="AL75" s="426"/>
      <c r="AM75" s="426"/>
      <c r="AN75" s="426"/>
      <c r="AO75" s="416"/>
      <c r="AR75" s="426"/>
      <c r="AS75" s="426"/>
      <c r="AT75" s="427"/>
      <c r="AU75" s="427"/>
      <c r="AV75" s="427"/>
      <c r="AW75" s="427"/>
      <c r="BN75" s="436"/>
    </row>
    <row r="76" spans="1:66" s="200" customFormat="1" ht="18.75" customHeight="1" x14ac:dyDescent="0.25">
      <c r="A76" s="416"/>
      <c r="B76" s="363"/>
      <c r="C76" s="416"/>
      <c r="D76" s="361"/>
      <c r="E76" s="361"/>
      <c r="F76" s="361"/>
      <c r="G76" s="361"/>
      <c r="H76" s="361"/>
      <c r="I76" s="336"/>
      <c r="J76" s="417"/>
      <c r="K76" s="417"/>
      <c r="L76" s="417"/>
      <c r="M76" s="417"/>
      <c r="N76" s="363"/>
      <c r="O76" s="418"/>
      <c r="P76" s="419"/>
      <c r="Q76" s="390"/>
      <c r="R76" s="435"/>
      <c r="S76" s="422"/>
      <c r="T76" s="362"/>
      <c r="U76" s="423"/>
      <c r="V76" s="423"/>
      <c r="W76" s="390"/>
      <c r="X76" s="424"/>
      <c r="Y76" s="424"/>
      <c r="Z76" s="424"/>
      <c r="AA76" s="424"/>
      <c r="AB76" s="424"/>
      <c r="AC76" s="424"/>
      <c r="AD76" s="424"/>
      <c r="AE76" s="424"/>
      <c r="AF76" s="424"/>
      <c r="AG76" s="424"/>
      <c r="AH76" s="425"/>
      <c r="AK76" s="426"/>
      <c r="AL76" s="426"/>
      <c r="AM76" s="426"/>
      <c r="AN76" s="426"/>
      <c r="AO76" s="416"/>
      <c r="AR76" s="426"/>
      <c r="AS76" s="426"/>
      <c r="AT76" s="427"/>
      <c r="AU76" s="427"/>
      <c r="AV76" s="427"/>
      <c r="AW76" s="427"/>
      <c r="BN76" s="436"/>
    </row>
    <row r="77" spans="1:66" s="200" customFormat="1" ht="18.75" customHeight="1" x14ac:dyDescent="0.25">
      <c r="A77" s="431" t="s">
        <v>5617</v>
      </c>
      <c r="B77" s="363"/>
      <c r="C77" s="416"/>
      <c r="D77" s="361"/>
      <c r="E77" s="361"/>
      <c r="F77" s="361"/>
      <c r="G77" s="361"/>
      <c r="H77" s="361"/>
      <c r="I77" s="336"/>
      <c r="J77" s="417"/>
      <c r="K77" s="417"/>
      <c r="L77" s="417"/>
      <c r="M77" s="417"/>
      <c r="N77" s="363"/>
      <c r="O77" s="418"/>
      <c r="P77" s="419"/>
      <c r="Q77" s="390"/>
      <c r="R77" s="435"/>
      <c r="S77" s="422"/>
      <c r="T77" s="362"/>
      <c r="U77" s="423"/>
      <c r="V77" s="423"/>
      <c r="W77" s="390"/>
      <c r="X77" s="424"/>
      <c r="Y77" s="424"/>
      <c r="Z77" s="424"/>
      <c r="AA77" s="424"/>
      <c r="AB77" s="424"/>
      <c r="AC77" s="424"/>
      <c r="AD77" s="424"/>
      <c r="AE77" s="424"/>
      <c r="AF77" s="424"/>
      <c r="AG77" s="424"/>
      <c r="AH77" s="425"/>
      <c r="AK77" s="426"/>
      <c r="AL77" s="426"/>
      <c r="AM77" s="426"/>
      <c r="AN77" s="426"/>
      <c r="AO77" s="416"/>
      <c r="AR77" s="426"/>
      <c r="AS77" s="426"/>
      <c r="AT77" s="427"/>
      <c r="AU77" s="427"/>
      <c r="AV77" s="427"/>
      <c r="AW77" s="427"/>
      <c r="BN77" s="436"/>
    </row>
    <row r="78" spans="1:66" s="200" customFormat="1" ht="18.75" customHeight="1" x14ac:dyDescent="0.25">
      <c r="A78" s="199">
        <v>44955</v>
      </c>
      <c r="B78" s="204">
        <f ca="1">IF(A78="",(IF(ISNUMBER(SUBSTITUTE(LEFT(RIGHT(E78,LEN(E78)-MIN(SEARCH({1,2,3,4,5,6,7,8,9,0},E78&amp;"1234567890"))+1),10),".","/"))=TRUE,AO78-(SUBSTITUTE(LEFT(RIGHT(E78,LEN(E78)-MIN(SEARCH({1,2,3,4,5,6,7,8,9,0},E78&amp;"1234567890"))+1),10),".","/")),IF((SUBSTITUTE(LEFT(RIGHT(E78,LEN(E78)-MIN(SEARCH({1,2,3,4,5,6,7,8,9,0},E78&amp;"1234567890"))+1),10),".","/"))="","",(AO78)-(MID(RIGHT((SUBSTITUTE(LEFT(RIGHT(E78,LEN(E78)-MIN(SEARCH({1,2,3,4,5,6,7,8,9,0},E78&amp;"1234567890"))+1),10),".","/")),10),4,2)&amp;"/"&amp;LEFT((RIGHT((SUBSTITUTE(LEFT(RIGHT(E78,LEN(E78)-MIN(SEARCH({1,2,3,4,5,6,7,8,9,0},E78&amp;"1234567890"))+1),10),".","/")),10)),2)&amp;"/"&amp;RIGHT((SUBSTITUTE(LEFT(RIGHT(E78,LEN(E78)-MIN(SEARCH({1,2,3,4,5,6,7,8,9,0},E78&amp;"1234567890"))+1),10),".","/")),4))))),(AO78-A78))</f>
        <v>3</v>
      </c>
      <c r="C78" s="199"/>
      <c r="D78" s="201" t="str">
        <f t="shared" ref="D78:D87" si="12">IF(Q78="MULTI","FGM","FGC")&amp;"-"&amp;H78&amp;"/"&amp;I78&amp;"-"&amp;TEXT(K78,"0.00")&amp;"X"&amp;IF(Q78="MULTI",N78,Q78)</f>
        <v>FGC-304L/2B-1.20X760</v>
      </c>
      <c r="E78" s="201" t="s">
        <v>4944</v>
      </c>
      <c r="F78" s="201" t="s">
        <v>1541</v>
      </c>
      <c r="G78" s="201" t="s">
        <v>5618</v>
      </c>
      <c r="H78" s="201" t="s">
        <v>182</v>
      </c>
      <c r="I78" s="202" t="s">
        <v>114</v>
      </c>
      <c r="J78" s="203">
        <v>3.79</v>
      </c>
      <c r="K78" s="203">
        <v>1.2</v>
      </c>
      <c r="L78" s="203"/>
      <c r="M78" s="203"/>
      <c r="N78" s="204">
        <v>768</v>
      </c>
      <c r="O78" s="381">
        <v>6.0650000000000004</v>
      </c>
      <c r="P78" s="413">
        <v>6.1050000000000004</v>
      </c>
      <c r="Q78" s="185">
        <v>760</v>
      </c>
      <c r="R78" s="430"/>
      <c r="S78" s="414"/>
      <c r="T78" s="371" t="s">
        <v>4961</v>
      </c>
      <c r="U78" s="206" t="s">
        <v>1540</v>
      </c>
      <c r="V78" s="206"/>
      <c r="W78" s="185" t="s">
        <v>114</v>
      </c>
      <c r="X78" s="205">
        <v>44946</v>
      </c>
      <c r="Y78" s="205"/>
      <c r="Z78" s="205">
        <v>44946</v>
      </c>
      <c r="AA78" s="205"/>
      <c r="AB78" s="205"/>
      <c r="AC78" s="205"/>
      <c r="AD78" s="205"/>
      <c r="AE78" s="205">
        <v>44940</v>
      </c>
      <c r="AF78" s="205"/>
      <c r="AG78" s="205"/>
      <c r="AH78" s="207" t="s">
        <v>1507</v>
      </c>
      <c r="AI78" s="208" t="s">
        <v>69</v>
      </c>
      <c r="AJ78" s="208" t="s">
        <v>142</v>
      </c>
      <c r="AK78" s="209" t="s">
        <v>1508</v>
      </c>
      <c r="AL78" s="209"/>
      <c r="AM78" s="209">
        <v>44849</v>
      </c>
      <c r="AN78" s="209"/>
      <c r="AO78" s="199">
        <f t="shared" ref="AO78:AO87" ca="1" si="13">TODAY()</f>
        <v>44958</v>
      </c>
      <c r="AP78" s="208">
        <f t="shared" ref="AP78:AP87" ca="1" si="14">IF(AM78&lt;&gt;0,AO78-AM78,0)</f>
        <v>109</v>
      </c>
      <c r="AQ78" s="208" t="str">
        <f t="shared" ref="AQ78:AQ87" si="15">IF(ISNUMBER(AB78)=TRUE,AO78-AB78,IF(AB78="","",(AO78)-(MID(RIGHT(AB78,10),4,2)&amp;"/"&amp;LEFT((RIGHT(AB78,10)),2)&amp;"/"&amp;RIGHT(AB78,4))))</f>
        <v/>
      </c>
      <c r="AR78" s="209"/>
      <c r="AS78" s="209" t="s">
        <v>1543</v>
      </c>
      <c r="AT78" s="210">
        <v>24.51</v>
      </c>
      <c r="AU78" s="210">
        <v>24.57</v>
      </c>
      <c r="AV78" s="210">
        <v>24.595000000000002</v>
      </c>
      <c r="AW78" s="210">
        <v>24.6</v>
      </c>
      <c r="AX78" s="200">
        <f t="shared" ref="AX78:AX87" ca="1" si="16">IF(ISNUMBER(Z78)=TRUE,AO78-Z78,IF(Z78="","",(AO78)-(MID(RIGHT(Z78,10),4,2)&amp;"/"&amp;LEFT((RIGHT(Z78,10)),2)&amp;"/"&amp;RIGHT(Z78,4))))</f>
        <v>12</v>
      </c>
      <c r="AY78" s="200">
        <v>456</v>
      </c>
      <c r="BA78" s="200" t="s">
        <v>123</v>
      </c>
      <c r="BN78" s="211"/>
    </row>
    <row r="79" spans="1:66" s="200" customFormat="1" ht="18.75" customHeight="1" x14ac:dyDescent="0.25">
      <c r="A79" s="199">
        <v>44955</v>
      </c>
      <c r="B79" s="204">
        <f ca="1">IF(A79="",(IF(ISNUMBER(SUBSTITUTE(LEFT(RIGHT(E79,LEN(E79)-MIN(SEARCH({1,2,3,4,5,6,7,8,9,0},E79&amp;"1234567890"))+1),10),".","/"))=TRUE,AO79-(SUBSTITUTE(LEFT(RIGHT(E79,LEN(E79)-MIN(SEARCH({1,2,3,4,5,6,7,8,9,0},E79&amp;"1234567890"))+1),10),".","/")),IF((SUBSTITUTE(LEFT(RIGHT(E79,LEN(E79)-MIN(SEARCH({1,2,3,4,5,6,7,8,9,0},E79&amp;"1234567890"))+1),10),".","/"))="","",(AO79)-(MID(RIGHT((SUBSTITUTE(LEFT(RIGHT(E79,LEN(E79)-MIN(SEARCH({1,2,3,4,5,6,7,8,9,0},E79&amp;"1234567890"))+1),10),".","/")),10),4,2)&amp;"/"&amp;LEFT((RIGHT((SUBSTITUTE(LEFT(RIGHT(E79,LEN(E79)-MIN(SEARCH({1,2,3,4,5,6,7,8,9,0},E79&amp;"1234567890"))+1),10),".","/")),10)),2)&amp;"/"&amp;RIGHT((SUBSTITUTE(LEFT(RIGHT(E79,LEN(E79)-MIN(SEARCH({1,2,3,4,5,6,7,8,9,0},E79&amp;"1234567890"))+1),10),".","/")),4))))),(AO79-A79))</f>
        <v>3</v>
      </c>
      <c r="C79" s="199"/>
      <c r="D79" s="201" t="str">
        <f t="shared" si="12"/>
        <v>FGC-304/2B-1.00X760</v>
      </c>
      <c r="E79" s="201" t="s">
        <v>5097</v>
      </c>
      <c r="F79" s="201" t="s">
        <v>4170</v>
      </c>
      <c r="G79" s="201" t="s">
        <v>5098</v>
      </c>
      <c r="H79" s="201">
        <v>304</v>
      </c>
      <c r="I79" s="202" t="s">
        <v>114</v>
      </c>
      <c r="J79" s="203">
        <v>2.9</v>
      </c>
      <c r="K79" s="203">
        <v>1</v>
      </c>
      <c r="L79" s="203"/>
      <c r="M79" s="203"/>
      <c r="N79" s="204">
        <v>770</v>
      </c>
      <c r="O79" s="381">
        <v>5.4450000000000003</v>
      </c>
      <c r="P79" s="413">
        <v>5.4950000000000001</v>
      </c>
      <c r="Q79" s="185">
        <v>760</v>
      </c>
      <c r="R79" s="430"/>
      <c r="S79" s="414"/>
      <c r="T79" s="371" t="s">
        <v>4961</v>
      </c>
      <c r="U79" s="206" t="s">
        <v>1540</v>
      </c>
      <c r="V79" s="206"/>
      <c r="W79" s="185" t="s">
        <v>114</v>
      </c>
      <c r="X79" s="205">
        <v>44945</v>
      </c>
      <c r="Y79" s="205"/>
      <c r="Z79" s="205">
        <v>44945</v>
      </c>
      <c r="AA79" s="205"/>
      <c r="AB79" s="205"/>
      <c r="AC79" s="205"/>
      <c r="AD79" s="205"/>
      <c r="AE79" s="205"/>
      <c r="AF79" s="205"/>
      <c r="AG79" s="205"/>
      <c r="AH79" s="207" t="s">
        <v>2448</v>
      </c>
      <c r="AI79" s="208" t="s">
        <v>69</v>
      </c>
      <c r="AJ79" s="208" t="s">
        <v>142</v>
      </c>
      <c r="AK79" s="209" t="s">
        <v>1584</v>
      </c>
      <c r="AL79" s="209"/>
      <c r="AM79" s="209">
        <v>44914</v>
      </c>
      <c r="AN79" s="209"/>
      <c r="AO79" s="199">
        <f t="shared" ca="1" si="13"/>
        <v>44958</v>
      </c>
      <c r="AP79" s="208">
        <f t="shared" ca="1" si="14"/>
        <v>44</v>
      </c>
      <c r="AQ79" s="208" t="str">
        <f t="shared" si="15"/>
        <v/>
      </c>
      <c r="AR79" s="209"/>
      <c r="AS79" s="209" t="s">
        <v>2637</v>
      </c>
      <c r="AT79" s="210">
        <v>10.220000000000001</v>
      </c>
      <c r="AU79" s="210">
        <v>10.23</v>
      </c>
      <c r="AV79" s="210">
        <v>10.254999999999999</v>
      </c>
      <c r="AW79" s="210">
        <v>10.26</v>
      </c>
      <c r="AX79" s="200">
        <f t="shared" ca="1" si="16"/>
        <v>13</v>
      </c>
      <c r="AY79" s="200">
        <v>462</v>
      </c>
      <c r="BA79" s="200" t="s">
        <v>123</v>
      </c>
      <c r="BN79" s="211"/>
    </row>
    <row r="80" spans="1:66" s="200" customFormat="1" ht="18.75" customHeight="1" x14ac:dyDescent="0.25">
      <c r="A80" s="199">
        <v>44956</v>
      </c>
      <c r="B80" s="204">
        <f ca="1">IF(A80="",(IF(ISNUMBER(SUBSTITUTE(LEFT(RIGHT(E80,LEN(E80)-MIN(SEARCH({1,2,3,4,5,6,7,8,9,0},E80&amp;"1234567890"))+1),10),".","/"))=TRUE,AO80-(SUBSTITUTE(LEFT(RIGHT(E80,LEN(E80)-MIN(SEARCH({1,2,3,4,5,6,7,8,9,0},E80&amp;"1234567890"))+1),10),".","/")),IF((SUBSTITUTE(LEFT(RIGHT(E80,LEN(E80)-MIN(SEARCH({1,2,3,4,5,6,7,8,9,0},E80&amp;"1234567890"))+1),10),".","/"))="","",(AO80)-(MID(RIGHT((SUBSTITUTE(LEFT(RIGHT(E80,LEN(E80)-MIN(SEARCH({1,2,3,4,5,6,7,8,9,0},E80&amp;"1234567890"))+1),10),".","/")),10),4,2)&amp;"/"&amp;LEFT((RIGHT((SUBSTITUTE(LEFT(RIGHT(E80,LEN(E80)-MIN(SEARCH({1,2,3,4,5,6,7,8,9,0},E80&amp;"1234567890"))+1),10),".","/")),10)),2)&amp;"/"&amp;RIGHT((SUBSTITUTE(LEFT(RIGHT(E80,LEN(E80)-MIN(SEARCH({1,2,3,4,5,6,7,8,9,0},E80&amp;"1234567890"))+1),10),".","/")),4))))),(AO80-A80))</f>
        <v>2</v>
      </c>
      <c r="C80" s="199"/>
      <c r="D80" s="201" t="str">
        <f t="shared" si="12"/>
        <v>FGC-304/2B-1.50X760</v>
      </c>
      <c r="E80" s="201" t="s">
        <v>4959</v>
      </c>
      <c r="F80" s="201" t="s">
        <v>4205</v>
      </c>
      <c r="G80" s="201" t="s">
        <v>5619</v>
      </c>
      <c r="H80" s="201">
        <v>304</v>
      </c>
      <c r="I80" s="202" t="s">
        <v>114</v>
      </c>
      <c r="J80" s="203">
        <v>3.93</v>
      </c>
      <c r="K80" s="203">
        <v>1.5</v>
      </c>
      <c r="L80" s="203">
        <v>1.48</v>
      </c>
      <c r="M80" s="203">
        <v>1.51</v>
      </c>
      <c r="N80" s="204">
        <v>767</v>
      </c>
      <c r="O80" s="381">
        <f>4.87</f>
        <v>4.87</v>
      </c>
      <c r="P80" s="413">
        <v>4.915</v>
      </c>
      <c r="Q80" s="185">
        <v>760</v>
      </c>
      <c r="R80" s="430"/>
      <c r="S80" s="414"/>
      <c r="T80" s="371" t="s">
        <v>4961</v>
      </c>
      <c r="U80" s="206" t="s">
        <v>1540</v>
      </c>
      <c r="V80" s="206"/>
      <c r="W80" s="185" t="s">
        <v>114</v>
      </c>
      <c r="X80" s="205">
        <v>44948</v>
      </c>
      <c r="Y80" s="205"/>
      <c r="Z80" s="205">
        <v>44948</v>
      </c>
      <c r="AA80" s="205"/>
      <c r="AB80" s="205"/>
      <c r="AC80" s="205"/>
      <c r="AD80" s="205"/>
      <c r="AE80" s="205"/>
      <c r="AF80" s="205"/>
      <c r="AG80" s="205"/>
      <c r="AH80" s="207" t="s">
        <v>2448</v>
      </c>
      <c r="AI80" s="208" t="s">
        <v>69</v>
      </c>
      <c r="AJ80" s="208" t="s">
        <v>142</v>
      </c>
      <c r="AK80" s="209" t="s">
        <v>1584</v>
      </c>
      <c r="AL80" s="209"/>
      <c r="AM80" s="209">
        <v>44914</v>
      </c>
      <c r="AN80" s="209"/>
      <c r="AO80" s="199">
        <f t="shared" ca="1" si="13"/>
        <v>44958</v>
      </c>
      <c r="AP80" s="208">
        <f t="shared" ca="1" si="14"/>
        <v>44</v>
      </c>
      <c r="AQ80" s="208" t="str">
        <f t="shared" si="15"/>
        <v/>
      </c>
      <c r="AR80" s="209"/>
      <c r="AS80" s="209" t="s">
        <v>2462</v>
      </c>
      <c r="AT80" s="210">
        <v>10.505000000000001</v>
      </c>
      <c r="AU80" s="210">
        <v>10.515000000000001</v>
      </c>
      <c r="AV80" s="210">
        <v>10.54</v>
      </c>
      <c r="AW80" s="210">
        <v>10.545</v>
      </c>
      <c r="AX80" s="200">
        <f t="shared" ca="1" si="16"/>
        <v>10</v>
      </c>
      <c r="AY80" s="200">
        <v>462</v>
      </c>
      <c r="BA80" s="200" t="s">
        <v>123</v>
      </c>
      <c r="BN80" s="211"/>
    </row>
    <row r="81" spans="1:66" s="200" customFormat="1" ht="18.75" customHeight="1" x14ac:dyDescent="0.25">
      <c r="A81" s="199">
        <v>44956</v>
      </c>
      <c r="B81" s="204">
        <f ca="1">IF(A81="",(IF(ISNUMBER(SUBSTITUTE(LEFT(RIGHT(E81,LEN(E81)-MIN(SEARCH({1,2,3,4,5,6,7,8,9,0},E81&amp;"1234567890"))+1),10),".","/"))=TRUE,AO81-(SUBSTITUTE(LEFT(RIGHT(E81,LEN(E81)-MIN(SEARCH({1,2,3,4,5,6,7,8,9,0},E81&amp;"1234567890"))+1),10),".","/")),IF((SUBSTITUTE(LEFT(RIGHT(E81,LEN(E81)-MIN(SEARCH({1,2,3,4,5,6,7,8,9,0},E81&amp;"1234567890"))+1),10),".","/"))="","",(AO81)-(MID(RIGHT((SUBSTITUTE(LEFT(RIGHT(E81,LEN(E81)-MIN(SEARCH({1,2,3,4,5,6,7,8,9,0},E81&amp;"1234567890"))+1),10),".","/")),10),4,2)&amp;"/"&amp;LEFT((RIGHT((SUBSTITUTE(LEFT(RIGHT(E81,LEN(E81)-MIN(SEARCH({1,2,3,4,5,6,7,8,9,0},E81&amp;"1234567890"))+1),10),".","/")),10)),2)&amp;"/"&amp;RIGHT((SUBSTITUTE(LEFT(RIGHT(E81,LEN(E81)-MIN(SEARCH({1,2,3,4,5,6,7,8,9,0},E81&amp;"1234567890"))+1),10),".","/")),4))))),(AO81-A81))</f>
        <v>2</v>
      </c>
      <c r="C81" s="199"/>
      <c r="D81" s="201" t="str">
        <f t="shared" si="12"/>
        <v>FGC-304/2B-1.50X760</v>
      </c>
      <c r="E81" s="201" t="s">
        <v>4959</v>
      </c>
      <c r="F81" s="201" t="s">
        <v>4205</v>
      </c>
      <c r="G81" s="201" t="s">
        <v>5620</v>
      </c>
      <c r="H81" s="201">
        <v>304</v>
      </c>
      <c r="I81" s="202" t="s">
        <v>114</v>
      </c>
      <c r="J81" s="203">
        <v>3.93</v>
      </c>
      <c r="K81" s="203">
        <v>1.5</v>
      </c>
      <c r="L81" s="203">
        <v>1.48</v>
      </c>
      <c r="M81" s="203">
        <v>1.51</v>
      </c>
      <c r="N81" s="204">
        <v>767</v>
      </c>
      <c r="O81" s="381">
        <v>5.58</v>
      </c>
      <c r="P81" s="413">
        <v>5.6150000000000002</v>
      </c>
      <c r="Q81" s="185">
        <v>760</v>
      </c>
      <c r="R81" s="430"/>
      <c r="S81" s="414"/>
      <c r="T81" s="371" t="s">
        <v>4961</v>
      </c>
      <c r="U81" s="206" t="s">
        <v>1540</v>
      </c>
      <c r="V81" s="206"/>
      <c r="W81" s="185" t="s">
        <v>114</v>
      </c>
      <c r="X81" s="205">
        <v>44948</v>
      </c>
      <c r="Y81" s="205"/>
      <c r="Z81" s="205">
        <v>44948</v>
      </c>
      <c r="AA81" s="205"/>
      <c r="AB81" s="205"/>
      <c r="AC81" s="205"/>
      <c r="AD81" s="205"/>
      <c r="AE81" s="205"/>
      <c r="AF81" s="205"/>
      <c r="AG81" s="205"/>
      <c r="AH81" s="207" t="s">
        <v>2448</v>
      </c>
      <c r="AI81" s="208" t="s">
        <v>69</v>
      </c>
      <c r="AJ81" s="208" t="s">
        <v>142</v>
      </c>
      <c r="AK81" s="209" t="s">
        <v>1584</v>
      </c>
      <c r="AL81" s="209"/>
      <c r="AM81" s="209">
        <v>44914</v>
      </c>
      <c r="AN81" s="209"/>
      <c r="AO81" s="199">
        <f t="shared" ca="1" si="13"/>
        <v>44958</v>
      </c>
      <c r="AP81" s="208">
        <f t="shared" ca="1" si="14"/>
        <v>44</v>
      </c>
      <c r="AQ81" s="208" t="str">
        <f t="shared" si="15"/>
        <v/>
      </c>
      <c r="AR81" s="209"/>
      <c r="AS81" s="209" t="s">
        <v>2462</v>
      </c>
      <c r="AT81" s="210">
        <v>10.505000000000001</v>
      </c>
      <c r="AU81" s="210">
        <v>10.515000000000001</v>
      </c>
      <c r="AV81" s="210">
        <v>10.54</v>
      </c>
      <c r="AW81" s="210">
        <v>10.545</v>
      </c>
      <c r="AX81" s="200">
        <f t="shared" ca="1" si="16"/>
        <v>10</v>
      </c>
      <c r="AY81" s="200">
        <v>462</v>
      </c>
      <c r="BA81" s="200" t="s">
        <v>123</v>
      </c>
      <c r="BN81" s="211"/>
    </row>
    <row r="82" spans="1:66" s="200" customFormat="1" ht="18.75" customHeight="1" x14ac:dyDescent="0.25">
      <c r="A82" s="199">
        <v>44956</v>
      </c>
      <c r="B82" s="204">
        <f ca="1">IF(A82="",(IF(ISNUMBER(SUBSTITUTE(LEFT(RIGHT(E82,LEN(E82)-MIN(SEARCH({1,2,3,4,5,6,7,8,9,0},E82&amp;"1234567890"))+1),10),".","/"))=TRUE,AO82-(SUBSTITUTE(LEFT(RIGHT(E82,LEN(E82)-MIN(SEARCH({1,2,3,4,5,6,7,8,9,0},E82&amp;"1234567890"))+1),10),".","/")),IF((SUBSTITUTE(LEFT(RIGHT(E82,LEN(E82)-MIN(SEARCH({1,2,3,4,5,6,7,8,9,0},E82&amp;"1234567890"))+1),10),".","/"))="","",(AO82)-(MID(RIGHT((SUBSTITUTE(LEFT(RIGHT(E82,LEN(E82)-MIN(SEARCH({1,2,3,4,5,6,7,8,9,0},E82&amp;"1234567890"))+1),10),".","/")),10),4,2)&amp;"/"&amp;LEFT((RIGHT((SUBSTITUTE(LEFT(RIGHT(E82,LEN(E82)-MIN(SEARCH({1,2,3,4,5,6,7,8,9,0},E82&amp;"1234567890"))+1),10),".","/")),10)),2)&amp;"/"&amp;RIGHT((SUBSTITUTE(LEFT(RIGHT(E82,LEN(E82)-MIN(SEARCH({1,2,3,4,5,6,7,8,9,0},E82&amp;"1234567890"))+1),10),".","/")),4))))),(AO82-A82))</f>
        <v>2</v>
      </c>
      <c r="C82" s="199"/>
      <c r="D82" s="201" t="str">
        <f t="shared" si="12"/>
        <v>FGC-304/2B-2.00X760</v>
      </c>
      <c r="E82" s="201" t="s">
        <v>4959</v>
      </c>
      <c r="F82" s="201" t="s">
        <v>4191</v>
      </c>
      <c r="G82" s="201" t="s">
        <v>5621</v>
      </c>
      <c r="H82" s="201">
        <v>304</v>
      </c>
      <c r="I82" s="202" t="s">
        <v>114</v>
      </c>
      <c r="J82" s="203">
        <v>3.98</v>
      </c>
      <c r="K82" s="203">
        <v>2</v>
      </c>
      <c r="L82" s="203">
        <v>1.98</v>
      </c>
      <c r="M82" s="203">
        <v>2.02</v>
      </c>
      <c r="N82" s="204">
        <v>767</v>
      </c>
      <c r="O82" s="381">
        <f>5.07</f>
        <v>5.07</v>
      </c>
      <c r="P82" s="413">
        <v>5.1150000000000002</v>
      </c>
      <c r="Q82" s="185">
        <v>760</v>
      </c>
      <c r="R82" s="430"/>
      <c r="S82" s="414"/>
      <c r="T82" s="371" t="s">
        <v>4961</v>
      </c>
      <c r="U82" s="206" t="s">
        <v>1540</v>
      </c>
      <c r="V82" s="206"/>
      <c r="W82" s="185" t="s">
        <v>114</v>
      </c>
      <c r="X82" s="205">
        <v>44947</v>
      </c>
      <c r="Y82" s="205"/>
      <c r="Z82" s="205">
        <v>44947</v>
      </c>
      <c r="AA82" s="205"/>
      <c r="AB82" s="205"/>
      <c r="AC82" s="205"/>
      <c r="AD82" s="205"/>
      <c r="AE82" s="205"/>
      <c r="AF82" s="205"/>
      <c r="AG82" s="205"/>
      <c r="AH82" s="207" t="s">
        <v>1507</v>
      </c>
      <c r="AI82" s="208" t="s">
        <v>69</v>
      </c>
      <c r="AJ82" s="208" t="s">
        <v>142</v>
      </c>
      <c r="AK82" s="209" t="s">
        <v>1584</v>
      </c>
      <c r="AL82" s="209"/>
      <c r="AM82" s="209">
        <v>44914</v>
      </c>
      <c r="AN82" s="209"/>
      <c r="AO82" s="199">
        <f t="shared" ca="1" si="13"/>
        <v>44958</v>
      </c>
      <c r="AP82" s="208">
        <f t="shared" ca="1" si="14"/>
        <v>44</v>
      </c>
      <c r="AQ82" s="208" t="str">
        <f t="shared" si="15"/>
        <v/>
      </c>
      <c r="AR82" s="209"/>
      <c r="AS82" s="209" t="s">
        <v>2631</v>
      </c>
      <c r="AT82" s="210">
        <v>10.525</v>
      </c>
      <c r="AU82" s="210">
        <v>10.535</v>
      </c>
      <c r="AV82" s="210">
        <v>10.559999999999999</v>
      </c>
      <c r="AW82" s="210">
        <v>10.565</v>
      </c>
      <c r="AX82" s="200">
        <f t="shared" ca="1" si="16"/>
        <v>11</v>
      </c>
      <c r="AY82" s="200">
        <v>462</v>
      </c>
      <c r="BA82" s="200" t="s">
        <v>123</v>
      </c>
      <c r="BN82" s="211"/>
    </row>
    <row r="83" spans="1:66" s="200" customFormat="1" ht="18.75" customHeight="1" x14ac:dyDescent="0.25">
      <c r="A83" s="199">
        <v>44956</v>
      </c>
      <c r="B83" s="204">
        <f ca="1">IF(A83="",(IF(ISNUMBER(SUBSTITUTE(LEFT(RIGHT(E83,LEN(E83)-MIN(SEARCH({1,2,3,4,5,6,7,8,9,0},E83&amp;"1234567890"))+1),10),".","/"))=TRUE,AO83-(SUBSTITUTE(LEFT(RIGHT(E83,LEN(E83)-MIN(SEARCH({1,2,3,4,5,6,7,8,9,0},E83&amp;"1234567890"))+1),10),".","/")),IF((SUBSTITUTE(LEFT(RIGHT(E83,LEN(E83)-MIN(SEARCH({1,2,3,4,5,6,7,8,9,0},E83&amp;"1234567890"))+1),10),".","/"))="","",(AO83)-(MID(RIGHT((SUBSTITUTE(LEFT(RIGHT(E83,LEN(E83)-MIN(SEARCH({1,2,3,4,5,6,7,8,9,0},E83&amp;"1234567890"))+1),10),".","/")),10),4,2)&amp;"/"&amp;LEFT((RIGHT((SUBSTITUTE(LEFT(RIGHT(E83,LEN(E83)-MIN(SEARCH({1,2,3,4,5,6,7,8,9,0},E83&amp;"1234567890"))+1),10),".","/")),10)),2)&amp;"/"&amp;RIGHT((SUBSTITUTE(LEFT(RIGHT(E83,LEN(E83)-MIN(SEARCH({1,2,3,4,5,6,7,8,9,0},E83&amp;"1234567890"))+1),10),".","/")),4))))),(AO83-A83))</f>
        <v>2</v>
      </c>
      <c r="C83" s="199"/>
      <c r="D83" s="201" t="str">
        <f t="shared" si="12"/>
        <v>FGC-304/2B-2.00X760</v>
      </c>
      <c r="E83" s="201" t="s">
        <v>4959</v>
      </c>
      <c r="F83" s="201" t="s">
        <v>4191</v>
      </c>
      <c r="G83" s="201" t="s">
        <v>5622</v>
      </c>
      <c r="H83" s="201">
        <v>304</v>
      </c>
      <c r="I83" s="202" t="s">
        <v>114</v>
      </c>
      <c r="J83" s="203">
        <v>3.98</v>
      </c>
      <c r="K83" s="203">
        <v>2</v>
      </c>
      <c r="L83" s="203">
        <v>1.98</v>
      </c>
      <c r="M83" s="203">
        <v>2.02</v>
      </c>
      <c r="N83" s="204">
        <v>767</v>
      </c>
      <c r="O83" s="381">
        <v>5.3949999999999996</v>
      </c>
      <c r="P83" s="413">
        <v>5.44</v>
      </c>
      <c r="Q83" s="185">
        <v>760</v>
      </c>
      <c r="R83" s="430"/>
      <c r="S83" s="414"/>
      <c r="T83" s="371" t="s">
        <v>4961</v>
      </c>
      <c r="U83" s="206" t="s">
        <v>1540</v>
      </c>
      <c r="V83" s="206"/>
      <c r="W83" s="185" t="s">
        <v>114</v>
      </c>
      <c r="X83" s="205">
        <v>44947</v>
      </c>
      <c r="Y83" s="205"/>
      <c r="Z83" s="205">
        <v>44947</v>
      </c>
      <c r="AA83" s="205"/>
      <c r="AB83" s="205"/>
      <c r="AC83" s="205"/>
      <c r="AD83" s="205"/>
      <c r="AE83" s="205"/>
      <c r="AF83" s="205"/>
      <c r="AG83" s="205"/>
      <c r="AH83" s="207" t="s">
        <v>1507</v>
      </c>
      <c r="AI83" s="208" t="s">
        <v>69</v>
      </c>
      <c r="AJ83" s="208" t="s">
        <v>142</v>
      </c>
      <c r="AK83" s="209" t="s">
        <v>1584</v>
      </c>
      <c r="AL83" s="209"/>
      <c r="AM83" s="209">
        <v>44914</v>
      </c>
      <c r="AN83" s="209"/>
      <c r="AO83" s="199">
        <f t="shared" ca="1" si="13"/>
        <v>44958</v>
      </c>
      <c r="AP83" s="208">
        <f t="shared" ca="1" si="14"/>
        <v>44</v>
      </c>
      <c r="AQ83" s="208" t="str">
        <f t="shared" si="15"/>
        <v/>
      </c>
      <c r="AR83" s="209"/>
      <c r="AS83" s="209" t="s">
        <v>2631</v>
      </c>
      <c r="AT83" s="210">
        <v>10.525</v>
      </c>
      <c r="AU83" s="210">
        <v>10.535</v>
      </c>
      <c r="AV83" s="210">
        <v>10.559999999999999</v>
      </c>
      <c r="AW83" s="210">
        <v>10.565</v>
      </c>
      <c r="AX83" s="200">
        <f t="shared" ca="1" si="16"/>
        <v>11</v>
      </c>
      <c r="AY83" s="200">
        <v>462</v>
      </c>
      <c r="BA83" s="200" t="s">
        <v>123</v>
      </c>
      <c r="BN83" s="211"/>
    </row>
    <row r="84" spans="1:66" s="200" customFormat="1" ht="18.75" customHeight="1" x14ac:dyDescent="0.25">
      <c r="A84" s="199">
        <v>44956</v>
      </c>
      <c r="B84" s="204">
        <f ca="1">IF(A84="",(IF(ISNUMBER(SUBSTITUTE(LEFT(RIGHT(E84,LEN(E84)-MIN(SEARCH({1,2,3,4,5,6,7,8,9,0},E84&amp;"1234567890"))+1),10),".","/"))=TRUE,AO84-(SUBSTITUTE(LEFT(RIGHT(E84,LEN(E84)-MIN(SEARCH({1,2,3,4,5,6,7,8,9,0},E84&amp;"1234567890"))+1),10),".","/")),IF((SUBSTITUTE(LEFT(RIGHT(E84,LEN(E84)-MIN(SEARCH({1,2,3,4,5,6,7,8,9,0},E84&amp;"1234567890"))+1),10),".","/"))="","",(AO84)-(MID(RIGHT((SUBSTITUTE(LEFT(RIGHT(E84,LEN(E84)-MIN(SEARCH({1,2,3,4,5,6,7,8,9,0},E84&amp;"1234567890"))+1),10),".","/")),10),4,2)&amp;"/"&amp;LEFT((RIGHT((SUBSTITUTE(LEFT(RIGHT(E84,LEN(E84)-MIN(SEARCH({1,2,3,4,5,6,7,8,9,0},E84&amp;"1234567890"))+1),10),".","/")),10)),2)&amp;"/"&amp;RIGHT((SUBSTITUTE(LEFT(RIGHT(E84,LEN(E84)-MIN(SEARCH({1,2,3,4,5,6,7,8,9,0},E84&amp;"1234567890"))+1),10),".","/")),4))))),(AO84-A84))</f>
        <v>2</v>
      </c>
      <c r="C84" s="199"/>
      <c r="D84" s="201" t="str">
        <f t="shared" si="12"/>
        <v>FGC-304/2B-2.00X760</v>
      </c>
      <c r="E84" s="201" t="s">
        <v>4959</v>
      </c>
      <c r="F84" s="201" t="s">
        <v>4110</v>
      </c>
      <c r="G84" s="201" t="s">
        <v>5623</v>
      </c>
      <c r="H84" s="201">
        <v>304</v>
      </c>
      <c r="I84" s="202" t="s">
        <v>114</v>
      </c>
      <c r="J84" s="203">
        <v>3.94</v>
      </c>
      <c r="K84" s="203">
        <v>2</v>
      </c>
      <c r="L84" s="203">
        <v>1.98</v>
      </c>
      <c r="M84" s="203">
        <v>2.0099999999999998</v>
      </c>
      <c r="N84" s="204">
        <v>768</v>
      </c>
      <c r="O84" s="381">
        <f>4.18</f>
        <v>4.18</v>
      </c>
      <c r="P84" s="413">
        <v>4.2350000000000003</v>
      </c>
      <c r="Q84" s="185">
        <v>760</v>
      </c>
      <c r="R84" s="430"/>
      <c r="S84" s="414"/>
      <c r="T84" s="371" t="s">
        <v>4961</v>
      </c>
      <c r="U84" s="206" t="s">
        <v>1540</v>
      </c>
      <c r="V84" s="206"/>
      <c r="W84" s="185" t="s">
        <v>114</v>
      </c>
      <c r="X84" s="205">
        <v>44941</v>
      </c>
      <c r="Y84" s="205"/>
      <c r="Z84" s="205">
        <v>44942</v>
      </c>
      <c r="AA84" s="205"/>
      <c r="AB84" s="205"/>
      <c r="AC84" s="205"/>
      <c r="AD84" s="205"/>
      <c r="AE84" s="205"/>
      <c r="AF84" s="205"/>
      <c r="AG84" s="205"/>
      <c r="AH84" s="207" t="s">
        <v>2448</v>
      </c>
      <c r="AI84" s="208" t="s">
        <v>69</v>
      </c>
      <c r="AJ84" s="208" t="s">
        <v>142</v>
      </c>
      <c r="AK84" s="209" t="s">
        <v>1584</v>
      </c>
      <c r="AL84" s="209"/>
      <c r="AM84" s="209">
        <v>44914</v>
      </c>
      <c r="AN84" s="209"/>
      <c r="AO84" s="199">
        <f t="shared" ca="1" si="13"/>
        <v>44958</v>
      </c>
      <c r="AP84" s="208">
        <f t="shared" ca="1" si="14"/>
        <v>44</v>
      </c>
      <c r="AQ84" s="208" t="str">
        <f t="shared" si="15"/>
        <v/>
      </c>
      <c r="AR84" s="209"/>
      <c r="AS84" s="209" t="s">
        <v>2564</v>
      </c>
      <c r="AT84" s="210">
        <v>9.6300000000000008</v>
      </c>
      <c r="AU84" s="210">
        <v>9.64</v>
      </c>
      <c r="AV84" s="210">
        <v>9.6649999999999991</v>
      </c>
      <c r="AW84" s="210">
        <v>9.67</v>
      </c>
      <c r="AX84" s="200">
        <f t="shared" ca="1" si="16"/>
        <v>16</v>
      </c>
      <c r="AY84" s="200">
        <v>462</v>
      </c>
      <c r="BA84" s="200" t="s">
        <v>123</v>
      </c>
      <c r="BN84" s="211"/>
    </row>
    <row r="85" spans="1:66" s="200" customFormat="1" ht="18.75" customHeight="1" x14ac:dyDescent="0.25">
      <c r="A85" s="199">
        <v>44956</v>
      </c>
      <c r="B85" s="204">
        <f ca="1">IF(A85="",(IF(ISNUMBER(SUBSTITUTE(LEFT(RIGHT(E85,LEN(E85)-MIN(SEARCH({1,2,3,4,5,6,7,8,9,0},E85&amp;"1234567890"))+1),10),".","/"))=TRUE,AO85-(SUBSTITUTE(LEFT(RIGHT(E85,LEN(E85)-MIN(SEARCH({1,2,3,4,5,6,7,8,9,0},E85&amp;"1234567890"))+1),10),".","/")),IF((SUBSTITUTE(LEFT(RIGHT(E85,LEN(E85)-MIN(SEARCH({1,2,3,4,5,6,7,8,9,0},E85&amp;"1234567890"))+1),10),".","/"))="","",(AO85)-(MID(RIGHT((SUBSTITUTE(LEFT(RIGHT(E85,LEN(E85)-MIN(SEARCH({1,2,3,4,5,6,7,8,9,0},E85&amp;"1234567890"))+1),10),".","/")),10),4,2)&amp;"/"&amp;LEFT((RIGHT((SUBSTITUTE(LEFT(RIGHT(E85,LEN(E85)-MIN(SEARCH({1,2,3,4,5,6,7,8,9,0},E85&amp;"1234567890"))+1),10),".","/")),10)),2)&amp;"/"&amp;RIGHT((SUBSTITUTE(LEFT(RIGHT(E85,LEN(E85)-MIN(SEARCH({1,2,3,4,5,6,7,8,9,0},E85&amp;"1234567890"))+1),10),".","/")),4))))),(AO85-A85))</f>
        <v>2</v>
      </c>
      <c r="C85" s="199"/>
      <c r="D85" s="201" t="str">
        <f t="shared" si="12"/>
        <v>FGC-304/2B-1.00X755</v>
      </c>
      <c r="E85" s="201" t="s">
        <v>5401</v>
      </c>
      <c r="F85" s="201" t="s">
        <v>4170</v>
      </c>
      <c r="G85" s="201" t="s">
        <v>5096</v>
      </c>
      <c r="H85" s="201">
        <v>304</v>
      </c>
      <c r="I85" s="202" t="s">
        <v>114</v>
      </c>
      <c r="J85" s="203">
        <v>2.9</v>
      </c>
      <c r="K85" s="203">
        <v>1</v>
      </c>
      <c r="L85" s="203"/>
      <c r="M85" s="203"/>
      <c r="N85" s="204">
        <v>770</v>
      </c>
      <c r="O85" s="381">
        <v>4.62</v>
      </c>
      <c r="P85" s="413">
        <v>4.665</v>
      </c>
      <c r="Q85" s="185">
        <v>755</v>
      </c>
      <c r="R85" s="430"/>
      <c r="S85" s="414"/>
      <c r="T85" s="371" t="s">
        <v>4961</v>
      </c>
      <c r="U85" s="206" t="s">
        <v>1540</v>
      </c>
      <c r="V85" s="206"/>
      <c r="W85" s="185" t="s">
        <v>114</v>
      </c>
      <c r="X85" s="205">
        <v>44945</v>
      </c>
      <c r="Y85" s="205"/>
      <c r="Z85" s="205">
        <v>44945</v>
      </c>
      <c r="AA85" s="205"/>
      <c r="AB85" s="205"/>
      <c r="AC85" s="205">
        <v>44955</v>
      </c>
      <c r="AD85" s="205">
        <v>44956</v>
      </c>
      <c r="AE85" s="205"/>
      <c r="AF85" s="205"/>
      <c r="AG85" s="205"/>
      <c r="AH85" s="207" t="s">
        <v>2448</v>
      </c>
      <c r="AI85" s="208" t="s">
        <v>69</v>
      </c>
      <c r="AJ85" s="208" t="s">
        <v>142</v>
      </c>
      <c r="AK85" s="209" t="s">
        <v>1584</v>
      </c>
      <c r="AL85" s="209"/>
      <c r="AM85" s="209">
        <v>44914</v>
      </c>
      <c r="AN85" s="209"/>
      <c r="AO85" s="199">
        <f t="shared" ca="1" si="13"/>
        <v>44958</v>
      </c>
      <c r="AP85" s="208">
        <f t="shared" ca="1" si="14"/>
        <v>44</v>
      </c>
      <c r="AQ85" s="208" t="str">
        <f t="shared" si="15"/>
        <v/>
      </c>
      <c r="AR85" s="209"/>
      <c r="AS85" s="209" t="s">
        <v>2637</v>
      </c>
      <c r="AT85" s="210">
        <v>10.220000000000001</v>
      </c>
      <c r="AU85" s="210">
        <v>10.23</v>
      </c>
      <c r="AV85" s="210">
        <v>10.254999999999999</v>
      </c>
      <c r="AW85" s="210">
        <v>10.26</v>
      </c>
      <c r="AX85" s="200">
        <f t="shared" ca="1" si="16"/>
        <v>13</v>
      </c>
      <c r="AY85" s="200">
        <v>462</v>
      </c>
      <c r="BA85" s="200" t="s">
        <v>123</v>
      </c>
      <c r="BN85" s="211"/>
    </row>
    <row r="86" spans="1:66" s="200" customFormat="1" ht="18.75" customHeight="1" x14ac:dyDescent="0.25">
      <c r="A86" s="199">
        <v>44956</v>
      </c>
      <c r="B86" s="204">
        <f ca="1">IF(A86="",(IF(ISNUMBER(SUBSTITUTE(LEFT(RIGHT(E86,LEN(E86)-MIN(SEARCH({1,2,3,4,5,6,7,8,9,0},E86&amp;"1234567890"))+1),10),".","/"))=TRUE,AO86-(SUBSTITUTE(LEFT(RIGHT(E86,LEN(E86)-MIN(SEARCH({1,2,3,4,5,6,7,8,9,0},E86&amp;"1234567890"))+1),10),".","/")),IF((SUBSTITUTE(LEFT(RIGHT(E86,LEN(E86)-MIN(SEARCH({1,2,3,4,5,6,7,8,9,0},E86&amp;"1234567890"))+1),10),".","/"))="","",(AO86)-(MID(RIGHT((SUBSTITUTE(LEFT(RIGHT(E86,LEN(E86)-MIN(SEARCH({1,2,3,4,5,6,7,8,9,0},E86&amp;"1234567890"))+1),10),".","/")),10),4,2)&amp;"/"&amp;LEFT((RIGHT((SUBSTITUTE(LEFT(RIGHT(E86,LEN(E86)-MIN(SEARCH({1,2,3,4,5,6,7,8,9,0},E86&amp;"1234567890"))+1),10),".","/")),10)),2)&amp;"/"&amp;RIGHT((SUBSTITUTE(LEFT(RIGHT(E86,LEN(E86)-MIN(SEARCH({1,2,3,4,5,6,7,8,9,0},E86&amp;"1234567890"))+1),10),".","/")),4))))),(AO86-A86))</f>
        <v>2</v>
      </c>
      <c r="C86" s="199"/>
      <c r="D86" s="201" t="str">
        <f t="shared" si="12"/>
        <v>FGC-304/2B-1.00X760</v>
      </c>
      <c r="E86" s="201" t="s">
        <v>4959</v>
      </c>
      <c r="F86" s="201" t="s">
        <v>4177</v>
      </c>
      <c r="G86" s="201" t="s">
        <v>5624</v>
      </c>
      <c r="H86" s="201">
        <v>304</v>
      </c>
      <c r="I86" s="202" t="s">
        <v>114</v>
      </c>
      <c r="J86" s="203">
        <v>2.9</v>
      </c>
      <c r="K86" s="203">
        <v>1</v>
      </c>
      <c r="L86" s="203">
        <v>0.98</v>
      </c>
      <c r="M86" s="203">
        <v>1.03</v>
      </c>
      <c r="N86" s="204">
        <v>768</v>
      </c>
      <c r="O86" s="381">
        <f>4.435</f>
        <v>4.4349999999999996</v>
      </c>
      <c r="P86" s="413">
        <v>4.4749999999999996</v>
      </c>
      <c r="Q86" s="185">
        <v>760</v>
      </c>
      <c r="R86" s="430"/>
      <c r="S86" s="414"/>
      <c r="T86" s="371" t="s">
        <v>4961</v>
      </c>
      <c r="U86" s="206" t="s">
        <v>1540</v>
      </c>
      <c r="V86" s="206"/>
      <c r="W86" s="185" t="s">
        <v>114</v>
      </c>
      <c r="X86" s="205">
        <v>44946</v>
      </c>
      <c r="Y86" s="205"/>
      <c r="Z86" s="205">
        <v>44946</v>
      </c>
      <c r="AA86" s="205"/>
      <c r="AB86" s="205"/>
      <c r="AC86" s="205"/>
      <c r="AD86" s="205"/>
      <c r="AE86" s="205"/>
      <c r="AF86" s="205"/>
      <c r="AG86" s="205"/>
      <c r="AH86" s="207" t="s">
        <v>2448</v>
      </c>
      <c r="AI86" s="208" t="s">
        <v>69</v>
      </c>
      <c r="AJ86" s="208" t="s">
        <v>142</v>
      </c>
      <c r="AK86" s="209" t="s">
        <v>1584</v>
      </c>
      <c r="AL86" s="209"/>
      <c r="AM86" s="209">
        <v>44914</v>
      </c>
      <c r="AN86" s="209"/>
      <c r="AO86" s="199">
        <f t="shared" ca="1" si="13"/>
        <v>44958</v>
      </c>
      <c r="AP86" s="208">
        <f t="shared" ca="1" si="14"/>
        <v>44</v>
      </c>
      <c r="AQ86" s="208" t="str">
        <f t="shared" si="15"/>
        <v/>
      </c>
      <c r="AR86" s="209"/>
      <c r="AS86" s="209" t="s">
        <v>4140</v>
      </c>
      <c r="AT86" s="210">
        <v>10.56</v>
      </c>
      <c r="AU86" s="210">
        <v>10.57</v>
      </c>
      <c r="AV86" s="210">
        <v>10.594999999999999</v>
      </c>
      <c r="AW86" s="210">
        <v>10.6</v>
      </c>
      <c r="AX86" s="200">
        <f t="shared" ca="1" si="16"/>
        <v>12</v>
      </c>
      <c r="AY86" s="200">
        <v>462</v>
      </c>
      <c r="BA86" s="200" t="s">
        <v>123</v>
      </c>
      <c r="BN86" s="211"/>
    </row>
    <row r="87" spans="1:66" s="200" customFormat="1" ht="18.75" customHeight="1" x14ac:dyDescent="0.25">
      <c r="A87" s="199">
        <v>44956</v>
      </c>
      <c r="B87" s="204">
        <f ca="1">IF(A87="",(IF(ISNUMBER(SUBSTITUTE(LEFT(RIGHT(E87,LEN(E87)-MIN(SEARCH({1,2,3,4,5,6,7,8,9,0},E87&amp;"1234567890"))+1),10),".","/"))=TRUE,AO87-(SUBSTITUTE(LEFT(RIGHT(E87,LEN(E87)-MIN(SEARCH({1,2,3,4,5,6,7,8,9,0},E87&amp;"1234567890"))+1),10),".","/")),IF((SUBSTITUTE(LEFT(RIGHT(E87,LEN(E87)-MIN(SEARCH({1,2,3,4,5,6,7,8,9,0},E87&amp;"1234567890"))+1),10),".","/"))="","",(AO87)-(MID(RIGHT((SUBSTITUTE(LEFT(RIGHT(E87,LEN(E87)-MIN(SEARCH({1,2,3,4,5,6,7,8,9,0},E87&amp;"1234567890"))+1),10),".","/")),10),4,2)&amp;"/"&amp;LEFT((RIGHT((SUBSTITUTE(LEFT(RIGHT(E87,LEN(E87)-MIN(SEARCH({1,2,3,4,5,6,7,8,9,0},E87&amp;"1234567890"))+1),10),".","/")),10)),2)&amp;"/"&amp;RIGHT((SUBSTITUTE(LEFT(RIGHT(E87,LEN(E87)-MIN(SEARCH({1,2,3,4,5,6,7,8,9,0},E87&amp;"1234567890"))+1),10),".","/")),4))))),(AO87-A87))</f>
        <v>2</v>
      </c>
      <c r="C87" s="199"/>
      <c r="D87" s="201" t="str">
        <f t="shared" si="12"/>
        <v>FGC-304L/2B-1.20X760</v>
      </c>
      <c r="E87" s="201" t="s">
        <v>4959</v>
      </c>
      <c r="F87" s="201" t="s">
        <v>1522</v>
      </c>
      <c r="G87" s="201" t="s">
        <v>5625</v>
      </c>
      <c r="H87" s="201" t="s">
        <v>182</v>
      </c>
      <c r="I87" s="202" t="s">
        <v>114</v>
      </c>
      <c r="J87" s="203">
        <v>3.8</v>
      </c>
      <c r="K87" s="203">
        <v>1.2</v>
      </c>
      <c r="L87" s="203">
        <v>1.18</v>
      </c>
      <c r="M87" s="203">
        <v>1.22</v>
      </c>
      <c r="N87" s="204">
        <v>767</v>
      </c>
      <c r="O87" s="381">
        <f>3.905</f>
        <v>3.9049999999999998</v>
      </c>
      <c r="P87" s="413">
        <v>3.9449999999999998</v>
      </c>
      <c r="Q87" s="185">
        <v>760</v>
      </c>
      <c r="R87" s="430"/>
      <c r="S87" s="414"/>
      <c r="T87" s="371" t="s">
        <v>4961</v>
      </c>
      <c r="U87" s="206" t="s">
        <v>1540</v>
      </c>
      <c r="V87" s="206"/>
      <c r="W87" s="185" t="s">
        <v>114</v>
      </c>
      <c r="X87" s="205">
        <v>44936</v>
      </c>
      <c r="Y87" s="205"/>
      <c r="Z87" s="205">
        <v>44938</v>
      </c>
      <c r="AA87" s="205"/>
      <c r="AB87" s="205"/>
      <c r="AC87" s="205"/>
      <c r="AD87" s="205"/>
      <c r="AE87" s="205">
        <v>44935</v>
      </c>
      <c r="AF87" s="205"/>
      <c r="AG87" s="205"/>
      <c r="AH87" s="207" t="s">
        <v>1507</v>
      </c>
      <c r="AI87" s="208" t="s">
        <v>69</v>
      </c>
      <c r="AJ87" s="208" t="s">
        <v>142</v>
      </c>
      <c r="AK87" s="209" t="s">
        <v>1508</v>
      </c>
      <c r="AL87" s="209"/>
      <c r="AM87" s="209">
        <v>44849</v>
      </c>
      <c r="AN87" s="209"/>
      <c r="AO87" s="199">
        <f t="shared" ca="1" si="13"/>
        <v>44958</v>
      </c>
      <c r="AP87" s="208">
        <f t="shared" ca="1" si="14"/>
        <v>109</v>
      </c>
      <c r="AQ87" s="208" t="str">
        <f t="shared" si="15"/>
        <v/>
      </c>
      <c r="AR87" s="209"/>
      <c r="AS87" s="209" t="s">
        <v>1525</v>
      </c>
      <c r="AT87" s="210">
        <v>24.204999999999998</v>
      </c>
      <c r="AU87" s="210">
        <v>24.265000000000001</v>
      </c>
      <c r="AV87" s="210">
        <v>24.290000000000003</v>
      </c>
      <c r="AW87" s="210">
        <v>24.295000000000002</v>
      </c>
      <c r="AX87" s="200">
        <f t="shared" ca="1" si="16"/>
        <v>20</v>
      </c>
      <c r="AY87" s="200">
        <v>456</v>
      </c>
      <c r="BA87" s="200" t="s">
        <v>123</v>
      </c>
      <c r="BN87" s="211"/>
    </row>
    <row r="88" spans="1:66" s="200" customFormat="1" ht="18.75" customHeight="1" x14ac:dyDescent="0.25">
      <c r="A88" s="416"/>
      <c r="B88" s="363"/>
      <c r="C88" s="416"/>
      <c r="D88" s="361"/>
      <c r="E88" s="361"/>
      <c r="F88" s="361"/>
      <c r="G88" s="361"/>
      <c r="H88" s="361"/>
      <c r="I88" s="336"/>
      <c r="J88" s="417"/>
      <c r="K88" s="417"/>
      <c r="L88" s="417"/>
      <c r="M88" s="417"/>
      <c r="N88" s="363"/>
      <c r="O88" s="418">
        <f>SUM(O78:O87)</f>
        <v>49.564999999999998</v>
      </c>
      <c r="P88" s="419"/>
      <c r="Q88" s="390"/>
      <c r="R88" s="435"/>
      <c r="S88" s="422"/>
      <c r="T88" s="362"/>
      <c r="U88" s="423"/>
      <c r="V88" s="423"/>
      <c r="W88" s="390"/>
      <c r="X88" s="424"/>
      <c r="Y88" s="424"/>
      <c r="Z88" s="424"/>
      <c r="AA88" s="424"/>
      <c r="AB88" s="424"/>
      <c r="AC88" s="424"/>
      <c r="AD88" s="424"/>
      <c r="AE88" s="424"/>
      <c r="AF88" s="424"/>
      <c r="AG88" s="424"/>
      <c r="AH88" s="425"/>
      <c r="AK88" s="426"/>
      <c r="AL88" s="426"/>
      <c r="AM88" s="426"/>
      <c r="AN88" s="426"/>
      <c r="AO88" s="416"/>
      <c r="AR88" s="426"/>
      <c r="AS88" s="426"/>
      <c r="AT88" s="427"/>
      <c r="AU88" s="427"/>
      <c r="AV88" s="427"/>
      <c r="AW88" s="427"/>
      <c r="BN88" s="436"/>
    </row>
    <row r="89" spans="1:66" s="200" customFormat="1" ht="18.75" customHeight="1" x14ac:dyDescent="0.25">
      <c r="A89" s="416"/>
      <c r="B89" s="363"/>
      <c r="C89" s="416"/>
      <c r="D89" s="361"/>
      <c r="E89" s="361"/>
      <c r="F89" s="361"/>
      <c r="G89" s="361"/>
      <c r="H89" s="361"/>
      <c r="I89" s="336"/>
      <c r="J89" s="417"/>
      <c r="K89" s="417"/>
      <c r="L89" s="417"/>
      <c r="M89" s="417"/>
      <c r="N89" s="363"/>
      <c r="O89" s="418"/>
      <c r="P89" s="419"/>
      <c r="Q89" s="390"/>
      <c r="R89" s="435"/>
      <c r="S89" s="422"/>
      <c r="T89" s="362"/>
      <c r="U89" s="423"/>
      <c r="V89" s="423"/>
      <c r="W89" s="390"/>
      <c r="X89" s="424"/>
      <c r="Y89" s="424"/>
      <c r="Z89" s="424"/>
      <c r="AA89" s="424"/>
      <c r="AB89" s="424"/>
      <c r="AC89" s="424"/>
      <c r="AD89" s="424"/>
      <c r="AE89" s="424"/>
      <c r="AF89" s="424"/>
      <c r="AG89" s="424"/>
      <c r="AH89" s="425"/>
      <c r="AK89" s="426"/>
      <c r="AL89" s="426"/>
      <c r="AM89" s="426"/>
      <c r="AN89" s="426"/>
      <c r="AO89" s="416"/>
      <c r="AR89" s="426"/>
      <c r="AS89" s="426"/>
      <c r="AT89" s="427"/>
      <c r="AU89" s="427"/>
      <c r="AV89" s="427"/>
      <c r="AW89" s="427"/>
      <c r="BN89" s="436"/>
    </row>
    <row r="90" spans="1:66" s="200" customFormat="1" ht="18.75" customHeight="1" x14ac:dyDescent="0.25">
      <c r="A90" s="431" t="s">
        <v>511</v>
      </c>
      <c r="B90" s="363"/>
      <c r="C90" s="416"/>
      <c r="D90" s="361"/>
      <c r="E90" s="361"/>
      <c r="F90" s="361"/>
      <c r="G90" s="361"/>
      <c r="H90" s="361"/>
      <c r="I90" s="336"/>
      <c r="J90" s="417"/>
      <c r="K90" s="417"/>
      <c r="L90" s="417"/>
      <c r="M90" s="417"/>
      <c r="N90" s="363"/>
      <c r="O90" s="418"/>
      <c r="P90" s="419"/>
      <c r="Q90" s="390"/>
      <c r="R90" s="435"/>
      <c r="S90" s="422"/>
      <c r="T90" s="423"/>
      <c r="U90" s="423"/>
      <c r="V90" s="423"/>
      <c r="W90" s="390"/>
      <c r="X90" s="424"/>
      <c r="Y90" s="424"/>
      <c r="Z90" s="424"/>
      <c r="AA90" s="424"/>
      <c r="AB90" s="424"/>
      <c r="AC90" s="424"/>
      <c r="AD90" s="424"/>
      <c r="AE90" s="424"/>
      <c r="AF90" s="424"/>
      <c r="AG90" s="424"/>
      <c r="AH90" s="425"/>
      <c r="AK90" s="426"/>
      <c r="AL90" s="426"/>
      <c r="AM90" s="426"/>
      <c r="AN90" s="426"/>
      <c r="AO90" s="416"/>
      <c r="AR90" s="426"/>
      <c r="AS90" s="426"/>
      <c r="AT90" s="427"/>
      <c r="AU90" s="427"/>
      <c r="AV90" s="427"/>
      <c r="AW90" s="427"/>
      <c r="BN90" s="436"/>
    </row>
    <row r="91" spans="1:66" s="200" customFormat="1" ht="18.75" customHeight="1" x14ac:dyDescent="0.25">
      <c r="A91" s="199">
        <v>44952</v>
      </c>
      <c r="B91" s="204">
        <f ca="1">IF(A91="",(IF(ISNUMBER(SUBSTITUTE(LEFT(RIGHT(E91,LEN(E91)-MIN(SEARCH({1,2,3,4,5,6,7,8,9,0},E91&amp;"1234567890"))+1),10),".","/"))=TRUE,AO91-(SUBSTITUTE(LEFT(RIGHT(E91,LEN(E91)-MIN(SEARCH({1,2,3,4,5,6,7,8,9,0},E91&amp;"1234567890"))+1),10),".","/")),IF((SUBSTITUTE(LEFT(RIGHT(E91,LEN(E91)-MIN(SEARCH({1,2,3,4,5,6,7,8,9,0},E91&amp;"1234567890"))+1),10),".","/"))="","",(AO91)-(MID(RIGHT((SUBSTITUTE(LEFT(RIGHT(E91,LEN(E91)-MIN(SEARCH({1,2,3,4,5,6,7,8,9,0},E91&amp;"1234567890"))+1),10),".","/")),10),4,2)&amp;"/"&amp;LEFT((RIGHT((SUBSTITUTE(LEFT(RIGHT(E91,LEN(E91)-MIN(SEARCH({1,2,3,4,5,6,7,8,9,0},E91&amp;"1234567890"))+1),10),".","/")),10)),2)&amp;"/"&amp;RIGHT((SUBSTITUTE(LEFT(RIGHT(E91,LEN(E91)-MIN(SEARCH({1,2,3,4,5,6,7,8,9,0},E91&amp;"1234567890"))+1),10),".","/")),4))))),(AO91-A91))</f>
        <v>6</v>
      </c>
      <c r="C91" s="199"/>
      <c r="D91" s="201" t="str">
        <f>IF(Q91="MULTI","FGM","FGC")&amp;"-"&amp;H91&amp;"/"&amp;I91&amp;"-"&amp;TEXT(K91,"0.00")&amp;"X"&amp;IF(Q91="MULTI",N91,Q91)</f>
        <v>FGC-304L/2B-1.00X630</v>
      </c>
      <c r="E91" s="201" t="s">
        <v>5337</v>
      </c>
      <c r="F91" s="201" t="s">
        <v>4103</v>
      </c>
      <c r="G91" s="201" t="s">
        <v>5340</v>
      </c>
      <c r="H91" s="201" t="s">
        <v>182</v>
      </c>
      <c r="I91" s="202" t="s">
        <v>114</v>
      </c>
      <c r="J91" s="203">
        <v>2.82</v>
      </c>
      <c r="K91" s="203">
        <v>1</v>
      </c>
      <c r="L91" s="203">
        <v>0.97</v>
      </c>
      <c r="M91" s="203">
        <v>0.99</v>
      </c>
      <c r="N91" s="204">
        <v>644</v>
      </c>
      <c r="O91" s="381">
        <v>2.5099999999999998</v>
      </c>
      <c r="P91" s="413">
        <v>2.5499999999999998</v>
      </c>
      <c r="Q91" s="185">
        <v>630</v>
      </c>
      <c r="R91" s="430"/>
      <c r="S91" s="414"/>
      <c r="T91" s="371" t="s">
        <v>4890</v>
      </c>
      <c r="U91" s="206" t="s">
        <v>511</v>
      </c>
      <c r="V91" s="206"/>
      <c r="W91" s="185" t="s">
        <v>114</v>
      </c>
      <c r="X91" s="205">
        <v>44941</v>
      </c>
      <c r="Y91" s="205">
        <v>44945</v>
      </c>
      <c r="Z91" s="205"/>
      <c r="AA91" s="205">
        <v>44941</v>
      </c>
      <c r="AB91" s="205">
        <v>44950</v>
      </c>
      <c r="AC91" s="205"/>
      <c r="AD91" s="205"/>
      <c r="AE91" s="205"/>
      <c r="AF91" s="205"/>
      <c r="AG91" s="205"/>
      <c r="AH91" s="207" t="s">
        <v>2479</v>
      </c>
      <c r="AI91" s="208" t="s">
        <v>69</v>
      </c>
      <c r="AJ91" s="208" t="s">
        <v>142</v>
      </c>
      <c r="AK91" s="209" t="s">
        <v>1653</v>
      </c>
      <c r="AL91" s="209"/>
      <c r="AM91" s="209">
        <v>44880</v>
      </c>
      <c r="AN91" s="209"/>
      <c r="AO91" s="199">
        <f ca="1">TODAY()</f>
        <v>44958</v>
      </c>
      <c r="AP91" s="208">
        <f ca="1">IF(AM91&lt;&gt;0,AO91-AM91,0)</f>
        <v>78</v>
      </c>
      <c r="AQ91" s="208">
        <f ca="1">IF(ISNUMBER(AB91)=TRUE,AO91-AB91,IF(AB91="","",(AO91)-(MID(RIGHT(AB91,10),4,2)&amp;"/"&amp;LEFT((RIGHT(AB91,10)),2)&amp;"/"&amp;RIGHT(AB91,4))))</f>
        <v>8</v>
      </c>
      <c r="AR91" s="209"/>
      <c r="AS91" s="209" t="s">
        <v>1967</v>
      </c>
      <c r="AT91" s="210">
        <v>10.71</v>
      </c>
      <c r="AU91" s="210">
        <v>10.72</v>
      </c>
      <c r="AV91" s="210">
        <v>10.744999999999999</v>
      </c>
      <c r="AW91" s="210">
        <v>10.75</v>
      </c>
      <c r="AX91" s="200" t="str">
        <f>IF(ISNUMBER(Z91)=TRUE,AO91-Z91,IF(Z91="","",(AO91)-(MID(RIGHT(Z91,10),4,2)&amp;"/"&amp;LEFT((RIGHT(Z91,10)),2)&amp;"/"&amp;RIGHT(Z91,4))))</f>
        <v/>
      </c>
      <c r="AY91" s="200">
        <v>459</v>
      </c>
      <c r="BA91" s="200" t="s">
        <v>123</v>
      </c>
      <c r="BN91" s="211"/>
    </row>
    <row r="92" spans="1:66" s="200" customFormat="1" ht="18.75" customHeight="1" x14ac:dyDescent="0.25">
      <c r="A92" s="199">
        <v>44952</v>
      </c>
      <c r="B92" s="204">
        <f ca="1">IF(A92="",(IF(ISNUMBER(SUBSTITUTE(LEFT(RIGHT(E92,LEN(E92)-MIN(SEARCH({1,2,3,4,5,6,7,8,9,0},E92&amp;"1234567890"))+1),10),".","/"))=TRUE,AO92-(SUBSTITUTE(LEFT(RIGHT(E92,LEN(E92)-MIN(SEARCH({1,2,3,4,5,6,7,8,9,0},E92&amp;"1234567890"))+1),10),".","/")),IF((SUBSTITUTE(LEFT(RIGHT(E92,LEN(E92)-MIN(SEARCH({1,2,3,4,5,6,7,8,9,0},E92&amp;"1234567890"))+1),10),".","/"))="","",(AO92)-(MID(RIGHT((SUBSTITUTE(LEFT(RIGHT(E92,LEN(E92)-MIN(SEARCH({1,2,3,4,5,6,7,8,9,0},E92&amp;"1234567890"))+1),10),".","/")),10),4,2)&amp;"/"&amp;LEFT((RIGHT((SUBSTITUTE(LEFT(RIGHT(E92,LEN(E92)-MIN(SEARCH({1,2,3,4,5,6,7,8,9,0},E92&amp;"1234567890"))+1),10),".","/")),10)),2)&amp;"/"&amp;RIGHT((SUBSTITUTE(LEFT(RIGHT(E92,LEN(E92)-MIN(SEARCH({1,2,3,4,5,6,7,8,9,0},E92&amp;"1234567890"))+1),10),".","/")),4))))),(AO92-A92))</f>
        <v>6</v>
      </c>
      <c r="C92" s="199"/>
      <c r="D92" s="201" t="str">
        <f>IF(Q92="MULTI","FGM","FGC")&amp;"-"&amp;H92&amp;"/"&amp;I92&amp;"-"&amp;TEXT(K92,"0.00")&amp;"X"&amp;IF(Q92="MULTI",N92,Q92)</f>
        <v>FGC-304L/2B-1.00X630</v>
      </c>
      <c r="E92" s="201" t="s">
        <v>5337</v>
      </c>
      <c r="F92" s="201" t="s">
        <v>4103</v>
      </c>
      <c r="G92" s="201" t="s">
        <v>5341</v>
      </c>
      <c r="H92" s="201" t="s">
        <v>182</v>
      </c>
      <c r="I92" s="202" t="s">
        <v>114</v>
      </c>
      <c r="J92" s="203">
        <v>2.82</v>
      </c>
      <c r="K92" s="203">
        <v>1</v>
      </c>
      <c r="L92" s="203">
        <v>0.97</v>
      </c>
      <c r="M92" s="203">
        <v>0.99</v>
      </c>
      <c r="N92" s="204">
        <v>644</v>
      </c>
      <c r="O92" s="381">
        <v>2.4249999999999998</v>
      </c>
      <c r="P92" s="413">
        <v>2.46</v>
      </c>
      <c r="Q92" s="185">
        <v>630</v>
      </c>
      <c r="R92" s="430"/>
      <c r="S92" s="414"/>
      <c r="T92" s="371" t="s">
        <v>4890</v>
      </c>
      <c r="U92" s="206" t="s">
        <v>511</v>
      </c>
      <c r="V92" s="206"/>
      <c r="W92" s="185" t="s">
        <v>114</v>
      </c>
      <c r="X92" s="205">
        <v>44941</v>
      </c>
      <c r="Y92" s="205">
        <v>44945</v>
      </c>
      <c r="Z92" s="205"/>
      <c r="AA92" s="205">
        <v>44941</v>
      </c>
      <c r="AB92" s="205">
        <v>44950</v>
      </c>
      <c r="AC92" s="205"/>
      <c r="AD92" s="205"/>
      <c r="AE92" s="205"/>
      <c r="AF92" s="205"/>
      <c r="AG92" s="205"/>
      <c r="AH92" s="207" t="s">
        <v>2479</v>
      </c>
      <c r="AI92" s="208" t="s">
        <v>69</v>
      </c>
      <c r="AJ92" s="208" t="s">
        <v>142</v>
      </c>
      <c r="AK92" s="209" t="s">
        <v>1653</v>
      </c>
      <c r="AL92" s="209"/>
      <c r="AM92" s="209">
        <v>44880</v>
      </c>
      <c r="AN92" s="209"/>
      <c r="AO92" s="199">
        <f ca="1">TODAY()</f>
        <v>44958</v>
      </c>
      <c r="AP92" s="208">
        <f ca="1">IF(AM92&lt;&gt;0,AO92-AM92,0)</f>
        <v>78</v>
      </c>
      <c r="AQ92" s="208">
        <f ca="1">IF(ISNUMBER(AB92)=TRUE,AO92-AB92,IF(AB92="","",(AO92)-(MID(RIGHT(AB92,10),4,2)&amp;"/"&amp;LEFT((RIGHT(AB92,10)),2)&amp;"/"&amp;RIGHT(AB92,4))))</f>
        <v>8</v>
      </c>
      <c r="AR92" s="209"/>
      <c r="AS92" s="209" t="s">
        <v>1967</v>
      </c>
      <c r="AT92" s="210">
        <v>10.71</v>
      </c>
      <c r="AU92" s="210">
        <v>10.72</v>
      </c>
      <c r="AV92" s="210">
        <v>10.744999999999999</v>
      </c>
      <c r="AW92" s="210">
        <v>10.75</v>
      </c>
      <c r="AX92" s="200" t="str">
        <f>IF(ISNUMBER(Z92)=TRUE,AO92-Z92,IF(Z92="","",(AO92)-(MID(RIGHT(Z92,10),4,2)&amp;"/"&amp;LEFT((RIGHT(Z92,10)),2)&amp;"/"&amp;RIGHT(Z92,4))))</f>
        <v/>
      </c>
      <c r="AY92" s="200">
        <v>459</v>
      </c>
      <c r="BA92" s="200" t="s">
        <v>123</v>
      </c>
      <c r="BN92" s="211"/>
    </row>
    <row r="93" spans="1:66" s="200" customFormat="1" ht="18.75" customHeight="1" x14ac:dyDescent="0.25">
      <c r="A93" s="431"/>
      <c r="B93" s="363"/>
      <c r="C93" s="416"/>
      <c r="D93" s="361"/>
      <c r="E93" s="361"/>
      <c r="F93" s="361"/>
      <c r="G93" s="361"/>
      <c r="H93" s="361"/>
      <c r="I93" s="336"/>
      <c r="J93" s="417"/>
      <c r="K93" s="417"/>
      <c r="L93" s="417"/>
      <c r="M93" s="417"/>
      <c r="N93" s="363"/>
      <c r="O93" s="418">
        <f>SUM(O91:O92)</f>
        <v>4.9349999999999996</v>
      </c>
      <c r="P93" s="419"/>
      <c r="Q93" s="390"/>
      <c r="R93" s="435"/>
      <c r="S93" s="422"/>
      <c r="T93" s="423"/>
      <c r="U93" s="423"/>
      <c r="V93" s="423"/>
      <c r="W93" s="390"/>
      <c r="X93" s="424"/>
      <c r="Y93" s="424"/>
      <c r="Z93" s="424"/>
      <c r="AA93" s="424"/>
      <c r="AB93" s="424"/>
      <c r="AC93" s="424"/>
      <c r="AD93" s="424"/>
      <c r="AE93" s="424"/>
      <c r="AF93" s="424"/>
      <c r="AG93" s="424"/>
      <c r="AH93" s="425"/>
      <c r="AK93" s="426"/>
      <c r="AL93" s="426"/>
      <c r="AM93" s="426"/>
      <c r="AN93" s="426"/>
      <c r="AO93" s="416"/>
      <c r="AR93" s="426"/>
      <c r="AS93" s="426"/>
      <c r="AT93" s="427"/>
      <c r="AU93" s="427"/>
      <c r="AV93" s="427"/>
      <c r="AW93" s="427"/>
      <c r="BN93" s="436"/>
    </row>
    <row r="94" spans="1:66" s="200" customFormat="1" ht="18.75" customHeight="1" x14ac:dyDescent="0.25">
      <c r="A94" s="431"/>
      <c r="B94" s="363"/>
      <c r="C94" s="416"/>
      <c r="D94" s="361"/>
      <c r="E94" s="361"/>
      <c r="F94" s="361"/>
      <c r="G94" s="361"/>
      <c r="H94" s="361"/>
      <c r="I94" s="336"/>
      <c r="J94" s="417"/>
      <c r="K94" s="417"/>
      <c r="L94" s="417"/>
      <c r="M94" s="417"/>
      <c r="N94" s="363"/>
      <c r="O94" s="418"/>
      <c r="P94" s="419"/>
      <c r="Q94" s="390"/>
      <c r="R94" s="435"/>
      <c r="S94" s="422"/>
      <c r="T94" s="423"/>
      <c r="U94" s="423"/>
      <c r="V94" s="423"/>
      <c r="W94" s="390"/>
      <c r="X94" s="424"/>
      <c r="Y94" s="424"/>
      <c r="Z94" s="424"/>
      <c r="AA94" s="424"/>
      <c r="AB94" s="424"/>
      <c r="AC94" s="424"/>
      <c r="AD94" s="424"/>
      <c r="AE94" s="424"/>
      <c r="AF94" s="424"/>
      <c r="AG94" s="424"/>
      <c r="AH94" s="425"/>
      <c r="AK94" s="426"/>
      <c r="AL94" s="426"/>
      <c r="AM94" s="426"/>
      <c r="AN94" s="426"/>
      <c r="AO94" s="416"/>
      <c r="AR94" s="426"/>
      <c r="AS94" s="426"/>
      <c r="AT94" s="427"/>
      <c r="AU94" s="427"/>
      <c r="AV94" s="427"/>
      <c r="AW94" s="427"/>
      <c r="BN94" s="436"/>
    </row>
    <row r="95" spans="1:66" s="200" customFormat="1" ht="18.75" customHeight="1" x14ac:dyDescent="0.25">
      <c r="A95" s="431" t="s">
        <v>5626</v>
      </c>
      <c r="B95" s="363"/>
      <c r="C95" s="416"/>
      <c r="D95" s="361"/>
      <c r="E95" s="361"/>
      <c r="F95" s="361"/>
      <c r="G95" s="361"/>
      <c r="H95" s="361"/>
      <c r="I95" s="336"/>
      <c r="J95" s="417"/>
      <c r="K95" s="417"/>
      <c r="L95" s="417"/>
      <c r="M95" s="417"/>
      <c r="N95" s="363"/>
      <c r="O95" s="418"/>
      <c r="P95" s="419"/>
      <c r="Q95" s="390"/>
      <c r="R95" s="435"/>
      <c r="S95" s="422"/>
      <c r="T95" s="423"/>
      <c r="U95" s="423"/>
      <c r="V95" s="423"/>
      <c r="W95" s="390"/>
      <c r="X95" s="424"/>
      <c r="Y95" s="424"/>
      <c r="Z95" s="424"/>
      <c r="AA95" s="424"/>
      <c r="AB95" s="424"/>
      <c r="AC95" s="424"/>
      <c r="AD95" s="424"/>
      <c r="AE95" s="424"/>
      <c r="AF95" s="424"/>
      <c r="AG95" s="424"/>
      <c r="AH95" s="425"/>
      <c r="AK95" s="426"/>
      <c r="AL95" s="426"/>
      <c r="AM95" s="426"/>
      <c r="AN95" s="426"/>
      <c r="AO95" s="416"/>
      <c r="AR95" s="426"/>
      <c r="AS95" s="426"/>
      <c r="AT95" s="427"/>
      <c r="AU95" s="427"/>
      <c r="AV95" s="427"/>
      <c r="AW95" s="427"/>
      <c r="BN95" s="436"/>
    </row>
    <row r="96" spans="1:66" s="200" customFormat="1" ht="18.75" customHeight="1" x14ac:dyDescent="0.25">
      <c r="A96" s="199">
        <v>44938</v>
      </c>
      <c r="B96" s="204">
        <f ca="1">IF(A96="",(IF(ISNUMBER(SUBSTITUTE(LEFT(RIGHT(E96,LEN(E96)-MIN(SEARCH({1,2,3,4,5,6,7,8,9,0},E96&amp;"1234567890"))+1),10),".","/"))=TRUE,AO96-(SUBSTITUTE(LEFT(RIGHT(E96,LEN(E96)-MIN(SEARCH({1,2,3,4,5,6,7,8,9,0},E96&amp;"1234567890"))+1),10),".","/")),IF((SUBSTITUTE(LEFT(RIGHT(E96,LEN(E96)-MIN(SEARCH({1,2,3,4,5,6,7,8,9,0},E96&amp;"1234567890"))+1),10),".","/"))="","",(AO96)-(MID(RIGHT((SUBSTITUTE(LEFT(RIGHT(E96,LEN(E96)-MIN(SEARCH({1,2,3,4,5,6,7,8,9,0},E96&amp;"1234567890"))+1),10),".","/")),10),4,2)&amp;"/"&amp;LEFT((RIGHT((SUBSTITUTE(LEFT(RIGHT(E96,LEN(E96)-MIN(SEARCH({1,2,3,4,5,6,7,8,9,0},E96&amp;"1234567890"))+1),10),".","/")),10)),2)&amp;"/"&amp;RIGHT((SUBSTITUTE(LEFT(RIGHT(E96,LEN(E96)-MIN(SEARCH({1,2,3,4,5,6,7,8,9,0},E96&amp;"1234567890"))+1),10),".","/")),4))))),(AO96-A96))</f>
        <v>20</v>
      </c>
      <c r="C96" s="199"/>
      <c r="D96" s="201" t="str">
        <f>IF(Q96="MULTI","FGM","FGC")&amp;"-"&amp;H96&amp;"/"&amp;I96&amp;"-"&amp;TEXT(K96,"0.00")&amp;"X"&amp;IF(Q96="MULTI",N96,Q96)</f>
        <v>FGC-304/2B-1.03X760</v>
      </c>
      <c r="E96" s="201" t="s">
        <v>4679</v>
      </c>
      <c r="F96" s="201" t="s">
        <v>3945</v>
      </c>
      <c r="G96" s="201" t="s">
        <v>5627</v>
      </c>
      <c r="H96" s="201">
        <v>304</v>
      </c>
      <c r="I96" s="202" t="s">
        <v>114</v>
      </c>
      <c r="J96" s="203">
        <v>3.49</v>
      </c>
      <c r="K96" s="203">
        <v>1.03</v>
      </c>
      <c r="L96" s="203">
        <v>1.04</v>
      </c>
      <c r="M96" s="203">
        <v>1.05</v>
      </c>
      <c r="N96" s="204">
        <v>778</v>
      </c>
      <c r="O96" s="381">
        <f>5.985</f>
        <v>5.9850000000000003</v>
      </c>
      <c r="P96" s="413">
        <v>6.03</v>
      </c>
      <c r="Q96" s="185">
        <v>760</v>
      </c>
      <c r="R96" s="430"/>
      <c r="S96" s="414"/>
      <c r="T96" s="371" t="s">
        <v>5045</v>
      </c>
      <c r="U96" s="206" t="s">
        <v>2444</v>
      </c>
      <c r="V96" s="206" t="s">
        <v>115</v>
      </c>
      <c r="W96" s="185" t="s">
        <v>114</v>
      </c>
      <c r="X96" s="205">
        <v>44932</v>
      </c>
      <c r="Y96" s="205"/>
      <c r="Z96" s="205">
        <v>44932</v>
      </c>
      <c r="AA96" s="205"/>
      <c r="AB96" s="205"/>
      <c r="AC96" s="205"/>
      <c r="AD96" s="205"/>
      <c r="AE96" s="205">
        <v>44929</v>
      </c>
      <c r="AF96" s="205"/>
      <c r="AG96" s="205"/>
      <c r="AH96" s="207" t="s">
        <v>1345</v>
      </c>
      <c r="AI96" s="208" t="s">
        <v>69</v>
      </c>
      <c r="AJ96" s="208" t="s">
        <v>142</v>
      </c>
      <c r="AK96" s="209" t="s">
        <v>1346</v>
      </c>
      <c r="AL96" s="209"/>
      <c r="AM96" s="209">
        <v>44813</v>
      </c>
      <c r="AN96" s="209"/>
      <c r="AO96" s="199">
        <f ca="1">TODAY()</f>
        <v>44958</v>
      </c>
      <c r="AP96" s="208">
        <f ca="1">IF(AM96&lt;&gt;0,AO96-AM96,0)</f>
        <v>145</v>
      </c>
      <c r="AQ96" s="208" t="str">
        <f>IF(ISNUMBER(AB96)=TRUE,AO96-AB96,IF(AB96="","",(AO96)-(MID(RIGHT(AB96,10),4,2)&amp;"/"&amp;LEFT((RIGHT(AB96,10)),2)&amp;"/"&amp;RIGHT(AB96,4))))</f>
        <v/>
      </c>
      <c r="AR96" s="209"/>
      <c r="AS96" s="209" t="s">
        <v>3947</v>
      </c>
      <c r="AT96" s="210">
        <v>21.434999999999999</v>
      </c>
      <c r="AU96" s="210">
        <v>21.495000000000001</v>
      </c>
      <c r="AV96" s="210">
        <v>21.520000000000003</v>
      </c>
      <c r="AW96" s="210">
        <v>21.525000000000002</v>
      </c>
      <c r="AX96" s="200">
        <f ca="1">IF(ISNUMBER(Z96)=TRUE,AO96-Z96,IF(Z96="","",(AO96)-(MID(RIGHT(Z96,10),4,2)&amp;"/"&amp;LEFT((RIGHT(Z96,10)),2)&amp;"/"&amp;RIGHT(Z96,4))))</f>
        <v>26</v>
      </c>
      <c r="AY96" s="200">
        <v>451</v>
      </c>
      <c r="BN96" s="211"/>
    </row>
    <row r="97" spans="1:66" s="200" customFormat="1" ht="18.75" customHeight="1" x14ac:dyDescent="0.25">
      <c r="A97" s="431"/>
      <c r="B97" s="363"/>
      <c r="C97" s="416"/>
      <c r="D97" s="361"/>
      <c r="E97" s="361"/>
      <c r="F97" s="361"/>
      <c r="G97" s="361"/>
      <c r="H97" s="361"/>
      <c r="I97" s="336"/>
      <c r="J97" s="417"/>
      <c r="K97" s="417"/>
      <c r="L97" s="417"/>
      <c r="M97" s="417"/>
      <c r="N97" s="363"/>
      <c r="O97" s="418">
        <f>SUM(O96:O96)</f>
        <v>5.9850000000000003</v>
      </c>
      <c r="P97" s="419"/>
      <c r="Q97" s="390"/>
      <c r="R97" s="435"/>
      <c r="S97" s="422"/>
      <c r="T97" s="423"/>
      <c r="U97" s="423"/>
      <c r="V97" s="423"/>
      <c r="W97" s="390"/>
      <c r="X97" s="424"/>
      <c r="Y97" s="424"/>
      <c r="Z97" s="424"/>
      <c r="AA97" s="424"/>
      <c r="AB97" s="424"/>
      <c r="AC97" s="424"/>
      <c r="AD97" s="424"/>
      <c r="AE97" s="424"/>
      <c r="AF97" s="424"/>
      <c r="AG97" s="424"/>
      <c r="AH97" s="425"/>
      <c r="AK97" s="426"/>
      <c r="AL97" s="426"/>
      <c r="AM97" s="426"/>
      <c r="AN97" s="426"/>
      <c r="AO97" s="416"/>
      <c r="AR97" s="426"/>
      <c r="AS97" s="426"/>
      <c r="AT97" s="427"/>
      <c r="AU97" s="427"/>
      <c r="AV97" s="427"/>
      <c r="AW97" s="427"/>
      <c r="BN97" s="436"/>
    </row>
    <row r="98" spans="1:66" s="200" customFormat="1" ht="18.75" customHeight="1" x14ac:dyDescent="0.25">
      <c r="A98" s="431"/>
      <c r="B98" s="363"/>
      <c r="C98" s="416"/>
      <c r="D98" s="361"/>
      <c r="E98" s="361"/>
      <c r="F98" s="361"/>
      <c r="G98" s="361"/>
      <c r="H98" s="361"/>
      <c r="I98" s="336"/>
      <c r="J98" s="417"/>
      <c r="K98" s="417"/>
      <c r="L98" s="417"/>
      <c r="M98" s="417"/>
      <c r="N98" s="363"/>
      <c r="O98" s="418"/>
      <c r="P98" s="419"/>
      <c r="Q98" s="390"/>
      <c r="R98" s="435"/>
      <c r="S98" s="422"/>
      <c r="T98" s="423"/>
      <c r="U98" s="423"/>
      <c r="V98" s="423"/>
      <c r="W98" s="390"/>
      <c r="X98" s="424"/>
      <c r="Y98" s="424"/>
      <c r="Z98" s="424"/>
      <c r="AA98" s="424"/>
      <c r="AB98" s="424"/>
      <c r="AC98" s="424"/>
      <c r="AD98" s="424"/>
      <c r="AE98" s="424"/>
      <c r="AF98" s="424"/>
      <c r="AG98" s="424"/>
      <c r="AH98" s="425"/>
      <c r="AK98" s="426"/>
      <c r="AL98" s="426"/>
      <c r="AM98" s="426"/>
      <c r="AN98" s="426"/>
      <c r="AO98" s="416"/>
      <c r="AR98" s="426"/>
      <c r="AS98" s="426"/>
      <c r="AT98" s="427"/>
      <c r="AU98" s="427"/>
      <c r="AV98" s="427"/>
      <c r="AW98" s="427"/>
      <c r="BN98" s="436"/>
    </row>
    <row r="99" spans="1:66" s="200" customFormat="1" ht="18" customHeight="1" x14ac:dyDescent="0.25">
      <c r="A99" s="431" t="s">
        <v>5628</v>
      </c>
      <c r="B99" s="363"/>
      <c r="C99" s="416"/>
      <c r="D99" s="361"/>
      <c r="E99" s="361"/>
      <c r="F99" s="361"/>
      <c r="G99" s="361"/>
      <c r="H99" s="361"/>
      <c r="I99" s="336"/>
      <c r="J99" s="417"/>
      <c r="K99" s="417"/>
      <c r="L99" s="417"/>
      <c r="M99" s="417"/>
      <c r="N99" s="363"/>
      <c r="O99" s="418"/>
      <c r="P99" s="419"/>
      <c r="Q99" s="390"/>
      <c r="R99" s="435"/>
      <c r="S99" s="422"/>
      <c r="T99" s="423"/>
      <c r="U99" s="423"/>
      <c r="V99" s="423"/>
      <c r="W99" s="390"/>
      <c r="X99" s="424"/>
      <c r="Y99" s="424"/>
      <c r="Z99" s="424"/>
      <c r="AA99" s="424"/>
      <c r="AB99" s="424"/>
      <c r="AC99" s="424"/>
      <c r="AD99" s="424"/>
      <c r="AE99" s="424"/>
      <c r="AF99" s="424"/>
      <c r="AG99" s="424"/>
      <c r="AH99" s="425"/>
      <c r="AK99" s="426"/>
      <c r="AL99" s="426"/>
      <c r="AM99" s="426"/>
      <c r="AN99" s="426"/>
      <c r="AO99" s="416"/>
      <c r="AR99" s="426"/>
      <c r="AS99" s="426"/>
      <c r="AT99" s="427"/>
      <c r="AU99" s="427"/>
      <c r="AV99" s="427"/>
      <c r="AW99" s="427"/>
      <c r="BN99" s="436"/>
    </row>
    <row r="100" spans="1:66" s="200" customFormat="1" ht="18.75" customHeight="1" x14ac:dyDescent="0.25">
      <c r="A100" s="199">
        <v>44950</v>
      </c>
      <c r="B100" s="204">
        <f ca="1">IF(A100="",(IF(ISNUMBER(SUBSTITUTE(LEFT(RIGHT(E100,LEN(E100)-MIN(SEARCH({1,2,3,4,5,6,7,8,9,0},E100&amp;"1234567890"))+1),10),".","/"))=TRUE,AO100-(SUBSTITUTE(LEFT(RIGHT(E100,LEN(E100)-MIN(SEARCH({1,2,3,4,5,6,7,8,9,0},E100&amp;"1234567890"))+1),10),".","/")),IF((SUBSTITUTE(LEFT(RIGHT(E100,LEN(E100)-MIN(SEARCH({1,2,3,4,5,6,7,8,9,0},E100&amp;"1234567890"))+1),10),".","/"))="","",(AO100)-(MID(RIGHT((SUBSTITUTE(LEFT(RIGHT(E100,LEN(E100)-MIN(SEARCH({1,2,3,4,5,6,7,8,9,0},E100&amp;"1234567890"))+1),10),".","/")),10),4,2)&amp;"/"&amp;LEFT((RIGHT((SUBSTITUTE(LEFT(RIGHT(E100,LEN(E100)-MIN(SEARCH({1,2,3,4,5,6,7,8,9,0},E100&amp;"1234567890"))+1),10),".","/")),10)),2)&amp;"/"&amp;RIGHT((SUBSTITUTE(LEFT(RIGHT(E100,LEN(E100)-MIN(SEARCH({1,2,3,4,5,6,7,8,9,0},E100&amp;"1234567890"))+1),10),".","/")),4))))),(AO100-A100))</f>
        <v>8</v>
      </c>
      <c r="C100" s="199"/>
      <c r="D100" s="201" t="str">
        <f>IF(Q100="MULTI","FGM","FGC")&amp;"-"&amp;H100&amp;"/"&amp;I100&amp;"-"&amp;TEXT(K100,"0.00")&amp;"X"&amp;IF(Q100="MULTI",N100,Q100)</f>
        <v>FGC-304/2B-2.00X760</v>
      </c>
      <c r="E100" s="201" t="s">
        <v>4894</v>
      </c>
      <c r="F100" s="201" t="s">
        <v>4077</v>
      </c>
      <c r="G100" s="201" t="s">
        <v>4900</v>
      </c>
      <c r="H100" s="201">
        <v>304</v>
      </c>
      <c r="I100" s="202" t="s">
        <v>114</v>
      </c>
      <c r="J100" s="203">
        <v>4.38</v>
      </c>
      <c r="K100" s="203">
        <v>2</v>
      </c>
      <c r="L100" s="203">
        <v>1.97</v>
      </c>
      <c r="M100" s="203">
        <v>1.98</v>
      </c>
      <c r="N100" s="204">
        <v>765</v>
      </c>
      <c r="O100" s="381">
        <v>4.8</v>
      </c>
      <c r="P100" s="413">
        <v>4.835</v>
      </c>
      <c r="Q100" s="185">
        <v>760</v>
      </c>
      <c r="R100" s="430"/>
      <c r="S100" s="414"/>
      <c r="T100" s="371" t="s">
        <v>4896</v>
      </c>
      <c r="U100" s="206" t="s">
        <v>1513</v>
      </c>
      <c r="V100" s="206"/>
      <c r="W100" s="185" t="s">
        <v>114</v>
      </c>
      <c r="X100" s="205">
        <v>44939</v>
      </c>
      <c r="Y100" s="205"/>
      <c r="Z100" s="205">
        <v>44939</v>
      </c>
      <c r="AA100" s="205"/>
      <c r="AB100" s="205"/>
      <c r="AC100" s="205"/>
      <c r="AD100" s="205"/>
      <c r="AE100" s="205"/>
      <c r="AF100" s="205"/>
      <c r="AG100" s="205"/>
      <c r="AH100" s="207" t="s">
        <v>1619</v>
      </c>
      <c r="AI100" s="208" t="s">
        <v>69</v>
      </c>
      <c r="AJ100" s="208" t="s">
        <v>142</v>
      </c>
      <c r="AK100" s="209" t="s">
        <v>1887</v>
      </c>
      <c r="AL100" s="209"/>
      <c r="AM100" s="209">
        <v>44880</v>
      </c>
      <c r="AN100" s="209"/>
      <c r="AO100" s="199">
        <f ca="1">TODAY()</f>
        <v>44958</v>
      </c>
      <c r="AP100" s="208">
        <f ca="1">IF(AM100&lt;&gt;0,AO100-AM100,0)</f>
        <v>78</v>
      </c>
      <c r="AQ100" s="208" t="str">
        <f>IF(ISNUMBER(AB100)=TRUE,AO100-AB100,IF(AB100="","",(AO100)-(MID(RIGHT(AB100,10),4,2)&amp;"/"&amp;LEFT((RIGHT(AB100,10)),2)&amp;"/"&amp;RIGHT(AB100,4))))</f>
        <v/>
      </c>
      <c r="AR100" s="209"/>
      <c r="AS100" s="209" t="s">
        <v>4079</v>
      </c>
      <c r="AT100" s="210">
        <v>10.47</v>
      </c>
      <c r="AU100" s="210">
        <v>10.48</v>
      </c>
      <c r="AV100" s="210">
        <v>10.504999999999999</v>
      </c>
      <c r="AW100" s="210">
        <v>10.51</v>
      </c>
      <c r="AX100" s="200">
        <f ca="1">IF(ISNUMBER(Z100)=TRUE,AO100-Z100,IF(Z100="","",(AO100)-(MID(RIGHT(Z100,10),4,2)&amp;"/"&amp;LEFT((RIGHT(Z100,10)),2)&amp;"/"&amp;RIGHT(Z100,4))))</f>
        <v>19</v>
      </c>
      <c r="AY100" s="200">
        <v>459</v>
      </c>
      <c r="BA100" s="200" t="s">
        <v>123</v>
      </c>
      <c r="BN100" s="211"/>
    </row>
    <row r="101" spans="1:66" s="200" customFormat="1" ht="18.75" customHeight="1" x14ac:dyDescent="0.25">
      <c r="A101" s="199">
        <v>44956</v>
      </c>
      <c r="B101" s="204">
        <f ca="1">IF(A101="",(IF(ISNUMBER(SUBSTITUTE(LEFT(RIGHT(E101,LEN(E101)-MIN(SEARCH({1,2,3,4,5,6,7,8,9,0},E101&amp;"1234567890"))+1),10),".","/"))=TRUE,AO101-(SUBSTITUTE(LEFT(RIGHT(E101,LEN(E101)-MIN(SEARCH({1,2,3,4,5,6,7,8,9,0},E101&amp;"1234567890"))+1),10),".","/")),IF((SUBSTITUTE(LEFT(RIGHT(E101,LEN(E101)-MIN(SEARCH({1,2,3,4,5,6,7,8,9,0},E101&amp;"1234567890"))+1),10),".","/"))="","",(AO101)-(MID(RIGHT((SUBSTITUTE(LEFT(RIGHT(E101,LEN(E101)-MIN(SEARCH({1,2,3,4,5,6,7,8,9,0},E101&amp;"1234567890"))+1),10),".","/")),10),4,2)&amp;"/"&amp;LEFT((RIGHT((SUBSTITUTE(LEFT(RIGHT(E101,LEN(E101)-MIN(SEARCH({1,2,3,4,5,6,7,8,9,0},E101&amp;"1234567890"))+1),10),".","/")),10)),2)&amp;"/"&amp;RIGHT((SUBSTITUTE(LEFT(RIGHT(E101,LEN(E101)-MIN(SEARCH({1,2,3,4,5,6,7,8,9,0},E101&amp;"1234567890"))+1),10),".","/")),4))))),(AO101-A101))</f>
        <v>2</v>
      </c>
      <c r="C101" s="199"/>
      <c r="D101" s="201" t="str">
        <f>IF(Q101="MULTI","FGM","FGC")&amp;"-"&amp;H101&amp;"/"&amp;I101&amp;"-"&amp;TEXT(K101,"0.00")&amp;"X"&amp;IF(Q101="MULTI",N101,Q101)</f>
        <v>FGC-304L/2B-1.20X760</v>
      </c>
      <c r="E101" s="201" t="s">
        <v>4959</v>
      </c>
      <c r="F101" s="201" t="s">
        <v>1522</v>
      </c>
      <c r="G101" s="201" t="s">
        <v>5629</v>
      </c>
      <c r="H101" s="201" t="s">
        <v>182</v>
      </c>
      <c r="I101" s="202" t="s">
        <v>114</v>
      </c>
      <c r="J101" s="203">
        <v>3.8</v>
      </c>
      <c r="K101" s="203">
        <v>1.2</v>
      </c>
      <c r="L101" s="203">
        <v>1.18</v>
      </c>
      <c r="M101" s="203">
        <v>1.22</v>
      </c>
      <c r="N101" s="204">
        <v>767</v>
      </c>
      <c r="O101" s="381">
        <v>4.0650000000000004</v>
      </c>
      <c r="P101" s="413">
        <v>4.1050000000000004</v>
      </c>
      <c r="Q101" s="185">
        <v>760</v>
      </c>
      <c r="R101" s="430"/>
      <c r="S101" s="414"/>
      <c r="T101" s="371" t="s">
        <v>4896</v>
      </c>
      <c r="U101" s="206" t="s">
        <v>1513</v>
      </c>
      <c r="V101" s="206"/>
      <c r="W101" s="185" t="s">
        <v>114</v>
      </c>
      <c r="X101" s="205">
        <v>44936</v>
      </c>
      <c r="Y101" s="205"/>
      <c r="Z101" s="205">
        <v>44938</v>
      </c>
      <c r="AA101" s="205"/>
      <c r="AB101" s="205"/>
      <c r="AC101" s="205"/>
      <c r="AD101" s="205"/>
      <c r="AE101" s="205">
        <v>44935</v>
      </c>
      <c r="AF101" s="205"/>
      <c r="AG101" s="205"/>
      <c r="AH101" s="207" t="s">
        <v>1507</v>
      </c>
      <c r="AI101" s="208" t="s">
        <v>69</v>
      </c>
      <c r="AJ101" s="208" t="s">
        <v>142</v>
      </c>
      <c r="AK101" s="209" t="s">
        <v>1508</v>
      </c>
      <c r="AL101" s="209"/>
      <c r="AM101" s="209">
        <v>44849</v>
      </c>
      <c r="AN101" s="209"/>
      <c r="AO101" s="199">
        <f t="shared" ref="AO101:AO102" ca="1" si="17">TODAY()</f>
        <v>44958</v>
      </c>
      <c r="AP101" s="208">
        <f ca="1">IF(AM101&lt;&gt;0,AO101-AM101,0)</f>
        <v>109</v>
      </c>
      <c r="AQ101" s="208" t="str">
        <f>IF(ISNUMBER(AB101)=TRUE,AO101-AB101,IF(AB101="","",(AO101)-(MID(RIGHT(AB101,10),4,2)&amp;"/"&amp;LEFT((RIGHT(AB101,10)),2)&amp;"/"&amp;RIGHT(AB101,4))))</f>
        <v/>
      </c>
      <c r="AR101" s="209"/>
      <c r="AS101" s="209" t="s">
        <v>1525</v>
      </c>
      <c r="AT101" s="210">
        <v>24.204999999999998</v>
      </c>
      <c r="AU101" s="210">
        <v>24.265000000000001</v>
      </c>
      <c r="AV101" s="210">
        <v>24.290000000000003</v>
      </c>
      <c r="AW101" s="210">
        <v>24.295000000000002</v>
      </c>
      <c r="AX101" s="200">
        <f ca="1">IF(ISNUMBER(Z101)=TRUE,AO101-Z101,IF(Z101="","",(AO101)-(MID(RIGHT(Z101,10),4,2)&amp;"/"&amp;LEFT((RIGHT(Z101,10)),2)&amp;"/"&amp;RIGHT(Z101,4))))</f>
        <v>20</v>
      </c>
      <c r="AY101" s="200">
        <v>456</v>
      </c>
      <c r="BA101" s="200" t="s">
        <v>123</v>
      </c>
      <c r="BN101" s="211"/>
    </row>
    <row r="102" spans="1:66" s="200" customFormat="1" ht="18.75" customHeight="1" x14ac:dyDescent="0.25">
      <c r="A102" s="199">
        <v>44956</v>
      </c>
      <c r="B102" s="204">
        <f ca="1">IF(A102="",(IF(ISNUMBER(SUBSTITUTE(LEFT(RIGHT(E102,LEN(E102)-MIN(SEARCH({1,2,3,4,5,6,7,8,9,0},E102&amp;"1234567890"))+1),10),".","/"))=TRUE,AO102-(SUBSTITUTE(LEFT(RIGHT(E102,LEN(E102)-MIN(SEARCH({1,2,3,4,5,6,7,8,9,0},E102&amp;"1234567890"))+1),10),".","/")),IF((SUBSTITUTE(LEFT(RIGHT(E102,LEN(E102)-MIN(SEARCH({1,2,3,4,5,6,7,8,9,0},E102&amp;"1234567890"))+1),10),".","/"))="","",(AO102)-(MID(RIGHT((SUBSTITUTE(LEFT(RIGHT(E102,LEN(E102)-MIN(SEARCH({1,2,3,4,5,6,7,8,9,0},E102&amp;"1234567890"))+1),10),".","/")),10),4,2)&amp;"/"&amp;LEFT((RIGHT((SUBSTITUTE(LEFT(RIGHT(E102,LEN(E102)-MIN(SEARCH({1,2,3,4,5,6,7,8,9,0},E102&amp;"1234567890"))+1),10),".","/")),10)),2)&amp;"/"&amp;RIGHT((SUBSTITUTE(LEFT(RIGHT(E102,LEN(E102)-MIN(SEARCH({1,2,3,4,5,6,7,8,9,0},E102&amp;"1234567890"))+1),10),".","/")),4))))),(AO102-A102))</f>
        <v>2</v>
      </c>
      <c r="C102" s="199"/>
      <c r="D102" s="201" t="str">
        <f>IF(Q102="MULTI","FGM","FGC")&amp;"-"&amp;H102&amp;"/"&amp;I102&amp;"-"&amp;TEXT(K102,"0.00")&amp;"X"&amp;IF(Q102="MULTI",N102,Q102)</f>
        <v>FGC-304L/2B-1.20X760</v>
      </c>
      <c r="E102" s="201" t="s">
        <v>4959</v>
      </c>
      <c r="F102" s="201" t="s">
        <v>1522</v>
      </c>
      <c r="G102" s="201" t="s">
        <v>5630</v>
      </c>
      <c r="H102" s="201" t="s">
        <v>182</v>
      </c>
      <c r="I102" s="202" t="s">
        <v>114</v>
      </c>
      <c r="J102" s="203">
        <v>3.8</v>
      </c>
      <c r="K102" s="203">
        <v>1.2</v>
      </c>
      <c r="L102" s="203">
        <v>1.18</v>
      </c>
      <c r="M102" s="203">
        <v>1.22</v>
      </c>
      <c r="N102" s="204">
        <v>767</v>
      </c>
      <c r="O102" s="381">
        <v>3.9950000000000001</v>
      </c>
      <c r="P102" s="413">
        <v>4.0350000000000001</v>
      </c>
      <c r="Q102" s="185">
        <v>760</v>
      </c>
      <c r="R102" s="430"/>
      <c r="S102" s="414"/>
      <c r="T102" s="371" t="s">
        <v>4896</v>
      </c>
      <c r="U102" s="206" t="s">
        <v>1513</v>
      </c>
      <c r="V102" s="206"/>
      <c r="W102" s="185" t="s">
        <v>114</v>
      </c>
      <c r="X102" s="205">
        <v>44936</v>
      </c>
      <c r="Y102" s="205"/>
      <c r="Z102" s="205">
        <v>44938</v>
      </c>
      <c r="AA102" s="205"/>
      <c r="AB102" s="205"/>
      <c r="AC102" s="205"/>
      <c r="AD102" s="205"/>
      <c r="AE102" s="205">
        <v>44935</v>
      </c>
      <c r="AF102" s="205"/>
      <c r="AG102" s="205"/>
      <c r="AH102" s="207" t="s">
        <v>1507</v>
      </c>
      <c r="AI102" s="208" t="s">
        <v>69</v>
      </c>
      <c r="AJ102" s="208" t="s">
        <v>142</v>
      </c>
      <c r="AK102" s="209" t="s">
        <v>1508</v>
      </c>
      <c r="AL102" s="209"/>
      <c r="AM102" s="209">
        <v>44849</v>
      </c>
      <c r="AN102" s="209"/>
      <c r="AO102" s="199">
        <f t="shared" ca="1" si="17"/>
        <v>44958</v>
      </c>
      <c r="AP102" s="208">
        <f ca="1">IF(AM102&lt;&gt;0,AO102-AM102,0)</f>
        <v>109</v>
      </c>
      <c r="AQ102" s="208" t="str">
        <f>IF(ISNUMBER(AB102)=TRUE,AO102-AB102,IF(AB102="","",(AO102)-(MID(RIGHT(AB102,10),4,2)&amp;"/"&amp;LEFT((RIGHT(AB102,10)),2)&amp;"/"&amp;RIGHT(AB102,4))))</f>
        <v/>
      </c>
      <c r="AR102" s="209"/>
      <c r="AS102" s="209" t="s">
        <v>1525</v>
      </c>
      <c r="AT102" s="210">
        <v>24.204999999999998</v>
      </c>
      <c r="AU102" s="210">
        <v>24.265000000000001</v>
      </c>
      <c r="AV102" s="210">
        <v>24.290000000000003</v>
      </c>
      <c r="AW102" s="210">
        <v>24.295000000000002</v>
      </c>
      <c r="AX102" s="200">
        <f ca="1">IF(ISNUMBER(Z102)=TRUE,AO102-Z102,IF(Z102="","",(AO102)-(MID(RIGHT(Z102,10),4,2)&amp;"/"&amp;LEFT((RIGHT(Z102,10)),2)&amp;"/"&amp;RIGHT(Z102,4))))</f>
        <v>20</v>
      </c>
      <c r="AY102" s="200">
        <v>456</v>
      </c>
      <c r="BA102" s="200" t="s">
        <v>123</v>
      </c>
      <c r="BN102" s="211"/>
    </row>
    <row r="103" spans="1:66" s="200" customFormat="1" ht="18" customHeight="1" x14ac:dyDescent="0.25">
      <c r="A103" s="431"/>
      <c r="B103" s="363"/>
      <c r="C103" s="416"/>
      <c r="D103" s="361"/>
      <c r="E103" s="361"/>
      <c r="F103" s="361"/>
      <c r="G103" s="361"/>
      <c r="H103" s="361"/>
      <c r="I103" s="336"/>
      <c r="J103" s="417"/>
      <c r="K103" s="417"/>
      <c r="L103" s="417"/>
      <c r="M103" s="417"/>
      <c r="N103" s="363"/>
      <c r="O103" s="418">
        <f>SUM(O100:O102)</f>
        <v>12.86</v>
      </c>
      <c r="P103" s="419"/>
      <c r="Q103" s="390"/>
      <c r="R103" s="435"/>
      <c r="S103" s="422"/>
      <c r="T103" s="423"/>
      <c r="U103" s="423"/>
      <c r="V103" s="423"/>
      <c r="W103" s="390"/>
      <c r="X103" s="424"/>
      <c r="Y103" s="424"/>
      <c r="Z103" s="424"/>
      <c r="AA103" s="424"/>
      <c r="AB103" s="424"/>
      <c r="AC103" s="424"/>
      <c r="AD103" s="424"/>
      <c r="AE103" s="424"/>
      <c r="AF103" s="424"/>
      <c r="AG103" s="424"/>
      <c r="AH103" s="425"/>
      <c r="AK103" s="426"/>
      <c r="AL103" s="426"/>
      <c r="AM103" s="426"/>
      <c r="AN103" s="426"/>
      <c r="AO103" s="416"/>
      <c r="AR103" s="426"/>
      <c r="AS103" s="426"/>
      <c r="AT103" s="427"/>
      <c r="AU103" s="427"/>
      <c r="AV103" s="427"/>
      <c r="AW103" s="427"/>
      <c r="BN103" s="436"/>
    </row>
    <row r="104" spans="1:66" s="200" customFormat="1" ht="18" customHeight="1" x14ac:dyDescent="0.25">
      <c r="A104" s="431"/>
      <c r="B104" s="363"/>
      <c r="C104" s="416"/>
      <c r="D104" s="361"/>
      <c r="E104" s="361"/>
      <c r="F104" s="361"/>
      <c r="G104" s="361"/>
      <c r="H104" s="361"/>
      <c r="I104" s="336"/>
      <c r="J104" s="417"/>
      <c r="K104" s="417"/>
      <c r="L104" s="417"/>
      <c r="M104" s="417"/>
      <c r="N104" s="363"/>
      <c r="O104" s="418"/>
      <c r="P104" s="419"/>
      <c r="Q104" s="390"/>
      <c r="R104" s="435"/>
      <c r="S104" s="422"/>
      <c r="T104" s="423"/>
      <c r="U104" s="423"/>
      <c r="V104" s="423"/>
      <c r="W104" s="390"/>
      <c r="X104" s="424"/>
      <c r="Y104" s="424"/>
      <c r="Z104" s="424"/>
      <c r="AA104" s="424"/>
      <c r="AB104" s="424"/>
      <c r="AC104" s="424"/>
      <c r="AD104" s="424"/>
      <c r="AE104" s="424"/>
      <c r="AF104" s="424"/>
      <c r="AG104" s="424"/>
      <c r="AH104" s="425"/>
      <c r="AK104" s="426"/>
      <c r="AL104" s="426"/>
      <c r="AM104" s="426"/>
      <c r="AN104" s="426"/>
      <c r="AO104" s="416"/>
      <c r="AR104" s="426"/>
      <c r="AS104" s="426"/>
      <c r="AT104" s="427"/>
      <c r="AU104" s="427"/>
      <c r="AV104" s="427"/>
      <c r="AW104" s="427"/>
      <c r="BN104" s="436"/>
    </row>
    <row r="105" spans="1:66" s="200" customFormat="1" ht="18" customHeight="1" x14ac:dyDescent="0.25">
      <c r="A105" s="431" t="s">
        <v>5631</v>
      </c>
      <c r="B105" s="363"/>
      <c r="C105" s="416"/>
      <c r="D105" s="361"/>
      <c r="E105" s="361"/>
      <c r="F105" s="361"/>
      <c r="G105" s="361"/>
      <c r="H105" s="361"/>
      <c r="I105" s="336"/>
      <c r="J105" s="417"/>
      <c r="K105" s="417"/>
      <c r="L105" s="417"/>
      <c r="M105" s="417"/>
      <c r="N105" s="363"/>
      <c r="O105" s="418"/>
      <c r="P105" s="419"/>
      <c r="Q105" s="390"/>
      <c r="R105" s="435"/>
      <c r="S105" s="422"/>
      <c r="T105" s="423"/>
      <c r="U105" s="423"/>
      <c r="V105" s="423"/>
      <c r="W105" s="390"/>
      <c r="X105" s="424"/>
      <c r="Y105" s="424"/>
      <c r="Z105" s="424"/>
      <c r="AA105" s="424"/>
      <c r="AB105" s="424"/>
      <c r="AC105" s="424"/>
      <c r="AD105" s="424"/>
      <c r="AE105" s="424"/>
      <c r="AF105" s="424"/>
      <c r="AG105" s="424"/>
      <c r="AH105" s="425"/>
      <c r="AK105" s="426"/>
      <c r="AL105" s="426"/>
      <c r="AM105" s="426"/>
      <c r="AN105" s="426"/>
      <c r="AO105" s="416"/>
      <c r="AR105" s="426"/>
      <c r="AS105" s="426"/>
      <c r="AT105" s="427"/>
      <c r="AU105" s="427"/>
      <c r="AV105" s="427"/>
      <c r="AW105" s="427"/>
      <c r="BN105" s="436"/>
    </row>
    <row r="106" spans="1:66" s="200" customFormat="1" ht="18.75" customHeight="1" x14ac:dyDescent="0.25">
      <c r="A106" s="199">
        <v>44955</v>
      </c>
      <c r="B106" s="204">
        <f ca="1">IF(A106="",(IF(ISNUMBER(SUBSTITUTE(LEFT(RIGHT(E106,LEN(E106)-MIN(SEARCH({1,2,3,4,5,6,7,8,9,0},E106&amp;"1234567890"))+1),10),".","/"))=TRUE,AO106-(SUBSTITUTE(LEFT(RIGHT(E106,LEN(E106)-MIN(SEARCH({1,2,3,4,5,6,7,8,9,0},E106&amp;"1234567890"))+1),10),".","/")),IF((SUBSTITUTE(LEFT(RIGHT(E106,LEN(E106)-MIN(SEARCH({1,2,3,4,5,6,7,8,9,0},E106&amp;"1234567890"))+1),10),".","/"))="","",(AO106)-(MID(RIGHT((SUBSTITUTE(LEFT(RIGHT(E106,LEN(E106)-MIN(SEARCH({1,2,3,4,5,6,7,8,9,0},E106&amp;"1234567890"))+1),10),".","/")),10),4,2)&amp;"/"&amp;LEFT((RIGHT((SUBSTITUTE(LEFT(RIGHT(E106,LEN(E106)-MIN(SEARCH({1,2,3,4,5,6,7,8,9,0},E106&amp;"1234567890"))+1),10),".","/")),10)),2)&amp;"/"&amp;RIGHT((SUBSTITUTE(LEFT(RIGHT(E106,LEN(E106)-MIN(SEARCH({1,2,3,4,5,6,7,8,9,0},E106&amp;"1234567890"))+1),10),".","/")),4))))),(AO106-A106))</f>
        <v>3</v>
      </c>
      <c r="C106" s="199"/>
      <c r="D106" s="201" t="str">
        <f>IF(Q106="MULTI","FGM","FGC")&amp;"-"&amp;H106&amp;"/"&amp;I106&amp;"-"&amp;TEXT(K106,"0.00")&amp;"X"&amp;IF(Q106="MULTI",N106,Q106)</f>
        <v>FGC-304L/2B-1.50X760</v>
      </c>
      <c r="E106" s="201" t="s">
        <v>4944</v>
      </c>
      <c r="F106" s="201" t="s">
        <v>4115</v>
      </c>
      <c r="G106" s="201" t="s">
        <v>5632</v>
      </c>
      <c r="H106" s="201" t="s">
        <v>182</v>
      </c>
      <c r="I106" s="202" t="s">
        <v>114</v>
      </c>
      <c r="J106" s="203">
        <v>3.88</v>
      </c>
      <c r="K106" s="203">
        <v>1.5</v>
      </c>
      <c r="L106" s="203"/>
      <c r="M106" s="203"/>
      <c r="N106" s="204">
        <v>774</v>
      </c>
      <c r="O106" s="381">
        <f>4.055</f>
        <v>4.0549999999999997</v>
      </c>
      <c r="P106" s="413">
        <v>4.0949999999999998</v>
      </c>
      <c r="Q106" s="185">
        <v>760</v>
      </c>
      <c r="R106" s="430"/>
      <c r="S106" s="414"/>
      <c r="T106" s="371" t="s">
        <v>5633</v>
      </c>
      <c r="U106" s="206" t="s">
        <v>761</v>
      </c>
      <c r="V106" s="206"/>
      <c r="W106" s="185" t="s">
        <v>114</v>
      </c>
      <c r="X106" s="205">
        <v>44942</v>
      </c>
      <c r="Y106" s="205"/>
      <c r="Z106" s="205">
        <v>44943</v>
      </c>
      <c r="AA106" s="205"/>
      <c r="AB106" s="205"/>
      <c r="AC106" s="205"/>
      <c r="AD106" s="205"/>
      <c r="AE106" s="205"/>
      <c r="AF106" s="205"/>
      <c r="AG106" s="205"/>
      <c r="AH106" s="207" t="s">
        <v>2448</v>
      </c>
      <c r="AI106" s="208" t="s">
        <v>69</v>
      </c>
      <c r="AJ106" s="208" t="s">
        <v>142</v>
      </c>
      <c r="AK106" s="209" t="s">
        <v>1584</v>
      </c>
      <c r="AL106" s="209"/>
      <c r="AM106" s="209">
        <v>44914</v>
      </c>
      <c r="AN106" s="209"/>
      <c r="AO106" s="199">
        <f ca="1">TODAY()</f>
        <v>44958</v>
      </c>
      <c r="AP106" s="208">
        <f ca="1">IF(AM106&lt;&gt;0,AO106-AM106,0)</f>
        <v>44</v>
      </c>
      <c r="AQ106" s="208" t="str">
        <f>IF(ISNUMBER(AB106)=TRUE,AO106-AB106,IF(AB106="","",(AO106)-(MID(RIGHT(AB106,10),4,2)&amp;"/"&amp;LEFT((RIGHT(AB106,10)),2)&amp;"/"&amp;RIGHT(AB106,4))))</f>
        <v/>
      </c>
      <c r="AR106" s="209"/>
      <c r="AS106" s="209" t="s">
        <v>2452</v>
      </c>
      <c r="AT106" s="210">
        <v>12.234999999999999</v>
      </c>
      <c r="AU106" s="210">
        <v>12.244999999999999</v>
      </c>
      <c r="AV106" s="210">
        <v>12.269999999999998</v>
      </c>
      <c r="AW106" s="210">
        <v>12.274999999999999</v>
      </c>
      <c r="AX106" s="200">
        <f ca="1">IF(ISNUMBER(Z106)=TRUE,AO106-Z106,IF(Z106="","",(AO106)-(MID(RIGHT(Z106,10),4,2)&amp;"/"&amp;LEFT((RIGHT(Z106,10)),2)&amp;"/"&amp;RIGHT(Z106,4))))</f>
        <v>15</v>
      </c>
      <c r="AY106" s="200">
        <v>462</v>
      </c>
      <c r="BA106" s="200" t="s">
        <v>123</v>
      </c>
      <c r="BN106" s="211"/>
    </row>
    <row r="107" spans="1:66" s="200" customFormat="1" ht="18.75" customHeight="1" x14ac:dyDescent="0.25">
      <c r="A107" s="199">
        <v>44955</v>
      </c>
      <c r="B107" s="204">
        <f ca="1">IF(A107="",(IF(ISNUMBER(SUBSTITUTE(LEFT(RIGHT(E107,LEN(E107)-MIN(SEARCH({1,2,3,4,5,6,7,8,9,0},E107&amp;"1234567890"))+1),10),".","/"))=TRUE,AO107-(SUBSTITUTE(LEFT(RIGHT(E107,LEN(E107)-MIN(SEARCH({1,2,3,4,5,6,7,8,9,0},E107&amp;"1234567890"))+1),10),".","/")),IF((SUBSTITUTE(LEFT(RIGHT(E107,LEN(E107)-MIN(SEARCH({1,2,3,4,5,6,7,8,9,0},E107&amp;"1234567890"))+1),10),".","/"))="","",(AO107)-(MID(RIGHT((SUBSTITUTE(LEFT(RIGHT(E107,LEN(E107)-MIN(SEARCH({1,2,3,4,5,6,7,8,9,0},E107&amp;"1234567890"))+1),10),".","/")),10),4,2)&amp;"/"&amp;LEFT((RIGHT((SUBSTITUTE(LEFT(RIGHT(E107,LEN(E107)-MIN(SEARCH({1,2,3,4,5,6,7,8,9,0},E107&amp;"1234567890"))+1),10),".","/")),10)),2)&amp;"/"&amp;RIGHT((SUBSTITUTE(LEFT(RIGHT(E107,LEN(E107)-MIN(SEARCH({1,2,3,4,5,6,7,8,9,0},E107&amp;"1234567890"))+1),10),".","/")),4))))),(AO107-A107))</f>
        <v>3</v>
      </c>
      <c r="C107" s="199"/>
      <c r="D107" s="201" t="str">
        <f>IF(Q107="MULTI","FGM","FGC")&amp;"-"&amp;H107&amp;"/"&amp;I107&amp;"-"&amp;TEXT(K107,"0.00")&amp;"X"&amp;IF(Q107="MULTI",N107,Q107)</f>
        <v>FGC-304L/2B-1.50X760</v>
      </c>
      <c r="E107" s="201" t="s">
        <v>4944</v>
      </c>
      <c r="F107" s="201" t="s">
        <v>4115</v>
      </c>
      <c r="G107" s="201" t="s">
        <v>5634</v>
      </c>
      <c r="H107" s="201" t="s">
        <v>182</v>
      </c>
      <c r="I107" s="202" t="s">
        <v>114</v>
      </c>
      <c r="J107" s="203">
        <v>3.88</v>
      </c>
      <c r="K107" s="203">
        <v>1.5</v>
      </c>
      <c r="L107" s="203"/>
      <c r="M107" s="203"/>
      <c r="N107" s="204">
        <v>774</v>
      </c>
      <c r="O107" s="381">
        <v>4.08</v>
      </c>
      <c r="P107" s="413">
        <v>4.12</v>
      </c>
      <c r="Q107" s="185">
        <v>760</v>
      </c>
      <c r="R107" s="430"/>
      <c r="S107" s="414"/>
      <c r="T107" s="371" t="s">
        <v>5633</v>
      </c>
      <c r="U107" s="206" t="s">
        <v>761</v>
      </c>
      <c r="V107" s="206"/>
      <c r="W107" s="185" t="s">
        <v>114</v>
      </c>
      <c r="X107" s="205">
        <v>44942</v>
      </c>
      <c r="Y107" s="205"/>
      <c r="Z107" s="205">
        <v>44943</v>
      </c>
      <c r="AA107" s="205"/>
      <c r="AB107" s="205"/>
      <c r="AC107" s="205"/>
      <c r="AD107" s="205"/>
      <c r="AE107" s="205"/>
      <c r="AF107" s="205"/>
      <c r="AG107" s="205"/>
      <c r="AH107" s="207" t="s">
        <v>2448</v>
      </c>
      <c r="AI107" s="208" t="s">
        <v>69</v>
      </c>
      <c r="AJ107" s="208" t="s">
        <v>142</v>
      </c>
      <c r="AK107" s="209" t="s">
        <v>1584</v>
      </c>
      <c r="AL107" s="209"/>
      <c r="AM107" s="209">
        <v>44914</v>
      </c>
      <c r="AN107" s="209"/>
      <c r="AO107" s="199">
        <f ca="1">TODAY()</f>
        <v>44958</v>
      </c>
      <c r="AP107" s="208">
        <f ca="1">IF(AM107&lt;&gt;0,AO107-AM107,0)</f>
        <v>44</v>
      </c>
      <c r="AQ107" s="208" t="str">
        <f>IF(ISNUMBER(AB107)=TRUE,AO107-AB107,IF(AB107="","",(AO107)-(MID(RIGHT(AB107,10),4,2)&amp;"/"&amp;LEFT((RIGHT(AB107,10)),2)&amp;"/"&amp;RIGHT(AB107,4))))</f>
        <v/>
      </c>
      <c r="AR107" s="209"/>
      <c r="AS107" s="209" t="s">
        <v>2452</v>
      </c>
      <c r="AT107" s="210">
        <v>12.234999999999999</v>
      </c>
      <c r="AU107" s="210">
        <v>12.244999999999999</v>
      </c>
      <c r="AV107" s="210">
        <v>12.269999999999998</v>
      </c>
      <c r="AW107" s="210">
        <v>12.274999999999999</v>
      </c>
      <c r="AX107" s="200">
        <f ca="1">IF(ISNUMBER(Z107)=TRUE,AO107-Z107,IF(Z107="","",(AO107)-(MID(RIGHT(Z107,10),4,2)&amp;"/"&amp;LEFT((RIGHT(Z107,10)),2)&amp;"/"&amp;RIGHT(Z107,4))))</f>
        <v>15</v>
      </c>
      <c r="AY107" s="200">
        <v>462</v>
      </c>
      <c r="BA107" s="200" t="s">
        <v>123</v>
      </c>
      <c r="BN107" s="211"/>
    </row>
    <row r="108" spans="1:66" s="200" customFormat="1" ht="18" customHeight="1" x14ac:dyDescent="0.25">
      <c r="A108" s="431"/>
      <c r="B108" s="363"/>
      <c r="C108" s="416"/>
      <c r="D108" s="361"/>
      <c r="E108" s="361"/>
      <c r="F108" s="361"/>
      <c r="G108" s="361"/>
      <c r="H108" s="361"/>
      <c r="I108" s="336"/>
      <c r="J108" s="417"/>
      <c r="K108" s="417"/>
      <c r="L108" s="417"/>
      <c r="M108" s="417"/>
      <c r="N108" s="363"/>
      <c r="O108" s="418">
        <f>SUM(O106:O107)</f>
        <v>8.1349999999999998</v>
      </c>
      <c r="P108" s="419"/>
      <c r="Q108" s="390"/>
      <c r="R108" s="435"/>
      <c r="S108" s="422"/>
      <c r="T108" s="423"/>
      <c r="U108" s="423"/>
      <c r="V108" s="423"/>
      <c r="W108" s="390"/>
      <c r="X108" s="424"/>
      <c r="Y108" s="424"/>
      <c r="Z108" s="424"/>
      <c r="AA108" s="424"/>
      <c r="AB108" s="424"/>
      <c r="AC108" s="424"/>
      <c r="AD108" s="424"/>
      <c r="AE108" s="424"/>
      <c r="AF108" s="424"/>
      <c r="AG108" s="424"/>
      <c r="AH108" s="425"/>
      <c r="AK108" s="426"/>
      <c r="AL108" s="426"/>
      <c r="AM108" s="426"/>
      <c r="AN108" s="426"/>
      <c r="AO108" s="416"/>
      <c r="AR108" s="426"/>
      <c r="AS108" s="426"/>
      <c r="AT108" s="427"/>
      <c r="AU108" s="427"/>
      <c r="AV108" s="427"/>
      <c r="AW108" s="427"/>
      <c r="BN108" s="436"/>
    </row>
    <row r="109" spans="1:66" s="200" customFormat="1" ht="18" customHeight="1" x14ac:dyDescent="0.25">
      <c r="A109" s="431"/>
      <c r="B109" s="363"/>
      <c r="C109" s="416"/>
      <c r="D109" s="361"/>
      <c r="E109" s="361"/>
      <c r="F109" s="361"/>
      <c r="G109" s="361"/>
      <c r="H109" s="361"/>
      <c r="I109" s="336"/>
      <c r="J109" s="417"/>
      <c r="K109" s="417"/>
      <c r="L109" s="417"/>
      <c r="M109" s="417"/>
      <c r="N109" s="363"/>
      <c r="O109" s="418"/>
      <c r="P109" s="419"/>
      <c r="Q109" s="390"/>
      <c r="R109" s="435"/>
      <c r="S109" s="422"/>
      <c r="T109" s="423"/>
      <c r="U109" s="423"/>
      <c r="V109" s="423"/>
      <c r="W109" s="390"/>
      <c r="X109" s="424"/>
      <c r="Y109" s="424"/>
      <c r="Z109" s="424"/>
      <c r="AA109" s="424"/>
      <c r="AB109" s="424"/>
      <c r="AC109" s="424"/>
      <c r="AD109" s="424"/>
      <c r="AE109" s="424"/>
      <c r="AF109" s="424"/>
      <c r="AG109" s="424"/>
      <c r="AH109" s="425"/>
      <c r="AK109" s="426"/>
      <c r="AL109" s="426"/>
      <c r="AM109" s="426"/>
      <c r="AN109" s="426"/>
      <c r="AO109" s="416"/>
      <c r="AR109" s="426"/>
      <c r="AS109" s="426"/>
      <c r="AT109" s="427"/>
      <c r="AU109" s="427"/>
      <c r="AV109" s="427"/>
      <c r="AW109" s="427"/>
      <c r="BN109" s="436"/>
    </row>
    <row r="110" spans="1:66" s="200" customFormat="1" ht="18" customHeight="1" x14ac:dyDescent="0.25">
      <c r="A110" s="431" t="s">
        <v>5635</v>
      </c>
      <c r="B110" s="363"/>
      <c r="C110" s="416"/>
      <c r="D110" s="361"/>
      <c r="E110" s="361"/>
      <c r="F110" s="361"/>
      <c r="G110" s="361"/>
      <c r="H110" s="361"/>
      <c r="I110" s="336"/>
      <c r="J110" s="417"/>
      <c r="K110" s="417"/>
      <c r="L110" s="417"/>
      <c r="M110" s="417"/>
      <c r="N110" s="363"/>
      <c r="O110" s="418"/>
      <c r="P110" s="419"/>
      <c r="Q110" s="390"/>
      <c r="R110" s="435"/>
      <c r="S110" s="422"/>
      <c r="T110" s="423"/>
      <c r="U110" s="423"/>
      <c r="V110" s="423"/>
      <c r="W110" s="390"/>
      <c r="X110" s="424"/>
      <c r="Y110" s="424"/>
      <c r="Z110" s="424"/>
      <c r="AA110" s="424"/>
      <c r="AB110" s="424"/>
      <c r="AC110" s="424"/>
      <c r="AD110" s="424"/>
      <c r="AE110" s="424"/>
      <c r="AF110" s="424"/>
      <c r="AG110" s="424"/>
      <c r="AH110" s="425"/>
      <c r="AK110" s="426"/>
      <c r="AL110" s="426"/>
      <c r="AM110" s="426"/>
      <c r="AN110" s="426"/>
      <c r="AO110" s="416"/>
      <c r="AR110" s="426"/>
      <c r="AS110" s="426"/>
      <c r="AT110" s="427"/>
      <c r="AU110" s="427"/>
      <c r="AV110" s="427"/>
      <c r="AW110" s="427"/>
      <c r="BN110" s="436"/>
    </row>
    <row r="111" spans="1:66" s="200" customFormat="1" ht="18.75" customHeight="1" x14ac:dyDescent="0.25">
      <c r="A111" s="199">
        <v>44956</v>
      </c>
      <c r="B111" s="204">
        <f ca="1">IF(A111="",(IF(ISNUMBER(SUBSTITUTE(LEFT(RIGHT(E111,LEN(E111)-MIN(SEARCH({1,2,3,4,5,6,7,8,9,0},E111&amp;"1234567890"))+1),10),".","/"))=TRUE,AO111-(SUBSTITUTE(LEFT(RIGHT(E111,LEN(E111)-MIN(SEARCH({1,2,3,4,5,6,7,8,9,0},E111&amp;"1234567890"))+1),10),".","/")),IF((SUBSTITUTE(LEFT(RIGHT(E111,LEN(E111)-MIN(SEARCH({1,2,3,4,5,6,7,8,9,0},E111&amp;"1234567890"))+1),10),".","/"))="","",(AO111)-(MID(RIGHT((SUBSTITUTE(LEFT(RIGHT(E111,LEN(E111)-MIN(SEARCH({1,2,3,4,5,6,7,8,9,0},E111&amp;"1234567890"))+1),10),".","/")),10),4,2)&amp;"/"&amp;LEFT((RIGHT((SUBSTITUTE(LEFT(RIGHT(E111,LEN(E111)-MIN(SEARCH({1,2,3,4,5,6,7,8,9,0},E111&amp;"1234567890"))+1),10),".","/")),10)),2)&amp;"/"&amp;RIGHT((SUBSTITUTE(LEFT(RIGHT(E111,LEN(E111)-MIN(SEARCH({1,2,3,4,5,6,7,8,9,0},E111&amp;"1234567890"))+1),10),".","/")),4))))),(AO111-A111))</f>
        <v>2</v>
      </c>
      <c r="C111" s="199"/>
      <c r="D111" s="201" t="str">
        <f>IF(Q111="MULTI","FGM","FGC")&amp;"-"&amp;H111&amp;"/"&amp;I111&amp;"-"&amp;TEXT(K111,"0.00")&amp;"X"&amp;IF(Q111="MULTI",N111,Q111)</f>
        <v>FGC-304/2B-1.15X635</v>
      </c>
      <c r="E111" s="201" t="s">
        <v>4959</v>
      </c>
      <c r="F111" s="201" t="s">
        <v>4302</v>
      </c>
      <c r="G111" s="201" t="s">
        <v>4303</v>
      </c>
      <c r="H111" s="201">
        <v>304</v>
      </c>
      <c r="I111" s="202" t="s">
        <v>114</v>
      </c>
      <c r="J111" s="203">
        <v>2.99</v>
      </c>
      <c r="K111" s="203">
        <v>1.1499999999999999</v>
      </c>
      <c r="L111" s="203">
        <v>1.1200000000000001</v>
      </c>
      <c r="M111" s="203">
        <v>1.1599999999999999</v>
      </c>
      <c r="N111" s="204">
        <v>642</v>
      </c>
      <c r="O111" s="381">
        <v>10.65</v>
      </c>
      <c r="P111" s="413">
        <v>10.695</v>
      </c>
      <c r="Q111" s="185">
        <v>635</v>
      </c>
      <c r="R111" s="430"/>
      <c r="S111" s="414"/>
      <c r="T111" s="371" t="s">
        <v>4936</v>
      </c>
      <c r="U111" s="206" t="s">
        <v>1210</v>
      </c>
      <c r="V111" s="206"/>
      <c r="W111" s="185" t="s">
        <v>114</v>
      </c>
      <c r="X111" s="205">
        <v>44955</v>
      </c>
      <c r="Y111" s="205"/>
      <c r="Z111" s="205">
        <v>44955</v>
      </c>
      <c r="AA111" s="205"/>
      <c r="AB111" s="205"/>
      <c r="AC111" s="205"/>
      <c r="AD111" s="205"/>
      <c r="AE111" s="205"/>
      <c r="AF111" s="205"/>
      <c r="AG111" s="205"/>
      <c r="AH111" s="207" t="s">
        <v>1593</v>
      </c>
      <c r="AI111" s="208" t="s">
        <v>69</v>
      </c>
      <c r="AJ111" s="208" t="s">
        <v>142</v>
      </c>
      <c r="AK111" s="209" t="s">
        <v>1657</v>
      </c>
      <c r="AL111" s="209"/>
      <c r="AM111" s="209">
        <v>44849</v>
      </c>
      <c r="AN111" s="209"/>
      <c r="AO111" s="199">
        <f ca="1">TODAY()</f>
        <v>44958</v>
      </c>
      <c r="AP111" s="208">
        <f ca="1">IF(AM111&lt;&gt;0,AO111-AM111,0)</f>
        <v>109</v>
      </c>
      <c r="AQ111" s="208" t="str">
        <f>IF(ISNUMBER(AB111)=TRUE,AO111-AB111,IF(AB111="","",(AO111)-(MID(RIGHT(AB111,10),4,2)&amp;"/"&amp;LEFT((RIGHT(AB111,10)),2)&amp;"/"&amp;RIGHT(AB111,4))))</f>
        <v/>
      </c>
      <c r="AR111" s="209"/>
      <c r="AS111" s="209" t="s">
        <v>4061</v>
      </c>
      <c r="AT111" s="210">
        <v>10.67</v>
      </c>
      <c r="AU111" s="210">
        <v>10.68</v>
      </c>
      <c r="AV111" s="210">
        <v>10.704999999999998</v>
      </c>
      <c r="AW111" s="210">
        <v>10.709999999999999</v>
      </c>
      <c r="AX111" s="200">
        <f ca="1">IF(ISNUMBER(Z111)=TRUE,AO111-Z111,IF(Z111="","",(AO111)-(MID(RIGHT(Z111,10),4,2)&amp;"/"&amp;LEFT((RIGHT(Z111,10)),2)&amp;"/"&amp;RIGHT(Z111,4))))</f>
        <v>3</v>
      </c>
      <c r="AY111" s="200">
        <v>456</v>
      </c>
      <c r="BA111" s="200" t="s">
        <v>123</v>
      </c>
      <c r="BN111" s="211"/>
    </row>
    <row r="112" spans="1:66" s="200" customFormat="1" ht="18.75" customHeight="1" x14ac:dyDescent="0.25">
      <c r="A112" s="199">
        <v>44957</v>
      </c>
      <c r="B112" s="204">
        <f ca="1">IF(A112="",(IF(ISNUMBER(SUBSTITUTE(LEFT(RIGHT(E112,LEN(E112)-MIN(SEARCH({1,2,3,4,5,6,7,8,9,0},E112&amp;"1234567890"))+1),10),".","/"))=TRUE,AO112-(SUBSTITUTE(LEFT(RIGHT(E112,LEN(E112)-MIN(SEARCH({1,2,3,4,5,6,7,8,9,0},E112&amp;"1234567890"))+1),10),".","/")),IF((SUBSTITUTE(LEFT(RIGHT(E112,LEN(E112)-MIN(SEARCH({1,2,3,4,5,6,7,8,9,0},E112&amp;"1234567890"))+1),10),".","/"))="","",(AO112)-(MID(RIGHT((SUBSTITUTE(LEFT(RIGHT(E112,LEN(E112)-MIN(SEARCH({1,2,3,4,5,6,7,8,9,0},E112&amp;"1234567890"))+1),10),".","/")),10),4,2)&amp;"/"&amp;LEFT((RIGHT((SUBSTITUTE(LEFT(RIGHT(E112,LEN(E112)-MIN(SEARCH({1,2,3,4,5,6,7,8,9,0},E112&amp;"1234567890"))+1),10),".","/")),10)),2)&amp;"/"&amp;RIGHT((SUBSTITUTE(LEFT(RIGHT(E112,LEN(E112)-MIN(SEARCH({1,2,3,4,5,6,7,8,9,0},E112&amp;"1234567890"))+1),10),".","/")),4))))),(AO112-A112))</f>
        <v>1</v>
      </c>
      <c r="C112" s="199"/>
      <c r="D112" s="201" t="str">
        <f t="shared" ref="D112:D125" si="18">IF(Q112="MULTI","FGM","FGC")&amp;"-"&amp;H112&amp;"/"&amp;I112&amp;"-"&amp;TEXT(K112,"0.00")&amp;"X"&amp;IF(Q112="MULTI",N112,Q112)</f>
        <v>FGC-304/2B-2.00X635</v>
      </c>
      <c r="E112" s="201" t="s">
        <v>4974</v>
      </c>
      <c r="F112" s="201" t="s">
        <v>4312</v>
      </c>
      <c r="G112" s="201" t="s">
        <v>5636</v>
      </c>
      <c r="H112" s="201">
        <v>304</v>
      </c>
      <c r="I112" s="202" t="s">
        <v>114</v>
      </c>
      <c r="J112" s="203">
        <v>3.94</v>
      </c>
      <c r="K112" s="203">
        <v>2</v>
      </c>
      <c r="L112" s="203">
        <v>1.98</v>
      </c>
      <c r="M112" s="203">
        <v>2</v>
      </c>
      <c r="N112" s="204">
        <v>643</v>
      </c>
      <c r="O112" s="381">
        <f>3.55</f>
        <v>3.55</v>
      </c>
      <c r="P112" s="413">
        <v>3.605</v>
      </c>
      <c r="Q112" s="185">
        <v>635</v>
      </c>
      <c r="R112" s="430"/>
      <c r="S112" s="414"/>
      <c r="T112" s="371" t="s">
        <v>4936</v>
      </c>
      <c r="U112" s="206" t="s">
        <v>1210</v>
      </c>
      <c r="V112" s="206"/>
      <c r="W112" s="185" t="s">
        <v>114</v>
      </c>
      <c r="X112" s="205">
        <v>44956</v>
      </c>
      <c r="Y112" s="205"/>
      <c r="Z112" s="205">
        <v>44956</v>
      </c>
      <c r="AA112" s="205"/>
      <c r="AB112" s="205"/>
      <c r="AC112" s="205"/>
      <c r="AD112" s="205"/>
      <c r="AE112" s="205"/>
      <c r="AF112" s="205"/>
      <c r="AG112" s="205"/>
      <c r="AH112" s="207" t="s">
        <v>1593</v>
      </c>
      <c r="AI112" s="208" t="s">
        <v>69</v>
      </c>
      <c r="AJ112" s="208" t="s">
        <v>142</v>
      </c>
      <c r="AK112" s="209" t="s">
        <v>1657</v>
      </c>
      <c r="AL112" s="209"/>
      <c r="AM112" s="209">
        <v>44849</v>
      </c>
      <c r="AN112" s="209"/>
      <c r="AO112" s="199">
        <f ca="1">TODAY()</f>
        <v>44958</v>
      </c>
      <c r="AP112" s="208">
        <f ca="1">IF(AM112&lt;&gt;0,AO112-AM112,0)</f>
        <v>109</v>
      </c>
      <c r="AQ112" s="208" t="str">
        <f>IF(ISNUMBER(AB112)=TRUE,AO112-AB112,IF(AB112="","",(AO112)-(MID(RIGHT(AB112,10),4,2)&amp;"/"&amp;LEFT((RIGHT(AB112,10)),2)&amp;"/"&amp;RIGHT(AB112,4))))</f>
        <v/>
      </c>
      <c r="AR112" s="209"/>
      <c r="AS112" s="209" t="s">
        <v>1781</v>
      </c>
      <c r="AT112" s="210">
        <v>10.765000000000001</v>
      </c>
      <c r="AU112" s="210">
        <v>10.775</v>
      </c>
      <c r="AV112" s="210">
        <v>10.799999999999999</v>
      </c>
      <c r="AW112" s="210">
        <v>10.805</v>
      </c>
      <c r="AX112" s="200" t="str">
        <f>IF(ISNUMBER(Y112)=TRUE,AO112-Y112,IF(Y112="","",(AO112)-(MID(RIGHT(Y112,10),4,2)&amp;"/"&amp;LEFT((RIGHT(Y112,10)),2)&amp;"/"&amp;RIGHT(Y112,4))))</f>
        <v/>
      </c>
      <c r="AY112" s="200">
        <v>456</v>
      </c>
      <c r="BA112" s="200" t="s">
        <v>123</v>
      </c>
      <c r="BN112" s="211"/>
    </row>
    <row r="113" spans="1:66" s="200" customFormat="1" ht="18.75" customHeight="1" x14ac:dyDescent="0.25">
      <c r="A113" s="199">
        <v>44957</v>
      </c>
      <c r="B113" s="204">
        <f ca="1">IF(A113="",(IF(ISNUMBER(SUBSTITUTE(LEFT(RIGHT(E113,LEN(E113)-MIN(SEARCH({1,2,3,4,5,6,7,8,9,0},E113&amp;"1234567890"))+1),10),".","/"))=TRUE,AO113-(SUBSTITUTE(LEFT(RIGHT(E113,LEN(E113)-MIN(SEARCH({1,2,3,4,5,6,7,8,9,0},E113&amp;"1234567890"))+1),10),".","/")),IF((SUBSTITUTE(LEFT(RIGHT(E113,LEN(E113)-MIN(SEARCH({1,2,3,4,5,6,7,8,9,0},E113&amp;"1234567890"))+1),10),".","/"))="","",(AO113)-(MID(RIGHT((SUBSTITUTE(LEFT(RIGHT(E113,LEN(E113)-MIN(SEARCH({1,2,3,4,5,6,7,8,9,0},E113&amp;"1234567890"))+1),10),".","/")),10),4,2)&amp;"/"&amp;LEFT((RIGHT((SUBSTITUTE(LEFT(RIGHT(E113,LEN(E113)-MIN(SEARCH({1,2,3,4,5,6,7,8,9,0},E113&amp;"1234567890"))+1),10),".","/")),10)),2)&amp;"/"&amp;RIGHT((SUBSTITUTE(LEFT(RIGHT(E113,LEN(E113)-MIN(SEARCH({1,2,3,4,5,6,7,8,9,0},E113&amp;"1234567890"))+1),10),".","/")),4))))),(AO113-A113))</f>
        <v>1</v>
      </c>
      <c r="C113" s="199"/>
      <c r="D113" s="201" t="str">
        <f t="shared" si="18"/>
        <v>FGC-304/2B-2.00X635</v>
      </c>
      <c r="E113" s="201" t="s">
        <v>4974</v>
      </c>
      <c r="F113" s="201" t="s">
        <v>4312</v>
      </c>
      <c r="G113" s="201" t="s">
        <v>5637</v>
      </c>
      <c r="H113" s="201">
        <v>304</v>
      </c>
      <c r="I113" s="202" t="s">
        <v>114</v>
      </c>
      <c r="J113" s="203">
        <v>3.94</v>
      </c>
      <c r="K113" s="203">
        <v>2</v>
      </c>
      <c r="L113" s="203">
        <v>1.98</v>
      </c>
      <c r="M113" s="203">
        <v>2</v>
      </c>
      <c r="N113" s="204">
        <v>643</v>
      </c>
      <c r="O113" s="381">
        <v>3.57</v>
      </c>
      <c r="P113" s="413">
        <v>3.63</v>
      </c>
      <c r="Q113" s="185">
        <v>635</v>
      </c>
      <c r="R113" s="430"/>
      <c r="S113" s="414"/>
      <c r="T113" s="371" t="s">
        <v>4936</v>
      </c>
      <c r="U113" s="206" t="s">
        <v>1210</v>
      </c>
      <c r="V113" s="206"/>
      <c r="W113" s="185" t="s">
        <v>114</v>
      </c>
      <c r="X113" s="205">
        <v>44956</v>
      </c>
      <c r="Y113" s="205"/>
      <c r="Z113" s="205">
        <v>44956</v>
      </c>
      <c r="AA113" s="205"/>
      <c r="AB113" s="205"/>
      <c r="AC113" s="205"/>
      <c r="AD113" s="205"/>
      <c r="AE113" s="205"/>
      <c r="AF113" s="205"/>
      <c r="AG113" s="205"/>
      <c r="AH113" s="207" t="s">
        <v>1593</v>
      </c>
      <c r="AI113" s="208" t="s">
        <v>69</v>
      </c>
      <c r="AJ113" s="208" t="s">
        <v>142</v>
      </c>
      <c r="AK113" s="209" t="s">
        <v>1657</v>
      </c>
      <c r="AL113" s="209"/>
      <c r="AM113" s="209">
        <v>44849</v>
      </c>
      <c r="AN113" s="209"/>
      <c r="AO113" s="199">
        <f t="shared" ref="AO113:AO114" ca="1" si="19">TODAY()</f>
        <v>44958</v>
      </c>
      <c r="AP113" s="208">
        <f t="shared" ref="AP113:AP125" ca="1" si="20">IF(AM113&lt;&gt;0,AO113-AM113,0)</f>
        <v>109</v>
      </c>
      <c r="AQ113" s="208" t="str">
        <f t="shared" ref="AQ113:AQ125" si="21">IF(ISNUMBER(AB113)=TRUE,AO113-AB113,IF(AB113="","",(AO113)-(MID(RIGHT(AB113,10),4,2)&amp;"/"&amp;LEFT((RIGHT(AB113,10)),2)&amp;"/"&amp;RIGHT(AB113,4))))</f>
        <v/>
      </c>
      <c r="AR113" s="209"/>
      <c r="AS113" s="209" t="s">
        <v>1781</v>
      </c>
      <c r="AT113" s="210">
        <v>10.765000000000001</v>
      </c>
      <c r="AU113" s="210">
        <v>10.775</v>
      </c>
      <c r="AV113" s="210">
        <v>10.799999999999999</v>
      </c>
      <c r="AW113" s="210">
        <v>10.805</v>
      </c>
      <c r="AX113" s="200" t="str">
        <f t="shared" ref="AX113:AX125" si="22">IF(ISNUMBER(Y113)=TRUE,AO113-Y113,IF(Y113="","",(AO113)-(MID(RIGHT(Y113,10),4,2)&amp;"/"&amp;LEFT((RIGHT(Y113,10)),2)&amp;"/"&amp;RIGHT(Y113,4))))</f>
        <v/>
      </c>
      <c r="AY113" s="200">
        <v>456</v>
      </c>
      <c r="BA113" s="200" t="s">
        <v>123</v>
      </c>
      <c r="BN113" s="211"/>
    </row>
    <row r="114" spans="1:66" s="200" customFormat="1" ht="18.75" customHeight="1" x14ac:dyDescent="0.25">
      <c r="A114" s="199">
        <v>44957</v>
      </c>
      <c r="B114" s="204">
        <f ca="1">IF(A114="",(IF(ISNUMBER(SUBSTITUTE(LEFT(RIGHT(E114,LEN(E114)-MIN(SEARCH({1,2,3,4,5,6,7,8,9,0},E114&amp;"1234567890"))+1),10),".","/"))=TRUE,AO114-(SUBSTITUTE(LEFT(RIGHT(E114,LEN(E114)-MIN(SEARCH({1,2,3,4,5,6,7,8,9,0},E114&amp;"1234567890"))+1),10),".","/")),IF((SUBSTITUTE(LEFT(RIGHT(E114,LEN(E114)-MIN(SEARCH({1,2,3,4,5,6,7,8,9,0},E114&amp;"1234567890"))+1),10),".","/"))="","",(AO114)-(MID(RIGHT((SUBSTITUTE(LEFT(RIGHT(E114,LEN(E114)-MIN(SEARCH({1,2,3,4,5,6,7,8,9,0},E114&amp;"1234567890"))+1),10),".","/")),10),4,2)&amp;"/"&amp;LEFT((RIGHT((SUBSTITUTE(LEFT(RIGHT(E114,LEN(E114)-MIN(SEARCH({1,2,3,4,5,6,7,8,9,0},E114&amp;"1234567890"))+1),10),".","/")),10)),2)&amp;"/"&amp;RIGHT((SUBSTITUTE(LEFT(RIGHT(E114,LEN(E114)-MIN(SEARCH({1,2,3,4,5,6,7,8,9,0},E114&amp;"1234567890"))+1),10),".","/")),4))))),(AO114-A114))</f>
        <v>1</v>
      </c>
      <c r="C114" s="199"/>
      <c r="D114" s="201" t="str">
        <f t="shared" si="18"/>
        <v>FGC-304/2B-2.00X635</v>
      </c>
      <c r="E114" s="201" t="s">
        <v>4974</v>
      </c>
      <c r="F114" s="201" t="s">
        <v>4312</v>
      </c>
      <c r="G114" s="201" t="s">
        <v>5638</v>
      </c>
      <c r="H114" s="201">
        <v>304</v>
      </c>
      <c r="I114" s="202" t="s">
        <v>114</v>
      </c>
      <c r="J114" s="203">
        <v>3.94</v>
      </c>
      <c r="K114" s="203">
        <v>2</v>
      </c>
      <c r="L114" s="203">
        <v>1.98</v>
      </c>
      <c r="M114" s="203">
        <v>2</v>
      </c>
      <c r="N114" s="204">
        <v>643</v>
      </c>
      <c r="O114" s="381">
        <v>3.54</v>
      </c>
      <c r="P114" s="413">
        <v>3.6</v>
      </c>
      <c r="Q114" s="185">
        <v>635</v>
      </c>
      <c r="R114" s="430"/>
      <c r="S114" s="414"/>
      <c r="T114" s="371" t="s">
        <v>4936</v>
      </c>
      <c r="U114" s="206" t="s">
        <v>1210</v>
      </c>
      <c r="V114" s="206"/>
      <c r="W114" s="185" t="s">
        <v>114</v>
      </c>
      <c r="X114" s="205">
        <v>44956</v>
      </c>
      <c r="Y114" s="205"/>
      <c r="Z114" s="205">
        <v>44956</v>
      </c>
      <c r="AA114" s="205"/>
      <c r="AB114" s="205"/>
      <c r="AC114" s="205"/>
      <c r="AD114" s="205"/>
      <c r="AE114" s="205"/>
      <c r="AF114" s="205"/>
      <c r="AG114" s="205"/>
      <c r="AH114" s="207" t="s">
        <v>1593</v>
      </c>
      <c r="AI114" s="208" t="s">
        <v>69</v>
      </c>
      <c r="AJ114" s="208" t="s">
        <v>142</v>
      </c>
      <c r="AK114" s="209" t="s">
        <v>1657</v>
      </c>
      <c r="AL114" s="209"/>
      <c r="AM114" s="209">
        <v>44849</v>
      </c>
      <c r="AN114" s="209"/>
      <c r="AO114" s="199">
        <f t="shared" ca="1" si="19"/>
        <v>44958</v>
      </c>
      <c r="AP114" s="208">
        <f t="shared" ca="1" si="20"/>
        <v>109</v>
      </c>
      <c r="AQ114" s="208" t="str">
        <f t="shared" si="21"/>
        <v/>
      </c>
      <c r="AR114" s="209"/>
      <c r="AS114" s="209" t="s">
        <v>1781</v>
      </c>
      <c r="AT114" s="210">
        <v>10.765000000000001</v>
      </c>
      <c r="AU114" s="210">
        <v>10.775</v>
      </c>
      <c r="AV114" s="210">
        <v>10.799999999999999</v>
      </c>
      <c r="AW114" s="210">
        <v>10.805</v>
      </c>
      <c r="AX114" s="200" t="str">
        <f t="shared" si="22"/>
        <v/>
      </c>
      <c r="AY114" s="200">
        <v>456</v>
      </c>
      <c r="BA114" s="200" t="s">
        <v>123</v>
      </c>
      <c r="BN114" s="211"/>
    </row>
    <row r="115" spans="1:66" s="200" customFormat="1" ht="18.75" customHeight="1" x14ac:dyDescent="0.25">
      <c r="A115" s="199">
        <v>44957</v>
      </c>
      <c r="B115" s="204">
        <f ca="1">IF(A115="",(IF(ISNUMBER(SUBSTITUTE(LEFT(RIGHT(E115,LEN(E115)-MIN(SEARCH({1,2,3,4,5,6,7,8,9,0},E115&amp;"1234567890"))+1),10),".","/"))=TRUE,AO115-(SUBSTITUTE(LEFT(RIGHT(E115,LEN(E115)-MIN(SEARCH({1,2,3,4,5,6,7,8,9,0},E115&amp;"1234567890"))+1),10),".","/")),IF((SUBSTITUTE(LEFT(RIGHT(E115,LEN(E115)-MIN(SEARCH({1,2,3,4,5,6,7,8,9,0},E115&amp;"1234567890"))+1),10),".","/"))="","",(AO115)-(MID(RIGHT((SUBSTITUTE(LEFT(RIGHT(E115,LEN(E115)-MIN(SEARCH({1,2,3,4,5,6,7,8,9,0},E115&amp;"1234567890"))+1),10),".","/")),10),4,2)&amp;"/"&amp;LEFT((RIGHT((SUBSTITUTE(LEFT(RIGHT(E115,LEN(E115)-MIN(SEARCH({1,2,3,4,5,6,7,8,9,0},E115&amp;"1234567890"))+1),10),".","/")),10)),2)&amp;"/"&amp;RIGHT((SUBSTITUTE(LEFT(RIGHT(E115,LEN(E115)-MIN(SEARCH({1,2,3,4,5,6,7,8,9,0},E115&amp;"1234567890"))+1),10),".","/")),4))))),(AO115-A115))</f>
        <v>1</v>
      </c>
      <c r="C115" s="199"/>
      <c r="D115" s="201" t="str">
        <f t="shared" si="18"/>
        <v>FGC-304L/2B-1.45X635</v>
      </c>
      <c r="E115" s="201" t="s">
        <v>4974</v>
      </c>
      <c r="F115" s="201" t="s">
        <v>4279</v>
      </c>
      <c r="G115" s="201" t="s">
        <v>5639</v>
      </c>
      <c r="H115" s="201" t="s">
        <v>182</v>
      </c>
      <c r="I115" s="202" t="s">
        <v>114</v>
      </c>
      <c r="J115" s="203">
        <v>3.8</v>
      </c>
      <c r="K115" s="203">
        <v>1.45</v>
      </c>
      <c r="L115" s="203">
        <v>1.44</v>
      </c>
      <c r="M115" s="203">
        <v>1.46</v>
      </c>
      <c r="N115" s="204">
        <v>644</v>
      </c>
      <c r="O115" s="381">
        <f>3.54</f>
        <v>3.54</v>
      </c>
      <c r="P115" s="413">
        <v>3.6</v>
      </c>
      <c r="Q115" s="185">
        <v>635</v>
      </c>
      <c r="R115" s="430"/>
      <c r="S115" s="414"/>
      <c r="T115" s="371" t="s">
        <v>4936</v>
      </c>
      <c r="U115" s="206" t="s">
        <v>1210</v>
      </c>
      <c r="V115" s="206"/>
      <c r="W115" s="185" t="s">
        <v>114</v>
      </c>
      <c r="X115" s="205">
        <v>44953</v>
      </c>
      <c r="Y115" s="205"/>
      <c r="Z115" s="205">
        <v>44954</v>
      </c>
      <c r="AA115" s="205"/>
      <c r="AB115" s="205"/>
      <c r="AC115" s="205"/>
      <c r="AD115" s="205"/>
      <c r="AE115" s="205"/>
      <c r="AF115" s="205"/>
      <c r="AG115" s="205"/>
      <c r="AH115" s="207" t="s">
        <v>1605</v>
      </c>
      <c r="AI115" s="208" t="s">
        <v>69</v>
      </c>
      <c r="AJ115" s="208" t="s">
        <v>142</v>
      </c>
      <c r="AK115" s="209" t="s">
        <v>1657</v>
      </c>
      <c r="AL115" s="209"/>
      <c r="AM115" s="209">
        <v>44849</v>
      </c>
      <c r="AN115" s="209"/>
      <c r="AO115" s="199">
        <f t="shared" ca="1" si="3"/>
        <v>44958</v>
      </c>
      <c r="AP115" s="208">
        <f t="shared" ca="1" si="20"/>
        <v>109</v>
      </c>
      <c r="AQ115" s="208" t="str">
        <f t="shared" si="21"/>
        <v/>
      </c>
      <c r="AR115" s="209"/>
      <c r="AS115" s="209" t="s">
        <v>1676</v>
      </c>
      <c r="AT115" s="210">
        <v>10.695</v>
      </c>
      <c r="AU115" s="210">
        <v>10.705</v>
      </c>
      <c r="AV115" s="210">
        <v>10.729999999999999</v>
      </c>
      <c r="AW115" s="210">
        <v>10.734999999999999</v>
      </c>
      <c r="AX115" s="200" t="str">
        <f t="shared" si="22"/>
        <v/>
      </c>
      <c r="AY115" s="200">
        <v>456</v>
      </c>
      <c r="BA115" s="200" t="s">
        <v>123</v>
      </c>
      <c r="BN115" s="211"/>
    </row>
    <row r="116" spans="1:66" s="200" customFormat="1" ht="18.75" customHeight="1" x14ac:dyDescent="0.25">
      <c r="A116" s="199">
        <v>44957</v>
      </c>
      <c r="B116" s="204">
        <f ca="1">IF(A116="",(IF(ISNUMBER(SUBSTITUTE(LEFT(RIGHT(E116,LEN(E116)-MIN(SEARCH({1,2,3,4,5,6,7,8,9,0},E116&amp;"1234567890"))+1),10),".","/"))=TRUE,AO116-(SUBSTITUTE(LEFT(RIGHT(E116,LEN(E116)-MIN(SEARCH({1,2,3,4,5,6,7,8,9,0},E116&amp;"1234567890"))+1),10),".","/")),IF((SUBSTITUTE(LEFT(RIGHT(E116,LEN(E116)-MIN(SEARCH({1,2,3,4,5,6,7,8,9,0},E116&amp;"1234567890"))+1),10),".","/"))="","",(AO116)-(MID(RIGHT((SUBSTITUTE(LEFT(RIGHT(E116,LEN(E116)-MIN(SEARCH({1,2,3,4,5,6,7,8,9,0},E116&amp;"1234567890"))+1),10),".","/")),10),4,2)&amp;"/"&amp;LEFT((RIGHT((SUBSTITUTE(LEFT(RIGHT(E116,LEN(E116)-MIN(SEARCH({1,2,3,4,5,6,7,8,9,0},E116&amp;"1234567890"))+1),10),".","/")),10)),2)&amp;"/"&amp;RIGHT((SUBSTITUTE(LEFT(RIGHT(E116,LEN(E116)-MIN(SEARCH({1,2,3,4,5,6,7,8,9,0},E116&amp;"1234567890"))+1),10),".","/")),4))))),(AO116-A116))</f>
        <v>1</v>
      </c>
      <c r="C116" s="199"/>
      <c r="D116" s="201" t="str">
        <f t="shared" si="18"/>
        <v>FGC-304L/2B-1.45X635</v>
      </c>
      <c r="E116" s="201" t="s">
        <v>4974</v>
      </c>
      <c r="F116" s="201" t="s">
        <v>4279</v>
      </c>
      <c r="G116" s="201" t="s">
        <v>5640</v>
      </c>
      <c r="H116" s="201" t="s">
        <v>182</v>
      </c>
      <c r="I116" s="202" t="s">
        <v>114</v>
      </c>
      <c r="J116" s="203">
        <v>3.8</v>
      </c>
      <c r="K116" s="203">
        <v>1.45</v>
      </c>
      <c r="L116" s="203">
        <v>1.44</v>
      </c>
      <c r="M116" s="203">
        <v>1.46</v>
      </c>
      <c r="N116" s="204">
        <v>644</v>
      </c>
      <c r="O116" s="381">
        <v>3.55</v>
      </c>
      <c r="P116" s="413">
        <v>3.61</v>
      </c>
      <c r="Q116" s="185">
        <v>635</v>
      </c>
      <c r="R116" s="430"/>
      <c r="S116" s="414"/>
      <c r="T116" s="371" t="s">
        <v>4936</v>
      </c>
      <c r="U116" s="206" t="s">
        <v>1210</v>
      </c>
      <c r="V116" s="206"/>
      <c r="W116" s="185" t="s">
        <v>114</v>
      </c>
      <c r="X116" s="205">
        <v>44953</v>
      </c>
      <c r="Y116" s="205"/>
      <c r="Z116" s="205">
        <v>44954</v>
      </c>
      <c r="AA116" s="205"/>
      <c r="AB116" s="205"/>
      <c r="AC116" s="205"/>
      <c r="AD116" s="205"/>
      <c r="AE116" s="205"/>
      <c r="AF116" s="205"/>
      <c r="AG116" s="205"/>
      <c r="AH116" s="207" t="s">
        <v>1605</v>
      </c>
      <c r="AI116" s="208" t="s">
        <v>69</v>
      </c>
      <c r="AJ116" s="208" t="s">
        <v>142</v>
      </c>
      <c r="AK116" s="209" t="s">
        <v>1657</v>
      </c>
      <c r="AL116" s="209"/>
      <c r="AM116" s="209">
        <v>44849</v>
      </c>
      <c r="AN116" s="209"/>
      <c r="AO116" s="199">
        <f t="shared" ca="1" si="3"/>
        <v>44958</v>
      </c>
      <c r="AP116" s="208">
        <f t="shared" ca="1" si="20"/>
        <v>109</v>
      </c>
      <c r="AQ116" s="208" t="str">
        <f t="shared" si="21"/>
        <v/>
      </c>
      <c r="AR116" s="209"/>
      <c r="AS116" s="209" t="s">
        <v>1676</v>
      </c>
      <c r="AT116" s="210">
        <v>10.695</v>
      </c>
      <c r="AU116" s="210">
        <v>10.705</v>
      </c>
      <c r="AV116" s="210">
        <v>10.729999999999999</v>
      </c>
      <c r="AW116" s="210">
        <v>10.734999999999999</v>
      </c>
      <c r="AX116" s="200" t="str">
        <f t="shared" si="22"/>
        <v/>
      </c>
      <c r="AY116" s="200">
        <v>456</v>
      </c>
      <c r="BA116" s="200" t="s">
        <v>123</v>
      </c>
      <c r="BN116" s="211"/>
    </row>
    <row r="117" spans="1:66" s="200" customFormat="1" ht="18.75" customHeight="1" x14ac:dyDescent="0.25">
      <c r="A117" s="199">
        <v>44957</v>
      </c>
      <c r="B117" s="204">
        <f ca="1">IF(A117="",(IF(ISNUMBER(SUBSTITUTE(LEFT(RIGHT(E117,LEN(E117)-MIN(SEARCH({1,2,3,4,5,6,7,8,9,0},E117&amp;"1234567890"))+1),10),".","/"))=TRUE,AO117-(SUBSTITUTE(LEFT(RIGHT(E117,LEN(E117)-MIN(SEARCH({1,2,3,4,5,6,7,8,9,0},E117&amp;"1234567890"))+1),10),".","/")),IF((SUBSTITUTE(LEFT(RIGHT(E117,LEN(E117)-MIN(SEARCH({1,2,3,4,5,6,7,8,9,0},E117&amp;"1234567890"))+1),10),".","/"))="","",(AO117)-(MID(RIGHT((SUBSTITUTE(LEFT(RIGHT(E117,LEN(E117)-MIN(SEARCH({1,2,3,4,5,6,7,8,9,0},E117&amp;"1234567890"))+1),10),".","/")),10),4,2)&amp;"/"&amp;LEFT((RIGHT((SUBSTITUTE(LEFT(RIGHT(E117,LEN(E117)-MIN(SEARCH({1,2,3,4,5,6,7,8,9,0},E117&amp;"1234567890"))+1),10),".","/")),10)),2)&amp;"/"&amp;RIGHT((SUBSTITUTE(LEFT(RIGHT(E117,LEN(E117)-MIN(SEARCH({1,2,3,4,5,6,7,8,9,0},E117&amp;"1234567890"))+1),10),".","/")),4))))),(AO117-A117))</f>
        <v>1</v>
      </c>
      <c r="C117" s="199"/>
      <c r="D117" s="201" t="str">
        <f t="shared" si="18"/>
        <v>FGC-304L/2B-2.00X635</v>
      </c>
      <c r="E117" s="201" t="s">
        <v>4974</v>
      </c>
      <c r="F117" s="201" t="s">
        <v>4305</v>
      </c>
      <c r="G117" s="201" t="s">
        <v>4306</v>
      </c>
      <c r="H117" s="201" t="s">
        <v>182</v>
      </c>
      <c r="I117" s="202" t="s">
        <v>114</v>
      </c>
      <c r="J117" s="203">
        <v>3.94</v>
      </c>
      <c r="K117" s="203">
        <v>2</v>
      </c>
      <c r="L117" s="203">
        <v>1.98</v>
      </c>
      <c r="M117" s="203">
        <v>2.02</v>
      </c>
      <c r="N117" s="204">
        <v>642</v>
      </c>
      <c r="O117" s="381">
        <v>10.525</v>
      </c>
      <c r="P117" s="413">
        <v>10.574999999999999</v>
      </c>
      <c r="Q117" s="185">
        <v>635</v>
      </c>
      <c r="R117" s="430"/>
      <c r="S117" s="414"/>
      <c r="T117" s="371" t="s">
        <v>4936</v>
      </c>
      <c r="U117" s="206" t="s">
        <v>1210</v>
      </c>
      <c r="V117" s="206" t="s">
        <v>361</v>
      </c>
      <c r="W117" s="185" t="s">
        <v>114</v>
      </c>
      <c r="X117" s="205">
        <v>44956</v>
      </c>
      <c r="Y117" s="205"/>
      <c r="Z117" s="205">
        <v>44956</v>
      </c>
      <c r="AA117" s="205"/>
      <c r="AB117" s="205"/>
      <c r="AC117" s="205"/>
      <c r="AD117" s="205"/>
      <c r="AE117" s="205"/>
      <c r="AF117" s="205"/>
      <c r="AG117" s="205"/>
      <c r="AH117" s="207" t="s">
        <v>1593</v>
      </c>
      <c r="AI117" s="208" t="s">
        <v>69</v>
      </c>
      <c r="AJ117" s="208" t="s">
        <v>142</v>
      </c>
      <c r="AK117" s="209" t="s">
        <v>1657</v>
      </c>
      <c r="AL117" s="209"/>
      <c r="AM117" s="209">
        <v>44849</v>
      </c>
      <c r="AN117" s="209"/>
      <c r="AO117" s="199">
        <f t="shared" ca="1" si="3"/>
        <v>44958</v>
      </c>
      <c r="AP117" s="208">
        <f t="shared" ca="1" si="20"/>
        <v>109</v>
      </c>
      <c r="AQ117" s="208" t="str">
        <f t="shared" si="21"/>
        <v/>
      </c>
      <c r="AR117" s="209"/>
      <c r="AS117" s="209" t="s">
        <v>4307</v>
      </c>
      <c r="AT117" s="210">
        <v>10.58</v>
      </c>
      <c r="AU117" s="210">
        <v>10.59</v>
      </c>
      <c r="AV117" s="210">
        <v>10.614999999999998</v>
      </c>
      <c r="AW117" s="210">
        <v>10.62</v>
      </c>
      <c r="AX117" s="200" t="str">
        <f t="shared" si="22"/>
        <v/>
      </c>
      <c r="AY117" s="200">
        <v>456</v>
      </c>
      <c r="BA117" s="200" t="s">
        <v>123</v>
      </c>
      <c r="BN117" s="211"/>
    </row>
    <row r="118" spans="1:66" s="200" customFormat="1" ht="18.75" customHeight="1" x14ac:dyDescent="0.25">
      <c r="A118" s="199">
        <v>44957</v>
      </c>
      <c r="B118" s="204">
        <f ca="1">IF(A118="",(IF(ISNUMBER(SUBSTITUTE(LEFT(RIGHT(E118,LEN(E118)-MIN(SEARCH({1,2,3,4,5,6,7,8,9,0},E118&amp;"1234567890"))+1),10),".","/"))=TRUE,AO118-(SUBSTITUTE(LEFT(RIGHT(E118,LEN(E118)-MIN(SEARCH({1,2,3,4,5,6,7,8,9,0},E118&amp;"1234567890"))+1),10),".","/")),IF((SUBSTITUTE(LEFT(RIGHT(E118,LEN(E118)-MIN(SEARCH({1,2,3,4,5,6,7,8,9,0},E118&amp;"1234567890"))+1),10),".","/"))="","",(AO118)-(MID(RIGHT((SUBSTITUTE(LEFT(RIGHT(E118,LEN(E118)-MIN(SEARCH({1,2,3,4,5,6,7,8,9,0},E118&amp;"1234567890"))+1),10),".","/")),10),4,2)&amp;"/"&amp;LEFT((RIGHT((SUBSTITUTE(LEFT(RIGHT(E118,LEN(E118)-MIN(SEARCH({1,2,3,4,5,6,7,8,9,0},E118&amp;"1234567890"))+1),10),".","/")),10)),2)&amp;"/"&amp;RIGHT((SUBSTITUTE(LEFT(RIGHT(E118,LEN(E118)-MIN(SEARCH({1,2,3,4,5,6,7,8,9,0},E118&amp;"1234567890"))+1),10),".","/")),4))))),(AO118-A118))</f>
        <v>1</v>
      </c>
      <c r="C118" s="199"/>
      <c r="D118" s="201" t="str">
        <f t="shared" si="18"/>
        <v>FGC-304L/2B-1.45X635</v>
      </c>
      <c r="E118" s="201" t="s">
        <v>4974</v>
      </c>
      <c r="F118" s="201" t="s">
        <v>4298</v>
      </c>
      <c r="G118" s="201" t="s">
        <v>4299</v>
      </c>
      <c r="H118" s="201" t="s">
        <v>182</v>
      </c>
      <c r="I118" s="202" t="s">
        <v>114</v>
      </c>
      <c r="J118" s="203">
        <v>3.63</v>
      </c>
      <c r="K118" s="203">
        <v>1.45</v>
      </c>
      <c r="L118" s="203">
        <v>1.42</v>
      </c>
      <c r="M118" s="203">
        <v>1.45</v>
      </c>
      <c r="N118" s="204">
        <v>643</v>
      </c>
      <c r="O118" s="381">
        <v>10.515000000000001</v>
      </c>
      <c r="P118" s="413">
        <v>10.57</v>
      </c>
      <c r="Q118" s="185">
        <v>635</v>
      </c>
      <c r="R118" s="430"/>
      <c r="S118" s="414"/>
      <c r="T118" s="371" t="s">
        <v>4936</v>
      </c>
      <c r="U118" s="206" t="s">
        <v>1210</v>
      </c>
      <c r="V118" s="206"/>
      <c r="W118" s="185" t="s">
        <v>114</v>
      </c>
      <c r="X118" s="205">
        <v>44955</v>
      </c>
      <c r="Y118" s="205"/>
      <c r="Z118" s="205">
        <v>44955</v>
      </c>
      <c r="AA118" s="205"/>
      <c r="AB118" s="205"/>
      <c r="AC118" s="205"/>
      <c r="AD118" s="205"/>
      <c r="AE118" s="205"/>
      <c r="AF118" s="205"/>
      <c r="AG118" s="205"/>
      <c r="AH118" s="207" t="s">
        <v>1593</v>
      </c>
      <c r="AI118" s="208" t="s">
        <v>69</v>
      </c>
      <c r="AJ118" s="208" t="s">
        <v>142</v>
      </c>
      <c r="AK118" s="209" t="s">
        <v>1594</v>
      </c>
      <c r="AL118" s="209"/>
      <c r="AM118" s="209">
        <v>44849</v>
      </c>
      <c r="AN118" s="209"/>
      <c r="AO118" s="199">
        <f t="shared" ca="1" si="3"/>
        <v>44958</v>
      </c>
      <c r="AP118" s="208">
        <f t="shared" ca="1" si="20"/>
        <v>109</v>
      </c>
      <c r="AQ118" s="208" t="str">
        <f t="shared" si="21"/>
        <v/>
      </c>
      <c r="AR118" s="209"/>
      <c r="AS118" s="209" t="s">
        <v>1615</v>
      </c>
      <c r="AT118" s="210">
        <v>10.595000000000001</v>
      </c>
      <c r="AU118" s="210">
        <v>10.605</v>
      </c>
      <c r="AV118" s="210">
        <v>10.629999999999999</v>
      </c>
      <c r="AW118" s="210">
        <v>10.635</v>
      </c>
      <c r="AX118" s="200" t="str">
        <f t="shared" si="22"/>
        <v/>
      </c>
      <c r="AY118" s="200">
        <v>456</v>
      </c>
      <c r="BA118" s="200" t="s">
        <v>123</v>
      </c>
      <c r="BN118" s="211"/>
    </row>
    <row r="119" spans="1:66" s="200" customFormat="1" ht="18.75" customHeight="1" x14ac:dyDescent="0.25">
      <c r="A119" s="199">
        <v>44957</v>
      </c>
      <c r="B119" s="204">
        <f ca="1">IF(A119="",(IF(ISNUMBER(SUBSTITUTE(LEFT(RIGHT(E119,LEN(E119)-MIN(SEARCH({1,2,3,4,5,6,7,8,9,0},E119&amp;"1234567890"))+1),10),".","/"))=TRUE,AO119-(SUBSTITUTE(LEFT(RIGHT(E119,LEN(E119)-MIN(SEARCH({1,2,3,4,5,6,7,8,9,0},E119&amp;"1234567890"))+1),10),".","/")),IF((SUBSTITUTE(LEFT(RIGHT(E119,LEN(E119)-MIN(SEARCH({1,2,3,4,5,6,7,8,9,0},E119&amp;"1234567890"))+1),10),".","/"))="","",(AO119)-(MID(RIGHT((SUBSTITUTE(LEFT(RIGHT(E119,LEN(E119)-MIN(SEARCH({1,2,3,4,5,6,7,8,9,0},E119&amp;"1234567890"))+1),10),".","/")),10),4,2)&amp;"/"&amp;LEFT((RIGHT((SUBSTITUTE(LEFT(RIGHT(E119,LEN(E119)-MIN(SEARCH({1,2,3,4,5,6,7,8,9,0},E119&amp;"1234567890"))+1),10),".","/")),10)),2)&amp;"/"&amp;RIGHT((SUBSTITUTE(LEFT(RIGHT(E119,LEN(E119)-MIN(SEARCH({1,2,3,4,5,6,7,8,9,0},E119&amp;"1234567890"))+1),10),".","/")),4))))),(AO119-A119))</f>
        <v>1</v>
      </c>
      <c r="C119" s="199"/>
      <c r="D119" s="201" t="str">
        <f t="shared" si="18"/>
        <v>FGC-304L/2B-2.00X635</v>
      </c>
      <c r="E119" s="201" t="s">
        <v>4974</v>
      </c>
      <c r="F119" s="201" t="s">
        <v>4289</v>
      </c>
      <c r="G119" s="201" t="s">
        <v>4290</v>
      </c>
      <c r="H119" s="201" t="s">
        <v>182</v>
      </c>
      <c r="I119" s="202" t="s">
        <v>114</v>
      </c>
      <c r="J119" s="203">
        <v>3.9</v>
      </c>
      <c r="K119" s="203">
        <v>2</v>
      </c>
      <c r="L119" s="203">
        <v>2</v>
      </c>
      <c r="M119" s="203">
        <v>2.02</v>
      </c>
      <c r="N119" s="204">
        <v>645</v>
      </c>
      <c r="O119" s="381">
        <v>10.574999999999999</v>
      </c>
      <c r="P119" s="413">
        <v>10.63</v>
      </c>
      <c r="Q119" s="185">
        <v>635</v>
      </c>
      <c r="R119" s="430"/>
      <c r="S119" s="414"/>
      <c r="T119" s="371" t="s">
        <v>4936</v>
      </c>
      <c r="U119" s="206" t="s">
        <v>1210</v>
      </c>
      <c r="V119" s="206"/>
      <c r="W119" s="185" t="s">
        <v>114</v>
      </c>
      <c r="X119" s="205">
        <v>44954</v>
      </c>
      <c r="Y119" s="205"/>
      <c r="Z119" s="205">
        <v>44954</v>
      </c>
      <c r="AA119" s="205"/>
      <c r="AB119" s="205"/>
      <c r="AC119" s="205"/>
      <c r="AD119" s="205"/>
      <c r="AE119" s="205"/>
      <c r="AF119" s="205"/>
      <c r="AG119" s="205"/>
      <c r="AH119" s="207" t="s">
        <v>1643</v>
      </c>
      <c r="AI119" s="208" t="s">
        <v>69</v>
      </c>
      <c r="AJ119" s="208" t="s">
        <v>142</v>
      </c>
      <c r="AK119" s="209" t="s">
        <v>1657</v>
      </c>
      <c r="AL119" s="209"/>
      <c r="AM119" s="209">
        <v>44849</v>
      </c>
      <c r="AN119" s="209"/>
      <c r="AO119" s="199">
        <f t="shared" ca="1" si="3"/>
        <v>44958</v>
      </c>
      <c r="AP119" s="208">
        <f t="shared" ca="1" si="20"/>
        <v>109</v>
      </c>
      <c r="AQ119" s="208" t="str">
        <f t="shared" si="21"/>
        <v/>
      </c>
      <c r="AR119" s="209"/>
      <c r="AS119" s="209" t="s">
        <v>1792</v>
      </c>
      <c r="AT119" s="210">
        <v>10.65</v>
      </c>
      <c r="AU119" s="210">
        <v>10.66</v>
      </c>
      <c r="AV119" s="210">
        <v>10.684999999999999</v>
      </c>
      <c r="AW119" s="210">
        <v>10.69</v>
      </c>
      <c r="AX119" s="200" t="str">
        <f t="shared" si="22"/>
        <v/>
      </c>
      <c r="AY119" s="200">
        <v>456</v>
      </c>
      <c r="BA119" s="200" t="s">
        <v>123</v>
      </c>
      <c r="BN119" s="211"/>
    </row>
    <row r="120" spans="1:66" s="200" customFormat="1" ht="18.75" customHeight="1" x14ac:dyDescent="0.25">
      <c r="A120" s="199">
        <v>44957</v>
      </c>
      <c r="B120" s="204">
        <f ca="1">IF(A120="",(IF(ISNUMBER(SUBSTITUTE(LEFT(RIGHT(E120,LEN(E120)-MIN(SEARCH({1,2,3,4,5,6,7,8,9,0},E120&amp;"1234567890"))+1),10),".","/"))=TRUE,AO120-(SUBSTITUTE(LEFT(RIGHT(E120,LEN(E120)-MIN(SEARCH({1,2,3,4,5,6,7,8,9,0},E120&amp;"1234567890"))+1),10),".","/")),IF((SUBSTITUTE(LEFT(RIGHT(E120,LEN(E120)-MIN(SEARCH({1,2,3,4,5,6,7,8,9,0},E120&amp;"1234567890"))+1),10),".","/"))="","",(AO120)-(MID(RIGHT((SUBSTITUTE(LEFT(RIGHT(E120,LEN(E120)-MIN(SEARCH({1,2,3,4,5,6,7,8,9,0},E120&amp;"1234567890"))+1),10),".","/")),10),4,2)&amp;"/"&amp;LEFT((RIGHT((SUBSTITUTE(LEFT(RIGHT(E120,LEN(E120)-MIN(SEARCH({1,2,3,4,5,6,7,8,9,0},E120&amp;"1234567890"))+1),10),".","/")),10)),2)&amp;"/"&amp;RIGHT((SUBSTITUTE(LEFT(RIGHT(E120,LEN(E120)-MIN(SEARCH({1,2,3,4,5,6,7,8,9,0},E120&amp;"1234567890"))+1),10),".","/")),4))))),(AO120-A120))</f>
        <v>1</v>
      </c>
      <c r="C120" s="199"/>
      <c r="D120" s="201" t="str">
        <f t="shared" si="18"/>
        <v>FGC-304L/2B-1.45X635</v>
      </c>
      <c r="E120" s="201" t="s">
        <v>4974</v>
      </c>
      <c r="F120" s="201" t="s">
        <v>4281</v>
      </c>
      <c r="G120" s="201" t="s">
        <v>4282</v>
      </c>
      <c r="H120" s="201" t="s">
        <v>182</v>
      </c>
      <c r="I120" s="202" t="s">
        <v>114</v>
      </c>
      <c r="J120" s="203">
        <v>3.79</v>
      </c>
      <c r="K120" s="203">
        <v>1.45</v>
      </c>
      <c r="L120" s="203">
        <v>1.43</v>
      </c>
      <c r="M120" s="203">
        <v>1.45</v>
      </c>
      <c r="N120" s="204">
        <v>643</v>
      </c>
      <c r="O120" s="381">
        <v>10.46</v>
      </c>
      <c r="P120" s="413">
        <v>10.515000000000001</v>
      </c>
      <c r="Q120" s="185">
        <v>635</v>
      </c>
      <c r="R120" s="430"/>
      <c r="S120" s="414"/>
      <c r="T120" s="371" t="s">
        <v>4936</v>
      </c>
      <c r="U120" s="206" t="s">
        <v>1210</v>
      </c>
      <c r="V120" s="206"/>
      <c r="W120" s="185" t="s">
        <v>114</v>
      </c>
      <c r="X120" s="205">
        <v>44953</v>
      </c>
      <c r="Y120" s="205"/>
      <c r="Z120" s="205">
        <v>44954</v>
      </c>
      <c r="AA120" s="205"/>
      <c r="AB120" s="205"/>
      <c r="AC120" s="205"/>
      <c r="AD120" s="205"/>
      <c r="AE120" s="205"/>
      <c r="AF120" s="205"/>
      <c r="AG120" s="205"/>
      <c r="AH120" s="207" t="s">
        <v>1609</v>
      </c>
      <c r="AI120" s="208" t="s">
        <v>69</v>
      </c>
      <c r="AJ120" s="208" t="s">
        <v>142</v>
      </c>
      <c r="AK120" s="209" t="s">
        <v>1657</v>
      </c>
      <c r="AL120" s="209"/>
      <c r="AM120" s="209">
        <v>44849</v>
      </c>
      <c r="AN120" s="209"/>
      <c r="AO120" s="199">
        <f t="shared" ca="1" si="3"/>
        <v>44958</v>
      </c>
      <c r="AP120" s="208">
        <f t="shared" ca="1" si="20"/>
        <v>109</v>
      </c>
      <c r="AQ120" s="208" t="str">
        <f t="shared" si="21"/>
        <v/>
      </c>
      <c r="AR120" s="209"/>
      <c r="AS120" s="209" t="s">
        <v>4283</v>
      </c>
      <c r="AT120" s="210">
        <v>10.53</v>
      </c>
      <c r="AU120" s="210">
        <v>10.54</v>
      </c>
      <c r="AV120" s="210">
        <v>10.564999999999998</v>
      </c>
      <c r="AW120" s="210">
        <v>10.569999999999999</v>
      </c>
      <c r="AX120" s="200" t="str">
        <f t="shared" si="22"/>
        <v/>
      </c>
      <c r="AY120" s="200">
        <v>456</v>
      </c>
      <c r="BA120" s="200" t="s">
        <v>123</v>
      </c>
      <c r="BN120" s="211"/>
    </row>
    <row r="121" spans="1:66" s="200" customFormat="1" ht="18.75" customHeight="1" x14ac:dyDescent="0.25">
      <c r="A121" s="199">
        <v>44957</v>
      </c>
      <c r="B121" s="204">
        <f ca="1">IF(A121="",(IF(ISNUMBER(SUBSTITUTE(LEFT(RIGHT(E121,LEN(E121)-MIN(SEARCH({1,2,3,4,5,6,7,8,9,0},E121&amp;"1234567890"))+1),10),".","/"))=TRUE,AO121-(SUBSTITUTE(LEFT(RIGHT(E121,LEN(E121)-MIN(SEARCH({1,2,3,4,5,6,7,8,9,0},E121&amp;"1234567890"))+1),10),".","/")),IF((SUBSTITUTE(LEFT(RIGHT(E121,LEN(E121)-MIN(SEARCH({1,2,3,4,5,6,7,8,9,0},E121&amp;"1234567890"))+1),10),".","/"))="","",(AO121)-(MID(RIGHT((SUBSTITUTE(LEFT(RIGHT(E121,LEN(E121)-MIN(SEARCH({1,2,3,4,5,6,7,8,9,0},E121&amp;"1234567890"))+1),10),".","/")),10),4,2)&amp;"/"&amp;LEFT((RIGHT((SUBSTITUTE(LEFT(RIGHT(E121,LEN(E121)-MIN(SEARCH({1,2,3,4,5,6,7,8,9,0},E121&amp;"1234567890"))+1),10),".","/")),10)),2)&amp;"/"&amp;RIGHT((SUBSTITUTE(LEFT(RIGHT(E121,LEN(E121)-MIN(SEARCH({1,2,3,4,5,6,7,8,9,0},E121&amp;"1234567890"))+1),10),".","/")),4))))),(AO121-A121))</f>
        <v>1</v>
      </c>
      <c r="C121" s="199"/>
      <c r="D121" s="201" t="str">
        <f t="shared" si="18"/>
        <v>FGC-304/2B-1.00X635</v>
      </c>
      <c r="E121" s="201" t="s">
        <v>5112</v>
      </c>
      <c r="F121" s="201" t="s">
        <v>4293</v>
      </c>
      <c r="G121" s="201" t="s">
        <v>5641</v>
      </c>
      <c r="H121" s="201">
        <v>304</v>
      </c>
      <c r="I121" s="202" t="s">
        <v>114</v>
      </c>
      <c r="J121" s="203">
        <v>3.01</v>
      </c>
      <c r="K121" s="203">
        <v>1</v>
      </c>
      <c r="L121" s="203">
        <v>0.95</v>
      </c>
      <c r="M121" s="203">
        <v>0.96</v>
      </c>
      <c r="N121" s="204">
        <v>643</v>
      </c>
      <c r="O121" s="381">
        <f>5.1</f>
        <v>5.0999999999999996</v>
      </c>
      <c r="P121" s="413">
        <v>5.1550000000000002</v>
      </c>
      <c r="Q121" s="185">
        <v>635</v>
      </c>
      <c r="R121" s="430"/>
      <c r="S121" s="414"/>
      <c r="T121" s="371" t="s">
        <v>4936</v>
      </c>
      <c r="U121" s="206" t="s">
        <v>1210</v>
      </c>
      <c r="V121" s="206"/>
      <c r="W121" s="185" t="s">
        <v>114</v>
      </c>
      <c r="X121" s="205">
        <v>44954</v>
      </c>
      <c r="Y121" s="205"/>
      <c r="Z121" s="205">
        <v>44955</v>
      </c>
      <c r="AA121" s="205"/>
      <c r="AB121" s="205"/>
      <c r="AC121" s="205"/>
      <c r="AD121" s="205"/>
      <c r="AE121" s="205"/>
      <c r="AF121" s="205"/>
      <c r="AG121" s="205"/>
      <c r="AH121" s="207" t="s">
        <v>1643</v>
      </c>
      <c r="AI121" s="208" t="s">
        <v>69</v>
      </c>
      <c r="AJ121" s="208" t="s">
        <v>142</v>
      </c>
      <c r="AK121" s="209" t="s">
        <v>1657</v>
      </c>
      <c r="AL121" s="209"/>
      <c r="AM121" s="209">
        <v>44849</v>
      </c>
      <c r="AN121" s="209"/>
      <c r="AO121" s="199">
        <f t="shared" ca="1" si="3"/>
        <v>44958</v>
      </c>
      <c r="AP121" s="208">
        <f t="shared" ca="1" si="20"/>
        <v>109</v>
      </c>
      <c r="AQ121" s="208" t="str">
        <f t="shared" si="21"/>
        <v/>
      </c>
      <c r="AR121" s="209"/>
      <c r="AS121" s="209" t="s">
        <v>4244</v>
      </c>
      <c r="AT121" s="210">
        <v>10.664999999999999</v>
      </c>
      <c r="AU121" s="210">
        <v>10.675000000000001</v>
      </c>
      <c r="AV121" s="210">
        <v>10.7</v>
      </c>
      <c r="AW121" s="210">
        <v>10.705</v>
      </c>
      <c r="AX121" s="200" t="str">
        <f t="shared" si="22"/>
        <v/>
      </c>
      <c r="AY121" s="200">
        <v>456</v>
      </c>
      <c r="BA121" s="200" t="s">
        <v>123</v>
      </c>
      <c r="BN121" s="211"/>
    </row>
    <row r="122" spans="1:66" s="200" customFormat="1" ht="18.75" customHeight="1" x14ac:dyDescent="0.25">
      <c r="A122" s="199">
        <v>44957</v>
      </c>
      <c r="B122" s="204">
        <f ca="1">IF(A122="",(IF(ISNUMBER(SUBSTITUTE(LEFT(RIGHT(E122,LEN(E122)-MIN(SEARCH({1,2,3,4,5,6,7,8,9,0},E122&amp;"1234567890"))+1),10),".","/"))=TRUE,AO122-(SUBSTITUTE(LEFT(RIGHT(E122,LEN(E122)-MIN(SEARCH({1,2,3,4,5,6,7,8,9,0},E122&amp;"1234567890"))+1),10),".","/")),IF((SUBSTITUTE(LEFT(RIGHT(E122,LEN(E122)-MIN(SEARCH({1,2,3,4,5,6,7,8,9,0},E122&amp;"1234567890"))+1),10),".","/"))="","",(AO122)-(MID(RIGHT((SUBSTITUTE(LEFT(RIGHT(E122,LEN(E122)-MIN(SEARCH({1,2,3,4,5,6,7,8,9,0},E122&amp;"1234567890"))+1),10),".","/")),10),4,2)&amp;"/"&amp;LEFT((RIGHT((SUBSTITUTE(LEFT(RIGHT(E122,LEN(E122)-MIN(SEARCH({1,2,3,4,5,6,7,8,9,0},E122&amp;"1234567890"))+1),10),".","/")),10)),2)&amp;"/"&amp;RIGHT((SUBSTITUTE(LEFT(RIGHT(E122,LEN(E122)-MIN(SEARCH({1,2,3,4,5,6,7,8,9,0},E122&amp;"1234567890"))+1),10),".","/")),4))))),(AO122-A122))</f>
        <v>1</v>
      </c>
      <c r="C122" s="199"/>
      <c r="D122" s="201" t="str">
        <f t="shared" si="18"/>
        <v>FGC-304L/2B-1.15X635</v>
      </c>
      <c r="E122" s="201" t="s">
        <v>5112</v>
      </c>
      <c r="F122" s="201" t="s">
        <v>4277</v>
      </c>
      <c r="G122" s="201" t="s">
        <v>4278</v>
      </c>
      <c r="H122" s="201" t="s">
        <v>182</v>
      </c>
      <c r="I122" s="202" t="s">
        <v>114</v>
      </c>
      <c r="J122" s="203">
        <v>2.99</v>
      </c>
      <c r="K122" s="203">
        <v>1.1499999999999999</v>
      </c>
      <c r="L122" s="203">
        <v>1.1399999999999999</v>
      </c>
      <c r="M122" s="203">
        <v>1.1599999999999999</v>
      </c>
      <c r="N122" s="204">
        <v>643</v>
      </c>
      <c r="O122" s="381">
        <v>10.625</v>
      </c>
      <c r="P122" s="413">
        <v>10.685</v>
      </c>
      <c r="Q122" s="185">
        <v>635</v>
      </c>
      <c r="R122" s="430"/>
      <c r="S122" s="414"/>
      <c r="T122" s="371" t="s">
        <v>4936</v>
      </c>
      <c r="U122" s="206" t="s">
        <v>1210</v>
      </c>
      <c r="V122" s="206"/>
      <c r="W122" s="185" t="s">
        <v>114</v>
      </c>
      <c r="X122" s="205">
        <v>44953</v>
      </c>
      <c r="Y122" s="205"/>
      <c r="Z122" s="205">
        <v>44953</v>
      </c>
      <c r="AA122" s="205"/>
      <c r="AB122" s="205"/>
      <c r="AC122" s="205"/>
      <c r="AD122" s="205"/>
      <c r="AE122" s="205"/>
      <c r="AF122" s="205"/>
      <c r="AG122" s="205"/>
      <c r="AH122" s="207" t="s">
        <v>1593</v>
      </c>
      <c r="AI122" s="208" t="s">
        <v>69</v>
      </c>
      <c r="AJ122" s="208" t="s">
        <v>142</v>
      </c>
      <c r="AK122" s="209" t="s">
        <v>1657</v>
      </c>
      <c r="AL122" s="209"/>
      <c r="AM122" s="209">
        <v>44849</v>
      </c>
      <c r="AN122" s="209"/>
      <c r="AO122" s="199">
        <f t="shared" ca="1" si="3"/>
        <v>44958</v>
      </c>
      <c r="AP122" s="208">
        <f t="shared" ca="1" si="20"/>
        <v>109</v>
      </c>
      <c r="AQ122" s="208" t="str">
        <f t="shared" si="21"/>
        <v/>
      </c>
      <c r="AR122" s="209"/>
      <c r="AS122" s="209" t="s">
        <v>1716</v>
      </c>
      <c r="AT122" s="210">
        <v>10.695</v>
      </c>
      <c r="AU122" s="210">
        <v>10.705</v>
      </c>
      <c r="AV122" s="210">
        <v>10.729999999999999</v>
      </c>
      <c r="AW122" s="210">
        <v>10.734999999999999</v>
      </c>
      <c r="AX122" s="200" t="str">
        <f t="shared" si="22"/>
        <v/>
      </c>
      <c r="AY122" s="200">
        <v>456</v>
      </c>
      <c r="BA122" s="200" t="s">
        <v>123</v>
      </c>
      <c r="BN122" s="211"/>
    </row>
    <row r="123" spans="1:66" s="200" customFormat="1" ht="18.75" customHeight="1" x14ac:dyDescent="0.25">
      <c r="A123" s="199">
        <v>44957</v>
      </c>
      <c r="B123" s="204">
        <f ca="1">IF(A123="",(IF(ISNUMBER(SUBSTITUTE(LEFT(RIGHT(E123,LEN(E123)-MIN(SEARCH({1,2,3,4,5,6,7,8,9,0},E123&amp;"1234567890"))+1),10),".","/"))=TRUE,AO123-(SUBSTITUTE(LEFT(RIGHT(E123,LEN(E123)-MIN(SEARCH({1,2,3,4,5,6,7,8,9,0},E123&amp;"1234567890"))+1),10),".","/")),IF((SUBSTITUTE(LEFT(RIGHT(E123,LEN(E123)-MIN(SEARCH({1,2,3,4,5,6,7,8,9,0},E123&amp;"1234567890"))+1),10),".","/"))="","",(AO123)-(MID(RIGHT((SUBSTITUTE(LEFT(RIGHT(E123,LEN(E123)-MIN(SEARCH({1,2,3,4,5,6,7,8,9,0},E123&amp;"1234567890"))+1),10),".","/")),10),4,2)&amp;"/"&amp;LEFT((RIGHT((SUBSTITUTE(LEFT(RIGHT(E123,LEN(E123)-MIN(SEARCH({1,2,3,4,5,6,7,8,9,0},E123&amp;"1234567890"))+1),10),".","/")),10)),2)&amp;"/"&amp;RIGHT((SUBSTITUTE(LEFT(RIGHT(E123,LEN(E123)-MIN(SEARCH({1,2,3,4,5,6,7,8,9,0},E123&amp;"1234567890"))+1),10),".","/")),4))))),(AO123-A123))</f>
        <v>1</v>
      </c>
      <c r="C123" s="199"/>
      <c r="D123" s="201" t="str">
        <f t="shared" si="18"/>
        <v>FGC-304L/2B-0.90X635</v>
      </c>
      <c r="E123" s="201" t="s">
        <v>5112</v>
      </c>
      <c r="F123" s="201" t="s">
        <v>4273</v>
      </c>
      <c r="G123" s="201" t="s">
        <v>4274</v>
      </c>
      <c r="H123" s="201" t="s">
        <v>182</v>
      </c>
      <c r="I123" s="202" t="s">
        <v>114</v>
      </c>
      <c r="J123" s="203">
        <v>2.88</v>
      </c>
      <c r="K123" s="203">
        <v>0.9</v>
      </c>
      <c r="L123" s="203">
        <v>0.87</v>
      </c>
      <c r="M123" s="203">
        <v>0.89</v>
      </c>
      <c r="N123" s="204">
        <v>643</v>
      </c>
      <c r="O123" s="381">
        <v>10.734999999999999</v>
      </c>
      <c r="P123" s="413">
        <v>10.795</v>
      </c>
      <c r="Q123" s="185">
        <v>635</v>
      </c>
      <c r="R123" s="430"/>
      <c r="S123" s="414"/>
      <c r="T123" s="371" t="s">
        <v>4936</v>
      </c>
      <c r="U123" s="206" t="s">
        <v>1210</v>
      </c>
      <c r="V123" s="206"/>
      <c r="W123" s="185" t="s">
        <v>114</v>
      </c>
      <c r="X123" s="205">
        <v>44953</v>
      </c>
      <c r="Y123" s="205"/>
      <c r="Z123" s="205">
        <v>44953</v>
      </c>
      <c r="AA123" s="205"/>
      <c r="AB123" s="205"/>
      <c r="AC123" s="205"/>
      <c r="AD123" s="205"/>
      <c r="AE123" s="205"/>
      <c r="AF123" s="205"/>
      <c r="AG123" s="205"/>
      <c r="AH123" s="207" t="s">
        <v>1643</v>
      </c>
      <c r="AI123" s="208" t="s">
        <v>69</v>
      </c>
      <c r="AJ123" s="208" t="s">
        <v>142</v>
      </c>
      <c r="AK123" s="209" t="s">
        <v>1657</v>
      </c>
      <c r="AL123" s="209"/>
      <c r="AM123" s="209">
        <v>44849</v>
      </c>
      <c r="AN123" s="209"/>
      <c r="AO123" s="199">
        <f t="shared" ca="1" si="3"/>
        <v>44958</v>
      </c>
      <c r="AP123" s="208">
        <f t="shared" ca="1" si="20"/>
        <v>109</v>
      </c>
      <c r="AQ123" s="208" t="str">
        <f t="shared" si="21"/>
        <v/>
      </c>
      <c r="AR123" s="209"/>
      <c r="AS123" s="209" t="s">
        <v>1784</v>
      </c>
      <c r="AT123" s="210">
        <v>10.755000000000001</v>
      </c>
      <c r="AU123" s="210">
        <v>10.765000000000001</v>
      </c>
      <c r="AV123" s="210">
        <v>10.79</v>
      </c>
      <c r="AW123" s="210">
        <v>10.795</v>
      </c>
      <c r="AX123" s="200" t="str">
        <f t="shared" si="22"/>
        <v/>
      </c>
      <c r="AY123" s="200">
        <v>456</v>
      </c>
      <c r="BA123" s="200" t="s">
        <v>123</v>
      </c>
      <c r="BN123" s="211"/>
    </row>
    <row r="124" spans="1:66" s="200" customFormat="1" ht="18.75" customHeight="1" x14ac:dyDescent="0.25">
      <c r="A124" s="199">
        <v>44957</v>
      </c>
      <c r="B124" s="204">
        <f ca="1">IF(A124="",(IF(ISNUMBER(SUBSTITUTE(LEFT(RIGHT(E124,LEN(E124)-MIN(SEARCH({1,2,3,4,5,6,7,8,9,0},E124&amp;"1234567890"))+1),10),".","/"))=TRUE,AO124-(SUBSTITUTE(LEFT(RIGHT(E124,LEN(E124)-MIN(SEARCH({1,2,3,4,5,6,7,8,9,0},E124&amp;"1234567890"))+1),10),".","/")),IF((SUBSTITUTE(LEFT(RIGHT(E124,LEN(E124)-MIN(SEARCH({1,2,3,4,5,6,7,8,9,0},E124&amp;"1234567890"))+1),10),".","/"))="","",(AO124)-(MID(RIGHT((SUBSTITUTE(LEFT(RIGHT(E124,LEN(E124)-MIN(SEARCH({1,2,3,4,5,6,7,8,9,0},E124&amp;"1234567890"))+1),10),".","/")),10),4,2)&amp;"/"&amp;LEFT((RIGHT((SUBSTITUTE(LEFT(RIGHT(E124,LEN(E124)-MIN(SEARCH({1,2,3,4,5,6,7,8,9,0},E124&amp;"1234567890"))+1),10),".","/")),10)),2)&amp;"/"&amp;RIGHT((SUBSTITUTE(LEFT(RIGHT(E124,LEN(E124)-MIN(SEARCH({1,2,3,4,5,6,7,8,9,0},E124&amp;"1234567890"))+1),10),".","/")),4))))),(AO124-A124))</f>
        <v>1</v>
      </c>
      <c r="C124" s="199"/>
      <c r="D124" s="201" t="str">
        <f t="shared" si="18"/>
        <v>FGC-304L/2B-1.15X635</v>
      </c>
      <c r="E124" s="201" t="s">
        <v>5112</v>
      </c>
      <c r="F124" s="201" t="s">
        <v>4310</v>
      </c>
      <c r="G124" s="201" t="s">
        <v>4311</v>
      </c>
      <c r="H124" s="201" t="s">
        <v>182</v>
      </c>
      <c r="I124" s="202" t="s">
        <v>114</v>
      </c>
      <c r="J124" s="203">
        <v>2.9</v>
      </c>
      <c r="K124" s="203">
        <v>1.1499999999999999</v>
      </c>
      <c r="L124" s="203">
        <v>1.1299999999999999</v>
      </c>
      <c r="M124" s="203">
        <v>1.1499999999999999</v>
      </c>
      <c r="N124" s="204">
        <v>643</v>
      </c>
      <c r="O124" s="381">
        <v>10.275</v>
      </c>
      <c r="P124" s="413">
        <v>10.33</v>
      </c>
      <c r="Q124" s="185">
        <v>635</v>
      </c>
      <c r="R124" s="430"/>
      <c r="S124" s="414"/>
      <c r="T124" s="371" t="s">
        <v>4936</v>
      </c>
      <c r="U124" s="206" t="s">
        <v>1210</v>
      </c>
      <c r="V124" s="206"/>
      <c r="W124" s="185" t="s">
        <v>114</v>
      </c>
      <c r="X124" s="205">
        <v>44956</v>
      </c>
      <c r="Y124" s="205"/>
      <c r="Z124" s="205">
        <v>44956</v>
      </c>
      <c r="AA124" s="205"/>
      <c r="AB124" s="205"/>
      <c r="AC124" s="205"/>
      <c r="AD124" s="205"/>
      <c r="AE124" s="205"/>
      <c r="AF124" s="205"/>
      <c r="AG124" s="205"/>
      <c r="AH124" s="207" t="s">
        <v>1593</v>
      </c>
      <c r="AI124" s="208" t="s">
        <v>69</v>
      </c>
      <c r="AJ124" s="208" t="s">
        <v>142</v>
      </c>
      <c r="AK124" s="209" t="s">
        <v>1594</v>
      </c>
      <c r="AL124" s="209"/>
      <c r="AM124" s="209">
        <v>44849</v>
      </c>
      <c r="AN124" s="209"/>
      <c r="AO124" s="199">
        <f t="shared" ca="1" si="3"/>
        <v>44958</v>
      </c>
      <c r="AP124" s="208">
        <f t="shared" ca="1" si="20"/>
        <v>109</v>
      </c>
      <c r="AQ124" s="208" t="str">
        <f t="shared" si="21"/>
        <v/>
      </c>
      <c r="AR124" s="209"/>
      <c r="AS124" s="209" t="s">
        <v>1632</v>
      </c>
      <c r="AT124" s="210">
        <v>10.315</v>
      </c>
      <c r="AU124" s="210">
        <v>10.324999999999999</v>
      </c>
      <c r="AV124" s="210">
        <v>10.349999999999998</v>
      </c>
      <c r="AW124" s="210">
        <v>10.354999999999999</v>
      </c>
      <c r="AX124" s="200" t="str">
        <f t="shared" si="22"/>
        <v/>
      </c>
      <c r="AY124" s="200">
        <v>456</v>
      </c>
      <c r="BA124" s="200" t="s">
        <v>123</v>
      </c>
      <c r="BN124" s="211"/>
    </row>
    <row r="125" spans="1:66" s="200" customFormat="1" ht="18.75" customHeight="1" x14ac:dyDescent="0.25">
      <c r="A125" s="199"/>
      <c r="B125" s="204" t="e">
        <f ca="1">IF(A125="",(IF(ISNUMBER(SUBSTITUTE(LEFT(RIGHT(E125,LEN(E125)-MIN(SEARCH({1,2,3,4,5,6,7,8,9,0},E125&amp;"1234567890"))+1),10),".","/"))=TRUE,AO125-(SUBSTITUTE(LEFT(RIGHT(E125,LEN(E125)-MIN(SEARCH({1,2,3,4,5,6,7,8,9,0},E125&amp;"1234567890"))+1),10),".","/")),IF((SUBSTITUTE(LEFT(RIGHT(E125,LEN(E125)-MIN(SEARCH({1,2,3,4,5,6,7,8,9,0},E125&amp;"1234567890"))+1),10),".","/"))="","",(AO125)-(MID(RIGHT((SUBSTITUTE(LEFT(RIGHT(E125,LEN(E125)-MIN(SEARCH({1,2,3,4,5,6,7,8,9,0},E125&amp;"1234567890"))+1),10),".","/")),10),4,2)&amp;"/"&amp;LEFT((RIGHT((SUBSTITUTE(LEFT(RIGHT(E125,LEN(E125)-MIN(SEARCH({1,2,3,4,5,6,7,8,9,0},E125&amp;"1234567890"))+1),10),".","/")),10)),2)&amp;"/"&amp;RIGHT((SUBSTITUTE(LEFT(RIGHT(E125,LEN(E125)-MIN(SEARCH({1,2,3,4,5,6,7,8,9,0},E125&amp;"1234567890"))+1),10),".","/")),4))))),(AO125-A125))</f>
        <v>#VALUE!</v>
      </c>
      <c r="C125" s="199"/>
      <c r="D125" s="201" t="str">
        <f t="shared" si="18"/>
        <v>FGC-304/2B-1.15X635</v>
      </c>
      <c r="E125" s="201" t="s">
        <v>5112</v>
      </c>
      <c r="F125" s="201" t="s">
        <v>4271</v>
      </c>
      <c r="G125" s="201" t="s">
        <v>4272</v>
      </c>
      <c r="H125" s="201">
        <v>304</v>
      </c>
      <c r="I125" s="202" t="s">
        <v>114</v>
      </c>
      <c r="J125" s="203">
        <v>3.51</v>
      </c>
      <c r="K125" s="203">
        <v>1.1499999999999999</v>
      </c>
      <c r="L125" s="203">
        <v>1.1299999999999999</v>
      </c>
      <c r="M125" s="203">
        <v>1.1499999999999999</v>
      </c>
      <c r="N125" s="204">
        <v>642</v>
      </c>
      <c r="O125" s="381">
        <v>10.55</v>
      </c>
      <c r="P125" s="413"/>
      <c r="Q125" s="185">
        <v>635</v>
      </c>
      <c r="R125" s="430"/>
      <c r="S125" s="414"/>
      <c r="T125" s="371" t="s">
        <v>4936</v>
      </c>
      <c r="U125" s="206" t="s">
        <v>1210</v>
      </c>
      <c r="V125" s="206"/>
      <c r="W125" s="185" t="s">
        <v>114</v>
      </c>
      <c r="X125" s="205">
        <v>44953</v>
      </c>
      <c r="Y125" s="205"/>
      <c r="Z125" s="205">
        <v>44953</v>
      </c>
      <c r="AA125" s="205"/>
      <c r="AB125" s="205"/>
      <c r="AC125" s="205"/>
      <c r="AD125" s="205"/>
      <c r="AE125" s="205"/>
      <c r="AF125" s="205"/>
      <c r="AG125" s="205"/>
      <c r="AH125" s="207" t="s">
        <v>1643</v>
      </c>
      <c r="AI125" s="208" t="s">
        <v>69</v>
      </c>
      <c r="AJ125" s="208" t="s">
        <v>142</v>
      </c>
      <c r="AK125" s="209" t="s">
        <v>1657</v>
      </c>
      <c r="AL125" s="209"/>
      <c r="AM125" s="209">
        <v>44849</v>
      </c>
      <c r="AN125" s="209"/>
      <c r="AO125" s="199">
        <f t="shared" ca="1" si="3"/>
        <v>44958</v>
      </c>
      <c r="AP125" s="208">
        <f t="shared" ca="1" si="20"/>
        <v>109</v>
      </c>
      <c r="AQ125" s="208" t="str">
        <f t="shared" si="21"/>
        <v/>
      </c>
      <c r="AR125" s="209"/>
      <c r="AS125" s="209" t="s">
        <v>1667</v>
      </c>
      <c r="AT125" s="210">
        <v>10.58</v>
      </c>
      <c r="AU125" s="210">
        <v>10.59</v>
      </c>
      <c r="AV125" s="210">
        <v>10.614999999999998</v>
      </c>
      <c r="AW125" s="210">
        <v>10.62</v>
      </c>
      <c r="AX125" s="200" t="str">
        <f t="shared" si="22"/>
        <v/>
      </c>
      <c r="AY125" s="200">
        <v>456</v>
      </c>
      <c r="BA125" s="200" t="s">
        <v>123</v>
      </c>
      <c r="BN125" s="211"/>
    </row>
    <row r="126" spans="1:66" s="200" customFormat="1" ht="18.75" customHeight="1" x14ac:dyDescent="0.25">
      <c r="A126" s="199">
        <v>44957</v>
      </c>
      <c r="B126" s="204">
        <f ca="1">IF(A126="",(IF(ISNUMBER(SUBSTITUTE(LEFT(RIGHT(E126,LEN(E126)-MIN(SEARCH({1,2,3,4,5,6,7,8,9,0},E126&amp;"1234567890"))+1),10),".","/"))=TRUE,AO126-(SUBSTITUTE(LEFT(RIGHT(E126,LEN(E126)-MIN(SEARCH({1,2,3,4,5,6,7,8,9,0},E126&amp;"1234567890"))+1),10),".","/")),IF((SUBSTITUTE(LEFT(RIGHT(E126,LEN(E126)-MIN(SEARCH({1,2,3,4,5,6,7,8,9,0},E126&amp;"1234567890"))+1),10),".","/"))="","",(AO126)-(MID(RIGHT((SUBSTITUTE(LEFT(RIGHT(E126,LEN(E126)-MIN(SEARCH({1,2,3,4,5,6,7,8,9,0},E126&amp;"1234567890"))+1),10),".","/")),10),4,2)&amp;"/"&amp;LEFT((RIGHT((SUBSTITUTE(LEFT(RIGHT(E126,LEN(E126)-MIN(SEARCH({1,2,3,4,5,6,7,8,9,0},E126&amp;"1234567890"))+1),10),".","/")),10)),2)&amp;"/"&amp;RIGHT((SUBSTITUTE(LEFT(RIGHT(E126,LEN(E126)-MIN(SEARCH({1,2,3,4,5,6,7,8,9,0},E126&amp;"1234567890"))+1),10),".","/")),4))))),(AO126-A126))</f>
        <v>1</v>
      </c>
      <c r="C126" s="199"/>
      <c r="D126" s="201" t="str">
        <f>IF(Q126="MULTI","FGM","FGC")&amp;"-"&amp;H126&amp;"/"&amp;I126&amp;"-"&amp;TEXT(K126,"0.00")&amp;"X"&amp;IF(Q126="MULTI",N126,Q126)</f>
        <v>FGC-304/2B-1.15X635</v>
      </c>
      <c r="E126" s="201" t="s">
        <v>5412</v>
      </c>
      <c r="F126" s="201" t="s">
        <v>4300</v>
      </c>
      <c r="G126" s="201" t="s">
        <v>5421</v>
      </c>
      <c r="H126" s="201">
        <v>304</v>
      </c>
      <c r="I126" s="202" t="s">
        <v>114</v>
      </c>
      <c r="J126" s="203">
        <v>2.93</v>
      </c>
      <c r="K126" s="203">
        <v>1.1499999999999999</v>
      </c>
      <c r="L126" s="203">
        <v>1.1299999999999999</v>
      </c>
      <c r="M126" s="203">
        <v>1.1499999999999999</v>
      </c>
      <c r="N126" s="204">
        <v>641</v>
      </c>
      <c r="O126" s="381">
        <v>10.494999999999999</v>
      </c>
      <c r="P126" s="413">
        <v>10.555</v>
      </c>
      <c r="Q126" s="185">
        <v>635</v>
      </c>
      <c r="R126" s="430"/>
      <c r="S126" s="414"/>
      <c r="T126" s="371" t="s">
        <v>4936</v>
      </c>
      <c r="U126" s="206" t="s">
        <v>1210</v>
      </c>
      <c r="V126" s="206"/>
      <c r="W126" s="185" t="s">
        <v>114</v>
      </c>
      <c r="X126" s="205">
        <v>44955</v>
      </c>
      <c r="Y126" s="205"/>
      <c r="Z126" s="205">
        <v>44955</v>
      </c>
      <c r="AA126" s="205"/>
      <c r="AB126" s="205"/>
      <c r="AC126" s="205">
        <v>44957</v>
      </c>
      <c r="AD126" s="205"/>
      <c r="AE126" s="205"/>
      <c r="AF126" s="205"/>
      <c r="AG126" s="205"/>
      <c r="AH126" s="207" t="s">
        <v>1593</v>
      </c>
      <c r="AI126" s="208" t="s">
        <v>69</v>
      </c>
      <c r="AJ126" s="208" t="s">
        <v>142</v>
      </c>
      <c r="AK126" s="209" t="s">
        <v>1594</v>
      </c>
      <c r="AL126" s="209"/>
      <c r="AM126" s="209">
        <v>44849</v>
      </c>
      <c r="AN126" s="209"/>
      <c r="AO126" s="199">
        <f ca="1">TODAY()</f>
        <v>44958</v>
      </c>
      <c r="AP126" s="208">
        <f ca="1">IF(AM126&lt;&gt;0,AO126-AM126,0)</f>
        <v>109</v>
      </c>
      <c r="AQ126" s="208" t="str">
        <f>IF(ISNUMBER(AB126)=TRUE,AO126-AB126,IF(AB126="","",(AO126)-(MID(RIGHT(AB126,10),4,2)&amp;"/"&amp;LEFT((RIGHT(AB126,10)),2)&amp;"/"&amp;RIGHT(AB126,4))))</f>
        <v/>
      </c>
      <c r="AR126" s="209"/>
      <c r="AS126" s="209" t="s">
        <v>4032</v>
      </c>
      <c r="AT126" s="210">
        <v>10.58</v>
      </c>
      <c r="AU126" s="210">
        <v>10.59</v>
      </c>
      <c r="AV126" s="210">
        <v>10.614999999999998</v>
      </c>
      <c r="AW126" s="210">
        <v>10.62</v>
      </c>
      <c r="AX126" s="200" t="str">
        <f>IF(ISNUMBER(Y126)=TRUE,AO126-Y126,IF(Y126="","",(AO126)-(MID(RIGHT(Y126,10),4,2)&amp;"/"&amp;LEFT((RIGHT(Y126,10)),2)&amp;"/"&amp;RIGHT(Y126,4))))</f>
        <v/>
      </c>
      <c r="AY126" s="200">
        <v>456</v>
      </c>
      <c r="BA126" s="200" t="s">
        <v>123</v>
      </c>
      <c r="BN126" s="211"/>
    </row>
    <row r="127" spans="1:66" s="200" customFormat="1" ht="18.75" customHeight="1" x14ac:dyDescent="0.25">
      <c r="A127" s="199">
        <v>44957</v>
      </c>
      <c r="B127" s="204">
        <f ca="1">IF(A127="",(IF(ISNUMBER(SUBSTITUTE(LEFT(RIGHT(E127,LEN(E127)-MIN(SEARCH({1,2,3,4,5,6,7,8,9,0},E127&amp;"1234567890"))+1),10),".","/"))=TRUE,AO127-(SUBSTITUTE(LEFT(RIGHT(E127,LEN(E127)-MIN(SEARCH({1,2,3,4,5,6,7,8,9,0},E127&amp;"1234567890"))+1),10),".","/")),IF((SUBSTITUTE(LEFT(RIGHT(E127,LEN(E127)-MIN(SEARCH({1,2,3,4,5,6,7,8,9,0},E127&amp;"1234567890"))+1),10),".","/"))="","",(AO127)-(MID(RIGHT((SUBSTITUTE(LEFT(RIGHT(E127,LEN(E127)-MIN(SEARCH({1,2,3,4,5,6,7,8,9,0},E127&amp;"1234567890"))+1),10),".","/")),10),4,2)&amp;"/"&amp;LEFT((RIGHT((SUBSTITUTE(LEFT(RIGHT(E127,LEN(E127)-MIN(SEARCH({1,2,3,4,5,6,7,8,9,0},E127&amp;"1234567890"))+1),10),".","/")),10)),2)&amp;"/"&amp;RIGHT((SUBSTITUTE(LEFT(RIGHT(E127,LEN(E127)-MIN(SEARCH({1,2,3,4,5,6,7,8,9,0},E127&amp;"1234567890"))+1),10),".","/")),4))))),(AO127-A127))</f>
        <v>1</v>
      </c>
      <c r="C127" s="199"/>
      <c r="D127" s="201" t="str">
        <f>IF(Q127="MULTI","FGM","FGC")&amp;"-"&amp;H127&amp;"/"&amp;I127&amp;"-"&amp;TEXT(K127,"0.00")&amp;"X"&amp;IF(Q127="MULTI",N127,Q127)</f>
        <v>FGC-304L/2B-0.90X635</v>
      </c>
      <c r="E127" s="201" t="s">
        <v>5412</v>
      </c>
      <c r="F127" s="201" t="s">
        <v>4291</v>
      </c>
      <c r="G127" s="201" t="s">
        <v>5422</v>
      </c>
      <c r="H127" s="201" t="s">
        <v>182</v>
      </c>
      <c r="I127" s="202" t="s">
        <v>114</v>
      </c>
      <c r="J127" s="203">
        <v>2.87</v>
      </c>
      <c r="K127" s="203">
        <v>0.9</v>
      </c>
      <c r="L127" s="203">
        <v>0.87</v>
      </c>
      <c r="M127" s="203">
        <v>0.9</v>
      </c>
      <c r="N127" s="204">
        <v>643</v>
      </c>
      <c r="O127" s="381">
        <v>10.635</v>
      </c>
      <c r="P127" s="413">
        <v>10.69</v>
      </c>
      <c r="Q127" s="185">
        <v>635</v>
      </c>
      <c r="R127" s="430"/>
      <c r="S127" s="414"/>
      <c r="T127" s="371" t="s">
        <v>4936</v>
      </c>
      <c r="U127" s="206" t="s">
        <v>1210</v>
      </c>
      <c r="V127" s="206"/>
      <c r="W127" s="185" t="s">
        <v>114</v>
      </c>
      <c r="X127" s="205">
        <v>44954</v>
      </c>
      <c r="Y127" s="205"/>
      <c r="Z127" s="205">
        <v>44954</v>
      </c>
      <c r="AA127" s="205"/>
      <c r="AB127" s="205"/>
      <c r="AC127" s="205">
        <v>44957</v>
      </c>
      <c r="AD127" s="205">
        <v>44957</v>
      </c>
      <c r="AE127" s="205"/>
      <c r="AF127" s="205"/>
      <c r="AG127" s="205"/>
      <c r="AH127" s="207" t="s">
        <v>1593</v>
      </c>
      <c r="AI127" s="208" t="s">
        <v>69</v>
      </c>
      <c r="AJ127" s="208" t="s">
        <v>142</v>
      </c>
      <c r="AK127" s="209" t="s">
        <v>1594</v>
      </c>
      <c r="AL127" s="209"/>
      <c r="AM127" s="209">
        <v>44849</v>
      </c>
      <c r="AN127" s="209"/>
      <c r="AO127" s="199">
        <f ca="1">TODAY()</f>
        <v>44958</v>
      </c>
      <c r="AP127" s="208">
        <f ca="1">IF(AM127&lt;&gt;0,AO127-AM127,0)</f>
        <v>109</v>
      </c>
      <c r="AQ127" s="208" t="str">
        <f>IF(ISNUMBER(AB127)=TRUE,AO127-AB127,IF(AB127="","",(AO127)-(MID(RIGHT(AB127,10),4,2)&amp;"/"&amp;LEFT((RIGHT(AB127,10)),2)&amp;"/"&amp;RIGHT(AB127,4))))</f>
        <v/>
      </c>
      <c r="AR127" s="209"/>
      <c r="AS127" s="209" t="s">
        <v>1628</v>
      </c>
      <c r="AT127" s="210">
        <v>10.74</v>
      </c>
      <c r="AU127" s="210">
        <v>10.75</v>
      </c>
      <c r="AV127" s="210">
        <v>10.774999999999999</v>
      </c>
      <c r="AW127" s="210">
        <v>10.78</v>
      </c>
      <c r="AX127" s="200" t="str">
        <f>IF(ISNUMBER(Y127)=TRUE,AO127-Y127,IF(Y127="","",(AO127)-(MID(RIGHT(Y127,10),4,2)&amp;"/"&amp;LEFT((RIGHT(Y127,10)),2)&amp;"/"&amp;RIGHT(Y127,4))))</f>
        <v/>
      </c>
      <c r="AY127" s="200">
        <v>456</v>
      </c>
      <c r="BA127" s="200" t="s">
        <v>123</v>
      </c>
      <c r="BN127" s="211"/>
    </row>
    <row r="128" spans="1:66" s="200" customFormat="1" ht="18" customHeight="1" x14ac:dyDescent="0.25">
      <c r="A128" s="431"/>
      <c r="B128" s="363"/>
      <c r="C128" s="416"/>
      <c r="D128" s="361"/>
      <c r="E128" s="361"/>
      <c r="F128" s="361"/>
      <c r="G128" s="361"/>
      <c r="H128" s="361"/>
      <c r="I128" s="336"/>
      <c r="J128" s="417"/>
      <c r="K128" s="417"/>
      <c r="L128" s="417"/>
      <c r="M128" s="417"/>
      <c r="N128" s="363"/>
      <c r="O128" s="418">
        <f>SUM(O111:O127)</f>
        <v>138.88999999999999</v>
      </c>
      <c r="P128" s="419"/>
      <c r="Q128" s="390"/>
      <c r="R128" s="435"/>
      <c r="S128" s="422"/>
      <c r="T128" s="423"/>
      <c r="U128" s="423"/>
      <c r="V128" s="423"/>
      <c r="W128" s="390"/>
      <c r="X128" s="424"/>
      <c r="Y128" s="424"/>
      <c r="Z128" s="424"/>
      <c r="AA128" s="424"/>
      <c r="AB128" s="424"/>
      <c r="AC128" s="424"/>
      <c r="AD128" s="424"/>
      <c r="AE128" s="424"/>
      <c r="AF128" s="424"/>
      <c r="AG128" s="424"/>
      <c r="AH128" s="425"/>
      <c r="AK128" s="426"/>
      <c r="AL128" s="426"/>
      <c r="AM128" s="426"/>
      <c r="AN128" s="426"/>
      <c r="AO128" s="416"/>
      <c r="AR128" s="426"/>
      <c r="AS128" s="426"/>
      <c r="AT128" s="427"/>
      <c r="AU128" s="427"/>
      <c r="AV128" s="427"/>
      <c r="AW128" s="427"/>
      <c r="BN128" s="436"/>
    </row>
    <row r="129" spans="1:66" s="200" customFormat="1" ht="18" customHeight="1" x14ac:dyDescent="0.25">
      <c r="A129" s="431"/>
      <c r="B129" s="363"/>
      <c r="C129" s="416"/>
      <c r="D129" s="361"/>
      <c r="E129" s="361"/>
      <c r="F129" s="361"/>
      <c r="G129" s="361"/>
      <c r="H129" s="361"/>
      <c r="I129" s="336"/>
      <c r="J129" s="417"/>
      <c r="K129" s="417"/>
      <c r="L129" s="417"/>
      <c r="M129" s="417"/>
      <c r="N129" s="363"/>
      <c r="O129" s="418"/>
      <c r="P129" s="419"/>
      <c r="Q129" s="390"/>
      <c r="R129" s="435"/>
      <c r="S129" s="422"/>
      <c r="T129" s="423"/>
      <c r="U129" s="423"/>
      <c r="V129" s="423"/>
      <c r="W129" s="390"/>
      <c r="X129" s="424"/>
      <c r="Y129" s="424"/>
      <c r="Z129" s="424"/>
      <c r="AA129" s="424"/>
      <c r="AB129" s="424"/>
      <c r="AC129" s="424"/>
      <c r="AD129" s="424"/>
      <c r="AE129" s="424"/>
      <c r="AF129" s="424"/>
      <c r="AG129" s="424"/>
      <c r="AH129" s="425"/>
      <c r="AK129" s="426"/>
      <c r="AL129" s="426"/>
      <c r="AM129" s="426"/>
      <c r="AN129" s="426"/>
      <c r="AO129" s="416"/>
      <c r="AR129" s="426"/>
      <c r="AS129" s="426"/>
      <c r="AT129" s="427"/>
      <c r="AU129" s="427"/>
      <c r="AV129" s="427"/>
      <c r="AW129" s="427"/>
      <c r="BN129" s="436"/>
    </row>
    <row r="130" spans="1:66" s="200" customFormat="1" ht="18" customHeight="1" x14ac:dyDescent="0.25">
      <c r="A130" s="431" t="s">
        <v>5642</v>
      </c>
      <c r="B130" s="363"/>
      <c r="C130" s="416"/>
      <c r="D130" s="361"/>
      <c r="E130" s="361"/>
      <c r="F130" s="361"/>
      <c r="G130" s="361"/>
      <c r="H130" s="361"/>
      <c r="I130" s="336"/>
      <c r="J130" s="417"/>
      <c r="K130" s="417"/>
      <c r="L130" s="417"/>
      <c r="M130" s="417"/>
      <c r="N130" s="363"/>
      <c r="O130" s="418"/>
      <c r="P130" s="419"/>
      <c r="Q130" s="390"/>
      <c r="R130" s="435"/>
      <c r="S130" s="422"/>
      <c r="T130" s="423"/>
      <c r="U130" s="423"/>
      <c r="V130" s="423"/>
      <c r="W130" s="390"/>
      <c r="X130" s="424"/>
      <c r="Y130" s="424"/>
      <c r="Z130" s="424"/>
      <c r="AA130" s="424"/>
      <c r="AB130" s="424"/>
      <c r="AC130" s="424"/>
      <c r="AD130" s="424"/>
      <c r="AE130" s="424"/>
      <c r="AF130" s="424"/>
      <c r="AG130" s="424"/>
      <c r="AH130" s="425"/>
      <c r="AK130" s="426"/>
      <c r="AL130" s="426"/>
      <c r="AM130" s="426"/>
      <c r="AN130" s="426"/>
      <c r="AO130" s="416"/>
      <c r="AR130" s="426"/>
      <c r="AS130" s="426"/>
      <c r="AT130" s="427"/>
      <c r="AU130" s="427"/>
      <c r="AV130" s="427"/>
      <c r="AW130" s="427"/>
      <c r="BN130" s="436"/>
    </row>
    <row r="131" spans="1:66" s="200" customFormat="1" ht="18.75" customHeight="1" x14ac:dyDescent="0.25">
      <c r="A131" s="199">
        <v>44957</v>
      </c>
      <c r="B131" s="204">
        <f ca="1">IF(A131="",(IF(ISNUMBER(SUBSTITUTE(LEFT(RIGHT(E131,LEN(E131)-MIN(SEARCH({1,2,3,4,5,6,7,8,9,0},E131&amp;"1234567890"))+1),10),".","/"))=TRUE,AO131-(SUBSTITUTE(LEFT(RIGHT(E131,LEN(E131)-MIN(SEARCH({1,2,3,4,5,6,7,8,9,0},E131&amp;"1234567890"))+1),10),".","/")),IF((SUBSTITUTE(LEFT(RIGHT(E131,LEN(E131)-MIN(SEARCH({1,2,3,4,5,6,7,8,9,0},E131&amp;"1234567890"))+1),10),".","/"))="","",(AO131)-(MID(RIGHT((SUBSTITUTE(LEFT(RIGHT(E131,LEN(E131)-MIN(SEARCH({1,2,3,4,5,6,7,8,9,0},E131&amp;"1234567890"))+1),10),".","/")),10),4,2)&amp;"/"&amp;LEFT((RIGHT((SUBSTITUTE(LEFT(RIGHT(E131,LEN(E131)-MIN(SEARCH({1,2,3,4,5,6,7,8,9,0},E131&amp;"1234567890"))+1),10),".","/")),10)),2)&amp;"/"&amp;RIGHT((SUBSTITUTE(LEFT(RIGHT(E131,LEN(E131)-MIN(SEARCH({1,2,3,4,5,6,7,8,9,0},E131&amp;"1234567890"))+1),10),".","/")),4))))),(AO131-A131))</f>
        <v>1</v>
      </c>
      <c r="C131" s="199"/>
      <c r="D131" s="201" t="str">
        <f>IF(Q131="MULTI","FGM","FGC")&amp;"-"&amp;H131&amp;"/"&amp;I131&amp;"-"&amp;TEXT(K131,"0.00")&amp;"X"&amp;IF(Q131="MULTI",N131,Q131)</f>
        <v>FGC-304/2B-1.00X635</v>
      </c>
      <c r="E131" s="201" t="s">
        <v>5112</v>
      </c>
      <c r="F131" s="201" t="s">
        <v>4293</v>
      </c>
      <c r="G131" s="201" t="s">
        <v>5643</v>
      </c>
      <c r="H131" s="201">
        <v>304</v>
      </c>
      <c r="I131" s="202" t="s">
        <v>114</v>
      </c>
      <c r="J131" s="203">
        <v>3.01</v>
      </c>
      <c r="K131" s="203">
        <v>1</v>
      </c>
      <c r="L131" s="203">
        <v>0.95</v>
      </c>
      <c r="M131" s="203">
        <v>0.96</v>
      </c>
      <c r="N131" s="204">
        <v>643</v>
      </c>
      <c r="O131" s="381">
        <v>5.51</v>
      </c>
      <c r="P131" s="413">
        <v>5.57</v>
      </c>
      <c r="Q131" s="185">
        <v>635</v>
      </c>
      <c r="R131" s="430"/>
      <c r="S131" s="414"/>
      <c r="T131" s="371" t="s">
        <v>5644</v>
      </c>
      <c r="U131" s="206" t="s">
        <v>5642</v>
      </c>
      <c r="V131" s="206"/>
      <c r="W131" s="185" t="s">
        <v>114</v>
      </c>
      <c r="X131" s="205">
        <v>44954</v>
      </c>
      <c r="Y131" s="205"/>
      <c r="Z131" s="205">
        <v>44955</v>
      </c>
      <c r="AA131" s="205"/>
      <c r="AB131" s="205"/>
      <c r="AC131" s="205"/>
      <c r="AD131" s="205"/>
      <c r="AE131" s="205"/>
      <c r="AF131" s="205"/>
      <c r="AG131" s="205"/>
      <c r="AH131" s="207" t="s">
        <v>1643</v>
      </c>
      <c r="AI131" s="208" t="s">
        <v>69</v>
      </c>
      <c r="AJ131" s="208" t="s">
        <v>142</v>
      </c>
      <c r="AK131" s="209" t="s">
        <v>1657</v>
      </c>
      <c r="AL131" s="209"/>
      <c r="AM131" s="209">
        <v>44849</v>
      </c>
      <c r="AN131" s="209"/>
      <c r="AO131" s="199">
        <f t="shared" ca="1" si="3"/>
        <v>44958</v>
      </c>
      <c r="AP131" s="208">
        <f ca="1">IF(AM131&lt;&gt;0,AO131-AM131,0)</f>
        <v>109</v>
      </c>
      <c r="AQ131" s="208" t="str">
        <f>IF(ISNUMBER(AB131)=TRUE,AO131-AB131,IF(AB131="","",(AO131)-(MID(RIGHT(AB131,10),4,2)&amp;"/"&amp;LEFT((RIGHT(AB131,10)),2)&amp;"/"&amp;RIGHT(AB131,4))))</f>
        <v/>
      </c>
      <c r="AR131" s="209"/>
      <c r="AS131" s="209" t="s">
        <v>4244</v>
      </c>
      <c r="AT131" s="210">
        <v>10.664999999999999</v>
      </c>
      <c r="AU131" s="210">
        <v>10.675000000000001</v>
      </c>
      <c r="AV131" s="210">
        <v>10.7</v>
      </c>
      <c r="AW131" s="210">
        <v>10.705</v>
      </c>
      <c r="AX131" s="200" t="str">
        <f>IF(ISNUMBER(Y131)=TRUE,AO131-Y131,IF(Y131="","",(AO131)-(MID(RIGHT(Y131,10),4,2)&amp;"/"&amp;LEFT((RIGHT(Y131,10)),2)&amp;"/"&amp;RIGHT(Y131,4))))</f>
        <v/>
      </c>
      <c r="AY131" s="200">
        <v>456</v>
      </c>
      <c r="BA131" s="200" t="s">
        <v>123</v>
      </c>
      <c r="BN131" s="211"/>
    </row>
    <row r="132" spans="1:66" s="200" customFormat="1" ht="18" customHeight="1" x14ac:dyDescent="0.25">
      <c r="A132" s="431"/>
      <c r="B132" s="363"/>
      <c r="C132" s="416"/>
      <c r="D132" s="361"/>
      <c r="E132" s="361"/>
      <c r="F132" s="361"/>
      <c r="G132" s="361"/>
      <c r="H132" s="361"/>
      <c r="I132" s="336"/>
      <c r="J132" s="417"/>
      <c r="K132" s="417"/>
      <c r="L132" s="417"/>
      <c r="M132" s="417"/>
      <c r="N132" s="363"/>
      <c r="O132" s="418">
        <f>SUM(O131)</f>
        <v>5.51</v>
      </c>
      <c r="P132" s="419"/>
      <c r="Q132" s="390"/>
      <c r="R132" s="435"/>
      <c r="S132" s="422"/>
      <c r="T132" s="423"/>
      <c r="U132" s="423"/>
      <c r="V132" s="423"/>
      <c r="W132" s="390"/>
      <c r="X132" s="424"/>
      <c r="Y132" s="424"/>
      <c r="Z132" s="424"/>
      <c r="AA132" s="424"/>
      <c r="AB132" s="424"/>
      <c r="AC132" s="424"/>
      <c r="AD132" s="424"/>
      <c r="AE132" s="424"/>
      <c r="AF132" s="424"/>
      <c r="AG132" s="424"/>
      <c r="AH132" s="425"/>
      <c r="AK132" s="426"/>
      <c r="AL132" s="426"/>
      <c r="AM132" s="426"/>
      <c r="AN132" s="426"/>
      <c r="AO132" s="416"/>
      <c r="AR132" s="426"/>
      <c r="AS132" s="426"/>
      <c r="AT132" s="427"/>
      <c r="AU132" s="427"/>
      <c r="AV132" s="427"/>
      <c r="AW132" s="427"/>
      <c r="BN132" s="436"/>
    </row>
    <row r="133" spans="1:66" s="200" customFormat="1" ht="18" customHeight="1" x14ac:dyDescent="0.25">
      <c r="A133" s="431"/>
      <c r="B133" s="363"/>
      <c r="C133" s="416"/>
      <c r="D133" s="361"/>
      <c r="E133" s="361"/>
      <c r="F133" s="361"/>
      <c r="G133" s="361"/>
      <c r="H133" s="361"/>
      <c r="I133" s="336"/>
      <c r="J133" s="417"/>
      <c r="K133" s="417"/>
      <c r="L133" s="417"/>
      <c r="M133" s="417"/>
      <c r="N133" s="363"/>
      <c r="O133" s="418"/>
      <c r="P133" s="419"/>
      <c r="Q133" s="390"/>
      <c r="R133" s="435"/>
      <c r="S133" s="422"/>
      <c r="T133" s="423"/>
      <c r="U133" s="423"/>
      <c r="V133" s="423"/>
      <c r="W133" s="390"/>
      <c r="X133" s="424"/>
      <c r="Y133" s="424"/>
      <c r="Z133" s="424"/>
      <c r="AA133" s="424"/>
      <c r="AB133" s="424"/>
      <c r="AC133" s="424"/>
      <c r="AD133" s="424"/>
      <c r="AE133" s="424"/>
      <c r="AF133" s="424"/>
      <c r="AG133" s="424"/>
      <c r="AH133" s="425"/>
      <c r="AK133" s="426"/>
      <c r="AL133" s="426"/>
      <c r="AM133" s="426"/>
      <c r="AN133" s="426"/>
      <c r="AO133" s="416"/>
      <c r="AR133" s="426"/>
      <c r="AS133" s="426"/>
      <c r="AT133" s="427"/>
      <c r="AU133" s="427"/>
      <c r="AV133" s="427"/>
      <c r="AW133" s="427"/>
      <c r="BN133" s="436"/>
    </row>
    <row r="134" spans="1:66" s="200" customFormat="1" ht="18" customHeight="1" x14ac:dyDescent="0.25">
      <c r="A134" s="431"/>
      <c r="B134" s="363"/>
      <c r="C134" s="416"/>
      <c r="D134" s="361"/>
      <c r="E134" s="361"/>
      <c r="F134" s="361"/>
      <c r="G134" s="361"/>
      <c r="H134" s="361"/>
      <c r="I134" s="336"/>
      <c r="J134" s="417"/>
      <c r="K134" s="417"/>
      <c r="L134" s="417"/>
      <c r="M134" s="417"/>
      <c r="N134" s="363"/>
      <c r="O134" s="418"/>
      <c r="P134" s="419"/>
      <c r="Q134" s="390"/>
      <c r="R134" s="435"/>
      <c r="S134" s="422"/>
      <c r="T134" s="423"/>
      <c r="U134" s="423"/>
      <c r="V134" s="423"/>
      <c r="W134" s="390"/>
      <c r="X134" s="424"/>
      <c r="Y134" s="424"/>
      <c r="Z134" s="424"/>
      <c r="AA134" s="424"/>
      <c r="AB134" s="424"/>
      <c r="AC134" s="424"/>
      <c r="AD134" s="424"/>
      <c r="AE134" s="424"/>
      <c r="AF134" s="424"/>
      <c r="AG134" s="424"/>
      <c r="AH134" s="425"/>
      <c r="AK134" s="426"/>
      <c r="AL134" s="426"/>
      <c r="AM134" s="426"/>
      <c r="AN134" s="426"/>
      <c r="AO134" s="416"/>
      <c r="AR134" s="426"/>
      <c r="AS134" s="426"/>
      <c r="AT134" s="427"/>
      <c r="AU134" s="427"/>
      <c r="AV134" s="427"/>
      <c r="AW134" s="427"/>
      <c r="BN134" s="436"/>
    </row>
    <row r="135" spans="1:66" s="200" customFormat="1" ht="18.75" customHeight="1" x14ac:dyDescent="0.25">
      <c r="A135" s="431"/>
      <c r="B135" s="363"/>
      <c r="C135" s="416"/>
      <c r="D135" s="361"/>
      <c r="E135" s="361"/>
      <c r="F135" s="361"/>
      <c r="G135" s="361"/>
      <c r="H135" s="361"/>
      <c r="I135" s="336"/>
      <c r="J135" s="417"/>
      <c r="K135" s="417"/>
      <c r="L135" s="417"/>
      <c r="M135" s="417"/>
      <c r="N135" s="363"/>
      <c r="O135" s="418"/>
      <c r="P135" s="419"/>
      <c r="Q135" s="390"/>
      <c r="R135" s="435"/>
      <c r="S135" s="422"/>
      <c r="T135" s="423"/>
      <c r="U135" s="423"/>
      <c r="V135" s="423"/>
      <c r="W135" s="390"/>
      <c r="X135" s="424"/>
      <c r="Y135" s="424"/>
      <c r="Z135" s="424"/>
      <c r="AA135" s="424"/>
      <c r="AB135" s="424"/>
      <c r="AC135" s="424"/>
      <c r="AD135" s="424"/>
      <c r="AE135" s="424"/>
      <c r="AF135" s="424"/>
      <c r="AG135" s="424"/>
      <c r="AH135" s="425"/>
      <c r="AK135" s="426"/>
      <c r="AL135" s="426"/>
      <c r="AM135" s="426"/>
      <c r="AN135" s="426"/>
      <c r="AO135" s="416"/>
      <c r="AR135" s="426"/>
      <c r="AS135" s="426"/>
      <c r="AT135" s="427"/>
      <c r="AU135" s="427"/>
      <c r="AV135" s="427"/>
      <c r="AW135" s="427"/>
      <c r="BN135" s="436"/>
    </row>
    <row r="136" spans="1:66" s="406" customFormat="1" ht="19.5" customHeight="1" x14ac:dyDescent="0.25">
      <c r="A136" s="405" t="s">
        <v>5645</v>
      </c>
      <c r="B136" s="405"/>
      <c r="J136" s="407"/>
      <c r="K136" s="408"/>
      <c r="L136" s="408"/>
      <c r="M136" s="408"/>
      <c r="N136" s="409"/>
      <c r="O136" s="410"/>
      <c r="P136" s="410"/>
      <c r="Q136" s="410"/>
      <c r="R136" s="407"/>
      <c r="S136" s="410"/>
      <c r="T136" s="408"/>
      <c r="U136" s="407"/>
      <c r="V136" s="407"/>
      <c r="W136" s="407"/>
      <c r="X136" s="407"/>
      <c r="Y136" s="407"/>
      <c r="Z136" s="407"/>
      <c r="AA136" s="407"/>
      <c r="AB136" s="407"/>
      <c r="AC136" s="407"/>
      <c r="AD136" s="407"/>
      <c r="AE136" s="407"/>
      <c r="AF136" s="407"/>
      <c r="AG136" s="407"/>
      <c r="AH136" s="407"/>
      <c r="AI136" s="407"/>
      <c r="AT136" s="411"/>
      <c r="AU136" s="411"/>
      <c r="AV136" s="411"/>
      <c r="AW136" s="407"/>
      <c r="AX136" s="407"/>
    </row>
    <row r="137" spans="1:66" s="200" customFormat="1" ht="19.5" customHeight="1" x14ac:dyDescent="0.25">
      <c r="A137" s="199">
        <v>43193</v>
      </c>
      <c r="B137" s="204">
        <f ca="1">IF(A137="",(IF(ISNUMBER(SUBSTITUTE(LEFT(RIGHT(E137,LEN(E137)-MIN(SEARCH({1,2,3,4,5,6,7,8,9,0},E137&amp;"1234567890"))+1),10),".","/"))=TRUE,AO137-(SUBSTITUTE(LEFT(RIGHT(E137,LEN(E137)-MIN(SEARCH({1,2,3,4,5,6,7,8,9,0},E137&amp;"1234567890"))+1),10),".","/")),IF((SUBSTITUTE(LEFT(RIGHT(E137,LEN(E137)-MIN(SEARCH({1,2,3,4,5,6,7,8,9,0},E137&amp;"1234567890"))+1),10),".","/"))="","",(AO137)-(MID(RIGHT((SUBSTITUTE(LEFT(RIGHT(E137,LEN(E137)-MIN(SEARCH({1,2,3,4,5,6,7,8,9,0},E137&amp;"1234567890"))+1),10),".","/")),10),4,2)&amp;"/"&amp;LEFT((RIGHT((SUBSTITUTE(LEFT(RIGHT(E137,LEN(E137)-MIN(SEARCH({1,2,3,4,5,6,7,8,9,0},E137&amp;"1234567890"))+1),10),".","/")),10)),2)&amp;"/"&amp;RIGHT((SUBSTITUTE(LEFT(RIGHT(E137,LEN(E137)-MIN(SEARCH({1,2,3,4,5,6,7,8,9,0},E137&amp;"1234567890"))+1),10),".","/")),4))))),(AO137-A137))</f>
        <v>1765</v>
      </c>
      <c r="C137" s="201"/>
      <c r="D137" s="201" t="str">
        <f t="shared" ref="D137:D144" si="23">IF(Q137="MULTI","FGM","FGC")&amp;"-"&amp;H137&amp;"/"&amp;I137&amp;"-"&amp;TEXT(K137,"0.00")&amp;"X"&amp;IF(Q137="MULTI",N137,Q137)</f>
        <v>FGC-430/1D-4.00X90</v>
      </c>
      <c r="E137" s="173" t="s">
        <v>5646</v>
      </c>
      <c r="F137" s="201" t="s">
        <v>5647</v>
      </c>
      <c r="G137" s="201" t="s">
        <v>5648</v>
      </c>
      <c r="H137" s="201">
        <v>430</v>
      </c>
      <c r="I137" s="202" t="s">
        <v>69</v>
      </c>
      <c r="J137" s="203">
        <v>4</v>
      </c>
      <c r="K137" s="203">
        <v>4</v>
      </c>
      <c r="L137" s="203"/>
      <c r="M137" s="203"/>
      <c r="N137" s="204">
        <v>90</v>
      </c>
      <c r="O137" s="381">
        <v>1.165</v>
      </c>
      <c r="P137" s="432"/>
      <c r="Q137" s="204">
        <v>90</v>
      </c>
      <c r="R137" s="185"/>
      <c r="S137" s="413"/>
      <c r="T137" s="371"/>
      <c r="U137" s="178" t="s">
        <v>5649</v>
      </c>
      <c r="V137" s="178" t="s">
        <v>5650</v>
      </c>
      <c r="W137" s="206"/>
      <c r="X137" s="205"/>
      <c r="Y137" s="205"/>
      <c r="Z137" s="205"/>
      <c r="AA137" s="205"/>
      <c r="AB137" s="205"/>
      <c r="AC137" s="205"/>
      <c r="AD137" s="205">
        <v>43192</v>
      </c>
      <c r="AE137" s="205"/>
      <c r="AF137" s="205"/>
      <c r="AG137" s="205"/>
      <c r="AH137" s="207"/>
      <c r="AI137" s="208" t="s">
        <v>69</v>
      </c>
      <c r="AJ137" s="208" t="s">
        <v>5651</v>
      </c>
      <c r="AK137" s="209" t="s">
        <v>5652</v>
      </c>
      <c r="AL137" s="209">
        <v>42697</v>
      </c>
      <c r="AM137" s="209">
        <v>42740</v>
      </c>
      <c r="AN137" s="209"/>
      <c r="AO137" s="199">
        <f ca="1">TODAY()</f>
        <v>44958</v>
      </c>
      <c r="AP137" s="208">
        <f ca="1">IF(AM137&lt;&gt;0,AO137-AM137,0)</f>
        <v>2218</v>
      </c>
      <c r="AQ137" s="208"/>
      <c r="AR137" s="209" t="s">
        <v>5653</v>
      </c>
      <c r="AS137" s="209" t="s">
        <v>5654</v>
      </c>
      <c r="AT137" s="210">
        <v>9.92</v>
      </c>
      <c r="AU137" s="210"/>
      <c r="AV137" s="210"/>
      <c r="AW137" s="210">
        <v>10</v>
      </c>
      <c r="BH137" s="200">
        <v>0</v>
      </c>
      <c r="BJ137" s="200" t="s">
        <v>124</v>
      </c>
      <c r="BM137" s="200" t="s">
        <v>5655</v>
      </c>
      <c r="BN137" s="211" t="s">
        <v>5656</v>
      </c>
    </row>
    <row r="138" spans="1:66" s="200" customFormat="1" ht="19.5" customHeight="1" x14ac:dyDescent="0.25">
      <c r="A138" s="199">
        <v>43193</v>
      </c>
      <c r="B138" s="204">
        <f ca="1">IF(A138="",(IF(ISNUMBER(SUBSTITUTE(LEFT(RIGHT(E138,LEN(E138)-MIN(SEARCH({1,2,3,4,5,6,7,8,9,0},E138&amp;"1234567890"))+1),10),".","/"))=TRUE,AO138-(SUBSTITUTE(LEFT(RIGHT(E138,LEN(E138)-MIN(SEARCH({1,2,3,4,5,6,7,8,9,0},E138&amp;"1234567890"))+1),10),".","/")),IF((SUBSTITUTE(LEFT(RIGHT(E138,LEN(E138)-MIN(SEARCH({1,2,3,4,5,6,7,8,9,0},E138&amp;"1234567890"))+1),10),".","/"))="","",(AO138)-(MID(RIGHT((SUBSTITUTE(LEFT(RIGHT(E138,LEN(E138)-MIN(SEARCH({1,2,3,4,5,6,7,8,9,0},E138&amp;"1234567890"))+1),10),".","/")),10),4,2)&amp;"/"&amp;LEFT((RIGHT((SUBSTITUTE(LEFT(RIGHT(E138,LEN(E138)-MIN(SEARCH({1,2,3,4,5,6,7,8,9,0},E138&amp;"1234567890"))+1),10),".","/")),10)),2)&amp;"/"&amp;RIGHT((SUBSTITUTE(LEFT(RIGHT(E138,LEN(E138)-MIN(SEARCH({1,2,3,4,5,6,7,8,9,0},E138&amp;"1234567890"))+1),10),".","/")),4))))),(AO138-A138))</f>
        <v>1765</v>
      </c>
      <c r="C138" s="201"/>
      <c r="D138" s="201" t="str">
        <f t="shared" si="23"/>
        <v>FGC-430/1D-4.00X90</v>
      </c>
      <c r="E138" s="173" t="s">
        <v>5646</v>
      </c>
      <c r="F138" s="201" t="s">
        <v>5657</v>
      </c>
      <c r="G138" s="201" t="s">
        <v>5658</v>
      </c>
      <c r="H138" s="201">
        <v>430</v>
      </c>
      <c r="I138" s="202" t="s">
        <v>69</v>
      </c>
      <c r="J138" s="203">
        <v>4</v>
      </c>
      <c r="K138" s="203">
        <v>4</v>
      </c>
      <c r="L138" s="203"/>
      <c r="M138" s="203"/>
      <c r="N138" s="204">
        <v>90</v>
      </c>
      <c r="O138" s="381">
        <v>1.07</v>
      </c>
      <c r="P138" s="437"/>
      <c r="Q138" s="204">
        <v>90</v>
      </c>
      <c r="R138" s="185"/>
      <c r="S138" s="413"/>
      <c r="T138" s="371"/>
      <c r="U138" s="178" t="s">
        <v>5649</v>
      </c>
      <c r="V138" s="178" t="s">
        <v>5650</v>
      </c>
      <c r="W138" s="206"/>
      <c r="X138" s="205"/>
      <c r="Y138" s="205"/>
      <c r="Z138" s="205"/>
      <c r="AA138" s="205"/>
      <c r="AB138" s="205"/>
      <c r="AC138" s="205"/>
      <c r="AD138" s="205">
        <v>43192</v>
      </c>
      <c r="AE138" s="205"/>
      <c r="AF138" s="205"/>
      <c r="AG138" s="205"/>
      <c r="AH138" s="207"/>
      <c r="AI138" s="208" t="s">
        <v>69</v>
      </c>
      <c r="AJ138" s="208" t="s">
        <v>5651</v>
      </c>
      <c r="AK138" s="209" t="s">
        <v>5652</v>
      </c>
      <c r="AL138" s="209">
        <v>42697</v>
      </c>
      <c r="AM138" s="209">
        <v>42740</v>
      </c>
      <c r="AN138" s="209"/>
      <c r="AO138" s="199">
        <f ca="1">TODAY()</f>
        <v>44958</v>
      </c>
      <c r="AP138" s="208">
        <f ca="1">IF(AM138&lt;&gt;0,AO138-AM138,0)</f>
        <v>2218</v>
      </c>
      <c r="AQ138" s="208"/>
      <c r="AR138" s="209" t="s">
        <v>5659</v>
      </c>
      <c r="AS138" s="209" t="s">
        <v>5654</v>
      </c>
      <c r="AT138" s="210">
        <v>9.8000000000000007</v>
      </c>
      <c r="AU138" s="210"/>
      <c r="AV138" s="210"/>
      <c r="AW138" s="210">
        <v>9.8849999999999998</v>
      </c>
      <c r="BH138" s="200">
        <v>0</v>
      </c>
      <c r="BJ138" s="200" t="s">
        <v>124</v>
      </c>
      <c r="BM138" s="200" t="s">
        <v>5655</v>
      </c>
      <c r="BN138" s="211" t="s">
        <v>5656</v>
      </c>
    </row>
    <row r="139" spans="1:66" s="200" customFormat="1" ht="19.5" customHeight="1" x14ac:dyDescent="0.25">
      <c r="A139" s="199">
        <v>43193</v>
      </c>
      <c r="B139" s="204">
        <f ca="1">IF(A139="",(IF(ISNUMBER(SUBSTITUTE(LEFT(RIGHT(E139,LEN(E139)-MIN(SEARCH({1,2,3,4,5,6,7,8,9,0},E139&amp;"1234567890"))+1),10),".","/"))=TRUE,AO139-(SUBSTITUTE(LEFT(RIGHT(E139,LEN(E139)-MIN(SEARCH({1,2,3,4,5,6,7,8,9,0},E139&amp;"1234567890"))+1),10),".","/")),IF((SUBSTITUTE(LEFT(RIGHT(E139,LEN(E139)-MIN(SEARCH({1,2,3,4,5,6,7,8,9,0},E139&amp;"1234567890"))+1),10),".","/"))="","",(AO139)-(MID(RIGHT((SUBSTITUTE(LEFT(RIGHT(E139,LEN(E139)-MIN(SEARCH({1,2,3,4,5,6,7,8,9,0},E139&amp;"1234567890"))+1),10),".","/")),10),4,2)&amp;"/"&amp;LEFT((RIGHT((SUBSTITUTE(LEFT(RIGHT(E139,LEN(E139)-MIN(SEARCH({1,2,3,4,5,6,7,8,9,0},E139&amp;"1234567890"))+1),10),".","/")),10)),2)&amp;"/"&amp;RIGHT((SUBSTITUTE(LEFT(RIGHT(E139,LEN(E139)-MIN(SEARCH({1,2,3,4,5,6,7,8,9,0},E139&amp;"1234567890"))+1),10),".","/")),4))))),(AO139-A139))</f>
        <v>1765</v>
      </c>
      <c r="C139" s="201"/>
      <c r="D139" s="201" t="str">
        <f t="shared" si="23"/>
        <v>FGC-430/1D-4.00X90</v>
      </c>
      <c r="E139" s="173" t="s">
        <v>5646</v>
      </c>
      <c r="F139" s="201" t="s">
        <v>5660</v>
      </c>
      <c r="G139" s="201" t="s">
        <v>5661</v>
      </c>
      <c r="H139" s="201">
        <v>430</v>
      </c>
      <c r="I139" s="202" t="s">
        <v>69</v>
      </c>
      <c r="J139" s="203">
        <v>4</v>
      </c>
      <c r="K139" s="203">
        <v>4</v>
      </c>
      <c r="L139" s="203"/>
      <c r="M139" s="203"/>
      <c r="N139" s="204">
        <v>90</v>
      </c>
      <c r="O139" s="381">
        <v>1.1080000000000001</v>
      </c>
      <c r="P139" s="437"/>
      <c r="Q139" s="204">
        <v>90</v>
      </c>
      <c r="R139" s="185"/>
      <c r="S139" s="413"/>
      <c r="T139" s="371"/>
      <c r="U139" s="178" t="s">
        <v>5649</v>
      </c>
      <c r="V139" s="178" t="s">
        <v>5650</v>
      </c>
      <c r="W139" s="206"/>
      <c r="X139" s="205"/>
      <c r="Y139" s="205"/>
      <c r="Z139" s="205"/>
      <c r="AA139" s="205"/>
      <c r="AB139" s="205"/>
      <c r="AC139" s="205"/>
      <c r="AD139" s="205">
        <v>43192</v>
      </c>
      <c r="AE139" s="205"/>
      <c r="AF139" s="205"/>
      <c r="AG139" s="205"/>
      <c r="AH139" s="207"/>
      <c r="AI139" s="208" t="s">
        <v>69</v>
      </c>
      <c r="AJ139" s="208" t="s">
        <v>5651</v>
      </c>
      <c r="AK139" s="209" t="s">
        <v>5652</v>
      </c>
      <c r="AL139" s="209">
        <v>42697</v>
      </c>
      <c r="AM139" s="209">
        <v>42740</v>
      </c>
      <c r="AN139" s="209"/>
      <c r="AO139" s="199">
        <f ca="1">TODAY()</f>
        <v>44958</v>
      </c>
      <c r="AP139" s="208">
        <f ca="1">IF(AM139&lt;&gt;0,AO139-AM139,0)</f>
        <v>2218</v>
      </c>
      <c r="AQ139" s="208"/>
      <c r="AR139" s="209" t="s">
        <v>5659</v>
      </c>
      <c r="AS139" s="209" t="s">
        <v>5654</v>
      </c>
      <c r="AT139" s="210">
        <v>9.81</v>
      </c>
      <c r="AU139" s="210"/>
      <c r="AV139" s="210"/>
      <c r="AW139" s="210">
        <v>9.8930000000000007</v>
      </c>
      <c r="BH139" s="200">
        <v>0</v>
      </c>
      <c r="BJ139" s="200" t="s">
        <v>124</v>
      </c>
      <c r="BM139" s="200" t="s">
        <v>5655</v>
      </c>
      <c r="BN139" s="211" t="s">
        <v>5656</v>
      </c>
    </row>
    <row r="140" spans="1:66" s="200" customFormat="1" ht="19.5" customHeight="1" x14ac:dyDescent="0.25">
      <c r="A140" s="199">
        <v>43193</v>
      </c>
      <c r="B140" s="204">
        <f ca="1">IF(A140="",(IF(ISNUMBER(SUBSTITUTE(LEFT(RIGHT(E140,LEN(E140)-MIN(SEARCH({1,2,3,4,5,6,7,8,9,0},E140&amp;"1234567890"))+1),10),".","/"))=TRUE,AO140-(SUBSTITUTE(LEFT(RIGHT(E140,LEN(E140)-MIN(SEARCH({1,2,3,4,5,6,7,8,9,0},E140&amp;"1234567890"))+1),10),".","/")),IF((SUBSTITUTE(LEFT(RIGHT(E140,LEN(E140)-MIN(SEARCH({1,2,3,4,5,6,7,8,9,0},E140&amp;"1234567890"))+1),10),".","/"))="","",(AO140)-(MID(RIGHT((SUBSTITUTE(LEFT(RIGHT(E140,LEN(E140)-MIN(SEARCH({1,2,3,4,5,6,7,8,9,0},E140&amp;"1234567890"))+1),10),".","/")),10),4,2)&amp;"/"&amp;LEFT((RIGHT((SUBSTITUTE(LEFT(RIGHT(E140,LEN(E140)-MIN(SEARCH({1,2,3,4,5,6,7,8,9,0},E140&amp;"1234567890"))+1),10),".","/")),10)),2)&amp;"/"&amp;RIGHT((SUBSTITUTE(LEFT(RIGHT(E140,LEN(E140)-MIN(SEARCH({1,2,3,4,5,6,7,8,9,0},E140&amp;"1234567890"))+1),10),".","/")),4))))),(AO140-A140))</f>
        <v>1765</v>
      </c>
      <c r="C140" s="201"/>
      <c r="D140" s="201" t="str">
        <f t="shared" si="23"/>
        <v>FGC-430/1D-4.00X90</v>
      </c>
      <c r="E140" s="173" t="s">
        <v>5646</v>
      </c>
      <c r="F140" s="201" t="s">
        <v>5662</v>
      </c>
      <c r="G140" s="201" t="s">
        <v>5663</v>
      </c>
      <c r="H140" s="201">
        <v>430</v>
      </c>
      <c r="I140" s="202" t="s">
        <v>69</v>
      </c>
      <c r="J140" s="203">
        <v>4</v>
      </c>
      <c r="K140" s="203">
        <v>4</v>
      </c>
      <c r="L140" s="203"/>
      <c r="M140" s="203"/>
      <c r="N140" s="204">
        <v>90</v>
      </c>
      <c r="O140" s="381">
        <v>1.085</v>
      </c>
      <c r="P140" s="437"/>
      <c r="Q140" s="204">
        <v>90</v>
      </c>
      <c r="R140" s="185"/>
      <c r="S140" s="413"/>
      <c r="T140" s="371"/>
      <c r="U140" s="178" t="s">
        <v>5649</v>
      </c>
      <c r="V140" s="178" t="s">
        <v>5650</v>
      </c>
      <c r="W140" s="206"/>
      <c r="X140" s="205"/>
      <c r="Y140" s="205"/>
      <c r="Z140" s="205"/>
      <c r="AA140" s="205"/>
      <c r="AB140" s="205"/>
      <c r="AC140" s="205"/>
      <c r="AD140" s="205">
        <v>43192</v>
      </c>
      <c r="AE140" s="205"/>
      <c r="AF140" s="205"/>
      <c r="AG140" s="205"/>
      <c r="AH140" s="207"/>
      <c r="AI140" s="208" t="s">
        <v>69</v>
      </c>
      <c r="AJ140" s="208" t="s">
        <v>5651</v>
      </c>
      <c r="AK140" s="209" t="s">
        <v>5652</v>
      </c>
      <c r="AL140" s="209">
        <v>42697</v>
      </c>
      <c r="AM140" s="209">
        <v>42740</v>
      </c>
      <c r="AN140" s="209"/>
      <c r="AO140" s="199">
        <f ca="1">TODAY()</f>
        <v>44958</v>
      </c>
      <c r="AP140" s="208">
        <f ca="1">IF(AM140&lt;&gt;0,AO140-AM140,0)</f>
        <v>2218</v>
      </c>
      <c r="AQ140" s="208"/>
      <c r="AR140" s="209" t="s">
        <v>5664</v>
      </c>
      <c r="AS140" s="209" t="s">
        <v>5654</v>
      </c>
      <c r="AT140" s="210">
        <v>9.86</v>
      </c>
      <c r="AU140" s="210"/>
      <c r="AV140" s="210"/>
      <c r="AW140" s="210">
        <v>9.9309999999999992</v>
      </c>
      <c r="BH140" s="200">
        <v>0</v>
      </c>
      <c r="BJ140" s="200" t="s">
        <v>124</v>
      </c>
      <c r="BM140" s="200" t="s">
        <v>5655</v>
      </c>
      <c r="BN140" s="211" t="s">
        <v>5656</v>
      </c>
    </row>
    <row r="141" spans="1:66" s="361" customFormat="1" ht="16.5" customHeight="1" x14ac:dyDescent="0.25">
      <c r="A141" s="199">
        <v>43193</v>
      </c>
      <c r="B141" s="204">
        <f>IF(A141="",(IF(ISNUMBER(SUBSTITUTE(LEFT(RIGHT(E141,LEN(E141)-MIN(SEARCH({1,2,3,4,5,6,7,8,9,0},E141&amp;"1234567890"))+1),10),".","/"))=TRUE,AO141-(SUBSTITUTE(LEFT(RIGHT(E141,LEN(E141)-MIN(SEARCH({1,2,3,4,5,6,7,8,9,0},E141&amp;"1234567890"))+1),10),".","/")),IF((SUBSTITUTE(LEFT(RIGHT(E141,LEN(E141)-MIN(SEARCH({1,2,3,4,5,6,7,8,9,0},E141&amp;"1234567890"))+1),10),".","/"))="","",(AO141)-(MID(RIGHT((SUBSTITUTE(LEFT(RIGHT(E141,LEN(E141)-MIN(SEARCH({1,2,3,4,5,6,7,8,9,0},E141&amp;"1234567890"))+1),10),".","/")),10),4,2)&amp;"/"&amp;LEFT((RIGHT((SUBSTITUTE(LEFT(RIGHT(E141,LEN(E141)-MIN(SEARCH({1,2,3,4,5,6,7,8,9,0},E141&amp;"1234567890"))+1),10),".","/")),10)),2)&amp;"/"&amp;RIGHT((SUBSTITUTE(LEFT(RIGHT(E141,LEN(E141)-MIN(SEARCH({1,2,3,4,5,6,7,8,9,0},E141&amp;"1234567890"))+1),10),".","/")),4))))),(AO141-A141))</f>
        <v>98</v>
      </c>
      <c r="C141" s="201"/>
      <c r="D141" s="201" t="str">
        <f t="shared" si="23"/>
        <v>FGC-430/1D-4.00X90</v>
      </c>
      <c r="E141" s="173" t="s">
        <v>5646</v>
      </c>
      <c r="F141" s="201" t="s">
        <v>5665</v>
      </c>
      <c r="G141" s="201" t="s">
        <v>5666</v>
      </c>
      <c r="H141" s="201">
        <v>430</v>
      </c>
      <c r="I141" s="202" t="s">
        <v>69</v>
      </c>
      <c r="J141" s="203">
        <v>4</v>
      </c>
      <c r="K141" s="203">
        <v>4</v>
      </c>
      <c r="L141" s="203"/>
      <c r="M141" s="203"/>
      <c r="N141" s="204">
        <v>90</v>
      </c>
      <c r="O141" s="381">
        <v>1.077</v>
      </c>
      <c r="P141" s="433"/>
      <c r="Q141" s="204">
        <v>90</v>
      </c>
      <c r="R141" s="185"/>
      <c r="S141" s="413"/>
      <c r="T141" s="371"/>
      <c r="U141" s="178" t="s">
        <v>5649</v>
      </c>
      <c r="V141" s="178" t="s">
        <v>5650</v>
      </c>
      <c r="W141" s="206"/>
      <c r="X141" s="205"/>
      <c r="Y141" s="205"/>
      <c r="Z141" s="205"/>
      <c r="AA141" s="205"/>
      <c r="AB141" s="205"/>
      <c r="AC141" s="205"/>
      <c r="AD141" s="205">
        <v>43192</v>
      </c>
      <c r="AE141" s="205"/>
      <c r="AF141" s="205"/>
      <c r="AG141" s="205"/>
      <c r="AH141" s="207"/>
      <c r="AI141" s="208" t="s">
        <v>69</v>
      </c>
      <c r="AJ141" s="208" t="s">
        <v>5651</v>
      </c>
      <c r="AK141" s="209" t="s">
        <v>5652</v>
      </c>
      <c r="AL141" s="209">
        <v>42697</v>
      </c>
      <c r="AM141" s="209">
        <v>42740</v>
      </c>
      <c r="AN141" s="209"/>
      <c r="AO141" s="199">
        <v>43291</v>
      </c>
      <c r="AP141" s="208">
        <v>551</v>
      </c>
      <c r="AQ141" s="208"/>
      <c r="AR141" s="209" t="s">
        <v>5667</v>
      </c>
      <c r="AS141" s="209" t="s">
        <v>5654</v>
      </c>
      <c r="AT141" s="210">
        <v>9.8699999999999992</v>
      </c>
      <c r="AU141" s="210"/>
      <c r="AV141" s="210"/>
      <c r="AW141" s="210">
        <v>9.952</v>
      </c>
      <c r="BH141" s="200">
        <v>0</v>
      </c>
      <c r="BJ141" s="200" t="s">
        <v>124</v>
      </c>
      <c r="BM141" s="200" t="s">
        <v>5655</v>
      </c>
      <c r="BN141" s="211" t="s">
        <v>5656</v>
      </c>
    </row>
    <row r="142" spans="1:66" s="200" customFormat="1" ht="19.5" customHeight="1" x14ac:dyDescent="0.25">
      <c r="A142" s="199">
        <v>43229</v>
      </c>
      <c r="B142" s="204">
        <f ca="1">IF(A142="",(IF(ISNUMBER(SUBSTITUTE(LEFT(RIGHT(E142,LEN(E142)-MIN(SEARCH({1,2,3,4,5,6,7,8,9,0},E142&amp;"1234567890"))+1),10),".","/"))=TRUE,AO142-(SUBSTITUTE(LEFT(RIGHT(E142,LEN(E142)-MIN(SEARCH({1,2,3,4,5,6,7,8,9,0},E142&amp;"1234567890"))+1),10),".","/")),IF((SUBSTITUTE(LEFT(RIGHT(E142,LEN(E142)-MIN(SEARCH({1,2,3,4,5,6,7,8,9,0},E142&amp;"1234567890"))+1),10),".","/"))="","",(AO142)-(MID(RIGHT((SUBSTITUTE(LEFT(RIGHT(E142,LEN(E142)-MIN(SEARCH({1,2,3,4,5,6,7,8,9,0},E142&amp;"1234567890"))+1),10),".","/")),10),4,2)&amp;"/"&amp;LEFT((RIGHT((SUBSTITUTE(LEFT(RIGHT(E142,LEN(E142)-MIN(SEARCH({1,2,3,4,5,6,7,8,9,0},E142&amp;"1234567890"))+1),10),".","/")),10)),2)&amp;"/"&amp;RIGHT((SUBSTITUTE(LEFT(RIGHT(E142,LEN(E142)-MIN(SEARCH({1,2,3,4,5,6,7,8,9,0},E142&amp;"1234567890"))+1),10),".","/")),4))))),(AO142-A142))</f>
        <v>1729</v>
      </c>
      <c r="C142" s="201"/>
      <c r="D142" s="201" t="str">
        <f t="shared" si="23"/>
        <v>FGC-304/2B-0.60X60</v>
      </c>
      <c r="E142" s="208" t="s">
        <v>5668</v>
      </c>
      <c r="F142" s="201" t="s">
        <v>5669</v>
      </c>
      <c r="G142" s="201" t="s">
        <v>5670</v>
      </c>
      <c r="H142" s="201">
        <v>304</v>
      </c>
      <c r="I142" s="202" t="s">
        <v>114</v>
      </c>
      <c r="J142" s="203">
        <v>1.2</v>
      </c>
      <c r="K142" s="203">
        <v>0.6</v>
      </c>
      <c r="L142" s="203">
        <v>0.56999999999999995</v>
      </c>
      <c r="M142" s="203">
        <v>0.57999999999999996</v>
      </c>
      <c r="N142" s="204">
        <v>727</v>
      </c>
      <c r="O142" s="381">
        <f>0.255</f>
        <v>0.255</v>
      </c>
      <c r="P142" s="413"/>
      <c r="Q142" s="204">
        <v>60</v>
      </c>
      <c r="R142" s="185"/>
      <c r="S142" s="413"/>
      <c r="T142" s="371"/>
      <c r="U142" s="206" t="s">
        <v>115</v>
      </c>
      <c r="V142" s="178" t="s">
        <v>5671</v>
      </c>
      <c r="W142" s="206" t="s">
        <v>114</v>
      </c>
      <c r="X142" s="205" t="s">
        <v>5672</v>
      </c>
      <c r="Y142" s="205"/>
      <c r="Z142" s="205" t="s">
        <v>5672</v>
      </c>
      <c r="AA142" s="205"/>
      <c r="AB142" s="205" t="s">
        <v>5673</v>
      </c>
      <c r="AC142" s="205"/>
      <c r="AD142" s="205">
        <v>43222</v>
      </c>
      <c r="AE142" s="205"/>
      <c r="AF142" s="205"/>
      <c r="AG142" s="205"/>
      <c r="AH142" s="207"/>
      <c r="AI142" s="208" t="s">
        <v>69</v>
      </c>
      <c r="AJ142" s="208" t="s">
        <v>5674</v>
      </c>
      <c r="AK142" s="209" t="s">
        <v>5675</v>
      </c>
      <c r="AL142" s="209">
        <v>43120</v>
      </c>
      <c r="AM142" s="209">
        <v>43145</v>
      </c>
      <c r="AN142" s="209"/>
      <c r="AO142" s="199">
        <f t="shared" ref="AO142:AO205" ca="1" si="24">TODAY()</f>
        <v>44958</v>
      </c>
      <c r="AP142" s="208">
        <f t="shared" ref="AP142:AP205" ca="1" si="25">IF(AM142&lt;&gt;0,AO142-AM142,0)</f>
        <v>1813</v>
      </c>
      <c r="AQ142" s="208"/>
      <c r="AR142" s="209" t="s">
        <v>5676</v>
      </c>
      <c r="AS142" s="209" t="s">
        <v>5669</v>
      </c>
      <c r="AT142" s="210">
        <v>9.2360000000000007</v>
      </c>
      <c r="AU142" s="210">
        <v>9.266</v>
      </c>
      <c r="AV142" s="210">
        <v>9.26</v>
      </c>
      <c r="AW142" s="210">
        <v>9.2650000000000006</v>
      </c>
      <c r="BB142" s="200" t="s">
        <v>123</v>
      </c>
      <c r="BH142" s="200" t="s">
        <v>5677</v>
      </c>
      <c r="BJ142" s="200" t="s">
        <v>124</v>
      </c>
      <c r="BM142" s="200" t="s">
        <v>5655</v>
      </c>
      <c r="BN142" s="211" t="s">
        <v>5678</v>
      </c>
    </row>
    <row r="143" spans="1:66" s="200" customFormat="1" ht="19.5" customHeight="1" x14ac:dyDescent="0.25">
      <c r="A143" s="199">
        <v>43229</v>
      </c>
      <c r="B143" s="204">
        <f ca="1">IF(A143="",(IF(ISNUMBER(SUBSTITUTE(LEFT(RIGHT(E143,LEN(E143)-MIN(SEARCH({1,2,3,4,5,6,7,8,9,0},E143&amp;"1234567890"))+1),10),".","/"))=TRUE,AO143-(SUBSTITUTE(LEFT(RIGHT(E143,LEN(E143)-MIN(SEARCH({1,2,3,4,5,6,7,8,9,0},E143&amp;"1234567890"))+1),10),".","/")),IF((SUBSTITUTE(LEFT(RIGHT(E143,LEN(E143)-MIN(SEARCH({1,2,3,4,5,6,7,8,9,0},E143&amp;"1234567890"))+1),10),".","/"))="","",(AO143)-(MID(RIGHT((SUBSTITUTE(LEFT(RIGHT(E143,LEN(E143)-MIN(SEARCH({1,2,3,4,5,6,7,8,9,0},E143&amp;"1234567890"))+1),10),".","/")),10),4,2)&amp;"/"&amp;LEFT((RIGHT((SUBSTITUTE(LEFT(RIGHT(E143,LEN(E143)-MIN(SEARCH({1,2,3,4,5,6,7,8,9,0},E143&amp;"1234567890"))+1),10),".","/")),10)),2)&amp;"/"&amp;RIGHT((SUBSTITUTE(LEFT(RIGHT(E143,LEN(E143)-MIN(SEARCH({1,2,3,4,5,6,7,8,9,0},E143&amp;"1234567890"))+1),10),".","/")),4))))),(AO143-A143))</f>
        <v>1729</v>
      </c>
      <c r="C143" s="201"/>
      <c r="D143" s="201" t="str">
        <f t="shared" si="23"/>
        <v>FGC-304/2B-0.60X60</v>
      </c>
      <c r="E143" s="208" t="s">
        <v>5668</v>
      </c>
      <c r="F143" s="201" t="s">
        <v>5669</v>
      </c>
      <c r="G143" s="201" t="s">
        <v>5679</v>
      </c>
      <c r="H143" s="201">
        <v>304</v>
      </c>
      <c r="I143" s="202" t="s">
        <v>114</v>
      </c>
      <c r="J143" s="203">
        <v>1.2</v>
      </c>
      <c r="K143" s="203">
        <v>0.6</v>
      </c>
      <c r="L143" s="203">
        <v>0.56999999999999995</v>
      </c>
      <c r="M143" s="203">
        <v>0.57999999999999996</v>
      </c>
      <c r="N143" s="204">
        <v>727</v>
      </c>
      <c r="O143" s="381">
        <v>0.245</v>
      </c>
      <c r="P143" s="413"/>
      <c r="Q143" s="204">
        <v>60</v>
      </c>
      <c r="R143" s="185"/>
      <c r="S143" s="413"/>
      <c r="T143" s="371"/>
      <c r="U143" s="206" t="s">
        <v>115</v>
      </c>
      <c r="V143" s="178" t="s">
        <v>5671</v>
      </c>
      <c r="W143" s="206" t="s">
        <v>114</v>
      </c>
      <c r="X143" s="205" t="s">
        <v>5672</v>
      </c>
      <c r="Y143" s="205"/>
      <c r="Z143" s="205" t="s">
        <v>5672</v>
      </c>
      <c r="AA143" s="205"/>
      <c r="AB143" s="205" t="s">
        <v>5673</v>
      </c>
      <c r="AC143" s="205"/>
      <c r="AD143" s="205">
        <v>43222</v>
      </c>
      <c r="AE143" s="205"/>
      <c r="AF143" s="205"/>
      <c r="AG143" s="205"/>
      <c r="AH143" s="207"/>
      <c r="AI143" s="208" t="s">
        <v>69</v>
      </c>
      <c r="AJ143" s="208" t="s">
        <v>5674</v>
      </c>
      <c r="AK143" s="209" t="s">
        <v>5675</v>
      </c>
      <c r="AL143" s="209">
        <v>43120</v>
      </c>
      <c r="AM143" s="209">
        <v>43145</v>
      </c>
      <c r="AN143" s="209"/>
      <c r="AO143" s="199">
        <f t="shared" ca="1" si="24"/>
        <v>44958</v>
      </c>
      <c r="AP143" s="208">
        <f t="shared" ca="1" si="25"/>
        <v>1813</v>
      </c>
      <c r="AQ143" s="208"/>
      <c r="AR143" s="209" t="s">
        <v>5676</v>
      </c>
      <c r="AS143" s="209" t="s">
        <v>5669</v>
      </c>
      <c r="AT143" s="210">
        <v>9.2360000000000007</v>
      </c>
      <c r="AU143" s="210">
        <v>9.266</v>
      </c>
      <c r="AV143" s="210">
        <v>9.26</v>
      </c>
      <c r="AW143" s="210">
        <v>9.2650000000000006</v>
      </c>
      <c r="BB143" s="200" t="s">
        <v>123</v>
      </c>
      <c r="BH143" s="200" t="s">
        <v>5677</v>
      </c>
      <c r="BJ143" s="200" t="s">
        <v>124</v>
      </c>
      <c r="BM143" s="200" t="s">
        <v>5655</v>
      </c>
      <c r="BN143" s="211" t="s">
        <v>5678</v>
      </c>
    </row>
    <row r="144" spans="1:66" s="200" customFormat="1" ht="19.5" customHeight="1" x14ac:dyDescent="0.25">
      <c r="A144" s="199">
        <v>43229</v>
      </c>
      <c r="B144" s="204">
        <f ca="1">IF(A144="",(IF(ISNUMBER(SUBSTITUTE(LEFT(RIGHT(E144,LEN(E144)-MIN(SEARCH({1,2,3,4,5,6,7,8,9,0},E144&amp;"1234567890"))+1),10),".","/"))=TRUE,AO144-(SUBSTITUTE(LEFT(RIGHT(E144,LEN(E144)-MIN(SEARCH({1,2,3,4,5,6,7,8,9,0},E144&amp;"1234567890"))+1),10),".","/")),IF((SUBSTITUTE(LEFT(RIGHT(E144,LEN(E144)-MIN(SEARCH({1,2,3,4,5,6,7,8,9,0},E144&amp;"1234567890"))+1),10),".","/"))="","",(AO144)-(MID(RIGHT((SUBSTITUTE(LEFT(RIGHT(E144,LEN(E144)-MIN(SEARCH({1,2,3,4,5,6,7,8,9,0},E144&amp;"1234567890"))+1),10),".","/")),10),4,2)&amp;"/"&amp;LEFT((RIGHT((SUBSTITUTE(LEFT(RIGHT(E144,LEN(E144)-MIN(SEARCH({1,2,3,4,5,6,7,8,9,0},E144&amp;"1234567890"))+1),10),".","/")),10)),2)&amp;"/"&amp;RIGHT((SUBSTITUTE(LEFT(RIGHT(E144,LEN(E144)-MIN(SEARCH({1,2,3,4,5,6,7,8,9,0},E144&amp;"1234567890"))+1),10),".","/")),4))))),(AO144-A144))</f>
        <v>1729</v>
      </c>
      <c r="C144" s="201"/>
      <c r="D144" s="201" t="str">
        <f t="shared" si="23"/>
        <v>FGC-304/2B-0.60X60</v>
      </c>
      <c r="E144" s="208" t="s">
        <v>5668</v>
      </c>
      <c r="F144" s="201" t="s">
        <v>5669</v>
      </c>
      <c r="G144" s="201" t="s">
        <v>5680</v>
      </c>
      <c r="H144" s="201">
        <v>304</v>
      </c>
      <c r="I144" s="202" t="s">
        <v>114</v>
      </c>
      <c r="J144" s="203">
        <v>1.2</v>
      </c>
      <c r="K144" s="203">
        <v>0.6</v>
      </c>
      <c r="L144" s="203">
        <v>0.56999999999999995</v>
      </c>
      <c r="M144" s="203">
        <v>0.57999999999999996</v>
      </c>
      <c r="N144" s="204">
        <v>727</v>
      </c>
      <c r="O144" s="381">
        <v>0.26</v>
      </c>
      <c r="P144" s="438"/>
      <c r="Q144" s="204">
        <v>60</v>
      </c>
      <c r="R144" s="185"/>
      <c r="S144" s="413"/>
      <c r="T144" s="371"/>
      <c r="U144" s="206" t="s">
        <v>115</v>
      </c>
      <c r="V144" s="178" t="s">
        <v>5671</v>
      </c>
      <c r="W144" s="206" t="s">
        <v>114</v>
      </c>
      <c r="X144" s="205" t="s">
        <v>5672</v>
      </c>
      <c r="Y144" s="205"/>
      <c r="Z144" s="205" t="s">
        <v>5672</v>
      </c>
      <c r="AA144" s="205"/>
      <c r="AB144" s="205" t="s">
        <v>5673</v>
      </c>
      <c r="AC144" s="205"/>
      <c r="AD144" s="205">
        <v>43222</v>
      </c>
      <c r="AE144" s="205"/>
      <c r="AF144" s="205"/>
      <c r="AG144" s="205"/>
      <c r="AH144" s="207"/>
      <c r="AI144" s="208" t="s">
        <v>69</v>
      </c>
      <c r="AJ144" s="208" t="s">
        <v>5674</v>
      </c>
      <c r="AK144" s="209" t="s">
        <v>5675</v>
      </c>
      <c r="AL144" s="209">
        <v>43120</v>
      </c>
      <c r="AM144" s="209">
        <v>43145</v>
      </c>
      <c r="AN144" s="209"/>
      <c r="AO144" s="199">
        <f t="shared" ca="1" si="24"/>
        <v>44958</v>
      </c>
      <c r="AP144" s="208">
        <f t="shared" ca="1" si="25"/>
        <v>1813</v>
      </c>
      <c r="AQ144" s="208"/>
      <c r="AR144" s="209" t="s">
        <v>5676</v>
      </c>
      <c r="AS144" s="209" t="s">
        <v>5669</v>
      </c>
      <c r="AT144" s="210">
        <v>9.2360000000000007</v>
      </c>
      <c r="AU144" s="210">
        <v>9.266</v>
      </c>
      <c r="AV144" s="210">
        <v>9.26</v>
      </c>
      <c r="AW144" s="210">
        <v>9.2650000000000006</v>
      </c>
      <c r="BB144" s="200" t="s">
        <v>123</v>
      </c>
      <c r="BH144" s="200" t="s">
        <v>5677</v>
      </c>
      <c r="BJ144" s="200" t="s">
        <v>124</v>
      </c>
      <c r="BM144" s="200" t="s">
        <v>5655</v>
      </c>
      <c r="BN144" s="211" t="s">
        <v>5678</v>
      </c>
    </row>
    <row r="145" spans="1:66" s="200" customFormat="1" ht="19.5" customHeight="1" x14ac:dyDescent="0.25">
      <c r="A145" s="199">
        <v>44820</v>
      </c>
      <c r="B145" s="204">
        <f ca="1">IF(A145="",(IF(ISNUMBER(SUBSTITUTE(LEFT(RIGHT(E145,LEN(E145)-MIN(SEARCH({1,2,3,4,5,6,7,8,9,0},E145&amp;"1234567890"))+1),10),".","/"))=TRUE,AO145-(SUBSTITUTE(LEFT(RIGHT(E145,LEN(E145)-MIN(SEARCH({1,2,3,4,5,6,7,8,9,0},E145&amp;"1234567890"))+1),10),".","/")),IF((SUBSTITUTE(LEFT(RIGHT(E145,LEN(E145)-MIN(SEARCH({1,2,3,4,5,6,7,8,9,0},E145&amp;"1234567890"))+1),10),".","/"))="","",(AO145)-(MID(RIGHT((SUBSTITUTE(LEFT(RIGHT(E145,LEN(E145)-MIN(SEARCH({1,2,3,4,5,6,7,8,9,0},E145&amp;"1234567890"))+1),10),".","/")),10),4,2)&amp;"/"&amp;LEFT((RIGHT((SUBSTITUTE(LEFT(RIGHT(E145,LEN(E145)-MIN(SEARCH({1,2,3,4,5,6,7,8,9,0},E145&amp;"1234567890"))+1),10),".","/")),10)),2)&amp;"/"&amp;RIGHT((SUBSTITUTE(LEFT(RIGHT(E145,LEN(E145)-MIN(SEARCH({1,2,3,4,5,6,7,8,9,0},E145&amp;"1234567890"))+1),10),".","/")),4))))),(AO145-A145))</f>
        <v>138</v>
      </c>
      <c r="C145" s="199"/>
      <c r="D145" s="201" t="str">
        <f>IF(Q145="MULTI","FGMS","FGC")&amp;"-"&amp;H145&amp;"/"&amp;I145&amp;"-"&amp;TEXT(K145,"0.00")&amp;"X"&amp;IF(Q145="MULTI",R145,Q145)</f>
        <v>FGMS-430/2B-2.00X129</v>
      </c>
      <c r="E145" s="208" t="s">
        <v>5681</v>
      </c>
      <c r="F145" s="201" t="s">
        <v>5660</v>
      </c>
      <c r="G145" s="201" t="s">
        <v>5682</v>
      </c>
      <c r="H145" s="201">
        <v>430</v>
      </c>
      <c r="I145" s="202" t="s">
        <v>114</v>
      </c>
      <c r="J145" s="203">
        <v>4</v>
      </c>
      <c r="K145" s="203">
        <v>2</v>
      </c>
      <c r="L145" s="203">
        <v>1.93</v>
      </c>
      <c r="M145" s="203">
        <v>1.96</v>
      </c>
      <c r="N145" s="204">
        <v>140</v>
      </c>
      <c r="O145" s="439">
        <v>2.3849999999999998</v>
      </c>
      <c r="P145" s="432">
        <v>2.4449999999999998</v>
      </c>
      <c r="Q145" s="204" t="s">
        <v>5124</v>
      </c>
      <c r="R145" s="440">
        <f>43*3</f>
        <v>129</v>
      </c>
      <c r="S145" s="413"/>
      <c r="T145" s="371"/>
      <c r="U145" s="206" t="s">
        <v>115</v>
      </c>
      <c r="V145" s="178" t="s">
        <v>5683</v>
      </c>
      <c r="W145" s="206" t="s">
        <v>176</v>
      </c>
      <c r="X145" s="205">
        <v>43194</v>
      </c>
      <c r="Y145" s="205"/>
      <c r="Z145" s="205">
        <v>43194</v>
      </c>
      <c r="AA145" s="205"/>
      <c r="AB145" s="205">
        <v>43200</v>
      </c>
      <c r="AC145" s="205"/>
      <c r="AD145" s="205" t="s">
        <v>5684</v>
      </c>
      <c r="AE145" s="205"/>
      <c r="AF145" s="205"/>
      <c r="AG145" s="207"/>
      <c r="AH145" s="207"/>
      <c r="AI145" s="208" t="s">
        <v>69</v>
      </c>
      <c r="AJ145" s="208" t="s">
        <v>5651</v>
      </c>
      <c r="AK145" s="209" t="s">
        <v>5652</v>
      </c>
      <c r="AL145" s="209">
        <v>42697</v>
      </c>
      <c r="AM145" s="209">
        <v>42740</v>
      </c>
      <c r="AN145" s="209"/>
      <c r="AO145" s="199">
        <f t="shared" ca="1" si="24"/>
        <v>44958</v>
      </c>
      <c r="AP145" s="208">
        <f t="shared" ca="1" si="25"/>
        <v>2218</v>
      </c>
      <c r="AQ145" s="208"/>
      <c r="AR145" s="209" t="s">
        <v>5659</v>
      </c>
      <c r="AS145" s="209" t="s">
        <v>5654</v>
      </c>
      <c r="AT145" s="210">
        <v>9.81</v>
      </c>
      <c r="AU145" s="210"/>
      <c r="AV145" s="210"/>
      <c r="AW145" s="210">
        <v>9.8930000000000007</v>
      </c>
    </row>
    <row r="146" spans="1:66" s="200" customFormat="1" ht="19.5" customHeight="1" x14ac:dyDescent="0.25">
      <c r="A146" s="199">
        <v>44820</v>
      </c>
      <c r="B146" s="204">
        <f ca="1">IF(A146="",(IF(ISNUMBER(SUBSTITUTE(LEFT(RIGHT(E146,LEN(E146)-MIN(SEARCH({1,2,3,4,5,6,7,8,9,0},E146&amp;"1234567890"))+1),10),".","/"))=TRUE,AO146-(SUBSTITUTE(LEFT(RIGHT(E146,LEN(E146)-MIN(SEARCH({1,2,3,4,5,6,7,8,9,0},E146&amp;"1234567890"))+1),10),".","/")),IF((SUBSTITUTE(LEFT(RIGHT(E146,LEN(E146)-MIN(SEARCH({1,2,3,4,5,6,7,8,9,0},E146&amp;"1234567890"))+1),10),".","/"))="","",(AO146)-(MID(RIGHT((SUBSTITUTE(LEFT(RIGHT(E146,LEN(E146)-MIN(SEARCH({1,2,3,4,5,6,7,8,9,0},E146&amp;"1234567890"))+1),10),".","/")),10),4,2)&amp;"/"&amp;LEFT((RIGHT((SUBSTITUTE(LEFT(RIGHT(E146,LEN(E146)-MIN(SEARCH({1,2,3,4,5,6,7,8,9,0},E146&amp;"1234567890"))+1),10),".","/")),10)),2)&amp;"/"&amp;RIGHT((SUBSTITUTE(LEFT(RIGHT(E146,LEN(E146)-MIN(SEARCH({1,2,3,4,5,6,7,8,9,0},E146&amp;"1234567890"))+1),10),".","/")),4))))),(AO146-A146))</f>
        <v>138</v>
      </c>
      <c r="C146" s="199"/>
      <c r="D146" s="201" t="str">
        <f>IF(Q146="MULTI","FGMS","FGC")&amp;"-"&amp;H146&amp;"/"&amp;I146&amp;"-"&amp;TEXT(K146,"0.00")&amp;"X"&amp;IF(Q146="MULTI",R146,Q146)</f>
        <v>FGMS-430/2B-2.00X430</v>
      </c>
      <c r="E146" s="208" t="s">
        <v>5681</v>
      </c>
      <c r="F146" s="201" t="s">
        <v>5660</v>
      </c>
      <c r="G146" s="201" t="s">
        <v>5685</v>
      </c>
      <c r="H146" s="201">
        <v>430</v>
      </c>
      <c r="I146" s="202" t="s">
        <v>114</v>
      </c>
      <c r="J146" s="203">
        <v>4</v>
      </c>
      <c r="K146" s="203">
        <v>2</v>
      </c>
      <c r="L146" s="203">
        <v>1.93</v>
      </c>
      <c r="M146" s="203">
        <v>1.96</v>
      </c>
      <c r="N146" s="204">
        <v>440</v>
      </c>
      <c r="O146" s="441"/>
      <c r="P146" s="433"/>
      <c r="Q146" s="204" t="s">
        <v>5124</v>
      </c>
      <c r="R146" s="440">
        <f>43*10</f>
        <v>430</v>
      </c>
      <c r="S146" s="413"/>
      <c r="T146" s="371"/>
      <c r="U146" s="206" t="s">
        <v>115</v>
      </c>
      <c r="V146" s="178" t="s">
        <v>5683</v>
      </c>
      <c r="W146" s="206" t="s">
        <v>176</v>
      </c>
      <c r="X146" s="205">
        <v>43194</v>
      </c>
      <c r="Y146" s="205"/>
      <c r="Z146" s="205">
        <v>43194</v>
      </c>
      <c r="AA146" s="205"/>
      <c r="AB146" s="205">
        <v>43200</v>
      </c>
      <c r="AC146" s="205"/>
      <c r="AD146" s="205" t="s">
        <v>5684</v>
      </c>
      <c r="AE146" s="205"/>
      <c r="AF146" s="205"/>
      <c r="AG146" s="207"/>
      <c r="AH146" s="207"/>
      <c r="AI146" s="208" t="s">
        <v>69</v>
      </c>
      <c r="AJ146" s="208" t="s">
        <v>5651</v>
      </c>
      <c r="AK146" s="209" t="s">
        <v>5652</v>
      </c>
      <c r="AL146" s="209">
        <v>42697</v>
      </c>
      <c r="AM146" s="209">
        <v>42740</v>
      </c>
      <c r="AN146" s="209"/>
      <c r="AO146" s="199">
        <f t="shared" ca="1" si="24"/>
        <v>44958</v>
      </c>
      <c r="AP146" s="208">
        <f t="shared" ca="1" si="25"/>
        <v>2218</v>
      </c>
      <c r="AQ146" s="208"/>
      <c r="AR146" s="209" t="s">
        <v>5659</v>
      </c>
      <c r="AS146" s="209" t="s">
        <v>5654</v>
      </c>
      <c r="AT146" s="210">
        <v>9.81</v>
      </c>
      <c r="AU146" s="210"/>
      <c r="AV146" s="210"/>
      <c r="AW146" s="210">
        <v>9.8930000000000007</v>
      </c>
    </row>
    <row r="147" spans="1:66" s="200" customFormat="1" ht="19.5" customHeight="1" x14ac:dyDescent="0.25">
      <c r="A147" s="199"/>
      <c r="B147" s="204">
        <f ca="1">IF(A147="",(IF(ISNUMBER(SUBSTITUTE(LEFT(RIGHT(E147,LEN(E147)-MIN(SEARCH({1,2,3,4,5,6,7,8,9,0},E147&amp;"1234567890"))+1),10),".","/"))=TRUE,AO147-(SUBSTITUTE(LEFT(RIGHT(E147,LEN(E147)-MIN(SEARCH({1,2,3,4,5,6,7,8,9,0},E147&amp;"1234567890"))+1),10),".","/")),IF((SUBSTITUTE(LEFT(RIGHT(E147,LEN(E147)-MIN(SEARCH({1,2,3,4,5,6,7,8,9,0},E147&amp;"1234567890"))+1),10),".","/"))="","",(AO147)-(MID(RIGHT((SUBSTITUTE(LEFT(RIGHT(E147,LEN(E147)-MIN(SEARCH({1,2,3,4,5,6,7,8,9,0},E147&amp;"1234567890"))+1),10),".","/")),10),4,2)&amp;"/"&amp;LEFT((RIGHT((SUBSTITUTE(LEFT(RIGHT(E147,LEN(E147)-MIN(SEARCH({1,2,3,4,5,6,7,8,9,0},E147&amp;"1234567890"))+1),10),".","/")),10)),2)&amp;"/"&amp;RIGHT((SUBSTITUTE(LEFT(RIGHT(E147,LEN(E147)-MIN(SEARCH({1,2,3,4,5,6,7,8,9,0},E147&amp;"1234567890"))+1),10),".","/")),4))))),(AO147-A147))</f>
        <v>1424</v>
      </c>
      <c r="C147" s="201"/>
      <c r="D147" s="201" t="str">
        <f t="shared" ref="D147:D210" si="26">IF(Q147="MULTI","FGM","FGC")&amp;"-"&amp;H147&amp;"/"&amp;I147&amp;"-"&amp;TEXT(K147,"0.00")&amp;"X"&amp;IF(Q147="MULTI",N147,Q147)</f>
        <v>FGC-430/2B-2.00X90</v>
      </c>
      <c r="E147" s="208" t="s">
        <v>5686</v>
      </c>
      <c r="F147" s="201" t="s">
        <v>164</v>
      </c>
      <c r="G147" s="201" t="s">
        <v>5687</v>
      </c>
      <c r="H147" s="201">
        <v>430</v>
      </c>
      <c r="I147" s="202" t="s">
        <v>114</v>
      </c>
      <c r="J147" s="203">
        <v>4</v>
      </c>
      <c r="K147" s="203">
        <v>2</v>
      </c>
      <c r="L147" s="203">
        <v>1.9</v>
      </c>
      <c r="M147" s="203">
        <v>1.94</v>
      </c>
      <c r="N147" s="204">
        <v>763</v>
      </c>
      <c r="O147" s="381">
        <v>0.71</v>
      </c>
      <c r="P147" s="413"/>
      <c r="Q147" s="204">
        <v>90</v>
      </c>
      <c r="R147" s="185"/>
      <c r="S147" s="414"/>
      <c r="T147" s="371"/>
      <c r="U147" s="206" t="s">
        <v>115</v>
      </c>
      <c r="V147" s="206" t="s">
        <v>166</v>
      </c>
      <c r="W147" s="206" t="s">
        <v>114</v>
      </c>
      <c r="X147" s="205">
        <v>43445</v>
      </c>
      <c r="Y147" s="205"/>
      <c r="Z147" s="205">
        <v>43446</v>
      </c>
      <c r="AA147" s="205"/>
      <c r="AB147" s="205">
        <v>43447</v>
      </c>
      <c r="AC147" s="205"/>
      <c r="AD147" s="205">
        <v>43534</v>
      </c>
      <c r="AE147" s="205"/>
      <c r="AF147" s="205"/>
      <c r="AG147" s="205"/>
      <c r="AH147" s="207" t="s">
        <v>5688</v>
      </c>
      <c r="AI147" s="208" t="s">
        <v>69</v>
      </c>
      <c r="AJ147" s="208" t="s">
        <v>119</v>
      </c>
      <c r="AK147" s="209" t="s">
        <v>168</v>
      </c>
      <c r="AL147" s="209">
        <v>43329</v>
      </c>
      <c r="AM147" s="209">
        <v>43348</v>
      </c>
      <c r="AN147" s="209"/>
      <c r="AO147" s="199">
        <f t="shared" ca="1" si="24"/>
        <v>44958</v>
      </c>
      <c r="AP147" s="208">
        <f t="shared" ca="1" si="25"/>
        <v>1610</v>
      </c>
      <c r="AQ147" s="208">
        <f ca="1">IF(ISNUMBER(AB147)=TRUE,AO147-AB147,IF(AB147="","",(AO147)-(MID(RIGHT(AB147,10),4,2)&amp;"/"&amp;LEFT((RIGHT(AB147,10)),2)&amp;"/"&amp;RIGHT(AB147,4))))</f>
        <v>1511</v>
      </c>
      <c r="AR147" s="209" t="s">
        <v>169</v>
      </c>
      <c r="AS147" s="209" t="s">
        <v>170</v>
      </c>
      <c r="AT147" s="210">
        <v>11.34</v>
      </c>
      <c r="AU147" s="210">
        <v>11.355</v>
      </c>
      <c r="AV147" s="210">
        <v>11.389999999999999</v>
      </c>
      <c r="AW147" s="210">
        <v>11.395</v>
      </c>
      <c r="BB147" s="200" t="s">
        <v>171</v>
      </c>
      <c r="BH147" s="200">
        <v>0</v>
      </c>
      <c r="BJ147" s="200" t="s">
        <v>124</v>
      </c>
      <c r="BM147" s="200" t="s">
        <v>5655</v>
      </c>
      <c r="BN147" s="211" t="s">
        <v>5678</v>
      </c>
    </row>
    <row r="148" spans="1:66" s="200" customFormat="1" ht="19.5" customHeight="1" x14ac:dyDescent="0.25">
      <c r="A148" s="199"/>
      <c r="B148" s="204">
        <f ca="1">IF(A148="",(IF(ISNUMBER(SUBSTITUTE(LEFT(RIGHT(E148,LEN(E148)-MIN(SEARCH({1,2,3,4,5,6,7,8,9,0},E148&amp;"1234567890"))+1),10),".","/"))=TRUE,AO148-(SUBSTITUTE(LEFT(RIGHT(E148,LEN(E148)-MIN(SEARCH({1,2,3,4,5,6,7,8,9,0},E148&amp;"1234567890"))+1),10),".","/")),IF((SUBSTITUTE(LEFT(RIGHT(E148,LEN(E148)-MIN(SEARCH({1,2,3,4,5,6,7,8,9,0},E148&amp;"1234567890"))+1),10),".","/"))="","",(AO148)-(MID(RIGHT((SUBSTITUTE(LEFT(RIGHT(E148,LEN(E148)-MIN(SEARCH({1,2,3,4,5,6,7,8,9,0},E148&amp;"1234567890"))+1),10),".","/")),10),4,2)&amp;"/"&amp;LEFT((RIGHT((SUBSTITUTE(LEFT(RIGHT(E148,LEN(E148)-MIN(SEARCH({1,2,3,4,5,6,7,8,9,0},E148&amp;"1234567890"))+1),10),".","/")),10)),2)&amp;"/"&amp;RIGHT((SUBSTITUTE(LEFT(RIGHT(E148,LEN(E148)-MIN(SEARCH({1,2,3,4,5,6,7,8,9,0},E148&amp;"1234567890"))+1),10),".","/")),4))))),(AO148-A148))</f>
        <v>1357</v>
      </c>
      <c r="C148" s="201"/>
      <c r="D148" s="201" t="str">
        <f t="shared" si="26"/>
        <v>FGC-430/2B-1.95X80</v>
      </c>
      <c r="E148" s="208" t="s">
        <v>5689</v>
      </c>
      <c r="F148" s="201" t="s">
        <v>5690</v>
      </c>
      <c r="G148" s="201" t="s">
        <v>5691</v>
      </c>
      <c r="H148" s="201">
        <v>430</v>
      </c>
      <c r="I148" s="202" t="s">
        <v>114</v>
      </c>
      <c r="J148" s="203">
        <v>4</v>
      </c>
      <c r="K148" s="203">
        <v>1.95</v>
      </c>
      <c r="L148" s="203">
        <v>1.98</v>
      </c>
      <c r="M148" s="203">
        <v>1.99</v>
      </c>
      <c r="N148" s="204">
        <v>750</v>
      </c>
      <c r="O148" s="381">
        <v>0.59399999999999997</v>
      </c>
      <c r="P148" s="413"/>
      <c r="Q148" s="371">
        <v>80</v>
      </c>
      <c r="R148" s="185"/>
      <c r="S148" s="414"/>
      <c r="T148" s="371"/>
      <c r="U148" s="206" t="s">
        <v>115</v>
      </c>
      <c r="V148" s="206"/>
      <c r="W148" s="206" t="s">
        <v>176</v>
      </c>
      <c r="X148" s="205">
        <v>43446</v>
      </c>
      <c r="Y148" s="205"/>
      <c r="Z148" s="205">
        <v>43446</v>
      </c>
      <c r="AA148" s="205"/>
      <c r="AB148" s="205">
        <v>43447</v>
      </c>
      <c r="AC148" s="205"/>
      <c r="AD148" s="205"/>
      <c r="AE148" s="205"/>
      <c r="AF148" s="205"/>
      <c r="AG148" s="205"/>
      <c r="AH148" s="207"/>
      <c r="AI148" s="208" t="s">
        <v>69</v>
      </c>
      <c r="AJ148" s="208" t="s">
        <v>177</v>
      </c>
      <c r="AK148" s="209" t="s">
        <v>178</v>
      </c>
      <c r="AL148" s="209">
        <v>43313</v>
      </c>
      <c r="AM148" s="209">
        <v>43413</v>
      </c>
      <c r="AN148" s="209"/>
      <c r="AO148" s="199">
        <f t="shared" ca="1" si="24"/>
        <v>44958</v>
      </c>
      <c r="AP148" s="208">
        <f t="shared" ca="1" si="25"/>
        <v>1545</v>
      </c>
      <c r="AQ148" s="208"/>
      <c r="AR148" s="209" t="s">
        <v>179</v>
      </c>
      <c r="AS148" s="209" t="s">
        <v>5690</v>
      </c>
      <c r="AT148" s="210">
        <v>9.0540000000000003</v>
      </c>
      <c r="AU148" s="210">
        <v>9.0839999999999996</v>
      </c>
      <c r="AV148" s="210">
        <v>9.0649999999999995</v>
      </c>
      <c r="AW148" s="210">
        <v>9.07</v>
      </c>
      <c r="BB148" s="200" t="s">
        <v>123</v>
      </c>
      <c r="BJ148" s="200" t="s">
        <v>124</v>
      </c>
      <c r="BM148" s="200" t="s">
        <v>5655</v>
      </c>
      <c r="BN148" s="211" t="s">
        <v>5678</v>
      </c>
    </row>
    <row r="149" spans="1:66" s="200" customFormat="1" ht="19.5" customHeight="1" x14ac:dyDescent="0.25">
      <c r="A149" s="199">
        <v>43614</v>
      </c>
      <c r="B149" s="204">
        <f ca="1">IF(A149="",(IF(ISNUMBER(SUBSTITUTE(LEFT(RIGHT(E149,LEN(E149)-MIN(SEARCH({1,2,3,4,5,6,7,8,9,0},E149&amp;"1234567890"))+1),10),".","/"))=TRUE,AO149-(SUBSTITUTE(LEFT(RIGHT(E149,LEN(E149)-MIN(SEARCH({1,2,3,4,5,6,7,8,9,0},E149&amp;"1234567890"))+1),10),".","/")),IF((SUBSTITUTE(LEFT(RIGHT(E149,LEN(E149)-MIN(SEARCH({1,2,3,4,5,6,7,8,9,0},E149&amp;"1234567890"))+1),10),".","/"))="","",(AO149)-(MID(RIGHT((SUBSTITUTE(LEFT(RIGHT(E149,LEN(E149)-MIN(SEARCH({1,2,3,4,5,6,7,8,9,0},E149&amp;"1234567890"))+1),10),".","/")),10),4,2)&amp;"/"&amp;LEFT((RIGHT((SUBSTITUTE(LEFT(RIGHT(E149,LEN(E149)-MIN(SEARCH({1,2,3,4,5,6,7,8,9,0},E149&amp;"1234567890"))+1),10),".","/")),10)),2)&amp;"/"&amp;RIGHT((SUBSTITUTE(LEFT(RIGHT(E149,LEN(E149)-MIN(SEARCH({1,2,3,4,5,6,7,8,9,0},E149&amp;"1234567890"))+1),10),".","/")),4))))),(AO149-A149))</f>
        <v>1344</v>
      </c>
      <c r="C149" s="201"/>
      <c r="D149" s="201" t="str">
        <f t="shared" si="26"/>
        <v>FGC-J3/2B-0.45X58.9</v>
      </c>
      <c r="E149" s="208" t="s">
        <v>5692</v>
      </c>
      <c r="F149" s="201" t="s">
        <v>5693</v>
      </c>
      <c r="G149" s="201" t="s">
        <v>5694</v>
      </c>
      <c r="H149" s="201" t="s">
        <v>34</v>
      </c>
      <c r="I149" s="202" t="s">
        <v>114</v>
      </c>
      <c r="J149" s="203">
        <v>1</v>
      </c>
      <c r="K149" s="203">
        <v>0.45</v>
      </c>
      <c r="L149" s="203">
        <v>0.42</v>
      </c>
      <c r="M149" s="203">
        <v>0.43</v>
      </c>
      <c r="N149" s="204">
        <v>78.7</v>
      </c>
      <c r="O149" s="381">
        <v>0.375</v>
      </c>
      <c r="P149" s="413"/>
      <c r="Q149" s="371">
        <v>58.9</v>
      </c>
      <c r="R149" s="185"/>
      <c r="S149" s="414"/>
      <c r="T149" s="371"/>
      <c r="U149" s="206" t="s">
        <v>115</v>
      </c>
      <c r="V149" s="206" t="s">
        <v>5695</v>
      </c>
      <c r="W149" s="206" t="s">
        <v>5696</v>
      </c>
      <c r="X149" s="205" t="s">
        <v>5697</v>
      </c>
      <c r="Y149" s="205"/>
      <c r="Z149" s="205" t="s">
        <v>5698</v>
      </c>
      <c r="AA149" s="205"/>
      <c r="AB149" s="205" t="s">
        <v>5699</v>
      </c>
      <c r="AC149" s="205"/>
      <c r="AD149" s="205" t="s">
        <v>5700</v>
      </c>
      <c r="AE149" s="205"/>
      <c r="AF149" s="205"/>
      <c r="AG149" s="205"/>
      <c r="AH149" s="207"/>
      <c r="AI149" s="208" t="s">
        <v>69</v>
      </c>
      <c r="AJ149" s="208" t="s">
        <v>5701</v>
      </c>
      <c r="AK149" s="209" t="s">
        <v>5702</v>
      </c>
      <c r="AL149" s="209">
        <v>42870</v>
      </c>
      <c r="AM149" s="209">
        <v>42895</v>
      </c>
      <c r="AN149" s="209"/>
      <c r="AO149" s="199">
        <f t="shared" ca="1" si="24"/>
        <v>44958</v>
      </c>
      <c r="AP149" s="208">
        <f t="shared" ca="1" si="25"/>
        <v>2063</v>
      </c>
      <c r="AQ149" s="208"/>
      <c r="AR149" s="209" t="s">
        <v>5703</v>
      </c>
      <c r="AS149" s="209" t="s">
        <v>5704</v>
      </c>
      <c r="AT149" s="210">
        <v>7.9260000000000002</v>
      </c>
      <c r="AU149" s="210">
        <v>7.9660000000000002</v>
      </c>
      <c r="AV149" s="210">
        <v>7.9560000000000004</v>
      </c>
      <c r="AW149" s="210"/>
      <c r="BH149" s="200">
        <v>0</v>
      </c>
      <c r="BJ149" s="200" t="s">
        <v>5705</v>
      </c>
      <c r="BM149" s="200" t="s">
        <v>5655</v>
      </c>
      <c r="BN149" s="211" t="s">
        <v>5656</v>
      </c>
    </row>
    <row r="150" spans="1:66" s="200" customFormat="1" ht="18" customHeight="1" x14ac:dyDescent="0.25">
      <c r="A150" s="199"/>
      <c r="B150" s="204">
        <f ca="1">IF(A150="",(IF(ISNUMBER(SUBSTITUTE(LEFT(RIGHT(E150,LEN(E150)-MIN(SEARCH({1,2,3,4,5,6,7,8,9,0},E150&amp;"1234567890"))+1),10),".","/"))=TRUE,AO150-(SUBSTITUTE(LEFT(RIGHT(E150,LEN(E150)-MIN(SEARCH({1,2,3,4,5,6,7,8,9,0},E150&amp;"1234567890"))+1),10),".","/")),IF((SUBSTITUTE(LEFT(RIGHT(E150,LEN(E150)-MIN(SEARCH({1,2,3,4,5,6,7,8,9,0},E150&amp;"1234567890"))+1),10),".","/"))="","",(AO150)-(MID(RIGHT((SUBSTITUTE(LEFT(RIGHT(E150,LEN(E150)-MIN(SEARCH({1,2,3,4,5,6,7,8,9,0},E150&amp;"1234567890"))+1),10),".","/")),10),4,2)&amp;"/"&amp;LEFT((RIGHT((SUBSTITUTE(LEFT(RIGHT(E150,LEN(E150)-MIN(SEARCH({1,2,3,4,5,6,7,8,9,0},E150&amp;"1234567890"))+1),10),".","/")),10)),2)&amp;"/"&amp;RIGHT((SUBSTITUTE(LEFT(RIGHT(E150,LEN(E150)-MIN(SEARCH({1,2,3,4,5,6,7,8,9,0},E150&amp;"1234567890"))+1),10),".","/")),4))))),(AO150-A150))</f>
        <v>997</v>
      </c>
      <c r="C150" s="199"/>
      <c r="D150" s="201" t="str">
        <f t="shared" si="26"/>
        <v>FGC-304/2B-0.78X29</v>
      </c>
      <c r="E150" s="201" t="s">
        <v>5706</v>
      </c>
      <c r="F150" s="201" t="s">
        <v>5707</v>
      </c>
      <c r="G150" s="201" t="s">
        <v>5708</v>
      </c>
      <c r="H150" s="201">
        <v>304</v>
      </c>
      <c r="I150" s="202" t="s">
        <v>114</v>
      </c>
      <c r="J150" s="203">
        <v>1.1399999999999999</v>
      </c>
      <c r="K150" s="203">
        <v>0.78</v>
      </c>
      <c r="L150" s="203">
        <v>0.77</v>
      </c>
      <c r="M150" s="203">
        <v>0.79</v>
      </c>
      <c r="N150" s="204">
        <v>730</v>
      </c>
      <c r="O150" s="381">
        <f>2.76-2.64</f>
        <v>0.11999999999999966</v>
      </c>
      <c r="P150" s="413"/>
      <c r="Q150" s="185">
        <v>29</v>
      </c>
      <c r="R150" s="415"/>
      <c r="S150" s="414"/>
      <c r="T150" s="371"/>
      <c r="U150" s="206" t="s">
        <v>115</v>
      </c>
      <c r="V150" s="206" t="s">
        <v>5709</v>
      </c>
      <c r="W150" s="206" t="s">
        <v>114</v>
      </c>
      <c r="X150" s="205" t="s">
        <v>5710</v>
      </c>
      <c r="Y150" s="205"/>
      <c r="Z150" s="205" t="s">
        <v>5711</v>
      </c>
      <c r="AA150" s="205"/>
      <c r="AB150" s="205" t="s">
        <v>5712</v>
      </c>
      <c r="AC150" s="205"/>
      <c r="AD150" s="205"/>
      <c r="AE150" s="205"/>
      <c r="AF150" s="205"/>
      <c r="AG150" s="205"/>
      <c r="AH150" s="207"/>
      <c r="AI150" s="208" t="s">
        <v>70</v>
      </c>
      <c r="AJ150" s="208" t="s">
        <v>119</v>
      </c>
      <c r="AK150" s="209" t="s">
        <v>5713</v>
      </c>
      <c r="AL150" s="209">
        <v>43284</v>
      </c>
      <c r="AM150" s="209">
        <v>43299</v>
      </c>
      <c r="AN150" s="209"/>
      <c r="AO150" s="199">
        <f t="shared" ca="1" si="24"/>
        <v>44958</v>
      </c>
      <c r="AP150" s="208">
        <f t="shared" ca="1" si="25"/>
        <v>1659</v>
      </c>
      <c r="AQ150" s="208">
        <f t="shared" ref="AQ150:AQ199" ca="1" si="27">IF(ISNUMBER(AB150)=TRUE,AO150-AB150,IF(AB150="","",(AO150)-(MID(RIGHT(AB150,10),4,2)&amp;"/"&amp;LEFT((RIGHT(AB150,10)),2)&amp;"/"&amp;RIGHT(AB150,4))))</f>
        <v>1000</v>
      </c>
      <c r="AR150" s="209"/>
      <c r="AS150" s="209" t="s">
        <v>5707</v>
      </c>
      <c r="AT150" s="210">
        <v>8.9849999999999994</v>
      </c>
      <c r="AU150" s="210">
        <v>9</v>
      </c>
      <c r="AV150" s="210">
        <v>8.9949999999999992</v>
      </c>
      <c r="AW150" s="210">
        <v>9</v>
      </c>
      <c r="AX150" s="200">
        <f t="shared" ref="AX150:AX202" ca="1" si="28">IF(ISNUMBER(Z150)=TRUE,AO150-Z150,IF(Z150="","",(AO150)-(MID(RIGHT(Z150,10),4,2)&amp;"/"&amp;LEFT((RIGHT(Z150,10)),2)&amp;"/"&amp;RIGHT(Z150,4))))</f>
        <v>1003</v>
      </c>
      <c r="BA150" s="200" t="s">
        <v>123</v>
      </c>
      <c r="BG150" s="200" t="s">
        <v>5714</v>
      </c>
      <c r="BJ150" s="200" t="s">
        <v>124</v>
      </c>
      <c r="BM150" s="200" t="s">
        <v>5655</v>
      </c>
      <c r="BN150" s="211"/>
    </row>
    <row r="151" spans="1:66" s="200" customFormat="1" ht="18" customHeight="1" x14ac:dyDescent="0.25">
      <c r="A151" s="199"/>
      <c r="B151" s="204">
        <f ca="1">IF(A151="",(IF(ISNUMBER(SUBSTITUTE(LEFT(RIGHT(E151,LEN(E151)-MIN(SEARCH({1,2,3,4,5,6,7,8,9,0},E151&amp;"1234567890"))+1),10),".","/"))=TRUE,AO151-(SUBSTITUTE(LEFT(RIGHT(E151,LEN(E151)-MIN(SEARCH({1,2,3,4,5,6,7,8,9,0},E151&amp;"1234567890"))+1),10),".","/")),IF((SUBSTITUTE(LEFT(RIGHT(E151,LEN(E151)-MIN(SEARCH({1,2,3,4,5,6,7,8,9,0},E151&amp;"1234567890"))+1),10),".","/"))="","",(AO151)-(MID(RIGHT((SUBSTITUTE(LEFT(RIGHT(E151,LEN(E151)-MIN(SEARCH({1,2,3,4,5,6,7,8,9,0},E151&amp;"1234567890"))+1),10),".","/")),10),4,2)&amp;"/"&amp;LEFT((RIGHT((SUBSTITUTE(LEFT(RIGHT(E151,LEN(E151)-MIN(SEARCH({1,2,3,4,5,6,7,8,9,0},E151&amp;"1234567890"))+1),10),".","/")),10)),2)&amp;"/"&amp;RIGHT((SUBSTITUTE(LEFT(RIGHT(E151,LEN(E151)-MIN(SEARCH({1,2,3,4,5,6,7,8,9,0},E151&amp;"1234567890"))+1),10),".","/")),4))))),(AO151-A151))</f>
        <v>990</v>
      </c>
      <c r="C151" s="199"/>
      <c r="D151" s="201" t="str">
        <f t="shared" si="26"/>
        <v>FGC-430/2B-1.60X54</v>
      </c>
      <c r="E151" s="201" t="s">
        <v>5715</v>
      </c>
      <c r="F151" s="201" t="s">
        <v>5716</v>
      </c>
      <c r="G151" s="201" t="s">
        <v>5717</v>
      </c>
      <c r="H151" s="201">
        <v>430</v>
      </c>
      <c r="I151" s="202" t="s">
        <v>114</v>
      </c>
      <c r="J151" s="203">
        <v>4</v>
      </c>
      <c r="K151" s="203">
        <v>1.6</v>
      </c>
      <c r="L151" s="203">
        <v>1.6</v>
      </c>
      <c r="M151" s="203">
        <v>1.63</v>
      </c>
      <c r="N151" s="204">
        <v>750</v>
      </c>
      <c r="O151" s="381">
        <v>0.18</v>
      </c>
      <c r="P151" s="413"/>
      <c r="Q151" s="185">
        <v>54</v>
      </c>
      <c r="R151" s="415"/>
      <c r="S151" s="414"/>
      <c r="T151" s="371"/>
      <c r="U151" s="206" t="s">
        <v>115</v>
      </c>
      <c r="V151" s="206" t="s">
        <v>5718</v>
      </c>
      <c r="W151" s="206" t="s">
        <v>114</v>
      </c>
      <c r="X151" s="205">
        <v>43936</v>
      </c>
      <c r="Y151" s="205"/>
      <c r="Z151" s="205">
        <v>43936</v>
      </c>
      <c r="AA151" s="205"/>
      <c r="AB151" s="205">
        <v>43967</v>
      </c>
      <c r="AC151" s="205"/>
      <c r="AD151" s="205">
        <v>43968</v>
      </c>
      <c r="AE151" s="205"/>
      <c r="AF151" s="205"/>
      <c r="AG151" s="205"/>
      <c r="AH151" s="207"/>
      <c r="AI151" s="208" t="s">
        <v>69</v>
      </c>
      <c r="AJ151" s="208" t="s">
        <v>177</v>
      </c>
      <c r="AK151" s="209" t="s">
        <v>178</v>
      </c>
      <c r="AL151" s="209">
        <v>43313</v>
      </c>
      <c r="AM151" s="209">
        <v>43413</v>
      </c>
      <c r="AN151" s="209"/>
      <c r="AO151" s="199">
        <f t="shared" ca="1" si="24"/>
        <v>44958</v>
      </c>
      <c r="AP151" s="208">
        <f t="shared" ca="1" si="25"/>
        <v>1545</v>
      </c>
      <c r="AQ151" s="208">
        <f t="shared" ca="1" si="27"/>
        <v>991</v>
      </c>
      <c r="AR151" s="209" t="s">
        <v>5719</v>
      </c>
      <c r="AS151" s="209" t="s">
        <v>5716</v>
      </c>
      <c r="AT151" s="210">
        <v>11.609</v>
      </c>
      <c r="AU151" s="210">
        <v>11.638999999999999</v>
      </c>
      <c r="AV151" s="210">
        <v>11.654999999999999</v>
      </c>
      <c r="AW151" s="210">
        <v>11.66</v>
      </c>
      <c r="AX151" s="200">
        <f t="shared" ca="1" si="28"/>
        <v>1022</v>
      </c>
      <c r="BA151" s="200" t="s">
        <v>123</v>
      </c>
      <c r="BJ151" s="200" t="s">
        <v>124</v>
      </c>
      <c r="BM151" s="200" t="s">
        <v>5655</v>
      </c>
      <c r="BN151" s="211" t="s">
        <v>5678</v>
      </c>
    </row>
    <row r="152" spans="1:66" s="200" customFormat="1" ht="18" customHeight="1" x14ac:dyDescent="0.25">
      <c r="A152" s="199"/>
      <c r="B152" s="204">
        <f ca="1">IF(A152="",(IF(ISNUMBER(SUBSTITUTE(LEFT(RIGHT(E152,LEN(E152)-MIN(SEARCH({1,2,3,4,5,6,7,8,9,0},E152&amp;"1234567890"))+1),10),".","/"))=TRUE,AO152-(SUBSTITUTE(LEFT(RIGHT(E152,LEN(E152)-MIN(SEARCH({1,2,3,4,5,6,7,8,9,0},E152&amp;"1234567890"))+1),10),".","/")),IF((SUBSTITUTE(LEFT(RIGHT(E152,LEN(E152)-MIN(SEARCH({1,2,3,4,5,6,7,8,9,0},E152&amp;"1234567890"))+1),10),".","/"))="","",(AO152)-(MID(RIGHT((SUBSTITUTE(LEFT(RIGHT(E152,LEN(E152)-MIN(SEARCH({1,2,3,4,5,6,7,8,9,0},E152&amp;"1234567890"))+1),10),".","/")),10),4,2)&amp;"/"&amp;LEFT((RIGHT((SUBSTITUTE(LEFT(RIGHT(E152,LEN(E152)-MIN(SEARCH({1,2,3,4,5,6,7,8,9,0},E152&amp;"1234567890"))+1),10),".","/")),10)),2)&amp;"/"&amp;RIGHT((SUBSTITUTE(LEFT(RIGHT(E152,LEN(E152)-MIN(SEARCH({1,2,3,4,5,6,7,8,9,0},E152&amp;"1234567890"))+1),10),".","/")),4))))),(AO152-A152))</f>
        <v>990</v>
      </c>
      <c r="C152" s="199"/>
      <c r="D152" s="201" t="str">
        <f t="shared" si="26"/>
        <v>FGC-430/2B-1.60X54</v>
      </c>
      <c r="E152" s="201" t="s">
        <v>5715</v>
      </c>
      <c r="F152" s="201" t="s">
        <v>5716</v>
      </c>
      <c r="G152" s="201" t="s">
        <v>5720</v>
      </c>
      <c r="H152" s="201">
        <v>430</v>
      </c>
      <c r="I152" s="202" t="s">
        <v>114</v>
      </c>
      <c r="J152" s="203">
        <v>4</v>
      </c>
      <c r="K152" s="203">
        <v>1.6</v>
      </c>
      <c r="L152" s="203">
        <v>1.6</v>
      </c>
      <c r="M152" s="203">
        <v>1.63</v>
      </c>
      <c r="N152" s="204">
        <v>750</v>
      </c>
      <c r="O152" s="381">
        <v>0.185</v>
      </c>
      <c r="P152" s="413"/>
      <c r="Q152" s="185">
        <v>54</v>
      </c>
      <c r="R152" s="415"/>
      <c r="S152" s="414"/>
      <c r="T152" s="371"/>
      <c r="U152" s="206" t="s">
        <v>115</v>
      </c>
      <c r="V152" s="206" t="s">
        <v>5718</v>
      </c>
      <c r="W152" s="206" t="s">
        <v>114</v>
      </c>
      <c r="X152" s="205">
        <v>43936</v>
      </c>
      <c r="Y152" s="205"/>
      <c r="Z152" s="205">
        <v>43936</v>
      </c>
      <c r="AA152" s="205"/>
      <c r="AB152" s="205">
        <v>43967</v>
      </c>
      <c r="AC152" s="205"/>
      <c r="AD152" s="205">
        <v>43968</v>
      </c>
      <c r="AE152" s="205"/>
      <c r="AF152" s="205"/>
      <c r="AG152" s="205"/>
      <c r="AH152" s="207"/>
      <c r="AI152" s="208" t="s">
        <v>69</v>
      </c>
      <c r="AJ152" s="208" t="s">
        <v>177</v>
      </c>
      <c r="AK152" s="209" t="s">
        <v>178</v>
      </c>
      <c r="AL152" s="209">
        <v>43313</v>
      </c>
      <c r="AM152" s="209">
        <v>43413</v>
      </c>
      <c r="AN152" s="209"/>
      <c r="AO152" s="199">
        <f t="shared" ca="1" si="24"/>
        <v>44958</v>
      </c>
      <c r="AP152" s="208">
        <f t="shared" ca="1" si="25"/>
        <v>1545</v>
      </c>
      <c r="AQ152" s="208">
        <f t="shared" ca="1" si="27"/>
        <v>991</v>
      </c>
      <c r="AR152" s="209" t="s">
        <v>5719</v>
      </c>
      <c r="AS152" s="209" t="s">
        <v>5716</v>
      </c>
      <c r="AT152" s="210">
        <v>11.609</v>
      </c>
      <c r="AU152" s="210">
        <v>11.638999999999999</v>
      </c>
      <c r="AV152" s="210">
        <v>11.654999999999999</v>
      </c>
      <c r="AW152" s="210">
        <v>11.66</v>
      </c>
      <c r="AX152" s="200">
        <f t="shared" ca="1" si="28"/>
        <v>1022</v>
      </c>
      <c r="BA152" s="200" t="s">
        <v>123</v>
      </c>
      <c r="BJ152" s="200" t="s">
        <v>124</v>
      </c>
      <c r="BM152" s="200" t="s">
        <v>5655</v>
      </c>
      <c r="BN152" s="211" t="s">
        <v>5678</v>
      </c>
    </row>
    <row r="153" spans="1:66" s="200" customFormat="1" ht="18" customHeight="1" x14ac:dyDescent="0.25">
      <c r="A153" s="199"/>
      <c r="B153" s="204">
        <f ca="1">IF(A153="",(IF(ISNUMBER(SUBSTITUTE(LEFT(RIGHT(E153,LEN(E153)-MIN(SEARCH({1,2,3,4,5,6,7,8,9,0},E153&amp;"1234567890"))+1),10),".","/"))=TRUE,AO153-(SUBSTITUTE(LEFT(RIGHT(E153,LEN(E153)-MIN(SEARCH({1,2,3,4,5,6,7,8,9,0},E153&amp;"1234567890"))+1),10),".","/")),IF((SUBSTITUTE(LEFT(RIGHT(E153,LEN(E153)-MIN(SEARCH({1,2,3,4,5,6,7,8,9,0},E153&amp;"1234567890"))+1),10),".","/"))="","",(AO153)-(MID(RIGHT((SUBSTITUTE(LEFT(RIGHT(E153,LEN(E153)-MIN(SEARCH({1,2,3,4,5,6,7,8,9,0},E153&amp;"1234567890"))+1),10),".","/")),10),4,2)&amp;"/"&amp;LEFT((RIGHT((SUBSTITUTE(LEFT(RIGHT(E153,LEN(E153)-MIN(SEARCH({1,2,3,4,5,6,7,8,9,0},E153&amp;"1234567890"))+1),10),".","/")),10)),2)&amp;"/"&amp;RIGHT((SUBSTITUTE(LEFT(RIGHT(E153,LEN(E153)-MIN(SEARCH({1,2,3,4,5,6,7,8,9,0},E153&amp;"1234567890"))+1),10),".","/")),4))))),(AO153-A153))</f>
        <v>990</v>
      </c>
      <c r="C153" s="199"/>
      <c r="D153" s="201" t="str">
        <f t="shared" si="26"/>
        <v>FGC-430/2B-1.60X54</v>
      </c>
      <c r="E153" s="201" t="s">
        <v>5715</v>
      </c>
      <c r="F153" s="201" t="s">
        <v>5716</v>
      </c>
      <c r="G153" s="201" t="s">
        <v>5721</v>
      </c>
      <c r="H153" s="201">
        <v>430</v>
      </c>
      <c r="I153" s="202" t="s">
        <v>114</v>
      </c>
      <c r="J153" s="203">
        <v>4</v>
      </c>
      <c r="K153" s="203">
        <v>1.6</v>
      </c>
      <c r="L153" s="203">
        <v>1.6</v>
      </c>
      <c r="M153" s="203">
        <v>1.63</v>
      </c>
      <c r="N153" s="204">
        <v>750</v>
      </c>
      <c r="O153" s="381">
        <v>0.185</v>
      </c>
      <c r="P153" s="413"/>
      <c r="Q153" s="185">
        <v>54</v>
      </c>
      <c r="R153" s="415"/>
      <c r="S153" s="414"/>
      <c r="T153" s="371"/>
      <c r="U153" s="206" t="s">
        <v>115</v>
      </c>
      <c r="V153" s="206" t="s">
        <v>5718</v>
      </c>
      <c r="W153" s="206" t="s">
        <v>114</v>
      </c>
      <c r="X153" s="205">
        <v>43936</v>
      </c>
      <c r="Y153" s="205"/>
      <c r="Z153" s="205">
        <v>43936</v>
      </c>
      <c r="AA153" s="205"/>
      <c r="AB153" s="205">
        <v>43967</v>
      </c>
      <c r="AC153" s="205"/>
      <c r="AD153" s="205">
        <v>43968</v>
      </c>
      <c r="AE153" s="205"/>
      <c r="AF153" s="205"/>
      <c r="AG153" s="205"/>
      <c r="AH153" s="207"/>
      <c r="AI153" s="208" t="s">
        <v>69</v>
      </c>
      <c r="AJ153" s="208" t="s">
        <v>177</v>
      </c>
      <c r="AK153" s="209" t="s">
        <v>178</v>
      </c>
      <c r="AL153" s="209">
        <v>43313</v>
      </c>
      <c r="AM153" s="209">
        <v>43413</v>
      </c>
      <c r="AN153" s="209"/>
      <c r="AO153" s="199">
        <f t="shared" ca="1" si="24"/>
        <v>44958</v>
      </c>
      <c r="AP153" s="208">
        <f t="shared" ca="1" si="25"/>
        <v>1545</v>
      </c>
      <c r="AQ153" s="208">
        <f t="shared" ca="1" si="27"/>
        <v>991</v>
      </c>
      <c r="AR153" s="209" t="s">
        <v>5719</v>
      </c>
      <c r="AS153" s="209" t="s">
        <v>5716</v>
      </c>
      <c r="AT153" s="210">
        <v>11.609</v>
      </c>
      <c r="AU153" s="210">
        <v>11.638999999999999</v>
      </c>
      <c r="AV153" s="210">
        <v>11.654999999999999</v>
      </c>
      <c r="AW153" s="210">
        <v>11.66</v>
      </c>
      <c r="AX153" s="200">
        <f t="shared" ca="1" si="28"/>
        <v>1022</v>
      </c>
      <c r="BA153" s="200" t="s">
        <v>123</v>
      </c>
      <c r="BJ153" s="200" t="s">
        <v>124</v>
      </c>
      <c r="BM153" s="200" t="s">
        <v>5655</v>
      </c>
      <c r="BN153" s="211" t="s">
        <v>5678</v>
      </c>
    </row>
    <row r="154" spans="1:66" s="200" customFormat="1" ht="18" customHeight="1" x14ac:dyDescent="0.25">
      <c r="A154" s="199"/>
      <c r="B154" s="204">
        <f ca="1">IF(A154="",(IF(ISNUMBER(SUBSTITUTE(LEFT(RIGHT(E154,LEN(E154)-MIN(SEARCH({1,2,3,4,5,6,7,8,9,0},E154&amp;"1234567890"))+1),10),".","/"))=TRUE,AO154-(SUBSTITUTE(LEFT(RIGHT(E154,LEN(E154)-MIN(SEARCH({1,2,3,4,5,6,7,8,9,0},E154&amp;"1234567890"))+1),10),".","/")),IF((SUBSTITUTE(LEFT(RIGHT(E154,LEN(E154)-MIN(SEARCH({1,2,3,4,5,6,7,8,9,0},E154&amp;"1234567890"))+1),10),".","/"))="","",(AO154)-(MID(RIGHT((SUBSTITUTE(LEFT(RIGHT(E154,LEN(E154)-MIN(SEARCH({1,2,3,4,5,6,7,8,9,0},E154&amp;"1234567890"))+1),10),".","/")),10),4,2)&amp;"/"&amp;LEFT((RIGHT((SUBSTITUTE(LEFT(RIGHT(E154,LEN(E154)-MIN(SEARCH({1,2,3,4,5,6,7,8,9,0},E154&amp;"1234567890"))+1),10),".","/")),10)),2)&amp;"/"&amp;RIGHT((SUBSTITUTE(LEFT(RIGHT(E154,LEN(E154)-MIN(SEARCH({1,2,3,4,5,6,7,8,9,0},E154&amp;"1234567890"))+1),10),".","/")),4))))),(AO154-A154))</f>
        <v>990</v>
      </c>
      <c r="C154" s="199"/>
      <c r="D154" s="201" t="str">
        <f t="shared" si="26"/>
        <v>FGC-430/2B-1.60X54</v>
      </c>
      <c r="E154" s="201" t="s">
        <v>5715</v>
      </c>
      <c r="F154" s="201" t="s">
        <v>5716</v>
      </c>
      <c r="G154" s="201" t="s">
        <v>5722</v>
      </c>
      <c r="H154" s="201">
        <v>430</v>
      </c>
      <c r="I154" s="202" t="s">
        <v>114</v>
      </c>
      <c r="J154" s="203">
        <v>4</v>
      </c>
      <c r="K154" s="203">
        <v>1.6</v>
      </c>
      <c r="L154" s="203">
        <v>1.6</v>
      </c>
      <c r="M154" s="203">
        <v>1.63</v>
      </c>
      <c r="N154" s="204">
        <v>750</v>
      </c>
      <c r="O154" s="381">
        <v>0.185</v>
      </c>
      <c r="P154" s="413"/>
      <c r="Q154" s="185">
        <v>54</v>
      </c>
      <c r="R154" s="415"/>
      <c r="S154" s="414"/>
      <c r="T154" s="371"/>
      <c r="U154" s="206" t="s">
        <v>115</v>
      </c>
      <c r="V154" s="206" t="s">
        <v>5718</v>
      </c>
      <c r="W154" s="206" t="s">
        <v>114</v>
      </c>
      <c r="X154" s="205">
        <v>43936</v>
      </c>
      <c r="Y154" s="205"/>
      <c r="Z154" s="205">
        <v>43936</v>
      </c>
      <c r="AA154" s="205"/>
      <c r="AB154" s="205">
        <v>43967</v>
      </c>
      <c r="AC154" s="205"/>
      <c r="AD154" s="205">
        <v>43968</v>
      </c>
      <c r="AE154" s="205"/>
      <c r="AF154" s="205"/>
      <c r="AG154" s="205"/>
      <c r="AH154" s="207"/>
      <c r="AI154" s="208" t="s">
        <v>69</v>
      </c>
      <c r="AJ154" s="208" t="s">
        <v>177</v>
      </c>
      <c r="AK154" s="209" t="s">
        <v>178</v>
      </c>
      <c r="AL154" s="209">
        <v>43313</v>
      </c>
      <c r="AM154" s="209">
        <v>43413</v>
      </c>
      <c r="AN154" s="209"/>
      <c r="AO154" s="199">
        <f t="shared" ca="1" si="24"/>
        <v>44958</v>
      </c>
      <c r="AP154" s="208">
        <f t="shared" ca="1" si="25"/>
        <v>1545</v>
      </c>
      <c r="AQ154" s="208">
        <f t="shared" ca="1" si="27"/>
        <v>991</v>
      </c>
      <c r="AR154" s="209" t="s">
        <v>5719</v>
      </c>
      <c r="AS154" s="209" t="s">
        <v>5716</v>
      </c>
      <c r="AT154" s="210">
        <v>11.609</v>
      </c>
      <c r="AU154" s="210">
        <v>11.638999999999999</v>
      </c>
      <c r="AV154" s="210">
        <v>11.654999999999999</v>
      </c>
      <c r="AW154" s="210">
        <v>11.66</v>
      </c>
      <c r="AX154" s="200">
        <f t="shared" ca="1" si="28"/>
        <v>1022</v>
      </c>
      <c r="BA154" s="200" t="s">
        <v>123</v>
      </c>
      <c r="BJ154" s="200" t="s">
        <v>124</v>
      </c>
      <c r="BM154" s="200" t="s">
        <v>5655</v>
      </c>
      <c r="BN154" s="211" t="s">
        <v>5678</v>
      </c>
    </row>
    <row r="155" spans="1:66" s="200" customFormat="1" ht="18" customHeight="1" x14ac:dyDescent="0.25">
      <c r="A155" s="199"/>
      <c r="B155" s="204">
        <f ca="1">IF(A155="",(IF(ISNUMBER(SUBSTITUTE(LEFT(RIGHT(E155,LEN(E155)-MIN(SEARCH({1,2,3,4,5,6,7,8,9,0},E155&amp;"1234567890"))+1),10),".","/"))=TRUE,AO155-(SUBSTITUTE(LEFT(RIGHT(E155,LEN(E155)-MIN(SEARCH({1,2,3,4,5,6,7,8,9,0},E155&amp;"1234567890"))+1),10),".","/")),IF((SUBSTITUTE(LEFT(RIGHT(E155,LEN(E155)-MIN(SEARCH({1,2,3,4,5,6,7,8,9,0},E155&amp;"1234567890"))+1),10),".","/"))="","",(AO155)-(MID(RIGHT((SUBSTITUTE(LEFT(RIGHT(E155,LEN(E155)-MIN(SEARCH({1,2,3,4,5,6,7,8,9,0},E155&amp;"1234567890"))+1),10),".","/")),10),4,2)&amp;"/"&amp;LEFT((RIGHT((SUBSTITUTE(LEFT(RIGHT(E155,LEN(E155)-MIN(SEARCH({1,2,3,4,5,6,7,8,9,0},E155&amp;"1234567890"))+1),10),".","/")),10)),2)&amp;"/"&amp;RIGHT((SUBSTITUTE(LEFT(RIGHT(E155,LEN(E155)-MIN(SEARCH({1,2,3,4,5,6,7,8,9,0},E155&amp;"1234567890"))+1),10),".","/")),4))))),(AO155-A155))</f>
        <v>997</v>
      </c>
      <c r="C155" s="199"/>
      <c r="D155" s="201" t="str">
        <f t="shared" si="26"/>
        <v>FGC-304/2B-0.78X29</v>
      </c>
      <c r="E155" s="201" t="s">
        <v>5706</v>
      </c>
      <c r="F155" s="201" t="s">
        <v>5707</v>
      </c>
      <c r="G155" s="201" t="s">
        <v>5723</v>
      </c>
      <c r="H155" s="201">
        <v>304</v>
      </c>
      <c r="I155" s="202" t="s">
        <v>114</v>
      </c>
      <c r="J155" s="203">
        <v>1.1399999999999999</v>
      </c>
      <c r="K155" s="203">
        <v>0.78</v>
      </c>
      <c r="L155" s="203">
        <v>0.77</v>
      </c>
      <c r="M155" s="203">
        <v>0.79</v>
      </c>
      <c r="N155" s="204">
        <v>730</v>
      </c>
      <c r="O155" s="381">
        <v>0.115</v>
      </c>
      <c r="P155" s="413"/>
      <c r="Q155" s="185">
        <v>29</v>
      </c>
      <c r="R155" s="415"/>
      <c r="S155" s="414"/>
      <c r="T155" s="371"/>
      <c r="U155" s="206" t="s">
        <v>115</v>
      </c>
      <c r="V155" s="206" t="s">
        <v>5709</v>
      </c>
      <c r="W155" s="206" t="s">
        <v>114</v>
      </c>
      <c r="X155" s="205" t="s">
        <v>5710</v>
      </c>
      <c r="Y155" s="205"/>
      <c r="Z155" s="205" t="s">
        <v>5711</v>
      </c>
      <c r="AA155" s="205"/>
      <c r="AB155" s="205" t="s">
        <v>5712</v>
      </c>
      <c r="AC155" s="205"/>
      <c r="AD155" s="205"/>
      <c r="AE155" s="205"/>
      <c r="AF155" s="205"/>
      <c r="AG155" s="205"/>
      <c r="AH155" s="207"/>
      <c r="AI155" s="208" t="s">
        <v>70</v>
      </c>
      <c r="AJ155" s="208" t="s">
        <v>119</v>
      </c>
      <c r="AK155" s="209" t="s">
        <v>5713</v>
      </c>
      <c r="AL155" s="209">
        <v>43284</v>
      </c>
      <c r="AM155" s="209">
        <v>43299</v>
      </c>
      <c r="AN155" s="209"/>
      <c r="AO155" s="199">
        <f t="shared" ca="1" si="24"/>
        <v>44958</v>
      </c>
      <c r="AP155" s="208">
        <f t="shared" ca="1" si="25"/>
        <v>1659</v>
      </c>
      <c r="AQ155" s="208">
        <f t="shared" ca="1" si="27"/>
        <v>1000</v>
      </c>
      <c r="AR155" s="209"/>
      <c r="AS155" s="209" t="s">
        <v>5707</v>
      </c>
      <c r="AT155" s="210">
        <v>8.9849999999999994</v>
      </c>
      <c r="AU155" s="210">
        <v>9</v>
      </c>
      <c r="AV155" s="210">
        <v>8.9949999999999992</v>
      </c>
      <c r="AW155" s="210">
        <v>9</v>
      </c>
      <c r="AX155" s="200">
        <f t="shared" ca="1" si="28"/>
        <v>1003</v>
      </c>
      <c r="BA155" s="200" t="s">
        <v>123</v>
      </c>
      <c r="BG155" s="200" t="s">
        <v>5714</v>
      </c>
      <c r="BJ155" s="200" t="s">
        <v>124</v>
      </c>
      <c r="BM155" s="200" t="s">
        <v>5655</v>
      </c>
      <c r="BN155" s="211" t="s">
        <v>5678</v>
      </c>
    </row>
    <row r="156" spans="1:66" s="200" customFormat="1" ht="18" customHeight="1" x14ac:dyDescent="0.25">
      <c r="A156" s="199"/>
      <c r="B156" s="204">
        <f ca="1">IF(A156="",(IF(ISNUMBER(SUBSTITUTE(LEFT(RIGHT(E156,LEN(E156)-MIN(SEARCH({1,2,3,4,5,6,7,8,9,0},E156&amp;"1234567890"))+1),10),".","/"))=TRUE,AO156-(SUBSTITUTE(LEFT(RIGHT(E156,LEN(E156)-MIN(SEARCH({1,2,3,4,5,6,7,8,9,0},E156&amp;"1234567890"))+1),10),".","/")),IF((SUBSTITUTE(LEFT(RIGHT(E156,LEN(E156)-MIN(SEARCH({1,2,3,4,5,6,7,8,9,0},E156&amp;"1234567890"))+1),10),".","/"))="","",(AO156)-(MID(RIGHT((SUBSTITUTE(LEFT(RIGHT(E156,LEN(E156)-MIN(SEARCH({1,2,3,4,5,6,7,8,9,0},E156&amp;"1234567890"))+1),10),".","/")),10),4,2)&amp;"/"&amp;LEFT((RIGHT((SUBSTITUTE(LEFT(RIGHT(E156,LEN(E156)-MIN(SEARCH({1,2,3,4,5,6,7,8,9,0},E156&amp;"1234567890"))+1),10),".","/")),10)),2)&amp;"/"&amp;RIGHT((SUBSTITUTE(LEFT(RIGHT(E156,LEN(E156)-MIN(SEARCH({1,2,3,4,5,6,7,8,9,0},E156&amp;"1234567890"))+1),10),".","/")),4))))),(AO156-A156))</f>
        <v>988</v>
      </c>
      <c r="C156" s="199"/>
      <c r="D156" s="201" t="str">
        <f t="shared" si="26"/>
        <v>FGC-430/2B-1.60X36</v>
      </c>
      <c r="E156" s="201" t="s">
        <v>5724</v>
      </c>
      <c r="F156" s="201" t="s">
        <v>5725</v>
      </c>
      <c r="G156" s="201" t="s">
        <v>5726</v>
      </c>
      <c r="H156" s="201">
        <v>430</v>
      </c>
      <c r="I156" s="202" t="s">
        <v>114</v>
      </c>
      <c r="J156" s="203">
        <v>4</v>
      </c>
      <c r="K156" s="203">
        <v>1.6</v>
      </c>
      <c r="L156" s="203">
        <v>1.58</v>
      </c>
      <c r="M156" s="203">
        <v>1.59</v>
      </c>
      <c r="N156" s="204">
        <v>750</v>
      </c>
      <c r="O156" s="381">
        <f>2.695-2.585</f>
        <v>0.10999999999999988</v>
      </c>
      <c r="P156" s="413"/>
      <c r="Q156" s="185">
        <v>36</v>
      </c>
      <c r="R156" s="442"/>
      <c r="S156" s="414"/>
      <c r="T156" s="371"/>
      <c r="U156" s="206" t="s">
        <v>115</v>
      </c>
      <c r="V156" s="206" t="s">
        <v>5718</v>
      </c>
      <c r="W156" s="206" t="s">
        <v>114</v>
      </c>
      <c r="X156" s="205">
        <v>43941</v>
      </c>
      <c r="Y156" s="205"/>
      <c r="Z156" s="205">
        <v>43941</v>
      </c>
      <c r="AA156" s="205"/>
      <c r="AB156" s="205">
        <v>43969</v>
      </c>
      <c r="AC156" s="205"/>
      <c r="AD156" s="205"/>
      <c r="AE156" s="205"/>
      <c r="AF156" s="205"/>
      <c r="AG156" s="205"/>
      <c r="AH156" s="207"/>
      <c r="AI156" s="208" t="s">
        <v>69</v>
      </c>
      <c r="AJ156" s="208" t="s">
        <v>177</v>
      </c>
      <c r="AK156" s="209" t="s">
        <v>178</v>
      </c>
      <c r="AL156" s="209">
        <v>43313</v>
      </c>
      <c r="AM156" s="209">
        <v>43413</v>
      </c>
      <c r="AN156" s="209"/>
      <c r="AO156" s="199">
        <f t="shared" ca="1" si="24"/>
        <v>44958</v>
      </c>
      <c r="AP156" s="208">
        <f t="shared" ca="1" si="25"/>
        <v>1545</v>
      </c>
      <c r="AQ156" s="208">
        <f t="shared" ca="1" si="27"/>
        <v>989</v>
      </c>
      <c r="AR156" s="209" t="s">
        <v>5727</v>
      </c>
      <c r="AS156" s="209" t="s">
        <v>5725</v>
      </c>
      <c r="AT156" s="210">
        <v>11.17</v>
      </c>
      <c r="AU156" s="210">
        <v>11.2</v>
      </c>
      <c r="AV156" s="210">
        <v>11.184999999999999</v>
      </c>
      <c r="AW156" s="210">
        <v>11.19</v>
      </c>
      <c r="AX156" s="200">
        <f t="shared" ca="1" si="28"/>
        <v>1017</v>
      </c>
      <c r="BA156" s="200" t="s">
        <v>123</v>
      </c>
      <c r="BJ156" s="200" t="s">
        <v>124</v>
      </c>
      <c r="BM156" s="200" t="s">
        <v>5655</v>
      </c>
      <c r="BN156" s="211" t="s">
        <v>5656</v>
      </c>
    </row>
    <row r="157" spans="1:66" s="200" customFormat="1" ht="18" customHeight="1" x14ac:dyDescent="0.25">
      <c r="A157" s="199"/>
      <c r="B157" s="204">
        <f ca="1">IF(A157="",(IF(ISNUMBER(SUBSTITUTE(LEFT(RIGHT(E157,LEN(E157)-MIN(SEARCH({1,2,3,4,5,6,7,8,9,0},E157&amp;"1234567890"))+1),10),".","/"))=TRUE,AO157-(SUBSTITUTE(LEFT(RIGHT(E157,LEN(E157)-MIN(SEARCH({1,2,3,4,5,6,7,8,9,0},E157&amp;"1234567890"))+1),10),".","/")),IF((SUBSTITUTE(LEFT(RIGHT(E157,LEN(E157)-MIN(SEARCH({1,2,3,4,5,6,7,8,9,0},E157&amp;"1234567890"))+1),10),".","/"))="","",(AO157)-(MID(RIGHT((SUBSTITUTE(LEFT(RIGHT(E157,LEN(E157)-MIN(SEARCH({1,2,3,4,5,6,7,8,9,0},E157&amp;"1234567890"))+1),10),".","/")),10),4,2)&amp;"/"&amp;LEFT((RIGHT((SUBSTITUTE(LEFT(RIGHT(E157,LEN(E157)-MIN(SEARCH({1,2,3,4,5,6,7,8,9,0},E157&amp;"1234567890"))+1),10),".","/")),10)),2)&amp;"/"&amp;RIGHT((SUBSTITUTE(LEFT(RIGHT(E157,LEN(E157)-MIN(SEARCH({1,2,3,4,5,6,7,8,9,0},E157&amp;"1234567890"))+1),10),".","/")),4))))),(AO157-A157))</f>
        <v>997</v>
      </c>
      <c r="C157" s="199"/>
      <c r="D157" s="201" t="str">
        <f t="shared" si="26"/>
        <v>FGC-304/2B-0.78X29</v>
      </c>
      <c r="E157" s="201" t="s">
        <v>5706</v>
      </c>
      <c r="F157" s="201" t="s">
        <v>5707</v>
      </c>
      <c r="G157" s="201" t="s">
        <v>5728</v>
      </c>
      <c r="H157" s="201">
        <v>304</v>
      </c>
      <c r="I157" s="202" t="s">
        <v>114</v>
      </c>
      <c r="J157" s="203">
        <v>1.1399999999999999</v>
      </c>
      <c r="K157" s="203">
        <v>0.78</v>
      </c>
      <c r="L157" s="203">
        <v>0.77</v>
      </c>
      <c r="M157" s="203">
        <v>0.79</v>
      </c>
      <c r="N157" s="204">
        <v>730</v>
      </c>
      <c r="O157" s="381">
        <v>0.13</v>
      </c>
      <c r="P157" s="413"/>
      <c r="Q157" s="185">
        <v>29</v>
      </c>
      <c r="R157" s="415"/>
      <c r="S157" s="414"/>
      <c r="T157" s="371"/>
      <c r="U157" s="206" t="s">
        <v>115</v>
      </c>
      <c r="V157" s="206" t="s">
        <v>5709</v>
      </c>
      <c r="W157" s="206" t="s">
        <v>114</v>
      </c>
      <c r="X157" s="205" t="s">
        <v>5710</v>
      </c>
      <c r="Y157" s="205"/>
      <c r="Z157" s="205" t="s">
        <v>5711</v>
      </c>
      <c r="AA157" s="205"/>
      <c r="AB157" s="205" t="s">
        <v>5712</v>
      </c>
      <c r="AC157" s="205"/>
      <c r="AD157" s="205"/>
      <c r="AE157" s="205"/>
      <c r="AF157" s="205"/>
      <c r="AG157" s="205"/>
      <c r="AH157" s="207"/>
      <c r="AI157" s="208" t="s">
        <v>70</v>
      </c>
      <c r="AJ157" s="208" t="s">
        <v>119</v>
      </c>
      <c r="AK157" s="209" t="s">
        <v>5713</v>
      </c>
      <c r="AL157" s="209">
        <v>43284</v>
      </c>
      <c r="AM157" s="209">
        <v>43299</v>
      </c>
      <c r="AN157" s="209"/>
      <c r="AO157" s="199">
        <f t="shared" ca="1" si="24"/>
        <v>44958</v>
      </c>
      <c r="AP157" s="208">
        <f t="shared" ca="1" si="25"/>
        <v>1659</v>
      </c>
      <c r="AQ157" s="208">
        <f t="shared" ca="1" si="27"/>
        <v>1000</v>
      </c>
      <c r="AR157" s="209"/>
      <c r="AS157" s="209" t="s">
        <v>5707</v>
      </c>
      <c r="AT157" s="210">
        <v>8.9849999999999994</v>
      </c>
      <c r="AU157" s="210">
        <v>9</v>
      </c>
      <c r="AV157" s="210">
        <v>8.9949999999999992</v>
      </c>
      <c r="AW157" s="210">
        <v>9</v>
      </c>
      <c r="AX157" s="200">
        <f t="shared" ca="1" si="28"/>
        <v>1003</v>
      </c>
      <c r="BA157" s="200" t="s">
        <v>123</v>
      </c>
      <c r="BG157" s="200" t="s">
        <v>5714</v>
      </c>
      <c r="BJ157" s="200" t="s">
        <v>124</v>
      </c>
      <c r="BM157" s="200" t="s">
        <v>5655</v>
      </c>
      <c r="BN157" s="211"/>
    </row>
    <row r="158" spans="1:66" s="200" customFormat="1" ht="18" customHeight="1" x14ac:dyDescent="0.25">
      <c r="A158" s="199"/>
      <c r="B158" s="204">
        <f ca="1">IF(A158="",(IF(ISNUMBER(SUBSTITUTE(LEFT(RIGHT(E158,LEN(E158)-MIN(SEARCH({1,2,3,4,5,6,7,8,9,0},E158&amp;"1234567890"))+1),10),".","/"))=TRUE,AO158-(SUBSTITUTE(LEFT(RIGHT(E158,LEN(E158)-MIN(SEARCH({1,2,3,4,5,6,7,8,9,0},E158&amp;"1234567890"))+1),10),".","/")),IF((SUBSTITUTE(LEFT(RIGHT(E158,LEN(E158)-MIN(SEARCH({1,2,3,4,5,6,7,8,9,0},E158&amp;"1234567890"))+1),10),".","/"))="","",(AO158)-(MID(RIGHT((SUBSTITUTE(LEFT(RIGHT(E158,LEN(E158)-MIN(SEARCH({1,2,3,4,5,6,7,8,9,0},E158&amp;"1234567890"))+1),10),".","/")),10),4,2)&amp;"/"&amp;LEFT((RIGHT((SUBSTITUTE(LEFT(RIGHT(E158,LEN(E158)-MIN(SEARCH({1,2,3,4,5,6,7,8,9,0},E158&amp;"1234567890"))+1),10),".","/")),10)),2)&amp;"/"&amp;RIGHT((SUBSTITUTE(LEFT(RIGHT(E158,LEN(E158)-MIN(SEARCH({1,2,3,4,5,6,7,8,9,0},E158&amp;"1234567890"))+1),10),".","/")),4))))),(AO158-A158))</f>
        <v>988</v>
      </c>
      <c r="C158" s="199"/>
      <c r="D158" s="201" t="str">
        <f t="shared" si="26"/>
        <v>FGC-430/2B-1.60X36</v>
      </c>
      <c r="E158" s="201" t="s">
        <v>5724</v>
      </c>
      <c r="F158" s="201" t="s">
        <v>5725</v>
      </c>
      <c r="G158" s="201" t="s">
        <v>5729</v>
      </c>
      <c r="H158" s="201">
        <v>430</v>
      </c>
      <c r="I158" s="202" t="s">
        <v>114</v>
      </c>
      <c r="J158" s="203">
        <v>4</v>
      </c>
      <c r="K158" s="203">
        <v>1.6</v>
      </c>
      <c r="L158" s="203">
        <v>1.58</v>
      </c>
      <c r="M158" s="203">
        <v>1.59</v>
      </c>
      <c r="N158" s="204">
        <v>750</v>
      </c>
      <c r="O158" s="381">
        <f>2.685-2.575</f>
        <v>0.10999999999999988</v>
      </c>
      <c r="P158" s="413"/>
      <c r="Q158" s="185">
        <v>36</v>
      </c>
      <c r="R158" s="442"/>
      <c r="S158" s="414"/>
      <c r="T158" s="371"/>
      <c r="U158" s="206" t="s">
        <v>115</v>
      </c>
      <c r="V158" s="206" t="s">
        <v>5718</v>
      </c>
      <c r="W158" s="206" t="s">
        <v>114</v>
      </c>
      <c r="X158" s="205">
        <v>43941</v>
      </c>
      <c r="Y158" s="205"/>
      <c r="Z158" s="205">
        <v>43941</v>
      </c>
      <c r="AA158" s="205"/>
      <c r="AB158" s="205">
        <v>43969</v>
      </c>
      <c r="AC158" s="205"/>
      <c r="AD158" s="205"/>
      <c r="AE158" s="205"/>
      <c r="AF158" s="205"/>
      <c r="AG158" s="205"/>
      <c r="AH158" s="207"/>
      <c r="AI158" s="208" t="s">
        <v>69</v>
      </c>
      <c r="AJ158" s="208" t="s">
        <v>177</v>
      </c>
      <c r="AK158" s="209" t="s">
        <v>178</v>
      </c>
      <c r="AL158" s="209">
        <v>43313</v>
      </c>
      <c r="AM158" s="209">
        <v>43413</v>
      </c>
      <c r="AN158" s="209"/>
      <c r="AO158" s="199">
        <f t="shared" ca="1" si="24"/>
        <v>44958</v>
      </c>
      <c r="AP158" s="208">
        <f t="shared" ca="1" si="25"/>
        <v>1545</v>
      </c>
      <c r="AQ158" s="208">
        <f t="shared" ca="1" si="27"/>
        <v>989</v>
      </c>
      <c r="AR158" s="209" t="s">
        <v>5727</v>
      </c>
      <c r="AS158" s="209" t="s">
        <v>5725</v>
      </c>
      <c r="AT158" s="210">
        <v>11.17</v>
      </c>
      <c r="AU158" s="210">
        <v>11.2</v>
      </c>
      <c r="AV158" s="210">
        <v>11.184999999999999</v>
      </c>
      <c r="AW158" s="210">
        <v>11.19</v>
      </c>
      <c r="AX158" s="200">
        <f t="shared" ca="1" si="28"/>
        <v>1017</v>
      </c>
      <c r="BA158" s="200" t="s">
        <v>123</v>
      </c>
      <c r="BJ158" s="200" t="s">
        <v>124</v>
      </c>
      <c r="BN158" s="211" t="s">
        <v>5656</v>
      </c>
    </row>
    <row r="159" spans="1:66" s="200" customFormat="1" ht="18" customHeight="1" x14ac:dyDescent="0.25">
      <c r="A159" s="199"/>
      <c r="B159" s="204">
        <f ca="1">IF(A159="",(IF(ISNUMBER(SUBSTITUTE(LEFT(RIGHT(E159,LEN(E159)-MIN(SEARCH({1,2,3,4,5,6,7,8,9,0},E159&amp;"1234567890"))+1),10),".","/"))=TRUE,AO159-(SUBSTITUTE(LEFT(RIGHT(E159,LEN(E159)-MIN(SEARCH({1,2,3,4,5,6,7,8,9,0},E159&amp;"1234567890"))+1),10),".","/")),IF((SUBSTITUTE(LEFT(RIGHT(E159,LEN(E159)-MIN(SEARCH({1,2,3,4,5,6,7,8,9,0},E159&amp;"1234567890"))+1),10),".","/"))="","",(AO159)-(MID(RIGHT((SUBSTITUTE(LEFT(RIGHT(E159,LEN(E159)-MIN(SEARCH({1,2,3,4,5,6,7,8,9,0},E159&amp;"1234567890"))+1),10),".","/")),10),4,2)&amp;"/"&amp;LEFT((RIGHT((SUBSTITUTE(LEFT(RIGHT(E159,LEN(E159)-MIN(SEARCH({1,2,3,4,5,6,7,8,9,0},E159&amp;"1234567890"))+1),10),".","/")),10)),2)&amp;"/"&amp;RIGHT((SUBSTITUTE(LEFT(RIGHT(E159,LEN(E159)-MIN(SEARCH({1,2,3,4,5,6,7,8,9,0},E159&amp;"1234567890"))+1),10),".","/")),4))))),(AO159-A159))</f>
        <v>988</v>
      </c>
      <c r="C159" s="199"/>
      <c r="D159" s="201" t="str">
        <f t="shared" si="26"/>
        <v>FGC-430/2B-1.20X64.8</v>
      </c>
      <c r="E159" s="201" t="s">
        <v>5724</v>
      </c>
      <c r="F159" s="201" t="s">
        <v>5730</v>
      </c>
      <c r="G159" s="201" t="s">
        <v>5731</v>
      </c>
      <c r="H159" s="201">
        <v>430</v>
      </c>
      <c r="I159" s="202" t="s">
        <v>114</v>
      </c>
      <c r="J159" s="203">
        <v>4</v>
      </c>
      <c r="K159" s="203">
        <v>1.2</v>
      </c>
      <c r="L159" s="203">
        <v>1.21</v>
      </c>
      <c r="M159" s="203">
        <v>1.22</v>
      </c>
      <c r="N159" s="204">
        <v>750</v>
      </c>
      <c r="O159" s="381">
        <f>2.65-2.455</f>
        <v>0.19499999999999984</v>
      </c>
      <c r="P159" s="413"/>
      <c r="Q159" s="185">
        <v>64.8</v>
      </c>
      <c r="R159" s="442"/>
      <c r="S159" s="414"/>
      <c r="T159" s="371"/>
      <c r="U159" s="206" t="s">
        <v>115</v>
      </c>
      <c r="V159" s="206" t="s">
        <v>5718</v>
      </c>
      <c r="W159" s="206" t="s">
        <v>114</v>
      </c>
      <c r="X159" s="205">
        <v>43941</v>
      </c>
      <c r="Y159" s="205"/>
      <c r="Z159" s="205">
        <v>43942</v>
      </c>
      <c r="AA159" s="205"/>
      <c r="AB159" s="205">
        <v>43968</v>
      </c>
      <c r="AC159" s="205"/>
      <c r="AD159" s="205"/>
      <c r="AE159" s="205"/>
      <c r="AF159" s="205"/>
      <c r="AG159" s="205"/>
      <c r="AH159" s="207"/>
      <c r="AI159" s="208" t="s">
        <v>69</v>
      </c>
      <c r="AJ159" s="208" t="s">
        <v>177</v>
      </c>
      <c r="AK159" s="209" t="s">
        <v>178</v>
      </c>
      <c r="AL159" s="209">
        <v>43313</v>
      </c>
      <c r="AM159" s="209">
        <v>43413</v>
      </c>
      <c r="AN159" s="209"/>
      <c r="AO159" s="199">
        <f t="shared" ca="1" si="24"/>
        <v>44958</v>
      </c>
      <c r="AP159" s="208">
        <f t="shared" ca="1" si="25"/>
        <v>1545</v>
      </c>
      <c r="AQ159" s="208">
        <f t="shared" ca="1" si="27"/>
        <v>990</v>
      </c>
      <c r="AR159" s="209" t="s">
        <v>5732</v>
      </c>
      <c r="AS159" s="209" t="s">
        <v>5730</v>
      </c>
      <c r="AT159" s="210">
        <v>10.416</v>
      </c>
      <c r="AU159" s="210">
        <v>10.446</v>
      </c>
      <c r="AV159" s="210">
        <v>10.43</v>
      </c>
      <c r="AW159" s="210">
        <v>10.435</v>
      </c>
      <c r="AX159" s="200">
        <f t="shared" ca="1" si="28"/>
        <v>1016</v>
      </c>
      <c r="BA159" s="200" t="s">
        <v>123</v>
      </c>
      <c r="BJ159" s="200" t="s">
        <v>124</v>
      </c>
      <c r="BM159" s="200" t="s">
        <v>5655</v>
      </c>
      <c r="BN159" s="211" t="s">
        <v>5678</v>
      </c>
    </row>
    <row r="160" spans="1:66" s="200" customFormat="1" ht="18" customHeight="1" x14ac:dyDescent="0.25">
      <c r="A160" s="199"/>
      <c r="B160" s="204">
        <f ca="1">IF(A160="",(IF(ISNUMBER(SUBSTITUTE(LEFT(RIGHT(E160,LEN(E160)-MIN(SEARCH({1,2,3,4,5,6,7,8,9,0},E160&amp;"1234567890"))+1),10),".","/"))=TRUE,AO160-(SUBSTITUTE(LEFT(RIGHT(E160,LEN(E160)-MIN(SEARCH({1,2,3,4,5,6,7,8,9,0},E160&amp;"1234567890"))+1),10),".","/")),IF((SUBSTITUTE(LEFT(RIGHT(E160,LEN(E160)-MIN(SEARCH({1,2,3,4,5,6,7,8,9,0},E160&amp;"1234567890"))+1),10),".","/"))="","",(AO160)-(MID(RIGHT((SUBSTITUTE(LEFT(RIGHT(E160,LEN(E160)-MIN(SEARCH({1,2,3,4,5,6,7,8,9,0},E160&amp;"1234567890"))+1),10),".","/")),10),4,2)&amp;"/"&amp;LEFT((RIGHT((SUBSTITUTE(LEFT(RIGHT(E160,LEN(E160)-MIN(SEARCH({1,2,3,4,5,6,7,8,9,0},E160&amp;"1234567890"))+1),10),".","/")),10)),2)&amp;"/"&amp;RIGHT((SUBSTITUTE(LEFT(RIGHT(E160,LEN(E160)-MIN(SEARCH({1,2,3,4,5,6,7,8,9,0},E160&amp;"1234567890"))+1),10),".","/")),4))))),(AO160-A160))</f>
        <v>988</v>
      </c>
      <c r="C160" s="199"/>
      <c r="D160" s="201" t="str">
        <f t="shared" si="26"/>
        <v>FGC-430/2B-1.20X57</v>
      </c>
      <c r="E160" s="201" t="s">
        <v>5724</v>
      </c>
      <c r="F160" s="201" t="s">
        <v>5730</v>
      </c>
      <c r="G160" s="201" t="s">
        <v>5733</v>
      </c>
      <c r="H160" s="201">
        <v>430</v>
      </c>
      <c r="I160" s="202" t="s">
        <v>114</v>
      </c>
      <c r="J160" s="203">
        <v>4</v>
      </c>
      <c r="K160" s="203">
        <v>1.2</v>
      </c>
      <c r="L160" s="203">
        <v>1.21</v>
      </c>
      <c r="M160" s="203">
        <v>1.22</v>
      </c>
      <c r="N160" s="204">
        <v>750</v>
      </c>
      <c r="O160" s="381">
        <f>2.635-2.44</f>
        <v>0.19499999999999984</v>
      </c>
      <c r="P160" s="413"/>
      <c r="Q160" s="185">
        <v>57</v>
      </c>
      <c r="R160" s="442"/>
      <c r="S160" s="414"/>
      <c r="T160" s="371"/>
      <c r="U160" s="206" t="s">
        <v>115</v>
      </c>
      <c r="V160" s="206" t="s">
        <v>5718</v>
      </c>
      <c r="W160" s="206" t="s">
        <v>114</v>
      </c>
      <c r="X160" s="205">
        <v>43941</v>
      </c>
      <c r="Y160" s="205"/>
      <c r="Z160" s="205">
        <v>43942</v>
      </c>
      <c r="AA160" s="205"/>
      <c r="AB160" s="205">
        <v>43968</v>
      </c>
      <c r="AC160" s="205"/>
      <c r="AD160" s="205"/>
      <c r="AE160" s="205"/>
      <c r="AF160" s="205"/>
      <c r="AG160" s="205"/>
      <c r="AH160" s="207"/>
      <c r="AI160" s="208" t="s">
        <v>69</v>
      </c>
      <c r="AJ160" s="208" t="s">
        <v>177</v>
      </c>
      <c r="AK160" s="209" t="s">
        <v>178</v>
      </c>
      <c r="AL160" s="209">
        <v>43313</v>
      </c>
      <c r="AM160" s="209">
        <v>43413</v>
      </c>
      <c r="AN160" s="209"/>
      <c r="AO160" s="199">
        <f t="shared" ca="1" si="24"/>
        <v>44958</v>
      </c>
      <c r="AP160" s="208">
        <f t="shared" ca="1" si="25"/>
        <v>1545</v>
      </c>
      <c r="AQ160" s="208">
        <f t="shared" ca="1" si="27"/>
        <v>990</v>
      </c>
      <c r="AR160" s="209" t="s">
        <v>5732</v>
      </c>
      <c r="AS160" s="209" t="s">
        <v>5730</v>
      </c>
      <c r="AT160" s="210">
        <v>10.416</v>
      </c>
      <c r="AU160" s="210">
        <v>10.446</v>
      </c>
      <c r="AV160" s="210">
        <v>10.43</v>
      </c>
      <c r="AW160" s="210">
        <v>10.435</v>
      </c>
      <c r="AX160" s="200">
        <f t="shared" ca="1" si="28"/>
        <v>1016</v>
      </c>
      <c r="BA160" s="200" t="s">
        <v>123</v>
      </c>
      <c r="BJ160" s="200" t="s">
        <v>124</v>
      </c>
      <c r="BM160" s="200" t="s">
        <v>5655</v>
      </c>
      <c r="BN160" s="211"/>
    </row>
    <row r="161" spans="1:66" s="200" customFormat="1" ht="18" customHeight="1" x14ac:dyDescent="0.25">
      <c r="A161" s="199"/>
      <c r="B161" s="204">
        <f ca="1">IF(A161="",(IF(ISNUMBER(SUBSTITUTE(LEFT(RIGHT(E161,LEN(E161)-MIN(SEARCH({1,2,3,4,5,6,7,8,9,0},E161&amp;"1234567890"))+1),10),".","/"))=TRUE,AO161-(SUBSTITUTE(LEFT(RIGHT(E161,LEN(E161)-MIN(SEARCH({1,2,3,4,5,6,7,8,9,0},E161&amp;"1234567890"))+1),10),".","/")),IF((SUBSTITUTE(LEFT(RIGHT(E161,LEN(E161)-MIN(SEARCH({1,2,3,4,5,6,7,8,9,0},E161&amp;"1234567890"))+1),10),".","/"))="","",(AO161)-(MID(RIGHT((SUBSTITUTE(LEFT(RIGHT(E161,LEN(E161)-MIN(SEARCH({1,2,3,4,5,6,7,8,9,0},E161&amp;"1234567890"))+1),10),".","/")),10),4,2)&amp;"/"&amp;LEFT((RIGHT((SUBSTITUTE(LEFT(RIGHT(E161,LEN(E161)-MIN(SEARCH({1,2,3,4,5,6,7,8,9,0},E161&amp;"1234567890"))+1),10),".","/")),10)),2)&amp;"/"&amp;RIGHT((SUBSTITUTE(LEFT(RIGHT(E161,LEN(E161)-MIN(SEARCH({1,2,3,4,5,6,7,8,9,0},E161&amp;"1234567890"))+1),10),".","/")),4))))),(AO161-A161))</f>
        <v>988</v>
      </c>
      <c r="C161" s="199"/>
      <c r="D161" s="201" t="str">
        <f t="shared" si="26"/>
        <v>FGC-430/2B-1.20X57</v>
      </c>
      <c r="E161" s="201" t="s">
        <v>5724</v>
      </c>
      <c r="F161" s="201" t="s">
        <v>5730</v>
      </c>
      <c r="G161" s="201" t="s">
        <v>5734</v>
      </c>
      <c r="H161" s="201">
        <v>430</v>
      </c>
      <c r="I161" s="202" t="s">
        <v>114</v>
      </c>
      <c r="J161" s="203">
        <v>4</v>
      </c>
      <c r="K161" s="203">
        <v>1.2</v>
      </c>
      <c r="L161" s="203">
        <v>1.21</v>
      </c>
      <c r="M161" s="203">
        <v>1.22</v>
      </c>
      <c r="N161" s="204">
        <v>750</v>
      </c>
      <c r="O161" s="381">
        <f>2.13-1.975</f>
        <v>0.1549999999999998</v>
      </c>
      <c r="P161" s="413"/>
      <c r="Q161" s="185">
        <v>57</v>
      </c>
      <c r="R161" s="442"/>
      <c r="S161" s="414"/>
      <c r="T161" s="371"/>
      <c r="U161" s="206" t="s">
        <v>115</v>
      </c>
      <c r="V161" s="206" t="s">
        <v>5718</v>
      </c>
      <c r="W161" s="206" t="s">
        <v>114</v>
      </c>
      <c r="X161" s="205">
        <v>43941</v>
      </c>
      <c r="Y161" s="205"/>
      <c r="Z161" s="205">
        <v>43942</v>
      </c>
      <c r="AA161" s="205"/>
      <c r="AB161" s="205">
        <v>43968</v>
      </c>
      <c r="AC161" s="205"/>
      <c r="AD161" s="205"/>
      <c r="AE161" s="205"/>
      <c r="AF161" s="205"/>
      <c r="AG161" s="205"/>
      <c r="AH161" s="207"/>
      <c r="AI161" s="208" t="s">
        <v>69</v>
      </c>
      <c r="AJ161" s="208" t="s">
        <v>177</v>
      </c>
      <c r="AK161" s="209" t="s">
        <v>178</v>
      </c>
      <c r="AL161" s="209">
        <v>43313</v>
      </c>
      <c r="AM161" s="209">
        <v>43413</v>
      </c>
      <c r="AN161" s="209"/>
      <c r="AO161" s="199">
        <f t="shared" ca="1" si="24"/>
        <v>44958</v>
      </c>
      <c r="AP161" s="208">
        <f t="shared" ca="1" si="25"/>
        <v>1545</v>
      </c>
      <c r="AQ161" s="208">
        <f t="shared" ca="1" si="27"/>
        <v>990</v>
      </c>
      <c r="AR161" s="209" t="s">
        <v>5732</v>
      </c>
      <c r="AS161" s="209" t="s">
        <v>5730</v>
      </c>
      <c r="AT161" s="210">
        <v>10.416</v>
      </c>
      <c r="AU161" s="210">
        <v>10.446</v>
      </c>
      <c r="AV161" s="210">
        <v>10.43</v>
      </c>
      <c r="AW161" s="210">
        <v>10.435</v>
      </c>
      <c r="AX161" s="200">
        <f t="shared" ca="1" si="28"/>
        <v>1016</v>
      </c>
      <c r="BA161" s="200" t="s">
        <v>123</v>
      </c>
      <c r="BJ161" s="200" t="s">
        <v>124</v>
      </c>
      <c r="BN161" s="211" t="s">
        <v>5656</v>
      </c>
    </row>
    <row r="162" spans="1:66" s="200" customFormat="1" ht="18" customHeight="1" x14ac:dyDescent="0.25">
      <c r="A162" s="199"/>
      <c r="B162" s="204">
        <f ca="1">IF(A162="",(IF(ISNUMBER(SUBSTITUTE(LEFT(RIGHT(E162,LEN(E162)-MIN(SEARCH({1,2,3,4,5,6,7,8,9,0},E162&amp;"1234567890"))+1),10),".","/"))=TRUE,AO162-(SUBSTITUTE(LEFT(RIGHT(E162,LEN(E162)-MIN(SEARCH({1,2,3,4,5,6,7,8,9,0},E162&amp;"1234567890"))+1),10),".","/")),IF((SUBSTITUTE(LEFT(RIGHT(E162,LEN(E162)-MIN(SEARCH({1,2,3,4,5,6,7,8,9,0},E162&amp;"1234567890"))+1),10),".","/"))="","",(AO162)-(MID(RIGHT((SUBSTITUTE(LEFT(RIGHT(E162,LEN(E162)-MIN(SEARCH({1,2,3,4,5,6,7,8,9,0},E162&amp;"1234567890"))+1),10),".","/")),10),4,2)&amp;"/"&amp;LEFT((RIGHT((SUBSTITUTE(LEFT(RIGHT(E162,LEN(E162)-MIN(SEARCH({1,2,3,4,5,6,7,8,9,0},E162&amp;"1234567890"))+1),10),".","/")),10)),2)&amp;"/"&amp;RIGHT((SUBSTITUTE(LEFT(RIGHT(E162,LEN(E162)-MIN(SEARCH({1,2,3,4,5,6,7,8,9,0},E162&amp;"1234567890"))+1),10),".","/")),4))))),(AO162-A162))</f>
        <v>988</v>
      </c>
      <c r="C162" s="199"/>
      <c r="D162" s="201" t="str">
        <f t="shared" si="26"/>
        <v>FGC-430/2B-1.20X57</v>
      </c>
      <c r="E162" s="201" t="s">
        <v>5724</v>
      </c>
      <c r="F162" s="201" t="s">
        <v>5730</v>
      </c>
      <c r="G162" s="201" t="s">
        <v>5735</v>
      </c>
      <c r="H162" s="201">
        <v>430</v>
      </c>
      <c r="I162" s="202" t="s">
        <v>114</v>
      </c>
      <c r="J162" s="203">
        <v>4</v>
      </c>
      <c r="K162" s="203">
        <v>1.2</v>
      </c>
      <c r="L162" s="203">
        <v>1.21</v>
      </c>
      <c r="M162" s="203">
        <v>1.22</v>
      </c>
      <c r="N162" s="204">
        <v>750</v>
      </c>
      <c r="O162" s="381">
        <f>2.605-2.41</f>
        <v>0.19499999999999984</v>
      </c>
      <c r="P162" s="413"/>
      <c r="Q162" s="185">
        <v>57</v>
      </c>
      <c r="R162" s="442"/>
      <c r="S162" s="414"/>
      <c r="T162" s="371"/>
      <c r="U162" s="206" t="s">
        <v>115</v>
      </c>
      <c r="V162" s="206" t="s">
        <v>5718</v>
      </c>
      <c r="W162" s="206" t="s">
        <v>114</v>
      </c>
      <c r="X162" s="205">
        <v>43941</v>
      </c>
      <c r="Y162" s="205"/>
      <c r="Z162" s="205">
        <v>43942</v>
      </c>
      <c r="AA162" s="205"/>
      <c r="AB162" s="205">
        <v>43968</v>
      </c>
      <c r="AC162" s="205"/>
      <c r="AD162" s="205"/>
      <c r="AE162" s="205"/>
      <c r="AF162" s="205"/>
      <c r="AG162" s="205"/>
      <c r="AH162" s="207"/>
      <c r="AI162" s="208" t="s">
        <v>69</v>
      </c>
      <c r="AJ162" s="208" t="s">
        <v>177</v>
      </c>
      <c r="AK162" s="209" t="s">
        <v>178</v>
      </c>
      <c r="AL162" s="209">
        <v>43313</v>
      </c>
      <c r="AM162" s="209">
        <v>43413</v>
      </c>
      <c r="AN162" s="209"/>
      <c r="AO162" s="199">
        <f t="shared" ca="1" si="24"/>
        <v>44958</v>
      </c>
      <c r="AP162" s="208">
        <f t="shared" ca="1" si="25"/>
        <v>1545</v>
      </c>
      <c r="AQ162" s="208">
        <f t="shared" ca="1" si="27"/>
        <v>990</v>
      </c>
      <c r="AR162" s="209" t="s">
        <v>5732</v>
      </c>
      <c r="AS162" s="209" t="s">
        <v>5730</v>
      </c>
      <c r="AT162" s="210">
        <v>10.416</v>
      </c>
      <c r="AU162" s="210">
        <v>10.446</v>
      </c>
      <c r="AV162" s="210">
        <v>10.43</v>
      </c>
      <c r="AW162" s="210">
        <v>10.435</v>
      </c>
      <c r="AX162" s="200">
        <f t="shared" ca="1" si="28"/>
        <v>1016</v>
      </c>
      <c r="BA162" s="200" t="s">
        <v>123</v>
      </c>
      <c r="BJ162" s="200" t="s">
        <v>124</v>
      </c>
      <c r="BM162" s="200" t="s">
        <v>5655</v>
      </c>
      <c r="BN162" s="211" t="s">
        <v>5656</v>
      </c>
    </row>
    <row r="163" spans="1:66" s="200" customFormat="1" ht="18" customHeight="1" x14ac:dyDescent="0.25">
      <c r="A163" s="199"/>
      <c r="B163" s="204">
        <f ca="1">IF(A163="",(IF(ISNUMBER(SUBSTITUTE(LEFT(RIGHT(E163,LEN(E163)-MIN(SEARCH({1,2,3,4,5,6,7,8,9,0},E163&amp;"1234567890"))+1),10),".","/"))=TRUE,AO163-(SUBSTITUTE(LEFT(RIGHT(E163,LEN(E163)-MIN(SEARCH({1,2,3,4,5,6,7,8,9,0},E163&amp;"1234567890"))+1),10),".","/")),IF((SUBSTITUTE(LEFT(RIGHT(E163,LEN(E163)-MIN(SEARCH({1,2,3,4,5,6,7,8,9,0},E163&amp;"1234567890"))+1),10),".","/"))="","",(AO163)-(MID(RIGHT((SUBSTITUTE(LEFT(RIGHT(E163,LEN(E163)-MIN(SEARCH({1,2,3,4,5,6,7,8,9,0},E163&amp;"1234567890"))+1),10),".","/")),10),4,2)&amp;"/"&amp;LEFT((RIGHT((SUBSTITUTE(LEFT(RIGHT(E163,LEN(E163)-MIN(SEARCH({1,2,3,4,5,6,7,8,9,0},E163&amp;"1234567890"))+1),10),".","/")),10)),2)&amp;"/"&amp;RIGHT((SUBSTITUTE(LEFT(RIGHT(E163,LEN(E163)-MIN(SEARCH({1,2,3,4,5,6,7,8,9,0},E163&amp;"1234567890"))+1),10),".","/")),4))))),(AO163-A163))</f>
        <v>988</v>
      </c>
      <c r="C163" s="199"/>
      <c r="D163" s="201" t="str">
        <f t="shared" si="26"/>
        <v>FGC-430/2B-1.60X36</v>
      </c>
      <c r="E163" s="201" t="s">
        <v>5724</v>
      </c>
      <c r="F163" s="201" t="s">
        <v>5725</v>
      </c>
      <c r="G163" s="201" t="s">
        <v>5736</v>
      </c>
      <c r="H163" s="201">
        <v>430</v>
      </c>
      <c r="I163" s="202" t="s">
        <v>114</v>
      </c>
      <c r="J163" s="203">
        <v>4</v>
      </c>
      <c r="K163" s="203">
        <v>1.6</v>
      </c>
      <c r="L163" s="203">
        <v>1.58</v>
      </c>
      <c r="M163" s="203">
        <v>1.59</v>
      </c>
      <c r="N163" s="204">
        <v>750</v>
      </c>
      <c r="O163" s="381">
        <f>2.69-2.58</f>
        <v>0.10999999999999988</v>
      </c>
      <c r="P163" s="413"/>
      <c r="Q163" s="185">
        <v>36</v>
      </c>
      <c r="R163" s="442"/>
      <c r="S163" s="414"/>
      <c r="T163" s="371"/>
      <c r="U163" s="206" t="s">
        <v>115</v>
      </c>
      <c r="V163" s="206" t="s">
        <v>5718</v>
      </c>
      <c r="W163" s="206" t="s">
        <v>114</v>
      </c>
      <c r="X163" s="205">
        <v>43941</v>
      </c>
      <c r="Y163" s="205"/>
      <c r="Z163" s="205">
        <v>43941</v>
      </c>
      <c r="AA163" s="205"/>
      <c r="AB163" s="205">
        <v>43969</v>
      </c>
      <c r="AC163" s="205"/>
      <c r="AD163" s="205"/>
      <c r="AE163" s="205"/>
      <c r="AF163" s="205"/>
      <c r="AG163" s="205"/>
      <c r="AH163" s="207"/>
      <c r="AI163" s="208" t="s">
        <v>69</v>
      </c>
      <c r="AJ163" s="208" t="s">
        <v>177</v>
      </c>
      <c r="AK163" s="209" t="s">
        <v>178</v>
      </c>
      <c r="AL163" s="209">
        <v>43313</v>
      </c>
      <c r="AM163" s="209">
        <v>43413</v>
      </c>
      <c r="AN163" s="209"/>
      <c r="AO163" s="199">
        <f t="shared" ca="1" si="24"/>
        <v>44958</v>
      </c>
      <c r="AP163" s="208">
        <f t="shared" ca="1" si="25"/>
        <v>1545</v>
      </c>
      <c r="AQ163" s="208">
        <f t="shared" ca="1" si="27"/>
        <v>989</v>
      </c>
      <c r="AR163" s="209" t="s">
        <v>5727</v>
      </c>
      <c r="AS163" s="209" t="s">
        <v>5725</v>
      </c>
      <c r="AT163" s="210">
        <v>11.17</v>
      </c>
      <c r="AU163" s="210">
        <v>11.2</v>
      </c>
      <c r="AV163" s="210">
        <v>11.184999999999999</v>
      </c>
      <c r="AW163" s="210">
        <v>11.19</v>
      </c>
      <c r="AX163" s="200">
        <f t="shared" ca="1" si="28"/>
        <v>1017</v>
      </c>
      <c r="BA163" s="200" t="s">
        <v>123</v>
      </c>
      <c r="BJ163" s="200" t="s">
        <v>124</v>
      </c>
      <c r="BM163" s="200" t="s">
        <v>5655</v>
      </c>
      <c r="BN163" s="211" t="s">
        <v>5656</v>
      </c>
    </row>
    <row r="164" spans="1:66" s="200" customFormat="1" ht="18" customHeight="1" x14ac:dyDescent="0.25">
      <c r="A164" s="199"/>
      <c r="B164" s="204">
        <f ca="1">IF(A164="",(IF(ISNUMBER(SUBSTITUTE(LEFT(RIGHT(E164,LEN(E164)-MIN(SEARCH({1,2,3,4,5,6,7,8,9,0},E164&amp;"1234567890"))+1),10),".","/"))=TRUE,AO164-(SUBSTITUTE(LEFT(RIGHT(E164,LEN(E164)-MIN(SEARCH({1,2,3,4,5,6,7,8,9,0},E164&amp;"1234567890"))+1),10),".","/")),IF((SUBSTITUTE(LEFT(RIGHT(E164,LEN(E164)-MIN(SEARCH({1,2,3,4,5,6,7,8,9,0},E164&amp;"1234567890"))+1),10),".","/"))="","",(AO164)-(MID(RIGHT((SUBSTITUTE(LEFT(RIGHT(E164,LEN(E164)-MIN(SEARCH({1,2,3,4,5,6,7,8,9,0},E164&amp;"1234567890"))+1),10),".","/")),10),4,2)&amp;"/"&amp;LEFT((RIGHT((SUBSTITUTE(LEFT(RIGHT(E164,LEN(E164)-MIN(SEARCH({1,2,3,4,5,6,7,8,9,0},E164&amp;"1234567890"))+1),10),".","/")),10)),2)&amp;"/"&amp;RIGHT((SUBSTITUTE(LEFT(RIGHT(E164,LEN(E164)-MIN(SEARCH({1,2,3,4,5,6,7,8,9,0},E164&amp;"1234567890"))+1),10),".","/")),4))))),(AO164-A164))</f>
        <v>988</v>
      </c>
      <c r="C164" s="199"/>
      <c r="D164" s="201" t="str">
        <f t="shared" si="26"/>
        <v>FGC-430/2B-1.60X36</v>
      </c>
      <c r="E164" s="201" t="s">
        <v>5724</v>
      </c>
      <c r="F164" s="201" t="s">
        <v>5725</v>
      </c>
      <c r="G164" s="201" t="s">
        <v>5737</v>
      </c>
      <c r="H164" s="201">
        <v>430</v>
      </c>
      <c r="I164" s="202" t="s">
        <v>114</v>
      </c>
      <c r="J164" s="203">
        <v>4</v>
      </c>
      <c r="K164" s="203">
        <v>1.6</v>
      </c>
      <c r="L164" s="203">
        <v>1.58</v>
      </c>
      <c r="M164" s="203">
        <v>1.59</v>
      </c>
      <c r="N164" s="204">
        <v>750</v>
      </c>
      <c r="O164" s="381">
        <f>2.715-2.605</f>
        <v>0.10999999999999988</v>
      </c>
      <c r="P164" s="413"/>
      <c r="Q164" s="185">
        <v>36</v>
      </c>
      <c r="R164" s="442"/>
      <c r="S164" s="414"/>
      <c r="T164" s="371"/>
      <c r="U164" s="206" t="s">
        <v>115</v>
      </c>
      <c r="V164" s="206" t="s">
        <v>5718</v>
      </c>
      <c r="W164" s="206" t="s">
        <v>114</v>
      </c>
      <c r="X164" s="205">
        <v>43941</v>
      </c>
      <c r="Y164" s="205"/>
      <c r="Z164" s="205">
        <v>43941</v>
      </c>
      <c r="AA164" s="205"/>
      <c r="AB164" s="205">
        <v>43969</v>
      </c>
      <c r="AC164" s="205"/>
      <c r="AD164" s="205"/>
      <c r="AE164" s="205"/>
      <c r="AF164" s="205"/>
      <c r="AG164" s="205"/>
      <c r="AH164" s="207"/>
      <c r="AI164" s="208" t="s">
        <v>69</v>
      </c>
      <c r="AJ164" s="208" t="s">
        <v>177</v>
      </c>
      <c r="AK164" s="209" t="s">
        <v>178</v>
      </c>
      <c r="AL164" s="209">
        <v>43313</v>
      </c>
      <c r="AM164" s="209">
        <v>43413</v>
      </c>
      <c r="AN164" s="209"/>
      <c r="AO164" s="199">
        <f t="shared" ca="1" si="24"/>
        <v>44958</v>
      </c>
      <c r="AP164" s="208">
        <f t="shared" ca="1" si="25"/>
        <v>1545</v>
      </c>
      <c r="AQ164" s="208">
        <f t="shared" ca="1" si="27"/>
        <v>989</v>
      </c>
      <c r="AR164" s="209" t="s">
        <v>5727</v>
      </c>
      <c r="AS164" s="209" t="s">
        <v>5725</v>
      </c>
      <c r="AT164" s="210">
        <v>11.17</v>
      </c>
      <c r="AU164" s="210">
        <v>11.2</v>
      </c>
      <c r="AV164" s="210">
        <v>11.184999999999999</v>
      </c>
      <c r="AW164" s="210">
        <v>11.19</v>
      </c>
      <c r="AX164" s="200">
        <f t="shared" ca="1" si="28"/>
        <v>1017</v>
      </c>
      <c r="BA164" s="200" t="s">
        <v>123</v>
      </c>
      <c r="BJ164" s="200" t="s">
        <v>124</v>
      </c>
      <c r="BM164" s="200" t="s">
        <v>5655</v>
      </c>
      <c r="BN164" s="211" t="s">
        <v>5656</v>
      </c>
    </row>
    <row r="165" spans="1:66" s="200" customFormat="1" ht="18" customHeight="1" x14ac:dyDescent="0.25">
      <c r="A165" s="199"/>
      <c r="B165" s="204">
        <f ca="1">IF(A165="",(IF(ISNUMBER(SUBSTITUTE(LEFT(RIGHT(E165,LEN(E165)-MIN(SEARCH({1,2,3,4,5,6,7,8,9,0},E165&amp;"1234567890"))+1),10),".","/"))=TRUE,AO165-(SUBSTITUTE(LEFT(RIGHT(E165,LEN(E165)-MIN(SEARCH({1,2,3,4,5,6,7,8,9,0},E165&amp;"1234567890"))+1),10),".","/")),IF((SUBSTITUTE(LEFT(RIGHT(E165,LEN(E165)-MIN(SEARCH({1,2,3,4,5,6,7,8,9,0},E165&amp;"1234567890"))+1),10),".","/"))="","",(AO165)-(MID(RIGHT((SUBSTITUTE(LEFT(RIGHT(E165,LEN(E165)-MIN(SEARCH({1,2,3,4,5,6,7,8,9,0},E165&amp;"1234567890"))+1),10),".","/")),10),4,2)&amp;"/"&amp;LEFT((RIGHT((SUBSTITUTE(LEFT(RIGHT(E165,LEN(E165)-MIN(SEARCH({1,2,3,4,5,6,7,8,9,0},E165&amp;"1234567890"))+1),10),".","/")),10)),2)&amp;"/"&amp;RIGHT((SUBSTITUTE(LEFT(RIGHT(E165,LEN(E165)-MIN(SEARCH({1,2,3,4,5,6,7,8,9,0},E165&amp;"1234567890"))+1),10),".","/")),4))))),(AO165-A165))</f>
        <v>961</v>
      </c>
      <c r="C165" s="199"/>
      <c r="D165" s="201" t="str">
        <f t="shared" si="26"/>
        <v>FGC-430/2B-1.60X58.25</v>
      </c>
      <c r="E165" s="201" t="s">
        <v>5738</v>
      </c>
      <c r="F165" s="201" t="s">
        <v>5739</v>
      </c>
      <c r="G165" s="201" t="s">
        <v>5740</v>
      </c>
      <c r="H165" s="201">
        <v>430</v>
      </c>
      <c r="I165" s="202" t="s">
        <v>114</v>
      </c>
      <c r="J165" s="203">
        <v>4</v>
      </c>
      <c r="K165" s="203">
        <v>1.6</v>
      </c>
      <c r="L165" s="203">
        <v>1.62</v>
      </c>
      <c r="M165" s="203">
        <v>1.64</v>
      </c>
      <c r="N165" s="204">
        <v>750</v>
      </c>
      <c r="O165" s="381">
        <f>2.835-2.615</f>
        <v>0.21999999999999975</v>
      </c>
      <c r="P165" s="413"/>
      <c r="Q165" s="185">
        <v>58.25</v>
      </c>
      <c r="R165" s="415"/>
      <c r="S165" s="414"/>
      <c r="T165" s="371"/>
      <c r="U165" s="206" t="s">
        <v>115</v>
      </c>
      <c r="V165" s="206" t="s">
        <v>5718</v>
      </c>
      <c r="W165" s="206" t="s">
        <v>114</v>
      </c>
      <c r="X165" s="205">
        <v>43941</v>
      </c>
      <c r="Y165" s="205"/>
      <c r="Z165" s="205">
        <v>43941</v>
      </c>
      <c r="AA165" s="205"/>
      <c r="AB165" s="205">
        <v>43968</v>
      </c>
      <c r="AC165" s="205"/>
      <c r="AD165" s="205"/>
      <c r="AE165" s="205"/>
      <c r="AF165" s="205"/>
      <c r="AG165" s="205"/>
      <c r="AH165" s="207"/>
      <c r="AI165" s="208" t="s">
        <v>69</v>
      </c>
      <c r="AJ165" s="208" t="s">
        <v>177</v>
      </c>
      <c r="AK165" s="209" t="s">
        <v>178</v>
      </c>
      <c r="AL165" s="209">
        <v>43313</v>
      </c>
      <c r="AM165" s="209">
        <v>43413</v>
      </c>
      <c r="AN165" s="209"/>
      <c r="AO165" s="199">
        <f t="shared" ca="1" si="24"/>
        <v>44958</v>
      </c>
      <c r="AP165" s="208">
        <f t="shared" ca="1" si="25"/>
        <v>1545</v>
      </c>
      <c r="AQ165" s="208">
        <f t="shared" ca="1" si="27"/>
        <v>990</v>
      </c>
      <c r="AR165" s="209" t="s">
        <v>5727</v>
      </c>
      <c r="AS165" s="209" t="s">
        <v>5739</v>
      </c>
      <c r="AT165" s="210">
        <v>11.597</v>
      </c>
      <c r="AU165" s="210">
        <v>11.626999999999999</v>
      </c>
      <c r="AV165" s="210">
        <v>11.639999999999999</v>
      </c>
      <c r="AW165" s="210">
        <v>11.645</v>
      </c>
      <c r="AX165" s="200">
        <f t="shared" ca="1" si="28"/>
        <v>1017</v>
      </c>
      <c r="BA165" s="200" t="s">
        <v>123</v>
      </c>
      <c r="BJ165" s="200" t="s">
        <v>124</v>
      </c>
      <c r="BM165" s="200" t="s">
        <v>5655</v>
      </c>
      <c r="BN165" s="211" t="s">
        <v>5678</v>
      </c>
    </row>
    <row r="166" spans="1:66" s="200" customFormat="1" ht="18" customHeight="1" x14ac:dyDescent="0.25">
      <c r="A166" s="199"/>
      <c r="B166" s="204">
        <f ca="1">IF(A166="",(IF(ISNUMBER(SUBSTITUTE(LEFT(RIGHT(E166,LEN(E166)-MIN(SEARCH({1,2,3,4,5,6,7,8,9,0},E166&amp;"1234567890"))+1),10),".","/"))=TRUE,AO166-(SUBSTITUTE(LEFT(RIGHT(E166,LEN(E166)-MIN(SEARCH({1,2,3,4,5,6,7,8,9,0},E166&amp;"1234567890"))+1),10),".","/")),IF((SUBSTITUTE(LEFT(RIGHT(E166,LEN(E166)-MIN(SEARCH({1,2,3,4,5,6,7,8,9,0},E166&amp;"1234567890"))+1),10),".","/"))="","",(AO166)-(MID(RIGHT((SUBSTITUTE(LEFT(RIGHT(E166,LEN(E166)-MIN(SEARCH({1,2,3,4,5,6,7,8,9,0},E166&amp;"1234567890"))+1),10),".","/")),10),4,2)&amp;"/"&amp;LEFT((RIGHT((SUBSTITUTE(LEFT(RIGHT(E166,LEN(E166)-MIN(SEARCH({1,2,3,4,5,6,7,8,9,0},E166&amp;"1234567890"))+1),10),".","/")),10)),2)&amp;"/"&amp;RIGHT((SUBSTITUTE(LEFT(RIGHT(E166,LEN(E166)-MIN(SEARCH({1,2,3,4,5,6,7,8,9,0},E166&amp;"1234567890"))+1),10),".","/")),4))))),(AO166-A166))</f>
        <v>961</v>
      </c>
      <c r="C166" s="199"/>
      <c r="D166" s="201" t="str">
        <f t="shared" si="26"/>
        <v>FGC-430/2B-1.60X58.25</v>
      </c>
      <c r="E166" s="201" t="s">
        <v>5738</v>
      </c>
      <c r="F166" s="201" t="s">
        <v>5739</v>
      </c>
      <c r="G166" s="201" t="s">
        <v>5741</v>
      </c>
      <c r="H166" s="201">
        <v>430</v>
      </c>
      <c r="I166" s="202" t="s">
        <v>114</v>
      </c>
      <c r="J166" s="203">
        <v>4</v>
      </c>
      <c r="K166" s="203">
        <v>1.6</v>
      </c>
      <c r="L166" s="203">
        <v>1.62</v>
      </c>
      <c r="M166" s="203">
        <v>1.64</v>
      </c>
      <c r="N166" s="204">
        <v>750</v>
      </c>
      <c r="O166" s="381">
        <f>2.83-2.61</f>
        <v>0.2200000000000002</v>
      </c>
      <c r="P166" s="413"/>
      <c r="Q166" s="185">
        <v>58.25</v>
      </c>
      <c r="R166" s="415"/>
      <c r="S166" s="414"/>
      <c r="T166" s="371"/>
      <c r="U166" s="206" t="s">
        <v>115</v>
      </c>
      <c r="V166" s="206" t="s">
        <v>5718</v>
      </c>
      <c r="W166" s="206" t="s">
        <v>114</v>
      </c>
      <c r="X166" s="205">
        <v>43941</v>
      </c>
      <c r="Y166" s="205"/>
      <c r="Z166" s="205">
        <v>43941</v>
      </c>
      <c r="AA166" s="205"/>
      <c r="AB166" s="205">
        <v>43968</v>
      </c>
      <c r="AC166" s="205"/>
      <c r="AD166" s="205"/>
      <c r="AE166" s="205"/>
      <c r="AF166" s="205"/>
      <c r="AG166" s="205"/>
      <c r="AH166" s="207"/>
      <c r="AI166" s="208" t="s">
        <v>69</v>
      </c>
      <c r="AJ166" s="208" t="s">
        <v>177</v>
      </c>
      <c r="AK166" s="209" t="s">
        <v>178</v>
      </c>
      <c r="AL166" s="209">
        <v>43313</v>
      </c>
      <c r="AM166" s="209">
        <v>43413</v>
      </c>
      <c r="AN166" s="209"/>
      <c r="AO166" s="199">
        <f t="shared" ca="1" si="24"/>
        <v>44958</v>
      </c>
      <c r="AP166" s="208">
        <f t="shared" ca="1" si="25"/>
        <v>1545</v>
      </c>
      <c r="AQ166" s="208">
        <f t="shared" ca="1" si="27"/>
        <v>990</v>
      </c>
      <c r="AR166" s="209" t="s">
        <v>5727</v>
      </c>
      <c r="AS166" s="209" t="s">
        <v>5739</v>
      </c>
      <c r="AT166" s="210">
        <v>11.597</v>
      </c>
      <c r="AU166" s="210">
        <v>11.626999999999999</v>
      </c>
      <c r="AV166" s="210">
        <v>11.639999999999999</v>
      </c>
      <c r="AW166" s="210">
        <v>11.645</v>
      </c>
      <c r="AX166" s="200">
        <f t="shared" ca="1" si="28"/>
        <v>1017</v>
      </c>
      <c r="BA166" s="200" t="s">
        <v>123</v>
      </c>
      <c r="BJ166" s="200" t="s">
        <v>124</v>
      </c>
      <c r="BM166" s="200" t="s">
        <v>5655</v>
      </c>
      <c r="BN166" s="211" t="s">
        <v>5678</v>
      </c>
    </row>
    <row r="167" spans="1:66" s="200" customFormat="1" ht="18" customHeight="1" x14ac:dyDescent="0.25">
      <c r="A167" s="199"/>
      <c r="B167" s="204">
        <f ca="1">IF(A167="",(IF(ISNUMBER(SUBSTITUTE(LEFT(RIGHT(E167,LEN(E167)-MIN(SEARCH({1,2,3,4,5,6,7,8,9,0},E167&amp;"1234567890"))+1),10),".","/"))=TRUE,AO167-(SUBSTITUTE(LEFT(RIGHT(E167,LEN(E167)-MIN(SEARCH({1,2,3,4,5,6,7,8,9,0},E167&amp;"1234567890"))+1),10),".","/")),IF((SUBSTITUTE(LEFT(RIGHT(E167,LEN(E167)-MIN(SEARCH({1,2,3,4,5,6,7,8,9,0},E167&amp;"1234567890"))+1),10),".","/"))="","",(AO167)-(MID(RIGHT((SUBSTITUTE(LEFT(RIGHT(E167,LEN(E167)-MIN(SEARCH({1,2,3,4,5,6,7,8,9,0},E167&amp;"1234567890"))+1),10),".","/")),10),4,2)&amp;"/"&amp;LEFT((RIGHT((SUBSTITUTE(LEFT(RIGHT(E167,LEN(E167)-MIN(SEARCH({1,2,3,4,5,6,7,8,9,0},E167&amp;"1234567890"))+1),10),".","/")),10)),2)&amp;"/"&amp;RIGHT((SUBSTITUTE(LEFT(RIGHT(E167,LEN(E167)-MIN(SEARCH({1,2,3,4,5,6,7,8,9,0},E167&amp;"1234567890"))+1),10),".","/")),4))))),(AO167-A167))</f>
        <v>961</v>
      </c>
      <c r="C167" s="199"/>
      <c r="D167" s="201" t="str">
        <f t="shared" si="26"/>
        <v>FGC-430/2B-1.60X58.25</v>
      </c>
      <c r="E167" s="201" t="s">
        <v>5738</v>
      </c>
      <c r="F167" s="201" t="s">
        <v>5739</v>
      </c>
      <c r="G167" s="201" t="s">
        <v>5742</v>
      </c>
      <c r="H167" s="201">
        <v>430</v>
      </c>
      <c r="I167" s="202" t="s">
        <v>114</v>
      </c>
      <c r="J167" s="203">
        <v>4</v>
      </c>
      <c r="K167" s="203">
        <v>1.6</v>
      </c>
      <c r="L167" s="203">
        <v>1.62</v>
      </c>
      <c r="M167" s="203">
        <v>1.64</v>
      </c>
      <c r="N167" s="204">
        <v>750</v>
      </c>
      <c r="O167" s="381">
        <f>2.82-2.595</f>
        <v>0.22499999999999964</v>
      </c>
      <c r="P167" s="413"/>
      <c r="Q167" s="185">
        <v>58.25</v>
      </c>
      <c r="R167" s="415"/>
      <c r="S167" s="414"/>
      <c r="T167" s="371"/>
      <c r="U167" s="206" t="s">
        <v>115</v>
      </c>
      <c r="V167" s="206" t="s">
        <v>5718</v>
      </c>
      <c r="W167" s="206" t="s">
        <v>114</v>
      </c>
      <c r="X167" s="205">
        <v>43941</v>
      </c>
      <c r="Y167" s="205"/>
      <c r="Z167" s="205">
        <v>43941</v>
      </c>
      <c r="AA167" s="205"/>
      <c r="AB167" s="205">
        <v>43968</v>
      </c>
      <c r="AC167" s="205"/>
      <c r="AD167" s="205"/>
      <c r="AE167" s="205"/>
      <c r="AF167" s="205"/>
      <c r="AG167" s="205"/>
      <c r="AH167" s="207"/>
      <c r="AI167" s="208" t="s">
        <v>69</v>
      </c>
      <c r="AJ167" s="208" t="s">
        <v>177</v>
      </c>
      <c r="AK167" s="209" t="s">
        <v>178</v>
      </c>
      <c r="AL167" s="209">
        <v>43313</v>
      </c>
      <c r="AM167" s="209">
        <v>43413</v>
      </c>
      <c r="AN167" s="209"/>
      <c r="AO167" s="199">
        <f t="shared" ca="1" si="24"/>
        <v>44958</v>
      </c>
      <c r="AP167" s="208">
        <f t="shared" ca="1" si="25"/>
        <v>1545</v>
      </c>
      <c r="AQ167" s="208">
        <f t="shared" ca="1" si="27"/>
        <v>990</v>
      </c>
      <c r="AR167" s="209" t="s">
        <v>5727</v>
      </c>
      <c r="AS167" s="209" t="s">
        <v>5739</v>
      </c>
      <c r="AT167" s="210">
        <v>11.597</v>
      </c>
      <c r="AU167" s="210">
        <v>11.626999999999999</v>
      </c>
      <c r="AV167" s="210">
        <v>11.639999999999999</v>
      </c>
      <c r="AW167" s="210">
        <v>11.645</v>
      </c>
      <c r="AX167" s="200">
        <f t="shared" ca="1" si="28"/>
        <v>1017</v>
      </c>
      <c r="BA167" s="200" t="s">
        <v>123</v>
      </c>
      <c r="BJ167" s="200" t="s">
        <v>124</v>
      </c>
      <c r="BM167" s="200" t="s">
        <v>5655</v>
      </c>
      <c r="BN167" s="211" t="s">
        <v>5678</v>
      </c>
    </row>
    <row r="168" spans="1:66" s="200" customFormat="1" ht="18" customHeight="1" x14ac:dyDescent="0.25">
      <c r="A168" s="199"/>
      <c r="B168" s="204">
        <f ca="1">IF(A168="",(IF(ISNUMBER(SUBSTITUTE(LEFT(RIGHT(E168,LEN(E168)-MIN(SEARCH({1,2,3,4,5,6,7,8,9,0},E168&amp;"1234567890"))+1),10),".","/"))=TRUE,AO168-(SUBSTITUTE(LEFT(RIGHT(E168,LEN(E168)-MIN(SEARCH({1,2,3,4,5,6,7,8,9,0},E168&amp;"1234567890"))+1),10),".","/")),IF((SUBSTITUTE(LEFT(RIGHT(E168,LEN(E168)-MIN(SEARCH({1,2,3,4,5,6,7,8,9,0},E168&amp;"1234567890"))+1),10),".","/"))="","",(AO168)-(MID(RIGHT((SUBSTITUTE(LEFT(RIGHT(E168,LEN(E168)-MIN(SEARCH({1,2,3,4,5,6,7,8,9,0},E168&amp;"1234567890"))+1),10),".","/")),10),4,2)&amp;"/"&amp;LEFT((RIGHT((SUBSTITUTE(LEFT(RIGHT(E168,LEN(E168)-MIN(SEARCH({1,2,3,4,5,6,7,8,9,0},E168&amp;"1234567890"))+1),10),".","/")),10)),2)&amp;"/"&amp;RIGHT((SUBSTITUTE(LEFT(RIGHT(E168,LEN(E168)-MIN(SEARCH({1,2,3,4,5,6,7,8,9,0},E168&amp;"1234567890"))+1),10),".","/")),4))))),(AO168-A168))</f>
        <v>961</v>
      </c>
      <c r="C168" s="199"/>
      <c r="D168" s="201" t="str">
        <f t="shared" si="26"/>
        <v>FGC-430/2B-1.60X58.25</v>
      </c>
      <c r="E168" s="201" t="s">
        <v>5738</v>
      </c>
      <c r="F168" s="201" t="s">
        <v>5739</v>
      </c>
      <c r="G168" s="201" t="s">
        <v>5743</v>
      </c>
      <c r="H168" s="201">
        <v>430</v>
      </c>
      <c r="I168" s="202" t="s">
        <v>114</v>
      </c>
      <c r="J168" s="203">
        <v>4</v>
      </c>
      <c r="K168" s="203">
        <v>1.6</v>
      </c>
      <c r="L168" s="203">
        <v>1.62</v>
      </c>
      <c r="M168" s="203">
        <v>1.64</v>
      </c>
      <c r="N168" s="204">
        <v>750</v>
      </c>
      <c r="O168" s="381">
        <f>2.725-2.515</f>
        <v>0.20999999999999996</v>
      </c>
      <c r="P168" s="413"/>
      <c r="Q168" s="185">
        <v>58.25</v>
      </c>
      <c r="R168" s="415"/>
      <c r="S168" s="414"/>
      <c r="T168" s="371"/>
      <c r="U168" s="206" t="s">
        <v>115</v>
      </c>
      <c r="V168" s="206" t="s">
        <v>5718</v>
      </c>
      <c r="W168" s="206" t="s">
        <v>114</v>
      </c>
      <c r="X168" s="205">
        <v>43941</v>
      </c>
      <c r="Y168" s="205"/>
      <c r="Z168" s="205">
        <v>43941</v>
      </c>
      <c r="AA168" s="205"/>
      <c r="AB168" s="205">
        <v>43968</v>
      </c>
      <c r="AC168" s="205"/>
      <c r="AD168" s="205"/>
      <c r="AE168" s="205"/>
      <c r="AF168" s="205"/>
      <c r="AG168" s="205"/>
      <c r="AH168" s="207"/>
      <c r="AI168" s="208" t="s">
        <v>69</v>
      </c>
      <c r="AJ168" s="208" t="s">
        <v>177</v>
      </c>
      <c r="AK168" s="209" t="s">
        <v>178</v>
      </c>
      <c r="AL168" s="209">
        <v>43313</v>
      </c>
      <c r="AM168" s="209">
        <v>43413</v>
      </c>
      <c r="AN168" s="209"/>
      <c r="AO168" s="199">
        <f t="shared" ca="1" si="24"/>
        <v>44958</v>
      </c>
      <c r="AP168" s="208">
        <f t="shared" ca="1" si="25"/>
        <v>1545</v>
      </c>
      <c r="AQ168" s="208">
        <f t="shared" ca="1" si="27"/>
        <v>990</v>
      </c>
      <c r="AR168" s="209" t="s">
        <v>5727</v>
      </c>
      <c r="AS168" s="209" t="s">
        <v>5739</v>
      </c>
      <c r="AT168" s="210">
        <v>11.597</v>
      </c>
      <c r="AU168" s="210">
        <v>11.626999999999999</v>
      </c>
      <c r="AV168" s="210">
        <v>11.639999999999999</v>
      </c>
      <c r="AW168" s="210">
        <v>11.645</v>
      </c>
      <c r="AX168" s="200">
        <f t="shared" ca="1" si="28"/>
        <v>1017</v>
      </c>
      <c r="BA168" s="200" t="s">
        <v>123</v>
      </c>
      <c r="BJ168" s="200" t="s">
        <v>124</v>
      </c>
      <c r="BM168" s="200" t="s">
        <v>5655</v>
      </c>
      <c r="BN168" s="211" t="s">
        <v>5678</v>
      </c>
    </row>
    <row r="169" spans="1:66" s="200" customFormat="1" ht="18" customHeight="1" x14ac:dyDescent="0.25">
      <c r="A169" s="199"/>
      <c r="B169" s="204">
        <f ca="1">IF(A169="",(IF(ISNUMBER(SUBSTITUTE(LEFT(RIGHT(E169,LEN(E169)-MIN(SEARCH({1,2,3,4,5,6,7,8,9,0},E169&amp;"1234567890"))+1),10),".","/"))=TRUE,AO169-(SUBSTITUTE(LEFT(RIGHT(E169,LEN(E169)-MIN(SEARCH({1,2,3,4,5,6,7,8,9,0},E169&amp;"1234567890"))+1),10),".","/")),IF((SUBSTITUTE(LEFT(RIGHT(E169,LEN(E169)-MIN(SEARCH({1,2,3,4,5,6,7,8,9,0},E169&amp;"1234567890"))+1),10),".","/"))="","",(AO169)-(MID(RIGHT((SUBSTITUTE(LEFT(RIGHT(E169,LEN(E169)-MIN(SEARCH({1,2,3,4,5,6,7,8,9,0},E169&amp;"1234567890"))+1),10),".","/")),10),4,2)&amp;"/"&amp;LEFT((RIGHT((SUBSTITUTE(LEFT(RIGHT(E169,LEN(E169)-MIN(SEARCH({1,2,3,4,5,6,7,8,9,0},E169&amp;"1234567890"))+1),10),".","/")),10)),2)&amp;"/"&amp;RIGHT((SUBSTITUTE(LEFT(RIGHT(E169,LEN(E169)-MIN(SEARCH({1,2,3,4,5,6,7,8,9,0},E169&amp;"1234567890"))+1),10),".","/")),4))))),(AO169-A169))</f>
        <v>926</v>
      </c>
      <c r="C169" s="199"/>
      <c r="D169" s="201" t="str">
        <f t="shared" si="26"/>
        <v>FGC-430/2B-1.19X34</v>
      </c>
      <c r="E169" s="201" t="s">
        <v>5744</v>
      </c>
      <c r="F169" s="201" t="s">
        <v>5745</v>
      </c>
      <c r="G169" s="201" t="s">
        <v>5746</v>
      </c>
      <c r="H169" s="201">
        <v>430</v>
      </c>
      <c r="I169" s="202" t="s">
        <v>114</v>
      </c>
      <c r="J169" s="203">
        <v>1.19</v>
      </c>
      <c r="K169" s="203">
        <v>1.19</v>
      </c>
      <c r="L169" s="203"/>
      <c r="M169" s="203"/>
      <c r="N169" s="204">
        <v>770</v>
      </c>
      <c r="O169" s="381">
        <f>2.335-2.22</f>
        <v>0.11499999999999977</v>
      </c>
      <c r="P169" s="432"/>
      <c r="Q169" s="185">
        <v>34</v>
      </c>
      <c r="R169" s="415"/>
      <c r="S169" s="414"/>
      <c r="T169" s="371"/>
      <c r="U169" s="206" t="s">
        <v>115</v>
      </c>
      <c r="V169" s="206" t="s">
        <v>5747</v>
      </c>
      <c r="W169" s="206"/>
      <c r="X169" s="205"/>
      <c r="Y169" s="205"/>
      <c r="Z169" s="205"/>
      <c r="AA169" s="205"/>
      <c r="AB169" s="205"/>
      <c r="AC169" s="205"/>
      <c r="AD169" s="205"/>
      <c r="AE169" s="205"/>
      <c r="AF169" s="205"/>
      <c r="AG169" s="205"/>
      <c r="AH169" s="207"/>
      <c r="AI169" s="208" t="s">
        <v>114</v>
      </c>
      <c r="AJ169" s="208" t="s">
        <v>248</v>
      </c>
      <c r="AK169" s="209" t="s">
        <v>5748</v>
      </c>
      <c r="AL169" s="209">
        <v>44006</v>
      </c>
      <c r="AM169" s="209">
        <v>44026</v>
      </c>
      <c r="AN169" s="209"/>
      <c r="AO169" s="199">
        <f t="shared" ca="1" si="24"/>
        <v>44958</v>
      </c>
      <c r="AP169" s="208">
        <f t="shared" ca="1" si="25"/>
        <v>932</v>
      </c>
      <c r="AQ169" s="208" t="str">
        <f t="shared" si="27"/>
        <v/>
      </c>
      <c r="AR169" s="209"/>
      <c r="AS169" s="209" t="s">
        <v>5749</v>
      </c>
      <c r="AT169" s="210">
        <v>12.566000000000001</v>
      </c>
      <c r="AU169" s="210">
        <v>12.596000000000002</v>
      </c>
      <c r="AV169" s="210">
        <v>12.621</v>
      </c>
      <c r="AW169" s="210">
        <v>12.626000000000001</v>
      </c>
      <c r="AX169" s="200" t="str">
        <f t="shared" si="28"/>
        <v/>
      </c>
      <c r="BA169" s="200" t="s">
        <v>123</v>
      </c>
      <c r="BM169" s="200" t="s">
        <v>5655</v>
      </c>
      <c r="BN169" s="211" t="s">
        <v>5678</v>
      </c>
    </row>
    <row r="170" spans="1:66" s="200" customFormat="1" ht="18" customHeight="1" x14ac:dyDescent="0.25">
      <c r="A170" s="199"/>
      <c r="B170" s="204">
        <f ca="1">IF(A170="",(IF(ISNUMBER(SUBSTITUTE(LEFT(RIGHT(E170,LEN(E170)-MIN(SEARCH({1,2,3,4,5,6,7,8,9,0},E170&amp;"1234567890"))+1),10),".","/"))=TRUE,AO170-(SUBSTITUTE(LEFT(RIGHT(E170,LEN(E170)-MIN(SEARCH({1,2,3,4,5,6,7,8,9,0},E170&amp;"1234567890"))+1),10),".","/")),IF((SUBSTITUTE(LEFT(RIGHT(E170,LEN(E170)-MIN(SEARCH({1,2,3,4,5,6,7,8,9,0},E170&amp;"1234567890"))+1),10),".","/"))="","",(AO170)-(MID(RIGHT((SUBSTITUTE(LEFT(RIGHT(E170,LEN(E170)-MIN(SEARCH({1,2,3,4,5,6,7,8,9,0},E170&amp;"1234567890"))+1),10),".","/")),10),4,2)&amp;"/"&amp;LEFT((RIGHT((SUBSTITUTE(LEFT(RIGHT(E170,LEN(E170)-MIN(SEARCH({1,2,3,4,5,6,7,8,9,0},E170&amp;"1234567890"))+1),10),".","/")),10)),2)&amp;"/"&amp;RIGHT((SUBSTITUTE(LEFT(RIGHT(E170,LEN(E170)-MIN(SEARCH({1,2,3,4,5,6,7,8,9,0},E170&amp;"1234567890"))+1),10),".","/")),4))))),(AO170-A170))</f>
        <v>926</v>
      </c>
      <c r="C170" s="199"/>
      <c r="D170" s="201" t="str">
        <f t="shared" si="26"/>
        <v>FGC-430/2B-1.19X37</v>
      </c>
      <c r="E170" s="201" t="s">
        <v>5744</v>
      </c>
      <c r="F170" s="201" t="s">
        <v>5750</v>
      </c>
      <c r="G170" s="201" t="s">
        <v>5751</v>
      </c>
      <c r="H170" s="201">
        <v>430</v>
      </c>
      <c r="I170" s="202" t="s">
        <v>114</v>
      </c>
      <c r="J170" s="203">
        <v>1.19</v>
      </c>
      <c r="K170" s="203">
        <v>1.19</v>
      </c>
      <c r="L170" s="203"/>
      <c r="M170" s="203"/>
      <c r="N170" s="204">
        <v>770</v>
      </c>
      <c r="O170" s="381">
        <f>1.705-1.625</f>
        <v>8.0000000000000071E-2</v>
      </c>
      <c r="P170" s="437"/>
      <c r="Q170" s="185">
        <v>37</v>
      </c>
      <c r="R170" s="415"/>
      <c r="S170" s="414"/>
      <c r="T170" s="371"/>
      <c r="U170" s="206" t="s">
        <v>115</v>
      </c>
      <c r="V170" s="206" t="s">
        <v>5747</v>
      </c>
      <c r="W170" s="206"/>
      <c r="X170" s="205"/>
      <c r="Y170" s="205"/>
      <c r="Z170" s="205"/>
      <c r="AA170" s="205"/>
      <c r="AB170" s="205"/>
      <c r="AC170" s="205"/>
      <c r="AD170" s="205"/>
      <c r="AE170" s="205"/>
      <c r="AF170" s="205"/>
      <c r="AG170" s="205"/>
      <c r="AH170" s="207"/>
      <c r="AI170" s="208" t="s">
        <v>114</v>
      </c>
      <c r="AJ170" s="208" t="s">
        <v>248</v>
      </c>
      <c r="AK170" s="209" t="s">
        <v>5748</v>
      </c>
      <c r="AL170" s="209">
        <v>44006</v>
      </c>
      <c r="AM170" s="209">
        <v>44026</v>
      </c>
      <c r="AN170" s="209"/>
      <c r="AO170" s="199">
        <f t="shared" ca="1" si="24"/>
        <v>44958</v>
      </c>
      <c r="AP170" s="208">
        <f t="shared" ca="1" si="25"/>
        <v>932</v>
      </c>
      <c r="AQ170" s="208" t="str">
        <f t="shared" si="27"/>
        <v/>
      </c>
      <c r="AR170" s="209"/>
      <c r="AS170" s="209" t="s">
        <v>5749</v>
      </c>
      <c r="AT170" s="210">
        <v>12.624000000000001</v>
      </c>
      <c r="AU170" s="210">
        <v>12.654000000000002</v>
      </c>
      <c r="AV170" s="210">
        <v>12.679</v>
      </c>
      <c r="AW170" s="210">
        <v>12.684000000000001</v>
      </c>
      <c r="AX170" s="200" t="str">
        <f t="shared" si="28"/>
        <v/>
      </c>
      <c r="BA170" s="200" t="s">
        <v>123</v>
      </c>
      <c r="BM170" s="200" t="s">
        <v>5655</v>
      </c>
      <c r="BN170" s="211" t="s">
        <v>5678</v>
      </c>
    </row>
    <row r="171" spans="1:66" s="200" customFormat="1" ht="18" customHeight="1" x14ac:dyDescent="0.25">
      <c r="A171" s="199"/>
      <c r="B171" s="204">
        <f ca="1">IF(A171="",(IF(ISNUMBER(SUBSTITUTE(LEFT(RIGHT(E171,LEN(E171)-MIN(SEARCH({1,2,3,4,5,6,7,8,9,0},E171&amp;"1234567890"))+1),10),".","/"))=TRUE,AO171-(SUBSTITUTE(LEFT(RIGHT(E171,LEN(E171)-MIN(SEARCH({1,2,3,4,5,6,7,8,9,0},E171&amp;"1234567890"))+1),10),".","/")),IF((SUBSTITUTE(LEFT(RIGHT(E171,LEN(E171)-MIN(SEARCH({1,2,3,4,5,6,7,8,9,0},E171&amp;"1234567890"))+1),10),".","/"))="","",(AO171)-(MID(RIGHT((SUBSTITUTE(LEFT(RIGHT(E171,LEN(E171)-MIN(SEARCH({1,2,3,4,5,6,7,8,9,0},E171&amp;"1234567890"))+1),10),".","/")),10),4,2)&amp;"/"&amp;LEFT((RIGHT((SUBSTITUTE(LEFT(RIGHT(E171,LEN(E171)-MIN(SEARCH({1,2,3,4,5,6,7,8,9,0},E171&amp;"1234567890"))+1),10),".","/")),10)),2)&amp;"/"&amp;RIGHT((SUBSTITUTE(LEFT(RIGHT(E171,LEN(E171)-MIN(SEARCH({1,2,3,4,5,6,7,8,9,0},E171&amp;"1234567890"))+1),10),".","/")),4))))),(AO171-A171))</f>
        <v>926</v>
      </c>
      <c r="C171" s="199"/>
      <c r="D171" s="201" t="str">
        <f t="shared" si="26"/>
        <v>FGC-430/2B-1.19X37</v>
      </c>
      <c r="E171" s="201" t="s">
        <v>5744</v>
      </c>
      <c r="F171" s="201" t="s">
        <v>5750</v>
      </c>
      <c r="G171" s="201" t="s">
        <v>5752</v>
      </c>
      <c r="H171" s="201">
        <v>430</v>
      </c>
      <c r="I171" s="202" t="s">
        <v>114</v>
      </c>
      <c r="J171" s="203">
        <v>1.19</v>
      </c>
      <c r="K171" s="203">
        <v>1.19</v>
      </c>
      <c r="L171" s="203"/>
      <c r="M171" s="203"/>
      <c r="N171" s="204">
        <v>770</v>
      </c>
      <c r="O171" s="381">
        <f>1.72-1.64</f>
        <v>8.0000000000000071E-2</v>
      </c>
      <c r="P171" s="437"/>
      <c r="Q171" s="185">
        <v>37</v>
      </c>
      <c r="R171" s="415"/>
      <c r="S171" s="414"/>
      <c r="T171" s="371"/>
      <c r="U171" s="206" t="s">
        <v>115</v>
      </c>
      <c r="V171" s="206" t="s">
        <v>5747</v>
      </c>
      <c r="W171" s="206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7"/>
      <c r="AI171" s="208" t="s">
        <v>114</v>
      </c>
      <c r="AJ171" s="208" t="s">
        <v>248</v>
      </c>
      <c r="AK171" s="209" t="s">
        <v>5748</v>
      </c>
      <c r="AL171" s="209">
        <v>44006</v>
      </c>
      <c r="AM171" s="209">
        <v>44026</v>
      </c>
      <c r="AN171" s="209"/>
      <c r="AO171" s="199">
        <f t="shared" ca="1" si="24"/>
        <v>44958</v>
      </c>
      <c r="AP171" s="208">
        <f t="shared" ca="1" si="25"/>
        <v>932</v>
      </c>
      <c r="AQ171" s="208" t="str">
        <f t="shared" si="27"/>
        <v/>
      </c>
      <c r="AR171" s="209"/>
      <c r="AS171" s="209" t="s">
        <v>5749</v>
      </c>
      <c r="AT171" s="210">
        <v>12.624000000000001</v>
      </c>
      <c r="AU171" s="210">
        <v>12.654000000000002</v>
      </c>
      <c r="AV171" s="210">
        <v>12.679</v>
      </c>
      <c r="AW171" s="210">
        <v>12.684000000000001</v>
      </c>
      <c r="AX171" s="200" t="str">
        <f t="shared" si="28"/>
        <v/>
      </c>
      <c r="BA171" s="200" t="s">
        <v>123</v>
      </c>
      <c r="BM171" s="200" t="s">
        <v>5655</v>
      </c>
      <c r="BN171" s="211" t="s">
        <v>5678</v>
      </c>
    </row>
    <row r="172" spans="1:66" s="200" customFormat="1" ht="18" customHeight="1" x14ac:dyDescent="0.25">
      <c r="A172" s="199"/>
      <c r="B172" s="204">
        <f ca="1">IF(A172="",(IF(ISNUMBER(SUBSTITUTE(LEFT(RIGHT(E172,LEN(E172)-MIN(SEARCH({1,2,3,4,5,6,7,8,9,0},E172&amp;"1234567890"))+1),10),".","/"))=TRUE,AO172-(SUBSTITUTE(LEFT(RIGHT(E172,LEN(E172)-MIN(SEARCH({1,2,3,4,5,6,7,8,9,0},E172&amp;"1234567890"))+1),10),".","/")),IF((SUBSTITUTE(LEFT(RIGHT(E172,LEN(E172)-MIN(SEARCH({1,2,3,4,5,6,7,8,9,0},E172&amp;"1234567890"))+1),10),".","/"))="","",(AO172)-(MID(RIGHT((SUBSTITUTE(LEFT(RIGHT(E172,LEN(E172)-MIN(SEARCH({1,2,3,4,5,6,7,8,9,0},E172&amp;"1234567890"))+1),10),".","/")),10),4,2)&amp;"/"&amp;LEFT((RIGHT((SUBSTITUTE(LEFT(RIGHT(E172,LEN(E172)-MIN(SEARCH({1,2,3,4,5,6,7,8,9,0},E172&amp;"1234567890"))+1),10),".","/")),10)),2)&amp;"/"&amp;RIGHT((SUBSTITUTE(LEFT(RIGHT(E172,LEN(E172)-MIN(SEARCH({1,2,3,4,5,6,7,8,9,0},E172&amp;"1234567890"))+1),10),".","/")),4))))),(AO172-A172))</f>
        <v>926</v>
      </c>
      <c r="C172" s="199"/>
      <c r="D172" s="201" t="str">
        <f t="shared" si="26"/>
        <v>FGC-430/2B-1.19X34</v>
      </c>
      <c r="E172" s="201" t="s">
        <v>5744</v>
      </c>
      <c r="F172" s="201" t="s">
        <v>5745</v>
      </c>
      <c r="G172" s="201" t="s">
        <v>5753</v>
      </c>
      <c r="H172" s="201">
        <v>430</v>
      </c>
      <c r="I172" s="202" t="s">
        <v>114</v>
      </c>
      <c r="J172" s="203">
        <v>1.19</v>
      </c>
      <c r="K172" s="203">
        <v>1.19</v>
      </c>
      <c r="L172" s="203"/>
      <c r="M172" s="203"/>
      <c r="N172" s="204">
        <v>770</v>
      </c>
      <c r="O172" s="381">
        <f>1.69-1.61</f>
        <v>7.9999999999999849E-2</v>
      </c>
      <c r="P172" s="437"/>
      <c r="Q172" s="185">
        <v>34</v>
      </c>
      <c r="R172" s="415"/>
      <c r="S172" s="414"/>
      <c r="T172" s="371"/>
      <c r="U172" s="206" t="s">
        <v>115</v>
      </c>
      <c r="V172" s="206" t="s">
        <v>5747</v>
      </c>
      <c r="W172" s="206"/>
      <c r="X172" s="205"/>
      <c r="Y172" s="205"/>
      <c r="Z172" s="205"/>
      <c r="AA172" s="205"/>
      <c r="AB172" s="205"/>
      <c r="AC172" s="205"/>
      <c r="AD172" s="205"/>
      <c r="AE172" s="205"/>
      <c r="AF172" s="205"/>
      <c r="AG172" s="205"/>
      <c r="AH172" s="207"/>
      <c r="AI172" s="208" t="s">
        <v>114</v>
      </c>
      <c r="AJ172" s="208" t="s">
        <v>248</v>
      </c>
      <c r="AK172" s="209" t="s">
        <v>5748</v>
      </c>
      <c r="AL172" s="209">
        <v>44006</v>
      </c>
      <c r="AM172" s="209">
        <v>44026</v>
      </c>
      <c r="AN172" s="209"/>
      <c r="AO172" s="199">
        <f t="shared" ca="1" si="24"/>
        <v>44958</v>
      </c>
      <c r="AP172" s="208">
        <f t="shared" ca="1" si="25"/>
        <v>932</v>
      </c>
      <c r="AQ172" s="208" t="str">
        <f t="shared" si="27"/>
        <v/>
      </c>
      <c r="AR172" s="209"/>
      <c r="AS172" s="209" t="s">
        <v>5749</v>
      </c>
      <c r="AT172" s="210">
        <v>12.566000000000001</v>
      </c>
      <c r="AU172" s="210">
        <v>12.596000000000002</v>
      </c>
      <c r="AV172" s="210">
        <v>12.621</v>
      </c>
      <c r="AW172" s="210">
        <v>12.626000000000001</v>
      </c>
      <c r="AX172" s="200" t="str">
        <f t="shared" si="28"/>
        <v/>
      </c>
      <c r="BA172" s="200" t="s">
        <v>123</v>
      </c>
      <c r="BM172" s="200" t="s">
        <v>5655</v>
      </c>
      <c r="BN172" s="211" t="s">
        <v>5678</v>
      </c>
    </row>
    <row r="173" spans="1:66" s="200" customFormat="1" ht="18" customHeight="1" x14ac:dyDescent="0.25">
      <c r="A173" s="199"/>
      <c r="B173" s="204">
        <f ca="1">IF(A173="",(IF(ISNUMBER(SUBSTITUTE(LEFT(RIGHT(E173,LEN(E173)-MIN(SEARCH({1,2,3,4,5,6,7,8,9,0},E173&amp;"1234567890"))+1),10),".","/"))=TRUE,AO173-(SUBSTITUTE(LEFT(RIGHT(E173,LEN(E173)-MIN(SEARCH({1,2,3,4,5,6,7,8,9,0},E173&amp;"1234567890"))+1),10),".","/")),IF((SUBSTITUTE(LEFT(RIGHT(E173,LEN(E173)-MIN(SEARCH({1,2,3,4,5,6,7,8,9,0},E173&amp;"1234567890"))+1),10),".","/"))="","",(AO173)-(MID(RIGHT((SUBSTITUTE(LEFT(RIGHT(E173,LEN(E173)-MIN(SEARCH({1,2,3,4,5,6,7,8,9,0},E173&amp;"1234567890"))+1),10),".","/")),10),4,2)&amp;"/"&amp;LEFT((RIGHT((SUBSTITUTE(LEFT(RIGHT(E173,LEN(E173)-MIN(SEARCH({1,2,3,4,5,6,7,8,9,0},E173&amp;"1234567890"))+1),10),".","/")),10)),2)&amp;"/"&amp;RIGHT((SUBSTITUTE(LEFT(RIGHT(E173,LEN(E173)-MIN(SEARCH({1,2,3,4,5,6,7,8,9,0},E173&amp;"1234567890"))+1),10),".","/")),4))))),(AO173-A173))</f>
        <v>926</v>
      </c>
      <c r="C173" s="199"/>
      <c r="D173" s="201" t="str">
        <f t="shared" si="26"/>
        <v>FGC-430/2B-1.19X34</v>
      </c>
      <c r="E173" s="201" t="s">
        <v>5744</v>
      </c>
      <c r="F173" s="201" t="s">
        <v>5745</v>
      </c>
      <c r="G173" s="201" t="s">
        <v>5754</v>
      </c>
      <c r="H173" s="201">
        <v>430</v>
      </c>
      <c r="I173" s="202" t="s">
        <v>114</v>
      </c>
      <c r="J173" s="203">
        <v>1.19</v>
      </c>
      <c r="K173" s="203">
        <v>1.19</v>
      </c>
      <c r="L173" s="203"/>
      <c r="M173" s="203"/>
      <c r="N173" s="204">
        <v>770</v>
      </c>
      <c r="O173" s="381">
        <f>1.8-1.715</f>
        <v>8.4999999999999964E-2</v>
      </c>
      <c r="P173" s="437"/>
      <c r="Q173" s="185">
        <v>34</v>
      </c>
      <c r="R173" s="415"/>
      <c r="S173" s="414"/>
      <c r="T173" s="371"/>
      <c r="U173" s="206" t="s">
        <v>115</v>
      </c>
      <c r="V173" s="206" t="s">
        <v>5747</v>
      </c>
      <c r="W173" s="206"/>
      <c r="X173" s="205"/>
      <c r="Y173" s="205"/>
      <c r="Z173" s="205"/>
      <c r="AA173" s="205"/>
      <c r="AB173" s="205"/>
      <c r="AC173" s="205"/>
      <c r="AD173" s="205"/>
      <c r="AE173" s="205"/>
      <c r="AF173" s="205"/>
      <c r="AG173" s="205"/>
      <c r="AH173" s="207"/>
      <c r="AI173" s="208" t="s">
        <v>114</v>
      </c>
      <c r="AJ173" s="208" t="s">
        <v>248</v>
      </c>
      <c r="AK173" s="209" t="s">
        <v>5748</v>
      </c>
      <c r="AL173" s="209">
        <v>44006</v>
      </c>
      <c r="AM173" s="209">
        <v>44026</v>
      </c>
      <c r="AN173" s="209"/>
      <c r="AO173" s="199">
        <f t="shared" ca="1" si="24"/>
        <v>44958</v>
      </c>
      <c r="AP173" s="208">
        <f t="shared" ca="1" si="25"/>
        <v>932</v>
      </c>
      <c r="AQ173" s="208" t="str">
        <f t="shared" si="27"/>
        <v/>
      </c>
      <c r="AR173" s="209"/>
      <c r="AS173" s="209" t="s">
        <v>5749</v>
      </c>
      <c r="AT173" s="210">
        <v>12.566000000000001</v>
      </c>
      <c r="AU173" s="210">
        <v>12.596000000000002</v>
      </c>
      <c r="AV173" s="210">
        <v>12.621</v>
      </c>
      <c r="AW173" s="210">
        <v>12.626000000000001</v>
      </c>
      <c r="AX173" s="200" t="str">
        <f t="shared" si="28"/>
        <v/>
      </c>
      <c r="BA173" s="200" t="s">
        <v>123</v>
      </c>
      <c r="BM173" s="200" t="s">
        <v>5655</v>
      </c>
      <c r="BN173" s="211" t="s">
        <v>5678</v>
      </c>
    </row>
    <row r="174" spans="1:66" s="200" customFormat="1" ht="18" customHeight="1" x14ac:dyDescent="0.25">
      <c r="A174" s="199"/>
      <c r="B174" s="204">
        <f ca="1">IF(A174="",(IF(ISNUMBER(SUBSTITUTE(LEFT(RIGHT(E174,LEN(E174)-MIN(SEARCH({1,2,3,4,5,6,7,8,9,0},E174&amp;"1234567890"))+1),10),".","/"))=TRUE,AO174-(SUBSTITUTE(LEFT(RIGHT(E174,LEN(E174)-MIN(SEARCH({1,2,3,4,5,6,7,8,9,0},E174&amp;"1234567890"))+1),10),".","/")),IF((SUBSTITUTE(LEFT(RIGHT(E174,LEN(E174)-MIN(SEARCH({1,2,3,4,5,6,7,8,9,0},E174&amp;"1234567890"))+1),10),".","/"))="","",(AO174)-(MID(RIGHT((SUBSTITUTE(LEFT(RIGHT(E174,LEN(E174)-MIN(SEARCH({1,2,3,4,5,6,7,8,9,0},E174&amp;"1234567890"))+1),10),".","/")),10),4,2)&amp;"/"&amp;LEFT((RIGHT((SUBSTITUTE(LEFT(RIGHT(E174,LEN(E174)-MIN(SEARCH({1,2,3,4,5,6,7,8,9,0},E174&amp;"1234567890"))+1),10),".","/")),10)),2)&amp;"/"&amp;RIGHT((SUBSTITUTE(LEFT(RIGHT(E174,LEN(E174)-MIN(SEARCH({1,2,3,4,5,6,7,8,9,0},E174&amp;"1234567890"))+1),10),".","/")),4))))),(AO174-A174))</f>
        <v>926</v>
      </c>
      <c r="C174" s="199"/>
      <c r="D174" s="201" t="str">
        <f t="shared" si="26"/>
        <v>FGC-430/2B-1.19X37</v>
      </c>
      <c r="E174" s="201" t="s">
        <v>5744</v>
      </c>
      <c r="F174" s="201" t="s">
        <v>5750</v>
      </c>
      <c r="G174" s="201" t="s">
        <v>5755</v>
      </c>
      <c r="H174" s="201">
        <v>430</v>
      </c>
      <c r="I174" s="202" t="s">
        <v>114</v>
      </c>
      <c r="J174" s="203">
        <v>1.19</v>
      </c>
      <c r="K174" s="203">
        <v>1.19</v>
      </c>
      <c r="L174" s="203"/>
      <c r="M174" s="203"/>
      <c r="N174" s="204">
        <v>770</v>
      </c>
      <c r="O174" s="381">
        <f>1.65-1.57</f>
        <v>7.9999999999999849E-2</v>
      </c>
      <c r="P174" s="433"/>
      <c r="Q174" s="185">
        <v>37</v>
      </c>
      <c r="R174" s="415"/>
      <c r="S174" s="414"/>
      <c r="T174" s="371"/>
      <c r="U174" s="206" t="s">
        <v>115</v>
      </c>
      <c r="V174" s="206" t="s">
        <v>5747</v>
      </c>
      <c r="W174" s="206"/>
      <c r="X174" s="205"/>
      <c r="Y174" s="205"/>
      <c r="Z174" s="205"/>
      <c r="AA174" s="205"/>
      <c r="AB174" s="205"/>
      <c r="AC174" s="205"/>
      <c r="AD174" s="205"/>
      <c r="AE174" s="205"/>
      <c r="AF174" s="205"/>
      <c r="AG174" s="205"/>
      <c r="AH174" s="207"/>
      <c r="AI174" s="208" t="s">
        <v>114</v>
      </c>
      <c r="AJ174" s="208" t="s">
        <v>248</v>
      </c>
      <c r="AK174" s="209" t="s">
        <v>5748</v>
      </c>
      <c r="AL174" s="209">
        <v>44006</v>
      </c>
      <c r="AM174" s="209">
        <v>44026</v>
      </c>
      <c r="AN174" s="209"/>
      <c r="AO174" s="199">
        <f t="shared" ca="1" si="24"/>
        <v>44958</v>
      </c>
      <c r="AP174" s="208">
        <f t="shared" ca="1" si="25"/>
        <v>932</v>
      </c>
      <c r="AQ174" s="208" t="str">
        <f t="shared" si="27"/>
        <v/>
      </c>
      <c r="AR174" s="209"/>
      <c r="AS174" s="209" t="s">
        <v>5749</v>
      </c>
      <c r="AT174" s="210">
        <v>12.624000000000001</v>
      </c>
      <c r="AU174" s="210">
        <v>12.654000000000002</v>
      </c>
      <c r="AV174" s="210">
        <v>12.679</v>
      </c>
      <c r="AW174" s="210">
        <v>12.684000000000001</v>
      </c>
      <c r="AX174" s="200" t="str">
        <f t="shared" si="28"/>
        <v/>
      </c>
      <c r="BA174" s="200" t="s">
        <v>123</v>
      </c>
      <c r="BM174" s="200" t="s">
        <v>5655</v>
      </c>
      <c r="BN174" s="211" t="s">
        <v>5678</v>
      </c>
    </row>
    <row r="175" spans="1:66" s="200" customFormat="1" ht="18" customHeight="1" x14ac:dyDescent="0.25">
      <c r="A175" s="199"/>
      <c r="B175" s="204">
        <f ca="1">IF(A175="",(IF(ISNUMBER(SUBSTITUTE(LEFT(RIGHT(E175,LEN(E175)-MIN(SEARCH({1,2,3,4,5,6,7,8,9,0},E175&amp;"1234567890"))+1),10),".","/"))=TRUE,AO175-(SUBSTITUTE(LEFT(RIGHT(E175,LEN(E175)-MIN(SEARCH({1,2,3,4,5,6,7,8,9,0},E175&amp;"1234567890"))+1),10),".","/")),IF((SUBSTITUTE(LEFT(RIGHT(E175,LEN(E175)-MIN(SEARCH({1,2,3,4,5,6,7,8,9,0},E175&amp;"1234567890"))+1),10),".","/"))="","",(AO175)-(MID(RIGHT((SUBSTITUTE(LEFT(RIGHT(E175,LEN(E175)-MIN(SEARCH({1,2,3,4,5,6,7,8,9,0},E175&amp;"1234567890"))+1),10),".","/")),10),4,2)&amp;"/"&amp;LEFT((RIGHT((SUBSTITUTE(LEFT(RIGHT(E175,LEN(E175)-MIN(SEARCH({1,2,3,4,5,6,7,8,9,0},E175&amp;"1234567890"))+1),10),".","/")),10)),2)&amp;"/"&amp;RIGHT((SUBSTITUTE(LEFT(RIGHT(E175,LEN(E175)-MIN(SEARCH({1,2,3,4,5,6,7,8,9,0},E175&amp;"1234567890"))+1),10),".","/")),4))))),(AO175-A175))</f>
        <v>885</v>
      </c>
      <c r="C175" s="199"/>
      <c r="D175" s="201" t="str">
        <f t="shared" si="26"/>
        <v>FGC-430/2B-1.19X50</v>
      </c>
      <c r="E175" s="201" t="s">
        <v>5756</v>
      </c>
      <c r="F175" s="201" t="s">
        <v>5750</v>
      </c>
      <c r="G175" s="201" t="s">
        <v>5757</v>
      </c>
      <c r="H175" s="201">
        <v>430</v>
      </c>
      <c r="I175" s="202" t="s">
        <v>114</v>
      </c>
      <c r="J175" s="203">
        <v>1.19</v>
      </c>
      <c r="K175" s="203">
        <v>1.19</v>
      </c>
      <c r="L175" s="203"/>
      <c r="M175" s="203"/>
      <c r="N175" s="204">
        <v>770</v>
      </c>
      <c r="O175" s="381">
        <f>2.58-2.4</f>
        <v>0.18000000000000016</v>
      </c>
      <c r="P175" s="413"/>
      <c r="Q175" s="185">
        <v>50</v>
      </c>
      <c r="R175" s="415"/>
      <c r="S175" s="414"/>
      <c r="T175" s="371"/>
      <c r="U175" s="206" t="s">
        <v>115</v>
      </c>
      <c r="V175" s="206" t="s">
        <v>5747</v>
      </c>
      <c r="W175" s="206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7"/>
      <c r="AI175" s="208" t="s">
        <v>114</v>
      </c>
      <c r="AJ175" s="208" t="s">
        <v>248</v>
      </c>
      <c r="AK175" s="209" t="s">
        <v>5748</v>
      </c>
      <c r="AL175" s="209">
        <v>44006</v>
      </c>
      <c r="AM175" s="209">
        <v>44026</v>
      </c>
      <c r="AN175" s="209"/>
      <c r="AO175" s="199">
        <f t="shared" ca="1" si="24"/>
        <v>44958</v>
      </c>
      <c r="AP175" s="208">
        <f t="shared" ca="1" si="25"/>
        <v>932</v>
      </c>
      <c r="AQ175" s="208" t="str">
        <f t="shared" si="27"/>
        <v/>
      </c>
      <c r="AR175" s="209"/>
      <c r="AS175" s="209" t="s">
        <v>5749</v>
      </c>
      <c r="AT175" s="210">
        <v>12.624000000000001</v>
      </c>
      <c r="AU175" s="210">
        <v>12.654000000000002</v>
      </c>
      <c r="AV175" s="210">
        <v>12.679</v>
      </c>
      <c r="AW175" s="210">
        <v>12.684000000000001</v>
      </c>
      <c r="AX175" s="200" t="str">
        <f t="shared" si="28"/>
        <v/>
      </c>
      <c r="BA175" s="200" t="s">
        <v>123</v>
      </c>
      <c r="BM175" s="200" t="s">
        <v>5655</v>
      </c>
      <c r="BN175" s="211" t="s">
        <v>5678</v>
      </c>
    </row>
    <row r="176" spans="1:66" s="200" customFormat="1" ht="18" customHeight="1" x14ac:dyDescent="0.25">
      <c r="A176" s="199"/>
      <c r="B176" s="204">
        <f ca="1">IF(A176="",(IF(ISNUMBER(SUBSTITUTE(LEFT(RIGHT(E176,LEN(E176)-MIN(SEARCH({1,2,3,4,5,6,7,8,9,0},E176&amp;"1234567890"))+1),10),".","/"))=TRUE,AO176-(SUBSTITUTE(LEFT(RIGHT(E176,LEN(E176)-MIN(SEARCH({1,2,3,4,5,6,7,8,9,0},E176&amp;"1234567890"))+1),10),".","/")),IF((SUBSTITUTE(LEFT(RIGHT(E176,LEN(E176)-MIN(SEARCH({1,2,3,4,5,6,7,8,9,0},E176&amp;"1234567890"))+1),10),".","/"))="","",(AO176)-(MID(RIGHT((SUBSTITUTE(LEFT(RIGHT(E176,LEN(E176)-MIN(SEARCH({1,2,3,4,5,6,7,8,9,0},E176&amp;"1234567890"))+1),10),".","/")),10),4,2)&amp;"/"&amp;LEFT((RIGHT((SUBSTITUTE(LEFT(RIGHT(E176,LEN(E176)-MIN(SEARCH({1,2,3,4,5,6,7,8,9,0},E176&amp;"1234567890"))+1),10),".","/")),10)),2)&amp;"/"&amp;RIGHT((SUBSTITUTE(LEFT(RIGHT(E176,LEN(E176)-MIN(SEARCH({1,2,3,4,5,6,7,8,9,0},E176&amp;"1234567890"))+1),10),".","/")),4))))),(AO176-A176))</f>
        <v>885</v>
      </c>
      <c r="C176" s="199"/>
      <c r="D176" s="201" t="str">
        <f t="shared" si="26"/>
        <v>FGC-430/2B-1.19X50</v>
      </c>
      <c r="E176" s="201" t="s">
        <v>5756</v>
      </c>
      <c r="F176" s="201" t="s">
        <v>5750</v>
      </c>
      <c r="G176" s="201" t="s">
        <v>5758</v>
      </c>
      <c r="H176" s="201">
        <v>430</v>
      </c>
      <c r="I176" s="202" t="s">
        <v>114</v>
      </c>
      <c r="J176" s="203">
        <v>1.19</v>
      </c>
      <c r="K176" s="203">
        <v>1.19</v>
      </c>
      <c r="L176" s="203"/>
      <c r="M176" s="203"/>
      <c r="N176" s="204">
        <v>770</v>
      </c>
      <c r="O176" s="381">
        <f>2.57-2.4</f>
        <v>0.16999999999999993</v>
      </c>
      <c r="P176" s="413"/>
      <c r="Q176" s="185">
        <v>50</v>
      </c>
      <c r="R176" s="415"/>
      <c r="S176" s="414"/>
      <c r="T176" s="371"/>
      <c r="U176" s="206" t="s">
        <v>115</v>
      </c>
      <c r="V176" s="206" t="s">
        <v>5747</v>
      </c>
      <c r="W176" s="206"/>
      <c r="X176" s="205"/>
      <c r="Y176" s="205"/>
      <c r="Z176" s="205"/>
      <c r="AA176" s="205"/>
      <c r="AB176" s="205"/>
      <c r="AC176" s="205"/>
      <c r="AD176" s="205"/>
      <c r="AE176" s="205"/>
      <c r="AF176" s="205"/>
      <c r="AG176" s="205"/>
      <c r="AH176" s="207"/>
      <c r="AI176" s="208" t="s">
        <v>114</v>
      </c>
      <c r="AJ176" s="208" t="s">
        <v>248</v>
      </c>
      <c r="AK176" s="209" t="s">
        <v>5748</v>
      </c>
      <c r="AL176" s="209">
        <v>44006</v>
      </c>
      <c r="AM176" s="209">
        <v>44026</v>
      </c>
      <c r="AN176" s="209"/>
      <c r="AO176" s="199">
        <f t="shared" ca="1" si="24"/>
        <v>44958</v>
      </c>
      <c r="AP176" s="208">
        <f t="shared" ca="1" si="25"/>
        <v>932</v>
      </c>
      <c r="AQ176" s="208" t="str">
        <f t="shared" si="27"/>
        <v/>
      </c>
      <c r="AR176" s="209"/>
      <c r="AS176" s="209" t="s">
        <v>5749</v>
      </c>
      <c r="AT176" s="210">
        <v>12.624000000000001</v>
      </c>
      <c r="AU176" s="210">
        <v>12.654000000000002</v>
      </c>
      <c r="AV176" s="210">
        <v>12.679</v>
      </c>
      <c r="AW176" s="210">
        <v>12.684000000000001</v>
      </c>
      <c r="AX176" s="200" t="str">
        <f t="shared" si="28"/>
        <v/>
      </c>
      <c r="BA176" s="200" t="s">
        <v>123</v>
      </c>
      <c r="BM176" s="200" t="s">
        <v>5655</v>
      </c>
      <c r="BN176" s="211" t="s">
        <v>5678</v>
      </c>
    </row>
    <row r="177" spans="1:66" s="200" customFormat="1" ht="18" customHeight="1" x14ac:dyDescent="0.25">
      <c r="A177" s="199"/>
      <c r="B177" s="204">
        <f ca="1">IF(A177="",(IF(ISNUMBER(SUBSTITUTE(LEFT(RIGHT(E177,LEN(E177)-MIN(SEARCH({1,2,3,4,5,6,7,8,9,0},E177&amp;"1234567890"))+1),10),".","/"))=TRUE,AO177-(SUBSTITUTE(LEFT(RIGHT(E177,LEN(E177)-MIN(SEARCH({1,2,3,4,5,6,7,8,9,0},E177&amp;"1234567890"))+1),10),".","/")),IF((SUBSTITUTE(LEFT(RIGHT(E177,LEN(E177)-MIN(SEARCH({1,2,3,4,5,6,7,8,9,0},E177&amp;"1234567890"))+1),10),".","/"))="","",(AO177)-(MID(RIGHT((SUBSTITUTE(LEFT(RIGHT(E177,LEN(E177)-MIN(SEARCH({1,2,3,4,5,6,7,8,9,0},E177&amp;"1234567890"))+1),10),".","/")),10),4,2)&amp;"/"&amp;LEFT((RIGHT((SUBSTITUTE(LEFT(RIGHT(E177,LEN(E177)-MIN(SEARCH({1,2,3,4,5,6,7,8,9,0},E177&amp;"1234567890"))+1),10),".","/")),10)),2)&amp;"/"&amp;RIGHT((SUBSTITUTE(LEFT(RIGHT(E177,LEN(E177)-MIN(SEARCH({1,2,3,4,5,6,7,8,9,0},E177&amp;"1234567890"))+1),10),".","/")),4))))),(AO177-A177))</f>
        <v>885</v>
      </c>
      <c r="C177" s="199"/>
      <c r="D177" s="201" t="str">
        <f t="shared" si="26"/>
        <v>FGC-430/2B-1.19X50</v>
      </c>
      <c r="E177" s="201" t="s">
        <v>5756</v>
      </c>
      <c r="F177" s="201" t="s">
        <v>5750</v>
      </c>
      <c r="G177" s="201" t="s">
        <v>5759</v>
      </c>
      <c r="H177" s="201">
        <v>430</v>
      </c>
      <c r="I177" s="202" t="s">
        <v>114</v>
      </c>
      <c r="J177" s="203">
        <v>1.19</v>
      </c>
      <c r="K177" s="203">
        <v>1.19</v>
      </c>
      <c r="L177" s="203"/>
      <c r="M177" s="203"/>
      <c r="N177" s="204">
        <v>770</v>
      </c>
      <c r="O177" s="381">
        <f>2.235-2.08</f>
        <v>0.1549999999999998</v>
      </c>
      <c r="P177" s="413"/>
      <c r="Q177" s="185">
        <v>50</v>
      </c>
      <c r="R177" s="415"/>
      <c r="S177" s="414"/>
      <c r="T177" s="371"/>
      <c r="U177" s="206" t="s">
        <v>115</v>
      </c>
      <c r="V177" s="206" t="s">
        <v>5747</v>
      </c>
      <c r="W177" s="206"/>
      <c r="X177" s="205"/>
      <c r="Y177" s="205"/>
      <c r="Z177" s="205"/>
      <c r="AA177" s="205"/>
      <c r="AB177" s="205"/>
      <c r="AC177" s="205"/>
      <c r="AD177" s="205"/>
      <c r="AE177" s="205"/>
      <c r="AF177" s="205"/>
      <c r="AG177" s="205"/>
      <c r="AH177" s="207"/>
      <c r="AI177" s="208" t="s">
        <v>114</v>
      </c>
      <c r="AJ177" s="208" t="s">
        <v>248</v>
      </c>
      <c r="AK177" s="209" t="s">
        <v>5748</v>
      </c>
      <c r="AL177" s="209">
        <v>44006</v>
      </c>
      <c r="AM177" s="209">
        <v>44026</v>
      </c>
      <c r="AN177" s="209"/>
      <c r="AO177" s="199">
        <f t="shared" ca="1" si="24"/>
        <v>44958</v>
      </c>
      <c r="AP177" s="208">
        <f t="shared" ca="1" si="25"/>
        <v>932</v>
      </c>
      <c r="AQ177" s="208" t="str">
        <f t="shared" si="27"/>
        <v/>
      </c>
      <c r="AR177" s="209"/>
      <c r="AS177" s="209" t="s">
        <v>5749</v>
      </c>
      <c r="AT177" s="210">
        <v>12.624000000000001</v>
      </c>
      <c r="AU177" s="210">
        <v>12.654000000000002</v>
      </c>
      <c r="AV177" s="210">
        <v>12.679</v>
      </c>
      <c r="AW177" s="210">
        <v>12.684000000000001</v>
      </c>
      <c r="AX177" s="200" t="str">
        <f t="shared" si="28"/>
        <v/>
      </c>
      <c r="BA177" s="200" t="s">
        <v>123</v>
      </c>
      <c r="BM177" s="200" t="s">
        <v>5655</v>
      </c>
      <c r="BN177" s="211" t="s">
        <v>5678</v>
      </c>
    </row>
    <row r="178" spans="1:66" s="200" customFormat="1" ht="18" customHeight="1" x14ac:dyDescent="0.25">
      <c r="A178" s="199"/>
      <c r="B178" s="204">
        <f ca="1">IF(A178="",(IF(ISNUMBER(SUBSTITUTE(LEFT(RIGHT(E178,LEN(E178)-MIN(SEARCH({1,2,3,4,5,6,7,8,9,0},E178&amp;"1234567890"))+1),10),".","/"))=TRUE,AO178-(SUBSTITUTE(LEFT(RIGHT(E178,LEN(E178)-MIN(SEARCH({1,2,3,4,5,6,7,8,9,0},E178&amp;"1234567890"))+1),10),".","/")),IF((SUBSTITUTE(LEFT(RIGHT(E178,LEN(E178)-MIN(SEARCH({1,2,3,4,5,6,7,8,9,0},E178&amp;"1234567890"))+1),10),".","/"))="","",(AO178)-(MID(RIGHT((SUBSTITUTE(LEFT(RIGHT(E178,LEN(E178)-MIN(SEARCH({1,2,3,4,5,6,7,8,9,0},E178&amp;"1234567890"))+1),10),".","/")),10),4,2)&amp;"/"&amp;LEFT((RIGHT((SUBSTITUTE(LEFT(RIGHT(E178,LEN(E178)-MIN(SEARCH({1,2,3,4,5,6,7,8,9,0},E178&amp;"1234567890"))+1),10),".","/")),10)),2)&amp;"/"&amp;RIGHT((SUBSTITUTE(LEFT(RIGHT(E178,LEN(E178)-MIN(SEARCH({1,2,3,4,5,6,7,8,9,0},E178&amp;"1234567890"))+1),10),".","/")),4))))),(AO178-A178))</f>
        <v>880</v>
      </c>
      <c r="C178" s="199"/>
      <c r="D178" s="201" t="str">
        <f t="shared" si="26"/>
        <v>FGC-304/FH-0.50X50</v>
      </c>
      <c r="E178" s="201" t="s">
        <v>5760</v>
      </c>
      <c r="F178" s="201" t="s">
        <v>5761</v>
      </c>
      <c r="G178" s="201" t="s">
        <v>5762</v>
      </c>
      <c r="H178" s="201">
        <v>304</v>
      </c>
      <c r="I178" s="202" t="s">
        <v>70</v>
      </c>
      <c r="J178" s="203">
        <v>0.95</v>
      </c>
      <c r="K178" s="203">
        <v>0.5</v>
      </c>
      <c r="L178" s="203"/>
      <c r="M178" s="203"/>
      <c r="N178" s="204">
        <v>770</v>
      </c>
      <c r="O178" s="381">
        <v>0.26500000000000001</v>
      </c>
      <c r="P178" s="413"/>
      <c r="Q178" s="185">
        <v>50</v>
      </c>
      <c r="R178" s="415"/>
      <c r="S178" s="414"/>
      <c r="T178" s="371"/>
      <c r="U178" s="206" t="s">
        <v>115</v>
      </c>
      <c r="V178" s="206" t="s">
        <v>5763</v>
      </c>
      <c r="W178" s="206" t="s">
        <v>114</v>
      </c>
      <c r="X178" s="205">
        <v>43945</v>
      </c>
      <c r="Y178" s="205"/>
      <c r="Z178" s="205" t="s">
        <v>5764</v>
      </c>
      <c r="AA178" s="205"/>
      <c r="AB178" s="205">
        <v>43948</v>
      </c>
      <c r="AC178" s="205"/>
      <c r="AD178" s="205" t="s">
        <v>5765</v>
      </c>
      <c r="AE178" s="205"/>
      <c r="AF178" s="205"/>
      <c r="AG178" s="205"/>
      <c r="AH178" s="207"/>
      <c r="AI178" s="208" t="s">
        <v>69</v>
      </c>
      <c r="AJ178" s="208" t="s">
        <v>190</v>
      </c>
      <c r="AK178" s="209" t="s">
        <v>191</v>
      </c>
      <c r="AL178" s="209"/>
      <c r="AM178" s="209">
        <v>43881</v>
      </c>
      <c r="AN178" s="209"/>
      <c r="AO178" s="199">
        <f t="shared" ca="1" si="24"/>
        <v>44958</v>
      </c>
      <c r="AP178" s="208">
        <f t="shared" ca="1" si="25"/>
        <v>1077</v>
      </c>
      <c r="AQ178" s="208">
        <f t="shared" ca="1" si="27"/>
        <v>1010</v>
      </c>
      <c r="AR178" s="209"/>
      <c r="AS178" s="209" t="s">
        <v>5766</v>
      </c>
      <c r="AT178" s="210">
        <v>7.2450000000000001</v>
      </c>
      <c r="AU178" s="210">
        <v>7.2549999999999999</v>
      </c>
      <c r="AV178" s="210">
        <v>7.2700000000000005</v>
      </c>
      <c r="AW178" s="210">
        <v>7.2750000000000004</v>
      </c>
      <c r="AX178" s="200">
        <f t="shared" ca="1" si="28"/>
        <v>1005</v>
      </c>
      <c r="BA178" s="200" t="s">
        <v>123</v>
      </c>
      <c r="BN178" s="211"/>
    </row>
    <row r="179" spans="1:66" s="200" customFormat="1" ht="18" customHeight="1" x14ac:dyDescent="0.25">
      <c r="A179" s="199"/>
      <c r="B179" s="204">
        <f ca="1">IF(A179="",(IF(ISNUMBER(SUBSTITUTE(LEFT(RIGHT(E179,LEN(E179)-MIN(SEARCH({1,2,3,4,5,6,7,8,9,0},E179&amp;"1234567890"))+1),10),".","/"))=TRUE,AO179-(SUBSTITUTE(LEFT(RIGHT(E179,LEN(E179)-MIN(SEARCH({1,2,3,4,5,6,7,8,9,0},E179&amp;"1234567890"))+1),10),".","/")),IF((SUBSTITUTE(LEFT(RIGHT(E179,LEN(E179)-MIN(SEARCH({1,2,3,4,5,6,7,8,9,0},E179&amp;"1234567890"))+1),10),".","/"))="","",(AO179)-(MID(RIGHT((SUBSTITUTE(LEFT(RIGHT(E179,LEN(E179)-MIN(SEARCH({1,2,3,4,5,6,7,8,9,0},E179&amp;"1234567890"))+1),10),".","/")),10),4,2)&amp;"/"&amp;LEFT((RIGHT((SUBSTITUTE(LEFT(RIGHT(E179,LEN(E179)-MIN(SEARCH({1,2,3,4,5,6,7,8,9,0},E179&amp;"1234567890"))+1),10),".","/")),10)),2)&amp;"/"&amp;RIGHT((SUBSTITUTE(LEFT(RIGHT(E179,LEN(E179)-MIN(SEARCH({1,2,3,4,5,6,7,8,9,0},E179&amp;"1234567890"))+1),10),".","/")),4))))),(AO179-A179))</f>
        <v>835</v>
      </c>
      <c r="C179" s="199"/>
      <c r="D179" s="201" t="str">
        <f t="shared" si="26"/>
        <v>FGC-304L/FH-0.40X50</v>
      </c>
      <c r="E179" s="201" t="s">
        <v>5767</v>
      </c>
      <c r="F179" s="201" t="s">
        <v>5768</v>
      </c>
      <c r="G179" s="201" t="s">
        <v>5769</v>
      </c>
      <c r="H179" s="201" t="s">
        <v>182</v>
      </c>
      <c r="I179" s="202" t="s">
        <v>70</v>
      </c>
      <c r="J179" s="203">
        <v>0.78</v>
      </c>
      <c r="K179" s="203">
        <v>0.4</v>
      </c>
      <c r="L179" s="203"/>
      <c r="M179" s="203"/>
      <c r="N179" s="204">
        <v>770</v>
      </c>
      <c r="O179" s="381">
        <f>1.21-1.125</f>
        <v>8.4999999999999964E-2</v>
      </c>
      <c r="P179" s="413"/>
      <c r="Q179" s="185">
        <v>50</v>
      </c>
      <c r="R179" s="415"/>
      <c r="S179" s="414"/>
      <c r="T179" s="371"/>
      <c r="U179" s="206" t="s">
        <v>115</v>
      </c>
      <c r="V179" s="206" t="s">
        <v>5763</v>
      </c>
      <c r="W179" s="206" t="s">
        <v>114</v>
      </c>
      <c r="X179" s="205" t="s">
        <v>5770</v>
      </c>
      <c r="Y179" s="205"/>
      <c r="Z179" s="205" t="s">
        <v>5771</v>
      </c>
      <c r="AA179" s="205"/>
      <c r="AB179" s="205" t="s">
        <v>5772</v>
      </c>
      <c r="AC179" s="205"/>
      <c r="AD179" s="205">
        <v>44078</v>
      </c>
      <c r="AE179" s="205"/>
      <c r="AF179" s="205"/>
      <c r="AG179" s="205"/>
      <c r="AH179" s="207"/>
      <c r="AI179" s="208" t="s">
        <v>69</v>
      </c>
      <c r="AJ179" s="208" t="s">
        <v>190</v>
      </c>
      <c r="AK179" s="209" t="s">
        <v>5773</v>
      </c>
      <c r="AL179" s="209"/>
      <c r="AM179" s="209">
        <v>44069</v>
      </c>
      <c r="AN179" s="209"/>
      <c r="AO179" s="199">
        <f t="shared" ca="1" si="24"/>
        <v>44958</v>
      </c>
      <c r="AP179" s="208">
        <f t="shared" ca="1" si="25"/>
        <v>889</v>
      </c>
      <c r="AQ179" s="208">
        <f t="shared" ca="1" si="27"/>
        <v>855</v>
      </c>
      <c r="AR179" s="209"/>
      <c r="AS179" s="209" t="s">
        <v>5774</v>
      </c>
      <c r="AT179" s="210">
        <v>10.41</v>
      </c>
      <c r="AU179" s="210">
        <v>10.42</v>
      </c>
      <c r="AV179" s="210">
        <v>10.444999999999999</v>
      </c>
      <c r="AW179" s="210">
        <v>10.45</v>
      </c>
      <c r="AX179" s="200">
        <f t="shared" ca="1" si="28"/>
        <v>852</v>
      </c>
      <c r="BA179" s="200" t="s">
        <v>123</v>
      </c>
      <c r="BM179" s="200" t="s">
        <v>5655</v>
      </c>
      <c r="BN179" s="211" t="s">
        <v>5656</v>
      </c>
    </row>
    <row r="180" spans="1:66" s="200" customFormat="1" ht="18" customHeight="1" x14ac:dyDescent="0.25">
      <c r="A180" s="199"/>
      <c r="B180" s="204">
        <f ca="1">IF(A180="",(IF(ISNUMBER(SUBSTITUTE(LEFT(RIGHT(E180,LEN(E180)-MIN(SEARCH({1,2,3,4,5,6,7,8,9,0},E180&amp;"1234567890"))+1),10),".","/"))=TRUE,AO180-(SUBSTITUTE(LEFT(RIGHT(E180,LEN(E180)-MIN(SEARCH({1,2,3,4,5,6,7,8,9,0},E180&amp;"1234567890"))+1),10),".","/")),IF((SUBSTITUTE(LEFT(RIGHT(E180,LEN(E180)-MIN(SEARCH({1,2,3,4,5,6,7,8,9,0},E180&amp;"1234567890"))+1),10),".","/"))="","",(AO180)-(MID(RIGHT((SUBSTITUTE(LEFT(RIGHT(E180,LEN(E180)-MIN(SEARCH({1,2,3,4,5,6,7,8,9,0},E180&amp;"1234567890"))+1),10),".","/")),10),4,2)&amp;"/"&amp;LEFT((RIGHT((SUBSTITUTE(LEFT(RIGHT(E180,LEN(E180)-MIN(SEARCH({1,2,3,4,5,6,7,8,9,0},E180&amp;"1234567890"))+1),10),".","/")),10)),2)&amp;"/"&amp;RIGHT((SUBSTITUTE(LEFT(RIGHT(E180,LEN(E180)-MIN(SEARCH({1,2,3,4,5,6,7,8,9,0},E180&amp;"1234567890"))+1),10),".","/")),4))))),(AO180-A180))</f>
        <v>792</v>
      </c>
      <c r="C180" s="199"/>
      <c r="D180" s="201" t="str">
        <f t="shared" si="26"/>
        <v>FGC-J4/2B-0.34X79.2+49.3</v>
      </c>
      <c r="E180" s="201" t="s">
        <v>5775</v>
      </c>
      <c r="F180" s="201" t="s">
        <v>5776</v>
      </c>
      <c r="G180" s="201" t="s">
        <v>5777</v>
      </c>
      <c r="H180" s="201" t="s">
        <v>35</v>
      </c>
      <c r="I180" s="202" t="s">
        <v>114</v>
      </c>
      <c r="J180" s="203">
        <v>0.63</v>
      </c>
      <c r="K180" s="203">
        <v>0.34</v>
      </c>
      <c r="L180" s="203">
        <v>0.33</v>
      </c>
      <c r="M180" s="203">
        <v>0.34</v>
      </c>
      <c r="N180" s="204">
        <v>726</v>
      </c>
      <c r="O180" s="381">
        <f>3.89-3.19</f>
        <v>0.70000000000000018</v>
      </c>
      <c r="P180" s="413"/>
      <c r="Q180" s="185" t="s">
        <v>5778</v>
      </c>
      <c r="R180" s="415"/>
      <c r="S180" s="414"/>
      <c r="T180" s="371"/>
      <c r="U180" s="206" t="s">
        <v>5779</v>
      </c>
      <c r="V180" s="206" t="s">
        <v>5780</v>
      </c>
      <c r="W180" s="206" t="s">
        <v>176</v>
      </c>
      <c r="X180" s="205">
        <v>44165</v>
      </c>
      <c r="Y180" s="205"/>
      <c r="Z180" s="205">
        <v>44165</v>
      </c>
      <c r="AA180" s="205"/>
      <c r="AB180" s="205" t="s">
        <v>5781</v>
      </c>
      <c r="AC180" s="205"/>
      <c r="AD180" s="205">
        <v>44165</v>
      </c>
      <c r="AE180" s="205"/>
      <c r="AF180" s="205"/>
      <c r="AG180" s="205"/>
      <c r="AH180" s="207" t="s">
        <v>167</v>
      </c>
      <c r="AI180" s="208" t="s">
        <v>70</v>
      </c>
      <c r="AJ180" s="208" t="s">
        <v>119</v>
      </c>
      <c r="AK180" s="209" t="s">
        <v>5782</v>
      </c>
      <c r="AL180" s="209">
        <v>43385</v>
      </c>
      <c r="AM180" s="209">
        <v>43410</v>
      </c>
      <c r="AN180" s="209"/>
      <c r="AO180" s="199">
        <f t="shared" ca="1" si="24"/>
        <v>44958</v>
      </c>
      <c r="AP180" s="208">
        <f t="shared" ca="1" si="25"/>
        <v>1548</v>
      </c>
      <c r="AQ180" s="208">
        <f t="shared" ca="1" si="27"/>
        <v>792</v>
      </c>
      <c r="AR180" s="209" t="s">
        <v>5783</v>
      </c>
      <c r="AS180" s="209" t="s">
        <v>5784</v>
      </c>
      <c r="AT180" s="210">
        <v>11.648999999999999</v>
      </c>
      <c r="AU180" s="210">
        <v>11.664</v>
      </c>
      <c r="AV180" s="210">
        <v>11.659999999999998</v>
      </c>
      <c r="AW180" s="210">
        <v>11.664999999999999</v>
      </c>
      <c r="AX180" s="200">
        <f t="shared" ca="1" si="28"/>
        <v>793</v>
      </c>
      <c r="AY180" s="200">
        <v>144</v>
      </c>
      <c r="BA180" s="200" t="s">
        <v>123</v>
      </c>
      <c r="BH180" s="200" t="s">
        <v>172</v>
      </c>
      <c r="BN180" s="211" t="s">
        <v>5785</v>
      </c>
    </row>
    <row r="181" spans="1:66" s="200" customFormat="1" ht="18" customHeight="1" x14ac:dyDescent="0.25">
      <c r="A181" s="199"/>
      <c r="B181" s="204">
        <f ca="1">IF(A181="",(IF(ISNUMBER(SUBSTITUTE(LEFT(RIGHT(E181,LEN(E181)-MIN(SEARCH({1,2,3,4,5,6,7,8,9,0},E181&amp;"1234567890"))+1),10),".","/"))=TRUE,AO181-(SUBSTITUTE(LEFT(RIGHT(E181,LEN(E181)-MIN(SEARCH({1,2,3,4,5,6,7,8,9,0},E181&amp;"1234567890"))+1),10),".","/")),IF((SUBSTITUTE(LEFT(RIGHT(E181,LEN(E181)-MIN(SEARCH({1,2,3,4,5,6,7,8,9,0},E181&amp;"1234567890"))+1),10),".","/"))="","",(AO181)-(MID(RIGHT((SUBSTITUTE(LEFT(RIGHT(E181,LEN(E181)-MIN(SEARCH({1,2,3,4,5,6,7,8,9,0},E181&amp;"1234567890"))+1),10),".","/")),10),4,2)&amp;"/"&amp;LEFT((RIGHT((SUBSTITUTE(LEFT(RIGHT(E181,LEN(E181)-MIN(SEARCH({1,2,3,4,5,6,7,8,9,0},E181&amp;"1234567890"))+1),10),".","/")),10)),2)&amp;"/"&amp;RIGHT((SUBSTITUTE(LEFT(RIGHT(E181,LEN(E181)-MIN(SEARCH({1,2,3,4,5,6,7,8,9,0},E181&amp;"1234567890"))+1),10),".","/")),4))))),(AO181-A181))</f>
        <v>792</v>
      </c>
      <c r="C181" s="199"/>
      <c r="D181" s="201" t="str">
        <f t="shared" si="26"/>
        <v>FGC-J4/2B-0.34X79.2+49.3</v>
      </c>
      <c r="E181" s="201" t="s">
        <v>5775</v>
      </c>
      <c r="F181" s="201" t="s">
        <v>5776</v>
      </c>
      <c r="G181" s="201" t="s">
        <v>5786</v>
      </c>
      <c r="H181" s="201" t="s">
        <v>35</v>
      </c>
      <c r="I181" s="202" t="s">
        <v>114</v>
      </c>
      <c r="J181" s="203">
        <v>0.63</v>
      </c>
      <c r="K181" s="203">
        <v>0.34</v>
      </c>
      <c r="L181" s="203">
        <v>0.33</v>
      </c>
      <c r="M181" s="203">
        <v>0.34</v>
      </c>
      <c r="N181" s="204">
        <v>726</v>
      </c>
      <c r="O181" s="381">
        <v>0.7</v>
      </c>
      <c r="P181" s="413"/>
      <c r="Q181" s="185" t="s">
        <v>5778</v>
      </c>
      <c r="R181" s="415"/>
      <c r="S181" s="414"/>
      <c r="T181" s="371"/>
      <c r="U181" s="206" t="s">
        <v>5779</v>
      </c>
      <c r="V181" s="206" t="s">
        <v>5780</v>
      </c>
      <c r="W181" s="206" t="s">
        <v>176</v>
      </c>
      <c r="X181" s="205">
        <v>44165</v>
      </c>
      <c r="Y181" s="205"/>
      <c r="Z181" s="205">
        <v>44165</v>
      </c>
      <c r="AA181" s="205"/>
      <c r="AB181" s="205" t="s">
        <v>5781</v>
      </c>
      <c r="AC181" s="205"/>
      <c r="AD181" s="205">
        <v>44165</v>
      </c>
      <c r="AE181" s="205"/>
      <c r="AF181" s="205"/>
      <c r="AG181" s="205"/>
      <c r="AH181" s="207" t="s">
        <v>167</v>
      </c>
      <c r="AI181" s="208" t="s">
        <v>70</v>
      </c>
      <c r="AJ181" s="208" t="s">
        <v>119</v>
      </c>
      <c r="AK181" s="209" t="s">
        <v>5782</v>
      </c>
      <c r="AL181" s="209">
        <v>43385</v>
      </c>
      <c r="AM181" s="209">
        <v>43410</v>
      </c>
      <c r="AN181" s="209"/>
      <c r="AO181" s="199">
        <f t="shared" ca="1" si="24"/>
        <v>44958</v>
      </c>
      <c r="AP181" s="208">
        <f t="shared" ca="1" si="25"/>
        <v>1548</v>
      </c>
      <c r="AQ181" s="208">
        <f t="shared" ca="1" si="27"/>
        <v>792</v>
      </c>
      <c r="AR181" s="209" t="s">
        <v>5783</v>
      </c>
      <c r="AS181" s="209" t="s">
        <v>5784</v>
      </c>
      <c r="AT181" s="210">
        <v>11.648999999999999</v>
      </c>
      <c r="AU181" s="210">
        <v>11.664</v>
      </c>
      <c r="AV181" s="210">
        <v>11.659999999999998</v>
      </c>
      <c r="AW181" s="210">
        <v>11.664999999999999</v>
      </c>
      <c r="AX181" s="200">
        <f t="shared" ca="1" si="28"/>
        <v>793</v>
      </c>
      <c r="AY181" s="200">
        <v>144</v>
      </c>
      <c r="BA181" s="200" t="s">
        <v>123</v>
      </c>
      <c r="BH181" s="200" t="s">
        <v>172</v>
      </c>
      <c r="BN181" s="211" t="s">
        <v>5785</v>
      </c>
    </row>
    <row r="182" spans="1:66" s="200" customFormat="1" ht="18" customHeight="1" x14ac:dyDescent="0.25">
      <c r="A182" s="199">
        <v>44172</v>
      </c>
      <c r="B182" s="204">
        <f ca="1">IF(A182="",(IF(ISNUMBER(SUBSTITUTE(LEFT(RIGHT(E182,LEN(E182)-MIN(SEARCH({1,2,3,4,5,6,7,8,9,0},E182&amp;"1234567890"))+1),10),".","/"))=TRUE,AO182-(SUBSTITUTE(LEFT(RIGHT(E182,LEN(E182)-MIN(SEARCH({1,2,3,4,5,6,7,8,9,0},E182&amp;"1234567890"))+1),10),".","/")),IF((SUBSTITUTE(LEFT(RIGHT(E182,LEN(E182)-MIN(SEARCH({1,2,3,4,5,6,7,8,9,0},E182&amp;"1234567890"))+1),10),".","/"))="","",(AO182)-(MID(RIGHT((SUBSTITUTE(LEFT(RIGHT(E182,LEN(E182)-MIN(SEARCH({1,2,3,4,5,6,7,8,9,0},E182&amp;"1234567890"))+1),10),".","/")),10),4,2)&amp;"/"&amp;LEFT((RIGHT((SUBSTITUTE(LEFT(RIGHT(E182,LEN(E182)-MIN(SEARCH({1,2,3,4,5,6,7,8,9,0},E182&amp;"1234567890"))+1),10),".","/")),10)),2)&amp;"/"&amp;RIGHT((SUBSTITUTE(LEFT(RIGHT(E182,LEN(E182)-MIN(SEARCH({1,2,3,4,5,6,7,8,9,0},E182&amp;"1234567890"))+1),10),".","/")),4))))),(AO182-A182))</f>
        <v>786</v>
      </c>
      <c r="C182" s="199"/>
      <c r="D182" s="201" t="str">
        <f t="shared" si="26"/>
        <v>FGC-J4/2B-0.34X130</v>
      </c>
      <c r="E182" s="201" t="s">
        <v>5775</v>
      </c>
      <c r="F182" s="201" t="s">
        <v>5776</v>
      </c>
      <c r="G182" s="201" t="s">
        <v>5787</v>
      </c>
      <c r="H182" s="201" t="s">
        <v>35</v>
      </c>
      <c r="I182" s="202" t="s">
        <v>114</v>
      </c>
      <c r="J182" s="203">
        <v>0.63</v>
      </c>
      <c r="K182" s="203">
        <v>0.34</v>
      </c>
      <c r="L182" s="203">
        <v>0.33</v>
      </c>
      <c r="M182" s="203">
        <v>0.34</v>
      </c>
      <c r="N182" s="204">
        <v>726</v>
      </c>
      <c r="O182" s="381">
        <f>2.96-2.42</f>
        <v>0.54</v>
      </c>
      <c r="P182" s="413"/>
      <c r="Q182" s="185">
        <v>130</v>
      </c>
      <c r="R182" s="415"/>
      <c r="S182" s="414"/>
      <c r="T182" s="371"/>
      <c r="U182" s="206" t="s">
        <v>5779</v>
      </c>
      <c r="V182" s="206" t="s">
        <v>5780</v>
      </c>
      <c r="W182" s="206" t="s">
        <v>176</v>
      </c>
      <c r="X182" s="205">
        <v>44165</v>
      </c>
      <c r="Y182" s="205"/>
      <c r="Z182" s="205">
        <v>44165</v>
      </c>
      <c r="AA182" s="205"/>
      <c r="AB182" s="205" t="s">
        <v>5781</v>
      </c>
      <c r="AC182" s="205"/>
      <c r="AD182" s="205">
        <v>44165</v>
      </c>
      <c r="AE182" s="205"/>
      <c r="AF182" s="205"/>
      <c r="AG182" s="205"/>
      <c r="AH182" s="207" t="s">
        <v>167</v>
      </c>
      <c r="AI182" s="208" t="s">
        <v>70</v>
      </c>
      <c r="AJ182" s="208" t="s">
        <v>119</v>
      </c>
      <c r="AK182" s="209" t="s">
        <v>5782</v>
      </c>
      <c r="AL182" s="209">
        <v>43385</v>
      </c>
      <c r="AM182" s="209">
        <v>43410</v>
      </c>
      <c r="AN182" s="209"/>
      <c r="AO182" s="199">
        <f t="shared" ca="1" si="24"/>
        <v>44958</v>
      </c>
      <c r="AP182" s="208">
        <f t="shared" ca="1" si="25"/>
        <v>1548</v>
      </c>
      <c r="AQ182" s="208">
        <f t="shared" ca="1" si="27"/>
        <v>792</v>
      </c>
      <c r="AR182" s="209" t="s">
        <v>5783</v>
      </c>
      <c r="AS182" s="209" t="s">
        <v>5784</v>
      </c>
      <c r="AT182" s="210">
        <v>11.648999999999999</v>
      </c>
      <c r="AU182" s="210">
        <v>11.664</v>
      </c>
      <c r="AV182" s="210">
        <v>11.659999999999998</v>
      </c>
      <c r="AW182" s="210">
        <v>11.664999999999999</v>
      </c>
      <c r="AX182" s="200">
        <f t="shared" ca="1" si="28"/>
        <v>793</v>
      </c>
      <c r="AY182" s="200">
        <v>144</v>
      </c>
      <c r="BA182" s="200" t="s">
        <v>123</v>
      </c>
      <c r="BH182" s="200" t="s">
        <v>172</v>
      </c>
      <c r="BN182" s="211" t="s">
        <v>5656</v>
      </c>
    </row>
    <row r="183" spans="1:66" s="200" customFormat="1" ht="18" customHeight="1" x14ac:dyDescent="0.25">
      <c r="A183" s="199"/>
      <c r="B183" s="204">
        <f ca="1">IF(A183="",(IF(ISNUMBER(SUBSTITUTE(LEFT(RIGHT(E183,LEN(E183)-MIN(SEARCH({1,2,3,4,5,6,7,8,9,0},E183&amp;"1234567890"))+1),10),".","/"))=TRUE,AO183-(SUBSTITUTE(LEFT(RIGHT(E183,LEN(E183)-MIN(SEARCH({1,2,3,4,5,6,7,8,9,0},E183&amp;"1234567890"))+1),10),".","/")),IF((SUBSTITUTE(LEFT(RIGHT(E183,LEN(E183)-MIN(SEARCH({1,2,3,4,5,6,7,8,9,0},E183&amp;"1234567890"))+1),10),".","/"))="","",(AO183)-(MID(RIGHT((SUBSTITUTE(LEFT(RIGHT(E183,LEN(E183)-MIN(SEARCH({1,2,3,4,5,6,7,8,9,0},E183&amp;"1234567890"))+1),10),".","/")),10),4,2)&amp;"/"&amp;LEFT((RIGHT((SUBSTITUTE(LEFT(RIGHT(E183,LEN(E183)-MIN(SEARCH({1,2,3,4,5,6,7,8,9,0},E183&amp;"1234567890"))+1),10),".","/")),10)),2)&amp;"/"&amp;RIGHT((SUBSTITUTE(LEFT(RIGHT(E183,LEN(E183)-MIN(SEARCH({1,2,3,4,5,6,7,8,9,0},E183&amp;"1234567890"))+1),10),".","/")),4))))),(AO183-A183))</f>
        <v>768</v>
      </c>
      <c r="C183" s="199"/>
      <c r="D183" s="201" t="str">
        <f t="shared" si="26"/>
        <v>FGC-304/2B-1.95X35</v>
      </c>
      <c r="E183" s="201" t="s">
        <v>5788</v>
      </c>
      <c r="F183" s="201" t="s">
        <v>5789</v>
      </c>
      <c r="G183" s="201" t="s">
        <v>5790</v>
      </c>
      <c r="H183" s="201">
        <v>304</v>
      </c>
      <c r="I183" s="202" t="s">
        <v>114</v>
      </c>
      <c r="J183" s="203">
        <v>3.99</v>
      </c>
      <c r="K183" s="203">
        <v>1.95</v>
      </c>
      <c r="L183" s="203">
        <v>1.91</v>
      </c>
      <c r="M183" s="203">
        <v>1.93</v>
      </c>
      <c r="N183" s="204">
        <v>770</v>
      </c>
      <c r="O183" s="381">
        <f>4.84-4.595</f>
        <v>0.24500000000000011</v>
      </c>
      <c r="P183" s="413"/>
      <c r="Q183" s="185">
        <v>35</v>
      </c>
      <c r="R183" s="415"/>
      <c r="S183" s="414"/>
      <c r="T183" s="371"/>
      <c r="U183" s="206" t="s">
        <v>115</v>
      </c>
      <c r="V183" s="206" t="s">
        <v>5791</v>
      </c>
      <c r="W183" s="206" t="s">
        <v>114</v>
      </c>
      <c r="X183" s="205">
        <v>44185</v>
      </c>
      <c r="Y183" s="205"/>
      <c r="Z183" s="205">
        <v>44186</v>
      </c>
      <c r="AA183" s="205"/>
      <c r="AB183" s="205">
        <v>44186</v>
      </c>
      <c r="AC183" s="205"/>
      <c r="AD183" s="205"/>
      <c r="AE183" s="205"/>
      <c r="AF183" s="205"/>
      <c r="AG183" s="205"/>
      <c r="AH183" s="207"/>
      <c r="AI183" s="208" t="s">
        <v>69</v>
      </c>
      <c r="AJ183" s="208" t="s">
        <v>142</v>
      </c>
      <c r="AK183" s="209" t="s">
        <v>5792</v>
      </c>
      <c r="AL183" s="209"/>
      <c r="AM183" s="209">
        <v>44179</v>
      </c>
      <c r="AN183" s="209"/>
      <c r="AO183" s="199">
        <f t="shared" ca="1" si="24"/>
        <v>44958</v>
      </c>
      <c r="AP183" s="208">
        <f t="shared" ca="1" si="25"/>
        <v>779</v>
      </c>
      <c r="AQ183" s="208">
        <f t="shared" ca="1" si="27"/>
        <v>772</v>
      </c>
      <c r="AR183" s="209"/>
      <c r="AS183" s="209" t="s">
        <v>5793</v>
      </c>
      <c r="AT183" s="210">
        <v>10.315</v>
      </c>
      <c r="AU183" s="210">
        <v>10.324999999999999</v>
      </c>
      <c r="AV183" s="210">
        <v>10.349999999999998</v>
      </c>
      <c r="AW183" s="210">
        <v>10.354999999999999</v>
      </c>
      <c r="AX183" s="200">
        <f t="shared" ca="1" si="28"/>
        <v>772</v>
      </c>
      <c r="BA183" s="200" t="s">
        <v>123</v>
      </c>
      <c r="BN183" s="211" t="s">
        <v>5656</v>
      </c>
    </row>
    <row r="184" spans="1:66" s="200" customFormat="1" ht="18" customHeight="1" x14ac:dyDescent="0.25">
      <c r="A184" s="199"/>
      <c r="B184" s="204">
        <f ca="1">IF(A184="",(IF(ISNUMBER(SUBSTITUTE(LEFT(RIGHT(E184,LEN(E184)-MIN(SEARCH({1,2,3,4,5,6,7,8,9,0},E184&amp;"1234567890"))+1),10),".","/"))=TRUE,AO184-(SUBSTITUTE(LEFT(RIGHT(E184,LEN(E184)-MIN(SEARCH({1,2,3,4,5,6,7,8,9,0},E184&amp;"1234567890"))+1),10),".","/")),IF((SUBSTITUTE(LEFT(RIGHT(E184,LEN(E184)-MIN(SEARCH({1,2,3,4,5,6,7,8,9,0},E184&amp;"1234567890"))+1),10),".","/"))="","",(AO184)-(MID(RIGHT((SUBSTITUTE(LEFT(RIGHT(E184,LEN(E184)-MIN(SEARCH({1,2,3,4,5,6,7,8,9,0},E184&amp;"1234567890"))+1),10),".","/")),10),4,2)&amp;"/"&amp;LEFT((RIGHT((SUBSTITUTE(LEFT(RIGHT(E184,LEN(E184)-MIN(SEARCH({1,2,3,4,5,6,7,8,9,0},E184&amp;"1234567890"))+1),10),".","/")),10)),2)&amp;"/"&amp;RIGHT((SUBSTITUTE(LEFT(RIGHT(E184,LEN(E184)-MIN(SEARCH({1,2,3,4,5,6,7,8,9,0},E184&amp;"1234567890"))+1),10),".","/")),4))))),(AO184-A184))</f>
        <v>739</v>
      </c>
      <c r="C184" s="199"/>
      <c r="D184" s="201" t="str">
        <f t="shared" si="26"/>
        <v>FGC-J3/2B-0.39X33.2</v>
      </c>
      <c r="E184" s="201" t="s">
        <v>5794</v>
      </c>
      <c r="F184" s="201" t="s">
        <v>5795</v>
      </c>
      <c r="G184" s="201" t="s">
        <v>5796</v>
      </c>
      <c r="H184" s="201" t="s">
        <v>34</v>
      </c>
      <c r="I184" s="202" t="s">
        <v>114</v>
      </c>
      <c r="J184" s="203">
        <v>0.75</v>
      </c>
      <c r="K184" s="203">
        <v>0.39</v>
      </c>
      <c r="L184" s="203">
        <v>0.38</v>
      </c>
      <c r="M184" s="203">
        <v>0.39</v>
      </c>
      <c r="N184" s="204">
        <v>585</v>
      </c>
      <c r="O184" s="381">
        <f>1.94-1.825</f>
        <v>0.11499999999999999</v>
      </c>
      <c r="P184" s="413"/>
      <c r="Q184" s="185">
        <v>33.200000000000003</v>
      </c>
      <c r="R184" s="185"/>
      <c r="S184" s="414"/>
      <c r="T184" s="371"/>
      <c r="U184" s="206" t="s">
        <v>115</v>
      </c>
      <c r="V184" s="206" t="s">
        <v>5797</v>
      </c>
      <c r="W184" s="206" t="s">
        <v>176</v>
      </c>
      <c r="X184" s="205" t="s">
        <v>5798</v>
      </c>
      <c r="Y184" s="205"/>
      <c r="Z184" s="205" t="s">
        <v>5798</v>
      </c>
      <c r="AA184" s="205"/>
      <c r="AB184" s="205" t="s">
        <v>5799</v>
      </c>
      <c r="AC184" s="205"/>
      <c r="AD184" s="205">
        <v>44158</v>
      </c>
      <c r="AE184" s="205"/>
      <c r="AF184" s="205"/>
      <c r="AG184" s="205"/>
      <c r="AH184" s="207"/>
      <c r="AI184" s="208" t="s">
        <v>69</v>
      </c>
      <c r="AJ184" s="208" t="s">
        <v>209</v>
      </c>
      <c r="AK184" s="209" t="s">
        <v>5800</v>
      </c>
      <c r="AL184" s="209">
        <v>44126</v>
      </c>
      <c r="AM184" s="209">
        <v>44154</v>
      </c>
      <c r="AN184" s="209"/>
      <c r="AO184" s="199">
        <f t="shared" ca="1" si="24"/>
        <v>44958</v>
      </c>
      <c r="AP184" s="208">
        <f t="shared" ca="1" si="25"/>
        <v>804</v>
      </c>
      <c r="AQ184" s="208">
        <f t="shared" ca="1" si="27"/>
        <v>799</v>
      </c>
      <c r="AR184" s="209"/>
      <c r="AS184" s="209" t="s">
        <v>5801</v>
      </c>
      <c r="AT184" s="210">
        <v>8.0540000000000003</v>
      </c>
      <c r="AU184" s="210">
        <v>8.0839999999999996</v>
      </c>
      <c r="AV184" s="210">
        <v>8.1089999999999982</v>
      </c>
      <c r="AW184" s="210">
        <v>8.113999999999999</v>
      </c>
      <c r="AX184" s="200">
        <f t="shared" ca="1" si="28"/>
        <v>800</v>
      </c>
      <c r="BA184" s="200" t="s">
        <v>123</v>
      </c>
      <c r="BN184" s="211" t="s">
        <v>5656</v>
      </c>
    </row>
    <row r="185" spans="1:66" s="200" customFormat="1" ht="18" customHeight="1" x14ac:dyDescent="0.25">
      <c r="A185" s="199"/>
      <c r="B185" s="204">
        <f ca="1">IF(A185="",(IF(ISNUMBER(SUBSTITUTE(LEFT(RIGHT(E185,LEN(E185)-MIN(SEARCH({1,2,3,4,5,6,7,8,9,0},E185&amp;"1234567890"))+1),10),".","/"))=TRUE,AO185-(SUBSTITUTE(LEFT(RIGHT(E185,LEN(E185)-MIN(SEARCH({1,2,3,4,5,6,7,8,9,0},E185&amp;"1234567890"))+1),10),".","/")),IF((SUBSTITUTE(LEFT(RIGHT(E185,LEN(E185)-MIN(SEARCH({1,2,3,4,5,6,7,8,9,0},E185&amp;"1234567890"))+1),10),".","/"))="","",(AO185)-(MID(RIGHT((SUBSTITUTE(LEFT(RIGHT(E185,LEN(E185)-MIN(SEARCH({1,2,3,4,5,6,7,8,9,0},E185&amp;"1234567890"))+1),10),".","/")),10),4,2)&amp;"/"&amp;LEFT((RIGHT((SUBSTITUTE(LEFT(RIGHT(E185,LEN(E185)-MIN(SEARCH({1,2,3,4,5,6,7,8,9,0},E185&amp;"1234567890"))+1),10),".","/")),10)),2)&amp;"/"&amp;RIGHT((SUBSTITUTE(LEFT(RIGHT(E185,LEN(E185)-MIN(SEARCH({1,2,3,4,5,6,7,8,9,0},E185&amp;"1234567890"))+1),10),".","/")),4))))),(AO185-A185))</f>
        <v>739</v>
      </c>
      <c r="C185" s="199"/>
      <c r="D185" s="201" t="str">
        <f t="shared" si="26"/>
        <v>FGC-J3/2B-0.39X33.2</v>
      </c>
      <c r="E185" s="201" t="s">
        <v>5794</v>
      </c>
      <c r="F185" s="201" t="s">
        <v>5795</v>
      </c>
      <c r="G185" s="201" t="s">
        <v>5796</v>
      </c>
      <c r="H185" s="201" t="s">
        <v>34</v>
      </c>
      <c r="I185" s="202" t="s">
        <v>114</v>
      </c>
      <c r="J185" s="203">
        <v>0.75</v>
      </c>
      <c r="K185" s="203">
        <v>0.39</v>
      </c>
      <c r="L185" s="203">
        <v>0.38</v>
      </c>
      <c r="M185" s="203">
        <v>0.39</v>
      </c>
      <c r="N185" s="204">
        <v>585</v>
      </c>
      <c r="O185" s="381">
        <f>1.94-1.825</f>
        <v>0.11499999999999999</v>
      </c>
      <c r="P185" s="413"/>
      <c r="Q185" s="185">
        <v>33.200000000000003</v>
      </c>
      <c r="R185" s="185"/>
      <c r="S185" s="414"/>
      <c r="T185" s="371"/>
      <c r="U185" s="206" t="s">
        <v>115</v>
      </c>
      <c r="V185" s="206" t="s">
        <v>5797</v>
      </c>
      <c r="W185" s="206" t="s">
        <v>176</v>
      </c>
      <c r="X185" s="205" t="s">
        <v>5798</v>
      </c>
      <c r="Y185" s="205"/>
      <c r="Z185" s="205" t="s">
        <v>5798</v>
      </c>
      <c r="AA185" s="205"/>
      <c r="AB185" s="205" t="s">
        <v>5799</v>
      </c>
      <c r="AC185" s="205"/>
      <c r="AD185" s="205">
        <v>44158</v>
      </c>
      <c r="AE185" s="205"/>
      <c r="AF185" s="205"/>
      <c r="AG185" s="205"/>
      <c r="AH185" s="207"/>
      <c r="AI185" s="208" t="s">
        <v>69</v>
      </c>
      <c r="AJ185" s="208" t="s">
        <v>209</v>
      </c>
      <c r="AK185" s="209" t="s">
        <v>5800</v>
      </c>
      <c r="AL185" s="209">
        <v>44126</v>
      </c>
      <c r="AM185" s="209">
        <v>44154</v>
      </c>
      <c r="AN185" s="209"/>
      <c r="AO185" s="199">
        <f t="shared" ca="1" si="24"/>
        <v>44958</v>
      </c>
      <c r="AP185" s="208">
        <f t="shared" ca="1" si="25"/>
        <v>804</v>
      </c>
      <c r="AQ185" s="208">
        <f t="shared" ca="1" si="27"/>
        <v>799</v>
      </c>
      <c r="AR185" s="209"/>
      <c r="AS185" s="209" t="s">
        <v>5801</v>
      </c>
      <c r="AT185" s="210">
        <v>8.0540000000000003</v>
      </c>
      <c r="AU185" s="210">
        <v>8.0839999999999996</v>
      </c>
      <c r="AV185" s="210">
        <v>8.1089999999999982</v>
      </c>
      <c r="AW185" s="210">
        <v>8.113999999999999</v>
      </c>
      <c r="AX185" s="200">
        <f t="shared" ca="1" si="28"/>
        <v>800</v>
      </c>
      <c r="BA185" s="200" t="s">
        <v>123</v>
      </c>
      <c r="BN185" s="211" t="s">
        <v>5656</v>
      </c>
    </row>
    <row r="186" spans="1:66" s="200" customFormat="1" ht="18" customHeight="1" x14ac:dyDescent="0.25">
      <c r="A186" s="199"/>
      <c r="B186" s="204">
        <f ca="1">IF(A186="",(IF(ISNUMBER(SUBSTITUTE(LEFT(RIGHT(E186,LEN(E186)-MIN(SEARCH({1,2,3,4,5,6,7,8,9,0},E186&amp;"1234567890"))+1),10),".","/"))=TRUE,AO186-(SUBSTITUTE(LEFT(RIGHT(E186,LEN(E186)-MIN(SEARCH({1,2,3,4,5,6,7,8,9,0},E186&amp;"1234567890"))+1),10),".","/")),IF((SUBSTITUTE(LEFT(RIGHT(E186,LEN(E186)-MIN(SEARCH({1,2,3,4,5,6,7,8,9,0},E186&amp;"1234567890"))+1),10),".","/"))="","",(AO186)-(MID(RIGHT((SUBSTITUTE(LEFT(RIGHT(E186,LEN(E186)-MIN(SEARCH({1,2,3,4,5,6,7,8,9,0},E186&amp;"1234567890"))+1),10),".","/")),10),4,2)&amp;"/"&amp;LEFT((RIGHT((SUBSTITUTE(LEFT(RIGHT(E186,LEN(E186)-MIN(SEARCH({1,2,3,4,5,6,7,8,9,0},E186&amp;"1234567890"))+1),10),".","/")),10)),2)&amp;"/"&amp;RIGHT((SUBSTITUTE(LEFT(RIGHT(E186,LEN(E186)-MIN(SEARCH({1,2,3,4,5,6,7,8,9,0},E186&amp;"1234567890"))+1),10),".","/")),4))))),(AO186-A186))</f>
        <v>739</v>
      </c>
      <c r="C186" s="199"/>
      <c r="D186" s="201" t="str">
        <f t="shared" si="26"/>
        <v>FGC-J3/2B-0.39X33.2</v>
      </c>
      <c r="E186" s="201" t="s">
        <v>5794</v>
      </c>
      <c r="F186" s="201" t="s">
        <v>5795</v>
      </c>
      <c r="G186" s="201" t="s">
        <v>5796</v>
      </c>
      <c r="H186" s="201" t="s">
        <v>34</v>
      </c>
      <c r="I186" s="202" t="s">
        <v>114</v>
      </c>
      <c r="J186" s="203">
        <v>0.75</v>
      </c>
      <c r="K186" s="203">
        <v>0.39</v>
      </c>
      <c r="L186" s="203">
        <v>0.38</v>
      </c>
      <c r="M186" s="203">
        <v>0.39</v>
      </c>
      <c r="N186" s="204">
        <v>585</v>
      </c>
      <c r="O186" s="381">
        <f>1.93-1.82</f>
        <v>0.10999999999999988</v>
      </c>
      <c r="P186" s="413"/>
      <c r="Q186" s="185">
        <v>33.200000000000003</v>
      </c>
      <c r="R186" s="185"/>
      <c r="S186" s="414"/>
      <c r="T186" s="371"/>
      <c r="U186" s="206" t="s">
        <v>115</v>
      </c>
      <c r="V186" s="206" t="s">
        <v>5797</v>
      </c>
      <c r="W186" s="206" t="s">
        <v>176</v>
      </c>
      <c r="X186" s="205" t="s">
        <v>5798</v>
      </c>
      <c r="Y186" s="205"/>
      <c r="Z186" s="205" t="s">
        <v>5798</v>
      </c>
      <c r="AA186" s="205"/>
      <c r="AB186" s="205" t="s">
        <v>5799</v>
      </c>
      <c r="AC186" s="205"/>
      <c r="AD186" s="205">
        <v>44158</v>
      </c>
      <c r="AE186" s="205"/>
      <c r="AF186" s="205"/>
      <c r="AG186" s="205"/>
      <c r="AH186" s="207"/>
      <c r="AI186" s="208" t="s">
        <v>69</v>
      </c>
      <c r="AJ186" s="208" t="s">
        <v>209</v>
      </c>
      <c r="AK186" s="209" t="s">
        <v>5800</v>
      </c>
      <c r="AL186" s="209">
        <v>44126</v>
      </c>
      <c r="AM186" s="209">
        <v>44154</v>
      </c>
      <c r="AN186" s="209"/>
      <c r="AO186" s="199">
        <f t="shared" ca="1" si="24"/>
        <v>44958</v>
      </c>
      <c r="AP186" s="208">
        <f t="shared" ca="1" si="25"/>
        <v>804</v>
      </c>
      <c r="AQ186" s="208">
        <f t="shared" ca="1" si="27"/>
        <v>799</v>
      </c>
      <c r="AR186" s="209"/>
      <c r="AS186" s="209" t="s">
        <v>5801</v>
      </c>
      <c r="AT186" s="210">
        <v>8.0540000000000003</v>
      </c>
      <c r="AU186" s="210">
        <v>8.0839999999999996</v>
      </c>
      <c r="AV186" s="210">
        <v>8.1089999999999982</v>
      </c>
      <c r="AW186" s="210">
        <v>8.113999999999999</v>
      </c>
      <c r="AX186" s="200">
        <f t="shared" ca="1" si="28"/>
        <v>800</v>
      </c>
      <c r="BA186" s="200" t="s">
        <v>123</v>
      </c>
      <c r="BN186" s="211" t="s">
        <v>5656</v>
      </c>
    </row>
    <row r="187" spans="1:66" s="200" customFormat="1" ht="18" customHeight="1" x14ac:dyDescent="0.25">
      <c r="A187" s="199"/>
      <c r="B187" s="204">
        <f ca="1">IF(A187="",(IF(ISNUMBER(SUBSTITUTE(LEFT(RIGHT(E187,LEN(E187)-MIN(SEARCH({1,2,3,4,5,6,7,8,9,0},E187&amp;"1234567890"))+1),10),".","/"))=TRUE,AO187-(SUBSTITUTE(LEFT(RIGHT(E187,LEN(E187)-MIN(SEARCH({1,2,3,4,5,6,7,8,9,0},E187&amp;"1234567890"))+1),10),".","/")),IF((SUBSTITUTE(LEFT(RIGHT(E187,LEN(E187)-MIN(SEARCH({1,2,3,4,5,6,7,8,9,0},E187&amp;"1234567890"))+1),10),".","/"))="","",(AO187)-(MID(RIGHT((SUBSTITUTE(LEFT(RIGHT(E187,LEN(E187)-MIN(SEARCH({1,2,3,4,5,6,7,8,9,0},E187&amp;"1234567890"))+1),10),".","/")),10),4,2)&amp;"/"&amp;LEFT((RIGHT((SUBSTITUTE(LEFT(RIGHT(E187,LEN(E187)-MIN(SEARCH({1,2,3,4,5,6,7,8,9,0},E187&amp;"1234567890"))+1),10),".","/")),10)),2)&amp;"/"&amp;RIGHT((SUBSTITUTE(LEFT(RIGHT(E187,LEN(E187)-MIN(SEARCH({1,2,3,4,5,6,7,8,9,0},E187&amp;"1234567890"))+1),10),".","/")),4))))),(AO187-A187))</f>
        <v>739</v>
      </c>
      <c r="C187" s="199"/>
      <c r="D187" s="201" t="str">
        <f t="shared" si="26"/>
        <v>FGC-J3/2B-0.39X33.2</v>
      </c>
      <c r="E187" s="201" t="s">
        <v>5794</v>
      </c>
      <c r="F187" s="201" t="s">
        <v>5802</v>
      </c>
      <c r="G187" s="201" t="s">
        <v>5803</v>
      </c>
      <c r="H187" s="201" t="s">
        <v>34</v>
      </c>
      <c r="I187" s="202" t="s">
        <v>114</v>
      </c>
      <c r="J187" s="203">
        <v>0.75</v>
      </c>
      <c r="K187" s="203">
        <v>0.39</v>
      </c>
      <c r="L187" s="203">
        <v>0.38</v>
      </c>
      <c r="M187" s="203">
        <v>0.4</v>
      </c>
      <c r="N187" s="204">
        <v>585</v>
      </c>
      <c r="O187" s="381">
        <f>1.955-1.845</f>
        <v>0.1100000000000001</v>
      </c>
      <c r="P187" s="413"/>
      <c r="Q187" s="185">
        <v>33.200000000000003</v>
      </c>
      <c r="R187" s="185"/>
      <c r="S187" s="414"/>
      <c r="T187" s="371"/>
      <c r="U187" s="206" t="s">
        <v>115</v>
      </c>
      <c r="V187" s="206" t="s">
        <v>5797</v>
      </c>
      <c r="W187" s="206" t="s">
        <v>176</v>
      </c>
      <c r="X187" s="205" t="s">
        <v>5804</v>
      </c>
      <c r="Y187" s="205"/>
      <c r="Z187" s="205" t="s">
        <v>5805</v>
      </c>
      <c r="AA187" s="205"/>
      <c r="AB187" s="205" t="s">
        <v>5806</v>
      </c>
      <c r="AC187" s="205"/>
      <c r="AD187" s="205">
        <v>44210</v>
      </c>
      <c r="AE187" s="205"/>
      <c r="AF187" s="205"/>
      <c r="AG187" s="205"/>
      <c r="AH187" s="207"/>
      <c r="AI187" s="208" t="s">
        <v>69</v>
      </c>
      <c r="AJ187" s="208" t="s">
        <v>209</v>
      </c>
      <c r="AK187" s="209" t="s">
        <v>5807</v>
      </c>
      <c r="AL187" s="209">
        <v>44154</v>
      </c>
      <c r="AM187" s="209">
        <v>44176</v>
      </c>
      <c r="AN187" s="209"/>
      <c r="AO187" s="199">
        <f t="shared" ca="1" si="24"/>
        <v>44958</v>
      </c>
      <c r="AP187" s="208">
        <f t="shared" ca="1" si="25"/>
        <v>782</v>
      </c>
      <c r="AQ187" s="208">
        <f t="shared" ca="1" si="27"/>
        <v>741</v>
      </c>
      <c r="AR187" s="209" t="s">
        <v>5808</v>
      </c>
      <c r="AS187" s="209" t="s">
        <v>5809</v>
      </c>
      <c r="AT187" s="210">
        <v>8.1560000000000006</v>
      </c>
      <c r="AU187" s="210">
        <v>8.1859999999999999</v>
      </c>
      <c r="AV187" s="210">
        <v>8.2109999999999985</v>
      </c>
      <c r="AW187" s="210">
        <v>8.2159999999999993</v>
      </c>
      <c r="AX187" s="200">
        <f t="shared" ca="1" si="28"/>
        <v>745</v>
      </c>
      <c r="BA187" s="200" t="s">
        <v>123</v>
      </c>
      <c r="BN187" s="211" t="s">
        <v>5656</v>
      </c>
    </row>
    <row r="188" spans="1:66" s="200" customFormat="1" ht="18" customHeight="1" x14ac:dyDescent="0.25">
      <c r="A188" s="199"/>
      <c r="B188" s="204">
        <f ca="1">IF(A188="",(IF(ISNUMBER(SUBSTITUTE(LEFT(RIGHT(E188,LEN(E188)-MIN(SEARCH({1,2,3,4,5,6,7,8,9,0},E188&amp;"1234567890"))+1),10),".","/"))=TRUE,AO188-(SUBSTITUTE(LEFT(RIGHT(E188,LEN(E188)-MIN(SEARCH({1,2,3,4,5,6,7,8,9,0},E188&amp;"1234567890"))+1),10),".","/")),IF((SUBSTITUTE(LEFT(RIGHT(E188,LEN(E188)-MIN(SEARCH({1,2,3,4,5,6,7,8,9,0},E188&amp;"1234567890"))+1),10),".","/"))="","",(AO188)-(MID(RIGHT((SUBSTITUTE(LEFT(RIGHT(E188,LEN(E188)-MIN(SEARCH({1,2,3,4,5,6,7,8,9,0},E188&amp;"1234567890"))+1),10),".","/")),10),4,2)&amp;"/"&amp;LEFT((RIGHT((SUBSTITUTE(LEFT(RIGHT(E188,LEN(E188)-MIN(SEARCH({1,2,3,4,5,6,7,8,9,0},E188&amp;"1234567890"))+1),10),".","/")),10)),2)&amp;"/"&amp;RIGHT((SUBSTITUTE(LEFT(RIGHT(E188,LEN(E188)-MIN(SEARCH({1,2,3,4,5,6,7,8,9,0},E188&amp;"1234567890"))+1),10),".","/")),4))))),(AO188-A188))</f>
        <v>739</v>
      </c>
      <c r="C188" s="199"/>
      <c r="D188" s="201" t="str">
        <f t="shared" si="26"/>
        <v>FGC-J3/2B-0.39X33.2</v>
      </c>
      <c r="E188" s="201" t="s">
        <v>5794</v>
      </c>
      <c r="F188" s="201" t="s">
        <v>5795</v>
      </c>
      <c r="G188" s="201" t="s">
        <v>5796</v>
      </c>
      <c r="H188" s="201" t="s">
        <v>34</v>
      </c>
      <c r="I188" s="202" t="s">
        <v>114</v>
      </c>
      <c r="J188" s="203">
        <v>0.75</v>
      </c>
      <c r="K188" s="203">
        <v>0.39</v>
      </c>
      <c r="L188" s="203">
        <v>0.38</v>
      </c>
      <c r="M188" s="203">
        <v>0.39</v>
      </c>
      <c r="N188" s="204">
        <v>585</v>
      </c>
      <c r="O188" s="381">
        <f>1.895-1.78</f>
        <v>0.11499999999999999</v>
      </c>
      <c r="P188" s="413"/>
      <c r="Q188" s="185">
        <v>33.200000000000003</v>
      </c>
      <c r="R188" s="185"/>
      <c r="S188" s="414"/>
      <c r="T188" s="371"/>
      <c r="U188" s="206" t="s">
        <v>115</v>
      </c>
      <c r="V188" s="206" t="s">
        <v>5797</v>
      </c>
      <c r="W188" s="206" t="s">
        <v>176</v>
      </c>
      <c r="X188" s="205" t="s">
        <v>5798</v>
      </c>
      <c r="Y188" s="205"/>
      <c r="Z188" s="205" t="s">
        <v>5798</v>
      </c>
      <c r="AA188" s="205"/>
      <c r="AB188" s="205" t="s">
        <v>5799</v>
      </c>
      <c r="AC188" s="205"/>
      <c r="AD188" s="205">
        <v>44158</v>
      </c>
      <c r="AE188" s="205"/>
      <c r="AF188" s="205"/>
      <c r="AG188" s="205"/>
      <c r="AH188" s="207"/>
      <c r="AI188" s="208" t="s">
        <v>69</v>
      </c>
      <c r="AJ188" s="208" t="s">
        <v>209</v>
      </c>
      <c r="AK188" s="209" t="s">
        <v>5800</v>
      </c>
      <c r="AL188" s="209">
        <v>44126</v>
      </c>
      <c r="AM188" s="209">
        <v>44154</v>
      </c>
      <c r="AN188" s="209"/>
      <c r="AO188" s="199">
        <f t="shared" ca="1" si="24"/>
        <v>44958</v>
      </c>
      <c r="AP188" s="208">
        <f t="shared" ca="1" si="25"/>
        <v>804</v>
      </c>
      <c r="AQ188" s="208">
        <f t="shared" ca="1" si="27"/>
        <v>799</v>
      </c>
      <c r="AR188" s="209"/>
      <c r="AS188" s="209" t="s">
        <v>5801</v>
      </c>
      <c r="AT188" s="210">
        <v>8.0540000000000003</v>
      </c>
      <c r="AU188" s="210">
        <v>8.0839999999999996</v>
      </c>
      <c r="AV188" s="210">
        <v>8.1089999999999982</v>
      </c>
      <c r="AW188" s="210">
        <v>8.113999999999999</v>
      </c>
      <c r="AX188" s="200">
        <f t="shared" ca="1" si="28"/>
        <v>800</v>
      </c>
      <c r="BA188" s="200" t="s">
        <v>123</v>
      </c>
      <c r="BN188" s="211" t="s">
        <v>5656</v>
      </c>
    </row>
    <row r="189" spans="1:66" s="200" customFormat="1" ht="18" customHeight="1" x14ac:dyDescent="0.25">
      <c r="A189" s="199"/>
      <c r="B189" s="204">
        <f ca="1">IF(A189="",(IF(ISNUMBER(SUBSTITUTE(LEFT(RIGHT(E189,LEN(E189)-MIN(SEARCH({1,2,3,4,5,6,7,8,9,0},E189&amp;"1234567890"))+1),10),".","/"))=TRUE,AO189-(SUBSTITUTE(LEFT(RIGHT(E189,LEN(E189)-MIN(SEARCH({1,2,3,4,5,6,7,8,9,0},E189&amp;"1234567890"))+1),10),".","/")),IF((SUBSTITUTE(LEFT(RIGHT(E189,LEN(E189)-MIN(SEARCH({1,2,3,4,5,6,7,8,9,0},E189&amp;"1234567890"))+1),10),".","/"))="","",(AO189)-(MID(RIGHT((SUBSTITUTE(LEFT(RIGHT(E189,LEN(E189)-MIN(SEARCH({1,2,3,4,5,6,7,8,9,0},E189&amp;"1234567890"))+1),10),".","/")),10),4,2)&amp;"/"&amp;LEFT((RIGHT((SUBSTITUTE(LEFT(RIGHT(E189,LEN(E189)-MIN(SEARCH({1,2,3,4,5,6,7,8,9,0},E189&amp;"1234567890"))+1),10),".","/")),10)),2)&amp;"/"&amp;RIGHT((SUBSTITUTE(LEFT(RIGHT(E189,LEN(E189)-MIN(SEARCH({1,2,3,4,5,6,7,8,9,0},E189&amp;"1234567890"))+1),10),".","/")),4))))),(AO189-A189))</f>
        <v>739</v>
      </c>
      <c r="C189" s="199"/>
      <c r="D189" s="201" t="str">
        <f t="shared" si="26"/>
        <v>FGC-J3/2B-0.39X33.2</v>
      </c>
      <c r="E189" s="201" t="s">
        <v>5794</v>
      </c>
      <c r="F189" s="201" t="s">
        <v>5802</v>
      </c>
      <c r="G189" s="201" t="s">
        <v>5803</v>
      </c>
      <c r="H189" s="201" t="s">
        <v>34</v>
      </c>
      <c r="I189" s="202" t="s">
        <v>114</v>
      </c>
      <c r="J189" s="203">
        <v>0.75</v>
      </c>
      <c r="K189" s="203">
        <v>0.39</v>
      </c>
      <c r="L189" s="203">
        <v>0.38</v>
      </c>
      <c r="M189" s="203">
        <v>0.4</v>
      </c>
      <c r="N189" s="204">
        <v>585</v>
      </c>
      <c r="O189" s="381">
        <f>1.96-1.85</f>
        <v>0.10999999999999988</v>
      </c>
      <c r="P189" s="413"/>
      <c r="Q189" s="185">
        <v>33.200000000000003</v>
      </c>
      <c r="R189" s="185"/>
      <c r="S189" s="414"/>
      <c r="T189" s="371"/>
      <c r="U189" s="206" t="s">
        <v>115</v>
      </c>
      <c r="V189" s="206" t="s">
        <v>5797</v>
      </c>
      <c r="W189" s="206" t="s">
        <v>176</v>
      </c>
      <c r="X189" s="205" t="s">
        <v>5804</v>
      </c>
      <c r="Y189" s="205"/>
      <c r="Z189" s="205" t="s">
        <v>5805</v>
      </c>
      <c r="AA189" s="205"/>
      <c r="AB189" s="205" t="s">
        <v>5806</v>
      </c>
      <c r="AC189" s="205"/>
      <c r="AD189" s="205">
        <v>44210</v>
      </c>
      <c r="AE189" s="205"/>
      <c r="AF189" s="205"/>
      <c r="AG189" s="205"/>
      <c r="AH189" s="207"/>
      <c r="AI189" s="208" t="s">
        <v>69</v>
      </c>
      <c r="AJ189" s="208" t="s">
        <v>209</v>
      </c>
      <c r="AK189" s="209" t="s">
        <v>5807</v>
      </c>
      <c r="AL189" s="209">
        <v>44154</v>
      </c>
      <c r="AM189" s="209">
        <v>44176</v>
      </c>
      <c r="AN189" s="209"/>
      <c r="AO189" s="199">
        <f t="shared" ca="1" si="24"/>
        <v>44958</v>
      </c>
      <c r="AP189" s="208">
        <f t="shared" ca="1" si="25"/>
        <v>782</v>
      </c>
      <c r="AQ189" s="208">
        <f t="shared" ca="1" si="27"/>
        <v>741</v>
      </c>
      <c r="AR189" s="209" t="s">
        <v>5808</v>
      </c>
      <c r="AS189" s="209" t="s">
        <v>5809</v>
      </c>
      <c r="AT189" s="210">
        <v>8.1560000000000006</v>
      </c>
      <c r="AU189" s="210">
        <v>8.1859999999999999</v>
      </c>
      <c r="AV189" s="210">
        <v>8.2109999999999985</v>
      </c>
      <c r="AW189" s="210">
        <v>8.2159999999999993</v>
      </c>
      <c r="AX189" s="200">
        <f t="shared" ca="1" si="28"/>
        <v>745</v>
      </c>
      <c r="BA189" s="200" t="s">
        <v>123</v>
      </c>
      <c r="BN189" s="211" t="s">
        <v>5656</v>
      </c>
    </row>
    <row r="190" spans="1:66" s="200" customFormat="1" ht="18" customHeight="1" x14ac:dyDescent="0.25">
      <c r="A190" s="199"/>
      <c r="B190" s="204">
        <f ca="1">IF(A190="",(IF(ISNUMBER(SUBSTITUTE(LEFT(RIGHT(E190,LEN(E190)-MIN(SEARCH({1,2,3,4,5,6,7,8,9,0},E190&amp;"1234567890"))+1),10),".","/"))=TRUE,AO190-(SUBSTITUTE(LEFT(RIGHT(E190,LEN(E190)-MIN(SEARCH({1,2,3,4,5,6,7,8,9,0},E190&amp;"1234567890"))+1),10),".","/")),IF((SUBSTITUTE(LEFT(RIGHT(E190,LEN(E190)-MIN(SEARCH({1,2,3,4,5,6,7,8,9,0},E190&amp;"1234567890"))+1),10),".","/"))="","",(AO190)-(MID(RIGHT((SUBSTITUTE(LEFT(RIGHT(E190,LEN(E190)-MIN(SEARCH({1,2,3,4,5,6,7,8,9,0},E190&amp;"1234567890"))+1),10),".","/")),10),4,2)&amp;"/"&amp;LEFT((RIGHT((SUBSTITUTE(LEFT(RIGHT(E190,LEN(E190)-MIN(SEARCH({1,2,3,4,5,6,7,8,9,0},E190&amp;"1234567890"))+1),10),".","/")),10)),2)&amp;"/"&amp;RIGHT((SUBSTITUTE(LEFT(RIGHT(E190,LEN(E190)-MIN(SEARCH({1,2,3,4,5,6,7,8,9,0},E190&amp;"1234567890"))+1),10),".","/")),4))))),(AO190-A190))</f>
        <v>733</v>
      </c>
      <c r="C190" s="199"/>
      <c r="D190" s="201" t="str">
        <f t="shared" si="26"/>
        <v>FGC-J3/2B-1.15X47</v>
      </c>
      <c r="E190" s="201" t="s">
        <v>5810</v>
      </c>
      <c r="F190" s="201" t="s">
        <v>5811</v>
      </c>
      <c r="G190" s="201" t="s">
        <v>5812</v>
      </c>
      <c r="H190" s="201" t="s">
        <v>34</v>
      </c>
      <c r="I190" s="202" t="s">
        <v>114</v>
      </c>
      <c r="J190" s="203">
        <v>2.35</v>
      </c>
      <c r="K190" s="203">
        <v>1.1499999999999999</v>
      </c>
      <c r="L190" s="203">
        <v>1.1100000000000001</v>
      </c>
      <c r="M190" s="203">
        <v>1.1299999999999999</v>
      </c>
      <c r="N190" s="204">
        <v>640</v>
      </c>
      <c r="O190" s="381">
        <f>2.475-2.285</f>
        <v>0.18999999999999995</v>
      </c>
      <c r="P190" s="413"/>
      <c r="Q190" s="185">
        <v>47</v>
      </c>
      <c r="R190" s="185"/>
      <c r="S190" s="414"/>
      <c r="T190" s="371"/>
      <c r="U190" s="206" t="s">
        <v>115</v>
      </c>
      <c r="V190" s="206" t="s">
        <v>5813</v>
      </c>
      <c r="W190" s="206" t="s">
        <v>114</v>
      </c>
      <c r="X190" s="205">
        <v>44100</v>
      </c>
      <c r="Y190" s="205"/>
      <c r="Z190" s="205">
        <v>44101</v>
      </c>
      <c r="AA190" s="205"/>
      <c r="AB190" s="205">
        <v>44102</v>
      </c>
      <c r="AC190" s="205"/>
      <c r="AD190" s="205"/>
      <c r="AE190" s="205"/>
      <c r="AF190" s="205"/>
      <c r="AG190" s="205"/>
      <c r="AH190" s="207"/>
      <c r="AI190" s="208" t="s">
        <v>69</v>
      </c>
      <c r="AJ190" s="208" t="s">
        <v>190</v>
      </c>
      <c r="AK190" s="209" t="s">
        <v>5814</v>
      </c>
      <c r="AL190" s="209"/>
      <c r="AM190" s="209">
        <v>44100</v>
      </c>
      <c r="AN190" s="209"/>
      <c r="AO190" s="199">
        <f t="shared" ca="1" si="24"/>
        <v>44958</v>
      </c>
      <c r="AP190" s="208">
        <f t="shared" ca="1" si="25"/>
        <v>858</v>
      </c>
      <c r="AQ190" s="208">
        <f t="shared" ca="1" si="27"/>
        <v>856</v>
      </c>
      <c r="AR190" s="209"/>
      <c r="AS190" s="209" t="s">
        <v>5815</v>
      </c>
      <c r="AT190" s="210">
        <v>10.26</v>
      </c>
      <c r="AU190" s="210">
        <v>10.27</v>
      </c>
      <c r="AV190" s="210">
        <v>10.294999999999998</v>
      </c>
      <c r="AW190" s="210">
        <v>10.299999999999999</v>
      </c>
      <c r="AX190" s="200">
        <f t="shared" ca="1" si="28"/>
        <v>857</v>
      </c>
      <c r="BA190" s="200" t="s">
        <v>123</v>
      </c>
      <c r="BN190" s="211" t="s">
        <v>5656</v>
      </c>
    </row>
    <row r="191" spans="1:66" s="200" customFormat="1" ht="18" customHeight="1" x14ac:dyDescent="0.25">
      <c r="A191" s="199"/>
      <c r="B191" s="204">
        <f ca="1">IF(A191="",(IF(ISNUMBER(SUBSTITUTE(LEFT(RIGHT(E191,LEN(E191)-MIN(SEARCH({1,2,3,4,5,6,7,8,9,0},E191&amp;"1234567890"))+1),10),".","/"))=TRUE,AO191-(SUBSTITUTE(LEFT(RIGHT(E191,LEN(E191)-MIN(SEARCH({1,2,3,4,5,6,7,8,9,0},E191&amp;"1234567890"))+1),10),".","/")),IF((SUBSTITUTE(LEFT(RIGHT(E191,LEN(E191)-MIN(SEARCH({1,2,3,4,5,6,7,8,9,0},E191&amp;"1234567890"))+1),10),".","/"))="","",(AO191)-(MID(RIGHT((SUBSTITUTE(LEFT(RIGHT(E191,LEN(E191)-MIN(SEARCH({1,2,3,4,5,6,7,8,9,0},E191&amp;"1234567890"))+1),10),".","/")),10),4,2)&amp;"/"&amp;LEFT((RIGHT((SUBSTITUTE(LEFT(RIGHT(E191,LEN(E191)-MIN(SEARCH({1,2,3,4,5,6,7,8,9,0},E191&amp;"1234567890"))+1),10),".","/")),10)),2)&amp;"/"&amp;RIGHT((SUBSTITUTE(LEFT(RIGHT(E191,LEN(E191)-MIN(SEARCH({1,2,3,4,5,6,7,8,9,0},E191&amp;"1234567890"))+1),10),".","/")),4))))),(AO191-A191))</f>
        <v>716</v>
      </c>
      <c r="C191" s="199"/>
      <c r="D191" s="201" t="str">
        <f t="shared" si="26"/>
        <v>FGC-J3/2B-0.95X85</v>
      </c>
      <c r="E191" s="201" t="s">
        <v>5816</v>
      </c>
      <c r="F191" s="201" t="s">
        <v>5817</v>
      </c>
      <c r="G191" s="201" t="s">
        <v>5818</v>
      </c>
      <c r="H191" s="201" t="s">
        <v>34</v>
      </c>
      <c r="I191" s="202" t="s">
        <v>114</v>
      </c>
      <c r="J191" s="203">
        <v>2.4</v>
      </c>
      <c r="K191" s="203">
        <v>0.95</v>
      </c>
      <c r="L191" s="203">
        <v>0.93</v>
      </c>
      <c r="M191" s="203">
        <v>0.95</v>
      </c>
      <c r="N191" s="204">
        <v>595</v>
      </c>
      <c r="O191" s="381">
        <f>3.895-3.33</f>
        <v>0.56499999999999995</v>
      </c>
      <c r="P191" s="413"/>
      <c r="Q191" s="185">
        <v>85</v>
      </c>
      <c r="R191" s="185"/>
      <c r="S191" s="414"/>
      <c r="T191" s="371"/>
      <c r="U191" s="206" t="s">
        <v>115</v>
      </c>
      <c r="V191" s="206" t="s">
        <v>5819</v>
      </c>
      <c r="W191" s="206" t="s">
        <v>114</v>
      </c>
      <c r="X191" s="205">
        <v>44224</v>
      </c>
      <c r="Y191" s="205"/>
      <c r="Z191" s="205">
        <v>44224</v>
      </c>
      <c r="AA191" s="205"/>
      <c r="AB191" s="205">
        <v>44226</v>
      </c>
      <c r="AC191" s="205"/>
      <c r="AD191" s="205"/>
      <c r="AE191" s="205"/>
      <c r="AF191" s="205"/>
      <c r="AG191" s="205"/>
      <c r="AH191" s="207"/>
      <c r="AI191" s="208" t="s">
        <v>69</v>
      </c>
      <c r="AJ191" s="208" t="s">
        <v>209</v>
      </c>
      <c r="AK191" s="209" t="s">
        <v>5820</v>
      </c>
      <c r="AL191" s="209">
        <v>44141</v>
      </c>
      <c r="AM191" s="209">
        <v>44181</v>
      </c>
      <c r="AN191" s="209"/>
      <c r="AO191" s="199">
        <f t="shared" ca="1" si="24"/>
        <v>44958</v>
      </c>
      <c r="AP191" s="208">
        <f t="shared" ca="1" si="25"/>
        <v>777</v>
      </c>
      <c r="AQ191" s="208">
        <f t="shared" ca="1" si="27"/>
        <v>732</v>
      </c>
      <c r="AR191" s="209" t="s">
        <v>5821</v>
      </c>
      <c r="AS191" s="209" t="s">
        <v>5822</v>
      </c>
      <c r="AT191" s="210">
        <v>8.1219999999999999</v>
      </c>
      <c r="AU191" s="210">
        <v>8.1519999999999992</v>
      </c>
      <c r="AV191" s="210">
        <v>8.1769999999999978</v>
      </c>
      <c r="AW191" s="210">
        <v>8.1819999999999986</v>
      </c>
      <c r="AX191" s="200">
        <f t="shared" ca="1" si="28"/>
        <v>734</v>
      </c>
      <c r="BA191" s="200" t="s">
        <v>123</v>
      </c>
      <c r="BN191" s="211" t="s">
        <v>5656</v>
      </c>
    </row>
    <row r="192" spans="1:66" s="200" customFormat="1" ht="18" customHeight="1" x14ac:dyDescent="0.25">
      <c r="A192" s="199">
        <v>44300</v>
      </c>
      <c r="B192" s="204">
        <f ca="1">IF(A192="",(IF(ISNUMBER(SUBSTITUTE(LEFT(RIGHT(E192,LEN(E192)-MIN(SEARCH({1,2,3,4,5,6,7,8,9,0},E192&amp;"1234567890"))+1),10),".","/"))=TRUE,AO192-(SUBSTITUTE(LEFT(RIGHT(E192,LEN(E192)-MIN(SEARCH({1,2,3,4,5,6,7,8,9,0},E192&amp;"1234567890"))+1),10),".","/")),IF((SUBSTITUTE(LEFT(RIGHT(E192,LEN(E192)-MIN(SEARCH({1,2,3,4,5,6,7,8,9,0},E192&amp;"1234567890"))+1),10),".","/"))="","",(AO192)-(MID(RIGHT((SUBSTITUTE(LEFT(RIGHT(E192,LEN(E192)-MIN(SEARCH({1,2,3,4,5,6,7,8,9,0},E192&amp;"1234567890"))+1),10),".","/")),10),4,2)&amp;"/"&amp;LEFT((RIGHT((SUBSTITUTE(LEFT(RIGHT(E192,LEN(E192)-MIN(SEARCH({1,2,3,4,5,6,7,8,9,0},E192&amp;"1234567890"))+1),10),".","/")),10)),2)&amp;"/"&amp;RIGHT((SUBSTITUTE(LEFT(RIGHT(E192,LEN(E192)-MIN(SEARCH({1,2,3,4,5,6,7,8,9,0},E192&amp;"1234567890"))+1),10),".","/")),4))))),(AO192-A192))</f>
        <v>658</v>
      </c>
      <c r="C192" s="199"/>
      <c r="D192" s="201" t="str">
        <f t="shared" si="26"/>
        <v>FGC-J1/2B-0.60X107</v>
      </c>
      <c r="E192" s="201" t="s">
        <v>5823</v>
      </c>
      <c r="F192" s="201" t="s">
        <v>5824</v>
      </c>
      <c r="G192" s="201" t="s">
        <v>5825</v>
      </c>
      <c r="H192" s="201" t="s">
        <v>32</v>
      </c>
      <c r="I192" s="202" t="s">
        <v>114</v>
      </c>
      <c r="J192" s="203">
        <v>0.92</v>
      </c>
      <c r="K192" s="203">
        <v>0.6</v>
      </c>
      <c r="L192" s="203">
        <v>0.6</v>
      </c>
      <c r="M192" s="203">
        <v>0.61</v>
      </c>
      <c r="N192" s="204">
        <v>720</v>
      </c>
      <c r="O192" s="381">
        <v>0.91</v>
      </c>
      <c r="P192" s="443"/>
      <c r="Q192" s="185">
        <v>107</v>
      </c>
      <c r="R192" s="185"/>
      <c r="S192" s="414"/>
      <c r="T192" s="371"/>
      <c r="U192" s="206" t="s">
        <v>115</v>
      </c>
      <c r="V192" s="206" t="s">
        <v>5826</v>
      </c>
      <c r="W192" s="206" t="s">
        <v>114</v>
      </c>
      <c r="X192" s="205">
        <v>44146</v>
      </c>
      <c r="Y192" s="205"/>
      <c r="Z192" s="205">
        <v>44147</v>
      </c>
      <c r="AA192" s="205"/>
      <c r="AB192" s="205">
        <v>44148</v>
      </c>
      <c r="AC192" s="205"/>
      <c r="AD192" s="205" t="s">
        <v>5827</v>
      </c>
      <c r="AE192" s="205"/>
      <c r="AF192" s="205"/>
      <c r="AG192" s="205"/>
      <c r="AH192" s="207"/>
      <c r="AI192" s="208" t="s">
        <v>114</v>
      </c>
      <c r="AJ192" s="208" t="s">
        <v>209</v>
      </c>
      <c r="AK192" s="209" t="s">
        <v>5828</v>
      </c>
      <c r="AL192" s="209">
        <v>44082</v>
      </c>
      <c r="AM192" s="209">
        <v>44103</v>
      </c>
      <c r="AN192" s="209"/>
      <c r="AO192" s="199">
        <f t="shared" ca="1" si="24"/>
        <v>44958</v>
      </c>
      <c r="AP192" s="208">
        <f t="shared" ca="1" si="25"/>
        <v>855</v>
      </c>
      <c r="AQ192" s="208">
        <f t="shared" ca="1" si="27"/>
        <v>810</v>
      </c>
      <c r="AR192" s="209" t="s">
        <v>5829</v>
      </c>
      <c r="AS192" s="209" t="s">
        <v>5830</v>
      </c>
      <c r="AT192" s="210">
        <v>11.757</v>
      </c>
      <c r="AU192" s="210">
        <v>11.786999999999999</v>
      </c>
      <c r="AV192" s="210">
        <v>11.811999999999998</v>
      </c>
      <c r="AW192" s="210">
        <v>11.816999999999998</v>
      </c>
      <c r="AX192" s="200">
        <f t="shared" ca="1" si="28"/>
        <v>811</v>
      </c>
      <c r="BA192" s="200" t="s">
        <v>123</v>
      </c>
      <c r="BN192" s="211" t="s">
        <v>5831</v>
      </c>
    </row>
    <row r="193" spans="1:66" s="200" customFormat="1" ht="18" customHeight="1" x14ac:dyDescent="0.25">
      <c r="A193" s="199">
        <v>44300</v>
      </c>
      <c r="B193" s="204">
        <f ca="1">IF(A193="",(IF(ISNUMBER(SUBSTITUTE(LEFT(RIGHT(E193,LEN(E193)-MIN(SEARCH({1,2,3,4,5,6,7,8,9,0},E193&amp;"1234567890"))+1),10),".","/"))=TRUE,AO193-(SUBSTITUTE(LEFT(RIGHT(E193,LEN(E193)-MIN(SEARCH({1,2,3,4,5,6,7,8,9,0},E193&amp;"1234567890"))+1),10),".","/")),IF((SUBSTITUTE(LEFT(RIGHT(E193,LEN(E193)-MIN(SEARCH({1,2,3,4,5,6,7,8,9,0},E193&amp;"1234567890"))+1),10),".","/"))="","",(AO193)-(MID(RIGHT((SUBSTITUTE(LEFT(RIGHT(E193,LEN(E193)-MIN(SEARCH({1,2,3,4,5,6,7,8,9,0},E193&amp;"1234567890"))+1),10),".","/")),10),4,2)&amp;"/"&amp;LEFT((RIGHT((SUBSTITUTE(LEFT(RIGHT(E193,LEN(E193)-MIN(SEARCH({1,2,3,4,5,6,7,8,9,0},E193&amp;"1234567890"))+1),10),".","/")),10)),2)&amp;"/"&amp;RIGHT((SUBSTITUTE(LEFT(RIGHT(E193,LEN(E193)-MIN(SEARCH({1,2,3,4,5,6,7,8,9,0},E193&amp;"1234567890"))+1),10),".","/")),4))))),(AO193-A193))</f>
        <v>658</v>
      </c>
      <c r="C193" s="199"/>
      <c r="D193" s="201" t="str">
        <f t="shared" si="26"/>
        <v>FGC-J1/2B-0.60X107</v>
      </c>
      <c r="E193" s="201" t="s">
        <v>5823</v>
      </c>
      <c r="F193" s="201" t="s">
        <v>5824</v>
      </c>
      <c r="G193" s="201" t="s">
        <v>5832</v>
      </c>
      <c r="H193" s="201" t="s">
        <v>32</v>
      </c>
      <c r="I193" s="202" t="s">
        <v>114</v>
      </c>
      <c r="J193" s="203">
        <v>0.92</v>
      </c>
      <c r="K193" s="203">
        <v>0.6</v>
      </c>
      <c r="L193" s="203">
        <v>0.6</v>
      </c>
      <c r="M193" s="203">
        <v>0.61</v>
      </c>
      <c r="N193" s="204">
        <v>720</v>
      </c>
      <c r="O193" s="381">
        <v>0.88500000000000001</v>
      </c>
      <c r="P193" s="443"/>
      <c r="Q193" s="185">
        <v>107</v>
      </c>
      <c r="R193" s="185"/>
      <c r="S193" s="414"/>
      <c r="T193" s="371"/>
      <c r="U193" s="206" t="s">
        <v>115</v>
      </c>
      <c r="V193" s="206" t="s">
        <v>5826</v>
      </c>
      <c r="W193" s="206" t="s">
        <v>114</v>
      </c>
      <c r="X193" s="205">
        <v>44146</v>
      </c>
      <c r="Y193" s="205"/>
      <c r="Z193" s="205">
        <v>44147</v>
      </c>
      <c r="AA193" s="205"/>
      <c r="AB193" s="205">
        <v>44148</v>
      </c>
      <c r="AC193" s="205"/>
      <c r="AD193" s="205" t="s">
        <v>5827</v>
      </c>
      <c r="AE193" s="205"/>
      <c r="AF193" s="205"/>
      <c r="AG193" s="205"/>
      <c r="AH193" s="207"/>
      <c r="AI193" s="208" t="s">
        <v>114</v>
      </c>
      <c r="AJ193" s="208" t="s">
        <v>209</v>
      </c>
      <c r="AK193" s="209" t="s">
        <v>5828</v>
      </c>
      <c r="AL193" s="209">
        <v>44082</v>
      </c>
      <c r="AM193" s="209">
        <v>44103</v>
      </c>
      <c r="AN193" s="209"/>
      <c r="AO193" s="199">
        <f t="shared" ca="1" si="24"/>
        <v>44958</v>
      </c>
      <c r="AP193" s="208">
        <f t="shared" ca="1" si="25"/>
        <v>855</v>
      </c>
      <c r="AQ193" s="208">
        <f t="shared" ca="1" si="27"/>
        <v>810</v>
      </c>
      <c r="AR193" s="209" t="s">
        <v>5829</v>
      </c>
      <c r="AS193" s="209" t="s">
        <v>5830</v>
      </c>
      <c r="AT193" s="210">
        <v>11.757</v>
      </c>
      <c r="AU193" s="210">
        <v>11.786999999999999</v>
      </c>
      <c r="AV193" s="210">
        <v>11.811999999999998</v>
      </c>
      <c r="AW193" s="210">
        <v>11.816999999999998</v>
      </c>
      <c r="AX193" s="200">
        <f t="shared" ca="1" si="28"/>
        <v>811</v>
      </c>
      <c r="BA193" s="200" t="s">
        <v>123</v>
      </c>
      <c r="BN193" s="211" t="s">
        <v>5831</v>
      </c>
    </row>
    <row r="194" spans="1:66" s="200" customFormat="1" ht="18" customHeight="1" x14ac:dyDescent="0.25">
      <c r="A194" s="444">
        <v>44300</v>
      </c>
      <c r="B194" s="204">
        <f ca="1">IF(A194="",(IF(ISNUMBER(SUBSTITUTE(LEFT(RIGHT(E194,LEN(E194)-MIN(SEARCH({1,2,3,4,5,6,7,8,9,0},E194&amp;"1234567890"))+1),10),".","/"))=TRUE,AO194-(SUBSTITUTE(LEFT(RIGHT(E194,LEN(E194)-MIN(SEARCH({1,2,3,4,5,6,7,8,9,0},E194&amp;"1234567890"))+1),10),".","/")),IF((SUBSTITUTE(LEFT(RIGHT(E194,LEN(E194)-MIN(SEARCH({1,2,3,4,5,6,7,8,9,0},E194&amp;"1234567890"))+1),10),".","/"))="","",(AO194)-(MID(RIGHT((SUBSTITUTE(LEFT(RIGHT(E194,LEN(E194)-MIN(SEARCH({1,2,3,4,5,6,7,8,9,0},E194&amp;"1234567890"))+1),10),".","/")),10),4,2)&amp;"/"&amp;LEFT((RIGHT((SUBSTITUTE(LEFT(RIGHT(E194,LEN(E194)-MIN(SEARCH({1,2,3,4,5,6,7,8,9,0},E194&amp;"1234567890"))+1),10),".","/")),10)),2)&amp;"/"&amp;RIGHT((SUBSTITUTE(LEFT(RIGHT(E194,LEN(E194)-MIN(SEARCH({1,2,3,4,5,6,7,8,9,0},E194&amp;"1234567890"))+1),10),".","/")),4))))),(AO194-A194))</f>
        <v>658</v>
      </c>
      <c r="C194" s="199"/>
      <c r="D194" s="201" t="str">
        <f t="shared" si="26"/>
        <v>FGC-J3/2B-0.35X79.2</v>
      </c>
      <c r="E194" s="201" t="s">
        <v>5833</v>
      </c>
      <c r="F194" s="201" t="s">
        <v>5834</v>
      </c>
      <c r="G194" s="201" t="s">
        <v>5835</v>
      </c>
      <c r="H194" s="201" t="s">
        <v>34</v>
      </c>
      <c r="I194" s="202" t="s">
        <v>114</v>
      </c>
      <c r="J194" s="203">
        <v>0.7</v>
      </c>
      <c r="K194" s="203">
        <v>0.35</v>
      </c>
      <c r="L194" s="203">
        <v>0.35</v>
      </c>
      <c r="M194" s="203">
        <v>0.36</v>
      </c>
      <c r="N194" s="204">
        <v>585</v>
      </c>
      <c r="O194" s="381">
        <f>3.785-3.265</f>
        <v>0.52</v>
      </c>
      <c r="P194" s="413"/>
      <c r="Q194" s="185">
        <v>79.2</v>
      </c>
      <c r="R194" s="185"/>
      <c r="S194" s="414"/>
      <c r="T194" s="371"/>
      <c r="U194" s="206" t="s">
        <v>115</v>
      </c>
      <c r="V194" s="206" t="s">
        <v>5836</v>
      </c>
      <c r="W194" s="206" t="s">
        <v>114</v>
      </c>
      <c r="X194" s="205" t="s">
        <v>5837</v>
      </c>
      <c r="Y194" s="205"/>
      <c r="Z194" s="205" t="s">
        <v>5838</v>
      </c>
      <c r="AA194" s="205"/>
      <c r="AB194" s="205" t="s">
        <v>5838</v>
      </c>
      <c r="AC194" s="205"/>
      <c r="AD194" s="205">
        <v>44243</v>
      </c>
      <c r="AE194" s="205"/>
      <c r="AF194" s="205"/>
      <c r="AG194" s="205"/>
      <c r="AH194" s="207"/>
      <c r="AI194" s="208" t="s">
        <v>69</v>
      </c>
      <c r="AJ194" s="208" t="s">
        <v>209</v>
      </c>
      <c r="AK194" s="209" t="s">
        <v>5839</v>
      </c>
      <c r="AL194" s="209">
        <v>44177</v>
      </c>
      <c r="AM194" s="209">
        <v>44214</v>
      </c>
      <c r="AN194" s="209"/>
      <c r="AO194" s="199">
        <f t="shared" ca="1" si="24"/>
        <v>44958</v>
      </c>
      <c r="AP194" s="208">
        <f t="shared" ca="1" si="25"/>
        <v>744</v>
      </c>
      <c r="AQ194" s="208">
        <f t="shared" ca="1" si="27"/>
        <v>713</v>
      </c>
      <c r="AR194" s="209" t="s">
        <v>5840</v>
      </c>
      <c r="AS194" s="209" t="s">
        <v>5841</v>
      </c>
      <c r="AT194" s="210">
        <v>8.1959999999999997</v>
      </c>
      <c r="AU194" s="210">
        <v>8.2359999999999989</v>
      </c>
      <c r="AV194" s="210">
        <v>8.2609999999999975</v>
      </c>
      <c r="AW194" s="210">
        <v>8.2659999999999982</v>
      </c>
      <c r="AX194" s="200">
        <f t="shared" ca="1" si="28"/>
        <v>713</v>
      </c>
      <c r="BA194" s="200" t="s">
        <v>123</v>
      </c>
      <c r="BN194" s="211" t="s">
        <v>5656</v>
      </c>
    </row>
    <row r="195" spans="1:66" s="200" customFormat="1" ht="18" customHeight="1" x14ac:dyDescent="0.25">
      <c r="A195" s="444">
        <v>44300</v>
      </c>
      <c r="B195" s="204">
        <f ca="1">IF(A195="",(IF(ISNUMBER(SUBSTITUTE(LEFT(RIGHT(E195,LEN(E195)-MIN(SEARCH({1,2,3,4,5,6,7,8,9,0},E195&amp;"1234567890"))+1),10),".","/"))=TRUE,AO195-(SUBSTITUTE(LEFT(RIGHT(E195,LEN(E195)-MIN(SEARCH({1,2,3,4,5,6,7,8,9,0},E195&amp;"1234567890"))+1),10),".","/")),IF((SUBSTITUTE(LEFT(RIGHT(E195,LEN(E195)-MIN(SEARCH({1,2,3,4,5,6,7,8,9,0},E195&amp;"1234567890"))+1),10),".","/"))="","",(AO195)-(MID(RIGHT((SUBSTITUTE(LEFT(RIGHT(E195,LEN(E195)-MIN(SEARCH({1,2,3,4,5,6,7,8,9,0},E195&amp;"1234567890"))+1),10),".","/")),10),4,2)&amp;"/"&amp;LEFT((RIGHT((SUBSTITUTE(LEFT(RIGHT(E195,LEN(E195)-MIN(SEARCH({1,2,3,4,5,6,7,8,9,0},E195&amp;"1234567890"))+1),10),".","/")),10)),2)&amp;"/"&amp;RIGHT((SUBSTITUTE(LEFT(RIGHT(E195,LEN(E195)-MIN(SEARCH({1,2,3,4,5,6,7,8,9,0},E195&amp;"1234567890"))+1),10),".","/")),4))))),(AO195-A195))</f>
        <v>658</v>
      </c>
      <c r="C195" s="199"/>
      <c r="D195" s="201" t="str">
        <f t="shared" si="26"/>
        <v>FGC-J3/2B-0.36X79</v>
      </c>
      <c r="E195" s="201" t="s">
        <v>5842</v>
      </c>
      <c r="F195" s="201" t="s">
        <v>5843</v>
      </c>
      <c r="G195" s="201" t="s">
        <v>5844</v>
      </c>
      <c r="H195" s="201" t="s">
        <v>34</v>
      </c>
      <c r="I195" s="202" t="s">
        <v>114</v>
      </c>
      <c r="J195" s="203">
        <v>0.7</v>
      </c>
      <c r="K195" s="203">
        <v>0.36</v>
      </c>
      <c r="L195" s="203">
        <v>0.35</v>
      </c>
      <c r="M195" s="203">
        <v>0.36</v>
      </c>
      <c r="N195" s="204">
        <v>585</v>
      </c>
      <c r="O195" s="381">
        <f>2.58-2.225</f>
        <v>0.35499999999999998</v>
      </c>
      <c r="P195" s="413"/>
      <c r="Q195" s="185">
        <v>79</v>
      </c>
      <c r="R195" s="185"/>
      <c r="S195" s="414"/>
      <c r="T195" s="371"/>
      <c r="U195" s="206" t="s">
        <v>115</v>
      </c>
      <c r="V195" s="206" t="s">
        <v>5845</v>
      </c>
      <c r="W195" s="206" t="s">
        <v>114</v>
      </c>
      <c r="X195" s="205" t="s">
        <v>5846</v>
      </c>
      <c r="Y195" s="205"/>
      <c r="Z195" s="205" t="s">
        <v>5847</v>
      </c>
      <c r="AA195" s="205"/>
      <c r="AB195" s="205" t="s">
        <v>5848</v>
      </c>
      <c r="AC195" s="205"/>
      <c r="AD195" s="205">
        <v>44239</v>
      </c>
      <c r="AE195" s="205"/>
      <c r="AF195" s="205"/>
      <c r="AG195" s="205"/>
      <c r="AH195" s="207"/>
      <c r="AI195" s="208" t="s">
        <v>69</v>
      </c>
      <c r="AJ195" s="208" t="s">
        <v>209</v>
      </c>
      <c r="AK195" s="209" t="s">
        <v>5820</v>
      </c>
      <c r="AL195" s="209">
        <v>44141</v>
      </c>
      <c r="AM195" s="209">
        <v>44181</v>
      </c>
      <c r="AN195" s="209"/>
      <c r="AO195" s="199">
        <f t="shared" ca="1" si="24"/>
        <v>44958</v>
      </c>
      <c r="AP195" s="208">
        <f t="shared" ca="1" si="25"/>
        <v>777</v>
      </c>
      <c r="AQ195" s="208">
        <f t="shared" ca="1" si="27"/>
        <v>714</v>
      </c>
      <c r="AR195" s="209" t="s">
        <v>5849</v>
      </c>
      <c r="AS195" s="209" t="s">
        <v>5850</v>
      </c>
      <c r="AT195" s="210">
        <v>8.1210000000000004</v>
      </c>
      <c r="AU195" s="210">
        <v>8.1509999999999998</v>
      </c>
      <c r="AV195" s="210">
        <v>8.1759999999999984</v>
      </c>
      <c r="AW195" s="210">
        <v>8.1809999999999992</v>
      </c>
      <c r="AX195" s="200">
        <f t="shared" ca="1" si="28"/>
        <v>714</v>
      </c>
      <c r="BA195" s="200" t="s">
        <v>123</v>
      </c>
      <c r="BN195" s="211" t="s">
        <v>5851</v>
      </c>
    </row>
    <row r="196" spans="1:66" s="200" customFormat="1" ht="18" customHeight="1" x14ac:dyDescent="0.25">
      <c r="A196" s="199">
        <v>44350</v>
      </c>
      <c r="B196" s="204">
        <f ca="1">IF(A196="",(IF(ISNUMBER(SUBSTITUTE(LEFT(RIGHT(E196,LEN(E196)-MIN(SEARCH({1,2,3,4,5,6,7,8,9,0},E196&amp;"1234567890"))+1),10),".","/"))=TRUE,AO196-(SUBSTITUTE(LEFT(RIGHT(E196,LEN(E196)-MIN(SEARCH({1,2,3,4,5,6,7,8,9,0},E196&amp;"1234567890"))+1),10),".","/")),IF((SUBSTITUTE(LEFT(RIGHT(E196,LEN(E196)-MIN(SEARCH({1,2,3,4,5,6,7,8,9,0},E196&amp;"1234567890"))+1),10),".","/"))="","",(AO196)-(MID(RIGHT((SUBSTITUTE(LEFT(RIGHT(E196,LEN(E196)-MIN(SEARCH({1,2,3,4,5,6,7,8,9,0},E196&amp;"1234567890"))+1),10),".","/")),10),4,2)&amp;"/"&amp;LEFT((RIGHT((SUBSTITUTE(LEFT(RIGHT(E196,LEN(E196)-MIN(SEARCH({1,2,3,4,5,6,7,8,9,0},E196&amp;"1234567890"))+1),10),".","/")),10)),2)&amp;"/"&amp;RIGHT((SUBSTITUTE(LEFT(RIGHT(E196,LEN(E196)-MIN(SEARCH({1,2,3,4,5,6,7,8,9,0},E196&amp;"1234567890"))+1),10),".","/")),4))))),(AO196-A196))</f>
        <v>608</v>
      </c>
      <c r="C196" s="199"/>
      <c r="D196" s="201" t="str">
        <f t="shared" si="26"/>
        <v>FGC-J3/2B-0.36X39.1</v>
      </c>
      <c r="E196" s="201" t="s">
        <v>5842</v>
      </c>
      <c r="F196" s="201" t="s">
        <v>5852</v>
      </c>
      <c r="G196" s="201" t="s">
        <v>5853</v>
      </c>
      <c r="H196" s="201" t="s">
        <v>34</v>
      </c>
      <c r="I196" s="202" t="s">
        <v>114</v>
      </c>
      <c r="J196" s="203">
        <v>0.7</v>
      </c>
      <c r="K196" s="203">
        <v>0.36</v>
      </c>
      <c r="L196" s="203">
        <v>0.36</v>
      </c>
      <c r="M196" s="203">
        <v>0.37</v>
      </c>
      <c r="N196" s="204">
        <v>585</v>
      </c>
      <c r="O196" s="381">
        <f>2.565-2.39</f>
        <v>0.17499999999999982</v>
      </c>
      <c r="P196" s="443"/>
      <c r="Q196" s="185">
        <v>39.1</v>
      </c>
      <c r="R196" s="185"/>
      <c r="S196" s="414"/>
      <c r="T196" s="371"/>
      <c r="U196" s="206" t="s">
        <v>115</v>
      </c>
      <c r="V196" s="206" t="s">
        <v>5854</v>
      </c>
      <c r="W196" s="206" t="s">
        <v>114</v>
      </c>
      <c r="X196" s="205" t="s">
        <v>5855</v>
      </c>
      <c r="Y196" s="205"/>
      <c r="Z196" s="205" t="s">
        <v>5856</v>
      </c>
      <c r="AA196" s="205"/>
      <c r="AB196" s="205" t="s">
        <v>5857</v>
      </c>
      <c r="AC196" s="205"/>
      <c r="AD196" s="205">
        <v>44239</v>
      </c>
      <c r="AE196" s="205"/>
      <c r="AF196" s="205"/>
      <c r="AG196" s="205"/>
      <c r="AH196" s="207"/>
      <c r="AI196" s="208" t="s">
        <v>69</v>
      </c>
      <c r="AJ196" s="208" t="s">
        <v>209</v>
      </c>
      <c r="AK196" s="209" t="s">
        <v>5820</v>
      </c>
      <c r="AL196" s="209">
        <v>44141</v>
      </c>
      <c r="AM196" s="209">
        <v>44181</v>
      </c>
      <c r="AN196" s="209"/>
      <c r="AO196" s="199">
        <f t="shared" ca="1" si="24"/>
        <v>44958</v>
      </c>
      <c r="AP196" s="208">
        <f t="shared" ca="1" si="25"/>
        <v>777</v>
      </c>
      <c r="AQ196" s="208">
        <f t="shared" ca="1" si="27"/>
        <v>716</v>
      </c>
      <c r="AR196" s="209" t="s">
        <v>5858</v>
      </c>
      <c r="AS196" s="209" t="s">
        <v>5859</v>
      </c>
      <c r="AT196" s="210">
        <v>8.109</v>
      </c>
      <c r="AU196" s="210">
        <v>8.1389999999999993</v>
      </c>
      <c r="AV196" s="210">
        <v>8.1639999999999979</v>
      </c>
      <c r="AW196" s="210">
        <v>8.1689999999999987</v>
      </c>
      <c r="AX196" s="200">
        <f t="shared" ca="1" si="28"/>
        <v>716</v>
      </c>
      <c r="BA196" s="200" t="s">
        <v>123</v>
      </c>
      <c r="BN196" s="211" t="s">
        <v>5656</v>
      </c>
    </row>
    <row r="197" spans="1:66" s="200" customFormat="1" ht="18" customHeight="1" x14ac:dyDescent="0.25">
      <c r="A197" s="199">
        <v>44350</v>
      </c>
      <c r="B197" s="204">
        <f ca="1">IF(A197="",(IF(ISNUMBER(SUBSTITUTE(LEFT(RIGHT(E197,LEN(E197)-MIN(SEARCH({1,2,3,4,5,6,7,8,9,0},E197&amp;"1234567890"))+1),10),".","/"))=TRUE,AO197-(SUBSTITUTE(LEFT(RIGHT(E197,LEN(E197)-MIN(SEARCH({1,2,3,4,5,6,7,8,9,0},E197&amp;"1234567890"))+1),10),".","/")),IF((SUBSTITUTE(LEFT(RIGHT(E197,LEN(E197)-MIN(SEARCH({1,2,3,4,5,6,7,8,9,0},E197&amp;"1234567890"))+1),10),".","/"))="","",(AO197)-(MID(RIGHT((SUBSTITUTE(LEFT(RIGHT(E197,LEN(E197)-MIN(SEARCH({1,2,3,4,5,6,7,8,9,0},E197&amp;"1234567890"))+1),10),".","/")),10),4,2)&amp;"/"&amp;LEFT((RIGHT((SUBSTITUTE(LEFT(RIGHT(E197,LEN(E197)-MIN(SEARCH({1,2,3,4,5,6,7,8,9,0},E197&amp;"1234567890"))+1),10),".","/")),10)),2)&amp;"/"&amp;RIGHT((SUBSTITUTE(LEFT(RIGHT(E197,LEN(E197)-MIN(SEARCH({1,2,3,4,5,6,7,8,9,0},E197&amp;"1234567890"))+1),10),".","/")),4))))),(AO197-A197))</f>
        <v>608</v>
      </c>
      <c r="C197" s="199"/>
      <c r="D197" s="201" t="str">
        <f t="shared" si="26"/>
        <v>FGC-J1/2B-0.57X30</v>
      </c>
      <c r="E197" s="201" t="s">
        <v>5860</v>
      </c>
      <c r="F197" s="201" t="s">
        <v>5861</v>
      </c>
      <c r="G197" s="201" t="s">
        <v>5862</v>
      </c>
      <c r="H197" s="201" t="s">
        <v>32</v>
      </c>
      <c r="I197" s="202" t="s">
        <v>114</v>
      </c>
      <c r="J197" s="203">
        <v>1.1000000000000001</v>
      </c>
      <c r="K197" s="203">
        <v>0.56999999999999995</v>
      </c>
      <c r="L197" s="203">
        <v>0.56000000000000005</v>
      </c>
      <c r="M197" s="203">
        <v>0.56999999999999995</v>
      </c>
      <c r="N197" s="204">
        <v>30</v>
      </c>
      <c r="O197" s="381">
        <v>0.27000000000000046</v>
      </c>
      <c r="P197" s="443"/>
      <c r="Q197" s="185">
        <v>30</v>
      </c>
      <c r="R197" s="185"/>
      <c r="S197" s="414"/>
      <c r="T197" s="371"/>
      <c r="U197" s="206" t="s">
        <v>115</v>
      </c>
      <c r="V197" s="206" t="s">
        <v>5826</v>
      </c>
      <c r="W197" s="206" t="s">
        <v>114</v>
      </c>
      <c r="X197" s="205" t="s">
        <v>5863</v>
      </c>
      <c r="Y197" s="205"/>
      <c r="Z197" s="205" t="s">
        <v>5864</v>
      </c>
      <c r="AA197" s="205"/>
      <c r="AB197" s="205" t="s">
        <v>5865</v>
      </c>
      <c r="AC197" s="205"/>
      <c r="AD197" s="205">
        <v>44283</v>
      </c>
      <c r="AE197" s="205"/>
      <c r="AF197" s="205"/>
      <c r="AG197" s="205"/>
      <c r="AH197" s="207"/>
      <c r="AI197" s="208" t="s">
        <v>69</v>
      </c>
      <c r="AJ197" s="208" t="s">
        <v>190</v>
      </c>
      <c r="AK197" s="209" t="s">
        <v>5866</v>
      </c>
      <c r="AL197" s="209"/>
      <c r="AM197" s="209">
        <v>44015</v>
      </c>
      <c r="AN197" s="209"/>
      <c r="AO197" s="199">
        <f t="shared" ca="1" si="24"/>
        <v>44958</v>
      </c>
      <c r="AP197" s="208">
        <f t="shared" ca="1" si="25"/>
        <v>943</v>
      </c>
      <c r="AQ197" s="208">
        <f t="shared" ca="1" si="27"/>
        <v>675</v>
      </c>
      <c r="AR197" s="209"/>
      <c r="AS197" s="209" t="s">
        <v>5867</v>
      </c>
      <c r="AT197" s="210">
        <v>10.414999999999999</v>
      </c>
      <c r="AU197" s="210">
        <v>10.424999999999999</v>
      </c>
      <c r="AV197" s="210">
        <v>10.449999999999998</v>
      </c>
      <c r="AW197" s="210">
        <v>10.454999999999998</v>
      </c>
      <c r="AX197" s="200">
        <f t="shared" ca="1" si="28"/>
        <v>675</v>
      </c>
      <c r="BA197" s="200" t="s">
        <v>123</v>
      </c>
      <c r="BN197" s="211" t="s">
        <v>5656</v>
      </c>
    </row>
    <row r="198" spans="1:66" s="200" customFormat="1" ht="18" customHeight="1" x14ac:dyDescent="0.25">
      <c r="A198" s="199">
        <v>44350</v>
      </c>
      <c r="B198" s="204">
        <f ca="1">IF(A198="",(IF(ISNUMBER(SUBSTITUTE(LEFT(RIGHT(E198,LEN(E198)-MIN(SEARCH({1,2,3,4,5,6,7,8,9,0},E198&amp;"1234567890"))+1),10),".","/"))=TRUE,AO198-(SUBSTITUTE(LEFT(RIGHT(E198,LEN(E198)-MIN(SEARCH({1,2,3,4,5,6,7,8,9,0},E198&amp;"1234567890"))+1),10),".","/")),IF((SUBSTITUTE(LEFT(RIGHT(E198,LEN(E198)-MIN(SEARCH({1,2,3,4,5,6,7,8,9,0},E198&amp;"1234567890"))+1),10),".","/"))="","",(AO198)-(MID(RIGHT((SUBSTITUTE(LEFT(RIGHT(E198,LEN(E198)-MIN(SEARCH({1,2,3,4,5,6,7,8,9,0},E198&amp;"1234567890"))+1),10),".","/")),10),4,2)&amp;"/"&amp;LEFT((RIGHT((SUBSTITUTE(LEFT(RIGHT(E198,LEN(E198)-MIN(SEARCH({1,2,3,4,5,6,7,8,9,0},E198&amp;"1234567890"))+1),10),".","/")),10)),2)&amp;"/"&amp;RIGHT((SUBSTITUTE(LEFT(RIGHT(E198,LEN(E198)-MIN(SEARCH({1,2,3,4,5,6,7,8,9,0},E198&amp;"1234567890"))+1),10),".","/")),4))))),(AO198-A198))</f>
        <v>608</v>
      </c>
      <c r="C198" s="199"/>
      <c r="D198" s="201" t="str">
        <f t="shared" si="26"/>
        <v>FGC-304/2B-0.60X93.4</v>
      </c>
      <c r="E198" s="201" t="s">
        <v>5868</v>
      </c>
      <c r="F198" s="201" t="s">
        <v>5869</v>
      </c>
      <c r="G198" s="201" t="s">
        <v>5870</v>
      </c>
      <c r="H198" s="201">
        <v>304</v>
      </c>
      <c r="I198" s="202" t="s">
        <v>114</v>
      </c>
      <c r="J198" s="203">
        <v>1.1499999999999999</v>
      </c>
      <c r="K198" s="203">
        <v>0.6</v>
      </c>
      <c r="L198" s="203">
        <v>0.6</v>
      </c>
      <c r="M198" s="203">
        <v>0.62</v>
      </c>
      <c r="N198" s="204">
        <v>730</v>
      </c>
      <c r="O198" s="381">
        <f>4.45-3.905</f>
        <v>0.54500000000000037</v>
      </c>
      <c r="P198" s="443"/>
      <c r="Q198" s="185">
        <v>93.399999999999977</v>
      </c>
      <c r="R198" s="185"/>
      <c r="S198" s="414"/>
      <c r="T198" s="371"/>
      <c r="U198" s="206" t="s">
        <v>115</v>
      </c>
      <c r="V198" s="206" t="s">
        <v>5871</v>
      </c>
      <c r="W198" s="206" t="s">
        <v>114</v>
      </c>
      <c r="X198" s="205" t="s">
        <v>5872</v>
      </c>
      <c r="Y198" s="205"/>
      <c r="Z198" s="205" t="s">
        <v>5873</v>
      </c>
      <c r="AA198" s="205"/>
      <c r="AB198" s="205" t="s">
        <v>5874</v>
      </c>
      <c r="AC198" s="205"/>
      <c r="AD198" s="205">
        <v>44037</v>
      </c>
      <c r="AE198" s="205"/>
      <c r="AF198" s="205"/>
      <c r="AG198" s="205"/>
      <c r="AH198" s="207"/>
      <c r="AI198" s="208" t="s">
        <v>69</v>
      </c>
      <c r="AJ198" s="208" t="s">
        <v>5674</v>
      </c>
      <c r="AK198" s="209" t="s">
        <v>5875</v>
      </c>
      <c r="AL198" s="209">
        <v>43182</v>
      </c>
      <c r="AM198" s="209">
        <v>43208</v>
      </c>
      <c r="AN198" s="209"/>
      <c r="AO198" s="199">
        <f t="shared" ca="1" si="24"/>
        <v>44958</v>
      </c>
      <c r="AP198" s="208">
        <f t="shared" ca="1" si="25"/>
        <v>1750</v>
      </c>
      <c r="AQ198" s="208">
        <f t="shared" ca="1" si="27"/>
        <v>853</v>
      </c>
      <c r="AR198" s="209"/>
      <c r="AS198" s="209" t="s">
        <v>5869</v>
      </c>
      <c r="AT198" s="210">
        <v>9</v>
      </c>
      <c r="AU198" s="210">
        <v>9.0299999999999994</v>
      </c>
      <c r="AV198" s="210">
        <v>9.02</v>
      </c>
      <c r="AW198" s="210">
        <v>9.0250000000000004</v>
      </c>
      <c r="AX198" s="200">
        <f t="shared" ca="1" si="28"/>
        <v>855</v>
      </c>
      <c r="BA198" s="200" t="s">
        <v>123</v>
      </c>
      <c r="BN198" s="211" t="s">
        <v>5656</v>
      </c>
    </row>
    <row r="199" spans="1:66" s="200" customFormat="1" ht="18" customHeight="1" x14ac:dyDescent="0.25">
      <c r="A199" s="199">
        <v>44350</v>
      </c>
      <c r="B199" s="204">
        <f ca="1">IF(A199="",(IF(ISNUMBER(SUBSTITUTE(LEFT(RIGHT(E199,LEN(E199)-MIN(SEARCH({1,2,3,4,5,6,7,8,9,0},E199&amp;"1234567890"))+1),10),".","/"))=TRUE,AO199-(SUBSTITUTE(LEFT(RIGHT(E199,LEN(E199)-MIN(SEARCH({1,2,3,4,5,6,7,8,9,0},E199&amp;"1234567890"))+1),10),".","/")),IF((SUBSTITUTE(LEFT(RIGHT(E199,LEN(E199)-MIN(SEARCH({1,2,3,4,5,6,7,8,9,0},E199&amp;"1234567890"))+1),10),".","/"))="","",(AO199)-(MID(RIGHT((SUBSTITUTE(LEFT(RIGHT(E199,LEN(E199)-MIN(SEARCH({1,2,3,4,5,6,7,8,9,0},E199&amp;"1234567890"))+1),10),".","/")),10),4,2)&amp;"/"&amp;LEFT((RIGHT((SUBSTITUTE(LEFT(RIGHT(E199,LEN(E199)-MIN(SEARCH({1,2,3,4,5,6,7,8,9,0},E199&amp;"1234567890"))+1),10),".","/")),10)),2)&amp;"/"&amp;RIGHT((SUBSTITUTE(LEFT(RIGHT(E199,LEN(E199)-MIN(SEARCH({1,2,3,4,5,6,7,8,9,0},E199&amp;"1234567890"))+1),10),".","/")),4))))),(AO199-A199))</f>
        <v>608</v>
      </c>
      <c r="C199" s="199"/>
      <c r="D199" s="201" t="str">
        <f t="shared" si="26"/>
        <v>FGC-304/2B-0.60X93.4</v>
      </c>
      <c r="E199" s="201" t="s">
        <v>5868</v>
      </c>
      <c r="F199" s="201" t="s">
        <v>5869</v>
      </c>
      <c r="G199" s="201" t="s">
        <v>5876</v>
      </c>
      <c r="H199" s="201">
        <v>304</v>
      </c>
      <c r="I199" s="202" t="s">
        <v>114</v>
      </c>
      <c r="J199" s="203">
        <v>1.1499999999999999</v>
      </c>
      <c r="K199" s="203">
        <v>0.6</v>
      </c>
      <c r="L199" s="203">
        <v>0.6</v>
      </c>
      <c r="M199" s="203">
        <v>0.62</v>
      </c>
      <c r="N199" s="204">
        <v>730</v>
      </c>
      <c r="O199" s="381">
        <f>4.315-3.785</f>
        <v>0.53000000000000025</v>
      </c>
      <c r="P199" s="443"/>
      <c r="Q199" s="185">
        <v>93.399999999999977</v>
      </c>
      <c r="R199" s="185"/>
      <c r="S199" s="414"/>
      <c r="T199" s="371"/>
      <c r="U199" s="206" t="s">
        <v>115</v>
      </c>
      <c r="V199" s="206" t="s">
        <v>5871</v>
      </c>
      <c r="W199" s="206" t="s">
        <v>114</v>
      </c>
      <c r="X199" s="205" t="s">
        <v>5872</v>
      </c>
      <c r="Y199" s="205"/>
      <c r="Z199" s="205" t="s">
        <v>5873</v>
      </c>
      <c r="AA199" s="205"/>
      <c r="AB199" s="205" t="s">
        <v>5874</v>
      </c>
      <c r="AC199" s="205"/>
      <c r="AD199" s="205">
        <v>44037</v>
      </c>
      <c r="AE199" s="205"/>
      <c r="AF199" s="205"/>
      <c r="AG199" s="205"/>
      <c r="AH199" s="207"/>
      <c r="AI199" s="208" t="s">
        <v>69</v>
      </c>
      <c r="AJ199" s="208" t="s">
        <v>5674</v>
      </c>
      <c r="AK199" s="209" t="s">
        <v>5875</v>
      </c>
      <c r="AL199" s="209">
        <v>43182</v>
      </c>
      <c r="AM199" s="209">
        <v>43208</v>
      </c>
      <c r="AN199" s="209"/>
      <c r="AO199" s="199">
        <f t="shared" ca="1" si="24"/>
        <v>44958</v>
      </c>
      <c r="AP199" s="208">
        <f t="shared" ca="1" si="25"/>
        <v>1750</v>
      </c>
      <c r="AQ199" s="208">
        <f t="shared" ca="1" si="27"/>
        <v>853</v>
      </c>
      <c r="AR199" s="209"/>
      <c r="AS199" s="209" t="s">
        <v>5869</v>
      </c>
      <c r="AT199" s="210">
        <v>9</v>
      </c>
      <c r="AU199" s="210">
        <v>9.0299999999999994</v>
      </c>
      <c r="AV199" s="210">
        <v>9.02</v>
      </c>
      <c r="AW199" s="210">
        <v>9.0250000000000004</v>
      </c>
      <c r="AX199" s="200">
        <f t="shared" ca="1" si="28"/>
        <v>855</v>
      </c>
      <c r="BA199" s="200" t="s">
        <v>123</v>
      </c>
      <c r="BN199" s="211" t="s">
        <v>5656</v>
      </c>
    </row>
    <row r="200" spans="1:66" s="200" customFormat="1" ht="18" customHeight="1" x14ac:dyDescent="0.25">
      <c r="A200" s="199"/>
      <c r="B200" s="204">
        <f ca="1">IF(A200="",(IF(ISNUMBER(SUBSTITUTE(LEFT(RIGHT(E200,LEN(E200)-MIN(SEARCH({1,2,3,4,5,6,7,8,9,0},E200&amp;"1234567890"))+1),10),".","/"))=TRUE,AO200-(SUBSTITUTE(LEFT(RIGHT(E200,LEN(E200)-MIN(SEARCH({1,2,3,4,5,6,7,8,9,0},E200&amp;"1234567890"))+1),10),".","/")),IF((SUBSTITUTE(LEFT(RIGHT(E200,LEN(E200)-MIN(SEARCH({1,2,3,4,5,6,7,8,9,0},E200&amp;"1234567890"))+1),10),".","/"))="","",(AO200)-(MID(RIGHT((SUBSTITUTE(LEFT(RIGHT(E200,LEN(E200)-MIN(SEARCH({1,2,3,4,5,6,7,8,9,0},E200&amp;"1234567890"))+1),10),".","/")),10),4,2)&amp;"/"&amp;LEFT((RIGHT((SUBSTITUTE(LEFT(RIGHT(E200,LEN(E200)-MIN(SEARCH({1,2,3,4,5,6,7,8,9,0},E200&amp;"1234567890"))+1),10),".","/")),10)),2)&amp;"/"&amp;RIGHT((SUBSTITUTE(LEFT(RIGHT(E200,LEN(E200)-MIN(SEARCH({1,2,3,4,5,6,7,8,9,0},E200&amp;"1234567890"))+1),10),".","/")),4))))),(AO200-A200))</f>
        <v>508</v>
      </c>
      <c r="C200" s="199"/>
      <c r="D200" s="201" t="str">
        <f t="shared" si="26"/>
        <v>FGC-316L/2B-0.40X20</v>
      </c>
      <c r="E200" s="201" t="s">
        <v>5877</v>
      </c>
      <c r="F200" s="201" t="s">
        <v>5878</v>
      </c>
      <c r="G200" s="201" t="s">
        <v>5879</v>
      </c>
      <c r="H200" s="201" t="s">
        <v>135</v>
      </c>
      <c r="I200" s="202" t="s">
        <v>114</v>
      </c>
      <c r="J200" s="203">
        <v>0.7</v>
      </c>
      <c r="K200" s="203">
        <v>0.4</v>
      </c>
      <c r="L200" s="203">
        <v>0.41</v>
      </c>
      <c r="M200" s="203">
        <v>0.42</v>
      </c>
      <c r="N200" s="204">
        <v>756</v>
      </c>
      <c r="O200" s="381">
        <f>5.84-5.655</f>
        <v>0.18499999999999961</v>
      </c>
      <c r="P200" s="413"/>
      <c r="Q200" s="185">
        <v>20</v>
      </c>
      <c r="R200" s="185"/>
      <c r="S200" s="414"/>
      <c r="T200" s="371"/>
      <c r="U200" s="206" t="s">
        <v>115</v>
      </c>
      <c r="V200" s="206" t="s">
        <v>5880</v>
      </c>
      <c r="W200" s="185" t="s">
        <v>114</v>
      </c>
      <c r="X200" s="205" t="s">
        <v>5881</v>
      </c>
      <c r="Y200" s="205"/>
      <c r="Z200" s="205" t="s">
        <v>5882</v>
      </c>
      <c r="AA200" s="205"/>
      <c r="AB200" s="205" t="s">
        <v>5883</v>
      </c>
      <c r="AC200" s="205"/>
      <c r="AD200" s="205" t="s">
        <v>5884</v>
      </c>
      <c r="AE200" s="205"/>
      <c r="AF200" s="205"/>
      <c r="AG200" s="205"/>
      <c r="AH200" s="207"/>
      <c r="AI200" s="208" t="s">
        <v>69</v>
      </c>
      <c r="AJ200" s="208" t="s">
        <v>142</v>
      </c>
      <c r="AK200" s="209" t="s">
        <v>5885</v>
      </c>
      <c r="AL200" s="209"/>
      <c r="AM200" s="209">
        <v>44373</v>
      </c>
      <c r="AN200" s="209"/>
      <c r="AO200" s="199">
        <f t="shared" ca="1" si="24"/>
        <v>44958</v>
      </c>
      <c r="AP200" s="208">
        <f t="shared" ca="1" si="25"/>
        <v>585</v>
      </c>
      <c r="AQ200" s="208"/>
      <c r="AR200" s="209"/>
      <c r="AS200" s="209" t="s">
        <v>5886</v>
      </c>
      <c r="AT200" s="210">
        <v>12.22</v>
      </c>
      <c r="AU200" s="210">
        <v>12.23</v>
      </c>
      <c r="AV200" s="210">
        <v>12.254999999999999</v>
      </c>
      <c r="AW200" s="210">
        <v>12.26</v>
      </c>
      <c r="AX200" s="200">
        <f t="shared" ca="1" si="28"/>
        <v>510</v>
      </c>
      <c r="BA200" s="200" t="s">
        <v>123</v>
      </c>
      <c r="BN200" s="211" t="s">
        <v>5831</v>
      </c>
    </row>
    <row r="201" spans="1:66" s="200" customFormat="1" ht="18" customHeight="1" x14ac:dyDescent="0.25">
      <c r="A201" s="199"/>
      <c r="B201" s="204">
        <f ca="1">IF(A201="",(IF(ISNUMBER(SUBSTITUTE(LEFT(RIGHT(E201,LEN(E201)-MIN(SEARCH({1,2,3,4,5,6,7,8,9,0},E201&amp;"1234567890"))+1),10),".","/"))=TRUE,AO201-(SUBSTITUTE(LEFT(RIGHT(E201,LEN(E201)-MIN(SEARCH({1,2,3,4,5,6,7,8,9,0},E201&amp;"1234567890"))+1),10),".","/")),IF((SUBSTITUTE(LEFT(RIGHT(E201,LEN(E201)-MIN(SEARCH({1,2,3,4,5,6,7,8,9,0},E201&amp;"1234567890"))+1),10),".","/"))="","",(AO201)-(MID(RIGHT((SUBSTITUTE(LEFT(RIGHT(E201,LEN(E201)-MIN(SEARCH({1,2,3,4,5,6,7,8,9,0},E201&amp;"1234567890"))+1),10),".","/")),10),4,2)&amp;"/"&amp;LEFT((RIGHT((SUBSTITUTE(LEFT(RIGHT(E201,LEN(E201)-MIN(SEARCH({1,2,3,4,5,6,7,8,9,0},E201&amp;"1234567890"))+1),10),".","/")),10)),2)&amp;"/"&amp;RIGHT((SUBSTITUTE(LEFT(RIGHT(E201,LEN(E201)-MIN(SEARCH({1,2,3,4,5,6,7,8,9,0},E201&amp;"1234567890"))+1),10),".","/")),4))))),(AO201-A201))</f>
        <v>507</v>
      </c>
      <c r="C201" s="199"/>
      <c r="D201" s="201" t="str">
        <f t="shared" si="26"/>
        <v>FGC-316L/2B-0.40X20</v>
      </c>
      <c r="E201" s="201" t="s">
        <v>5887</v>
      </c>
      <c r="F201" s="201" t="s">
        <v>5888</v>
      </c>
      <c r="G201" s="201" t="s">
        <v>5889</v>
      </c>
      <c r="H201" s="201" t="s">
        <v>135</v>
      </c>
      <c r="I201" s="202" t="s">
        <v>114</v>
      </c>
      <c r="J201" s="203">
        <v>0.8</v>
      </c>
      <c r="K201" s="203">
        <v>0.4</v>
      </c>
      <c r="L201" s="203">
        <v>0.38</v>
      </c>
      <c r="M201" s="203">
        <v>0.4</v>
      </c>
      <c r="N201" s="204">
        <v>760</v>
      </c>
      <c r="O201" s="381">
        <f>10.255-9.93</f>
        <v>0.32500000000000107</v>
      </c>
      <c r="P201" s="413"/>
      <c r="Q201" s="185">
        <v>20</v>
      </c>
      <c r="R201" s="185"/>
      <c r="S201" s="414"/>
      <c r="T201" s="371"/>
      <c r="U201" s="206" t="s">
        <v>115</v>
      </c>
      <c r="V201" s="206" t="s">
        <v>5880</v>
      </c>
      <c r="W201" s="185" t="s">
        <v>114</v>
      </c>
      <c r="X201" s="205" t="s">
        <v>5890</v>
      </c>
      <c r="Y201" s="205"/>
      <c r="Z201" s="205" t="s">
        <v>5891</v>
      </c>
      <c r="AA201" s="205"/>
      <c r="AB201" s="205" t="s">
        <v>5892</v>
      </c>
      <c r="AC201" s="205"/>
      <c r="AD201" s="205">
        <v>44445</v>
      </c>
      <c r="AE201" s="205"/>
      <c r="AF201" s="205"/>
      <c r="AG201" s="205"/>
      <c r="AH201" s="207"/>
      <c r="AI201" s="208" t="s">
        <v>69</v>
      </c>
      <c r="AJ201" s="208" t="s">
        <v>142</v>
      </c>
      <c r="AK201" s="209" t="s">
        <v>5893</v>
      </c>
      <c r="AL201" s="209"/>
      <c r="AM201" s="209">
        <v>44091</v>
      </c>
      <c r="AN201" s="209"/>
      <c r="AO201" s="199">
        <f t="shared" ca="1" si="24"/>
        <v>44958</v>
      </c>
      <c r="AP201" s="208">
        <f t="shared" ca="1" si="25"/>
        <v>867</v>
      </c>
      <c r="AQ201" s="208">
        <f ca="1">IF(ISNUMBER(AB201)=TRUE,AO201-AB201,IF(AB201="","",(AO201)-(MID(RIGHT(AB201,10),4,2)&amp;"/"&amp;LEFT((RIGHT(AB201,10)),2)&amp;"/"&amp;RIGHT(AB201,4))))</f>
        <v>510</v>
      </c>
      <c r="AR201" s="209"/>
      <c r="AS201" s="209" t="s">
        <v>5894</v>
      </c>
      <c r="AT201" s="210">
        <v>10.6</v>
      </c>
      <c r="AU201" s="210">
        <v>10.61</v>
      </c>
      <c r="AV201" s="210">
        <v>10.634999999999998</v>
      </c>
      <c r="AW201" s="210">
        <v>10.639999999999999</v>
      </c>
      <c r="AX201" s="200">
        <f t="shared" ca="1" si="28"/>
        <v>511</v>
      </c>
      <c r="BA201" s="200" t="s">
        <v>123</v>
      </c>
      <c r="BN201" s="211" t="s">
        <v>125</v>
      </c>
    </row>
    <row r="202" spans="1:66" s="200" customFormat="1" ht="18" customHeight="1" x14ac:dyDescent="0.25">
      <c r="A202" s="199"/>
      <c r="B202" s="204">
        <f ca="1">IF(A202="",(IF(ISNUMBER(SUBSTITUTE(LEFT(RIGHT(E202,LEN(E202)-MIN(SEARCH({1,2,3,4,5,6,7,8,9,0},E202&amp;"1234567890"))+1),10),".","/"))=TRUE,AO202-(SUBSTITUTE(LEFT(RIGHT(E202,LEN(E202)-MIN(SEARCH({1,2,3,4,5,6,7,8,9,0},E202&amp;"1234567890"))+1),10),".","/")),IF((SUBSTITUTE(LEFT(RIGHT(E202,LEN(E202)-MIN(SEARCH({1,2,3,4,5,6,7,8,9,0},E202&amp;"1234567890"))+1),10),".","/"))="","",(AO202)-(MID(RIGHT((SUBSTITUTE(LEFT(RIGHT(E202,LEN(E202)-MIN(SEARCH({1,2,3,4,5,6,7,8,9,0},E202&amp;"1234567890"))+1),10),".","/")),10),4,2)&amp;"/"&amp;LEFT((RIGHT((SUBSTITUTE(LEFT(RIGHT(E202,LEN(E202)-MIN(SEARCH({1,2,3,4,5,6,7,8,9,0},E202&amp;"1234567890"))+1),10),".","/")),10)),2)&amp;"/"&amp;RIGHT((SUBSTITUTE(LEFT(RIGHT(E202,LEN(E202)-MIN(SEARCH({1,2,3,4,5,6,7,8,9,0},E202&amp;"1234567890"))+1),10),".","/")),4))))),(AO202-A202))</f>
        <v>508</v>
      </c>
      <c r="C202" s="199"/>
      <c r="D202" s="201" t="str">
        <f t="shared" si="26"/>
        <v>FGC-316L/2B-0.40X20</v>
      </c>
      <c r="E202" s="201" t="s">
        <v>5877</v>
      </c>
      <c r="F202" s="201" t="s">
        <v>5895</v>
      </c>
      <c r="G202" s="201" t="s">
        <v>5896</v>
      </c>
      <c r="H202" s="201" t="s">
        <v>135</v>
      </c>
      <c r="I202" s="202" t="s">
        <v>114</v>
      </c>
      <c r="J202" s="203">
        <v>0.82</v>
      </c>
      <c r="K202" s="203">
        <v>0.4</v>
      </c>
      <c r="L202" s="203">
        <v>0.41</v>
      </c>
      <c r="M202" s="203">
        <v>0.42</v>
      </c>
      <c r="N202" s="204">
        <v>760</v>
      </c>
      <c r="O202" s="381">
        <f>6.055-5.835</f>
        <v>0.21999999999999975</v>
      </c>
      <c r="P202" s="413"/>
      <c r="Q202" s="185">
        <v>20</v>
      </c>
      <c r="R202" s="185"/>
      <c r="S202" s="414"/>
      <c r="T202" s="371"/>
      <c r="U202" s="206" t="s">
        <v>115</v>
      </c>
      <c r="V202" s="206" t="s">
        <v>5880</v>
      </c>
      <c r="W202" s="185" t="s">
        <v>114</v>
      </c>
      <c r="X202" s="205" t="s">
        <v>5897</v>
      </c>
      <c r="Y202" s="205"/>
      <c r="Z202" s="205" t="s">
        <v>5898</v>
      </c>
      <c r="AA202" s="205"/>
      <c r="AB202" s="205" t="s">
        <v>5899</v>
      </c>
      <c r="AC202" s="205"/>
      <c r="AD202" s="205">
        <v>44444</v>
      </c>
      <c r="AE202" s="205"/>
      <c r="AF202" s="205"/>
      <c r="AG202" s="205"/>
      <c r="AH202" s="207"/>
      <c r="AI202" s="208" t="s">
        <v>69</v>
      </c>
      <c r="AJ202" s="208" t="s">
        <v>142</v>
      </c>
      <c r="AK202" s="209" t="s">
        <v>5885</v>
      </c>
      <c r="AL202" s="209"/>
      <c r="AM202" s="209">
        <v>44373</v>
      </c>
      <c r="AN202" s="209"/>
      <c r="AO202" s="199">
        <f t="shared" ca="1" si="24"/>
        <v>44958</v>
      </c>
      <c r="AP202" s="208">
        <f t="shared" ca="1" si="25"/>
        <v>585</v>
      </c>
      <c r="AQ202" s="208"/>
      <c r="AR202" s="209"/>
      <c r="AS202" s="209" t="s">
        <v>5900</v>
      </c>
      <c r="AT202" s="210">
        <v>12.295</v>
      </c>
      <c r="AU202" s="210">
        <v>12.305</v>
      </c>
      <c r="AV202" s="210">
        <v>12.329999999999998</v>
      </c>
      <c r="AW202" s="210">
        <v>12.334999999999999</v>
      </c>
      <c r="AX202" s="200">
        <f t="shared" ca="1" si="28"/>
        <v>511</v>
      </c>
      <c r="BA202" s="200" t="s">
        <v>123</v>
      </c>
      <c r="BN202" s="211" t="s">
        <v>5831</v>
      </c>
    </row>
    <row r="203" spans="1:66" s="200" customFormat="1" ht="18" customHeight="1" x14ac:dyDescent="0.25">
      <c r="A203" s="199"/>
      <c r="B203" s="204">
        <f ca="1">IF(A203="",(IF(ISNUMBER(SUBSTITUTE(LEFT(RIGHT(E203,LEN(E203)-MIN(SEARCH({1,2,3,4,5,6,7,8,9,0},E203&amp;"1234567890"))+1),10),".","/"))=TRUE,AO203-(SUBSTITUTE(LEFT(RIGHT(E203,LEN(E203)-MIN(SEARCH({1,2,3,4,5,6,7,8,9,0},E203&amp;"1234567890"))+1),10),".","/")),IF((SUBSTITUTE(LEFT(RIGHT(E203,LEN(E203)-MIN(SEARCH({1,2,3,4,5,6,7,8,9,0},E203&amp;"1234567890"))+1),10),".","/"))="","",(AO203)-(MID(RIGHT((SUBSTITUTE(LEFT(RIGHT(E203,LEN(E203)-MIN(SEARCH({1,2,3,4,5,6,7,8,9,0},E203&amp;"1234567890"))+1),10),".","/")),10),4,2)&amp;"/"&amp;LEFT((RIGHT((SUBSTITUTE(LEFT(RIGHT(E203,LEN(E203)-MIN(SEARCH({1,2,3,4,5,6,7,8,9,0},E203&amp;"1234567890"))+1),10),".","/")),10)),2)&amp;"/"&amp;RIGHT((SUBSTITUTE(LEFT(RIGHT(E203,LEN(E203)-MIN(SEARCH({1,2,3,4,5,6,7,8,9,0},E203&amp;"1234567890"))+1),10),".","/")),4))))),(AO203-A203))</f>
        <v>507</v>
      </c>
      <c r="C203" s="199"/>
      <c r="D203" s="201" t="str">
        <f t="shared" si="26"/>
        <v>FGC-316L/2B-0.40X20</v>
      </c>
      <c r="E203" s="201" t="s">
        <v>5887</v>
      </c>
      <c r="F203" s="201" t="s">
        <v>5901</v>
      </c>
      <c r="G203" s="201" t="s">
        <v>5902</v>
      </c>
      <c r="H203" s="201" t="s">
        <v>135</v>
      </c>
      <c r="I203" s="202" t="s">
        <v>114</v>
      </c>
      <c r="J203" s="203">
        <v>0.82</v>
      </c>
      <c r="K203" s="203">
        <v>0.4</v>
      </c>
      <c r="L203" s="203">
        <v>0.4</v>
      </c>
      <c r="M203" s="203">
        <v>0.42</v>
      </c>
      <c r="N203" s="204">
        <v>766</v>
      </c>
      <c r="O203" s="381">
        <f>10.28-9.82</f>
        <v>0.45999999999999908</v>
      </c>
      <c r="P203" s="413"/>
      <c r="Q203" s="185">
        <v>20</v>
      </c>
      <c r="R203" s="185"/>
      <c r="S203" s="414"/>
      <c r="T203" s="371"/>
      <c r="U203" s="206" t="s">
        <v>115</v>
      </c>
      <c r="V203" s="206" t="s">
        <v>5880</v>
      </c>
      <c r="W203" s="185" t="s">
        <v>114</v>
      </c>
      <c r="X203" s="205" t="s">
        <v>5903</v>
      </c>
      <c r="Y203" s="205"/>
      <c r="Z203" s="205" t="s">
        <v>5904</v>
      </c>
      <c r="AA203" s="205"/>
      <c r="AB203" s="205" t="s">
        <v>5899</v>
      </c>
      <c r="AC203" s="205"/>
      <c r="AD203" s="205">
        <v>44444</v>
      </c>
      <c r="AE203" s="205"/>
      <c r="AF203" s="205"/>
      <c r="AG203" s="205"/>
      <c r="AH203" s="207"/>
      <c r="AI203" s="208" t="s">
        <v>69</v>
      </c>
      <c r="AJ203" s="208" t="s">
        <v>142</v>
      </c>
      <c r="AK203" s="209" t="s">
        <v>5905</v>
      </c>
      <c r="AL203" s="209"/>
      <c r="AM203" s="209">
        <v>44431</v>
      </c>
      <c r="AN203" s="209"/>
      <c r="AO203" s="199">
        <f t="shared" ca="1" si="24"/>
        <v>44958</v>
      </c>
      <c r="AP203" s="208">
        <f t="shared" ca="1" si="25"/>
        <v>527</v>
      </c>
      <c r="AQ203" s="208"/>
      <c r="AR203" s="209"/>
      <c r="AS203" s="209" t="s">
        <v>5906</v>
      </c>
      <c r="AT203" s="210">
        <v>10.72</v>
      </c>
      <c r="AU203" s="210">
        <v>10.73</v>
      </c>
      <c r="AV203" s="210">
        <v>10.754999999999999</v>
      </c>
      <c r="AW203" s="210">
        <v>10.76</v>
      </c>
      <c r="BA203" s="200" t="s">
        <v>123</v>
      </c>
      <c r="BN203" s="211" t="s">
        <v>125</v>
      </c>
    </row>
    <row r="204" spans="1:66" s="200" customFormat="1" ht="18" customHeight="1" x14ac:dyDescent="0.25">
      <c r="A204" s="199"/>
      <c r="B204" s="204">
        <f ca="1">IF(A204="",(IF(ISNUMBER(SUBSTITUTE(LEFT(RIGHT(E204,LEN(E204)-MIN(SEARCH({1,2,3,4,5,6,7,8,9,0},E204&amp;"1234567890"))+1),10),".","/"))=TRUE,AO204-(SUBSTITUTE(LEFT(RIGHT(E204,LEN(E204)-MIN(SEARCH({1,2,3,4,5,6,7,8,9,0},E204&amp;"1234567890"))+1),10),".","/")),IF((SUBSTITUTE(LEFT(RIGHT(E204,LEN(E204)-MIN(SEARCH({1,2,3,4,5,6,7,8,9,0},E204&amp;"1234567890"))+1),10),".","/"))="","",(AO204)-(MID(RIGHT((SUBSTITUTE(LEFT(RIGHT(E204,LEN(E204)-MIN(SEARCH({1,2,3,4,5,6,7,8,9,0},E204&amp;"1234567890"))+1),10),".","/")),10),4,2)&amp;"/"&amp;LEFT((RIGHT((SUBSTITUTE(LEFT(RIGHT(E204,LEN(E204)-MIN(SEARCH({1,2,3,4,5,6,7,8,9,0},E204&amp;"1234567890"))+1),10),".","/")),10)),2)&amp;"/"&amp;RIGHT((SUBSTITUTE(LEFT(RIGHT(E204,LEN(E204)-MIN(SEARCH({1,2,3,4,5,6,7,8,9,0},E204&amp;"1234567890"))+1),10),".","/")),4))))),(AO204-A204))</f>
        <v>508</v>
      </c>
      <c r="C204" s="199"/>
      <c r="D204" s="201" t="str">
        <f t="shared" si="26"/>
        <v>FGC-316L/2B-0.40X20</v>
      </c>
      <c r="E204" s="201" t="s">
        <v>5877</v>
      </c>
      <c r="F204" s="201" t="s">
        <v>5895</v>
      </c>
      <c r="G204" s="201" t="s">
        <v>5907</v>
      </c>
      <c r="H204" s="201" t="s">
        <v>135</v>
      </c>
      <c r="I204" s="202" t="s">
        <v>114</v>
      </c>
      <c r="J204" s="203">
        <v>0.82</v>
      </c>
      <c r="K204" s="203">
        <v>0.4</v>
      </c>
      <c r="L204" s="203">
        <v>0.41</v>
      </c>
      <c r="M204" s="203">
        <v>0.42</v>
      </c>
      <c r="N204" s="204">
        <v>760</v>
      </c>
      <c r="O204" s="381">
        <f>5.775-5.575</f>
        <v>0.20000000000000018</v>
      </c>
      <c r="P204" s="413"/>
      <c r="Q204" s="185">
        <v>20</v>
      </c>
      <c r="R204" s="185"/>
      <c r="S204" s="414"/>
      <c r="T204" s="371"/>
      <c r="U204" s="206" t="s">
        <v>115</v>
      </c>
      <c r="V204" s="206" t="s">
        <v>5880</v>
      </c>
      <c r="W204" s="185" t="s">
        <v>114</v>
      </c>
      <c r="X204" s="205" t="s">
        <v>5897</v>
      </c>
      <c r="Y204" s="205"/>
      <c r="Z204" s="205" t="s">
        <v>5898</v>
      </c>
      <c r="AA204" s="205"/>
      <c r="AB204" s="205" t="s">
        <v>5899</v>
      </c>
      <c r="AC204" s="205"/>
      <c r="AD204" s="205">
        <v>44444</v>
      </c>
      <c r="AE204" s="205"/>
      <c r="AF204" s="205"/>
      <c r="AG204" s="205"/>
      <c r="AH204" s="207"/>
      <c r="AI204" s="208" t="s">
        <v>69</v>
      </c>
      <c r="AJ204" s="208" t="s">
        <v>142</v>
      </c>
      <c r="AK204" s="209" t="s">
        <v>5885</v>
      </c>
      <c r="AL204" s="209"/>
      <c r="AM204" s="209">
        <v>44373</v>
      </c>
      <c r="AN204" s="209"/>
      <c r="AO204" s="199">
        <f t="shared" ca="1" si="24"/>
        <v>44958</v>
      </c>
      <c r="AP204" s="208">
        <f t="shared" ca="1" si="25"/>
        <v>585</v>
      </c>
      <c r="AQ204" s="208"/>
      <c r="AR204" s="209"/>
      <c r="AS204" s="209" t="s">
        <v>5900</v>
      </c>
      <c r="AT204" s="210">
        <v>12.295</v>
      </c>
      <c r="AU204" s="210">
        <v>12.305</v>
      </c>
      <c r="AV204" s="210">
        <v>12.329999999999998</v>
      </c>
      <c r="AW204" s="210">
        <v>12.334999999999999</v>
      </c>
      <c r="AX204" s="200">
        <f t="shared" ref="AX204:AX226" ca="1" si="29">IF(ISNUMBER(Z204)=TRUE,AO204-Z204,IF(Z204="","",(AO204)-(MID(RIGHT(Z204,10),4,2)&amp;"/"&amp;LEFT((RIGHT(Z204,10)),2)&amp;"/"&amp;RIGHT(Z204,4))))</f>
        <v>511</v>
      </c>
      <c r="BA204" s="200" t="s">
        <v>123</v>
      </c>
      <c r="BN204" s="211" t="s">
        <v>5656</v>
      </c>
    </row>
    <row r="205" spans="1:66" s="200" customFormat="1" ht="18" customHeight="1" x14ac:dyDescent="0.25">
      <c r="A205" s="199"/>
      <c r="B205" s="204">
        <f ca="1">IF(A205="",(IF(ISNUMBER(SUBSTITUTE(LEFT(RIGHT(E205,LEN(E205)-MIN(SEARCH({1,2,3,4,5,6,7,8,9,0},E205&amp;"1234567890"))+1),10),".","/"))=TRUE,AO205-(SUBSTITUTE(LEFT(RIGHT(E205,LEN(E205)-MIN(SEARCH({1,2,3,4,5,6,7,8,9,0},E205&amp;"1234567890"))+1),10),".","/")),IF((SUBSTITUTE(LEFT(RIGHT(E205,LEN(E205)-MIN(SEARCH({1,2,3,4,5,6,7,8,9,0},E205&amp;"1234567890"))+1),10),".","/"))="","",(AO205)-(MID(RIGHT((SUBSTITUTE(LEFT(RIGHT(E205,LEN(E205)-MIN(SEARCH({1,2,3,4,5,6,7,8,9,0},E205&amp;"1234567890"))+1),10),".","/")),10),4,2)&amp;"/"&amp;LEFT((RIGHT((SUBSTITUTE(LEFT(RIGHT(E205,LEN(E205)-MIN(SEARCH({1,2,3,4,5,6,7,8,9,0},E205&amp;"1234567890"))+1),10),".","/")),10)),2)&amp;"/"&amp;RIGHT((SUBSTITUTE(LEFT(RIGHT(E205,LEN(E205)-MIN(SEARCH({1,2,3,4,5,6,7,8,9,0},E205&amp;"1234567890"))+1),10),".","/")),4))))),(AO205-A205))</f>
        <v>482</v>
      </c>
      <c r="C205" s="199"/>
      <c r="D205" s="201" t="str">
        <f t="shared" si="26"/>
        <v>FGC-J3/2B-0.28X40</v>
      </c>
      <c r="E205" s="201" t="s">
        <v>5908</v>
      </c>
      <c r="F205" s="201" t="s">
        <v>5909</v>
      </c>
      <c r="G205" s="201" t="s">
        <v>5910</v>
      </c>
      <c r="H205" s="201" t="s">
        <v>34</v>
      </c>
      <c r="I205" s="202" t="s">
        <v>114</v>
      </c>
      <c r="J205" s="203">
        <v>0.5</v>
      </c>
      <c r="K205" s="203">
        <v>0.28000000000000003</v>
      </c>
      <c r="L205" s="203">
        <v>0.28000000000000003</v>
      </c>
      <c r="M205" s="203">
        <v>0.28999999999999998</v>
      </c>
      <c r="N205" s="204">
        <v>590</v>
      </c>
      <c r="O205" s="381">
        <f>3.36-3.135</f>
        <v>0.22500000000000009</v>
      </c>
      <c r="P205" s="413"/>
      <c r="Q205" s="185">
        <v>40</v>
      </c>
      <c r="R205" s="185"/>
      <c r="S205" s="414"/>
      <c r="T205" s="371"/>
      <c r="U205" s="206" t="s">
        <v>115</v>
      </c>
      <c r="V205" s="206" t="s">
        <v>5911</v>
      </c>
      <c r="W205" s="206" t="s">
        <v>114</v>
      </c>
      <c r="X205" s="205" t="s">
        <v>5912</v>
      </c>
      <c r="Y205" s="205"/>
      <c r="Z205" s="205" t="s">
        <v>5913</v>
      </c>
      <c r="AA205" s="205"/>
      <c r="AB205" s="205" t="s">
        <v>5914</v>
      </c>
      <c r="AC205" s="205"/>
      <c r="AD205" s="205">
        <v>44468</v>
      </c>
      <c r="AE205" s="205"/>
      <c r="AF205" s="205"/>
      <c r="AG205" s="205"/>
      <c r="AH205" s="207"/>
      <c r="AI205" s="208" t="s">
        <v>69</v>
      </c>
      <c r="AJ205" s="208" t="s">
        <v>248</v>
      </c>
      <c r="AK205" s="209"/>
      <c r="AL205" s="209"/>
      <c r="AM205" s="209">
        <v>44301</v>
      </c>
      <c r="AN205" s="209"/>
      <c r="AO205" s="199">
        <f t="shared" ca="1" si="24"/>
        <v>44958</v>
      </c>
      <c r="AP205" s="208">
        <f t="shared" ca="1" si="25"/>
        <v>657</v>
      </c>
      <c r="AQ205" s="208">
        <f t="shared" ref="AQ205:AQ238" ca="1" si="30">IF(ISNUMBER(AB205)=TRUE,AO205-AB205,IF(AB205="","",(AO205)-(MID(RIGHT(AB205,10),4,2)&amp;"/"&amp;LEFT((RIGHT(AB205,10)),2)&amp;"/"&amp;RIGHT(AB205,4))))</f>
        <v>485</v>
      </c>
      <c r="AR205" s="209" t="s">
        <v>5915</v>
      </c>
      <c r="AS205" s="209" t="s">
        <v>5916</v>
      </c>
      <c r="AT205" s="210">
        <v>8.1679999999999993</v>
      </c>
      <c r="AU205" s="210">
        <v>8.2079999999999984</v>
      </c>
      <c r="AV205" s="210">
        <v>8.232999999999997</v>
      </c>
      <c r="AW205" s="210">
        <v>8.2379999999999978</v>
      </c>
      <c r="AX205" s="200">
        <f t="shared" ca="1" si="29"/>
        <v>485</v>
      </c>
      <c r="BA205" s="200" t="s">
        <v>123</v>
      </c>
      <c r="BN205" s="211" t="s">
        <v>5831</v>
      </c>
    </row>
    <row r="206" spans="1:66" s="200" customFormat="1" ht="18" customHeight="1" x14ac:dyDescent="0.25">
      <c r="A206" s="199">
        <v>44799</v>
      </c>
      <c r="B206" s="204">
        <f ca="1">IF(A206="",(IF(ISNUMBER(SUBSTITUTE(LEFT(RIGHT(E206,LEN(E206)-MIN(SEARCH({1,2,3,4,5,6,7,8,9,0},E206&amp;"1234567890"))+1),10),".","/"))=TRUE,AO206-(SUBSTITUTE(LEFT(RIGHT(E206,LEN(E206)-MIN(SEARCH({1,2,3,4,5,6,7,8,9,0},E206&amp;"1234567890"))+1),10),".","/")),IF((SUBSTITUTE(LEFT(RIGHT(E206,LEN(E206)-MIN(SEARCH({1,2,3,4,5,6,7,8,9,0},E206&amp;"1234567890"))+1),10),".","/"))="","",(AO206)-(MID(RIGHT((SUBSTITUTE(LEFT(RIGHT(E206,LEN(E206)-MIN(SEARCH({1,2,3,4,5,6,7,8,9,0},E206&amp;"1234567890"))+1),10),".","/")),10),4,2)&amp;"/"&amp;LEFT((RIGHT((SUBSTITUTE(LEFT(RIGHT(E206,LEN(E206)-MIN(SEARCH({1,2,3,4,5,6,7,8,9,0},E206&amp;"1234567890"))+1),10),".","/")),10)),2)&amp;"/"&amp;RIGHT((SUBSTITUTE(LEFT(RIGHT(E206,LEN(E206)-MIN(SEARCH({1,2,3,4,5,6,7,8,9,0},E206&amp;"1234567890"))+1),10),".","/")),4))))),(AO206-A206))</f>
        <v>159</v>
      </c>
      <c r="C206" s="199"/>
      <c r="D206" s="201" t="str">
        <f t="shared" si="26"/>
        <v>FGM-J3/2B-0.28X630</v>
      </c>
      <c r="E206" s="201" t="s">
        <v>5917</v>
      </c>
      <c r="F206" s="201" t="s">
        <v>5918</v>
      </c>
      <c r="G206" s="201" t="s">
        <v>5919</v>
      </c>
      <c r="H206" s="201" t="s">
        <v>34</v>
      </c>
      <c r="I206" s="202" t="s">
        <v>114</v>
      </c>
      <c r="J206" s="203">
        <v>0.5</v>
      </c>
      <c r="K206" s="203">
        <v>0.28000000000000003</v>
      </c>
      <c r="L206" s="203">
        <v>0.28000000000000003</v>
      </c>
      <c r="M206" s="203">
        <v>0.28999999999999998</v>
      </c>
      <c r="N206" s="204">
        <v>630</v>
      </c>
      <c r="O206" s="381">
        <f>2.135</f>
        <v>2.1349999999999998</v>
      </c>
      <c r="P206" s="413">
        <v>2.1749999999999998</v>
      </c>
      <c r="Q206" s="185" t="s">
        <v>5124</v>
      </c>
      <c r="R206" s="415">
        <v>614.5</v>
      </c>
      <c r="S206" s="414"/>
      <c r="T206" s="371"/>
      <c r="U206" s="206" t="s">
        <v>115</v>
      </c>
      <c r="V206" s="206" t="s">
        <v>5920</v>
      </c>
      <c r="W206" s="206" t="s">
        <v>5921</v>
      </c>
      <c r="X206" s="205" t="s">
        <v>5922</v>
      </c>
      <c r="Y206" s="205"/>
      <c r="Z206" s="205" t="s">
        <v>5923</v>
      </c>
      <c r="AA206" s="205"/>
      <c r="AB206" s="205" t="s">
        <v>5924</v>
      </c>
      <c r="AC206" s="205"/>
      <c r="AD206" s="205">
        <v>43947</v>
      </c>
      <c r="AE206" s="205"/>
      <c r="AF206" s="205"/>
      <c r="AG206" s="205"/>
      <c r="AH206" s="207"/>
      <c r="AI206" s="208" t="s">
        <v>69</v>
      </c>
      <c r="AJ206" s="208" t="s">
        <v>190</v>
      </c>
      <c r="AK206" s="209" t="s">
        <v>5925</v>
      </c>
      <c r="AL206" s="209"/>
      <c r="AM206" s="209">
        <v>43946</v>
      </c>
      <c r="AN206" s="209"/>
      <c r="AO206" s="199">
        <f t="shared" ref="AO206:AO236" ca="1" si="31">TODAY()</f>
        <v>44958</v>
      </c>
      <c r="AP206" s="208">
        <f t="shared" ref="AP206:AP238" ca="1" si="32">IF(AM206&lt;&gt;0,AO206-AM206,0)</f>
        <v>1012</v>
      </c>
      <c r="AQ206" s="208">
        <f t="shared" ca="1" si="30"/>
        <v>904</v>
      </c>
      <c r="AR206" s="209"/>
      <c r="AS206" s="209" t="s">
        <v>5926</v>
      </c>
      <c r="AT206" s="210">
        <v>10.465</v>
      </c>
      <c r="AU206" s="210">
        <v>10.475</v>
      </c>
      <c r="AV206" s="210">
        <v>10.514999999999999</v>
      </c>
      <c r="AW206" s="210">
        <v>10.52</v>
      </c>
      <c r="AX206" s="200">
        <f t="shared" ca="1" si="29"/>
        <v>908</v>
      </c>
      <c r="BA206" s="200" t="s">
        <v>123</v>
      </c>
      <c r="BN206" s="211" t="s">
        <v>163</v>
      </c>
    </row>
    <row r="207" spans="1:66" s="200" customFormat="1" ht="18" customHeight="1" x14ac:dyDescent="0.25">
      <c r="A207" s="199">
        <v>44537</v>
      </c>
      <c r="B207" s="204">
        <f ca="1">IF(A207="",(IF(ISNUMBER(SUBSTITUTE(LEFT(RIGHT(E207,LEN(E207)-MIN(SEARCH({1,2,3,4,5,6,7,8,9,0},E207&amp;"1234567890"))+1),10),".","/"))=TRUE,AO207-(SUBSTITUTE(LEFT(RIGHT(E207,LEN(E207)-MIN(SEARCH({1,2,3,4,5,6,7,8,9,0},E207&amp;"1234567890"))+1),10),".","/")),IF((SUBSTITUTE(LEFT(RIGHT(E207,LEN(E207)-MIN(SEARCH({1,2,3,4,5,6,7,8,9,0},E207&amp;"1234567890"))+1),10),".","/"))="","",(AO207)-(MID(RIGHT((SUBSTITUTE(LEFT(RIGHT(E207,LEN(E207)-MIN(SEARCH({1,2,3,4,5,6,7,8,9,0},E207&amp;"1234567890"))+1),10),".","/")),10),4,2)&amp;"/"&amp;LEFT((RIGHT((SUBSTITUTE(LEFT(RIGHT(E207,LEN(E207)-MIN(SEARCH({1,2,3,4,5,6,7,8,9,0},E207&amp;"1234567890"))+1),10),".","/")),10)),2)&amp;"/"&amp;RIGHT((SUBSTITUTE(LEFT(RIGHT(E207,LEN(E207)-MIN(SEARCH({1,2,3,4,5,6,7,8,9,0},E207&amp;"1234567890"))+1),10),".","/")),4))))),(AO207-A207))</f>
        <v>421</v>
      </c>
      <c r="C207" s="199"/>
      <c r="D207" s="201" t="str">
        <f t="shared" si="26"/>
        <v>FGC-316L/2B-1.00X30</v>
      </c>
      <c r="E207" s="201" t="s">
        <v>5927</v>
      </c>
      <c r="F207" s="201" t="s">
        <v>5928</v>
      </c>
      <c r="G207" s="201" t="s">
        <v>5929</v>
      </c>
      <c r="H207" s="201" t="s">
        <v>135</v>
      </c>
      <c r="I207" s="202" t="s">
        <v>114</v>
      </c>
      <c r="J207" s="203">
        <v>3.79</v>
      </c>
      <c r="K207" s="203">
        <v>1</v>
      </c>
      <c r="L207" s="203">
        <v>0.98</v>
      </c>
      <c r="M207" s="203">
        <v>1.02</v>
      </c>
      <c r="N207" s="204">
        <v>770</v>
      </c>
      <c r="O207" s="381">
        <f>10.43-10.015</f>
        <v>0.41499999999999915</v>
      </c>
      <c r="P207" s="432"/>
      <c r="Q207" s="185">
        <v>30</v>
      </c>
      <c r="R207" s="185"/>
      <c r="S207" s="414"/>
      <c r="T207" s="371"/>
      <c r="U207" s="206" t="s">
        <v>115</v>
      </c>
      <c r="V207" s="206" t="s">
        <v>5930</v>
      </c>
      <c r="W207" s="185" t="s">
        <v>114</v>
      </c>
      <c r="X207" s="205">
        <v>44531</v>
      </c>
      <c r="Y207" s="205"/>
      <c r="Z207" s="205">
        <v>44531</v>
      </c>
      <c r="AA207" s="205"/>
      <c r="AB207" s="205">
        <v>44535</v>
      </c>
      <c r="AC207" s="205"/>
      <c r="AD207" s="205"/>
      <c r="AE207" s="205"/>
      <c r="AF207" s="205"/>
      <c r="AG207" s="205"/>
      <c r="AH207" s="207"/>
      <c r="AI207" s="208" t="s">
        <v>69</v>
      </c>
      <c r="AJ207" s="208" t="s">
        <v>142</v>
      </c>
      <c r="AK207" s="209" t="s">
        <v>5931</v>
      </c>
      <c r="AL207" s="209"/>
      <c r="AM207" s="209">
        <v>44516</v>
      </c>
      <c r="AN207" s="209"/>
      <c r="AO207" s="199">
        <f t="shared" ca="1" si="31"/>
        <v>44958</v>
      </c>
      <c r="AP207" s="208">
        <f t="shared" ca="1" si="32"/>
        <v>442</v>
      </c>
      <c r="AQ207" s="208">
        <f t="shared" ca="1" si="30"/>
        <v>423</v>
      </c>
      <c r="AR207" s="209"/>
      <c r="AS207" s="209" t="s">
        <v>5932</v>
      </c>
      <c r="AT207" s="210">
        <v>10.585000000000001</v>
      </c>
      <c r="AU207" s="210">
        <v>10.595000000000001</v>
      </c>
      <c r="AV207" s="210">
        <v>10.62</v>
      </c>
      <c r="AW207" s="210">
        <v>10.625</v>
      </c>
      <c r="AX207" s="200">
        <f t="shared" ca="1" si="29"/>
        <v>427</v>
      </c>
      <c r="BA207" s="200" t="s">
        <v>123</v>
      </c>
      <c r="BN207" s="211"/>
    </row>
    <row r="208" spans="1:66" s="200" customFormat="1" ht="18" customHeight="1" x14ac:dyDescent="0.25">
      <c r="A208" s="199">
        <v>44537</v>
      </c>
      <c r="B208" s="204">
        <f ca="1">IF(A208="",(IF(ISNUMBER(SUBSTITUTE(LEFT(RIGHT(E208,LEN(E208)-MIN(SEARCH({1,2,3,4,5,6,7,8,9,0},E208&amp;"1234567890"))+1),10),".","/"))=TRUE,AO208-(SUBSTITUTE(LEFT(RIGHT(E208,LEN(E208)-MIN(SEARCH({1,2,3,4,5,6,7,8,9,0},E208&amp;"1234567890"))+1),10),".","/")),IF((SUBSTITUTE(LEFT(RIGHT(E208,LEN(E208)-MIN(SEARCH({1,2,3,4,5,6,7,8,9,0},E208&amp;"1234567890"))+1),10),".","/"))="","",(AO208)-(MID(RIGHT((SUBSTITUTE(LEFT(RIGHT(E208,LEN(E208)-MIN(SEARCH({1,2,3,4,5,6,7,8,9,0},E208&amp;"1234567890"))+1),10),".","/")),10),4,2)&amp;"/"&amp;LEFT((RIGHT((SUBSTITUTE(LEFT(RIGHT(E208,LEN(E208)-MIN(SEARCH({1,2,3,4,5,6,7,8,9,0},E208&amp;"1234567890"))+1),10),".","/")),10)),2)&amp;"/"&amp;RIGHT((SUBSTITUTE(LEFT(RIGHT(E208,LEN(E208)-MIN(SEARCH({1,2,3,4,5,6,7,8,9,0},E208&amp;"1234567890"))+1),10),".","/")),4))))),(AO208-A208))</f>
        <v>421</v>
      </c>
      <c r="C208" s="199"/>
      <c r="D208" s="201" t="str">
        <f t="shared" si="26"/>
        <v>FGC-316L/2B-1.00X30</v>
      </c>
      <c r="E208" s="201" t="s">
        <v>5927</v>
      </c>
      <c r="F208" s="201" t="s">
        <v>5933</v>
      </c>
      <c r="G208" s="201" t="s">
        <v>5934</v>
      </c>
      <c r="H208" s="201" t="s">
        <v>135</v>
      </c>
      <c r="I208" s="202" t="s">
        <v>114</v>
      </c>
      <c r="J208" s="203">
        <v>3.51</v>
      </c>
      <c r="K208" s="203">
        <v>1</v>
      </c>
      <c r="L208" s="203">
        <v>0.98</v>
      </c>
      <c r="M208" s="203">
        <v>1</v>
      </c>
      <c r="N208" s="204">
        <v>770</v>
      </c>
      <c r="O208" s="381">
        <f>10.465-10.04</f>
        <v>0.42500000000000071</v>
      </c>
      <c r="P208" s="437"/>
      <c r="Q208" s="185">
        <v>30</v>
      </c>
      <c r="R208" s="185"/>
      <c r="S208" s="414"/>
      <c r="T208" s="371"/>
      <c r="U208" s="206" t="s">
        <v>115</v>
      </c>
      <c r="V208" s="206" t="s">
        <v>5930</v>
      </c>
      <c r="W208" s="185" t="s">
        <v>114</v>
      </c>
      <c r="X208" s="205">
        <v>44531</v>
      </c>
      <c r="Y208" s="205"/>
      <c r="Z208" s="205">
        <v>44531</v>
      </c>
      <c r="AA208" s="205"/>
      <c r="AB208" s="205">
        <v>44535</v>
      </c>
      <c r="AC208" s="205"/>
      <c r="AD208" s="205"/>
      <c r="AE208" s="205"/>
      <c r="AF208" s="205"/>
      <c r="AG208" s="205"/>
      <c r="AH208" s="207"/>
      <c r="AI208" s="208" t="s">
        <v>69</v>
      </c>
      <c r="AJ208" s="208" t="s">
        <v>142</v>
      </c>
      <c r="AK208" s="209" t="s">
        <v>648</v>
      </c>
      <c r="AL208" s="209"/>
      <c r="AM208" s="209">
        <v>44496</v>
      </c>
      <c r="AN208" s="209"/>
      <c r="AO208" s="199">
        <f t="shared" ca="1" si="31"/>
        <v>44958</v>
      </c>
      <c r="AP208" s="208">
        <f t="shared" ca="1" si="32"/>
        <v>462</v>
      </c>
      <c r="AQ208" s="208">
        <f t="shared" ca="1" si="30"/>
        <v>423</v>
      </c>
      <c r="AR208" s="209"/>
      <c r="AS208" s="209" t="s">
        <v>5935</v>
      </c>
      <c r="AT208" s="210">
        <v>10.615</v>
      </c>
      <c r="AU208" s="210">
        <v>10.625</v>
      </c>
      <c r="AV208" s="210">
        <v>10.649999999999999</v>
      </c>
      <c r="AW208" s="210">
        <v>10.654999999999999</v>
      </c>
      <c r="AX208" s="200">
        <f t="shared" ca="1" si="29"/>
        <v>427</v>
      </c>
      <c r="BA208" s="200" t="s">
        <v>123</v>
      </c>
      <c r="BN208" s="211"/>
    </row>
    <row r="209" spans="1:66" s="200" customFormat="1" ht="18" customHeight="1" x14ac:dyDescent="0.25">
      <c r="A209" s="199">
        <v>44537</v>
      </c>
      <c r="B209" s="204">
        <f ca="1">IF(A209="",(IF(ISNUMBER(SUBSTITUTE(LEFT(RIGHT(E209,LEN(E209)-MIN(SEARCH({1,2,3,4,5,6,7,8,9,0},E209&amp;"1234567890"))+1),10),".","/"))=TRUE,AO209-(SUBSTITUTE(LEFT(RIGHT(E209,LEN(E209)-MIN(SEARCH({1,2,3,4,5,6,7,8,9,0},E209&amp;"1234567890"))+1),10),".","/")),IF((SUBSTITUTE(LEFT(RIGHT(E209,LEN(E209)-MIN(SEARCH({1,2,3,4,5,6,7,8,9,0},E209&amp;"1234567890"))+1),10),".","/"))="","",(AO209)-(MID(RIGHT((SUBSTITUTE(LEFT(RIGHT(E209,LEN(E209)-MIN(SEARCH({1,2,3,4,5,6,7,8,9,0},E209&amp;"1234567890"))+1),10),".","/")),10),4,2)&amp;"/"&amp;LEFT((RIGHT((SUBSTITUTE(LEFT(RIGHT(E209,LEN(E209)-MIN(SEARCH({1,2,3,4,5,6,7,8,9,0},E209&amp;"1234567890"))+1),10),".","/")),10)),2)&amp;"/"&amp;RIGHT((SUBSTITUTE(LEFT(RIGHT(E209,LEN(E209)-MIN(SEARCH({1,2,3,4,5,6,7,8,9,0},E209&amp;"1234567890"))+1),10),".","/")),4))))),(AO209-A209))</f>
        <v>421</v>
      </c>
      <c r="C209" s="199"/>
      <c r="D209" s="201" t="str">
        <f t="shared" si="26"/>
        <v>FGC-316L/2B-1.00X30</v>
      </c>
      <c r="E209" s="201" t="s">
        <v>5927</v>
      </c>
      <c r="F209" s="201" t="s">
        <v>5936</v>
      </c>
      <c r="G209" s="201" t="s">
        <v>5937</v>
      </c>
      <c r="H209" s="201" t="s">
        <v>135</v>
      </c>
      <c r="I209" s="202" t="s">
        <v>114</v>
      </c>
      <c r="J209" s="203">
        <v>3.48</v>
      </c>
      <c r="K209" s="203">
        <v>1</v>
      </c>
      <c r="L209" s="203">
        <v>0.98</v>
      </c>
      <c r="M209" s="203">
        <v>1.01</v>
      </c>
      <c r="N209" s="204">
        <v>770</v>
      </c>
      <c r="O209" s="381">
        <f>10.435-10.005</f>
        <v>0.42999999999999972</v>
      </c>
      <c r="P209" s="437"/>
      <c r="Q209" s="185">
        <v>30</v>
      </c>
      <c r="R209" s="185"/>
      <c r="S209" s="414"/>
      <c r="T209" s="371"/>
      <c r="U209" s="206" t="s">
        <v>115</v>
      </c>
      <c r="V209" s="206" t="s">
        <v>5930</v>
      </c>
      <c r="W209" s="185" t="s">
        <v>114</v>
      </c>
      <c r="X209" s="205">
        <v>44531</v>
      </c>
      <c r="Y209" s="205"/>
      <c r="Z209" s="205">
        <v>44531</v>
      </c>
      <c r="AA209" s="205"/>
      <c r="AB209" s="205">
        <v>44535</v>
      </c>
      <c r="AC209" s="205"/>
      <c r="AD209" s="205"/>
      <c r="AE209" s="205"/>
      <c r="AF209" s="205"/>
      <c r="AG209" s="205"/>
      <c r="AH209" s="207"/>
      <c r="AI209" s="208" t="s">
        <v>69</v>
      </c>
      <c r="AJ209" s="208" t="s">
        <v>142</v>
      </c>
      <c r="AK209" s="209" t="s">
        <v>648</v>
      </c>
      <c r="AL209" s="209"/>
      <c r="AM209" s="209">
        <v>44496</v>
      </c>
      <c r="AN209" s="209"/>
      <c r="AO209" s="199">
        <f t="shared" ca="1" si="31"/>
        <v>44958</v>
      </c>
      <c r="AP209" s="208">
        <f t="shared" ca="1" si="32"/>
        <v>462</v>
      </c>
      <c r="AQ209" s="208">
        <f t="shared" ca="1" si="30"/>
        <v>423</v>
      </c>
      <c r="AR209" s="209"/>
      <c r="AS209" s="209" t="s">
        <v>5938</v>
      </c>
      <c r="AT209" s="210">
        <v>10.56</v>
      </c>
      <c r="AU209" s="210">
        <v>10.57</v>
      </c>
      <c r="AV209" s="210">
        <v>10.594999999999999</v>
      </c>
      <c r="AW209" s="210">
        <v>10.6</v>
      </c>
      <c r="AX209" s="200">
        <f t="shared" ca="1" si="29"/>
        <v>427</v>
      </c>
      <c r="BA209" s="200" t="s">
        <v>123</v>
      </c>
      <c r="BN209" s="211"/>
    </row>
    <row r="210" spans="1:66" s="200" customFormat="1" ht="18" customHeight="1" x14ac:dyDescent="0.25">
      <c r="A210" s="199">
        <v>44537</v>
      </c>
      <c r="B210" s="204">
        <f ca="1">IF(A210="",(IF(ISNUMBER(SUBSTITUTE(LEFT(RIGHT(E210,LEN(E210)-MIN(SEARCH({1,2,3,4,5,6,7,8,9,0},E210&amp;"1234567890"))+1),10),".","/"))=TRUE,AO210-(SUBSTITUTE(LEFT(RIGHT(E210,LEN(E210)-MIN(SEARCH({1,2,3,4,5,6,7,8,9,0},E210&amp;"1234567890"))+1),10),".","/")),IF((SUBSTITUTE(LEFT(RIGHT(E210,LEN(E210)-MIN(SEARCH({1,2,3,4,5,6,7,8,9,0},E210&amp;"1234567890"))+1),10),".","/"))="","",(AO210)-(MID(RIGHT((SUBSTITUTE(LEFT(RIGHT(E210,LEN(E210)-MIN(SEARCH({1,2,3,4,5,6,7,8,9,0},E210&amp;"1234567890"))+1),10),".","/")),10),4,2)&amp;"/"&amp;LEFT((RIGHT((SUBSTITUTE(LEFT(RIGHT(E210,LEN(E210)-MIN(SEARCH({1,2,3,4,5,6,7,8,9,0},E210&amp;"1234567890"))+1),10),".","/")),10)),2)&amp;"/"&amp;RIGHT((SUBSTITUTE(LEFT(RIGHT(E210,LEN(E210)-MIN(SEARCH({1,2,3,4,5,6,7,8,9,0},E210&amp;"1234567890"))+1),10),".","/")),4))))),(AO210-A210))</f>
        <v>421</v>
      </c>
      <c r="C210" s="199"/>
      <c r="D210" s="201" t="str">
        <f t="shared" si="26"/>
        <v>FGC-316L/2B-1.00X30</v>
      </c>
      <c r="E210" s="201" t="s">
        <v>5927</v>
      </c>
      <c r="F210" s="201" t="s">
        <v>5939</v>
      </c>
      <c r="G210" s="201" t="s">
        <v>5940</v>
      </c>
      <c r="H210" s="201" t="s">
        <v>135</v>
      </c>
      <c r="I210" s="202" t="s">
        <v>114</v>
      </c>
      <c r="J210" s="203">
        <v>3.49</v>
      </c>
      <c r="K210" s="203">
        <v>1</v>
      </c>
      <c r="L210" s="203">
        <v>0.98</v>
      </c>
      <c r="M210" s="203">
        <v>1.01</v>
      </c>
      <c r="N210" s="204">
        <v>770</v>
      </c>
      <c r="O210" s="381">
        <f>10.195-9.79</f>
        <v>0.40500000000000114</v>
      </c>
      <c r="P210" s="437"/>
      <c r="Q210" s="185">
        <v>30</v>
      </c>
      <c r="R210" s="185"/>
      <c r="S210" s="414"/>
      <c r="T210" s="371"/>
      <c r="U210" s="206" t="s">
        <v>115</v>
      </c>
      <c r="V210" s="206" t="s">
        <v>5930</v>
      </c>
      <c r="W210" s="185" t="s">
        <v>114</v>
      </c>
      <c r="X210" s="205">
        <v>44531</v>
      </c>
      <c r="Y210" s="205"/>
      <c r="Z210" s="205">
        <v>44531</v>
      </c>
      <c r="AA210" s="205"/>
      <c r="AB210" s="205">
        <v>44535</v>
      </c>
      <c r="AC210" s="205"/>
      <c r="AD210" s="205"/>
      <c r="AE210" s="205"/>
      <c r="AF210" s="205"/>
      <c r="AG210" s="205"/>
      <c r="AH210" s="207"/>
      <c r="AI210" s="208" t="s">
        <v>69</v>
      </c>
      <c r="AJ210" s="208" t="s">
        <v>142</v>
      </c>
      <c r="AK210" s="209" t="s">
        <v>5931</v>
      </c>
      <c r="AL210" s="209"/>
      <c r="AM210" s="209">
        <v>44516</v>
      </c>
      <c r="AN210" s="209"/>
      <c r="AO210" s="199">
        <f t="shared" ca="1" si="31"/>
        <v>44958</v>
      </c>
      <c r="AP210" s="208">
        <f t="shared" ca="1" si="32"/>
        <v>442</v>
      </c>
      <c r="AQ210" s="208">
        <f t="shared" ca="1" si="30"/>
        <v>423</v>
      </c>
      <c r="AR210" s="209"/>
      <c r="AS210" s="209" t="s">
        <v>5941</v>
      </c>
      <c r="AT210" s="210">
        <v>10.26</v>
      </c>
      <c r="AU210" s="210">
        <v>10.27</v>
      </c>
      <c r="AV210" s="210">
        <v>10.294999999999998</v>
      </c>
      <c r="AW210" s="210">
        <v>10.299999999999999</v>
      </c>
      <c r="AX210" s="200">
        <f t="shared" ca="1" si="29"/>
        <v>427</v>
      </c>
      <c r="BA210" s="200" t="s">
        <v>123</v>
      </c>
      <c r="BN210" s="211"/>
    </row>
    <row r="211" spans="1:66" s="200" customFormat="1" ht="18" customHeight="1" x14ac:dyDescent="0.25">
      <c r="A211" s="199">
        <v>44537</v>
      </c>
      <c r="B211" s="204">
        <f ca="1">IF(A211="",(IF(ISNUMBER(SUBSTITUTE(LEFT(RIGHT(E211,LEN(E211)-MIN(SEARCH({1,2,3,4,5,6,7,8,9,0},E211&amp;"1234567890"))+1),10),".","/"))=TRUE,AO211-(SUBSTITUTE(LEFT(RIGHT(E211,LEN(E211)-MIN(SEARCH({1,2,3,4,5,6,7,8,9,0},E211&amp;"1234567890"))+1),10),".","/")),IF((SUBSTITUTE(LEFT(RIGHT(E211,LEN(E211)-MIN(SEARCH({1,2,3,4,5,6,7,8,9,0},E211&amp;"1234567890"))+1),10),".","/"))="","",(AO211)-(MID(RIGHT((SUBSTITUTE(LEFT(RIGHT(E211,LEN(E211)-MIN(SEARCH({1,2,3,4,5,6,7,8,9,0},E211&amp;"1234567890"))+1),10),".","/")),10),4,2)&amp;"/"&amp;LEFT((RIGHT((SUBSTITUTE(LEFT(RIGHT(E211,LEN(E211)-MIN(SEARCH({1,2,3,4,5,6,7,8,9,0},E211&amp;"1234567890"))+1),10),".","/")),10)),2)&amp;"/"&amp;RIGHT((SUBSTITUTE(LEFT(RIGHT(E211,LEN(E211)-MIN(SEARCH({1,2,3,4,5,6,7,8,9,0},E211&amp;"1234567890"))+1),10),".","/")),4))))),(AO211-A211))</f>
        <v>421</v>
      </c>
      <c r="C211" s="199"/>
      <c r="D211" s="201" t="str">
        <f t="shared" ref="D211:D238" si="33">IF(Q211="MULTI","FGM","FGC")&amp;"-"&amp;H211&amp;"/"&amp;I211&amp;"-"&amp;TEXT(K211,"0.00")&amp;"X"&amp;IF(Q211="MULTI",N211,Q211)</f>
        <v>FGC-316L/2B-1.00X30</v>
      </c>
      <c r="E211" s="201" t="s">
        <v>5927</v>
      </c>
      <c r="F211" s="201" t="s">
        <v>5942</v>
      </c>
      <c r="G211" s="201" t="s">
        <v>5943</v>
      </c>
      <c r="H211" s="201" t="s">
        <v>135</v>
      </c>
      <c r="I211" s="202" t="s">
        <v>114</v>
      </c>
      <c r="J211" s="203">
        <v>3.48</v>
      </c>
      <c r="K211" s="203">
        <v>1</v>
      </c>
      <c r="L211" s="203">
        <v>0.97</v>
      </c>
      <c r="M211" s="203">
        <v>1</v>
      </c>
      <c r="N211" s="204">
        <v>771</v>
      </c>
      <c r="O211" s="381">
        <f>10.47-10.035</f>
        <v>0.4350000000000005</v>
      </c>
      <c r="P211" s="437"/>
      <c r="Q211" s="185">
        <v>30</v>
      </c>
      <c r="R211" s="185"/>
      <c r="S211" s="414"/>
      <c r="T211" s="371"/>
      <c r="U211" s="206" t="s">
        <v>115</v>
      </c>
      <c r="V211" s="206" t="s">
        <v>5930</v>
      </c>
      <c r="W211" s="185" t="s">
        <v>114</v>
      </c>
      <c r="X211" s="205">
        <v>44531</v>
      </c>
      <c r="Y211" s="205"/>
      <c r="Z211" s="205">
        <v>44531</v>
      </c>
      <c r="AA211" s="205"/>
      <c r="AB211" s="205">
        <v>44535</v>
      </c>
      <c r="AC211" s="205"/>
      <c r="AD211" s="205"/>
      <c r="AE211" s="205"/>
      <c r="AF211" s="205"/>
      <c r="AG211" s="205"/>
      <c r="AH211" s="207"/>
      <c r="AI211" s="208" t="s">
        <v>69</v>
      </c>
      <c r="AJ211" s="208" t="s">
        <v>142</v>
      </c>
      <c r="AK211" s="209" t="s">
        <v>5931</v>
      </c>
      <c r="AL211" s="209"/>
      <c r="AM211" s="209">
        <v>44516</v>
      </c>
      <c r="AN211" s="209"/>
      <c r="AO211" s="199">
        <f t="shared" ca="1" si="31"/>
        <v>44958</v>
      </c>
      <c r="AP211" s="208">
        <f t="shared" ca="1" si="32"/>
        <v>442</v>
      </c>
      <c r="AQ211" s="208">
        <f t="shared" ca="1" si="30"/>
        <v>423</v>
      </c>
      <c r="AR211" s="209"/>
      <c r="AS211" s="209" t="s">
        <v>5944</v>
      </c>
      <c r="AT211" s="210">
        <v>10.574999999999999</v>
      </c>
      <c r="AU211" s="210">
        <v>10.585000000000001</v>
      </c>
      <c r="AV211" s="210">
        <v>10.61</v>
      </c>
      <c r="AW211" s="210">
        <v>10.615</v>
      </c>
      <c r="AX211" s="200">
        <f t="shared" ca="1" si="29"/>
        <v>427</v>
      </c>
      <c r="BA211" s="200" t="s">
        <v>123</v>
      </c>
      <c r="BN211" s="211"/>
    </row>
    <row r="212" spans="1:66" s="200" customFormat="1" ht="18" customHeight="1" x14ac:dyDescent="0.25">
      <c r="A212" s="199">
        <v>44537</v>
      </c>
      <c r="B212" s="204">
        <f ca="1">IF(A212="",(IF(ISNUMBER(SUBSTITUTE(LEFT(RIGHT(E212,LEN(E212)-MIN(SEARCH({1,2,3,4,5,6,7,8,9,0},E212&amp;"1234567890"))+1),10),".","/"))=TRUE,AO212-(SUBSTITUTE(LEFT(RIGHT(E212,LEN(E212)-MIN(SEARCH({1,2,3,4,5,6,7,8,9,0},E212&amp;"1234567890"))+1),10),".","/")),IF((SUBSTITUTE(LEFT(RIGHT(E212,LEN(E212)-MIN(SEARCH({1,2,3,4,5,6,7,8,9,0},E212&amp;"1234567890"))+1),10),".","/"))="","",(AO212)-(MID(RIGHT((SUBSTITUTE(LEFT(RIGHT(E212,LEN(E212)-MIN(SEARCH({1,2,3,4,5,6,7,8,9,0},E212&amp;"1234567890"))+1),10),".","/")),10),4,2)&amp;"/"&amp;LEFT((RIGHT((SUBSTITUTE(LEFT(RIGHT(E212,LEN(E212)-MIN(SEARCH({1,2,3,4,5,6,7,8,9,0},E212&amp;"1234567890"))+1),10),".","/")),10)),2)&amp;"/"&amp;RIGHT((SUBSTITUTE(LEFT(RIGHT(E212,LEN(E212)-MIN(SEARCH({1,2,3,4,5,6,7,8,9,0},E212&amp;"1234567890"))+1),10),".","/")),4))))),(AO212-A212))</f>
        <v>421</v>
      </c>
      <c r="C212" s="199"/>
      <c r="D212" s="201" t="str">
        <f t="shared" si="33"/>
        <v>FGC-316L/2B-1.00X30</v>
      </c>
      <c r="E212" s="201" t="s">
        <v>5945</v>
      </c>
      <c r="F212" s="201" t="s">
        <v>5946</v>
      </c>
      <c r="G212" s="201" t="s">
        <v>5947</v>
      </c>
      <c r="H212" s="201" t="s">
        <v>135</v>
      </c>
      <c r="I212" s="202" t="s">
        <v>114</v>
      </c>
      <c r="J212" s="203">
        <v>3.78</v>
      </c>
      <c r="K212" s="203">
        <v>1</v>
      </c>
      <c r="L212" s="203">
        <v>0.98</v>
      </c>
      <c r="M212" s="203">
        <v>1</v>
      </c>
      <c r="N212" s="204">
        <v>772</v>
      </c>
      <c r="O212" s="381">
        <f>10.51-10.05</f>
        <v>0.45999999999999908</v>
      </c>
      <c r="P212" s="437"/>
      <c r="Q212" s="185">
        <v>30</v>
      </c>
      <c r="R212" s="185"/>
      <c r="S212" s="414"/>
      <c r="T212" s="371"/>
      <c r="U212" s="206" t="s">
        <v>115</v>
      </c>
      <c r="V212" s="206" t="s">
        <v>5930</v>
      </c>
      <c r="W212" s="185" t="s">
        <v>114</v>
      </c>
      <c r="X212" s="205">
        <v>44530</v>
      </c>
      <c r="Y212" s="205"/>
      <c r="Z212" s="205">
        <v>44531</v>
      </c>
      <c r="AA212" s="205"/>
      <c r="AB212" s="205">
        <v>44535</v>
      </c>
      <c r="AC212" s="205"/>
      <c r="AD212" s="205"/>
      <c r="AE212" s="205"/>
      <c r="AF212" s="205"/>
      <c r="AG212" s="205"/>
      <c r="AH212" s="207"/>
      <c r="AI212" s="208" t="s">
        <v>69</v>
      </c>
      <c r="AJ212" s="208" t="s">
        <v>142</v>
      </c>
      <c r="AK212" s="209" t="s">
        <v>5931</v>
      </c>
      <c r="AL212" s="209"/>
      <c r="AM212" s="209">
        <v>44516</v>
      </c>
      <c r="AN212" s="209"/>
      <c r="AO212" s="199">
        <f t="shared" ca="1" si="31"/>
        <v>44958</v>
      </c>
      <c r="AP212" s="208">
        <f t="shared" ca="1" si="32"/>
        <v>442</v>
      </c>
      <c r="AQ212" s="208">
        <f t="shared" ca="1" si="30"/>
        <v>423</v>
      </c>
      <c r="AR212" s="209"/>
      <c r="AS212" s="209" t="s">
        <v>5932</v>
      </c>
      <c r="AT212" s="210">
        <v>10.605</v>
      </c>
      <c r="AU212" s="210">
        <v>10.615</v>
      </c>
      <c r="AV212" s="210">
        <v>10.639999999999999</v>
      </c>
      <c r="AW212" s="210">
        <v>10.645</v>
      </c>
      <c r="AX212" s="200">
        <f t="shared" ca="1" si="29"/>
        <v>427</v>
      </c>
      <c r="BA212" s="200" t="s">
        <v>123</v>
      </c>
      <c r="BN212" s="211"/>
    </row>
    <row r="213" spans="1:66" s="200" customFormat="1" ht="18" customHeight="1" x14ac:dyDescent="0.25">
      <c r="A213" s="199">
        <v>44537</v>
      </c>
      <c r="B213" s="204">
        <f ca="1">IF(A213="",(IF(ISNUMBER(SUBSTITUTE(LEFT(RIGHT(E213,LEN(E213)-MIN(SEARCH({1,2,3,4,5,6,7,8,9,0},E213&amp;"1234567890"))+1),10),".","/"))=TRUE,AO213-(SUBSTITUTE(LEFT(RIGHT(E213,LEN(E213)-MIN(SEARCH({1,2,3,4,5,6,7,8,9,0},E213&amp;"1234567890"))+1),10),".","/")),IF((SUBSTITUTE(LEFT(RIGHT(E213,LEN(E213)-MIN(SEARCH({1,2,3,4,5,6,7,8,9,0},E213&amp;"1234567890"))+1),10),".","/"))="","",(AO213)-(MID(RIGHT((SUBSTITUTE(LEFT(RIGHT(E213,LEN(E213)-MIN(SEARCH({1,2,3,4,5,6,7,8,9,0},E213&amp;"1234567890"))+1),10),".","/")),10),4,2)&amp;"/"&amp;LEFT((RIGHT((SUBSTITUTE(LEFT(RIGHT(E213,LEN(E213)-MIN(SEARCH({1,2,3,4,5,6,7,8,9,0},E213&amp;"1234567890"))+1),10),".","/")),10)),2)&amp;"/"&amp;RIGHT((SUBSTITUTE(LEFT(RIGHT(E213,LEN(E213)-MIN(SEARCH({1,2,3,4,5,6,7,8,9,0},E213&amp;"1234567890"))+1),10),".","/")),4))))),(AO213-A213))</f>
        <v>421</v>
      </c>
      <c r="C213" s="199"/>
      <c r="D213" s="201" t="str">
        <f t="shared" si="33"/>
        <v>FGC-316L/2B-1.00X30</v>
      </c>
      <c r="E213" s="201" t="s">
        <v>5945</v>
      </c>
      <c r="F213" s="201" t="s">
        <v>5948</v>
      </c>
      <c r="G213" s="201" t="s">
        <v>5949</v>
      </c>
      <c r="H213" s="201" t="s">
        <v>135</v>
      </c>
      <c r="I213" s="202" t="s">
        <v>114</v>
      </c>
      <c r="J213" s="203">
        <v>3.78</v>
      </c>
      <c r="K213" s="203">
        <v>1</v>
      </c>
      <c r="L213" s="203">
        <v>0.97</v>
      </c>
      <c r="M213" s="203">
        <v>0.99</v>
      </c>
      <c r="N213" s="204">
        <v>770</v>
      </c>
      <c r="O213" s="381">
        <f>10.38-9.945</f>
        <v>0.4350000000000005</v>
      </c>
      <c r="P213" s="437"/>
      <c r="Q213" s="185">
        <v>30</v>
      </c>
      <c r="R213" s="185"/>
      <c r="S213" s="414"/>
      <c r="T213" s="371"/>
      <c r="U213" s="206" t="s">
        <v>115</v>
      </c>
      <c r="V213" s="206" t="s">
        <v>5930</v>
      </c>
      <c r="W213" s="185" t="s">
        <v>114</v>
      </c>
      <c r="X213" s="205">
        <v>44531</v>
      </c>
      <c r="Y213" s="205"/>
      <c r="Z213" s="205">
        <v>44531</v>
      </c>
      <c r="AA213" s="205"/>
      <c r="AB213" s="205">
        <v>44535</v>
      </c>
      <c r="AC213" s="205"/>
      <c r="AD213" s="205"/>
      <c r="AE213" s="205"/>
      <c r="AF213" s="205"/>
      <c r="AG213" s="205"/>
      <c r="AH213" s="207"/>
      <c r="AI213" s="208" t="s">
        <v>69</v>
      </c>
      <c r="AJ213" s="208" t="s">
        <v>142</v>
      </c>
      <c r="AK213" s="209" t="s">
        <v>5931</v>
      </c>
      <c r="AL213" s="209"/>
      <c r="AM213" s="209">
        <v>44516</v>
      </c>
      <c r="AN213" s="209"/>
      <c r="AO213" s="199">
        <f t="shared" ca="1" si="31"/>
        <v>44958</v>
      </c>
      <c r="AP213" s="208">
        <f t="shared" ca="1" si="32"/>
        <v>442</v>
      </c>
      <c r="AQ213" s="208">
        <f t="shared" ca="1" si="30"/>
        <v>423</v>
      </c>
      <c r="AR213" s="209"/>
      <c r="AS213" s="209" t="s">
        <v>5950</v>
      </c>
      <c r="AT213" s="210">
        <v>10.5</v>
      </c>
      <c r="AU213" s="210">
        <v>10.51</v>
      </c>
      <c r="AV213" s="210">
        <v>10.534999999999998</v>
      </c>
      <c r="AW213" s="210">
        <v>10.54</v>
      </c>
      <c r="AX213" s="200">
        <f t="shared" ca="1" si="29"/>
        <v>427</v>
      </c>
      <c r="BA213" s="200" t="s">
        <v>123</v>
      </c>
      <c r="BN213" s="211"/>
    </row>
    <row r="214" spans="1:66" s="200" customFormat="1" ht="18" customHeight="1" x14ac:dyDescent="0.25">
      <c r="A214" s="199">
        <v>44537</v>
      </c>
      <c r="B214" s="204">
        <f ca="1">IF(A214="",(IF(ISNUMBER(SUBSTITUTE(LEFT(RIGHT(E214,LEN(E214)-MIN(SEARCH({1,2,3,4,5,6,7,8,9,0},E214&amp;"1234567890"))+1),10),".","/"))=TRUE,AO214-(SUBSTITUTE(LEFT(RIGHT(E214,LEN(E214)-MIN(SEARCH({1,2,3,4,5,6,7,8,9,0},E214&amp;"1234567890"))+1),10),".","/")),IF((SUBSTITUTE(LEFT(RIGHT(E214,LEN(E214)-MIN(SEARCH({1,2,3,4,5,6,7,8,9,0},E214&amp;"1234567890"))+1),10),".","/"))="","",(AO214)-(MID(RIGHT((SUBSTITUTE(LEFT(RIGHT(E214,LEN(E214)-MIN(SEARCH({1,2,3,4,5,6,7,8,9,0},E214&amp;"1234567890"))+1),10),".","/")),10),4,2)&amp;"/"&amp;LEFT((RIGHT((SUBSTITUTE(LEFT(RIGHT(E214,LEN(E214)-MIN(SEARCH({1,2,3,4,5,6,7,8,9,0},E214&amp;"1234567890"))+1),10),".","/")),10)),2)&amp;"/"&amp;RIGHT((SUBSTITUTE(LEFT(RIGHT(E214,LEN(E214)-MIN(SEARCH({1,2,3,4,5,6,7,8,9,0},E214&amp;"1234567890"))+1),10),".","/")),4))))),(AO214-A214))</f>
        <v>421</v>
      </c>
      <c r="C214" s="199"/>
      <c r="D214" s="201" t="str">
        <f t="shared" si="33"/>
        <v>FGC-316L/2B-1.00X30</v>
      </c>
      <c r="E214" s="201" t="s">
        <v>5945</v>
      </c>
      <c r="F214" s="201" t="s">
        <v>5951</v>
      </c>
      <c r="G214" s="201" t="s">
        <v>5952</v>
      </c>
      <c r="H214" s="201" t="s">
        <v>135</v>
      </c>
      <c r="I214" s="202" t="s">
        <v>114</v>
      </c>
      <c r="J214" s="203">
        <v>3.49</v>
      </c>
      <c r="K214" s="203">
        <v>1</v>
      </c>
      <c r="L214" s="203">
        <v>0.99</v>
      </c>
      <c r="M214" s="203">
        <v>1</v>
      </c>
      <c r="N214" s="204">
        <v>770</v>
      </c>
      <c r="O214" s="381">
        <f>10.525-10.095</f>
        <v>0.42999999999999972</v>
      </c>
      <c r="P214" s="437"/>
      <c r="Q214" s="185">
        <v>30</v>
      </c>
      <c r="R214" s="185"/>
      <c r="S214" s="414"/>
      <c r="T214" s="371"/>
      <c r="U214" s="206" t="s">
        <v>115</v>
      </c>
      <c r="V214" s="206" t="s">
        <v>5930</v>
      </c>
      <c r="W214" s="185" t="s">
        <v>114</v>
      </c>
      <c r="X214" s="205">
        <v>44530</v>
      </c>
      <c r="Y214" s="205"/>
      <c r="Z214" s="205">
        <v>44530</v>
      </c>
      <c r="AA214" s="205"/>
      <c r="AB214" s="205">
        <v>44535</v>
      </c>
      <c r="AC214" s="205"/>
      <c r="AD214" s="205"/>
      <c r="AE214" s="205"/>
      <c r="AF214" s="205"/>
      <c r="AG214" s="205"/>
      <c r="AH214" s="207"/>
      <c r="AI214" s="208" t="s">
        <v>69</v>
      </c>
      <c r="AJ214" s="208" t="s">
        <v>142</v>
      </c>
      <c r="AK214" s="209" t="s">
        <v>648</v>
      </c>
      <c r="AL214" s="209"/>
      <c r="AM214" s="209">
        <v>44496</v>
      </c>
      <c r="AN214" s="209"/>
      <c r="AO214" s="199">
        <f t="shared" ca="1" si="31"/>
        <v>44958</v>
      </c>
      <c r="AP214" s="208">
        <f t="shared" ca="1" si="32"/>
        <v>462</v>
      </c>
      <c r="AQ214" s="208">
        <f t="shared" ca="1" si="30"/>
        <v>423</v>
      </c>
      <c r="AR214" s="209"/>
      <c r="AS214" s="209" t="s">
        <v>5953</v>
      </c>
      <c r="AT214" s="210">
        <v>10.625</v>
      </c>
      <c r="AU214" s="210">
        <v>10.635</v>
      </c>
      <c r="AV214" s="210">
        <v>10.659999999999998</v>
      </c>
      <c r="AW214" s="210">
        <v>10.664999999999999</v>
      </c>
      <c r="AX214" s="200">
        <f t="shared" ca="1" si="29"/>
        <v>428</v>
      </c>
      <c r="BA214" s="200" t="s">
        <v>123</v>
      </c>
      <c r="BN214" s="211"/>
    </row>
    <row r="215" spans="1:66" s="200" customFormat="1" ht="18" customHeight="1" x14ac:dyDescent="0.25">
      <c r="A215" s="199">
        <v>44537</v>
      </c>
      <c r="B215" s="204">
        <f ca="1">IF(A215="",(IF(ISNUMBER(SUBSTITUTE(LEFT(RIGHT(E215,LEN(E215)-MIN(SEARCH({1,2,3,4,5,6,7,8,9,0},E215&amp;"1234567890"))+1),10),".","/"))=TRUE,AO215-(SUBSTITUTE(LEFT(RIGHT(E215,LEN(E215)-MIN(SEARCH({1,2,3,4,5,6,7,8,9,0},E215&amp;"1234567890"))+1),10),".","/")),IF((SUBSTITUTE(LEFT(RIGHT(E215,LEN(E215)-MIN(SEARCH({1,2,3,4,5,6,7,8,9,0},E215&amp;"1234567890"))+1),10),".","/"))="","",(AO215)-(MID(RIGHT((SUBSTITUTE(LEFT(RIGHT(E215,LEN(E215)-MIN(SEARCH({1,2,3,4,5,6,7,8,9,0},E215&amp;"1234567890"))+1),10),".","/")),10),4,2)&amp;"/"&amp;LEFT((RIGHT((SUBSTITUTE(LEFT(RIGHT(E215,LEN(E215)-MIN(SEARCH({1,2,3,4,5,6,7,8,9,0},E215&amp;"1234567890"))+1),10),".","/")),10)),2)&amp;"/"&amp;RIGHT((SUBSTITUTE(LEFT(RIGHT(E215,LEN(E215)-MIN(SEARCH({1,2,3,4,5,6,7,8,9,0},E215&amp;"1234567890"))+1),10),".","/")),4))))),(AO215-A215))</f>
        <v>421</v>
      </c>
      <c r="C215" s="199"/>
      <c r="D215" s="201" t="str">
        <f t="shared" si="33"/>
        <v>FGC-316L/2B-1.00X30</v>
      </c>
      <c r="E215" s="201" t="s">
        <v>5945</v>
      </c>
      <c r="F215" s="201" t="s">
        <v>5954</v>
      </c>
      <c r="G215" s="201" t="s">
        <v>5955</v>
      </c>
      <c r="H215" s="201" t="s">
        <v>135</v>
      </c>
      <c r="I215" s="202" t="s">
        <v>114</v>
      </c>
      <c r="J215" s="203">
        <v>3.48</v>
      </c>
      <c r="K215" s="203">
        <v>1</v>
      </c>
      <c r="L215" s="203">
        <v>0.98</v>
      </c>
      <c r="M215" s="203">
        <v>1.01</v>
      </c>
      <c r="N215" s="204">
        <v>770</v>
      </c>
      <c r="O215" s="381">
        <f>10.435-10.015</f>
        <v>0.41999999999999993</v>
      </c>
      <c r="P215" s="437"/>
      <c r="Q215" s="185">
        <v>30</v>
      </c>
      <c r="R215" s="185"/>
      <c r="S215" s="414"/>
      <c r="T215" s="371"/>
      <c r="U215" s="206" t="s">
        <v>115</v>
      </c>
      <c r="V215" s="206" t="s">
        <v>5930</v>
      </c>
      <c r="W215" s="185" t="s">
        <v>114</v>
      </c>
      <c r="X215" s="205">
        <v>44530</v>
      </c>
      <c r="Y215" s="205"/>
      <c r="Z215" s="205">
        <v>44530</v>
      </c>
      <c r="AA215" s="205"/>
      <c r="AB215" s="205">
        <v>44536</v>
      </c>
      <c r="AC215" s="205"/>
      <c r="AD215" s="205"/>
      <c r="AE215" s="205"/>
      <c r="AF215" s="205"/>
      <c r="AG215" s="205"/>
      <c r="AH215" s="207"/>
      <c r="AI215" s="208" t="s">
        <v>69</v>
      </c>
      <c r="AJ215" s="208" t="s">
        <v>142</v>
      </c>
      <c r="AK215" s="209" t="s">
        <v>648</v>
      </c>
      <c r="AL215" s="209"/>
      <c r="AM215" s="209">
        <v>44496</v>
      </c>
      <c r="AN215" s="209"/>
      <c r="AO215" s="199">
        <f t="shared" ca="1" si="31"/>
        <v>44958</v>
      </c>
      <c r="AP215" s="208">
        <f t="shared" ca="1" si="32"/>
        <v>462</v>
      </c>
      <c r="AQ215" s="208">
        <f t="shared" ca="1" si="30"/>
        <v>422</v>
      </c>
      <c r="AR215" s="209"/>
      <c r="AS215" s="209" t="s">
        <v>5938</v>
      </c>
      <c r="AT215" s="210">
        <v>10.54</v>
      </c>
      <c r="AU215" s="210">
        <v>10.55</v>
      </c>
      <c r="AV215" s="210">
        <v>10.574999999999999</v>
      </c>
      <c r="AW215" s="210">
        <v>10.58</v>
      </c>
      <c r="AX215" s="200">
        <f t="shared" ca="1" si="29"/>
        <v>428</v>
      </c>
      <c r="BA215" s="200" t="s">
        <v>123</v>
      </c>
      <c r="BN215" s="211"/>
    </row>
    <row r="216" spans="1:66" s="200" customFormat="1" ht="18" customHeight="1" x14ac:dyDescent="0.25">
      <c r="A216" s="199">
        <v>44537</v>
      </c>
      <c r="B216" s="204">
        <f ca="1">IF(A216="",(IF(ISNUMBER(SUBSTITUTE(LEFT(RIGHT(E216,LEN(E216)-MIN(SEARCH({1,2,3,4,5,6,7,8,9,0},E216&amp;"1234567890"))+1),10),".","/"))=TRUE,AO216-(SUBSTITUTE(LEFT(RIGHT(E216,LEN(E216)-MIN(SEARCH({1,2,3,4,5,6,7,8,9,0},E216&amp;"1234567890"))+1),10),".","/")),IF((SUBSTITUTE(LEFT(RIGHT(E216,LEN(E216)-MIN(SEARCH({1,2,3,4,5,6,7,8,9,0},E216&amp;"1234567890"))+1),10),".","/"))="","",(AO216)-(MID(RIGHT((SUBSTITUTE(LEFT(RIGHT(E216,LEN(E216)-MIN(SEARCH({1,2,3,4,5,6,7,8,9,0},E216&amp;"1234567890"))+1),10),".","/")),10),4,2)&amp;"/"&amp;LEFT((RIGHT((SUBSTITUTE(LEFT(RIGHT(E216,LEN(E216)-MIN(SEARCH({1,2,3,4,5,6,7,8,9,0},E216&amp;"1234567890"))+1),10),".","/")),10)),2)&amp;"/"&amp;RIGHT((SUBSTITUTE(LEFT(RIGHT(E216,LEN(E216)-MIN(SEARCH({1,2,3,4,5,6,7,8,9,0},E216&amp;"1234567890"))+1),10),".","/")),4))))),(AO216-A216))</f>
        <v>421</v>
      </c>
      <c r="C216" s="199"/>
      <c r="D216" s="201" t="str">
        <f t="shared" si="33"/>
        <v>FGC-316L/2B-1.00X30</v>
      </c>
      <c r="E216" s="201" t="s">
        <v>5945</v>
      </c>
      <c r="F216" s="201" t="s">
        <v>5956</v>
      </c>
      <c r="G216" s="201" t="s">
        <v>5957</v>
      </c>
      <c r="H216" s="201" t="s">
        <v>135</v>
      </c>
      <c r="I216" s="202" t="s">
        <v>114</v>
      </c>
      <c r="J216" s="203">
        <v>3.8</v>
      </c>
      <c r="K216" s="203">
        <v>1</v>
      </c>
      <c r="L216" s="203">
        <v>0.98</v>
      </c>
      <c r="M216" s="203">
        <v>1.01</v>
      </c>
      <c r="N216" s="204">
        <v>770</v>
      </c>
      <c r="O216" s="381">
        <f>10.485-10.06</f>
        <v>0.42499999999999893</v>
      </c>
      <c r="P216" s="433"/>
      <c r="Q216" s="185">
        <v>30</v>
      </c>
      <c r="R216" s="185"/>
      <c r="S216" s="414"/>
      <c r="T216" s="371"/>
      <c r="U216" s="206" t="s">
        <v>115</v>
      </c>
      <c r="V216" s="206" t="s">
        <v>5930</v>
      </c>
      <c r="W216" s="185" t="s">
        <v>114</v>
      </c>
      <c r="X216" s="205">
        <v>44530</v>
      </c>
      <c r="Y216" s="205"/>
      <c r="Z216" s="205">
        <v>44531</v>
      </c>
      <c r="AA216" s="205"/>
      <c r="AB216" s="205">
        <v>44536</v>
      </c>
      <c r="AC216" s="205"/>
      <c r="AD216" s="205"/>
      <c r="AE216" s="205"/>
      <c r="AF216" s="205"/>
      <c r="AG216" s="205"/>
      <c r="AH216" s="207"/>
      <c r="AI216" s="208" t="s">
        <v>69</v>
      </c>
      <c r="AJ216" s="208" t="s">
        <v>142</v>
      </c>
      <c r="AK216" s="209" t="s">
        <v>648</v>
      </c>
      <c r="AL216" s="209"/>
      <c r="AM216" s="209">
        <v>44496</v>
      </c>
      <c r="AN216" s="209"/>
      <c r="AO216" s="199">
        <f t="shared" ca="1" si="31"/>
        <v>44958</v>
      </c>
      <c r="AP216" s="208">
        <f t="shared" ca="1" si="32"/>
        <v>462</v>
      </c>
      <c r="AQ216" s="208">
        <f t="shared" ca="1" si="30"/>
        <v>422</v>
      </c>
      <c r="AR216" s="209"/>
      <c r="AS216" s="209" t="s">
        <v>5958</v>
      </c>
      <c r="AT216" s="210">
        <v>10.61</v>
      </c>
      <c r="AU216" s="210">
        <v>10.62</v>
      </c>
      <c r="AV216" s="210">
        <v>10.644999999999998</v>
      </c>
      <c r="AW216" s="210">
        <v>10.649999999999999</v>
      </c>
      <c r="AX216" s="200">
        <f t="shared" ca="1" si="29"/>
        <v>427</v>
      </c>
      <c r="BA216" s="200" t="s">
        <v>123</v>
      </c>
      <c r="BN216" s="211"/>
    </row>
    <row r="217" spans="1:66" s="200" customFormat="1" ht="18" customHeight="1" x14ac:dyDescent="0.25">
      <c r="A217" s="199"/>
      <c r="B217" s="204">
        <f ca="1">IF(A217="",(IF(ISNUMBER(SUBSTITUTE(LEFT(RIGHT(E217,LEN(E217)-MIN(SEARCH({1,2,3,4,5,6,7,8,9,0},E217&amp;"1234567890"))+1),10),".","/"))=TRUE,AO217-(SUBSTITUTE(LEFT(RIGHT(E217,LEN(E217)-MIN(SEARCH({1,2,3,4,5,6,7,8,9,0},E217&amp;"1234567890"))+1),10),".","/")),IF((SUBSTITUTE(LEFT(RIGHT(E217,LEN(E217)-MIN(SEARCH({1,2,3,4,5,6,7,8,9,0},E217&amp;"1234567890"))+1),10),".","/"))="","",(AO217)-(MID(RIGHT((SUBSTITUTE(LEFT(RIGHT(E217,LEN(E217)-MIN(SEARCH({1,2,3,4,5,6,7,8,9,0},E217&amp;"1234567890"))+1),10),".","/")),10),4,2)&amp;"/"&amp;LEFT((RIGHT((SUBSTITUTE(LEFT(RIGHT(E217,LEN(E217)-MIN(SEARCH({1,2,3,4,5,6,7,8,9,0},E217&amp;"1234567890"))+1),10),".","/")),10)),2)&amp;"/"&amp;RIGHT((SUBSTITUTE(LEFT(RIGHT(E217,LEN(E217)-MIN(SEARCH({1,2,3,4,5,6,7,8,9,0},E217&amp;"1234567890"))+1),10),".","/")),4))))),(AO217-A217))</f>
        <v>394</v>
      </c>
      <c r="C217" s="199"/>
      <c r="D217" s="201" t="str">
        <f t="shared" si="33"/>
        <v>FGC-316L/2B-1.00X36</v>
      </c>
      <c r="E217" s="201" t="s">
        <v>5959</v>
      </c>
      <c r="F217" s="201" t="s">
        <v>5960</v>
      </c>
      <c r="G217" s="201" t="s">
        <v>5961</v>
      </c>
      <c r="H217" s="201" t="s">
        <v>135</v>
      </c>
      <c r="I217" s="202" t="s">
        <v>114</v>
      </c>
      <c r="J217" s="203">
        <v>3.48</v>
      </c>
      <c r="K217" s="203">
        <v>1</v>
      </c>
      <c r="L217" s="203">
        <v>0.99</v>
      </c>
      <c r="M217" s="203">
        <v>1.01</v>
      </c>
      <c r="N217" s="204">
        <v>772</v>
      </c>
      <c r="O217" s="381">
        <f>10.215-9.775</f>
        <v>0.4399999999999995</v>
      </c>
      <c r="P217" s="413"/>
      <c r="Q217" s="185">
        <v>36</v>
      </c>
      <c r="R217" s="430"/>
      <c r="S217" s="414"/>
      <c r="T217" s="371"/>
      <c r="U217" s="206" t="s">
        <v>115</v>
      </c>
      <c r="V217" s="206" t="s">
        <v>5962</v>
      </c>
      <c r="W217" s="185" t="s">
        <v>114</v>
      </c>
      <c r="X217" s="205">
        <v>44545</v>
      </c>
      <c r="Y217" s="205"/>
      <c r="Z217" s="205">
        <v>44545</v>
      </c>
      <c r="AA217" s="205"/>
      <c r="AB217" s="205">
        <v>44562</v>
      </c>
      <c r="AC217" s="205"/>
      <c r="AD217" s="205"/>
      <c r="AE217" s="205"/>
      <c r="AF217" s="205"/>
      <c r="AG217" s="205"/>
      <c r="AH217" s="207"/>
      <c r="AI217" s="208" t="s">
        <v>69</v>
      </c>
      <c r="AJ217" s="208" t="s">
        <v>142</v>
      </c>
      <c r="AK217" s="209" t="s">
        <v>5931</v>
      </c>
      <c r="AL217" s="209"/>
      <c r="AM217" s="209">
        <v>44516</v>
      </c>
      <c r="AN217" s="209"/>
      <c r="AO217" s="199">
        <f t="shared" ca="1" si="31"/>
        <v>44958</v>
      </c>
      <c r="AP217" s="208">
        <f t="shared" ca="1" si="32"/>
        <v>442</v>
      </c>
      <c r="AQ217" s="208">
        <f t="shared" ca="1" si="30"/>
        <v>396</v>
      </c>
      <c r="AR217" s="209"/>
      <c r="AS217" s="209" t="s">
        <v>5941</v>
      </c>
      <c r="AT217" s="210">
        <v>10.285</v>
      </c>
      <c r="AU217" s="210">
        <v>10.295</v>
      </c>
      <c r="AV217" s="210">
        <v>10.319999999999999</v>
      </c>
      <c r="AW217" s="210">
        <v>10.324999999999999</v>
      </c>
      <c r="AX217" s="200">
        <f t="shared" ca="1" si="29"/>
        <v>413</v>
      </c>
      <c r="BA217" s="200" t="s">
        <v>123</v>
      </c>
      <c r="BN217" s="211"/>
    </row>
    <row r="218" spans="1:66" s="200" customFormat="1" ht="18" customHeight="1" x14ac:dyDescent="0.25">
      <c r="A218" s="199"/>
      <c r="B218" s="204">
        <f ca="1">IF(A218="",(IF(ISNUMBER(SUBSTITUTE(LEFT(RIGHT(E218,LEN(E218)-MIN(SEARCH({1,2,3,4,5,6,7,8,9,0},E218&amp;"1234567890"))+1),10),".","/"))=TRUE,AO218-(SUBSTITUTE(LEFT(RIGHT(E218,LEN(E218)-MIN(SEARCH({1,2,3,4,5,6,7,8,9,0},E218&amp;"1234567890"))+1),10),".","/")),IF((SUBSTITUTE(LEFT(RIGHT(E218,LEN(E218)-MIN(SEARCH({1,2,3,4,5,6,7,8,9,0},E218&amp;"1234567890"))+1),10),".","/"))="","",(AO218)-(MID(RIGHT((SUBSTITUTE(LEFT(RIGHT(E218,LEN(E218)-MIN(SEARCH({1,2,3,4,5,6,7,8,9,0},E218&amp;"1234567890"))+1),10),".","/")),10),4,2)&amp;"/"&amp;LEFT((RIGHT((SUBSTITUTE(LEFT(RIGHT(E218,LEN(E218)-MIN(SEARCH({1,2,3,4,5,6,7,8,9,0},E218&amp;"1234567890"))+1),10),".","/")),10)),2)&amp;"/"&amp;RIGHT((SUBSTITUTE(LEFT(RIGHT(E218,LEN(E218)-MIN(SEARCH({1,2,3,4,5,6,7,8,9,0},E218&amp;"1234567890"))+1),10),".","/")),4))))),(AO218-A218))</f>
        <v>394</v>
      </c>
      <c r="C218" s="199"/>
      <c r="D218" s="201" t="str">
        <f t="shared" si="33"/>
        <v>FGC-316L/2B-1.00X36</v>
      </c>
      <c r="E218" s="201" t="s">
        <v>5959</v>
      </c>
      <c r="F218" s="201" t="s">
        <v>5963</v>
      </c>
      <c r="G218" s="201" t="s">
        <v>5964</v>
      </c>
      <c r="H218" s="201" t="s">
        <v>135</v>
      </c>
      <c r="I218" s="202" t="s">
        <v>114</v>
      </c>
      <c r="J218" s="203">
        <v>3.82</v>
      </c>
      <c r="K218" s="203">
        <v>1</v>
      </c>
      <c r="L218" s="203">
        <v>0.97</v>
      </c>
      <c r="M218" s="203">
        <v>1</v>
      </c>
      <c r="N218" s="204">
        <v>777</v>
      </c>
      <c r="O218" s="381">
        <f>10.425-9.91</f>
        <v>0.51500000000000057</v>
      </c>
      <c r="P218" s="413"/>
      <c r="Q218" s="185">
        <v>36</v>
      </c>
      <c r="R218" s="430"/>
      <c r="S218" s="414"/>
      <c r="T218" s="371"/>
      <c r="U218" s="206" t="s">
        <v>115</v>
      </c>
      <c r="V218" s="206" t="s">
        <v>5962</v>
      </c>
      <c r="W218" s="185" t="s">
        <v>114</v>
      </c>
      <c r="X218" s="205">
        <v>44545</v>
      </c>
      <c r="Y218" s="205"/>
      <c r="Z218" s="205">
        <v>44545</v>
      </c>
      <c r="AA218" s="205"/>
      <c r="AB218" s="205">
        <v>44562</v>
      </c>
      <c r="AC218" s="205"/>
      <c r="AD218" s="205"/>
      <c r="AE218" s="205"/>
      <c r="AF218" s="205"/>
      <c r="AG218" s="205"/>
      <c r="AH218" s="207"/>
      <c r="AI218" s="208" t="s">
        <v>69</v>
      </c>
      <c r="AJ218" s="208" t="s">
        <v>142</v>
      </c>
      <c r="AK218" s="209" t="s">
        <v>5931</v>
      </c>
      <c r="AL218" s="209"/>
      <c r="AM218" s="209">
        <v>44516</v>
      </c>
      <c r="AN218" s="209"/>
      <c r="AO218" s="199">
        <f t="shared" ca="1" si="31"/>
        <v>44958</v>
      </c>
      <c r="AP218" s="208">
        <f t="shared" ca="1" si="32"/>
        <v>442</v>
      </c>
      <c r="AQ218" s="208">
        <f t="shared" ca="1" si="30"/>
        <v>396</v>
      </c>
      <c r="AR218" s="209"/>
      <c r="AS218" s="209" t="s">
        <v>5965</v>
      </c>
      <c r="AT218" s="210">
        <v>10.505000000000001</v>
      </c>
      <c r="AU218" s="210">
        <v>10.515000000000001</v>
      </c>
      <c r="AV218" s="210">
        <v>10.54</v>
      </c>
      <c r="AW218" s="210">
        <v>10.545</v>
      </c>
      <c r="AX218" s="200">
        <f t="shared" ca="1" si="29"/>
        <v>413</v>
      </c>
      <c r="BA218" s="200" t="s">
        <v>123</v>
      </c>
      <c r="BN218" s="211"/>
    </row>
    <row r="219" spans="1:66" s="200" customFormat="1" ht="18" customHeight="1" x14ac:dyDescent="0.25">
      <c r="A219" s="199"/>
      <c r="B219" s="204">
        <f ca="1">IF(A219="",(IF(ISNUMBER(SUBSTITUTE(LEFT(RIGHT(E219,LEN(E219)-MIN(SEARCH({1,2,3,4,5,6,7,8,9,0},E219&amp;"1234567890"))+1),10),".","/"))=TRUE,AO219-(SUBSTITUTE(LEFT(RIGHT(E219,LEN(E219)-MIN(SEARCH({1,2,3,4,5,6,7,8,9,0},E219&amp;"1234567890"))+1),10),".","/")),IF((SUBSTITUTE(LEFT(RIGHT(E219,LEN(E219)-MIN(SEARCH({1,2,3,4,5,6,7,8,9,0},E219&amp;"1234567890"))+1),10),".","/"))="","",(AO219)-(MID(RIGHT((SUBSTITUTE(LEFT(RIGHT(E219,LEN(E219)-MIN(SEARCH({1,2,3,4,5,6,7,8,9,0},E219&amp;"1234567890"))+1),10),".","/")),10),4,2)&amp;"/"&amp;LEFT((RIGHT((SUBSTITUTE(LEFT(RIGHT(E219,LEN(E219)-MIN(SEARCH({1,2,3,4,5,6,7,8,9,0},E219&amp;"1234567890"))+1),10),".","/")),10)),2)&amp;"/"&amp;RIGHT((SUBSTITUTE(LEFT(RIGHT(E219,LEN(E219)-MIN(SEARCH({1,2,3,4,5,6,7,8,9,0},E219&amp;"1234567890"))+1),10),".","/")),4))))),(AO219-A219))</f>
        <v>394</v>
      </c>
      <c r="C219" s="199"/>
      <c r="D219" s="201" t="str">
        <f t="shared" si="33"/>
        <v>FGC-316L/2B-1.00X36</v>
      </c>
      <c r="E219" s="201" t="s">
        <v>5959</v>
      </c>
      <c r="F219" s="201" t="s">
        <v>5966</v>
      </c>
      <c r="G219" s="201" t="s">
        <v>5967</v>
      </c>
      <c r="H219" s="201" t="s">
        <v>135</v>
      </c>
      <c r="I219" s="202" t="s">
        <v>114</v>
      </c>
      <c r="J219" s="203">
        <v>3.48</v>
      </c>
      <c r="K219" s="203">
        <v>1</v>
      </c>
      <c r="L219" s="203">
        <v>0.99</v>
      </c>
      <c r="M219" s="203">
        <v>1.01</v>
      </c>
      <c r="N219" s="204">
        <v>770</v>
      </c>
      <c r="O219" s="381">
        <f>10.415-9.99</f>
        <v>0.42499999999999893</v>
      </c>
      <c r="P219" s="413"/>
      <c r="Q219" s="185">
        <v>36</v>
      </c>
      <c r="R219" s="430"/>
      <c r="S219" s="414"/>
      <c r="T219" s="371"/>
      <c r="U219" s="206" t="s">
        <v>115</v>
      </c>
      <c r="V219" s="206" t="s">
        <v>5962</v>
      </c>
      <c r="W219" s="185" t="s">
        <v>114</v>
      </c>
      <c r="X219" s="205">
        <v>44544</v>
      </c>
      <c r="Y219" s="205"/>
      <c r="Z219" s="205">
        <v>44545</v>
      </c>
      <c r="AA219" s="205"/>
      <c r="AB219" s="205">
        <v>44562</v>
      </c>
      <c r="AC219" s="205"/>
      <c r="AD219" s="205"/>
      <c r="AE219" s="205"/>
      <c r="AF219" s="205"/>
      <c r="AG219" s="205"/>
      <c r="AH219" s="207"/>
      <c r="AI219" s="208" t="s">
        <v>69</v>
      </c>
      <c r="AJ219" s="208" t="s">
        <v>142</v>
      </c>
      <c r="AK219" s="209" t="s">
        <v>5931</v>
      </c>
      <c r="AL219" s="209"/>
      <c r="AM219" s="209">
        <v>44516</v>
      </c>
      <c r="AN219" s="209"/>
      <c r="AO219" s="199">
        <f t="shared" ca="1" si="31"/>
        <v>44958</v>
      </c>
      <c r="AP219" s="208">
        <f t="shared" ca="1" si="32"/>
        <v>442</v>
      </c>
      <c r="AQ219" s="208">
        <f t="shared" ca="1" si="30"/>
        <v>396</v>
      </c>
      <c r="AR219" s="209"/>
      <c r="AS219" s="209" t="s">
        <v>5968</v>
      </c>
      <c r="AT219" s="210">
        <v>10.47</v>
      </c>
      <c r="AU219" s="210">
        <v>10.48</v>
      </c>
      <c r="AV219" s="210">
        <v>10.504999999999999</v>
      </c>
      <c r="AW219" s="210">
        <v>10.51</v>
      </c>
      <c r="AX219" s="200">
        <f t="shared" ca="1" si="29"/>
        <v>413</v>
      </c>
      <c r="BA219" s="200" t="s">
        <v>123</v>
      </c>
      <c r="BN219" s="211"/>
    </row>
    <row r="220" spans="1:66" s="200" customFormat="1" ht="18" customHeight="1" x14ac:dyDescent="0.25">
      <c r="A220" s="199"/>
      <c r="B220" s="204">
        <f ca="1">IF(A220="",(IF(ISNUMBER(SUBSTITUTE(LEFT(RIGHT(E220,LEN(E220)-MIN(SEARCH({1,2,3,4,5,6,7,8,9,0},E220&amp;"1234567890"))+1),10),".","/"))=TRUE,AO220-(SUBSTITUTE(LEFT(RIGHT(E220,LEN(E220)-MIN(SEARCH({1,2,3,4,5,6,7,8,9,0},E220&amp;"1234567890"))+1),10),".","/")),IF((SUBSTITUTE(LEFT(RIGHT(E220,LEN(E220)-MIN(SEARCH({1,2,3,4,5,6,7,8,9,0},E220&amp;"1234567890"))+1),10),".","/"))="","",(AO220)-(MID(RIGHT((SUBSTITUTE(LEFT(RIGHT(E220,LEN(E220)-MIN(SEARCH({1,2,3,4,5,6,7,8,9,0},E220&amp;"1234567890"))+1),10),".","/")),10),4,2)&amp;"/"&amp;LEFT((RIGHT((SUBSTITUTE(LEFT(RIGHT(E220,LEN(E220)-MIN(SEARCH({1,2,3,4,5,6,7,8,9,0},E220&amp;"1234567890"))+1),10),".","/")),10)),2)&amp;"/"&amp;RIGHT((SUBSTITUTE(LEFT(RIGHT(E220,LEN(E220)-MIN(SEARCH({1,2,3,4,5,6,7,8,9,0},E220&amp;"1234567890"))+1),10),".","/")),4))))),(AO220-A220))</f>
        <v>394</v>
      </c>
      <c r="C220" s="199"/>
      <c r="D220" s="201" t="str">
        <f t="shared" si="33"/>
        <v>FGC-316L/2B-1.00X36</v>
      </c>
      <c r="E220" s="201" t="s">
        <v>5959</v>
      </c>
      <c r="F220" s="201" t="s">
        <v>5969</v>
      </c>
      <c r="G220" s="201" t="s">
        <v>5970</v>
      </c>
      <c r="H220" s="201" t="s">
        <v>135</v>
      </c>
      <c r="I220" s="202" t="s">
        <v>114</v>
      </c>
      <c r="J220" s="203">
        <v>3.78</v>
      </c>
      <c r="K220" s="203">
        <v>1</v>
      </c>
      <c r="L220" s="203">
        <v>0.98</v>
      </c>
      <c r="M220" s="203">
        <v>1.01</v>
      </c>
      <c r="N220" s="204">
        <v>772</v>
      </c>
      <c r="O220" s="381">
        <f>10.475-10.015</f>
        <v>0.45999999999999908</v>
      </c>
      <c r="P220" s="413"/>
      <c r="Q220" s="185">
        <v>36</v>
      </c>
      <c r="R220" s="430"/>
      <c r="S220" s="414"/>
      <c r="T220" s="371"/>
      <c r="U220" s="206" t="s">
        <v>115</v>
      </c>
      <c r="V220" s="206" t="s">
        <v>5962</v>
      </c>
      <c r="W220" s="185" t="s">
        <v>114</v>
      </c>
      <c r="X220" s="205">
        <v>44545</v>
      </c>
      <c r="Y220" s="205"/>
      <c r="Z220" s="205">
        <v>44545</v>
      </c>
      <c r="AA220" s="205"/>
      <c r="AB220" s="205">
        <v>44562</v>
      </c>
      <c r="AC220" s="205"/>
      <c r="AD220" s="205"/>
      <c r="AE220" s="205"/>
      <c r="AF220" s="205"/>
      <c r="AG220" s="205"/>
      <c r="AH220" s="207"/>
      <c r="AI220" s="208" t="s">
        <v>69</v>
      </c>
      <c r="AJ220" s="208" t="s">
        <v>142</v>
      </c>
      <c r="AK220" s="209" t="s">
        <v>5931</v>
      </c>
      <c r="AL220" s="209"/>
      <c r="AM220" s="209">
        <v>44516</v>
      </c>
      <c r="AN220" s="209"/>
      <c r="AO220" s="199">
        <f t="shared" ca="1" si="31"/>
        <v>44958</v>
      </c>
      <c r="AP220" s="208">
        <f t="shared" ca="1" si="32"/>
        <v>442</v>
      </c>
      <c r="AQ220" s="208">
        <f t="shared" ca="1" si="30"/>
        <v>396</v>
      </c>
      <c r="AR220" s="209"/>
      <c r="AS220" s="209" t="s">
        <v>5950</v>
      </c>
      <c r="AT220" s="210">
        <v>10.54</v>
      </c>
      <c r="AU220" s="210">
        <v>10.55</v>
      </c>
      <c r="AV220" s="210">
        <v>10.574999999999999</v>
      </c>
      <c r="AW220" s="210">
        <v>10.58</v>
      </c>
      <c r="AX220" s="200">
        <f t="shared" ca="1" si="29"/>
        <v>413</v>
      </c>
      <c r="BA220" s="200" t="s">
        <v>123</v>
      </c>
      <c r="BN220" s="211"/>
    </row>
    <row r="221" spans="1:66" s="200" customFormat="1" ht="18" customHeight="1" x14ac:dyDescent="0.25">
      <c r="A221" s="199"/>
      <c r="B221" s="204">
        <f ca="1">IF(A221="",(IF(ISNUMBER(SUBSTITUTE(LEFT(RIGHT(E221,LEN(E221)-MIN(SEARCH({1,2,3,4,5,6,7,8,9,0},E221&amp;"1234567890"))+1),10),".","/"))=TRUE,AO221-(SUBSTITUTE(LEFT(RIGHT(E221,LEN(E221)-MIN(SEARCH({1,2,3,4,5,6,7,8,9,0},E221&amp;"1234567890"))+1),10),".","/")),IF((SUBSTITUTE(LEFT(RIGHT(E221,LEN(E221)-MIN(SEARCH({1,2,3,4,5,6,7,8,9,0},E221&amp;"1234567890"))+1),10),".","/"))="","",(AO221)-(MID(RIGHT((SUBSTITUTE(LEFT(RIGHT(E221,LEN(E221)-MIN(SEARCH({1,2,3,4,5,6,7,8,9,0},E221&amp;"1234567890"))+1),10),".","/")),10),4,2)&amp;"/"&amp;LEFT((RIGHT((SUBSTITUTE(LEFT(RIGHT(E221,LEN(E221)-MIN(SEARCH({1,2,3,4,5,6,7,8,9,0},E221&amp;"1234567890"))+1),10),".","/")),10)),2)&amp;"/"&amp;RIGHT((SUBSTITUTE(LEFT(RIGHT(E221,LEN(E221)-MIN(SEARCH({1,2,3,4,5,6,7,8,9,0},E221&amp;"1234567890"))+1),10),".","/")),4))))),(AO221-A221))</f>
        <v>393</v>
      </c>
      <c r="C221" s="199"/>
      <c r="D221" s="201" t="str">
        <f t="shared" si="33"/>
        <v>FGC-316L/2B-1.00X36</v>
      </c>
      <c r="E221" s="201" t="s">
        <v>5971</v>
      </c>
      <c r="F221" s="201" t="s">
        <v>5972</v>
      </c>
      <c r="G221" s="201" t="s">
        <v>5973</v>
      </c>
      <c r="H221" s="201" t="s">
        <v>135</v>
      </c>
      <c r="I221" s="202" t="s">
        <v>114</v>
      </c>
      <c r="J221" s="203">
        <v>3.5</v>
      </c>
      <c r="K221" s="203">
        <v>1</v>
      </c>
      <c r="L221" s="203">
        <v>0.99</v>
      </c>
      <c r="M221" s="203">
        <v>1.01</v>
      </c>
      <c r="N221" s="204">
        <v>770</v>
      </c>
      <c r="O221" s="381">
        <f>10.55-10.13</f>
        <v>0.41999999999999993</v>
      </c>
      <c r="P221" s="413"/>
      <c r="Q221" s="185">
        <v>36</v>
      </c>
      <c r="R221" s="430"/>
      <c r="S221" s="414"/>
      <c r="T221" s="371"/>
      <c r="U221" s="206" t="s">
        <v>115</v>
      </c>
      <c r="V221" s="206" t="s">
        <v>5962</v>
      </c>
      <c r="W221" s="185" t="s">
        <v>114</v>
      </c>
      <c r="X221" s="205">
        <v>44546</v>
      </c>
      <c r="Y221" s="205"/>
      <c r="Z221" s="205">
        <v>44546</v>
      </c>
      <c r="AA221" s="205"/>
      <c r="AB221" s="205">
        <v>44562</v>
      </c>
      <c r="AC221" s="205"/>
      <c r="AD221" s="205"/>
      <c r="AE221" s="205"/>
      <c r="AF221" s="205"/>
      <c r="AG221" s="205"/>
      <c r="AH221" s="207"/>
      <c r="AI221" s="208" t="s">
        <v>69</v>
      </c>
      <c r="AJ221" s="208" t="s">
        <v>142</v>
      </c>
      <c r="AK221" s="209" t="s">
        <v>648</v>
      </c>
      <c r="AL221" s="209"/>
      <c r="AM221" s="209">
        <v>44496</v>
      </c>
      <c r="AN221" s="209"/>
      <c r="AO221" s="199">
        <f t="shared" ca="1" si="31"/>
        <v>44958</v>
      </c>
      <c r="AP221" s="208">
        <f t="shared" ca="1" si="32"/>
        <v>462</v>
      </c>
      <c r="AQ221" s="208">
        <f t="shared" ca="1" si="30"/>
        <v>396</v>
      </c>
      <c r="AR221" s="209"/>
      <c r="AS221" s="209" t="s">
        <v>5953</v>
      </c>
      <c r="AT221" s="210">
        <v>10.62</v>
      </c>
      <c r="AU221" s="210">
        <v>10.63</v>
      </c>
      <c r="AV221" s="210">
        <v>10.654999999999999</v>
      </c>
      <c r="AW221" s="210">
        <v>10.66</v>
      </c>
      <c r="AX221" s="200">
        <f t="shared" ca="1" si="29"/>
        <v>412</v>
      </c>
      <c r="BA221" s="200" t="s">
        <v>123</v>
      </c>
      <c r="BN221" s="211"/>
    </row>
    <row r="222" spans="1:66" s="200" customFormat="1" ht="18" customHeight="1" x14ac:dyDescent="0.25">
      <c r="A222" s="199"/>
      <c r="B222" s="204">
        <f ca="1">IF(A222="",(IF(ISNUMBER(SUBSTITUTE(LEFT(RIGHT(E222,LEN(E222)-MIN(SEARCH({1,2,3,4,5,6,7,8,9,0},E222&amp;"1234567890"))+1),10),".","/"))=TRUE,AO222-(SUBSTITUTE(LEFT(RIGHT(E222,LEN(E222)-MIN(SEARCH({1,2,3,4,5,6,7,8,9,0},E222&amp;"1234567890"))+1),10),".","/")),IF((SUBSTITUTE(LEFT(RIGHT(E222,LEN(E222)-MIN(SEARCH({1,2,3,4,5,6,7,8,9,0},E222&amp;"1234567890"))+1),10),".","/"))="","",(AO222)-(MID(RIGHT((SUBSTITUTE(LEFT(RIGHT(E222,LEN(E222)-MIN(SEARCH({1,2,3,4,5,6,7,8,9,0},E222&amp;"1234567890"))+1),10),".","/")),10),4,2)&amp;"/"&amp;LEFT((RIGHT((SUBSTITUTE(LEFT(RIGHT(E222,LEN(E222)-MIN(SEARCH({1,2,3,4,5,6,7,8,9,0},E222&amp;"1234567890"))+1),10),".","/")),10)),2)&amp;"/"&amp;RIGHT((SUBSTITUTE(LEFT(RIGHT(E222,LEN(E222)-MIN(SEARCH({1,2,3,4,5,6,7,8,9,0},E222&amp;"1234567890"))+1),10),".","/")),4))))),(AO222-A222))</f>
        <v>393</v>
      </c>
      <c r="C222" s="199"/>
      <c r="D222" s="201" t="str">
        <f t="shared" si="33"/>
        <v>FGC-316L/2B-1.00X36</v>
      </c>
      <c r="E222" s="201" t="s">
        <v>5971</v>
      </c>
      <c r="F222" s="201" t="s">
        <v>5974</v>
      </c>
      <c r="G222" s="201" t="s">
        <v>5975</v>
      </c>
      <c r="H222" s="201" t="s">
        <v>135</v>
      </c>
      <c r="I222" s="202" t="s">
        <v>114</v>
      </c>
      <c r="J222" s="203">
        <v>3.8</v>
      </c>
      <c r="K222" s="203">
        <v>1</v>
      </c>
      <c r="L222" s="203">
        <v>0.98</v>
      </c>
      <c r="M222" s="203">
        <v>1.02</v>
      </c>
      <c r="N222" s="204">
        <v>777</v>
      </c>
      <c r="O222" s="381">
        <f>10.37-9.855</f>
        <v>0.51499999999999879</v>
      </c>
      <c r="P222" s="413"/>
      <c r="Q222" s="185">
        <v>36</v>
      </c>
      <c r="R222" s="430"/>
      <c r="S222" s="414"/>
      <c r="T222" s="371"/>
      <c r="U222" s="206" t="s">
        <v>115</v>
      </c>
      <c r="V222" s="206" t="s">
        <v>5962</v>
      </c>
      <c r="W222" s="185" t="s">
        <v>114</v>
      </c>
      <c r="X222" s="205">
        <v>44544</v>
      </c>
      <c r="Y222" s="205"/>
      <c r="Z222" s="205">
        <v>44545</v>
      </c>
      <c r="AA222" s="205"/>
      <c r="AB222" s="205">
        <v>44563</v>
      </c>
      <c r="AC222" s="205"/>
      <c r="AD222" s="205"/>
      <c r="AE222" s="205"/>
      <c r="AF222" s="205"/>
      <c r="AG222" s="205"/>
      <c r="AH222" s="207"/>
      <c r="AI222" s="208" t="s">
        <v>69</v>
      </c>
      <c r="AJ222" s="208" t="s">
        <v>142</v>
      </c>
      <c r="AK222" s="209" t="s">
        <v>5931</v>
      </c>
      <c r="AL222" s="209"/>
      <c r="AM222" s="209">
        <v>44516</v>
      </c>
      <c r="AN222" s="209"/>
      <c r="AO222" s="199">
        <f t="shared" ca="1" si="31"/>
        <v>44958</v>
      </c>
      <c r="AP222" s="208">
        <f t="shared" ca="1" si="32"/>
        <v>442</v>
      </c>
      <c r="AQ222" s="208">
        <f t="shared" ca="1" si="30"/>
        <v>395</v>
      </c>
      <c r="AR222" s="209"/>
      <c r="AS222" s="209" t="s">
        <v>5976</v>
      </c>
      <c r="AT222" s="210">
        <v>10.525</v>
      </c>
      <c r="AU222" s="210">
        <v>10.535</v>
      </c>
      <c r="AV222" s="210">
        <v>10.559999999999999</v>
      </c>
      <c r="AW222" s="210">
        <v>10.565</v>
      </c>
      <c r="AX222" s="200">
        <f t="shared" ca="1" si="29"/>
        <v>413</v>
      </c>
      <c r="BA222" s="200" t="s">
        <v>123</v>
      </c>
      <c r="BN222" s="211"/>
    </row>
    <row r="223" spans="1:66" s="200" customFormat="1" ht="18" customHeight="1" x14ac:dyDescent="0.25">
      <c r="A223" s="199"/>
      <c r="B223" s="204">
        <f ca="1">IF(A223="",(IF(ISNUMBER(SUBSTITUTE(LEFT(RIGHT(E223,LEN(E223)-MIN(SEARCH({1,2,3,4,5,6,7,8,9,0},E223&amp;"1234567890"))+1),10),".","/"))=TRUE,AO223-(SUBSTITUTE(LEFT(RIGHT(E223,LEN(E223)-MIN(SEARCH({1,2,3,4,5,6,7,8,9,0},E223&amp;"1234567890"))+1),10),".","/")),IF((SUBSTITUTE(LEFT(RIGHT(E223,LEN(E223)-MIN(SEARCH({1,2,3,4,5,6,7,8,9,0},E223&amp;"1234567890"))+1),10),".","/"))="","",(AO223)-(MID(RIGHT((SUBSTITUTE(LEFT(RIGHT(E223,LEN(E223)-MIN(SEARCH({1,2,3,4,5,6,7,8,9,0},E223&amp;"1234567890"))+1),10),".","/")),10),4,2)&amp;"/"&amp;LEFT((RIGHT((SUBSTITUTE(LEFT(RIGHT(E223,LEN(E223)-MIN(SEARCH({1,2,3,4,5,6,7,8,9,0},E223&amp;"1234567890"))+1),10),".","/")),10)),2)&amp;"/"&amp;RIGHT((SUBSTITUTE(LEFT(RIGHT(E223,LEN(E223)-MIN(SEARCH({1,2,3,4,5,6,7,8,9,0},E223&amp;"1234567890"))+1),10),".","/")),4))))),(AO223-A223))</f>
        <v>394</v>
      </c>
      <c r="C223" s="199"/>
      <c r="D223" s="201" t="str">
        <f t="shared" si="33"/>
        <v>FGC-316L/2B-1.00X36</v>
      </c>
      <c r="E223" s="201" t="s">
        <v>5959</v>
      </c>
      <c r="F223" s="201" t="s">
        <v>5977</v>
      </c>
      <c r="G223" s="201" t="s">
        <v>5978</v>
      </c>
      <c r="H223" s="201" t="s">
        <v>135</v>
      </c>
      <c r="I223" s="202" t="s">
        <v>114</v>
      </c>
      <c r="J223" s="203">
        <v>3.48</v>
      </c>
      <c r="K223" s="203">
        <v>1</v>
      </c>
      <c r="L223" s="203">
        <v>0.98</v>
      </c>
      <c r="M223" s="203">
        <v>1</v>
      </c>
      <c r="N223" s="204">
        <v>771</v>
      </c>
      <c r="O223" s="381">
        <f>10.405-9.99</f>
        <v>0.41499999999999915</v>
      </c>
      <c r="P223" s="413"/>
      <c r="Q223" s="185">
        <v>36</v>
      </c>
      <c r="R223" s="430"/>
      <c r="S223" s="414"/>
      <c r="T223" s="371"/>
      <c r="U223" s="206" t="s">
        <v>115</v>
      </c>
      <c r="V223" s="206" t="s">
        <v>5962</v>
      </c>
      <c r="W223" s="185" t="s">
        <v>114</v>
      </c>
      <c r="X223" s="205">
        <v>44545</v>
      </c>
      <c r="Y223" s="205"/>
      <c r="Z223" s="205">
        <v>44545</v>
      </c>
      <c r="AA223" s="205"/>
      <c r="AB223" s="205">
        <v>44563</v>
      </c>
      <c r="AC223" s="205"/>
      <c r="AD223" s="205"/>
      <c r="AE223" s="205"/>
      <c r="AF223" s="205"/>
      <c r="AG223" s="205"/>
      <c r="AH223" s="207"/>
      <c r="AI223" s="208" t="s">
        <v>69</v>
      </c>
      <c r="AJ223" s="208" t="s">
        <v>142</v>
      </c>
      <c r="AK223" s="209" t="s">
        <v>5931</v>
      </c>
      <c r="AL223" s="209"/>
      <c r="AM223" s="209">
        <v>44516</v>
      </c>
      <c r="AN223" s="209"/>
      <c r="AO223" s="199">
        <f t="shared" ca="1" si="31"/>
        <v>44958</v>
      </c>
      <c r="AP223" s="208">
        <f t="shared" ca="1" si="32"/>
        <v>442</v>
      </c>
      <c r="AQ223" s="208">
        <f t="shared" ca="1" si="30"/>
        <v>395</v>
      </c>
      <c r="AR223" s="209"/>
      <c r="AS223" s="209" t="s">
        <v>5968</v>
      </c>
      <c r="AT223" s="210">
        <v>10.49</v>
      </c>
      <c r="AU223" s="210">
        <v>10.5</v>
      </c>
      <c r="AV223" s="210">
        <v>10.524999999999999</v>
      </c>
      <c r="AW223" s="210">
        <v>10.53</v>
      </c>
      <c r="AX223" s="200">
        <f t="shared" ca="1" si="29"/>
        <v>413</v>
      </c>
      <c r="BA223" s="200" t="s">
        <v>123</v>
      </c>
      <c r="BN223" s="211"/>
    </row>
    <row r="224" spans="1:66" s="200" customFormat="1" ht="18" customHeight="1" x14ac:dyDescent="0.25">
      <c r="A224" s="199"/>
      <c r="B224" s="204">
        <f ca="1">IF(A224="",(IF(ISNUMBER(SUBSTITUTE(LEFT(RIGHT(E224,LEN(E224)-MIN(SEARCH({1,2,3,4,5,6,7,8,9,0},E224&amp;"1234567890"))+1),10),".","/"))=TRUE,AO224-(SUBSTITUTE(LEFT(RIGHT(E224,LEN(E224)-MIN(SEARCH({1,2,3,4,5,6,7,8,9,0},E224&amp;"1234567890"))+1),10),".","/")),IF((SUBSTITUTE(LEFT(RIGHT(E224,LEN(E224)-MIN(SEARCH({1,2,3,4,5,6,7,8,9,0},E224&amp;"1234567890"))+1),10),".","/"))="","",(AO224)-(MID(RIGHT((SUBSTITUTE(LEFT(RIGHT(E224,LEN(E224)-MIN(SEARCH({1,2,3,4,5,6,7,8,9,0},E224&amp;"1234567890"))+1),10),".","/")),10),4,2)&amp;"/"&amp;LEFT((RIGHT((SUBSTITUTE(LEFT(RIGHT(E224,LEN(E224)-MIN(SEARCH({1,2,3,4,5,6,7,8,9,0},E224&amp;"1234567890"))+1),10),".","/")),10)),2)&amp;"/"&amp;RIGHT((SUBSTITUTE(LEFT(RIGHT(E224,LEN(E224)-MIN(SEARCH({1,2,3,4,5,6,7,8,9,0},E224&amp;"1234567890"))+1),10),".","/")),4))))),(AO224-A224))</f>
        <v>394</v>
      </c>
      <c r="C224" s="199"/>
      <c r="D224" s="201" t="str">
        <f t="shared" si="33"/>
        <v>FGC-316L/2B-1.00X36</v>
      </c>
      <c r="E224" s="201" t="s">
        <v>5959</v>
      </c>
      <c r="F224" s="201" t="s">
        <v>5979</v>
      </c>
      <c r="G224" s="201" t="s">
        <v>5980</v>
      </c>
      <c r="H224" s="201" t="s">
        <v>135</v>
      </c>
      <c r="I224" s="202" t="s">
        <v>114</v>
      </c>
      <c r="J224" s="203">
        <v>3.79</v>
      </c>
      <c r="K224" s="203">
        <v>1</v>
      </c>
      <c r="L224" s="203">
        <v>0.98</v>
      </c>
      <c r="M224" s="203">
        <v>1.02</v>
      </c>
      <c r="N224" s="204">
        <v>770</v>
      </c>
      <c r="O224" s="381">
        <f>10.465-10.06</f>
        <v>0.40499999999999936</v>
      </c>
      <c r="P224" s="413"/>
      <c r="Q224" s="185">
        <v>36</v>
      </c>
      <c r="R224" s="430"/>
      <c r="S224" s="414"/>
      <c r="T224" s="371"/>
      <c r="U224" s="206" t="s">
        <v>115</v>
      </c>
      <c r="V224" s="206" t="s">
        <v>5962</v>
      </c>
      <c r="W224" s="185" t="s">
        <v>114</v>
      </c>
      <c r="X224" s="205">
        <v>44545</v>
      </c>
      <c r="Y224" s="205"/>
      <c r="Z224" s="205">
        <v>44545</v>
      </c>
      <c r="AA224" s="205"/>
      <c r="AB224" s="205">
        <v>44562</v>
      </c>
      <c r="AC224" s="205"/>
      <c r="AD224" s="205"/>
      <c r="AE224" s="205"/>
      <c r="AF224" s="205"/>
      <c r="AG224" s="205"/>
      <c r="AH224" s="207"/>
      <c r="AI224" s="208" t="s">
        <v>69</v>
      </c>
      <c r="AJ224" s="208" t="s">
        <v>142</v>
      </c>
      <c r="AK224" s="209" t="s">
        <v>5931</v>
      </c>
      <c r="AL224" s="209"/>
      <c r="AM224" s="209">
        <v>44516</v>
      </c>
      <c r="AN224" s="209"/>
      <c r="AO224" s="199">
        <f t="shared" ca="1" si="31"/>
        <v>44958</v>
      </c>
      <c r="AP224" s="208">
        <f t="shared" ca="1" si="32"/>
        <v>442</v>
      </c>
      <c r="AQ224" s="208">
        <f t="shared" ca="1" si="30"/>
        <v>396</v>
      </c>
      <c r="AR224" s="209"/>
      <c r="AS224" s="209" t="s">
        <v>5981</v>
      </c>
      <c r="AT224" s="210">
        <v>10.555</v>
      </c>
      <c r="AU224" s="210">
        <v>10.565</v>
      </c>
      <c r="AV224" s="210">
        <v>10.589999999999998</v>
      </c>
      <c r="AW224" s="210">
        <v>10.594999999999999</v>
      </c>
      <c r="AX224" s="200">
        <f t="shared" ca="1" si="29"/>
        <v>413</v>
      </c>
      <c r="BA224" s="200" t="s">
        <v>123</v>
      </c>
      <c r="BN224" s="211"/>
    </row>
    <row r="225" spans="1:66" s="200" customFormat="1" ht="18.75" customHeight="1" x14ac:dyDescent="0.25">
      <c r="A225" s="199"/>
      <c r="B225" s="204">
        <f ca="1">IF(A225="",(IF(ISNUMBER(SUBSTITUTE(LEFT(RIGHT(E225,LEN(E225)-MIN(SEARCH({1,2,3,4,5,6,7,8,9,0},E225&amp;"1234567890"))+1),10),".","/"))=TRUE,AO225-(SUBSTITUTE(LEFT(RIGHT(E225,LEN(E225)-MIN(SEARCH({1,2,3,4,5,6,7,8,9,0},E225&amp;"1234567890"))+1),10),".","/")),IF((SUBSTITUTE(LEFT(RIGHT(E225,LEN(E225)-MIN(SEARCH({1,2,3,4,5,6,7,8,9,0},E225&amp;"1234567890"))+1),10),".","/"))="","",(AO225)-(MID(RIGHT((SUBSTITUTE(LEFT(RIGHT(E225,LEN(E225)-MIN(SEARCH({1,2,3,4,5,6,7,8,9,0},E225&amp;"1234567890"))+1),10),".","/")),10),4,2)&amp;"/"&amp;LEFT((RIGHT((SUBSTITUTE(LEFT(RIGHT(E225,LEN(E225)-MIN(SEARCH({1,2,3,4,5,6,7,8,9,0},E225&amp;"1234567890"))+1),10),".","/")),10)),2)&amp;"/"&amp;RIGHT((SUBSTITUTE(LEFT(RIGHT(E225,LEN(E225)-MIN(SEARCH({1,2,3,4,5,6,7,8,9,0},E225&amp;"1234567890"))+1),10),".","/")),4))))),(AO225-A225))</f>
        <v>393</v>
      </c>
      <c r="C225" s="199"/>
      <c r="D225" s="201" t="str">
        <f t="shared" si="33"/>
        <v>FGC-316L/2B-1.00X36</v>
      </c>
      <c r="E225" s="201" t="s">
        <v>5971</v>
      </c>
      <c r="F225" s="201" t="s">
        <v>5982</v>
      </c>
      <c r="G225" s="201" t="s">
        <v>5983</v>
      </c>
      <c r="H225" s="201" t="s">
        <v>135</v>
      </c>
      <c r="I225" s="202" t="s">
        <v>114</v>
      </c>
      <c r="J225" s="203">
        <v>3.81</v>
      </c>
      <c r="K225" s="203">
        <v>1</v>
      </c>
      <c r="L225" s="203">
        <v>1</v>
      </c>
      <c r="M225" s="203">
        <v>1.02</v>
      </c>
      <c r="N225" s="204">
        <v>777</v>
      </c>
      <c r="O225" s="381">
        <f>10.385-9.91</f>
        <v>0.47499999999999964</v>
      </c>
      <c r="P225" s="413"/>
      <c r="Q225" s="185">
        <v>36</v>
      </c>
      <c r="R225" s="430"/>
      <c r="S225" s="414"/>
      <c r="T225" s="371"/>
      <c r="U225" s="206" t="s">
        <v>115</v>
      </c>
      <c r="V225" s="206" t="s">
        <v>5962</v>
      </c>
      <c r="W225" s="185" t="s">
        <v>114</v>
      </c>
      <c r="X225" s="205">
        <v>44545</v>
      </c>
      <c r="Y225" s="205"/>
      <c r="Z225" s="205">
        <v>44546</v>
      </c>
      <c r="AA225" s="205"/>
      <c r="AB225" s="205">
        <v>44562</v>
      </c>
      <c r="AC225" s="205"/>
      <c r="AD225" s="205"/>
      <c r="AE225" s="205"/>
      <c r="AF225" s="205"/>
      <c r="AG225" s="205"/>
      <c r="AH225" s="207"/>
      <c r="AI225" s="208" t="s">
        <v>69</v>
      </c>
      <c r="AJ225" s="208" t="s">
        <v>142</v>
      </c>
      <c r="AK225" s="209" t="s">
        <v>5931</v>
      </c>
      <c r="AL225" s="209"/>
      <c r="AM225" s="209">
        <v>44516</v>
      </c>
      <c r="AN225" s="209"/>
      <c r="AO225" s="199">
        <f t="shared" ca="1" si="31"/>
        <v>44958</v>
      </c>
      <c r="AP225" s="208">
        <f t="shared" ca="1" si="32"/>
        <v>442</v>
      </c>
      <c r="AQ225" s="208">
        <f t="shared" ca="1" si="30"/>
        <v>396</v>
      </c>
      <c r="AR225" s="209"/>
      <c r="AS225" s="209" t="s">
        <v>5965</v>
      </c>
      <c r="AT225" s="210">
        <v>10.46</v>
      </c>
      <c r="AU225" s="210">
        <v>10.47</v>
      </c>
      <c r="AV225" s="210">
        <v>10.494999999999999</v>
      </c>
      <c r="AW225" s="210">
        <v>10.5</v>
      </c>
      <c r="AX225" s="200">
        <f t="shared" ca="1" si="29"/>
        <v>412</v>
      </c>
      <c r="BA225" s="200" t="s">
        <v>123</v>
      </c>
      <c r="BN225" s="211"/>
    </row>
    <row r="226" spans="1:66" s="200" customFormat="1" ht="18" customHeight="1" x14ac:dyDescent="0.25">
      <c r="A226" s="199"/>
      <c r="B226" s="204">
        <f ca="1">IF(A226="",(IF(ISNUMBER(SUBSTITUTE(LEFT(RIGHT(E226,LEN(E226)-MIN(SEARCH({1,2,3,4,5,6,7,8,9,0},E226&amp;"1234567890"))+1),10),".","/"))=TRUE,AO226-(SUBSTITUTE(LEFT(RIGHT(E226,LEN(E226)-MIN(SEARCH({1,2,3,4,5,6,7,8,9,0},E226&amp;"1234567890"))+1),10),".","/")),IF((SUBSTITUTE(LEFT(RIGHT(E226,LEN(E226)-MIN(SEARCH({1,2,3,4,5,6,7,8,9,0},E226&amp;"1234567890"))+1),10),".","/"))="","",(AO226)-(MID(RIGHT((SUBSTITUTE(LEFT(RIGHT(E226,LEN(E226)-MIN(SEARCH({1,2,3,4,5,6,7,8,9,0},E226&amp;"1234567890"))+1),10),".","/")),10),4,2)&amp;"/"&amp;LEFT((RIGHT((SUBSTITUTE(LEFT(RIGHT(E226,LEN(E226)-MIN(SEARCH({1,2,3,4,5,6,7,8,9,0},E226&amp;"1234567890"))+1),10),".","/")),10)),2)&amp;"/"&amp;RIGHT((SUBSTITUTE(LEFT(RIGHT(E226,LEN(E226)-MIN(SEARCH({1,2,3,4,5,6,7,8,9,0},E226&amp;"1234567890"))+1),10),".","/")),4))))),(AO226-A226))</f>
        <v>393</v>
      </c>
      <c r="C226" s="199"/>
      <c r="D226" s="201" t="str">
        <f t="shared" si="33"/>
        <v>FGC-316L/2B-1.00X36</v>
      </c>
      <c r="E226" s="201" t="s">
        <v>5971</v>
      </c>
      <c r="F226" s="201" t="s">
        <v>5984</v>
      </c>
      <c r="G226" s="201" t="s">
        <v>5985</v>
      </c>
      <c r="H226" s="201" t="s">
        <v>135</v>
      </c>
      <c r="I226" s="202" t="s">
        <v>114</v>
      </c>
      <c r="J226" s="203">
        <v>3.79</v>
      </c>
      <c r="K226" s="203">
        <v>1</v>
      </c>
      <c r="L226" s="203">
        <v>0.98</v>
      </c>
      <c r="M226" s="203">
        <v>1</v>
      </c>
      <c r="N226" s="204">
        <v>771</v>
      </c>
      <c r="O226" s="381">
        <f>10.465-10.035</f>
        <v>0.42999999999999972</v>
      </c>
      <c r="P226" s="413"/>
      <c r="Q226" s="185">
        <v>36</v>
      </c>
      <c r="R226" s="430"/>
      <c r="S226" s="414"/>
      <c r="T226" s="371"/>
      <c r="U226" s="206" t="s">
        <v>115</v>
      </c>
      <c r="V226" s="206" t="s">
        <v>5962</v>
      </c>
      <c r="W226" s="185" t="s">
        <v>114</v>
      </c>
      <c r="X226" s="205">
        <v>44544</v>
      </c>
      <c r="Y226" s="205"/>
      <c r="Z226" s="205">
        <v>44545</v>
      </c>
      <c r="AA226" s="205"/>
      <c r="AB226" s="205">
        <v>44562</v>
      </c>
      <c r="AC226" s="205"/>
      <c r="AD226" s="205"/>
      <c r="AE226" s="205"/>
      <c r="AF226" s="205"/>
      <c r="AG226" s="205"/>
      <c r="AH226" s="207"/>
      <c r="AI226" s="208" t="s">
        <v>69</v>
      </c>
      <c r="AJ226" s="208" t="s">
        <v>142</v>
      </c>
      <c r="AK226" s="209" t="s">
        <v>5931</v>
      </c>
      <c r="AL226" s="209"/>
      <c r="AM226" s="209">
        <v>44516</v>
      </c>
      <c r="AN226" s="209"/>
      <c r="AO226" s="199">
        <f t="shared" ca="1" si="31"/>
        <v>44958</v>
      </c>
      <c r="AP226" s="208">
        <f t="shared" ca="1" si="32"/>
        <v>442</v>
      </c>
      <c r="AQ226" s="208">
        <f t="shared" ca="1" si="30"/>
        <v>396</v>
      </c>
      <c r="AR226" s="209"/>
      <c r="AS226" s="209" t="s">
        <v>5981</v>
      </c>
      <c r="AT226" s="210">
        <v>10.565</v>
      </c>
      <c r="AU226" s="210">
        <v>10.574999999999999</v>
      </c>
      <c r="AV226" s="210">
        <v>10.599999999999998</v>
      </c>
      <c r="AW226" s="210">
        <v>10.604999999999999</v>
      </c>
      <c r="AX226" s="200">
        <f t="shared" ca="1" si="29"/>
        <v>413</v>
      </c>
      <c r="BA226" s="200" t="s">
        <v>123</v>
      </c>
      <c r="BN226" s="211"/>
    </row>
    <row r="227" spans="1:66" s="200" customFormat="1" ht="18" customHeight="1" x14ac:dyDescent="0.25">
      <c r="A227" s="199">
        <v>44796</v>
      </c>
      <c r="B227" s="204">
        <f ca="1">IF(A227="",(IF(ISNUMBER(SUBSTITUTE(LEFT(RIGHT(E227,LEN(E227)-MIN(SEARCH({1,2,3,4,5,6,7,8,9,0},E227&amp;"1234567890"))+1),10),".","/"))=TRUE,AO227-(SUBSTITUTE(LEFT(RIGHT(E227,LEN(E227)-MIN(SEARCH({1,2,3,4,5,6,7,8,9,0},E227&amp;"1234567890"))+1),10),".","/")),IF((SUBSTITUTE(LEFT(RIGHT(E227,LEN(E227)-MIN(SEARCH({1,2,3,4,5,6,7,8,9,0},E227&amp;"1234567890"))+1),10),".","/"))="","",(AO227)-(MID(RIGHT((SUBSTITUTE(LEFT(RIGHT(E227,LEN(E227)-MIN(SEARCH({1,2,3,4,5,6,7,8,9,0},E227&amp;"1234567890"))+1),10),".","/")),10),4,2)&amp;"/"&amp;LEFT((RIGHT((SUBSTITUTE(LEFT(RIGHT(E227,LEN(E227)-MIN(SEARCH({1,2,3,4,5,6,7,8,9,0},E227&amp;"1234567890"))+1),10),".","/")),10)),2)&amp;"/"&amp;RIGHT((SUBSTITUTE(LEFT(RIGHT(E227,LEN(E227)-MIN(SEARCH({1,2,3,4,5,6,7,8,9,0},E227&amp;"1234567890"))+1),10),".","/")),4))))),(AO227-A227))</f>
        <v>162</v>
      </c>
      <c r="C227" s="199"/>
      <c r="D227" s="201" t="str">
        <f t="shared" si="33"/>
        <v>FGC-304L/2B-1.25X760</v>
      </c>
      <c r="E227" s="201" t="s">
        <v>5986</v>
      </c>
      <c r="F227" s="201" t="s">
        <v>5987</v>
      </c>
      <c r="G227" s="201" t="s">
        <v>5988</v>
      </c>
      <c r="H227" s="201" t="s">
        <v>182</v>
      </c>
      <c r="I227" s="202" t="s">
        <v>114</v>
      </c>
      <c r="J227" s="203">
        <v>3.79</v>
      </c>
      <c r="K227" s="203">
        <v>1.25</v>
      </c>
      <c r="L227" s="203">
        <v>1.24</v>
      </c>
      <c r="M227" s="203">
        <v>1.26</v>
      </c>
      <c r="N227" s="204">
        <v>768</v>
      </c>
      <c r="O227" s="381">
        <v>3.24</v>
      </c>
      <c r="P227" s="413">
        <v>3.2749999999999999</v>
      </c>
      <c r="Q227" s="185">
        <v>760</v>
      </c>
      <c r="R227" s="430"/>
      <c r="S227" s="414"/>
      <c r="T227" s="371"/>
      <c r="U227" s="206" t="s">
        <v>115</v>
      </c>
      <c r="V227" s="206"/>
      <c r="W227" s="185" t="s">
        <v>114</v>
      </c>
      <c r="X227" s="205">
        <v>44795</v>
      </c>
      <c r="Y227" s="205"/>
      <c r="Z227" s="205">
        <v>44795</v>
      </c>
      <c r="AA227" s="205"/>
      <c r="AB227" s="205">
        <v>44796</v>
      </c>
      <c r="AC227" s="205"/>
      <c r="AD227" s="205"/>
      <c r="AE227" s="205"/>
      <c r="AF227" s="205"/>
      <c r="AG227" s="205"/>
      <c r="AH227" s="207" t="s">
        <v>1244</v>
      </c>
      <c r="AI227" s="208" t="s">
        <v>69</v>
      </c>
      <c r="AJ227" s="208" t="s">
        <v>142</v>
      </c>
      <c r="AK227" s="209" t="s">
        <v>1053</v>
      </c>
      <c r="AL227" s="209"/>
      <c r="AM227" s="209">
        <v>44785</v>
      </c>
      <c r="AN227" s="209"/>
      <c r="AO227" s="199">
        <f t="shared" ca="1" si="31"/>
        <v>44958</v>
      </c>
      <c r="AP227" s="208">
        <f t="shared" ca="1" si="32"/>
        <v>173</v>
      </c>
      <c r="AQ227" s="208">
        <f t="shared" ca="1" si="30"/>
        <v>162</v>
      </c>
      <c r="AR227" s="209"/>
      <c r="AS227" s="209" t="s">
        <v>5989</v>
      </c>
      <c r="AT227" s="210">
        <v>12.205</v>
      </c>
      <c r="AU227" s="210">
        <v>12.215</v>
      </c>
      <c r="AV227" s="210">
        <v>12.239999999999998</v>
      </c>
      <c r="AW227" s="210">
        <v>12.244999999999999</v>
      </c>
      <c r="AY227" s="200">
        <v>447</v>
      </c>
      <c r="BA227" s="200" t="s">
        <v>123</v>
      </c>
      <c r="BN227" s="211"/>
    </row>
    <row r="228" spans="1:66" s="200" customFormat="1" ht="18.75" customHeight="1" x14ac:dyDescent="0.25">
      <c r="A228" s="199">
        <v>44799</v>
      </c>
      <c r="B228" s="204">
        <f ca="1">IF(A228="",(IF(ISNUMBER(SUBSTITUTE(LEFT(RIGHT(E228,LEN(E228)-MIN(SEARCH({1,2,3,4,5,6,7,8,9,0},E228&amp;"1234567890"))+1),10),".","/"))=TRUE,AO228-(SUBSTITUTE(LEFT(RIGHT(E228,LEN(E228)-MIN(SEARCH({1,2,3,4,5,6,7,8,9,0},E228&amp;"1234567890"))+1),10),".","/")),IF((SUBSTITUTE(LEFT(RIGHT(E228,LEN(E228)-MIN(SEARCH({1,2,3,4,5,6,7,8,9,0},E228&amp;"1234567890"))+1),10),".","/"))="","",(AO228)-(MID(RIGHT((SUBSTITUTE(LEFT(RIGHT(E228,LEN(E228)-MIN(SEARCH({1,2,3,4,5,6,7,8,9,0},E228&amp;"1234567890"))+1),10),".","/")),10),4,2)&amp;"/"&amp;LEFT((RIGHT((SUBSTITUTE(LEFT(RIGHT(E228,LEN(E228)-MIN(SEARCH({1,2,3,4,5,6,7,8,9,0},E228&amp;"1234567890"))+1),10),".","/")),10)),2)&amp;"/"&amp;RIGHT((SUBSTITUTE(LEFT(RIGHT(E228,LEN(E228)-MIN(SEARCH({1,2,3,4,5,6,7,8,9,0},E228&amp;"1234567890"))+1),10),".","/")),4))))),(AO228-A228))</f>
        <v>159</v>
      </c>
      <c r="C228" s="199"/>
      <c r="D228" s="201" t="str">
        <f t="shared" si="33"/>
        <v>FGC-304L/2B-1.30X760</v>
      </c>
      <c r="E228" s="201" t="s">
        <v>5990</v>
      </c>
      <c r="F228" s="201" t="s">
        <v>5991</v>
      </c>
      <c r="G228" s="201" t="s">
        <v>5992</v>
      </c>
      <c r="H228" s="201" t="s">
        <v>182</v>
      </c>
      <c r="I228" s="202" t="s">
        <v>114</v>
      </c>
      <c r="J228" s="203">
        <v>3.48</v>
      </c>
      <c r="K228" s="203">
        <v>1.3</v>
      </c>
      <c r="L228" s="203">
        <v>1.28</v>
      </c>
      <c r="M228" s="203">
        <v>1.32</v>
      </c>
      <c r="N228" s="204">
        <v>767</v>
      </c>
      <c r="O228" s="381">
        <v>5.83</v>
      </c>
      <c r="P228" s="413">
        <v>5.87</v>
      </c>
      <c r="Q228" s="185">
        <v>760</v>
      </c>
      <c r="R228" s="430"/>
      <c r="S228" s="414"/>
      <c r="T228" s="371"/>
      <c r="U228" s="206" t="s">
        <v>115</v>
      </c>
      <c r="V228" s="206" t="s">
        <v>5993</v>
      </c>
      <c r="W228" s="185" t="s">
        <v>114</v>
      </c>
      <c r="X228" s="205">
        <v>44797</v>
      </c>
      <c r="Y228" s="205"/>
      <c r="Z228" s="205">
        <v>44797</v>
      </c>
      <c r="AA228" s="205"/>
      <c r="AB228" s="205">
        <v>44798</v>
      </c>
      <c r="AC228" s="205"/>
      <c r="AD228" s="205"/>
      <c r="AE228" s="205"/>
      <c r="AF228" s="205"/>
      <c r="AG228" s="205"/>
      <c r="AH228" s="207" t="s">
        <v>5994</v>
      </c>
      <c r="AI228" s="208" t="s">
        <v>69</v>
      </c>
      <c r="AJ228" s="208" t="s">
        <v>142</v>
      </c>
      <c r="AK228" s="209" t="s">
        <v>1215</v>
      </c>
      <c r="AL228" s="209"/>
      <c r="AM228" s="209">
        <v>44785</v>
      </c>
      <c r="AN228" s="209"/>
      <c r="AO228" s="199">
        <f t="shared" ca="1" si="31"/>
        <v>44958</v>
      </c>
      <c r="AP228" s="208">
        <f t="shared" ca="1" si="32"/>
        <v>173</v>
      </c>
      <c r="AQ228" s="208">
        <f t="shared" ca="1" si="30"/>
        <v>160</v>
      </c>
      <c r="AR228" s="209"/>
      <c r="AS228" s="209" t="s">
        <v>5995</v>
      </c>
      <c r="AT228" s="210">
        <v>10.41</v>
      </c>
      <c r="AU228" s="210">
        <v>10.42</v>
      </c>
      <c r="AV228" s="210">
        <v>10.444999999999999</v>
      </c>
      <c r="AW228" s="210">
        <v>10.45</v>
      </c>
      <c r="AY228" s="200">
        <v>447</v>
      </c>
      <c r="BA228" s="200" t="s">
        <v>123</v>
      </c>
      <c r="BN228" s="211"/>
    </row>
    <row r="229" spans="1:66" s="200" customFormat="1" ht="18" customHeight="1" x14ac:dyDescent="0.25">
      <c r="A229" s="199">
        <v>44908</v>
      </c>
      <c r="B229" s="204">
        <f ca="1">IF(A229="",(IF(ISNUMBER(SUBSTITUTE(LEFT(RIGHT(E229,LEN(E229)-MIN(SEARCH({1,2,3,4,5,6,7,8,9,0},E229&amp;"1234567890"))+1),10),".","/"))=TRUE,AO229-(SUBSTITUTE(LEFT(RIGHT(E229,LEN(E229)-MIN(SEARCH({1,2,3,4,5,6,7,8,9,0},E229&amp;"1234567890"))+1),10),".","/")),IF((SUBSTITUTE(LEFT(RIGHT(E229,LEN(E229)-MIN(SEARCH({1,2,3,4,5,6,7,8,9,0},E229&amp;"1234567890"))+1),10),".","/"))="","",(AO229)-(MID(RIGHT((SUBSTITUTE(LEFT(RIGHT(E229,LEN(E229)-MIN(SEARCH({1,2,3,4,5,6,7,8,9,0},E229&amp;"1234567890"))+1),10),".","/")),10),4,2)&amp;"/"&amp;LEFT((RIGHT((SUBSTITUTE(LEFT(RIGHT(E229,LEN(E229)-MIN(SEARCH({1,2,3,4,5,6,7,8,9,0},E229&amp;"1234567890"))+1),10),".","/")),10)),2)&amp;"/"&amp;RIGHT((SUBSTITUTE(LEFT(RIGHT(E229,LEN(E229)-MIN(SEARCH({1,2,3,4,5,6,7,8,9,0},E229&amp;"1234567890"))+1),10),".","/")),4))))),(AO229-A229))</f>
        <v>50</v>
      </c>
      <c r="C229" s="199"/>
      <c r="D229" s="201" t="str">
        <f t="shared" si="33"/>
        <v>FGC-304L/2B-1.50X620</v>
      </c>
      <c r="E229" s="201" t="s">
        <v>5996</v>
      </c>
      <c r="F229" s="201" t="s">
        <v>5997</v>
      </c>
      <c r="G229" s="201" t="s">
        <v>5998</v>
      </c>
      <c r="H229" s="201" t="s">
        <v>182</v>
      </c>
      <c r="I229" s="202" t="s">
        <v>114</v>
      </c>
      <c r="J229" s="203">
        <v>3.79</v>
      </c>
      <c r="K229" s="203">
        <v>1.5</v>
      </c>
      <c r="L229" s="203"/>
      <c r="M229" s="203"/>
      <c r="N229" s="204">
        <v>643</v>
      </c>
      <c r="O229" s="381">
        <v>3.96</v>
      </c>
      <c r="P229" s="413">
        <v>4.01</v>
      </c>
      <c r="Q229" s="185">
        <v>620</v>
      </c>
      <c r="R229" s="430"/>
      <c r="S229" s="414"/>
      <c r="T229" s="371"/>
      <c r="U229" s="206" t="s">
        <v>115</v>
      </c>
      <c r="V229" s="206"/>
      <c r="W229" s="185" t="s">
        <v>114</v>
      </c>
      <c r="X229" s="205">
        <v>44902</v>
      </c>
      <c r="Y229" s="205"/>
      <c r="Z229" s="205">
        <v>44902</v>
      </c>
      <c r="AA229" s="205"/>
      <c r="AB229" s="205"/>
      <c r="AC229" s="205"/>
      <c r="AD229" s="205"/>
      <c r="AE229" s="205"/>
      <c r="AF229" s="205"/>
      <c r="AG229" s="205"/>
      <c r="AH229" s="207" t="s">
        <v>1609</v>
      </c>
      <c r="AI229" s="208" t="s">
        <v>69</v>
      </c>
      <c r="AJ229" s="208" t="s">
        <v>142</v>
      </c>
      <c r="AK229" s="209" t="s">
        <v>1594</v>
      </c>
      <c r="AL229" s="209"/>
      <c r="AM229" s="209">
        <v>44849</v>
      </c>
      <c r="AN229" s="209"/>
      <c r="AO229" s="199">
        <f t="shared" ca="1" si="31"/>
        <v>44958</v>
      </c>
      <c r="AP229" s="208">
        <f t="shared" ca="1" si="32"/>
        <v>109</v>
      </c>
      <c r="AQ229" s="208" t="str">
        <f t="shared" si="30"/>
        <v/>
      </c>
      <c r="AR229" s="209"/>
      <c r="AS229" s="209" t="s">
        <v>4090</v>
      </c>
      <c r="AT229" s="210">
        <v>9.8650000000000002</v>
      </c>
      <c r="AU229" s="210">
        <v>9.875</v>
      </c>
      <c r="AV229" s="210">
        <v>9.8999999999999986</v>
      </c>
      <c r="AW229" s="210">
        <v>9.9049999999999994</v>
      </c>
      <c r="AX229" s="200">
        <f ca="1">IF(ISNUMBER(Z229)=TRUE,AO229-Z229,IF(Z229="","",(AO229)-(MID(RIGHT(Z229,10),4,2)&amp;"/"&amp;LEFT((RIGHT(Z229,10)),2)&amp;"/"&amp;RIGHT(Z229,4))))</f>
        <v>56</v>
      </c>
      <c r="AY229" s="200">
        <v>456</v>
      </c>
      <c r="BA229" s="200" t="s">
        <v>123</v>
      </c>
      <c r="BN229" s="211"/>
    </row>
    <row r="230" spans="1:66" s="200" customFormat="1" ht="18.75" customHeight="1" x14ac:dyDescent="0.25">
      <c r="A230" s="199">
        <v>44903</v>
      </c>
      <c r="B230" s="204"/>
      <c r="C230" s="199"/>
      <c r="D230" s="201" t="str">
        <f t="shared" si="33"/>
        <v>FGC-316L/NO.1-0.00X629</v>
      </c>
      <c r="E230" s="201" t="s">
        <v>5999</v>
      </c>
      <c r="F230" s="201" t="s">
        <v>6000</v>
      </c>
      <c r="G230" s="201" t="s">
        <v>6001</v>
      </c>
      <c r="H230" s="201" t="s">
        <v>135</v>
      </c>
      <c r="I230" s="202" t="s">
        <v>127</v>
      </c>
      <c r="J230" s="203">
        <v>3.14</v>
      </c>
      <c r="K230" s="203"/>
      <c r="L230" s="203"/>
      <c r="M230" s="203"/>
      <c r="N230" s="204">
        <v>1257</v>
      </c>
      <c r="O230" s="381">
        <v>5.2050000000000001</v>
      </c>
      <c r="P230" s="413">
        <v>5.25</v>
      </c>
      <c r="Q230" s="185">
        <v>629</v>
      </c>
      <c r="R230" s="430"/>
      <c r="S230" s="414"/>
      <c r="T230" s="371"/>
      <c r="U230" s="206" t="s">
        <v>115</v>
      </c>
      <c r="V230" s="206" t="s">
        <v>6002</v>
      </c>
      <c r="W230" s="185"/>
      <c r="X230" s="205"/>
      <c r="Y230" s="205"/>
      <c r="Z230" s="205"/>
      <c r="AA230" s="205"/>
      <c r="AB230" s="205"/>
      <c r="AC230" s="205"/>
      <c r="AD230" s="205"/>
      <c r="AE230" s="205"/>
      <c r="AF230" s="205"/>
      <c r="AG230" s="205"/>
      <c r="AH230" s="207" t="s">
        <v>2374</v>
      </c>
      <c r="AI230" s="208" t="s">
        <v>69</v>
      </c>
      <c r="AJ230" s="208" t="s">
        <v>142</v>
      </c>
      <c r="AK230" s="209" t="s">
        <v>1887</v>
      </c>
      <c r="AL230" s="209"/>
      <c r="AM230" s="209">
        <v>44880</v>
      </c>
      <c r="AN230" s="209"/>
      <c r="AO230" s="199">
        <f t="shared" ca="1" si="31"/>
        <v>44958</v>
      </c>
      <c r="AP230" s="208">
        <f t="shared" ca="1" si="32"/>
        <v>78</v>
      </c>
      <c r="AQ230" s="208" t="str">
        <f t="shared" si="30"/>
        <v/>
      </c>
      <c r="AR230" s="209"/>
      <c r="AS230" s="209" t="s">
        <v>6003</v>
      </c>
      <c r="AT230" s="210">
        <v>21.844999999999999</v>
      </c>
      <c r="AU230" s="210">
        <v>21.9</v>
      </c>
      <c r="AV230" s="210">
        <v>21.925000000000001</v>
      </c>
      <c r="AW230" s="210">
        <v>21.93</v>
      </c>
      <c r="AX230" s="200">
        <f ca="1">IF(ISNUMBER(Q230)=TRUE,AO230-Q230,IF(Q230="","",(AO230)-(MID(RIGHT(Q230,10),4,2)&amp;"/"&amp;LEFT((RIGHT(Q230,10)),2)&amp;"/"&amp;RIGHT(Q230,4))))</f>
        <v>44329</v>
      </c>
      <c r="AY230" s="200">
        <v>460</v>
      </c>
      <c r="BA230" s="200" t="s">
        <v>123</v>
      </c>
      <c r="BN230" s="211"/>
    </row>
    <row r="231" spans="1:66" s="200" customFormat="1" ht="18.75" customHeight="1" x14ac:dyDescent="0.25">
      <c r="A231" s="199">
        <v>44903</v>
      </c>
      <c r="B231" s="204"/>
      <c r="C231" s="199"/>
      <c r="D231" s="201" t="str">
        <f t="shared" si="33"/>
        <v>FGC-316L/NO.1-0.00X628</v>
      </c>
      <c r="E231" s="201" t="s">
        <v>5999</v>
      </c>
      <c r="F231" s="201" t="s">
        <v>6000</v>
      </c>
      <c r="G231" s="201" t="s">
        <v>6004</v>
      </c>
      <c r="H231" s="201" t="s">
        <v>135</v>
      </c>
      <c r="I231" s="202" t="s">
        <v>127</v>
      </c>
      <c r="J231" s="203">
        <v>3.14</v>
      </c>
      <c r="K231" s="203"/>
      <c r="L231" s="203"/>
      <c r="M231" s="203"/>
      <c r="N231" s="204">
        <v>1257</v>
      </c>
      <c r="O231" s="381">
        <v>5.7149999999999999</v>
      </c>
      <c r="P231" s="413">
        <v>5.7649999999999997</v>
      </c>
      <c r="Q231" s="185">
        <v>628</v>
      </c>
      <c r="R231" s="430"/>
      <c r="S231" s="414"/>
      <c r="T231" s="371"/>
      <c r="U231" s="206" t="s">
        <v>115</v>
      </c>
      <c r="V231" s="206" t="s">
        <v>6002</v>
      </c>
      <c r="W231" s="185"/>
      <c r="X231" s="205"/>
      <c r="Y231" s="205"/>
      <c r="Z231" s="205"/>
      <c r="AA231" s="205"/>
      <c r="AB231" s="205"/>
      <c r="AC231" s="205"/>
      <c r="AD231" s="205"/>
      <c r="AE231" s="205"/>
      <c r="AF231" s="205"/>
      <c r="AG231" s="205"/>
      <c r="AH231" s="207" t="s">
        <v>2374</v>
      </c>
      <c r="AI231" s="208" t="s">
        <v>69</v>
      </c>
      <c r="AJ231" s="208" t="s">
        <v>142</v>
      </c>
      <c r="AK231" s="209" t="s">
        <v>1887</v>
      </c>
      <c r="AL231" s="209"/>
      <c r="AM231" s="209">
        <v>44880</v>
      </c>
      <c r="AN231" s="209"/>
      <c r="AO231" s="199">
        <f t="shared" ca="1" si="31"/>
        <v>44958</v>
      </c>
      <c r="AP231" s="208">
        <f t="shared" ca="1" si="32"/>
        <v>78</v>
      </c>
      <c r="AQ231" s="208" t="str">
        <f t="shared" si="30"/>
        <v/>
      </c>
      <c r="AR231" s="209"/>
      <c r="AS231" s="209" t="s">
        <v>6003</v>
      </c>
      <c r="AT231" s="210">
        <v>21.844999999999999</v>
      </c>
      <c r="AU231" s="210">
        <v>21.9</v>
      </c>
      <c r="AV231" s="210">
        <v>21.925000000000001</v>
      </c>
      <c r="AW231" s="210">
        <v>21.93</v>
      </c>
      <c r="AX231" s="200">
        <f ca="1">IF(ISNUMBER(Q231)=TRUE,AO231-Q231,IF(Q231="","",(AO231)-(MID(RIGHT(Q231,10),4,2)&amp;"/"&amp;LEFT((RIGHT(Q231,10)),2)&amp;"/"&amp;RIGHT(Q231,4))))</f>
        <v>44330</v>
      </c>
      <c r="AY231" s="200">
        <v>460</v>
      </c>
      <c r="BA231" s="200" t="s">
        <v>123</v>
      </c>
      <c r="BN231" s="211"/>
    </row>
    <row r="232" spans="1:66" s="200" customFormat="1" ht="18.75" customHeight="1" x14ac:dyDescent="0.25">
      <c r="A232" s="199">
        <v>44903</v>
      </c>
      <c r="B232" s="204"/>
      <c r="C232" s="199"/>
      <c r="D232" s="201" t="str">
        <f t="shared" si="33"/>
        <v>FGC-316L/NO.1-0.00X629</v>
      </c>
      <c r="E232" s="201" t="s">
        <v>5999</v>
      </c>
      <c r="F232" s="201" t="s">
        <v>6000</v>
      </c>
      <c r="G232" s="201" t="s">
        <v>6005</v>
      </c>
      <c r="H232" s="201" t="s">
        <v>135</v>
      </c>
      <c r="I232" s="202" t="s">
        <v>127</v>
      </c>
      <c r="J232" s="203">
        <v>3.14</v>
      </c>
      <c r="K232" s="203"/>
      <c r="L232" s="203"/>
      <c r="M232" s="203"/>
      <c r="N232" s="204">
        <v>1257</v>
      </c>
      <c r="O232" s="381">
        <v>5.71</v>
      </c>
      <c r="P232" s="413">
        <v>5.76</v>
      </c>
      <c r="Q232" s="185">
        <v>629</v>
      </c>
      <c r="R232" s="430"/>
      <c r="S232" s="414"/>
      <c r="T232" s="371"/>
      <c r="U232" s="206" t="s">
        <v>115</v>
      </c>
      <c r="V232" s="206" t="s">
        <v>6002</v>
      </c>
      <c r="W232" s="185"/>
      <c r="X232" s="205"/>
      <c r="Y232" s="205"/>
      <c r="Z232" s="205"/>
      <c r="AA232" s="205"/>
      <c r="AB232" s="205"/>
      <c r="AC232" s="205"/>
      <c r="AD232" s="205"/>
      <c r="AE232" s="205"/>
      <c r="AF232" s="205"/>
      <c r="AG232" s="205"/>
      <c r="AH232" s="207" t="s">
        <v>2374</v>
      </c>
      <c r="AI232" s="208" t="s">
        <v>69</v>
      </c>
      <c r="AJ232" s="208" t="s">
        <v>142</v>
      </c>
      <c r="AK232" s="209" t="s">
        <v>1887</v>
      </c>
      <c r="AL232" s="209"/>
      <c r="AM232" s="209">
        <v>44880</v>
      </c>
      <c r="AN232" s="209"/>
      <c r="AO232" s="199">
        <f t="shared" ca="1" si="31"/>
        <v>44958</v>
      </c>
      <c r="AP232" s="208">
        <f t="shared" ca="1" si="32"/>
        <v>78</v>
      </c>
      <c r="AQ232" s="208" t="str">
        <f t="shared" si="30"/>
        <v/>
      </c>
      <c r="AR232" s="209"/>
      <c r="AS232" s="209" t="s">
        <v>6003</v>
      </c>
      <c r="AT232" s="210">
        <v>21.844999999999999</v>
      </c>
      <c r="AU232" s="210">
        <v>21.9</v>
      </c>
      <c r="AV232" s="210">
        <v>21.925000000000001</v>
      </c>
      <c r="AW232" s="210">
        <v>21.93</v>
      </c>
      <c r="AX232" s="200">
        <f ca="1">IF(ISNUMBER(Q232)=TRUE,AO232-Q232,IF(Q232="","",(AO232)-(MID(RIGHT(Q232,10),4,2)&amp;"/"&amp;LEFT((RIGHT(Q232,10)),2)&amp;"/"&amp;RIGHT(Q232,4))))</f>
        <v>44329</v>
      </c>
      <c r="AY232" s="200">
        <v>460</v>
      </c>
      <c r="BA232" s="200" t="s">
        <v>123</v>
      </c>
      <c r="BN232" s="211"/>
    </row>
    <row r="233" spans="1:66" s="200" customFormat="1" ht="18.75" customHeight="1" x14ac:dyDescent="0.25">
      <c r="A233" s="199">
        <v>44917</v>
      </c>
      <c r="B233" s="204">
        <f ca="1">IF(A233="",(IF(ISNUMBER(SUBSTITUTE(LEFT(RIGHT(E233,LEN(E233)-MIN(SEARCH({1,2,3,4,5,6,7,8,9,0},E233&amp;"1234567890"))+1),10),".","/"))=TRUE,AO233-(SUBSTITUTE(LEFT(RIGHT(E233,LEN(E233)-MIN(SEARCH({1,2,3,4,5,6,7,8,9,0},E233&amp;"1234567890"))+1),10),".","/")),IF((SUBSTITUTE(LEFT(RIGHT(E233,LEN(E233)-MIN(SEARCH({1,2,3,4,5,6,7,8,9,0},E233&amp;"1234567890"))+1),10),".","/"))="","",(AO233)-(MID(RIGHT((SUBSTITUTE(LEFT(RIGHT(E233,LEN(E233)-MIN(SEARCH({1,2,3,4,5,6,7,8,9,0},E233&amp;"1234567890"))+1),10),".","/")),10),4,2)&amp;"/"&amp;LEFT((RIGHT((SUBSTITUTE(LEFT(RIGHT(E233,LEN(E233)-MIN(SEARCH({1,2,3,4,5,6,7,8,9,0},E233&amp;"1234567890"))+1),10),".","/")),10)),2)&amp;"/"&amp;RIGHT((SUBSTITUTE(LEFT(RIGHT(E233,LEN(E233)-MIN(SEARCH({1,2,3,4,5,6,7,8,9,0},E233&amp;"1234567890"))+1),10),".","/")),4))))),(AO233-A233))</f>
        <v>41</v>
      </c>
      <c r="C233" s="199"/>
      <c r="D233" s="201" t="str">
        <f t="shared" si="33"/>
        <v>FGC-304/2B-0.70X760</v>
      </c>
      <c r="E233" s="201" t="s">
        <v>6006</v>
      </c>
      <c r="F233" s="201" t="s">
        <v>6007</v>
      </c>
      <c r="G233" s="201" t="s">
        <v>6008</v>
      </c>
      <c r="H233" s="201">
        <v>304</v>
      </c>
      <c r="I233" s="202" t="s">
        <v>114</v>
      </c>
      <c r="J233" s="203">
        <v>2.78</v>
      </c>
      <c r="K233" s="203">
        <v>0.7</v>
      </c>
      <c r="L233" s="203">
        <v>0.68</v>
      </c>
      <c r="M233" s="203">
        <v>0.7</v>
      </c>
      <c r="N233" s="204">
        <v>765</v>
      </c>
      <c r="O233" s="381">
        <v>5.9349999999999996</v>
      </c>
      <c r="P233" s="413">
        <v>5.97</v>
      </c>
      <c r="Q233" s="185">
        <v>760</v>
      </c>
      <c r="R233" s="430"/>
      <c r="S233" s="414"/>
      <c r="T233" s="371"/>
      <c r="U233" s="206" t="s">
        <v>115</v>
      </c>
      <c r="V233" s="206"/>
      <c r="W233" s="185" t="s">
        <v>114</v>
      </c>
      <c r="X233" s="205">
        <v>44915</v>
      </c>
      <c r="Y233" s="205"/>
      <c r="Z233" s="205">
        <v>44916</v>
      </c>
      <c r="AA233" s="205"/>
      <c r="AB233" s="205">
        <v>44916</v>
      </c>
      <c r="AC233" s="205"/>
      <c r="AD233" s="205"/>
      <c r="AE233" s="205"/>
      <c r="AF233" s="205"/>
      <c r="AG233" s="205"/>
      <c r="AH233" s="207" t="s">
        <v>4437</v>
      </c>
      <c r="AI233" s="208" t="s">
        <v>69</v>
      </c>
      <c r="AJ233" s="208" t="s">
        <v>142</v>
      </c>
      <c r="AK233" s="209" t="s">
        <v>1887</v>
      </c>
      <c r="AL233" s="209"/>
      <c r="AM233" s="209">
        <v>44880</v>
      </c>
      <c r="AN233" s="209"/>
      <c r="AO233" s="199">
        <f t="shared" ca="1" si="31"/>
        <v>44958</v>
      </c>
      <c r="AP233" s="208">
        <f t="shared" ca="1" si="32"/>
        <v>78</v>
      </c>
      <c r="AQ233" s="208">
        <f t="shared" ca="1" si="30"/>
        <v>42</v>
      </c>
      <c r="AR233" s="209"/>
      <c r="AS233" s="209" t="s">
        <v>6009</v>
      </c>
      <c r="AT233" s="210">
        <v>10.225</v>
      </c>
      <c r="AU233" s="210">
        <v>10.234999999999999</v>
      </c>
      <c r="AV233" s="210">
        <v>10.259999999999998</v>
      </c>
      <c r="AW233" s="210">
        <v>10.264999999999999</v>
      </c>
      <c r="AX233" s="200">
        <f t="shared" ref="AX233:AX238" ca="1" si="34">IF(ISNUMBER(Z233)=TRUE,AO233-Z233,IF(Z233="","",(AO233)-(MID(RIGHT(Z233,10),4,2)&amp;"/"&amp;LEFT((RIGHT(Z233,10)),2)&amp;"/"&amp;RIGHT(Z233,4))))</f>
        <v>42</v>
      </c>
      <c r="AY233" s="200">
        <v>459</v>
      </c>
      <c r="BA233" s="200" t="s">
        <v>123</v>
      </c>
      <c r="BN233" s="211"/>
    </row>
    <row r="234" spans="1:66" s="200" customFormat="1" ht="18.75" customHeight="1" x14ac:dyDescent="0.25">
      <c r="A234" s="199">
        <v>44944</v>
      </c>
      <c r="B234" s="204">
        <f ca="1">IF(A234="",(IF(ISNUMBER(SUBSTITUTE(LEFT(RIGHT(E234,LEN(E234)-MIN(SEARCH({1,2,3,4,5,6,7,8,9,0},E234&amp;"1234567890"))+1),10),".","/"))=TRUE,AO234-(SUBSTITUTE(LEFT(RIGHT(E234,LEN(E234)-MIN(SEARCH({1,2,3,4,5,6,7,8,9,0},E234&amp;"1234567890"))+1),10),".","/")),IF((SUBSTITUTE(LEFT(RIGHT(E234,LEN(E234)-MIN(SEARCH({1,2,3,4,5,6,7,8,9,0},E234&amp;"1234567890"))+1),10),".","/"))="","",(AO234)-(MID(RIGHT((SUBSTITUTE(LEFT(RIGHT(E234,LEN(E234)-MIN(SEARCH({1,2,3,4,5,6,7,8,9,0},E234&amp;"1234567890"))+1),10),".","/")),10),4,2)&amp;"/"&amp;LEFT((RIGHT((SUBSTITUTE(LEFT(RIGHT(E234,LEN(E234)-MIN(SEARCH({1,2,3,4,5,6,7,8,9,0},E234&amp;"1234567890"))+1),10),".","/")),10)),2)&amp;"/"&amp;RIGHT((SUBSTITUTE(LEFT(RIGHT(E234,LEN(E234)-MIN(SEARCH({1,2,3,4,5,6,7,8,9,0},E234&amp;"1234567890"))+1),10),".","/")),4))))),(AO234-A234))</f>
        <v>14</v>
      </c>
      <c r="C234" s="199"/>
      <c r="D234" s="201" t="str">
        <f t="shared" si="33"/>
        <v>FGC-304/2B-1.10X760</v>
      </c>
      <c r="E234" s="201" t="s">
        <v>4679</v>
      </c>
      <c r="F234" s="201" t="s">
        <v>3911</v>
      </c>
      <c r="G234" s="201" t="s">
        <v>6010</v>
      </c>
      <c r="H234" s="201">
        <v>304</v>
      </c>
      <c r="I234" s="202" t="s">
        <v>114</v>
      </c>
      <c r="J234" s="203">
        <v>2.9</v>
      </c>
      <c r="K234" s="203">
        <v>1.1000000000000001</v>
      </c>
      <c r="L234" s="203">
        <v>1.07</v>
      </c>
      <c r="M234" s="203">
        <v>1.08</v>
      </c>
      <c r="N234" s="204">
        <v>777</v>
      </c>
      <c r="O234" s="381">
        <v>4.165</v>
      </c>
      <c r="P234" s="413">
        <v>4.2050000000000001</v>
      </c>
      <c r="Q234" s="185">
        <v>760</v>
      </c>
      <c r="R234" s="430"/>
      <c r="S234" s="414"/>
      <c r="T234" s="371"/>
      <c r="U234" s="206" t="s">
        <v>115</v>
      </c>
      <c r="V234" s="206"/>
      <c r="W234" s="185" t="s">
        <v>114</v>
      </c>
      <c r="X234" s="205">
        <v>44931</v>
      </c>
      <c r="Y234" s="205"/>
      <c r="Z234" s="205">
        <v>44931</v>
      </c>
      <c r="AA234" s="205"/>
      <c r="AB234" s="205"/>
      <c r="AC234" s="205"/>
      <c r="AD234" s="205"/>
      <c r="AE234" s="205">
        <v>44926</v>
      </c>
      <c r="AF234" s="205"/>
      <c r="AG234" s="205"/>
      <c r="AH234" s="207" t="s">
        <v>1345</v>
      </c>
      <c r="AI234" s="208" t="s">
        <v>69</v>
      </c>
      <c r="AJ234" s="208" t="s">
        <v>142</v>
      </c>
      <c r="AK234" s="209" t="s">
        <v>1346</v>
      </c>
      <c r="AL234" s="209"/>
      <c r="AM234" s="209">
        <v>44813</v>
      </c>
      <c r="AN234" s="209"/>
      <c r="AO234" s="199">
        <f t="shared" ca="1" si="31"/>
        <v>44958</v>
      </c>
      <c r="AP234" s="208">
        <f t="shared" ca="1" si="32"/>
        <v>145</v>
      </c>
      <c r="AQ234" s="208" t="str">
        <f t="shared" si="30"/>
        <v/>
      </c>
      <c r="AR234" s="209"/>
      <c r="AS234" s="209" t="s">
        <v>3913</v>
      </c>
      <c r="AT234" s="210">
        <v>20.73</v>
      </c>
      <c r="AU234" s="210">
        <v>20.79</v>
      </c>
      <c r="AV234" s="210">
        <v>20.815000000000001</v>
      </c>
      <c r="AW234" s="210">
        <v>20.82</v>
      </c>
      <c r="AX234" s="200">
        <f t="shared" ca="1" si="34"/>
        <v>27</v>
      </c>
      <c r="AY234" s="200">
        <v>451</v>
      </c>
      <c r="BN234" s="211"/>
    </row>
    <row r="235" spans="1:66" s="200" customFormat="1" ht="18.75" customHeight="1" x14ac:dyDescent="0.25">
      <c r="A235" s="199">
        <v>44941</v>
      </c>
      <c r="B235" s="204">
        <f ca="1">IF(A235="",(IF(ISNUMBER(SUBSTITUTE(LEFT(RIGHT(E235,LEN(E235)-MIN(SEARCH({1,2,3,4,5,6,7,8,9,0},E235&amp;"1234567890"))+1),10),".","/"))=TRUE,AO235-(SUBSTITUTE(LEFT(RIGHT(E235,LEN(E235)-MIN(SEARCH({1,2,3,4,5,6,7,8,9,0},E235&amp;"1234567890"))+1),10),".","/")),IF((SUBSTITUTE(LEFT(RIGHT(E235,LEN(E235)-MIN(SEARCH({1,2,3,4,5,6,7,8,9,0},E235&amp;"1234567890"))+1),10),".","/"))="","",(AO235)-(MID(RIGHT((SUBSTITUTE(LEFT(RIGHT(E235,LEN(E235)-MIN(SEARCH({1,2,3,4,5,6,7,8,9,0},E235&amp;"1234567890"))+1),10),".","/")),10),4,2)&amp;"/"&amp;LEFT((RIGHT((SUBSTITUTE(LEFT(RIGHT(E235,LEN(E235)-MIN(SEARCH({1,2,3,4,5,6,7,8,9,0},E235&amp;"1234567890"))+1),10),".","/")),10)),2)&amp;"/"&amp;RIGHT((SUBSTITUTE(LEFT(RIGHT(E235,LEN(E235)-MIN(SEARCH({1,2,3,4,5,6,7,8,9,0},E235&amp;"1234567890"))+1),10),".","/")),4))))),(AO235-A235))</f>
        <v>17</v>
      </c>
      <c r="C235" s="199"/>
      <c r="D235" s="201" t="str">
        <f t="shared" si="33"/>
        <v>FGC-304L/2B-0.80X760</v>
      </c>
      <c r="E235" s="201" t="s">
        <v>5228</v>
      </c>
      <c r="F235" s="201" t="s">
        <v>4722</v>
      </c>
      <c r="G235" s="201" t="s">
        <v>4729</v>
      </c>
      <c r="H235" s="201" t="s">
        <v>182</v>
      </c>
      <c r="I235" s="202" t="s">
        <v>114</v>
      </c>
      <c r="J235" s="203">
        <v>1.45</v>
      </c>
      <c r="K235" s="203">
        <v>0.8</v>
      </c>
      <c r="L235" s="203">
        <v>0.8</v>
      </c>
      <c r="M235" s="203">
        <v>0.82</v>
      </c>
      <c r="N235" s="204">
        <v>770</v>
      </c>
      <c r="O235" s="381">
        <v>3.88</v>
      </c>
      <c r="P235" s="413">
        <v>3.91</v>
      </c>
      <c r="Q235" s="185">
        <v>760</v>
      </c>
      <c r="R235" s="430"/>
      <c r="S235" s="414"/>
      <c r="T235" s="371"/>
      <c r="U235" s="206" t="s">
        <v>115</v>
      </c>
      <c r="V235" s="206" t="s">
        <v>6011</v>
      </c>
      <c r="W235" s="185" t="s">
        <v>114</v>
      </c>
      <c r="X235" s="205" t="s">
        <v>4725</v>
      </c>
      <c r="Y235" s="205"/>
      <c r="Z235" s="205" t="s">
        <v>4726</v>
      </c>
      <c r="AA235" s="205"/>
      <c r="AB235" s="205" t="s">
        <v>4730</v>
      </c>
      <c r="AC235" s="205"/>
      <c r="AD235" s="205">
        <v>44788</v>
      </c>
      <c r="AE235" s="205"/>
      <c r="AF235" s="205"/>
      <c r="AG235" s="205"/>
      <c r="AH235" s="207" t="s">
        <v>4727</v>
      </c>
      <c r="AI235" s="208" t="s">
        <v>69</v>
      </c>
      <c r="AJ235" s="208" t="s">
        <v>142</v>
      </c>
      <c r="AK235" s="209" t="s">
        <v>1215</v>
      </c>
      <c r="AL235" s="209"/>
      <c r="AM235" s="209">
        <v>44785</v>
      </c>
      <c r="AN235" s="209"/>
      <c r="AO235" s="199">
        <f t="shared" ca="1" si="31"/>
        <v>44958</v>
      </c>
      <c r="AP235" s="208">
        <f t="shared" ca="1" si="32"/>
        <v>173</v>
      </c>
      <c r="AQ235" s="208">
        <f t="shared" ca="1" si="30"/>
        <v>18</v>
      </c>
      <c r="AR235" s="209"/>
      <c r="AS235" s="209" t="s">
        <v>4728</v>
      </c>
      <c r="AT235" s="210">
        <v>12.01</v>
      </c>
      <c r="AU235" s="210">
        <v>12.02</v>
      </c>
      <c r="AV235" s="210">
        <v>12.044999999999998</v>
      </c>
      <c r="AW235" s="210">
        <v>12.049999999999999</v>
      </c>
      <c r="AX235" s="200">
        <f t="shared" ca="1" si="34"/>
        <v>44</v>
      </c>
      <c r="AY235" s="200">
        <v>447</v>
      </c>
      <c r="BA235" s="200" t="s">
        <v>123</v>
      </c>
      <c r="BN235" s="211"/>
    </row>
    <row r="236" spans="1:66" s="200" customFormat="1" ht="18.75" customHeight="1" x14ac:dyDescent="0.25">
      <c r="A236" s="199"/>
      <c r="B236" s="204"/>
      <c r="C236" s="199"/>
      <c r="D236" s="201" t="str">
        <f t="shared" si="33"/>
        <v>FGC-304L/2B-1.95X760</v>
      </c>
      <c r="E236" s="201" t="s">
        <v>5088</v>
      </c>
      <c r="F236" s="201" t="s">
        <v>1519</v>
      </c>
      <c r="G236" s="201" t="s">
        <v>5092</v>
      </c>
      <c r="H236" s="201" t="s">
        <v>182</v>
      </c>
      <c r="I236" s="202" t="s">
        <v>114</v>
      </c>
      <c r="J236" s="203">
        <v>3.8</v>
      </c>
      <c r="K236" s="203">
        <v>1.95</v>
      </c>
      <c r="L236" s="203"/>
      <c r="M236" s="203"/>
      <c r="N236" s="204">
        <v>767</v>
      </c>
      <c r="O236" s="381">
        <v>4.0199999999999996</v>
      </c>
      <c r="P236" s="413"/>
      <c r="Q236" s="185">
        <v>760</v>
      </c>
      <c r="R236" s="430"/>
      <c r="S236" s="414"/>
      <c r="T236" s="371"/>
      <c r="U236" s="206" t="s">
        <v>115</v>
      </c>
      <c r="V236" s="206"/>
      <c r="W236" s="185" t="s">
        <v>114</v>
      </c>
      <c r="X236" s="205">
        <v>44935</v>
      </c>
      <c r="Y236" s="205"/>
      <c r="Z236" s="205">
        <v>44935</v>
      </c>
      <c r="AA236" s="205"/>
      <c r="AB236" s="205"/>
      <c r="AC236" s="205"/>
      <c r="AD236" s="205"/>
      <c r="AE236" s="205">
        <v>44934</v>
      </c>
      <c r="AF236" s="205"/>
      <c r="AG236" s="205"/>
      <c r="AH236" s="207" t="s">
        <v>1507</v>
      </c>
      <c r="AI236" s="208" t="s">
        <v>69</v>
      </c>
      <c r="AJ236" s="208" t="s">
        <v>142</v>
      </c>
      <c r="AK236" s="209" t="s">
        <v>1508</v>
      </c>
      <c r="AL236" s="209"/>
      <c r="AM236" s="209">
        <v>44849</v>
      </c>
      <c r="AN236" s="209"/>
      <c r="AO236" s="199">
        <f t="shared" ca="1" si="31"/>
        <v>44958</v>
      </c>
      <c r="AP236" s="208">
        <f t="shared" ca="1" si="32"/>
        <v>109</v>
      </c>
      <c r="AQ236" s="208" t="str">
        <f t="shared" si="30"/>
        <v/>
      </c>
      <c r="AR236" s="209"/>
      <c r="AS236" s="209" t="s">
        <v>1521</v>
      </c>
      <c r="AT236" s="210">
        <v>24.605</v>
      </c>
      <c r="AU236" s="210">
        <v>24.664999999999999</v>
      </c>
      <c r="AV236" s="210">
        <v>24.69</v>
      </c>
      <c r="AW236" s="210">
        <v>24.695</v>
      </c>
      <c r="AX236" s="200">
        <f t="shared" ca="1" si="34"/>
        <v>23</v>
      </c>
      <c r="AY236" s="200">
        <v>456</v>
      </c>
      <c r="BA236" s="200" t="s">
        <v>123</v>
      </c>
      <c r="BN236" s="211"/>
    </row>
    <row r="237" spans="1:66" s="200" customFormat="1" ht="18.75" customHeight="1" x14ac:dyDescent="0.25">
      <c r="A237" s="199">
        <v>44956</v>
      </c>
      <c r="B237" s="204">
        <f ca="1">IF(A237="",(IF(ISNUMBER(SUBSTITUTE(LEFT(RIGHT(E237,LEN(E237)-MIN(SEARCH({1,2,3,4,5,6,7,8,9,0},E237&amp;"1234567890"))+1),10),".","/"))=TRUE,AO237-(SUBSTITUTE(LEFT(RIGHT(E237,LEN(E237)-MIN(SEARCH({1,2,3,4,5,6,7,8,9,0},E237&amp;"1234567890"))+1),10),".","/")),IF((SUBSTITUTE(LEFT(RIGHT(E237,LEN(E237)-MIN(SEARCH({1,2,3,4,5,6,7,8,9,0},E237&amp;"1234567890"))+1),10),".","/"))="","",(AO237)-(MID(RIGHT((SUBSTITUTE(LEFT(RIGHT(E237,LEN(E237)-MIN(SEARCH({1,2,3,4,5,6,7,8,9,0},E237&amp;"1234567890"))+1),10),".","/")),10),4,2)&amp;"/"&amp;LEFT((RIGHT((SUBSTITUTE(LEFT(RIGHT(E237,LEN(E237)-MIN(SEARCH({1,2,3,4,5,6,7,8,9,0},E237&amp;"1234567890"))+1),10),".","/")),10)),2)&amp;"/"&amp;RIGHT((SUBSTITUTE(LEFT(RIGHT(E237,LEN(E237)-MIN(SEARCH({1,2,3,4,5,6,7,8,9,0},E237&amp;"1234567890"))+1),10),".","/")),4))))),(AO237-A237))</f>
        <v>2</v>
      </c>
      <c r="C237" s="199"/>
      <c r="D237" s="201" t="str">
        <f t="shared" si="33"/>
        <v>FGC-304/2B-2.00X760</v>
      </c>
      <c r="E237" s="201" t="s">
        <v>4959</v>
      </c>
      <c r="F237" s="201" t="s">
        <v>4110</v>
      </c>
      <c r="G237" s="201" t="s">
        <v>6012</v>
      </c>
      <c r="H237" s="201">
        <v>304</v>
      </c>
      <c r="I237" s="202" t="s">
        <v>114</v>
      </c>
      <c r="J237" s="203">
        <v>3.94</v>
      </c>
      <c r="K237" s="203">
        <v>2</v>
      </c>
      <c r="L237" s="203">
        <v>1.98</v>
      </c>
      <c r="M237" s="203">
        <v>2.0099999999999998</v>
      </c>
      <c r="N237" s="204">
        <v>768</v>
      </c>
      <c r="O237" s="381">
        <v>4.0350000000000001</v>
      </c>
      <c r="P237" s="413">
        <v>4.0949999999999998</v>
      </c>
      <c r="Q237" s="185">
        <v>760</v>
      </c>
      <c r="R237" s="430"/>
      <c r="S237" s="414"/>
      <c r="T237" s="371"/>
      <c r="U237" s="206" t="s">
        <v>115</v>
      </c>
      <c r="V237" s="206"/>
      <c r="W237" s="185" t="s">
        <v>114</v>
      </c>
      <c r="X237" s="205">
        <v>44941</v>
      </c>
      <c r="Y237" s="205"/>
      <c r="Z237" s="205">
        <v>44942</v>
      </c>
      <c r="AA237" s="205"/>
      <c r="AB237" s="205"/>
      <c r="AC237" s="205"/>
      <c r="AD237" s="205"/>
      <c r="AE237" s="205"/>
      <c r="AF237" s="205"/>
      <c r="AG237" s="205"/>
      <c r="AH237" s="207" t="s">
        <v>2448</v>
      </c>
      <c r="AI237" s="208" t="s">
        <v>69</v>
      </c>
      <c r="AJ237" s="208" t="s">
        <v>142</v>
      </c>
      <c r="AK237" s="209" t="s">
        <v>1584</v>
      </c>
      <c r="AL237" s="209"/>
      <c r="AM237" s="209">
        <v>44914</v>
      </c>
      <c r="AN237" s="209"/>
      <c r="AO237" s="199">
        <f ca="1">TODAY()</f>
        <v>44958</v>
      </c>
      <c r="AP237" s="208">
        <f t="shared" ca="1" si="32"/>
        <v>44</v>
      </c>
      <c r="AQ237" s="208" t="str">
        <f t="shared" si="30"/>
        <v/>
      </c>
      <c r="AR237" s="209"/>
      <c r="AS237" s="209" t="s">
        <v>2564</v>
      </c>
      <c r="AT237" s="210">
        <v>9.6300000000000008</v>
      </c>
      <c r="AU237" s="210">
        <v>9.64</v>
      </c>
      <c r="AV237" s="210">
        <v>9.6649999999999991</v>
      </c>
      <c r="AW237" s="210">
        <v>9.67</v>
      </c>
      <c r="AX237" s="200">
        <f t="shared" ca="1" si="34"/>
        <v>16</v>
      </c>
      <c r="AY237" s="200">
        <v>462</v>
      </c>
      <c r="BA237" s="200" t="s">
        <v>123</v>
      </c>
      <c r="BN237" s="211"/>
    </row>
    <row r="238" spans="1:66" s="200" customFormat="1" ht="18.75" customHeight="1" x14ac:dyDescent="0.25">
      <c r="A238" s="199">
        <v>44956</v>
      </c>
      <c r="B238" s="204">
        <f ca="1">IF(A238="",(IF(ISNUMBER(SUBSTITUTE(LEFT(RIGHT(E238,LEN(E238)-MIN(SEARCH({1,2,3,4,5,6,7,8,9,0},E238&amp;"1234567890"))+1),10),".","/"))=TRUE,AO238-(SUBSTITUTE(LEFT(RIGHT(E238,LEN(E238)-MIN(SEARCH({1,2,3,4,5,6,7,8,9,0},E238&amp;"1234567890"))+1),10),".","/")),IF((SUBSTITUTE(LEFT(RIGHT(E238,LEN(E238)-MIN(SEARCH({1,2,3,4,5,6,7,8,9,0},E238&amp;"1234567890"))+1),10),".","/"))="","",(AO238)-(MID(RIGHT((SUBSTITUTE(LEFT(RIGHT(E238,LEN(E238)-MIN(SEARCH({1,2,3,4,5,6,7,8,9,0},E238&amp;"1234567890"))+1),10),".","/")),10),4,2)&amp;"/"&amp;LEFT((RIGHT((SUBSTITUTE(LEFT(RIGHT(E238,LEN(E238)-MIN(SEARCH({1,2,3,4,5,6,7,8,9,0},E238&amp;"1234567890"))+1),10),".","/")),10)),2)&amp;"/"&amp;RIGHT((SUBSTITUTE(LEFT(RIGHT(E238,LEN(E238)-MIN(SEARCH({1,2,3,4,5,6,7,8,9,0},E238&amp;"1234567890"))+1),10),".","/")),4))))),(AO238-A238))</f>
        <v>2</v>
      </c>
      <c r="C238" s="199"/>
      <c r="D238" s="201" t="str">
        <f t="shared" si="33"/>
        <v>FGC-304/2B-1.00X760</v>
      </c>
      <c r="E238" s="201" t="s">
        <v>4959</v>
      </c>
      <c r="F238" s="201" t="s">
        <v>4177</v>
      </c>
      <c r="G238" s="201" t="s">
        <v>6013</v>
      </c>
      <c r="H238" s="201">
        <v>304</v>
      </c>
      <c r="I238" s="202" t="s">
        <v>114</v>
      </c>
      <c r="J238" s="203">
        <v>2.9</v>
      </c>
      <c r="K238" s="203">
        <v>1</v>
      </c>
      <c r="L238" s="203">
        <v>0.98</v>
      </c>
      <c r="M238" s="203">
        <v>1.03</v>
      </c>
      <c r="N238" s="204">
        <v>768</v>
      </c>
      <c r="O238" s="381">
        <v>5.93</v>
      </c>
      <c r="P238" s="413">
        <v>5.97</v>
      </c>
      <c r="Q238" s="185">
        <v>760</v>
      </c>
      <c r="R238" s="430"/>
      <c r="S238" s="414"/>
      <c r="T238" s="371"/>
      <c r="U238" s="206" t="s">
        <v>115</v>
      </c>
      <c r="V238" s="206"/>
      <c r="W238" s="185" t="s">
        <v>114</v>
      </c>
      <c r="X238" s="205">
        <v>44946</v>
      </c>
      <c r="Y238" s="205"/>
      <c r="Z238" s="205">
        <v>44946</v>
      </c>
      <c r="AA238" s="205"/>
      <c r="AB238" s="205"/>
      <c r="AC238" s="205"/>
      <c r="AD238" s="205"/>
      <c r="AE238" s="205"/>
      <c r="AF238" s="205"/>
      <c r="AG238" s="205"/>
      <c r="AH238" s="207" t="s">
        <v>2448</v>
      </c>
      <c r="AI238" s="208" t="s">
        <v>69</v>
      </c>
      <c r="AJ238" s="208" t="s">
        <v>142</v>
      </c>
      <c r="AK238" s="209" t="s">
        <v>1584</v>
      </c>
      <c r="AL238" s="209"/>
      <c r="AM238" s="209">
        <v>44914</v>
      </c>
      <c r="AN238" s="209"/>
      <c r="AO238" s="199">
        <f ca="1">TODAY()</f>
        <v>44958</v>
      </c>
      <c r="AP238" s="208">
        <f t="shared" ca="1" si="32"/>
        <v>44</v>
      </c>
      <c r="AQ238" s="208" t="str">
        <f t="shared" si="30"/>
        <v/>
      </c>
      <c r="AR238" s="209"/>
      <c r="AS238" s="209" t="s">
        <v>4140</v>
      </c>
      <c r="AT238" s="210">
        <v>10.56</v>
      </c>
      <c r="AU238" s="210">
        <v>10.57</v>
      </c>
      <c r="AV238" s="210">
        <v>10.594999999999999</v>
      </c>
      <c r="AW238" s="210">
        <v>10.6</v>
      </c>
      <c r="AX238" s="200">
        <f t="shared" ca="1" si="34"/>
        <v>12</v>
      </c>
      <c r="AY238" s="200">
        <v>462</v>
      </c>
      <c r="BA238" s="200" t="s">
        <v>123</v>
      </c>
      <c r="BN238" s="211"/>
    </row>
    <row r="239" spans="1:66" s="200" customFormat="1" ht="18.75" customHeight="1" x14ac:dyDescent="0.25">
      <c r="A239" s="199">
        <v>44910</v>
      </c>
      <c r="B239" s="204">
        <f ca="1">IF(A239="",(IF(ISNUMBER(SUBSTITUTE(LEFT(RIGHT(E239,LEN(E239)-MIN(SEARCH({1,2,3,4,5,6,7,8,9,0},E239&amp;"1234567890"))+1),10),".","/"))=TRUE,AO239-(SUBSTITUTE(LEFT(RIGHT(E239,LEN(E239)-MIN(SEARCH({1,2,3,4,5,6,7,8,9,0},E239&amp;"1234567890"))+1),10),".","/")),IF((SUBSTITUTE(LEFT(RIGHT(E239,LEN(E239)-MIN(SEARCH({1,2,3,4,5,6,7,8,9,0},E239&amp;"1234567890"))+1),10),".","/"))="","",(AO239)-(MID(RIGHT((SUBSTITUTE(LEFT(RIGHT(E239,LEN(E239)-MIN(SEARCH({1,2,3,4,5,6,7,8,9,0},E239&amp;"1234567890"))+1),10),".","/")),10),4,2)&amp;"/"&amp;LEFT((RIGHT((SUBSTITUTE(LEFT(RIGHT(E239,LEN(E239)-MIN(SEARCH({1,2,3,4,5,6,7,8,9,0},E239&amp;"1234567890"))+1),10),".","/")),10)),2)&amp;"/"&amp;RIGHT((SUBSTITUTE(LEFT(RIGHT(E239,LEN(E239)-MIN(SEARCH({1,2,3,4,5,6,7,8,9,0},E239&amp;"1234567890"))+1),10),".","/")),4))))),(AO239-A239))</f>
        <v>48</v>
      </c>
      <c r="C239" s="199"/>
      <c r="D239" s="201" t="str">
        <f>IF(Q239="MULTI","FGM","FGC")&amp;"-"&amp;H239&amp;"/"&amp;I239&amp;"-"&amp;TEXT(K239,"0.00")&amp;"X"&amp;IF(Q239="MULTI",N239,Q239)</f>
        <v>FGC-304L/2B-2.00X620</v>
      </c>
      <c r="E239" s="201" t="s">
        <v>6014</v>
      </c>
      <c r="F239" s="201" t="s">
        <v>6015</v>
      </c>
      <c r="G239" s="201" t="s">
        <v>6016</v>
      </c>
      <c r="H239" s="201" t="s">
        <v>182</v>
      </c>
      <c r="I239" s="202" t="s">
        <v>114</v>
      </c>
      <c r="J239" s="203">
        <v>3.88</v>
      </c>
      <c r="K239" s="203">
        <v>2</v>
      </c>
      <c r="L239" s="203">
        <v>1.96</v>
      </c>
      <c r="M239" s="203">
        <v>1.97</v>
      </c>
      <c r="N239" s="204">
        <v>638</v>
      </c>
      <c r="O239" s="381">
        <v>4.32</v>
      </c>
      <c r="P239" s="413">
        <v>4.3650000000000002</v>
      </c>
      <c r="Q239" s="185">
        <v>620</v>
      </c>
      <c r="R239" s="430"/>
      <c r="S239" s="414"/>
      <c r="T239" s="371"/>
      <c r="U239" s="206" t="s">
        <v>115</v>
      </c>
      <c r="V239" s="206" t="s">
        <v>6017</v>
      </c>
      <c r="W239" s="185" t="s">
        <v>114</v>
      </c>
      <c r="X239" s="205">
        <v>44909</v>
      </c>
      <c r="Y239" s="205"/>
      <c r="Z239" s="205">
        <v>44910</v>
      </c>
      <c r="AA239" s="205"/>
      <c r="AB239" s="205"/>
      <c r="AC239" s="205"/>
      <c r="AD239" s="205"/>
      <c r="AE239" s="205"/>
      <c r="AF239" s="205"/>
      <c r="AG239" s="205"/>
      <c r="AH239" s="207" t="s">
        <v>1609</v>
      </c>
      <c r="AI239" s="208" t="s">
        <v>69</v>
      </c>
      <c r="AJ239" s="208" t="s">
        <v>142</v>
      </c>
      <c r="AK239" s="209" t="s">
        <v>1594</v>
      </c>
      <c r="AL239" s="209"/>
      <c r="AM239" s="209">
        <v>44849</v>
      </c>
      <c r="AN239" s="209"/>
      <c r="AO239" s="199">
        <f ca="1">TODAY()</f>
        <v>44958</v>
      </c>
      <c r="AP239" s="208">
        <f ca="1">IF(AM239&lt;&gt;0,AO239-AM239,0)</f>
        <v>109</v>
      </c>
      <c r="AQ239" s="208" t="str">
        <f>IF(ISNUMBER(AB239)=TRUE,AO239-AB239,IF(AB239="","",(AO239)-(MID(RIGHT(AB239,10),4,2)&amp;"/"&amp;LEFT((RIGHT(AB239,10)),2)&amp;"/"&amp;RIGHT(AB239,4))))</f>
        <v/>
      </c>
      <c r="AR239" s="209"/>
      <c r="AS239" s="209" t="s">
        <v>1625</v>
      </c>
      <c r="AT239" s="210">
        <v>10.375</v>
      </c>
      <c r="AU239" s="210">
        <v>10.385</v>
      </c>
      <c r="AV239" s="210">
        <v>10.409999999999998</v>
      </c>
      <c r="AW239" s="210">
        <v>10.414999999999999</v>
      </c>
      <c r="AX239" s="200">
        <f ca="1">IF(ISNUMBER(Z239)=TRUE,AO239-Z239,IF(Z239="","",(AO239)-(MID(RIGHT(Z239,10),4,2)&amp;"/"&amp;LEFT((RIGHT(Z239,10)),2)&amp;"/"&amp;RIGHT(Z239,4))))</f>
        <v>48</v>
      </c>
      <c r="AY239" s="200">
        <v>456</v>
      </c>
      <c r="BA239" s="200" t="s">
        <v>123</v>
      </c>
      <c r="BN239" s="211"/>
    </row>
    <row r="240" spans="1:66" s="200" customFormat="1" ht="18.75" customHeight="1" x14ac:dyDescent="0.25">
      <c r="A240" s="199">
        <v>44953</v>
      </c>
      <c r="B240" s="204">
        <f ca="1">IF(A240="",(IF(ISNUMBER(SUBSTITUTE(LEFT(RIGHT(E240,LEN(E240)-MIN(SEARCH({1,2,3,4,5,6,7,8,9,0},E240&amp;"1234567890"))+1),10),".","/"))=TRUE,AO240-(SUBSTITUTE(LEFT(RIGHT(E240,LEN(E240)-MIN(SEARCH({1,2,3,4,5,6,7,8,9,0},E240&amp;"1234567890"))+1),10),".","/")),IF((SUBSTITUTE(LEFT(RIGHT(E240,LEN(E240)-MIN(SEARCH({1,2,3,4,5,6,7,8,9,0},E240&amp;"1234567890"))+1),10),".","/"))="","",(AO240)-(MID(RIGHT((SUBSTITUTE(LEFT(RIGHT(E240,LEN(E240)-MIN(SEARCH({1,2,3,4,5,6,7,8,9,0},E240&amp;"1234567890"))+1),10),".","/")),10),4,2)&amp;"/"&amp;LEFT((RIGHT((SUBSTITUTE(LEFT(RIGHT(E240,LEN(E240)-MIN(SEARCH({1,2,3,4,5,6,7,8,9,0},E240&amp;"1234567890"))+1),10),".","/")),10)),2)&amp;"/"&amp;RIGHT((SUBSTITUTE(LEFT(RIGHT(E240,LEN(E240)-MIN(SEARCH({1,2,3,4,5,6,7,8,9,0},E240&amp;"1234567890"))+1),10),".","/")),4))))),(AO240-A240))</f>
        <v>5</v>
      </c>
      <c r="C240" s="199">
        <v>44955</v>
      </c>
      <c r="D240" s="201" t="str">
        <f>IF(Q240="MULTI","FGM","FGC")&amp;"-"&amp;H240&amp;"/"&amp;I240&amp;"-"&amp;TEXT(K240,"0.00")&amp;"X"&amp;IF(Q240="MULTI",N240,Q240)</f>
        <v>FGC-304L/2B-1.15X635</v>
      </c>
      <c r="E240" s="201" t="s">
        <v>4923</v>
      </c>
      <c r="F240" s="201" t="s">
        <v>4256</v>
      </c>
      <c r="G240" s="201" t="s">
        <v>6018</v>
      </c>
      <c r="H240" s="201" t="s">
        <v>182</v>
      </c>
      <c r="I240" s="202" t="s">
        <v>114</v>
      </c>
      <c r="J240" s="203">
        <v>3.51</v>
      </c>
      <c r="K240" s="203">
        <v>1.1499999999999999</v>
      </c>
      <c r="L240" s="203"/>
      <c r="M240" s="203"/>
      <c r="N240" s="204">
        <v>643</v>
      </c>
      <c r="O240" s="381">
        <f>4.74</f>
        <v>4.74</v>
      </c>
      <c r="P240" s="413">
        <v>4.78</v>
      </c>
      <c r="Q240" s="185">
        <v>635</v>
      </c>
      <c r="R240" s="430"/>
      <c r="S240" s="414"/>
      <c r="T240" s="371"/>
      <c r="U240" s="206" t="s">
        <v>115</v>
      </c>
      <c r="V240" s="206" t="s">
        <v>5635</v>
      </c>
      <c r="W240" s="185" t="s">
        <v>114</v>
      </c>
      <c r="X240" s="205">
        <v>44952</v>
      </c>
      <c r="Y240" s="205"/>
      <c r="Z240" s="205">
        <v>44952</v>
      </c>
      <c r="AA240" s="205"/>
      <c r="AB240" s="205"/>
      <c r="AC240" s="205"/>
      <c r="AD240" s="205"/>
      <c r="AE240" s="205"/>
      <c r="AF240" s="205"/>
      <c r="AG240" s="205"/>
      <c r="AH240" s="207" t="s">
        <v>1643</v>
      </c>
      <c r="AI240" s="208" t="s">
        <v>69</v>
      </c>
      <c r="AJ240" s="208" t="s">
        <v>142</v>
      </c>
      <c r="AK240" s="209" t="s">
        <v>1657</v>
      </c>
      <c r="AL240" s="209"/>
      <c r="AM240" s="209">
        <v>44849</v>
      </c>
      <c r="AN240" s="209"/>
      <c r="AO240" s="199">
        <f ca="1">TODAY()</f>
        <v>44958</v>
      </c>
      <c r="AP240" s="208">
        <f ca="1">IF(AM240&lt;&gt;0,AO240-AM240,0)</f>
        <v>109</v>
      </c>
      <c r="AQ240" s="208" t="str">
        <f>IF(ISNUMBER(AB240)=TRUE,AO240-AB240,IF(AB240="","",(AO240)-(MID(RIGHT(AB240,10),4,2)&amp;"/"&amp;LEFT((RIGHT(AB240,10)),2)&amp;"/"&amp;RIGHT(AB240,4))))</f>
        <v/>
      </c>
      <c r="AR240" s="209"/>
      <c r="AS240" s="209" t="s">
        <v>1679</v>
      </c>
      <c r="AT240" s="210">
        <v>10.74</v>
      </c>
      <c r="AU240" s="210">
        <v>10.75</v>
      </c>
      <c r="AV240" s="210">
        <v>10.774999999999999</v>
      </c>
      <c r="AW240" s="210">
        <v>10.78</v>
      </c>
      <c r="AX240" s="200">
        <f ca="1">IF(ISNUMBER(Z240)=TRUE,AO240-Z240,IF(Z240="","",(AO240)-(MID(RIGHT(Z240,10),4,2)&amp;"/"&amp;LEFT((RIGHT(Z240,10)),2)&amp;"/"&amp;RIGHT(Z240,4))))</f>
        <v>6</v>
      </c>
      <c r="AY240" s="200">
        <v>456</v>
      </c>
      <c r="BA240" s="200" t="s">
        <v>123</v>
      </c>
      <c r="BN240" s="211"/>
    </row>
    <row r="241" spans="1:66" s="200" customFormat="1" ht="18.75" customHeight="1" x14ac:dyDescent="0.25">
      <c r="A241" s="199">
        <v>44957</v>
      </c>
      <c r="B241" s="204">
        <f ca="1">IF(A241="",(IF(ISNUMBER(SUBSTITUTE(LEFT(RIGHT(E241,LEN(E241)-MIN(SEARCH({1,2,3,4,5,6,7,8,9,0},E241&amp;"1234567890"))+1),10),".","/"))=TRUE,AO241-(SUBSTITUTE(LEFT(RIGHT(E241,LEN(E241)-MIN(SEARCH({1,2,3,4,5,6,7,8,9,0},E241&amp;"1234567890"))+1),10),".","/")),IF((SUBSTITUTE(LEFT(RIGHT(E241,LEN(E241)-MIN(SEARCH({1,2,3,4,5,6,7,8,9,0},E241&amp;"1234567890"))+1),10),".","/"))="","",(AO241)-(MID(RIGHT((SUBSTITUTE(LEFT(RIGHT(E241,LEN(E241)-MIN(SEARCH({1,2,3,4,5,6,7,8,9,0},E241&amp;"1234567890"))+1),10),".","/")),10),4,2)&amp;"/"&amp;LEFT((RIGHT((SUBSTITUTE(LEFT(RIGHT(E241,LEN(E241)-MIN(SEARCH({1,2,3,4,5,6,7,8,9,0},E241&amp;"1234567890"))+1),10),".","/")),10)),2)&amp;"/"&amp;RIGHT((SUBSTITUTE(LEFT(RIGHT(E241,LEN(E241)-MIN(SEARCH({1,2,3,4,5,6,7,8,9,0},E241&amp;"1234567890"))+1),10),".","/")),4))))),(AO241-A241))</f>
        <v>1</v>
      </c>
      <c r="C241" s="199"/>
      <c r="D241" s="201" t="str">
        <f>IF(Q241="MULTI","FGM","FGC")&amp;"-"&amp;H241&amp;"/"&amp;I241&amp;"-"&amp;TEXT(K241,"0.00")&amp;"X"&amp;IF(Q241="MULTI",N241,Q241)</f>
        <v>FGC-304L/2B-1.15X635</v>
      </c>
      <c r="E241" s="201" t="s">
        <v>5412</v>
      </c>
      <c r="F241" s="201" t="s">
        <v>4338</v>
      </c>
      <c r="G241" s="201" t="s">
        <v>5414</v>
      </c>
      <c r="H241" s="201" t="s">
        <v>182</v>
      </c>
      <c r="I241" s="202" t="s">
        <v>114</v>
      </c>
      <c r="J241" s="203">
        <v>2.89</v>
      </c>
      <c r="K241" s="203">
        <v>1.1499999999999999</v>
      </c>
      <c r="L241" s="203">
        <v>1.1100000000000001</v>
      </c>
      <c r="M241" s="203">
        <v>1.1399999999999999</v>
      </c>
      <c r="N241" s="204">
        <v>642</v>
      </c>
      <c r="O241" s="381">
        <v>5.29</v>
      </c>
      <c r="P241" s="413">
        <v>5.3449999999999998</v>
      </c>
      <c r="Q241" s="185">
        <v>635</v>
      </c>
      <c r="R241" s="430"/>
      <c r="S241" s="414"/>
      <c r="T241" s="371"/>
      <c r="U241" s="206" t="s">
        <v>115</v>
      </c>
      <c r="V241" s="206" t="s">
        <v>1592</v>
      </c>
      <c r="W241" s="185" t="s">
        <v>114</v>
      </c>
      <c r="X241" s="205"/>
      <c r="Y241" s="205">
        <v>44951</v>
      </c>
      <c r="Z241" s="205"/>
      <c r="AA241" s="205">
        <v>44952</v>
      </c>
      <c r="AB241" s="205">
        <v>44956</v>
      </c>
      <c r="AC241" s="205"/>
      <c r="AD241" s="205"/>
      <c r="AE241" s="205"/>
      <c r="AF241" s="205"/>
      <c r="AG241" s="205"/>
      <c r="AH241" s="207" t="s">
        <v>1643</v>
      </c>
      <c r="AI241" s="208" t="s">
        <v>69</v>
      </c>
      <c r="AJ241" s="208" t="s">
        <v>142</v>
      </c>
      <c r="AK241" s="209" t="s">
        <v>1594</v>
      </c>
      <c r="AL241" s="209"/>
      <c r="AM241" s="209">
        <v>44849</v>
      </c>
      <c r="AN241" s="209"/>
      <c r="AO241" s="199">
        <f t="shared" ca="1" si="3"/>
        <v>44958</v>
      </c>
      <c r="AP241" s="208">
        <f ca="1">IF(AM241&lt;&gt;0,AO241-AM241,0)</f>
        <v>109</v>
      </c>
      <c r="AQ241" s="208">
        <f ca="1">IF(ISNUMBER(AB241)=TRUE,AO241-AB241,IF(AB241="","",(AO241)-(MID(RIGHT(AB241,10),4,2)&amp;"/"&amp;LEFT((RIGHT(AB241,10)),2)&amp;"/"&amp;RIGHT(AB241,4))))</f>
        <v>2</v>
      </c>
      <c r="AR241" s="209"/>
      <c r="AS241" s="209" t="s">
        <v>1640</v>
      </c>
      <c r="AT241" s="210">
        <v>10.755000000000001</v>
      </c>
      <c r="AU241" s="210">
        <v>10.765000000000001</v>
      </c>
      <c r="AV241" s="210">
        <v>10.79</v>
      </c>
      <c r="AW241" s="210">
        <v>10.795</v>
      </c>
      <c r="AX241" s="200">
        <f ca="1">IF(ISNUMBER(Y241)=TRUE,AO241-Y241,IF(Y241="","",(AO241)-(MID(RIGHT(Y241,10),4,2)&amp;"/"&amp;LEFT((RIGHT(Y241,10)),2)&amp;"/"&amp;RIGHT(Y241,4))))</f>
        <v>7</v>
      </c>
      <c r="AY241" s="200">
        <v>456</v>
      </c>
      <c r="BA241" s="200" t="s">
        <v>123</v>
      </c>
      <c r="BN241" s="211"/>
    </row>
    <row r="242" spans="1:66" s="200" customFormat="1" ht="18.75" customHeight="1" x14ac:dyDescent="0.25">
      <c r="A242" s="199">
        <v>44957</v>
      </c>
      <c r="B242" s="204">
        <f ca="1">IF(A242="",(IF(ISNUMBER(SUBSTITUTE(LEFT(RIGHT(E242,LEN(E242)-MIN(SEARCH({1,2,3,4,5,6,7,8,9,0},E242&amp;"1234567890"))+1),10),".","/"))=TRUE,AO242-(SUBSTITUTE(LEFT(RIGHT(E242,LEN(E242)-MIN(SEARCH({1,2,3,4,5,6,7,8,9,0},E242&amp;"1234567890"))+1),10),".","/")),IF((SUBSTITUTE(LEFT(RIGHT(E242,LEN(E242)-MIN(SEARCH({1,2,3,4,5,6,7,8,9,0},E242&amp;"1234567890"))+1),10),".","/"))="","",(AO242)-(MID(RIGHT((SUBSTITUTE(LEFT(RIGHT(E242,LEN(E242)-MIN(SEARCH({1,2,3,4,5,6,7,8,9,0},E242&amp;"1234567890"))+1),10),".","/")),10),4,2)&amp;"/"&amp;LEFT((RIGHT((SUBSTITUTE(LEFT(RIGHT(E242,LEN(E242)-MIN(SEARCH({1,2,3,4,5,6,7,8,9,0},E242&amp;"1234567890"))+1),10),".","/")),10)),2)&amp;"/"&amp;RIGHT((SUBSTITUTE(LEFT(RIGHT(E242,LEN(E242)-MIN(SEARCH({1,2,3,4,5,6,7,8,9,0},E242&amp;"1234567890"))+1),10),".","/")),4))))),(AO242-A242))</f>
        <v>1</v>
      </c>
      <c r="C242" s="199"/>
      <c r="D242" s="201" t="str">
        <f>IF(Q242="MULTI","FGM","FGC")&amp;"-"&amp;H242&amp;"/"&amp;I242&amp;"-"&amp;TEXT(K242,"0.00")&amp;"X"&amp;IF(Q242="MULTI",N242,Q242)</f>
        <v>FGC-304L/2B-1.45X635</v>
      </c>
      <c r="E242" s="201" t="s">
        <v>5412</v>
      </c>
      <c r="F242" s="201" t="s">
        <v>4279</v>
      </c>
      <c r="G242" s="201" t="s">
        <v>4983</v>
      </c>
      <c r="H242" s="201" t="s">
        <v>182</v>
      </c>
      <c r="I242" s="202" t="s">
        <v>114</v>
      </c>
      <c r="J242" s="203">
        <v>3.8</v>
      </c>
      <c r="K242" s="203">
        <v>1.45</v>
      </c>
      <c r="L242" s="203">
        <v>1.44</v>
      </c>
      <c r="M242" s="203">
        <v>1.46</v>
      </c>
      <c r="N242" s="204">
        <v>644</v>
      </c>
      <c r="O242" s="381">
        <v>3.4950000000000001</v>
      </c>
      <c r="P242" s="413">
        <v>3.55</v>
      </c>
      <c r="Q242" s="185">
        <v>635</v>
      </c>
      <c r="R242" s="430"/>
      <c r="S242" s="414"/>
      <c r="T242" s="371"/>
      <c r="U242" s="206" t="s">
        <v>115</v>
      </c>
      <c r="V242" s="206"/>
      <c r="W242" s="185" t="s">
        <v>114</v>
      </c>
      <c r="X242" s="205">
        <v>44953</v>
      </c>
      <c r="Y242" s="205"/>
      <c r="Z242" s="205">
        <v>44954</v>
      </c>
      <c r="AA242" s="205"/>
      <c r="AB242" s="205">
        <v>44957</v>
      </c>
      <c r="AC242" s="205"/>
      <c r="AD242" s="205"/>
      <c r="AE242" s="205"/>
      <c r="AF242" s="205"/>
      <c r="AG242" s="205"/>
      <c r="AH242" s="207" t="s">
        <v>1605</v>
      </c>
      <c r="AI242" s="208" t="s">
        <v>69</v>
      </c>
      <c r="AJ242" s="208" t="s">
        <v>142</v>
      </c>
      <c r="AK242" s="209" t="s">
        <v>1657</v>
      </c>
      <c r="AL242" s="209"/>
      <c r="AM242" s="209">
        <v>44849</v>
      </c>
      <c r="AN242" s="209"/>
      <c r="AO242" s="199">
        <f t="shared" ca="1" si="3"/>
        <v>44958</v>
      </c>
      <c r="AP242" s="208">
        <f ca="1">IF(AM242&lt;&gt;0,AO242-AM242,0)</f>
        <v>109</v>
      </c>
      <c r="AQ242" s="208">
        <f ca="1">IF(ISNUMBER(AB242)=TRUE,AO242-AB242,IF(AB242="","",(AO242)-(MID(RIGHT(AB242,10),4,2)&amp;"/"&amp;LEFT((RIGHT(AB242,10)),2)&amp;"/"&amp;RIGHT(AB242,4))))</f>
        <v>1</v>
      </c>
      <c r="AR242" s="209"/>
      <c r="AS242" s="209" t="s">
        <v>1676</v>
      </c>
      <c r="AT242" s="210">
        <v>10.695</v>
      </c>
      <c r="AU242" s="210">
        <v>10.705</v>
      </c>
      <c r="AV242" s="210">
        <v>10.729999999999999</v>
      </c>
      <c r="AW242" s="210">
        <v>10.734999999999999</v>
      </c>
      <c r="AX242" s="200" t="str">
        <f>IF(ISNUMBER(Y242)=TRUE,AO242-Y242,IF(Y242="","",(AO242)-(MID(RIGHT(Y242,10),4,2)&amp;"/"&amp;LEFT((RIGHT(Y242,10)),2)&amp;"/"&amp;RIGHT(Y242,4))))</f>
        <v/>
      </c>
      <c r="AY242" s="200">
        <v>456</v>
      </c>
      <c r="BA242" s="200" t="s">
        <v>123</v>
      </c>
      <c r="BN242" s="211"/>
    </row>
    <row r="243" spans="1:66" s="361" customFormat="1" ht="18" customHeight="1" x14ac:dyDescent="0.25">
      <c r="E243" s="445"/>
      <c r="J243" s="417"/>
      <c r="K243" s="417"/>
      <c r="L243" s="417"/>
      <c r="M243" s="417"/>
      <c r="N243" s="363"/>
      <c r="O243" s="356">
        <f>SUM(O137:O242)</f>
        <v>110.66399999999999</v>
      </c>
      <c r="P243" s="364"/>
      <c r="Q243" s="419"/>
      <c r="R243" s="435"/>
      <c r="S243" s="419"/>
      <c r="T243" s="362"/>
      <c r="U243" s="214"/>
      <c r="V243" s="446"/>
      <c r="W243" s="447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448"/>
      <c r="AI243" s="449"/>
      <c r="AL243" s="416"/>
      <c r="AM243" s="416"/>
      <c r="AN243" s="445"/>
      <c r="AO243" s="450"/>
      <c r="AP243" s="450"/>
      <c r="AQ243" s="450"/>
      <c r="AT243" s="364"/>
      <c r="AU243" s="364"/>
      <c r="AV243" s="364"/>
      <c r="AW243" s="417"/>
      <c r="AX243" s="363"/>
      <c r="AY243" s="363"/>
      <c r="AZ243" s="363"/>
      <c r="BA243" s="417"/>
    </row>
    <row r="244" spans="1:66" ht="16.5" customHeight="1" x14ac:dyDescent="0.25">
      <c r="F244" s="361"/>
      <c r="G244" s="365"/>
      <c r="H244" s="361"/>
      <c r="I244" s="361"/>
      <c r="O244" s="451"/>
    </row>
    <row r="245" spans="1:66" s="351" customFormat="1" x14ac:dyDescent="0.25">
      <c r="A245" s="336"/>
      <c r="B245" s="336"/>
      <c r="C245" s="336"/>
      <c r="D245" s="336"/>
      <c r="E245" s="336"/>
      <c r="F245" s="336"/>
      <c r="G245" s="359"/>
      <c r="H245" s="336"/>
      <c r="I245" s="336"/>
      <c r="K245" s="399"/>
      <c r="L245" s="399"/>
      <c r="M245" s="399"/>
      <c r="N245" s="352"/>
      <c r="O245" s="451"/>
      <c r="P245" s="353"/>
      <c r="Q245" s="353"/>
      <c r="S245" s="353"/>
      <c r="T245" s="399"/>
      <c r="AJ245" s="336"/>
      <c r="AK245" s="336"/>
      <c r="AL245" s="336"/>
      <c r="AM245" s="336"/>
      <c r="AN245" s="336"/>
      <c r="AO245" s="336"/>
      <c r="AP245" s="336"/>
      <c r="AQ245" s="336"/>
      <c r="AR245" s="336"/>
      <c r="AS245" s="336"/>
      <c r="AT245" s="364"/>
      <c r="AU245" s="364"/>
      <c r="AV245" s="364"/>
      <c r="AY245" s="336"/>
      <c r="AZ245" s="336"/>
      <c r="BA245" s="336"/>
      <c r="BB245" s="336"/>
      <c r="BC245" s="336"/>
      <c r="BD245" s="336"/>
      <c r="BE245" s="336"/>
      <c r="BF245" s="336"/>
      <c r="BG245" s="336"/>
      <c r="BH245" s="336"/>
      <c r="BI245" s="336"/>
      <c r="BJ245" s="336"/>
      <c r="BK245" s="336"/>
      <c r="BL245" s="336"/>
      <c r="BM245" s="336"/>
      <c r="BN245" s="336"/>
    </row>
    <row r="246" spans="1:66" s="361" customFormat="1" ht="16.5" customHeight="1" x14ac:dyDescent="0.25">
      <c r="D246" s="336"/>
      <c r="G246" s="359" t="s">
        <v>3774</v>
      </c>
      <c r="J246" s="417"/>
      <c r="K246" s="417"/>
      <c r="L246" s="417"/>
      <c r="M246" s="417"/>
      <c r="N246" s="363"/>
      <c r="O246" s="356">
        <f>SUBTOTAL(9,O5:O243)</f>
        <v>1064.0719999999997</v>
      </c>
      <c r="P246" s="419"/>
      <c r="Q246" s="362"/>
      <c r="R246" s="362"/>
      <c r="S246" s="422"/>
      <c r="T246" s="362"/>
      <c r="U246" s="452"/>
      <c r="W246" s="45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448"/>
      <c r="AH246" s="453"/>
      <c r="AL246" s="416"/>
      <c r="AM246" s="416"/>
      <c r="AN246" s="416"/>
      <c r="AO246" s="416"/>
      <c r="AP246" s="416"/>
      <c r="AQ246" s="416"/>
      <c r="AT246" s="364"/>
      <c r="AU246" s="364"/>
      <c r="AV246" s="364"/>
      <c r="AW246" s="364"/>
    </row>
    <row r="247" spans="1:66" s="361" customFormat="1" ht="16.5" customHeight="1" x14ac:dyDescent="0.25">
      <c r="G247" s="359" t="s">
        <v>23</v>
      </c>
      <c r="J247" s="417"/>
      <c r="K247" s="417"/>
      <c r="L247" s="417"/>
      <c r="M247" s="417"/>
      <c r="N247" s="363"/>
      <c r="O247" s="356">
        <f>+O31+O39+O243+O47+O70+O93+O75+O97+O103+O88+O108+O128+O132+O54</f>
        <v>532.03599999999994</v>
      </c>
      <c r="P247" s="419"/>
      <c r="Q247" s="362"/>
      <c r="R247" s="362"/>
      <c r="S247" s="422"/>
      <c r="T247" s="362"/>
      <c r="W247" s="45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448"/>
      <c r="AH247" s="453"/>
      <c r="AL247" s="416"/>
      <c r="AM247" s="416"/>
      <c r="AN247" s="416"/>
      <c r="AO247" s="416"/>
      <c r="AP247" s="416"/>
      <c r="AQ247" s="416"/>
      <c r="AT247" s="364"/>
      <c r="AU247" s="364"/>
      <c r="AV247" s="364"/>
      <c r="AW247" s="364"/>
    </row>
    <row r="250" spans="1:66" x14ac:dyDescent="0.25">
      <c r="U250" s="336"/>
    </row>
    <row r="251" spans="1:66" x14ac:dyDescent="0.25">
      <c r="U251" s="336"/>
    </row>
    <row r="252" spans="1:66" x14ac:dyDescent="0.25">
      <c r="U252" s="336"/>
    </row>
    <row r="253" spans="1:66" x14ac:dyDescent="0.25">
      <c r="U253" s="336"/>
    </row>
    <row r="254" spans="1:66" x14ac:dyDescent="0.25">
      <c r="U254" s="336"/>
    </row>
    <row r="255" spans="1:66" x14ac:dyDescent="0.25">
      <c r="U255" s="336"/>
    </row>
    <row r="256" spans="1:66" x14ac:dyDescent="0.25">
      <c r="U256" s="336"/>
    </row>
    <row r="257" spans="2:50" x14ac:dyDescent="0.25">
      <c r="U257" s="336"/>
    </row>
    <row r="258" spans="2:50" x14ac:dyDescent="0.25">
      <c r="B258" s="336" t="str">
        <f>IF(A258="",(IF(ISNUMBER(SUBSTITUTE(LEFT(RIGHT(E258,LEN(E258)-MIN(SEARCH({1,2,3,4,5,6,7,8,9,0},E258&amp;"1234567890"))+1),10),".","/"))=TRUE,AO258-(SUBSTITUTE(LEFT(RIGHT(E258,LEN(E258)-MIN(SEARCH({1,2,3,4,5,6,7,8,9,0},E258&amp;"1234567890"))+1),10),".","/")),IF((SUBSTITUTE(LEFT(RIGHT(E258,LEN(E258)-MIN(SEARCH({1,2,3,4,5,6,7,8,9,0},E258&amp;"1234567890"))+1),10),".","/"))="","",(AO258)-(MID(RIGHT((SUBSTITUTE(LEFT(RIGHT(E258,LEN(E258)-MIN(SEARCH({1,2,3,4,5,6,7,8,9,0},E258&amp;"1234567890"))+1),10),".","/")),10),4,2)&amp;"/"&amp;LEFT((RIGHT((SUBSTITUTE(LEFT(RIGHT(E258,LEN(E258)-MIN(SEARCH({1,2,3,4,5,6,7,8,9,0},E258&amp;"1234567890"))+1),10),".","/")),10)),2)&amp;"/"&amp;RIGHT((SUBSTITUTE(LEFT(RIGHT(E258,LEN(E258)-MIN(SEARCH({1,2,3,4,5,6,7,8,9,0},E258&amp;"1234567890"))+1),10),".","/")),4))))),(AO258-A258))</f>
        <v/>
      </c>
      <c r="U258" s="336"/>
    </row>
    <row r="259" spans="2:50" x14ac:dyDescent="0.25">
      <c r="U259" s="336"/>
    </row>
    <row r="260" spans="2:50" x14ac:dyDescent="0.25">
      <c r="U260" s="336"/>
    </row>
    <row r="261" spans="2:50" x14ac:dyDescent="0.25">
      <c r="U261" s="336"/>
    </row>
    <row r="262" spans="2:50" ht="15.75" customHeight="1" x14ac:dyDescent="0.25">
      <c r="U262" s="336"/>
    </row>
    <row r="263" spans="2:50" x14ac:dyDescent="0.25">
      <c r="U263" s="336"/>
    </row>
    <row r="264" spans="2:50" x14ac:dyDescent="0.25">
      <c r="U264" s="336"/>
    </row>
    <row r="265" spans="2:50" x14ac:dyDescent="0.25">
      <c r="U265" s="336"/>
    </row>
    <row r="266" spans="2:50" x14ac:dyDescent="0.25">
      <c r="U266" s="336"/>
    </row>
    <row r="267" spans="2:50" x14ac:dyDescent="0.25">
      <c r="J267" s="336"/>
      <c r="K267" s="351"/>
      <c r="N267" s="399"/>
      <c r="R267" s="399"/>
      <c r="T267" s="351"/>
      <c r="U267" s="336"/>
      <c r="AH267" s="336"/>
      <c r="AI267" s="336"/>
      <c r="AR267" s="364"/>
      <c r="AS267" s="364"/>
      <c r="AU267" s="351"/>
      <c r="AV267" s="351"/>
      <c r="AW267" s="336"/>
      <c r="AX267" s="336"/>
    </row>
    <row r="268" spans="2:50" x14ac:dyDescent="0.25">
      <c r="U268" s="336"/>
    </row>
    <row r="269" spans="2:50" x14ac:dyDescent="0.25">
      <c r="U269" s="336"/>
    </row>
    <row r="270" spans="2:50" x14ac:dyDescent="0.25">
      <c r="U270" s="336"/>
    </row>
    <row r="271" spans="2:50" x14ac:dyDescent="0.25">
      <c r="U271" s="336"/>
    </row>
    <row r="272" spans="2:50" x14ac:dyDescent="0.25">
      <c r="U272" s="336"/>
    </row>
    <row r="273" spans="1:66" x14ac:dyDescent="0.25">
      <c r="U273" s="336"/>
    </row>
    <row r="274" spans="1:66" x14ac:dyDescent="0.25">
      <c r="U274" s="336"/>
    </row>
    <row r="275" spans="1:66" s="200" customFormat="1" ht="18" customHeight="1" x14ac:dyDescent="0.25">
      <c r="A275" s="416"/>
      <c r="B275" s="363"/>
      <c r="C275" s="416"/>
      <c r="D275" s="361"/>
      <c r="E275" s="361"/>
      <c r="F275" s="361"/>
      <c r="G275" s="361"/>
      <c r="H275" s="361"/>
      <c r="I275" s="336"/>
      <c r="J275" s="417"/>
      <c r="K275" s="417"/>
      <c r="L275" s="417"/>
      <c r="M275" s="417"/>
      <c r="N275" s="363"/>
      <c r="O275" s="364"/>
      <c r="P275" s="419"/>
      <c r="Q275" s="390"/>
      <c r="R275" s="390"/>
      <c r="S275" s="422"/>
      <c r="T275" s="362"/>
      <c r="V275" s="423"/>
      <c r="W275" s="390"/>
      <c r="X275" s="424"/>
      <c r="Y275" s="424"/>
      <c r="Z275" s="424"/>
      <c r="AA275" s="424"/>
      <c r="AB275" s="424"/>
      <c r="AC275" s="424"/>
      <c r="AD275" s="424"/>
      <c r="AE275" s="424"/>
      <c r="AF275" s="424"/>
      <c r="AG275" s="424"/>
      <c r="AH275" s="425"/>
      <c r="AK275" s="426"/>
      <c r="AL275" s="426"/>
      <c r="AM275" s="426"/>
      <c r="AN275" s="426"/>
      <c r="AO275" s="416"/>
      <c r="AR275" s="426"/>
      <c r="AS275" s="426"/>
      <c r="AT275" s="427"/>
      <c r="AU275" s="427"/>
      <c r="AV275" s="427"/>
      <c r="AW275" s="427"/>
      <c r="BN275" s="436"/>
    </row>
    <row r="276" spans="1:66" x14ac:dyDescent="0.25">
      <c r="U276" s="336"/>
    </row>
    <row r="277" spans="1:66" x14ac:dyDescent="0.25">
      <c r="U277" s="336"/>
    </row>
    <row r="278" spans="1:66" x14ac:dyDescent="0.25">
      <c r="U278" s="336"/>
    </row>
    <row r="279" spans="1:66" x14ac:dyDescent="0.25">
      <c r="U279" s="336"/>
    </row>
    <row r="280" spans="1:66" x14ac:dyDescent="0.25">
      <c r="U280" s="336"/>
    </row>
    <row r="281" spans="1:66" x14ac:dyDescent="0.25">
      <c r="U281" s="336"/>
    </row>
    <row r="282" spans="1:66" x14ac:dyDescent="0.25">
      <c r="U282" s="336"/>
    </row>
    <row r="283" spans="1:66" x14ac:dyDescent="0.25">
      <c r="U283" s="336"/>
    </row>
    <row r="284" spans="1:66" x14ac:dyDescent="0.25">
      <c r="U284" s="336"/>
    </row>
    <row r="285" spans="1:66" ht="19.5" customHeight="1" x14ac:dyDescent="0.25">
      <c r="U285" s="336"/>
      <c r="W285" s="336"/>
    </row>
    <row r="286" spans="1:66" x14ac:dyDescent="0.25">
      <c r="U286" s="336"/>
      <c r="W286" s="336"/>
    </row>
    <row r="287" spans="1:66" x14ac:dyDescent="0.25">
      <c r="U287" s="336"/>
      <c r="W287" s="336"/>
    </row>
    <row r="288" spans="1:66" x14ac:dyDescent="0.25">
      <c r="U288" s="336"/>
      <c r="W288" s="336"/>
    </row>
    <row r="289" spans="8:47" x14ac:dyDescent="0.25">
      <c r="U289" s="336"/>
      <c r="W289" s="336"/>
    </row>
    <row r="290" spans="8:47" x14ac:dyDescent="0.25">
      <c r="U290" s="336"/>
      <c r="W290" s="336"/>
    </row>
    <row r="291" spans="8:47" x14ac:dyDescent="0.25">
      <c r="U291" s="336"/>
      <c r="W291" s="336"/>
    </row>
    <row r="292" spans="8:47" x14ac:dyDescent="0.25">
      <c r="U292" s="336"/>
      <c r="W292" s="336"/>
    </row>
    <row r="293" spans="8:47" x14ac:dyDescent="0.25">
      <c r="U293" s="336"/>
      <c r="W293" s="336"/>
    </row>
    <row r="294" spans="8:47" x14ac:dyDescent="0.25">
      <c r="U294" s="336"/>
      <c r="W294" s="336"/>
    </row>
    <row r="295" spans="8:47" x14ac:dyDescent="0.25">
      <c r="U295" s="336"/>
      <c r="W295" s="336"/>
    </row>
    <row r="296" spans="8:47" x14ac:dyDescent="0.25">
      <c r="U296" s="336"/>
      <c r="W296" s="336"/>
    </row>
    <row r="297" spans="8:47" x14ac:dyDescent="0.25">
      <c r="Q297" s="364"/>
      <c r="U297" s="336"/>
      <c r="W297" s="336"/>
    </row>
    <row r="298" spans="8:47" x14ac:dyDescent="0.25">
      <c r="Q298" s="364"/>
      <c r="U298" s="336"/>
      <c r="W298" s="336"/>
    </row>
    <row r="299" spans="8:47" x14ac:dyDescent="0.25">
      <c r="Q299" s="364"/>
      <c r="U299" s="336"/>
      <c r="W299" s="336"/>
    </row>
    <row r="300" spans="8:47" s="361" customFormat="1" ht="16.5" customHeight="1" x14ac:dyDescent="0.25">
      <c r="H300" s="359"/>
      <c r="K300" s="417"/>
      <c r="L300" s="417"/>
      <c r="M300" s="417"/>
      <c r="N300" s="417"/>
      <c r="O300" s="356"/>
      <c r="P300" s="419"/>
      <c r="Q300" s="362"/>
      <c r="R300" s="351"/>
      <c r="S300" s="422"/>
      <c r="V300" s="448"/>
      <c r="X300" s="448"/>
      <c r="Y300" s="448"/>
      <c r="Z300" s="448"/>
      <c r="AA300" s="448"/>
      <c r="AB300" s="448"/>
      <c r="AC300" s="448"/>
      <c r="AD300" s="453"/>
      <c r="AE300" s="453"/>
      <c r="AF300" s="453"/>
      <c r="AJ300" s="416"/>
      <c r="AK300" s="416"/>
      <c r="AL300" s="416"/>
      <c r="AM300" s="416"/>
      <c r="AN300" s="416"/>
      <c r="AO300" s="416"/>
      <c r="AR300" s="364"/>
      <c r="AS300" s="364"/>
      <c r="AT300" s="364"/>
      <c r="AU300" s="364"/>
    </row>
    <row r="301" spans="8:47" x14ac:dyDescent="0.25">
      <c r="U301" s="336"/>
    </row>
    <row r="302" spans="8:47" x14ac:dyDescent="0.25">
      <c r="U302" s="336"/>
      <c r="V302" s="336"/>
    </row>
    <row r="303" spans="8:47" x14ac:dyDescent="0.25">
      <c r="U303" s="336"/>
    </row>
    <row r="304" spans="8:47" x14ac:dyDescent="0.25">
      <c r="U304" s="336"/>
    </row>
    <row r="305" spans="1:50" x14ac:dyDescent="0.25">
      <c r="U305" s="336"/>
    </row>
    <row r="306" spans="1:50" x14ac:dyDescent="0.25">
      <c r="U306" s="336"/>
    </row>
    <row r="307" spans="1:50" x14ac:dyDescent="0.25">
      <c r="U307" s="336"/>
    </row>
    <row r="308" spans="1:50" x14ac:dyDescent="0.25">
      <c r="U308" s="336"/>
    </row>
    <row r="309" spans="1:50" x14ac:dyDescent="0.25">
      <c r="U309" s="336"/>
    </row>
    <row r="310" spans="1:50" x14ac:dyDescent="0.25">
      <c r="U310" s="336"/>
    </row>
    <row r="311" spans="1:50" x14ac:dyDescent="0.25">
      <c r="U311" s="336"/>
    </row>
    <row r="312" spans="1:50" x14ac:dyDescent="0.25">
      <c r="U312" s="336"/>
    </row>
    <row r="313" spans="1:50" x14ac:dyDescent="0.25">
      <c r="U313" s="336"/>
    </row>
    <row r="314" spans="1:50" s="200" customFormat="1" ht="18" customHeight="1" x14ac:dyDescent="0.25">
      <c r="A314" s="416"/>
      <c r="B314" s="363"/>
      <c r="C314" s="416"/>
      <c r="D314" s="361"/>
      <c r="E314" s="361"/>
      <c r="F314" s="361"/>
      <c r="G314" s="361"/>
      <c r="H314" s="361"/>
      <c r="I314" s="336"/>
      <c r="J314" s="417"/>
      <c r="K314" s="417"/>
      <c r="L314" s="417"/>
      <c r="M314" s="417"/>
      <c r="N314" s="363"/>
      <c r="O314" s="353"/>
      <c r="P314" s="419"/>
      <c r="Q314" s="390"/>
      <c r="R314" s="351"/>
      <c r="S314" s="422"/>
      <c r="T314" s="362"/>
      <c r="V314" s="423"/>
      <c r="W314" s="390"/>
      <c r="X314" s="424"/>
      <c r="Y314" s="424"/>
      <c r="Z314" s="424"/>
      <c r="AA314" s="424"/>
      <c r="AB314" s="424"/>
      <c r="AC314" s="424"/>
      <c r="AD314" s="424"/>
      <c r="AE314" s="424"/>
      <c r="AF314" s="424"/>
      <c r="AG314" s="424"/>
      <c r="AH314" s="425"/>
      <c r="AK314" s="426"/>
      <c r="AL314" s="426"/>
      <c r="AM314" s="426"/>
      <c r="AN314" s="426"/>
      <c r="AO314" s="416"/>
      <c r="AR314" s="426"/>
      <c r="AS314" s="426"/>
      <c r="AT314" s="427"/>
      <c r="AU314" s="427"/>
      <c r="AV314" s="427"/>
      <c r="AW314" s="427"/>
    </row>
    <row r="315" spans="1:50" x14ac:dyDescent="0.25">
      <c r="U315" s="336"/>
    </row>
    <row r="316" spans="1:50" x14ac:dyDescent="0.25">
      <c r="J316" s="336"/>
      <c r="K316" s="351"/>
      <c r="N316" s="399"/>
      <c r="Q316" s="336"/>
      <c r="T316" s="351"/>
      <c r="U316" s="336"/>
      <c r="V316" s="336"/>
      <c r="AH316" s="336"/>
      <c r="AI316" s="336"/>
      <c r="AR316" s="364"/>
      <c r="AS316" s="364"/>
      <c r="AU316" s="351"/>
      <c r="AV316" s="351"/>
      <c r="AW316" s="336"/>
      <c r="AX316" s="336"/>
    </row>
    <row r="317" spans="1:50" x14ac:dyDescent="0.25">
      <c r="T317" s="336"/>
      <c r="U317" s="336"/>
    </row>
    <row r="318" spans="1:50" x14ac:dyDescent="0.25">
      <c r="T318" s="351"/>
    </row>
    <row r="319" spans="1:50" x14ac:dyDescent="0.25">
      <c r="T319" s="351"/>
    </row>
    <row r="320" spans="1:50" x14ac:dyDescent="0.25">
      <c r="T320" s="351"/>
    </row>
    <row r="321" spans="20:21" x14ac:dyDescent="0.25">
      <c r="T321" s="336"/>
    </row>
    <row r="322" spans="20:21" x14ac:dyDescent="0.25">
      <c r="T322" s="336"/>
    </row>
    <row r="323" spans="20:21" x14ac:dyDescent="0.25">
      <c r="T323" s="336"/>
    </row>
    <row r="324" spans="20:21" x14ac:dyDescent="0.25">
      <c r="T324" s="336"/>
      <c r="U324" s="336"/>
    </row>
    <row r="325" spans="20:21" x14ac:dyDescent="0.25">
      <c r="T325" s="336"/>
      <c r="U325" s="336"/>
    </row>
    <row r="326" spans="20:21" x14ac:dyDescent="0.25">
      <c r="T326" s="336"/>
      <c r="U326" s="336"/>
    </row>
    <row r="327" spans="20:21" x14ac:dyDescent="0.25">
      <c r="T327" s="336"/>
      <c r="U327" s="336"/>
    </row>
    <row r="328" spans="20:21" x14ac:dyDescent="0.25">
      <c r="T328" s="336"/>
      <c r="U328" s="336"/>
    </row>
    <row r="329" spans="20:21" x14ac:dyDescent="0.25">
      <c r="U329" s="336"/>
    </row>
    <row r="330" spans="20:21" x14ac:dyDescent="0.25">
      <c r="U330" s="336"/>
    </row>
    <row r="331" spans="20:21" x14ac:dyDescent="0.25">
      <c r="U331" s="336"/>
    </row>
    <row r="332" spans="20:21" x14ac:dyDescent="0.25">
      <c r="U332" s="336"/>
    </row>
    <row r="333" spans="20:21" x14ac:dyDescent="0.25">
      <c r="U333" s="336"/>
    </row>
    <row r="334" spans="20:21" x14ac:dyDescent="0.25">
      <c r="U334" s="336"/>
    </row>
    <row r="335" spans="20:21" x14ac:dyDescent="0.25">
      <c r="U335" s="336"/>
    </row>
    <row r="336" spans="20:21" x14ac:dyDescent="0.25">
      <c r="U336" s="336"/>
    </row>
    <row r="337" spans="2:51" x14ac:dyDescent="0.25">
      <c r="U337" s="336"/>
    </row>
    <row r="338" spans="2:51" x14ac:dyDescent="0.25">
      <c r="U338" s="336"/>
    </row>
    <row r="339" spans="2:51" x14ac:dyDescent="0.25">
      <c r="U339" s="336"/>
    </row>
    <row r="343" spans="2:51" ht="15.75" customHeight="1" x14ac:dyDescent="0.25">
      <c r="R343" s="362"/>
      <c r="U343" s="336"/>
    </row>
    <row r="344" spans="2:51" s="142" customFormat="1" ht="21.75" customHeight="1" x14ac:dyDescent="0.25">
      <c r="B344" s="361"/>
      <c r="C344" s="361"/>
      <c r="F344" s="361"/>
      <c r="I344" s="187"/>
      <c r="J344" s="187"/>
      <c r="K344" s="187"/>
      <c r="L344" s="187"/>
      <c r="M344" s="393"/>
      <c r="N344" s="149"/>
      <c r="O344" s="364"/>
      <c r="P344" s="364"/>
      <c r="Q344" s="149"/>
      <c r="R344" s="393"/>
      <c r="S344" s="394"/>
      <c r="T344" s="390"/>
      <c r="V344" s="362"/>
      <c r="W344" s="423"/>
      <c r="X344" s="423"/>
      <c r="Y344" s="215"/>
      <c r="Z344" s="215"/>
      <c r="AA344" s="215"/>
      <c r="AB344" s="216"/>
      <c r="AC344" s="216"/>
      <c r="AD344" s="216"/>
      <c r="AE344" s="216"/>
      <c r="AF344" s="216"/>
      <c r="AG344" s="216"/>
      <c r="AH344" s="216"/>
      <c r="AI344" s="216"/>
      <c r="AJ344" s="217"/>
      <c r="AM344" s="218"/>
      <c r="AN344" s="218"/>
      <c r="AO344" s="218"/>
      <c r="AP344" s="218"/>
      <c r="AQ344" s="218"/>
      <c r="AS344" s="218"/>
      <c r="AT344" s="149"/>
      <c r="AU344" s="149"/>
      <c r="AV344" s="149"/>
      <c r="AW344" s="149"/>
      <c r="AX344" s="149"/>
      <c r="AY344" s="149"/>
    </row>
    <row r="345" spans="2:51" x14ac:dyDescent="0.25">
      <c r="U345" s="336"/>
    </row>
    <row r="346" spans="2:51" x14ac:dyDescent="0.25">
      <c r="U346" s="336"/>
    </row>
    <row r="347" spans="2:51" x14ac:dyDescent="0.25">
      <c r="U347" s="336"/>
    </row>
    <row r="348" spans="2:51" x14ac:dyDescent="0.25">
      <c r="U348" s="336"/>
    </row>
    <row r="349" spans="2:51" x14ac:dyDescent="0.25">
      <c r="U349" s="336"/>
    </row>
    <row r="350" spans="2:51" x14ac:dyDescent="0.25">
      <c r="U350" s="336"/>
    </row>
    <row r="351" spans="2:51" s="361" customFormat="1" ht="16.5" customHeight="1" x14ac:dyDescent="0.25">
      <c r="G351" s="359"/>
      <c r="J351" s="417"/>
      <c r="K351" s="417"/>
      <c r="L351" s="417"/>
      <c r="M351" s="417"/>
      <c r="N351" s="363"/>
      <c r="O351" s="356"/>
      <c r="P351" s="419"/>
      <c r="Q351" s="362"/>
      <c r="R351" s="362"/>
      <c r="S351" s="422"/>
      <c r="T351" s="399"/>
      <c r="V351" s="452"/>
      <c r="W351" s="45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448"/>
      <c r="AH351" s="453"/>
      <c r="AL351" s="416"/>
      <c r="AM351" s="416"/>
      <c r="AN351" s="416"/>
      <c r="AO351" s="416"/>
      <c r="AP351" s="416"/>
      <c r="AQ351" s="416"/>
      <c r="AT351" s="364"/>
      <c r="AU351" s="364"/>
      <c r="AV351" s="364"/>
      <c r="AW351" s="364"/>
    </row>
    <row r="352" spans="2:51" s="361" customFormat="1" ht="16.5" customHeight="1" x14ac:dyDescent="0.25">
      <c r="G352" s="359"/>
      <c r="J352" s="417"/>
      <c r="K352" s="417"/>
      <c r="L352" s="417"/>
      <c r="M352" s="417"/>
      <c r="N352" s="363"/>
      <c r="O352" s="356"/>
      <c r="P352" s="419"/>
      <c r="Q352" s="362"/>
      <c r="R352" s="362"/>
      <c r="S352" s="422"/>
      <c r="T352" s="399"/>
      <c r="V352" s="452"/>
      <c r="W352" s="45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448"/>
      <c r="AH352" s="453"/>
      <c r="AL352" s="416"/>
      <c r="AM352" s="416"/>
      <c r="AN352" s="416"/>
      <c r="AO352" s="416"/>
      <c r="AP352" s="416"/>
      <c r="AQ352" s="416"/>
      <c r="AT352" s="364"/>
      <c r="AU352" s="364"/>
      <c r="AV352" s="364"/>
      <c r="AW352" s="364"/>
    </row>
    <row r="353" spans="7:49" s="361" customFormat="1" ht="16.5" customHeight="1" x14ac:dyDescent="0.25">
      <c r="G353" s="451"/>
      <c r="J353" s="417"/>
      <c r="K353" s="417"/>
      <c r="L353" s="417"/>
      <c r="M353" s="417"/>
      <c r="N353" s="363"/>
      <c r="O353" s="356"/>
      <c r="P353" s="419"/>
      <c r="Q353" s="362"/>
      <c r="R353" s="362"/>
      <c r="S353" s="422"/>
      <c r="T353" s="399"/>
      <c r="V353" s="452"/>
      <c r="W353" s="45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448"/>
      <c r="AH353" s="453"/>
      <c r="AL353" s="416"/>
      <c r="AM353" s="416"/>
      <c r="AN353" s="416"/>
      <c r="AO353" s="416"/>
      <c r="AP353" s="416"/>
      <c r="AQ353" s="416"/>
      <c r="AT353" s="364"/>
      <c r="AU353" s="364"/>
      <c r="AV353" s="364"/>
      <c r="AW353" s="364"/>
    </row>
    <row r="354" spans="7:49" s="361" customFormat="1" ht="16.5" customHeight="1" x14ac:dyDescent="0.25">
      <c r="G354" s="359"/>
      <c r="J354" s="417"/>
      <c r="K354" s="417"/>
      <c r="L354" s="417"/>
      <c r="M354" s="417"/>
      <c r="N354" s="363"/>
      <c r="O354" s="356"/>
      <c r="P354" s="419"/>
      <c r="Q354" s="362"/>
      <c r="R354" s="362"/>
      <c r="S354" s="422"/>
      <c r="T354" s="399"/>
      <c r="V354" s="452"/>
      <c r="W354" s="45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448"/>
      <c r="AH354" s="453"/>
      <c r="AL354" s="416"/>
      <c r="AM354" s="416"/>
      <c r="AN354" s="416"/>
      <c r="AO354" s="416"/>
      <c r="AP354" s="416"/>
      <c r="AQ354" s="416"/>
      <c r="AT354" s="364"/>
      <c r="AU354" s="364"/>
      <c r="AV354" s="364"/>
      <c r="AW354" s="364"/>
    </row>
    <row r="355" spans="7:49" s="361" customFormat="1" ht="16.5" customHeight="1" x14ac:dyDescent="0.25">
      <c r="G355" s="359"/>
      <c r="J355" s="417"/>
      <c r="K355" s="417"/>
      <c r="L355" s="417"/>
      <c r="M355" s="417"/>
      <c r="N355" s="363"/>
      <c r="O355" s="356"/>
      <c r="P355" s="419"/>
      <c r="Q355" s="362"/>
      <c r="R355" s="362"/>
      <c r="S355" s="422"/>
      <c r="T355" s="399"/>
      <c r="V355" s="452"/>
      <c r="W355" s="45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448"/>
      <c r="AH355" s="453"/>
      <c r="AL355" s="416"/>
      <c r="AM355" s="416"/>
      <c r="AN355" s="416"/>
      <c r="AO355" s="416"/>
      <c r="AP355" s="416"/>
      <c r="AQ355" s="416"/>
      <c r="AT355" s="364"/>
      <c r="AU355" s="364"/>
      <c r="AV355" s="364"/>
      <c r="AW355" s="364"/>
    </row>
    <row r="356" spans="7:49" s="361" customFormat="1" ht="16.5" customHeight="1" x14ac:dyDescent="0.25">
      <c r="G356" s="359"/>
      <c r="J356" s="417"/>
      <c r="K356" s="417"/>
      <c r="L356" s="417"/>
      <c r="M356" s="417"/>
      <c r="N356" s="363"/>
      <c r="O356" s="356"/>
      <c r="P356" s="419"/>
      <c r="Q356" s="362"/>
      <c r="R356" s="362"/>
      <c r="S356" s="422"/>
      <c r="T356" s="399"/>
      <c r="V356" s="452"/>
      <c r="W356" s="45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448"/>
      <c r="AH356" s="453"/>
      <c r="AL356" s="416"/>
      <c r="AM356" s="416"/>
      <c r="AN356" s="416"/>
      <c r="AO356" s="416"/>
      <c r="AP356" s="416"/>
      <c r="AQ356" s="416"/>
      <c r="AT356" s="364"/>
      <c r="AU356" s="364"/>
      <c r="AV356" s="364"/>
      <c r="AW356" s="364"/>
    </row>
    <row r="357" spans="7:49" s="361" customFormat="1" ht="16.5" customHeight="1" x14ac:dyDescent="0.25">
      <c r="G357" s="359"/>
      <c r="J357" s="417"/>
      <c r="K357" s="417"/>
      <c r="L357" s="417"/>
      <c r="M357" s="417"/>
      <c r="N357" s="363"/>
      <c r="O357" s="356"/>
      <c r="P357" s="419"/>
      <c r="Q357" s="362"/>
      <c r="R357" s="362"/>
      <c r="S357" s="422"/>
      <c r="T357" s="399"/>
      <c r="V357" s="452"/>
      <c r="W357" s="45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448"/>
      <c r="AH357" s="453"/>
      <c r="AL357" s="416"/>
      <c r="AM357" s="416"/>
      <c r="AN357" s="416"/>
      <c r="AO357" s="416"/>
      <c r="AP357" s="416"/>
      <c r="AQ357" s="416"/>
      <c r="AT357" s="364"/>
      <c r="AU357" s="364"/>
      <c r="AV357" s="364"/>
      <c r="AW357" s="364"/>
    </row>
    <row r="358" spans="7:49" s="361" customFormat="1" ht="16.5" customHeight="1" x14ac:dyDescent="0.25">
      <c r="G358" s="359"/>
      <c r="J358" s="417"/>
      <c r="K358" s="417"/>
      <c r="L358" s="417"/>
      <c r="M358" s="417"/>
      <c r="N358" s="363"/>
      <c r="O358" s="356"/>
      <c r="P358" s="419"/>
      <c r="Q358" s="362"/>
      <c r="R358" s="362"/>
      <c r="S358" s="422"/>
      <c r="T358" s="399"/>
      <c r="V358" s="452"/>
      <c r="W358" s="45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448"/>
      <c r="AH358" s="453"/>
      <c r="AL358" s="416"/>
      <c r="AM358" s="416"/>
      <c r="AN358" s="416"/>
      <c r="AO358" s="416"/>
      <c r="AP358" s="416"/>
      <c r="AQ358" s="416"/>
      <c r="AT358" s="364"/>
      <c r="AU358" s="364"/>
      <c r="AV358" s="364"/>
      <c r="AW358" s="364"/>
    </row>
    <row r="359" spans="7:49" s="361" customFormat="1" ht="16.5" customHeight="1" x14ac:dyDescent="0.25">
      <c r="G359" s="359"/>
      <c r="J359" s="417"/>
      <c r="K359" s="417"/>
      <c r="L359" s="417"/>
      <c r="M359" s="417"/>
      <c r="N359" s="363"/>
      <c r="O359" s="356"/>
      <c r="P359" s="419"/>
      <c r="Q359" s="362"/>
      <c r="R359" s="362"/>
      <c r="S359" s="422"/>
      <c r="T359" s="399"/>
      <c r="V359" s="452"/>
      <c r="W359" s="45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448"/>
      <c r="AH359" s="453"/>
      <c r="AL359" s="416"/>
      <c r="AM359" s="416"/>
      <c r="AN359" s="416"/>
      <c r="AO359" s="416"/>
      <c r="AP359" s="416"/>
      <c r="AQ359" s="416"/>
      <c r="AT359" s="364"/>
      <c r="AU359" s="364"/>
      <c r="AV359" s="364"/>
      <c r="AW359" s="364"/>
    </row>
    <row r="360" spans="7:49" s="361" customFormat="1" ht="16.5" customHeight="1" x14ac:dyDescent="0.25">
      <c r="G360" s="359"/>
      <c r="J360" s="417"/>
      <c r="K360" s="417"/>
      <c r="L360" s="417"/>
      <c r="M360" s="417"/>
      <c r="N360" s="363"/>
      <c r="O360" s="356"/>
      <c r="P360" s="419"/>
      <c r="Q360" s="362"/>
      <c r="R360" s="362"/>
      <c r="S360" s="422"/>
      <c r="T360" s="399"/>
      <c r="V360" s="452"/>
      <c r="W360" s="45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448"/>
      <c r="AH360" s="453"/>
      <c r="AL360" s="416"/>
      <c r="AM360" s="416"/>
      <c r="AN360" s="416"/>
      <c r="AO360" s="416"/>
      <c r="AP360" s="416"/>
      <c r="AQ360" s="416"/>
      <c r="AT360" s="364"/>
      <c r="AU360" s="364"/>
      <c r="AV360" s="364"/>
      <c r="AW360" s="364"/>
    </row>
    <row r="361" spans="7:49" s="361" customFormat="1" ht="16.5" customHeight="1" x14ac:dyDescent="0.25">
      <c r="G361" s="359"/>
      <c r="J361" s="417"/>
      <c r="K361" s="417"/>
      <c r="L361" s="417"/>
      <c r="M361" s="417"/>
      <c r="N361" s="363"/>
      <c r="O361" s="356"/>
      <c r="P361" s="419"/>
      <c r="Q361" s="362"/>
      <c r="R361" s="362"/>
      <c r="S361" s="422"/>
      <c r="T361" s="399"/>
      <c r="V361" s="452"/>
      <c r="W361" s="45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448"/>
      <c r="AH361" s="453"/>
      <c r="AL361" s="416"/>
      <c r="AM361" s="416"/>
      <c r="AN361" s="416"/>
      <c r="AO361" s="416"/>
      <c r="AP361" s="416"/>
      <c r="AQ361" s="416"/>
      <c r="AT361" s="364"/>
      <c r="AU361" s="364"/>
      <c r="AV361" s="364"/>
      <c r="AW361" s="364"/>
    </row>
    <row r="362" spans="7:49" s="361" customFormat="1" ht="16.5" customHeight="1" x14ac:dyDescent="0.25">
      <c r="G362" s="359"/>
      <c r="J362" s="417"/>
      <c r="K362" s="417"/>
      <c r="L362" s="417"/>
      <c r="M362" s="417"/>
      <c r="N362" s="363"/>
      <c r="O362" s="356"/>
      <c r="P362" s="419"/>
      <c r="Q362" s="362"/>
      <c r="R362" s="362"/>
      <c r="S362" s="422"/>
      <c r="T362" s="399"/>
      <c r="V362" s="452"/>
      <c r="W362" s="45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448"/>
      <c r="AH362" s="453"/>
      <c r="AL362" s="416"/>
      <c r="AM362" s="416"/>
      <c r="AN362" s="416"/>
      <c r="AO362" s="416"/>
      <c r="AP362" s="416"/>
      <c r="AQ362" s="416"/>
      <c r="AT362" s="364"/>
      <c r="AU362" s="364"/>
      <c r="AV362" s="364"/>
      <c r="AW362" s="364"/>
    </row>
    <row r="363" spans="7:49" s="361" customFormat="1" ht="16.5" customHeight="1" x14ac:dyDescent="0.25">
      <c r="G363" s="359"/>
      <c r="J363" s="417"/>
      <c r="K363" s="417"/>
      <c r="L363" s="417"/>
      <c r="M363" s="417"/>
      <c r="N363" s="363"/>
      <c r="O363" s="356"/>
      <c r="P363" s="419"/>
      <c r="Q363" s="362"/>
      <c r="R363" s="362"/>
      <c r="S363" s="422"/>
      <c r="T363" s="399"/>
      <c r="V363" s="452"/>
      <c r="W363" s="45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448"/>
      <c r="AH363" s="453"/>
      <c r="AL363" s="416"/>
      <c r="AM363" s="416"/>
      <c r="AN363" s="416"/>
      <c r="AO363" s="416"/>
      <c r="AP363" s="416"/>
      <c r="AQ363" s="416"/>
      <c r="AT363" s="364"/>
      <c r="AU363" s="364"/>
      <c r="AV363" s="364"/>
      <c r="AW363" s="364"/>
    </row>
    <row r="364" spans="7:49" s="361" customFormat="1" ht="16.5" customHeight="1" x14ac:dyDescent="0.25">
      <c r="G364" s="359"/>
      <c r="J364" s="417"/>
      <c r="K364" s="417"/>
      <c r="L364" s="417"/>
      <c r="M364" s="417"/>
      <c r="N364" s="363"/>
      <c r="O364" s="356"/>
      <c r="P364" s="419"/>
      <c r="Q364" s="362"/>
      <c r="R364" s="362"/>
      <c r="S364" s="422"/>
      <c r="T364" s="399"/>
      <c r="V364" s="452"/>
      <c r="W364" s="45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448"/>
      <c r="AH364" s="453"/>
      <c r="AL364" s="416"/>
      <c r="AM364" s="416"/>
      <c r="AN364" s="416"/>
      <c r="AO364" s="416"/>
      <c r="AP364" s="416"/>
      <c r="AQ364" s="416"/>
      <c r="AT364" s="364"/>
      <c r="AU364" s="364"/>
      <c r="AV364" s="364"/>
      <c r="AW364" s="364"/>
    </row>
    <row r="365" spans="7:49" s="361" customFormat="1" ht="16.5" customHeight="1" x14ac:dyDescent="0.25">
      <c r="G365" s="359"/>
      <c r="J365" s="417"/>
      <c r="K365" s="417"/>
      <c r="L365" s="417"/>
      <c r="M365" s="417"/>
      <c r="N365" s="363"/>
      <c r="O365" s="356"/>
      <c r="P365" s="419"/>
      <c r="Q365" s="362"/>
      <c r="R365" s="362"/>
      <c r="S365" s="422"/>
      <c r="T365" s="399"/>
      <c r="V365" s="452"/>
      <c r="W365" s="45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448"/>
      <c r="AH365" s="453"/>
      <c r="AL365" s="416"/>
      <c r="AM365" s="416"/>
      <c r="AN365" s="416"/>
      <c r="AO365" s="416"/>
      <c r="AP365" s="416"/>
      <c r="AQ365" s="416"/>
      <c r="AT365" s="364"/>
      <c r="AU365" s="364"/>
      <c r="AV365" s="364"/>
      <c r="AW365" s="364"/>
    </row>
    <row r="366" spans="7:49" s="361" customFormat="1" ht="16.5" customHeight="1" x14ac:dyDescent="0.25">
      <c r="G366" s="359"/>
      <c r="J366" s="417"/>
      <c r="K366" s="417"/>
      <c r="L366" s="417"/>
      <c r="M366" s="417"/>
      <c r="N366" s="363"/>
      <c r="O366" s="356"/>
      <c r="P366" s="419"/>
      <c r="Q366" s="362"/>
      <c r="R366" s="362"/>
      <c r="S366" s="422"/>
      <c r="T366" s="399"/>
      <c r="V366" s="452"/>
      <c r="W366" s="45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448"/>
      <c r="AH366" s="453"/>
      <c r="AL366" s="416"/>
      <c r="AM366" s="416"/>
      <c r="AN366" s="416"/>
      <c r="AO366" s="416"/>
      <c r="AP366" s="416"/>
      <c r="AQ366" s="416"/>
      <c r="AT366" s="364"/>
      <c r="AU366" s="364"/>
      <c r="AV366" s="364"/>
      <c r="AW366" s="364"/>
    </row>
    <row r="367" spans="7:49" s="361" customFormat="1" ht="16.5" customHeight="1" x14ac:dyDescent="0.25">
      <c r="G367" s="359"/>
      <c r="J367" s="417"/>
      <c r="K367" s="417"/>
      <c r="L367" s="417"/>
      <c r="M367" s="417"/>
      <c r="N367" s="363"/>
      <c r="O367" s="356"/>
      <c r="P367" s="419"/>
      <c r="Q367" s="362"/>
      <c r="R367" s="362"/>
      <c r="S367" s="422"/>
      <c r="T367" s="399"/>
      <c r="V367" s="452"/>
      <c r="W367" s="45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448"/>
      <c r="AH367" s="453"/>
      <c r="AL367" s="416"/>
      <c r="AM367" s="416"/>
      <c r="AN367" s="416"/>
      <c r="AO367" s="416"/>
      <c r="AP367" s="416"/>
      <c r="AQ367" s="416"/>
      <c r="AT367" s="364"/>
      <c r="AU367" s="364"/>
      <c r="AV367" s="364"/>
      <c r="AW367" s="364"/>
    </row>
    <row r="368" spans="7:49" s="361" customFormat="1" ht="16.5" customHeight="1" x14ac:dyDescent="0.25">
      <c r="G368" s="359"/>
      <c r="J368" s="417"/>
      <c r="K368" s="417"/>
      <c r="L368" s="417"/>
      <c r="M368" s="417"/>
      <c r="N368" s="363"/>
      <c r="O368" s="356"/>
      <c r="P368" s="419"/>
      <c r="Q368" s="362"/>
      <c r="R368" s="362"/>
      <c r="S368" s="422"/>
      <c r="T368" s="399"/>
      <c r="V368" s="452"/>
      <c r="W368" s="45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448"/>
      <c r="AH368" s="453"/>
      <c r="AL368" s="416"/>
      <c r="AM368" s="416"/>
      <c r="AN368" s="416"/>
      <c r="AO368" s="416"/>
      <c r="AP368" s="416"/>
      <c r="AQ368" s="416"/>
      <c r="AT368" s="364"/>
      <c r="AU368" s="364"/>
      <c r="AV368" s="364"/>
      <c r="AW368" s="364"/>
    </row>
    <row r="369" spans="7:49" s="361" customFormat="1" ht="16.5" customHeight="1" x14ac:dyDescent="0.25">
      <c r="G369" s="359"/>
      <c r="J369" s="417"/>
      <c r="K369" s="417"/>
      <c r="L369" s="417"/>
      <c r="M369" s="417"/>
      <c r="N369" s="363"/>
      <c r="O369" s="356"/>
      <c r="P369" s="419"/>
      <c r="Q369" s="362"/>
      <c r="R369" s="362"/>
      <c r="S369" s="422"/>
      <c r="T369" s="399"/>
      <c r="V369" s="452"/>
      <c r="W369" s="45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448"/>
      <c r="AH369" s="453"/>
      <c r="AL369" s="416"/>
      <c r="AM369" s="416"/>
      <c r="AN369" s="416"/>
      <c r="AO369" s="416"/>
      <c r="AP369" s="416"/>
      <c r="AQ369" s="416"/>
      <c r="AT369" s="364"/>
      <c r="AU369" s="364"/>
      <c r="AV369" s="364"/>
      <c r="AW369" s="364"/>
    </row>
    <row r="370" spans="7:49" s="361" customFormat="1" ht="16.5" customHeight="1" x14ac:dyDescent="0.25">
      <c r="G370" s="359"/>
      <c r="J370" s="417"/>
      <c r="K370" s="417"/>
      <c r="L370" s="417"/>
      <c r="M370" s="417"/>
      <c r="N370" s="363"/>
      <c r="O370" s="356"/>
      <c r="P370" s="419"/>
      <c r="Q370" s="362"/>
      <c r="R370" s="362"/>
      <c r="S370" s="422"/>
      <c r="T370" s="399"/>
      <c r="V370" s="452"/>
      <c r="W370" s="45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448"/>
      <c r="AH370" s="453"/>
      <c r="AL370" s="416"/>
      <c r="AM370" s="416"/>
      <c r="AN370" s="416"/>
      <c r="AO370" s="416"/>
      <c r="AP370" s="416"/>
      <c r="AQ370" s="416"/>
      <c r="AT370" s="364"/>
      <c r="AU370" s="364"/>
      <c r="AV370" s="364"/>
      <c r="AW370" s="364"/>
    </row>
    <row r="371" spans="7:49" s="361" customFormat="1" ht="16.5" customHeight="1" x14ac:dyDescent="0.25">
      <c r="G371" s="359"/>
      <c r="J371" s="417"/>
      <c r="K371" s="417"/>
      <c r="L371" s="417"/>
      <c r="M371" s="417"/>
      <c r="N371" s="363"/>
      <c r="O371" s="356"/>
      <c r="P371" s="419"/>
      <c r="Q371" s="362"/>
      <c r="R371" s="362"/>
      <c r="S371" s="422"/>
      <c r="T371" s="399"/>
      <c r="V371" s="452"/>
      <c r="W371" s="45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448"/>
      <c r="AH371" s="453"/>
      <c r="AL371" s="416"/>
      <c r="AM371" s="416"/>
      <c r="AN371" s="416"/>
      <c r="AO371" s="416"/>
      <c r="AP371" s="416"/>
      <c r="AQ371" s="416"/>
      <c r="AT371" s="364"/>
      <c r="AU371" s="364"/>
      <c r="AV371" s="364"/>
      <c r="AW371" s="364"/>
    </row>
    <row r="372" spans="7:49" s="361" customFormat="1" ht="16.5" customHeight="1" x14ac:dyDescent="0.25">
      <c r="G372" s="359"/>
      <c r="J372" s="417"/>
      <c r="K372" s="417"/>
      <c r="L372" s="417"/>
      <c r="M372" s="417"/>
      <c r="N372" s="363"/>
      <c r="O372" s="356"/>
      <c r="P372" s="419"/>
      <c r="Q372" s="362"/>
      <c r="R372" s="362"/>
      <c r="S372" s="422"/>
      <c r="T372" s="399"/>
      <c r="V372" s="452"/>
      <c r="W372" s="45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448"/>
      <c r="AH372" s="453"/>
      <c r="AL372" s="416"/>
      <c r="AM372" s="416"/>
      <c r="AN372" s="416"/>
      <c r="AO372" s="416"/>
      <c r="AP372" s="416"/>
      <c r="AQ372" s="416"/>
      <c r="AT372" s="364"/>
      <c r="AU372" s="364"/>
      <c r="AV372" s="364"/>
      <c r="AW372" s="364"/>
    </row>
    <row r="373" spans="7:49" s="361" customFormat="1" ht="16.5" customHeight="1" x14ac:dyDescent="0.25">
      <c r="G373" s="359"/>
      <c r="J373" s="417"/>
      <c r="K373" s="417"/>
      <c r="L373" s="417"/>
      <c r="M373" s="417"/>
      <c r="N373" s="363"/>
      <c r="O373" s="356"/>
      <c r="P373" s="419"/>
      <c r="Q373" s="362"/>
      <c r="R373" s="362"/>
      <c r="S373" s="422"/>
      <c r="T373" s="399"/>
      <c r="V373" s="452"/>
      <c r="W373" s="45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448"/>
      <c r="AH373" s="453"/>
      <c r="AL373" s="416"/>
      <c r="AM373" s="416"/>
      <c r="AN373" s="416"/>
      <c r="AO373" s="416"/>
      <c r="AP373" s="416"/>
      <c r="AQ373" s="416"/>
      <c r="AT373" s="364"/>
      <c r="AU373" s="364"/>
      <c r="AV373" s="364"/>
      <c r="AW373" s="364"/>
    </row>
    <row r="374" spans="7:49" s="361" customFormat="1" ht="16.5" customHeight="1" x14ac:dyDescent="0.25">
      <c r="G374" s="359"/>
      <c r="J374" s="417"/>
      <c r="K374" s="417"/>
      <c r="L374" s="417"/>
      <c r="M374" s="417"/>
      <c r="N374" s="363"/>
      <c r="O374" s="356"/>
      <c r="P374" s="419"/>
      <c r="Q374" s="362"/>
      <c r="R374" s="362"/>
      <c r="S374" s="422"/>
      <c r="T374" s="399"/>
      <c r="V374" s="452"/>
      <c r="W374" s="45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448"/>
      <c r="AH374" s="453"/>
      <c r="AL374" s="416"/>
      <c r="AM374" s="416"/>
      <c r="AN374" s="416"/>
      <c r="AO374" s="416"/>
      <c r="AP374" s="416"/>
      <c r="AQ374" s="416"/>
      <c r="AT374" s="364"/>
      <c r="AU374" s="364"/>
      <c r="AV374" s="364"/>
      <c r="AW374" s="364"/>
    </row>
    <row r="375" spans="7:49" s="361" customFormat="1" ht="16.5" customHeight="1" x14ac:dyDescent="0.25">
      <c r="G375" s="359"/>
      <c r="J375" s="417"/>
      <c r="K375" s="417"/>
      <c r="L375" s="417"/>
      <c r="M375" s="417"/>
      <c r="N375" s="363"/>
      <c r="O375" s="356"/>
      <c r="P375" s="419"/>
      <c r="Q375" s="362"/>
      <c r="R375" s="362"/>
      <c r="S375" s="422"/>
      <c r="T375" s="399"/>
      <c r="V375" s="452"/>
      <c r="W375" s="45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448"/>
      <c r="AH375" s="453"/>
      <c r="AL375" s="416"/>
      <c r="AM375" s="416"/>
      <c r="AN375" s="416"/>
      <c r="AO375" s="416"/>
      <c r="AP375" s="416"/>
      <c r="AQ375" s="416"/>
      <c r="AT375" s="364"/>
      <c r="AU375" s="364"/>
      <c r="AV375" s="364"/>
      <c r="AW375" s="364"/>
    </row>
    <row r="376" spans="7:49" s="361" customFormat="1" ht="16.5" customHeight="1" x14ac:dyDescent="0.25">
      <c r="G376" s="359"/>
      <c r="J376" s="417"/>
      <c r="K376" s="417"/>
      <c r="L376" s="417"/>
      <c r="M376" s="417"/>
      <c r="N376" s="363"/>
      <c r="O376" s="356"/>
      <c r="P376" s="419"/>
      <c r="Q376" s="362"/>
      <c r="R376" s="362"/>
      <c r="S376" s="422"/>
      <c r="T376" s="399"/>
      <c r="V376" s="452"/>
      <c r="W376" s="45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448"/>
      <c r="AH376" s="453"/>
      <c r="AL376" s="416"/>
      <c r="AM376" s="416"/>
      <c r="AN376" s="416"/>
      <c r="AO376" s="416"/>
      <c r="AP376" s="416"/>
      <c r="AQ376" s="416"/>
      <c r="AT376" s="364"/>
      <c r="AU376" s="364"/>
      <c r="AV376" s="364"/>
      <c r="AW376" s="364"/>
    </row>
    <row r="377" spans="7:49" s="361" customFormat="1" ht="16.5" customHeight="1" x14ac:dyDescent="0.25">
      <c r="G377" s="359"/>
      <c r="J377" s="417"/>
      <c r="K377" s="417"/>
      <c r="L377" s="417"/>
      <c r="M377" s="417"/>
      <c r="N377" s="363"/>
      <c r="O377" s="356"/>
      <c r="P377" s="419"/>
      <c r="Q377" s="362"/>
      <c r="R377" s="362"/>
      <c r="S377" s="422"/>
      <c r="T377" s="399"/>
      <c r="V377" s="452"/>
      <c r="W377" s="45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448"/>
      <c r="AH377" s="453"/>
      <c r="AL377" s="416"/>
      <c r="AM377" s="416"/>
      <c r="AN377" s="416"/>
      <c r="AO377" s="416"/>
      <c r="AP377" s="416"/>
      <c r="AQ377" s="416"/>
      <c r="AT377" s="364"/>
      <c r="AU377" s="364"/>
      <c r="AV377" s="364"/>
      <c r="AW377" s="364"/>
    </row>
    <row r="378" spans="7:49" s="361" customFormat="1" ht="16.5" customHeight="1" x14ac:dyDescent="0.25">
      <c r="G378" s="359"/>
      <c r="J378" s="417"/>
      <c r="K378" s="417"/>
      <c r="L378" s="417"/>
      <c r="M378" s="417"/>
      <c r="N378" s="363"/>
      <c r="O378" s="356"/>
      <c r="P378" s="419"/>
      <c r="Q378" s="362"/>
      <c r="R378" s="362"/>
      <c r="S378" s="422"/>
      <c r="T378" s="399"/>
      <c r="V378" s="452"/>
      <c r="W378" s="45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448"/>
      <c r="AH378" s="453"/>
      <c r="AL378" s="416"/>
      <c r="AM378" s="416"/>
      <c r="AN378" s="416"/>
      <c r="AO378" s="416"/>
      <c r="AP378" s="416"/>
      <c r="AQ378" s="416"/>
      <c r="AT378" s="364"/>
      <c r="AU378" s="364"/>
      <c r="AV378" s="364"/>
      <c r="AW378" s="364"/>
    </row>
    <row r="379" spans="7:49" s="361" customFormat="1" ht="16.5" customHeight="1" x14ac:dyDescent="0.25">
      <c r="G379" s="359"/>
      <c r="J379" s="417"/>
      <c r="K379" s="417"/>
      <c r="L379" s="417"/>
      <c r="M379" s="417"/>
      <c r="N379" s="363"/>
      <c r="O379" s="356"/>
      <c r="P379" s="419"/>
      <c r="Q379" s="362"/>
      <c r="R379" s="362"/>
      <c r="S379" s="422"/>
      <c r="T379" s="399"/>
      <c r="V379" s="452"/>
      <c r="W379" s="45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448"/>
      <c r="AH379" s="453"/>
      <c r="AL379" s="416"/>
      <c r="AM379" s="416"/>
      <c r="AN379" s="416"/>
      <c r="AO379" s="416"/>
      <c r="AP379" s="416"/>
      <c r="AQ379" s="416"/>
      <c r="AT379" s="364"/>
      <c r="AU379" s="364"/>
      <c r="AV379" s="364"/>
      <c r="AW379" s="364"/>
    </row>
    <row r="380" spans="7:49" s="361" customFormat="1" ht="16.5" customHeight="1" x14ac:dyDescent="0.25">
      <c r="G380" s="359"/>
      <c r="J380" s="417"/>
      <c r="K380" s="417"/>
      <c r="L380" s="417"/>
      <c r="M380" s="417"/>
      <c r="N380" s="363"/>
      <c r="O380" s="356"/>
      <c r="P380" s="419"/>
      <c r="Q380" s="362"/>
      <c r="R380" s="362"/>
      <c r="S380" s="422"/>
      <c r="T380" s="399"/>
      <c r="V380" s="452"/>
      <c r="W380" s="45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448"/>
      <c r="AH380" s="453"/>
      <c r="AL380" s="416"/>
      <c r="AM380" s="416"/>
      <c r="AN380" s="416"/>
      <c r="AO380" s="416"/>
      <c r="AP380" s="416"/>
      <c r="AQ380" s="416"/>
      <c r="AT380" s="364"/>
      <c r="AU380" s="364"/>
      <c r="AV380" s="364"/>
      <c r="AW380" s="364"/>
    </row>
    <row r="381" spans="7:49" s="361" customFormat="1" ht="16.5" customHeight="1" x14ac:dyDescent="0.25">
      <c r="G381" s="359"/>
      <c r="J381" s="417"/>
      <c r="K381" s="417"/>
      <c r="L381" s="417"/>
      <c r="M381" s="417"/>
      <c r="N381" s="363"/>
      <c r="O381" s="356"/>
      <c r="P381" s="419"/>
      <c r="Q381" s="362"/>
      <c r="R381" s="362"/>
      <c r="S381" s="422"/>
      <c r="T381" s="399"/>
      <c r="U381" s="452"/>
      <c r="V381" s="452"/>
      <c r="W381" s="45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448"/>
      <c r="AH381" s="453"/>
      <c r="AL381" s="416"/>
      <c r="AM381" s="416"/>
      <c r="AN381" s="416"/>
      <c r="AO381" s="416"/>
      <c r="AP381" s="416"/>
      <c r="AQ381" s="416"/>
      <c r="AT381" s="364"/>
      <c r="AU381" s="364"/>
      <c r="AV381" s="364"/>
      <c r="AW381" s="364"/>
    </row>
    <row r="382" spans="7:49" s="361" customFormat="1" ht="16.5" customHeight="1" x14ac:dyDescent="0.25">
      <c r="G382" s="359"/>
      <c r="J382" s="417"/>
      <c r="K382" s="417"/>
      <c r="L382" s="417"/>
      <c r="M382" s="417"/>
      <c r="N382" s="363"/>
      <c r="O382" s="356"/>
      <c r="P382" s="419"/>
      <c r="Q382" s="362"/>
      <c r="R382" s="362"/>
      <c r="S382" s="422"/>
      <c r="T382" s="399"/>
      <c r="U382" s="452"/>
      <c r="V382" s="452"/>
      <c r="W382" s="45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448"/>
      <c r="AH382" s="453"/>
      <c r="AL382" s="416"/>
      <c r="AM382" s="416"/>
      <c r="AN382" s="416"/>
      <c r="AO382" s="416"/>
      <c r="AP382" s="416"/>
      <c r="AQ382" s="416"/>
      <c r="AT382" s="364"/>
      <c r="AU382" s="364"/>
      <c r="AV382" s="364"/>
      <c r="AW382" s="364"/>
    </row>
    <row r="383" spans="7:49" s="361" customFormat="1" ht="16.5" customHeight="1" x14ac:dyDescent="0.25">
      <c r="G383" s="359"/>
      <c r="J383" s="417"/>
      <c r="K383" s="417"/>
      <c r="L383" s="417"/>
      <c r="M383" s="417"/>
      <c r="N383" s="363"/>
      <c r="O383" s="356"/>
      <c r="P383" s="419"/>
      <c r="Q383" s="362"/>
      <c r="R383" s="362"/>
      <c r="S383" s="422"/>
      <c r="T383" s="399"/>
      <c r="U383" s="452"/>
      <c r="V383" s="452"/>
      <c r="W383" s="45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448"/>
      <c r="AH383" s="453"/>
      <c r="AL383" s="416"/>
      <c r="AM383" s="416"/>
      <c r="AN383" s="416"/>
      <c r="AO383" s="416"/>
      <c r="AP383" s="416"/>
      <c r="AQ383" s="416"/>
      <c r="AT383" s="364"/>
      <c r="AU383" s="364"/>
      <c r="AV383" s="364"/>
      <c r="AW383" s="364"/>
    </row>
    <row r="384" spans="7:49" s="361" customFormat="1" ht="16.5" customHeight="1" x14ac:dyDescent="0.25">
      <c r="G384" s="359"/>
      <c r="J384" s="417"/>
      <c r="K384" s="417"/>
      <c r="L384" s="417"/>
      <c r="M384" s="417"/>
      <c r="N384" s="363"/>
      <c r="O384" s="356"/>
      <c r="P384" s="419"/>
      <c r="Q384" s="362"/>
      <c r="R384" s="362"/>
      <c r="S384" s="422"/>
      <c r="T384" s="399"/>
      <c r="U384" s="452"/>
      <c r="V384" s="452"/>
      <c r="W384" s="45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448"/>
      <c r="AH384" s="453"/>
      <c r="AL384" s="416"/>
      <c r="AM384" s="416"/>
      <c r="AN384" s="416"/>
      <c r="AO384" s="416"/>
      <c r="AP384" s="416"/>
      <c r="AQ384" s="416"/>
      <c r="AT384" s="364"/>
      <c r="AU384" s="364"/>
      <c r="AV384" s="364"/>
      <c r="AW384" s="364"/>
    </row>
    <row r="385" spans="7:49" s="361" customFormat="1" ht="16.5" customHeight="1" x14ac:dyDescent="0.25">
      <c r="G385" s="359"/>
      <c r="J385" s="417"/>
      <c r="K385" s="417"/>
      <c r="L385" s="417"/>
      <c r="M385" s="417"/>
      <c r="N385" s="363"/>
      <c r="O385" s="356"/>
      <c r="P385" s="419"/>
      <c r="Q385" s="362"/>
      <c r="R385" s="362"/>
      <c r="S385" s="422"/>
      <c r="T385" s="399"/>
      <c r="U385" s="452"/>
      <c r="V385" s="452"/>
      <c r="W385" s="45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448"/>
      <c r="AH385" s="453"/>
      <c r="AL385" s="416"/>
      <c r="AM385" s="416"/>
      <c r="AN385" s="416"/>
      <c r="AO385" s="416"/>
      <c r="AP385" s="416"/>
      <c r="AQ385" s="416"/>
      <c r="AT385" s="364"/>
      <c r="AU385" s="364"/>
      <c r="AV385" s="364"/>
      <c r="AW385" s="364"/>
    </row>
    <row r="386" spans="7:49" s="361" customFormat="1" ht="16.5" customHeight="1" x14ac:dyDescent="0.25">
      <c r="G386" s="359"/>
      <c r="J386" s="417"/>
      <c r="K386" s="417"/>
      <c r="L386" s="417"/>
      <c r="M386" s="417"/>
      <c r="N386" s="363"/>
      <c r="O386" s="356"/>
      <c r="P386" s="419"/>
      <c r="Q386" s="362"/>
      <c r="R386" s="362"/>
      <c r="S386" s="422"/>
      <c r="T386" s="399"/>
      <c r="U386" s="452"/>
      <c r="V386" s="452"/>
      <c r="W386" s="45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448"/>
      <c r="AH386" s="453"/>
      <c r="AL386" s="416"/>
      <c r="AM386" s="416"/>
      <c r="AN386" s="416"/>
      <c r="AO386" s="416"/>
      <c r="AP386" s="416"/>
      <c r="AQ386" s="416"/>
      <c r="AT386" s="364"/>
      <c r="AU386" s="364"/>
      <c r="AV386" s="364"/>
      <c r="AW386" s="364"/>
    </row>
    <row r="387" spans="7:49" s="361" customFormat="1" ht="16.5" customHeight="1" x14ac:dyDescent="0.25">
      <c r="G387" s="359"/>
      <c r="J387" s="417"/>
      <c r="K387" s="417"/>
      <c r="L387" s="417"/>
      <c r="M387" s="417"/>
      <c r="N387" s="363"/>
      <c r="O387" s="356"/>
      <c r="P387" s="419"/>
      <c r="Q387" s="362"/>
      <c r="R387" s="362"/>
      <c r="S387" s="422"/>
      <c r="T387" s="399"/>
      <c r="U387" s="452"/>
      <c r="V387" s="452"/>
      <c r="W387" s="45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448"/>
      <c r="AH387" s="453"/>
      <c r="AL387" s="416"/>
      <c r="AM387" s="416"/>
      <c r="AN387" s="416"/>
      <c r="AO387" s="416"/>
      <c r="AP387" s="416"/>
      <c r="AQ387" s="416"/>
      <c r="AT387" s="364"/>
      <c r="AU387" s="364"/>
      <c r="AV387" s="364"/>
      <c r="AW387" s="364"/>
    </row>
    <row r="388" spans="7:49" s="361" customFormat="1" ht="16.5" customHeight="1" x14ac:dyDescent="0.25">
      <c r="G388" s="359"/>
      <c r="J388" s="417"/>
      <c r="K388" s="417"/>
      <c r="L388" s="417"/>
      <c r="M388" s="417"/>
      <c r="N388" s="363"/>
      <c r="O388" s="356"/>
      <c r="P388" s="419"/>
      <c r="Q388" s="362"/>
      <c r="R388" s="362"/>
      <c r="S388" s="422"/>
      <c r="T388" s="399"/>
      <c r="U388" s="452"/>
      <c r="V388" s="452"/>
      <c r="W388" s="45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448"/>
      <c r="AH388" s="453"/>
      <c r="AL388" s="416"/>
      <c r="AM388" s="416"/>
      <c r="AN388" s="416"/>
      <c r="AO388" s="416"/>
      <c r="AP388" s="416"/>
      <c r="AQ388" s="416"/>
      <c r="AT388" s="364"/>
      <c r="AU388" s="364"/>
      <c r="AV388" s="364"/>
      <c r="AW388" s="364"/>
    </row>
    <row r="389" spans="7:49" s="361" customFormat="1" ht="16.5" customHeight="1" x14ac:dyDescent="0.25">
      <c r="G389" s="359"/>
      <c r="J389" s="417"/>
      <c r="K389" s="417"/>
      <c r="L389" s="417"/>
      <c r="M389" s="417"/>
      <c r="N389" s="363"/>
      <c r="O389" s="356"/>
      <c r="P389" s="419"/>
      <c r="Q389" s="362"/>
      <c r="R389" s="362"/>
      <c r="S389" s="422"/>
      <c r="T389" s="399"/>
      <c r="U389" s="452"/>
      <c r="V389" s="452"/>
      <c r="W389" s="45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448"/>
      <c r="AH389" s="453"/>
      <c r="AL389" s="416"/>
      <c r="AM389" s="416"/>
      <c r="AN389" s="416"/>
      <c r="AO389" s="416"/>
      <c r="AP389" s="416"/>
      <c r="AQ389" s="416"/>
      <c r="AT389" s="364"/>
      <c r="AU389" s="364"/>
      <c r="AV389" s="364"/>
      <c r="AW389" s="364"/>
    </row>
    <row r="390" spans="7:49" s="361" customFormat="1" ht="16.5" customHeight="1" x14ac:dyDescent="0.25">
      <c r="G390" s="359"/>
      <c r="J390" s="417"/>
      <c r="K390" s="417"/>
      <c r="L390" s="417"/>
      <c r="M390" s="417"/>
      <c r="N390" s="363"/>
      <c r="O390" s="356"/>
      <c r="P390" s="419"/>
      <c r="Q390" s="362"/>
      <c r="R390" s="362"/>
      <c r="S390" s="422"/>
      <c r="T390" s="399"/>
      <c r="U390" s="452"/>
      <c r="V390" s="452"/>
      <c r="W390" s="45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448"/>
      <c r="AH390" s="453"/>
      <c r="AL390" s="416"/>
      <c r="AM390" s="416"/>
      <c r="AN390" s="416"/>
      <c r="AO390" s="416"/>
      <c r="AP390" s="416"/>
      <c r="AQ390" s="416"/>
      <c r="AT390" s="364"/>
      <c r="AU390" s="364"/>
      <c r="AV390" s="364"/>
      <c r="AW390" s="364"/>
    </row>
    <row r="391" spans="7:49" s="361" customFormat="1" ht="16.5" customHeight="1" x14ac:dyDescent="0.25">
      <c r="G391" s="359"/>
      <c r="J391" s="417"/>
      <c r="K391" s="417"/>
      <c r="L391" s="417"/>
      <c r="M391" s="417"/>
      <c r="N391" s="363"/>
      <c r="O391" s="356"/>
      <c r="P391" s="419"/>
      <c r="Q391" s="362"/>
      <c r="R391" s="362"/>
      <c r="S391" s="422"/>
      <c r="T391" s="399"/>
      <c r="U391" s="452"/>
      <c r="V391" s="452"/>
      <c r="W391" s="45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448"/>
      <c r="AH391" s="453"/>
      <c r="AL391" s="416"/>
      <c r="AM391" s="416"/>
      <c r="AN391" s="416"/>
      <c r="AO391" s="416"/>
      <c r="AP391" s="416"/>
      <c r="AQ391" s="416"/>
      <c r="AT391" s="364"/>
      <c r="AU391" s="364"/>
      <c r="AV391" s="364"/>
      <c r="AW391" s="364"/>
    </row>
    <row r="392" spans="7:49" s="361" customFormat="1" ht="16.5" customHeight="1" x14ac:dyDescent="0.25">
      <c r="G392" s="359"/>
      <c r="J392" s="417"/>
      <c r="K392" s="417"/>
      <c r="L392" s="417"/>
      <c r="M392" s="417"/>
      <c r="N392" s="363"/>
      <c r="O392" s="356"/>
      <c r="P392" s="419"/>
      <c r="Q392" s="362"/>
      <c r="R392" s="362"/>
      <c r="S392" s="422"/>
      <c r="T392" s="399"/>
      <c r="U392" s="452"/>
      <c r="V392" s="452"/>
      <c r="W392" s="45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448"/>
      <c r="AH392" s="453"/>
      <c r="AL392" s="416"/>
      <c r="AM392" s="416"/>
      <c r="AN392" s="416"/>
      <c r="AO392" s="416"/>
      <c r="AP392" s="416"/>
      <c r="AQ392" s="416"/>
      <c r="AT392" s="364"/>
      <c r="AU392" s="364"/>
      <c r="AV392" s="364"/>
      <c r="AW392" s="364"/>
    </row>
    <row r="393" spans="7:49" s="361" customFormat="1" ht="16.5" customHeight="1" x14ac:dyDescent="0.25">
      <c r="G393" s="359"/>
      <c r="J393" s="417"/>
      <c r="K393" s="417"/>
      <c r="L393" s="417"/>
      <c r="M393" s="417"/>
      <c r="N393" s="363"/>
      <c r="O393" s="356"/>
      <c r="P393" s="419"/>
      <c r="Q393" s="362"/>
      <c r="R393" s="362"/>
      <c r="S393" s="422"/>
      <c r="T393" s="399"/>
      <c r="U393" s="452"/>
      <c r="V393" s="452"/>
      <c r="W393" s="45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448"/>
      <c r="AH393" s="453"/>
      <c r="AL393" s="416"/>
      <c r="AM393" s="416"/>
      <c r="AN393" s="416"/>
      <c r="AO393" s="416"/>
      <c r="AP393" s="416"/>
      <c r="AQ393" s="416"/>
      <c r="AT393" s="364"/>
      <c r="AU393" s="364"/>
      <c r="AV393" s="364"/>
      <c r="AW393" s="364"/>
    </row>
    <row r="394" spans="7:49" s="361" customFormat="1" ht="16.5" customHeight="1" x14ac:dyDescent="0.25">
      <c r="G394" s="359"/>
      <c r="J394" s="417"/>
      <c r="K394" s="417"/>
      <c r="L394" s="417"/>
      <c r="M394" s="417"/>
      <c r="N394" s="363"/>
      <c r="O394" s="356"/>
      <c r="P394" s="419"/>
      <c r="Q394" s="362"/>
      <c r="R394" s="362"/>
      <c r="S394" s="422"/>
      <c r="T394" s="399"/>
      <c r="U394" s="452"/>
      <c r="V394" s="452"/>
      <c r="W394" s="45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448"/>
      <c r="AH394" s="453"/>
      <c r="AL394" s="416"/>
      <c r="AM394" s="416"/>
      <c r="AN394" s="416"/>
      <c r="AO394" s="416"/>
      <c r="AP394" s="416"/>
      <c r="AQ394" s="416"/>
      <c r="AT394" s="364"/>
      <c r="AU394" s="364"/>
      <c r="AV394" s="364"/>
      <c r="AW394" s="364"/>
    </row>
    <row r="395" spans="7:49" s="361" customFormat="1" ht="16.5" customHeight="1" x14ac:dyDescent="0.25">
      <c r="G395" s="359"/>
      <c r="J395" s="417"/>
      <c r="K395" s="417"/>
      <c r="L395" s="417"/>
      <c r="M395" s="417"/>
      <c r="N395" s="363"/>
      <c r="O395" s="356"/>
      <c r="P395" s="419"/>
      <c r="Q395" s="362"/>
      <c r="R395" s="362"/>
      <c r="S395" s="422"/>
      <c r="T395" s="399"/>
      <c r="U395" s="452"/>
      <c r="V395" s="452"/>
      <c r="W395" s="45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448"/>
      <c r="AH395" s="453"/>
      <c r="AL395" s="416"/>
      <c r="AM395" s="416"/>
      <c r="AN395" s="416"/>
      <c r="AO395" s="416"/>
      <c r="AP395" s="416"/>
      <c r="AQ395" s="416"/>
      <c r="AT395" s="364"/>
      <c r="AU395" s="364"/>
      <c r="AV395" s="364"/>
      <c r="AW395" s="364"/>
    </row>
    <row r="396" spans="7:49" s="361" customFormat="1" ht="16.5" customHeight="1" x14ac:dyDescent="0.25">
      <c r="G396" s="359"/>
      <c r="J396" s="417"/>
      <c r="K396" s="417"/>
      <c r="L396" s="417"/>
      <c r="M396" s="417"/>
      <c r="N396" s="363"/>
      <c r="O396" s="356"/>
      <c r="P396" s="419"/>
      <c r="Q396" s="362"/>
      <c r="R396" s="362"/>
      <c r="S396" s="422"/>
      <c r="T396" s="399"/>
      <c r="U396" s="452"/>
      <c r="V396" s="452"/>
      <c r="W396" s="45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448"/>
      <c r="AH396" s="453"/>
      <c r="AL396" s="416"/>
      <c r="AM396" s="416"/>
      <c r="AN396" s="416"/>
      <c r="AO396" s="416"/>
      <c r="AP396" s="416"/>
      <c r="AQ396" s="416"/>
      <c r="AT396" s="364"/>
      <c r="AU396" s="364"/>
      <c r="AV396" s="364"/>
      <c r="AW396" s="364"/>
    </row>
    <row r="397" spans="7:49" s="361" customFormat="1" ht="16.5" customHeight="1" x14ac:dyDescent="0.25">
      <c r="G397" s="359"/>
      <c r="J397" s="417"/>
      <c r="K397" s="417"/>
      <c r="L397" s="417"/>
      <c r="M397" s="417"/>
      <c r="N397" s="363"/>
      <c r="O397" s="356"/>
      <c r="P397" s="419"/>
      <c r="Q397" s="362"/>
      <c r="R397" s="362"/>
      <c r="S397" s="422"/>
      <c r="T397" s="399"/>
      <c r="U397" s="452"/>
      <c r="V397" s="452"/>
      <c r="W397" s="45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448"/>
      <c r="AH397" s="453"/>
      <c r="AL397" s="416"/>
      <c r="AM397" s="416"/>
      <c r="AN397" s="416"/>
      <c r="AO397" s="416"/>
      <c r="AP397" s="416"/>
      <c r="AQ397" s="416"/>
      <c r="AT397" s="364"/>
      <c r="AU397" s="364"/>
      <c r="AV397" s="364"/>
      <c r="AW397" s="364"/>
    </row>
    <row r="398" spans="7:49" s="361" customFormat="1" ht="16.5" customHeight="1" x14ac:dyDescent="0.25">
      <c r="G398" s="359"/>
      <c r="J398" s="417"/>
      <c r="K398" s="417"/>
      <c r="L398" s="417"/>
      <c r="M398" s="417"/>
      <c r="N398" s="363"/>
      <c r="O398" s="356"/>
      <c r="P398" s="419"/>
      <c r="Q398" s="362"/>
      <c r="R398" s="362"/>
      <c r="S398" s="422"/>
      <c r="T398" s="399"/>
      <c r="U398" s="452"/>
      <c r="V398" s="452"/>
      <c r="W398" s="45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448"/>
      <c r="AH398" s="453"/>
      <c r="AL398" s="416"/>
      <c r="AM398" s="416"/>
      <c r="AN398" s="416"/>
      <c r="AO398" s="416"/>
      <c r="AP398" s="416"/>
      <c r="AQ398" s="416"/>
      <c r="AT398" s="364"/>
      <c r="AU398" s="364"/>
      <c r="AV398" s="364"/>
      <c r="AW398" s="364"/>
    </row>
    <row r="399" spans="7:49" s="361" customFormat="1" ht="16.5" customHeight="1" x14ac:dyDescent="0.25">
      <c r="G399" s="359"/>
      <c r="J399" s="417"/>
      <c r="K399" s="417"/>
      <c r="L399" s="417"/>
      <c r="M399" s="417"/>
      <c r="N399" s="363"/>
      <c r="O399" s="356"/>
      <c r="P399" s="419"/>
      <c r="Q399" s="362"/>
      <c r="R399" s="362"/>
      <c r="S399" s="422"/>
      <c r="T399" s="399"/>
      <c r="U399" s="452"/>
      <c r="V399" s="452"/>
      <c r="W399" s="45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448"/>
      <c r="AH399" s="453"/>
      <c r="AL399" s="416"/>
      <c r="AM399" s="416"/>
      <c r="AN399" s="416"/>
      <c r="AO399" s="416"/>
      <c r="AP399" s="416"/>
      <c r="AQ399" s="416"/>
      <c r="AT399" s="364"/>
      <c r="AU399" s="364"/>
      <c r="AV399" s="364"/>
      <c r="AW399" s="364"/>
    </row>
    <row r="400" spans="7:49" s="361" customFormat="1" ht="16.5" customHeight="1" x14ac:dyDescent="0.25">
      <c r="G400" s="359"/>
      <c r="J400" s="417"/>
      <c r="K400" s="417"/>
      <c r="L400" s="417"/>
      <c r="M400" s="417"/>
      <c r="N400" s="363"/>
      <c r="O400" s="356"/>
      <c r="P400" s="419"/>
      <c r="Q400" s="362"/>
      <c r="R400" s="362"/>
      <c r="S400" s="422"/>
      <c r="T400" s="399"/>
      <c r="U400" s="452"/>
      <c r="V400" s="452"/>
      <c r="W400" s="45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448"/>
      <c r="AH400" s="453"/>
      <c r="AL400" s="416"/>
      <c r="AM400" s="416"/>
      <c r="AN400" s="416"/>
      <c r="AO400" s="416"/>
      <c r="AP400" s="416"/>
      <c r="AQ400" s="416"/>
      <c r="AT400" s="364"/>
      <c r="AU400" s="364"/>
      <c r="AV400" s="364"/>
      <c r="AW400" s="364"/>
    </row>
    <row r="401" spans="1:67" s="361" customFormat="1" ht="16.5" customHeight="1" x14ac:dyDescent="0.25">
      <c r="G401" s="359"/>
      <c r="J401" s="417"/>
      <c r="K401" s="417"/>
      <c r="L401" s="417"/>
      <c r="M401" s="417"/>
      <c r="N401" s="363"/>
      <c r="O401" s="356"/>
      <c r="P401" s="419"/>
      <c r="Q401" s="362"/>
      <c r="R401" s="362"/>
      <c r="S401" s="422"/>
      <c r="T401" s="399"/>
      <c r="U401" s="452"/>
      <c r="V401" s="452"/>
      <c r="W401" s="45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448"/>
      <c r="AH401" s="453"/>
      <c r="AL401" s="416"/>
      <c r="AM401" s="416"/>
      <c r="AN401" s="416"/>
      <c r="AO401" s="416"/>
      <c r="AP401" s="416"/>
      <c r="AQ401" s="416"/>
      <c r="AT401" s="364"/>
      <c r="AU401" s="364"/>
      <c r="AV401" s="364"/>
      <c r="AW401" s="364"/>
    </row>
    <row r="402" spans="1:67" s="361" customFormat="1" ht="16.5" customHeight="1" x14ac:dyDescent="0.25">
      <c r="G402" s="359"/>
      <c r="J402" s="417"/>
      <c r="K402" s="417"/>
      <c r="L402" s="417"/>
      <c r="M402" s="417"/>
      <c r="N402" s="363"/>
      <c r="O402" s="356"/>
      <c r="P402" s="419"/>
      <c r="Q402" s="362"/>
      <c r="R402" s="362"/>
      <c r="S402" s="422"/>
      <c r="T402" s="399"/>
      <c r="U402" s="452"/>
      <c r="V402" s="452"/>
      <c r="W402" s="45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448"/>
      <c r="AH402" s="453"/>
      <c r="AL402" s="416"/>
      <c r="AM402" s="416"/>
      <c r="AN402" s="416"/>
      <c r="AO402" s="416"/>
      <c r="AP402" s="416"/>
      <c r="AQ402" s="416"/>
      <c r="AT402" s="364"/>
      <c r="AU402" s="364"/>
      <c r="AV402" s="364"/>
      <c r="AW402" s="364"/>
    </row>
    <row r="403" spans="1:67" s="361" customFormat="1" ht="16.5" customHeight="1" x14ac:dyDescent="0.25">
      <c r="G403" s="359"/>
      <c r="J403" s="417"/>
      <c r="K403" s="417"/>
      <c r="L403" s="417"/>
      <c r="M403" s="417"/>
      <c r="N403" s="363"/>
      <c r="O403" s="356"/>
      <c r="P403" s="419"/>
      <c r="Q403" s="362"/>
      <c r="R403" s="362"/>
      <c r="S403" s="422"/>
      <c r="T403" s="399"/>
      <c r="U403" s="452"/>
      <c r="V403" s="452"/>
      <c r="W403" s="45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448"/>
      <c r="AH403" s="453"/>
      <c r="AL403" s="416"/>
      <c r="AM403" s="416"/>
      <c r="AN403" s="416"/>
      <c r="AO403" s="416"/>
      <c r="AP403" s="416"/>
      <c r="AQ403" s="416"/>
      <c r="AT403" s="364"/>
      <c r="AU403" s="364"/>
      <c r="AV403" s="364"/>
      <c r="AW403" s="364"/>
    </row>
    <row r="404" spans="1:67" s="361" customFormat="1" ht="16.5" customHeight="1" x14ac:dyDescent="0.25">
      <c r="G404" s="359"/>
      <c r="J404" s="417"/>
      <c r="K404" s="417"/>
      <c r="L404" s="417"/>
      <c r="M404" s="417"/>
      <c r="N404" s="363"/>
      <c r="O404" s="356"/>
      <c r="P404" s="419"/>
      <c r="Q404" s="362"/>
      <c r="R404" s="362"/>
      <c r="S404" s="422"/>
      <c r="T404" s="399"/>
      <c r="U404" s="452"/>
      <c r="V404" s="452"/>
      <c r="W404" s="45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448"/>
      <c r="AH404" s="453"/>
      <c r="AL404" s="416"/>
      <c r="AM404" s="416"/>
      <c r="AN404" s="416"/>
      <c r="AO404" s="416"/>
      <c r="AP404" s="416"/>
      <c r="AQ404" s="416"/>
      <c r="AT404" s="364"/>
      <c r="AU404" s="364"/>
      <c r="AV404" s="364"/>
      <c r="AW404" s="364"/>
    </row>
    <row r="405" spans="1:67" s="361" customFormat="1" ht="16.5" customHeight="1" x14ac:dyDescent="0.25">
      <c r="G405" s="359"/>
      <c r="J405" s="417"/>
      <c r="K405" s="417"/>
      <c r="L405" s="417"/>
      <c r="M405" s="417"/>
      <c r="N405" s="363"/>
      <c r="O405" s="356"/>
      <c r="P405" s="419"/>
      <c r="Q405" s="362"/>
      <c r="R405" s="362"/>
      <c r="S405" s="422"/>
      <c r="T405" s="399"/>
      <c r="U405" s="452"/>
      <c r="V405" s="452"/>
      <c r="W405" s="45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448"/>
      <c r="AH405" s="453"/>
      <c r="AL405" s="416"/>
      <c r="AM405" s="416"/>
      <c r="AN405" s="416"/>
      <c r="AO405" s="416"/>
      <c r="AP405" s="416"/>
      <c r="AQ405" s="416"/>
      <c r="AT405" s="364"/>
      <c r="AU405" s="364"/>
      <c r="AV405" s="364"/>
      <c r="AW405" s="364"/>
    </row>
    <row r="406" spans="1:67" s="361" customFormat="1" ht="16.5" customHeight="1" x14ac:dyDescent="0.25">
      <c r="G406" s="359"/>
      <c r="J406" s="417"/>
      <c r="K406" s="417"/>
      <c r="L406" s="417"/>
      <c r="M406" s="417"/>
      <c r="N406" s="363"/>
      <c r="O406" s="356"/>
      <c r="P406" s="419"/>
      <c r="Q406" s="362"/>
      <c r="R406" s="362"/>
      <c r="S406" s="422"/>
      <c r="T406" s="399"/>
      <c r="U406" s="452"/>
      <c r="V406" s="452"/>
      <c r="W406" s="45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448"/>
      <c r="AH406" s="453"/>
      <c r="AL406" s="416"/>
      <c r="AM406" s="416"/>
      <c r="AN406" s="416"/>
      <c r="AO406" s="416"/>
      <c r="AP406" s="416"/>
      <c r="AQ406" s="416"/>
      <c r="AT406" s="364"/>
      <c r="AU406" s="364"/>
      <c r="AV406" s="364"/>
      <c r="AW406" s="364"/>
    </row>
    <row r="407" spans="1:67" s="361" customFormat="1" ht="16.5" customHeight="1" x14ac:dyDescent="0.25">
      <c r="G407" s="359"/>
      <c r="J407" s="417"/>
      <c r="K407" s="417"/>
      <c r="L407" s="417"/>
      <c r="M407" s="417"/>
      <c r="N407" s="363"/>
      <c r="O407" s="356"/>
      <c r="P407" s="419"/>
      <c r="Q407" s="362"/>
      <c r="R407" s="362"/>
      <c r="S407" s="422"/>
      <c r="T407" s="399"/>
      <c r="U407" s="452"/>
      <c r="V407" s="452"/>
      <c r="W407" s="45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448"/>
      <c r="AH407" s="453"/>
      <c r="AL407" s="416"/>
      <c r="AM407" s="416"/>
      <c r="AN407" s="416"/>
      <c r="AO407" s="416"/>
      <c r="AP407" s="416"/>
      <c r="AQ407" s="416"/>
      <c r="AT407" s="364"/>
      <c r="AU407" s="364"/>
      <c r="AV407" s="364"/>
      <c r="AW407" s="364"/>
    </row>
    <row r="408" spans="1:67" s="361" customFormat="1" ht="16.5" customHeight="1" x14ac:dyDescent="0.25">
      <c r="G408" s="359"/>
      <c r="J408" s="417"/>
      <c r="K408" s="417"/>
      <c r="L408" s="417"/>
      <c r="M408" s="417"/>
      <c r="N408" s="363"/>
      <c r="O408" s="356"/>
      <c r="P408" s="419"/>
      <c r="Q408" s="362"/>
      <c r="R408" s="362"/>
      <c r="S408" s="422"/>
      <c r="T408" s="399"/>
      <c r="U408" s="452"/>
      <c r="V408" s="452"/>
      <c r="W408" s="45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448"/>
      <c r="AH408" s="453"/>
      <c r="AL408" s="416"/>
      <c r="AM408" s="416"/>
      <c r="AN408" s="416"/>
      <c r="AO408" s="416"/>
      <c r="AP408" s="416"/>
      <c r="AQ408" s="416"/>
      <c r="AT408" s="364"/>
      <c r="AU408" s="364"/>
      <c r="AV408" s="364"/>
      <c r="AW408" s="364"/>
    </row>
    <row r="409" spans="1:67" s="361" customFormat="1" ht="16.5" customHeight="1" x14ac:dyDescent="0.25">
      <c r="G409" s="359"/>
      <c r="J409" s="417"/>
      <c r="K409" s="417"/>
      <c r="L409" s="417"/>
      <c r="M409" s="417"/>
      <c r="N409" s="363"/>
      <c r="O409" s="356"/>
      <c r="P409" s="419"/>
      <c r="Q409" s="362"/>
      <c r="R409" s="362"/>
      <c r="S409" s="422"/>
      <c r="T409" s="399"/>
      <c r="U409" s="452"/>
      <c r="V409" s="452"/>
      <c r="W409" s="45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448"/>
      <c r="AH409" s="453"/>
      <c r="AL409" s="416"/>
      <c r="AM409" s="416"/>
      <c r="AN409" s="416"/>
      <c r="AO409" s="416"/>
      <c r="AP409" s="416"/>
      <c r="AQ409" s="416"/>
      <c r="AT409" s="364"/>
      <c r="AU409" s="364"/>
      <c r="AV409" s="364"/>
      <c r="AW409" s="364"/>
    </row>
    <row r="410" spans="1:67" s="361" customFormat="1" ht="16.5" customHeight="1" x14ac:dyDescent="0.25">
      <c r="G410" s="359"/>
      <c r="J410" s="417"/>
      <c r="K410" s="417"/>
      <c r="L410" s="417"/>
      <c r="M410" s="417"/>
      <c r="N410" s="363"/>
      <c r="O410" s="356"/>
      <c r="P410" s="419"/>
      <c r="Q410" s="362"/>
      <c r="R410" s="362"/>
      <c r="S410" s="422"/>
      <c r="T410" s="399"/>
      <c r="U410" s="452"/>
      <c r="V410" s="452"/>
      <c r="W410" s="45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448"/>
      <c r="AH410" s="453"/>
      <c r="AL410" s="416"/>
      <c r="AM410" s="416"/>
      <c r="AN410" s="416"/>
      <c r="AO410" s="416"/>
      <c r="AP410" s="416"/>
      <c r="AQ410" s="416"/>
      <c r="AT410" s="364"/>
      <c r="AU410" s="364"/>
      <c r="AV410" s="364"/>
      <c r="AW410" s="364"/>
    </row>
    <row r="411" spans="1:67" s="361" customFormat="1" ht="16.5" customHeight="1" x14ac:dyDescent="0.25">
      <c r="G411" s="359"/>
      <c r="J411" s="417"/>
      <c r="K411" s="417"/>
      <c r="L411" s="417"/>
      <c r="M411" s="417"/>
      <c r="N411" s="363"/>
      <c r="O411" s="356"/>
      <c r="P411" s="419"/>
      <c r="Q411" s="362"/>
      <c r="R411" s="362"/>
      <c r="S411" s="422"/>
      <c r="T411" s="399"/>
      <c r="U411" s="452"/>
      <c r="V411" s="452"/>
      <c r="W411" s="45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448"/>
      <c r="AH411" s="453"/>
      <c r="AL411" s="416"/>
      <c r="AM411" s="416"/>
      <c r="AN411" s="416"/>
      <c r="AO411" s="416"/>
      <c r="AP411" s="416"/>
      <c r="AQ411" s="416"/>
      <c r="AT411" s="364"/>
      <c r="AU411" s="364"/>
      <c r="AV411" s="364"/>
      <c r="AW411" s="364"/>
    </row>
    <row r="412" spans="1:67" s="361" customFormat="1" ht="16.5" customHeight="1" x14ac:dyDescent="0.25">
      <c r="G412" s="359"/>
      <c r="J412" s="417"/>
      <c r="K412" s="417"/>
      <c r="L412" s="417"/>
      <c r="M412" s="417"/>
      <c r="N412" s="363"/>
      <c r="O412" s="356"/>
      <c r="P412" s="419"/>
      <c r="Q412" s="362"/>
      <c r="R412" s="362"/>
      <c r="S412" s="422"/>
      <c r="T412" s="399"/>
      <c r="U412" s="452"/>
      <c r="V412" s="452"/>
      <c r="W412" s="45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448"/>
      <c r="AH412" s="453"/>
      <c r="AL412" s="416"/>
      <c r="AM412" s="416"/>
      <c r="AN412" s="416"/>
      <c r="AO412" s="416"/>
      <c r="AP412" s="416"/>
      <c r="AQ412" s="416"/>
      <c r="AT412" s="364"/>
      <c r="AU412" s="364"/>
      <c r="AV412" s="364"/>
      <c r="AW412" s="364"/>
    </row>
    <row r="413" spans="1:67" s="361" customFormat="1" ht="16.5" customHeight="1" x14ac:dyDescent="0.25">
      <c r="G413" s="359"/>
      <c r="J413" s="417"/>
      <c r="K413" s="417"/>
      <c r="L413" s="417"/>
      <c r="M413" s="417"/>
      <c r="N413" s="363"/>
      <c r="O413" s="356"/>
      <c r="P413" s="419"/>
      <c r="Q413" s="362"/>
      <c r="R413" s="362"/>
      <c r="S413" s="422"/>
      <c r="T413" s="399"/>
      <c r="U413" s="452"/>
      <c r="V413" s="452"/>
      <c r="W413" s="45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448"/>
      <c r="AH413" s="453"/>
      <c r="AL413" s="416"/>
      <c r="AM413" s="416"/>
      <c r="AN413" s="416"/>
      <c r="AO413" s="416"/>
      <c r="AP413" s="416"/>
      <c r="AQ413" s="416"/>
      <c r="AT413" s="364"/>
      <c r="AU413" s="364"/>
      <c r="AV413" s="364"/>
      <c r="AW413" s="364"/>
    </row>
    <row r="414" spans="1:67" s="361" customFormat="1" ht="16.5" customHeight="1" x14ac:dyDescent="0.25">
      <c r="G414" s="359"/>
      <c r="J414" s="417"/>
      <c r="K414" s="417"/>
      <c r="L414" s="417"/>
      <c r="M414" s="417"/>
      <c r="N414" s="363"/>
      <c r="O414" s="356"/>
      <c r="P414" s="419"/>
      <c r="Q414" s="362"/>
      <c r="R414" s="362"/>
      <c r="S414" s="422"/>
      <c r="T414" s="399"/>
      <c r="U414" s="452"/>
      <c r="V414" s="452"/>
      <c r="W414" s="45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448"/>
      <c r="AH414" s="453"/>
      <c r="AL414" s="416"/>
      <c r="AM414" s="416"/>
      <c r="AN414" s="416"/>
      <c r="AO414" s="416"/>
      <c r="AP414" s="416"/>
      <c r="AQ414" s="416"/>
      <c r="AT414" s="364"/>
      <c r="AU414" s="364"/>
      <c r="AV414" s="364"/>
      <c r="AW414" s="364"/>
    </row>
    <row r="415" spans="1:67" s="361" customFormat="1" ht="16.5" customHeight="1" x14ac:dyDescent="0.25">
      <c r="G415" s="359"/>
      <c r="J415" s="417"/>
      <c r="K415" s="417"/>
      <c r="L415" s="417"/>
      <c r="M415" s="417"/>
      <c r="N415" s="363"/>
      <c r="O415" s="356"/>
      <c r="P415" s="419"/>
      <c r="Q415" s="362"/>
      <c r="R415" s="362"/>
      <c r="S415" s="422"/>
      <c r="T415" s="399"/>
      <c r="U415" s="452"/>
      <c r="V415" s="452"/>
      <c r="W415" s="45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448"/>
      <c r="AH415" s="453"/>
      <c r="AL415" s="416"/>
      <c r="AM415" s="416"/>
      <c r="AN415" s="416"/>
      <c r="AO415" s="416"/>
      <c r="AP415" s="416"/>
      <c r="AQ415" s="416"/>
      <c r="AT415" s="364"/>
      <c r="AU415" s="364"/>
      <c r="AV415" s="364"/>
      <c r="AW415" s="364"/>
    </row>
    <row r="416" spans="1:67" s="351" customFormat="1" x14ac:dyDescent="0.25">
      <c r="A416" s="336"/>
      <c r="B416" s="336"/>
      <c r="C416" s="336"/>
      <c r="D416" s="336"/>
      <c r="E416" s="336"/>
      <c r="F416" s="336"/>
      <c r="G416" s="336"/>
      <c r="H416" s="336"/>
      <c r="I416" s="336"/>
      <c r="K416" s="399"/>
      <c r="L416" s="399"/>
      <c r="M416" s="399"/>
      <c r="N416" s="352"/>
      <c r="O416" s="364"/>
      <c r="P416" s="353"/>
      <c r="Q416" s="353"/>
      <c r="S416" s="353"/>
      <c r="T416" s="399"/>
      <c r="AJ416" s="336"/>
      <c r="AK416" s="336"/>
      <c r="AL416" s="336"/>
      <c r="AM416" s="336"/>
      <c r="AN416" s="336"/>
      <c r="AO416" s="336"/>
      <c r="AP416" s="336"/>
      <c r="AQ416" s="336"/>
      <c r="AR416" s="336"/>
      <c r="AS416" s="336"/>
      <c r="AT416" s="364"/>
      <c r="AU416" s="364"/>
      <c r="AV416" s="364"/>
      <c r="AY416" s="336"/>
      <c r="AZ416" s="336"/>
      <c r="BA416" s="336"/>
      <c r="BB416" s="336"/>
      <c r="BC416" s="336"/>
      <c r="BD416" s="336"/>
      <c r="BE416" s="336"/>
      <c r="BF416" s="336"/>
      <c r="BG416" s="336"/>
      <c r="BH416" s="336"/>
      <c r="BI416" s="336"/>
      <c r="BJ416" s="336"/>
      <c r="BK416" s="336"/>
      <c r="BL416" s="336"/>
      <c r="BM416" s="336"/>
      <c r="BN416" s="336"/>
      <c r="BO416" s="336"/>
    </row>
    <row r="418" spans="1:52" ht="16.5" customHeight="1" x14ac:dyDescent="0.25">
      <c r="A418" s="454"/>
      <c r="B418" s="454"/>
    </row>
    <row r="419" spans="1:52" ht="16.5" customHeight="1" x14ac:dyDescent="0.25">
      <c r="A419" s="249" t="s">
        <v>78</v>
      </c>
      <c r="B419" s="250" t="s">
        <v>79</v>
      </c>
      <c r="C419" s="455" t="s">
        <v>3780</v>
      </c>
      <c r="D419" s="455"/>
      <c r="E419" s="455"/>
      <c r="F419" s="455"/>
      <c r="G419" s="455"/>
    </row>
    <row r="420" spans="1:52" x14ac:dyDescent="0.2">
      <c r="A420" s="257"/>
      <c r="B420" s="258" t="s">
        <v>6019</v>
      </c>
      <c r="C420" s="456" t="s">
        <v>3782</v>
      </c>
      <c r="D420" s="456" t="s">
        <v>3783</v>
      </c>
      <c r="E420" s="456" t="s">
        <v>3784</v>
      </c>
      <c r="F420" s="456" t="s">
        <v>3785</v>
      </c>
      <c r="G420" s="457" t="s">
        <v>39</v>
      </c>
    </row>
    <row r="421" spans="1:52" x14ac:dyDescent="0.25">
      <c r="A421" s="458"/>
      <c r="B421" s="459" t="s">
        <v>70</v>
      </c>
      <c r="C421" s="265">
        <f>SUMIFS($O$5:$O58,$H$5:$H58,$A$423,$I$5:$I58,$B421,$B$5:$B58,"&lt;=30")</f>
        <v>0</v>
      </c>
      <c r="D421" s="265">
        <f>SUMIFS($O$5:$O58,$H$5:$H58,$A$423,$I$5:$I58,$B421,$B$5:$B58,"&lt;=60")-C421</f>
        <v>0</v>
      </c>
      <c r="E421" s="265">
        <f>SUMIFS($O$5:$O58,$H$5:$H58,$A$423,$I$5:$I58,$B421,$B$5:$B58,"&lt;=90")-D421-C421</f>
        <v>0</v>
      </c>
      <c r="F421" s="265">
        <f>SUMIFS($O$5:$O58,$H$5:$H58,$A$423,$I$5:$I58,$B421,$B$5:$B58,"&gt;=91")</f>
        <v>0</v>
      </c>
      <c r="G421" s="266">
        <f t="shared" ref="G421:G484" si="35">SUM(C421:F421)</f>
        <v>0</v>
      </c>
    </row>
    <row r="422" spans="1:52" x14ac:dyDescent="0.25">
      <c r="A422" s="460"/>
      <c r="B422" s="461" t="s">
        <v>69</v>
      </c>
      <c r="C422" s="265">
        <f>SUMIFS($O$5:$O58,$H$5:$H58,$A$423,$I$5:$I58,$B422,$B$5:$B58,"&lt;=30")</f>
        <v>0</v>
      </c>
      <c r="D422" s="265">
        <f>SUMIFS($O$5:$O58,$H$5:$H58,$A$423,$I$5:$I58,$B422,$B$5:$B58,"&lt;=60")-C422</f>
        <v>0</v>
      </c>
      <c r="E422" s="265">
        <f>SUMIFS($O$5:$O58,$H$5:$H58,$A$423,$I$5:$I58,$B422,$B$5:$B58,"&lt;=90")-D422-C422</f>
        <v>0</v>
      </c>
      <c r="F422" s="265">
        <f>SUMIFS($O$5:$O58,$H$5:$H58,$A$423,$I$5:$I58,$B422,$B$5:$B58,"&gt;=91")</f>
        <v>0</v>
      </c>
      <c r="G422" s="266">
        <f t="shared" si="35"/>
        <v>0</v>
      </c>
    </row>
    <row r="423" spans="1:52" x14ac:dyDescent="0.25">
      <c r="A423" s="460">
        <v>201</v>
      </c>
      <c r="B423" s="462" t="s">
        <v>114</v>
      </c>
      <c r="C423" s="265">
        <f>SUMIFS($O$5:$O58,$H$5:$H58,$A$423,$I$5:$I58,$B423,$B$5:$B58,"&lt;=30")</f>
        <v>0</v>
      </c>
      <c r="D423" s="265">
        <f>SUMIFS($O$5:$O58,$H$5:$H58,$A$423,$I$5:$I58,$B423,$B$5:$B58,"&lt;=60")-C423</f>
        <v>0</v>
      </c>
      <c r="E423" s="265">
        <f>SUMIFS($O$5:$O58,$H$5:$H58,$A$423,$I$5:$I58,$B423,$B$5:$B58,"&lt;=90")-D423-C423</f>
        <v>0</v>
      </c>
      <c r="F423" s="265">
        <f>SUMIFS($O$5:$O58,$H$5:$H58,$A$423,$I$5:$I58,$B423,$B$5:$B58,"&gt;=91")</f>
        <v>0</v>
      </c>
      <c r="G423" s="266">
        <f t="shared" si="35"/>
        <v>0</v>
      </c>
    </row>
    <row r="424" spans="1:52" x14ac:dyDescent="0.25">
      <c r="A424" s="460"/>
      <c r="B424" s="462" t="s">
        <v>6020</v>
      </c>
      <c r="C424" s="265">
        <f>SUMIFS($O$5:$O5,$H$5:$H5,$A$423,$I$5:$I5,$B424,$B$5:$B5,"&lt;=30")</f>
        <v>0</v>
      </c>
      <c r="D424" s="265">
        <f>SUMIFS($O$5:$O5,$H$5:$H5,$A$423,$I$5:$I5,$B424,$B$5:$B5,"&lt;=60")-C424</f>
        <v>0</v>
      </c>
      <c r="E424" s="265">
        <f>SUMIFS($O$5:$O5,$H$5:$H5,$A$423,$I$5:$I5,$B424,$B$5:$B5,"&lt;=90")-D424-C424</f>
        <v>0</v>
      </c>
      <c r="F424" s="265">
        <f>SUMIFS($O$5:$O5,$H$5:$H5,$A$423,$I$5:$I5,$B424,$B$5:$B5,"&gt;=91")</f>
        <v>0</v>
      </c>
      <c r="G424" s="266">
        <f t="shared" si="35"/>
        <v>0</v>
      </c>
    </row>
    <row r="425" spans="1:52" x14ac:dyDescent="0.25">
      <c r="A425" s="460"/>
      <c r="B425" s="462" t="s">
        <v>158</v>
      </c>
      <c r="C425" s="265">
        <f>SUMIFS($O$5:$O5,$H$5:$H5,$A$423,$I$5:$I5,$B425,$B$5:$B5,"&lt;=30")</f>
        <v>0</v>
      </c>
      <c r="D425" s="265">
        <f>SUMIFS($O$5:$O5,$H$5:$H5,$A$423,$I$5:$I5,$B425,$B$5:$B5,"&lt;=60")-C425</f>
        <v>0</v>
      </c>
      <c r="E425" s="265">
        <f>SUMIFS($O$5:$O5,$H$5:$H5,$A$423,$I$5:$I5,$B425,$B$5:$B5,"&lt;=90")-D425-C425</f>
        <v>0</v>
      </c>
      <c r="F425" s="265">
        <f>SUMIFS($O$5:$O5,$H$5:$H5,$A$423,$I$5:$I5,$B425,$B$5:$B5,"&gt;=91")</f>
        <v>0</v>
      </c>
      <c r="G425" s="266">
        <f t="shared" si="35"/>
        <v>0</v>
      </c>
    </row>
    <row r="426" spans="1:52" s="351" customFormat="1" ht="16.5" customHeight="1" x14ac:dyDescent="0.25">
      <c r="A426" s="274"/>
      <c r="B426" s="459" t="s">
        <v>70</v>
      </c>
      <c r="C426" s="265">
        <f>SUMIFS($O$5:$O58,$H$5:$H58,$A$428,$I$5:$I58,$B426,$B$5:$B58,"&lt;=30")</f>
        <v>0</v>
      </c>
      <c r="D426" s="265">
        <f>SUMIFS($O$5:$O58,$H$5:$H58,$A$428,$I$5:$I58,$B426,$B$5:$B58,"&lt;=60")-C426</f>
        <v>0</v>
      </c>
      <c r="E426" s="265">
        <f>SUMIFS($O$5:$O58,$H$5:$H58,$A$428,$I$5:$I58,$B426,$B$5:$B58,"&lt;=90")-D426-C426</f>
        <v>0</v>
      </c>
      <c r="F426" s="265">
        <f>SUMIFS($O$5:$O58,$H$5:$H58,$A$428,$I$5:$I58,$B426,$B$5:$B58,"&gt;=91")</f>
        <v>0</v>
      </c>
      <c r="G426" s="266">
        <f t="shared" si="35"/>
        <v>0</v>
      </c>
      <c r="H426" s="336"/>
      <c r="I426" s="336"/>
      <c r="K426" s="399"/>
      <c r="L426" s="399"/>
      <c r="M426" s="399"/>
      <c r="N426" s="352"/>
      <c r="O426" s="353"/>
      <c r="P426" s="353"/>
      <c r="Q426" s="353"/>
      <c r="S426" s="353"/>
      <c r="T426" s="399"/>
      <c r="Y426" s="463"/>
      <c r="Z426" s="463"/>
      <c r="AA426" s="463"/>
      <c r="AJ426" s="336"/>
      <c r="AK426" s="336"/>
      <c r="AL426" s="336"/>
      <c r="AM426" s="336"/>
      <c r="AN426" s="336"/>
      <c r="AO426" s="336"/>
      <c r="AP426" s="336"/>
      <c r="AQ426" s="336"/>
      <c r="AR426" s="336"/>
      <c r="AS426" s="336"/>
      <c r="AT426" s="364"/>
      <c r="AU426" s="364"/>
      <c r="AV426" s="364"/>
      <c r="AY426" s="336"/>
      <c r="AZ426" s="336"/>
    </row>
    <row r="427" spans="1:52" x14ac:dyDescent="0.25">
      <c r="A427" s="277"/>
      <c r="B427" s="461" t="s">
        <v>69</v>
      </c>
      <c r="C427" s="265">
        <f>SUMIFS($O$5:$O58,$H$5:$H58,$A$428,$I$5:$I58,$B427,$B$5:$B58,"&lt;=30")</f>
        <v>0</v>
      </c>
      <c r="D427" s="265">
        <f>SUMIFS($O$5:$O58,$H$5:$H58,$A$428,$I$5:$I58,$B427,$B$5:$B58,"&lt;=60")-C427</f>
        <v>0</v>
      </c>
      <c r="E427" s="265">
        <f>SUMIFS($O$5:$O58,$H$5:$H58,$A$428,$I$5:$I58,$B427,$B$5:$B58,"&lt;=90")-D427-C427</f>
        <v>0</v>
      </c>
      <c r="F427" s="265">
        <f>SUMIFS($O$5:$O58,$H$5:$H58,$A$428,$I$5:$I58,$B427,$B$5:$B58,"&gt;=91")</f>
        <v>0</v>
      </c>
      <c r="G427" s="266">
        <f t="shared" si="35"/>
        <v>0</v>
      </c>
      <c r="T427" s="362"/>
    </row>
    <row r="428" spans="1:52" x14ac:dyDescent="0.25">
      <c r="A428" s="277" t="s">
        <v>32</v>
      </c>
      <c r="B428" s="462" t="s">
        <v>114</v>
      </c>
      <c r="C428" s="265">
        <f>SUMIFS($O$5:$O58,$H$5:$H58,$A$428,$I$5:$I58,$B428,$B$5:$B58,"&lt;=30")</f>
        <v>0</v>
      </c>
      <c r="D428" s="265">
        <f>SUMIFS($O$5:$O58,$H$5:$H58,$A$428,$I$5:$I58,$B428,$B$5:$B58,"&lt;=60")-C428</f>
        <v>0</v>
      </c>
      <c r="E428" s="265">
        <f>SUMIFS($O$5:$O58,$H$5:$H58,$A$428,$I$5:$I58,$B428,$B$5:$B58,"&lt;=90")-D428-C428</f>
        <v>0</v>
      </c>
      <c r="F428" s="265">
        <f>SUMIFS($O$5:$O58,$H$5:$H58,$A$428,$I$5:$I58,$B428,$B$5:$B58,"&gt;=91")</f>
        <v>0</v>
      </c>
      <c r="G428" s="266">
        <f t="shared" si="35"/>
        <v>0</v>
      </c>
      <c r="T428" s="362"/>
    </row>
    <row r="429" spans="1:52" x14ac:dyDescent="0.25">
      <c r="A429" s="277"/>
      <c r="B429" s="462" t="s">
        <v>6020</v>
      </c>
      <c r="C429" s="265">
        <f>SUMIFS($O$5:$O5,$H$5:$H5,$A$428,$I$5:$I5,$B429,$B$5:$B5,"&lt;=30")</f>
        <v>0</v>
      </c>
      <c r="D429" s="265">
        <f>SUMIFS($O$5:$O5,$H$5:$H5,$A$428,$I$5:$I5,$B429,$B$5:$B5,"&lt;=60")-C429</f>
        <v>0</v>
      </c>
      <c r="E429" s="265">
        <f>SUMIFS($O$5:$O5,$H$5:$H5,$A$428,$I$5:$I5,$B429,$B$5:$B5,"&lt;=90")-D429-C429</f>
        <v>0</v>
      </c>
      <c r="F429" s="265">
        <f>SUMIFS($O$5:$O5,$H$5:$H5,$A$428,$I$5:$I5,$B429,$B$5:$B5,"&gt;=91")</f>
        <v>0</v>
      </c>
      <c r="G429" s="266">
        <f t="shared" si="35"/>
        <v>0</v>
      </c>
      <c r="T429" s="362"/>
    </row>
    <row r="430" spans="1:52" x14ac:dyDescent="0.25">
      <c r="A430" s="277"/>
      <c r="B430" s="462" t="s">
        <v>158</v>
      </c>
      <c r="C430" s="265">
        <f>SUMIFS($O$5:$O5,$H$5:$H5,$A$428,$I$5:$I5,$B430,$B$5:$B5,"&lt;=30")</f>
        <v>0</v>
      </c>
      <c r="D430" s="265">
        <f>SUMIFS($O$5:$O5,$H$5:$H5,$A$428,$I$5:$I5,$B430,$B$5:$B5,"&lt;=60")-C430</f>
        <v>0</v>
      </c>
      <c r="E430" s="265">
        <f>SUMIFS($O$5:$O5,$H$5:$H5,$A$428,$I$5:$I5,$B430,$B$5:$B5,"&lt;=90")-D430-C430</f>
        <v>0</v>
      </c>
      <c r="F430" s="265">
        <f>SUMIFS($O$5:$O5,$H$5:$H5,$A$428,$I$5:$I5,$B430,$B$5:$B5,"&gt;=91")</f>
        <v>0</v>
      </c>
      <c r="G430" s="266">
        <f t="shared" si="35"/>
        <v>0</v>
      </c>
      <c r="T430" s="362"/>
    </row>
    <row r="431" spans="1:52" x14ac:dyDescent="0.25">
      <c r="A431" s="280"/>
      <c r="B431" s="459" t="s">
        <v>70</v>
      </c>
      <c r="C431" s="265">
        <f>SUMIFS($O$5:$O58,$H$5:$H58,$A$433,$I$5:$I58,$B431,$B$5:$B58,"&lt;=30")</f>
        <v>0</v>
      </c>
      <c r="D431" s="265">
        <f>SUMIFS($O$5:$O58,$H$5:$H58,$A$433,$I$5:$I58,$B431,$B$5:$B58,"&lt;=60")-C431</f>
        <v>0</v>
      </c>
      <c r="E431" s="265">
        <f>SUMIFS($O$5:$O58,$H$5:$H58,$A$433,$I$5:$I58,$B431,$B$5:$B58,"&lt;=90")-D431-C431</f>
        <v>0</v>
      </c>
      <c r="F431" s="265">
        <f>SUMIFS($O$5:$O58,$H$5:$H58,$A$433,$I$5:$I58,$B431,$B$5:$B58,"&gt;=91")</f>
        <v>0</v>
      </c>
      <c r="G431" s="266">
        <f t="shared" si="35"/>
        <v>0</v>
      </c>
    </row>
    <row r="432" spans="1:52" x14ac:dyDescent="0.25">
      <c r="A432" s="285"/>
      <c r="B432" s="461" t="s">
        <v>69</v>
      </c>
      <c r="C432" s="265">
        <f>SUMIFS($O$5:$O58,$H$5:$H58,$A$433,$I$5:$I58,$B432,$B$5:$B58,"&lt;=30")</f>
        <v>0</v>
      </c>
      <c r="D432" s="265">
        <f>SUMIFS($O$5:$O58,$H$5:$H58,$A$433,$I$5:$I58,$B432,$B$5:$B58,"&lt;=60")-C432</f>
        <v>0</v>
      </c>
      <c r="E432" s="265">
        <f>SUMIFS($O$5:$O58,$H$5:$H58,$A$433,$I$5:$I58,$B432,$B$5:$B58,"&lt;=90")-D432-C432</f>
        <v>0</v>
      </c>
      <c r="F432" s="265">
        <f>SUMIFS($O$5:$O58,$H$5:$H58,$A$433,$I$5:$I58,$B432,$B$5:$B58,"&gt;=91")</f>
        <v>0</v>
      </c>
      <c r="G432" s="266">
        <f t="shared" si="35"/>
        <v>0</v>
      </c>
    </row>
    <row r="433" spans="1:53" x14ac:dyDescent="0.25">
      <c r="A433" s="285" t="s">
        <v>33</v>
      </c>
      <c r="B433" s="462" t="s">
        <v>114</v>
      </c>
      <c r="C433" s="265">
        <f>SUMIFS($O$5:$O5,$H$5:$H5,$A$433,$I$5:$I5,$B433,$B$5:$B5,"&lt;=30")</f>
        <v>0</v>
      </c>
      <c r="D433" s="265">
        <f>SUMIFS($O$5:$O5,$H$5:$H5,$A$433,$I$5:$I5,$B433,$B$5:$B5,"&lt;=60")-C433</f>
        <v>0</v>
      </c>
      <c r="E433" s="265">
        <f>SUMIFS($O$5:$O5,$H$5:$H5,$A$433,$I$5:$I5,$B433,$B$5:$B5,"&lt;=90")-D433-C433</f>
        <v>0</v>
      </c>
      <c r="F433" s="265">
        <f>SUMIFS($O$5:$O5,$H$5:$H5,$A$433,$I$5:$I5,$B433,$B$5:$B5,"&gt;=91")</f>
        <v>0</v>
      </c>
      <c r="G433" s="266">
        <f t="shared" si="35"/>
        <v>0</v>
      </c>
    </row>
    <row r="434" spans="1:53" x14ac:dyDescent="0.25">
      <c r="A434" s="285"/>
      <c r="B434" s="462" t="s">
        <v>6020</v>
      </c>
      <c r="C434" s="265">
        <f>SUMIFS($O$5:$O5,$H$5:$H5,$A$433,$I$5:$I5,$B434,$B$5:$B5,"&lt;=30")</f>
        <v>0</v>
      </c>
      <c r="D434" s="265">
        <f>SUMIFS($O$5:$O5,$H$5:$H5,$A$433,$I$5:$I5,$B434,$B$5:$B5,"&lt;=60")-C434</f>
        <v>0</v>
      </c>
      <c r="E434" s="265">
        <f>SUMIFS($O$5:$O5,$H$5:$H5,$A$433,$I$5:$I5,$B434,$B$5:$B5,"&lt;=90")-D434-C434</f>
        <v>0</v>
      </c>
      <c r="F434" s="265">
        <f>SUMIFS($O$5:$O5,$H$5:$H5,$A$433,$I$5:$I5,$B434,$B$5:$B5,"&gt;=91")</f>
        <v>0</v>
      </c>
      <c r="G434" s="266">
        <f t="shared" si="35"/>
        <v>0</v>
      </c>
    </row>
    <row r="435" spans="1:53" x14ac:dyDescent="0.25">
      <c r="A435" s="285"/>
      <c r="B435" s="462" t="s">
        <v>158</v>
      </c>
      <c r="C435" s="265">
        <f>SUMIFS($O$5:$O5,$H$5:$H5,$A$433,$I$5:$I5,$B435,$B$5:$B5,"&lt;=30")</f>
        <v>0</v>
      </c>
      <c r="D435" s="265">
        <f>SUMIFS($O$5:$O5,$H$5:$H5,$A$433,$I$5:$I5,$B435,$B$5:$B5,"&lt;=60")-C435</f>
        <v>0</v>
      </c>
      <c r="E435" s="265">
        <f>SUMIFS($O$5:$O5,$H$5:$H5,$A$433,$I$5:$I5,$B435,$B$5:$B5,"&lt;=90")-D435-C435</f>
        <v>0</v>
      </c>
      <c r="F435" s="265">
        <f>SUMIFS($O$5:$O5,$H$5:$H5,$A$433,$I$5:$I5,$B435,$B$5:$B5,"&gt;=91")</f>
        <v>0</v>
      </c>
      <c r="G435" s="266">
        <f t="shared" si="35"/>
        <v>0</v>
      </c>
    </row>
    <row r="436" spans="1:53" x14ac:dyDescent="0.25">
      <c r="A436" s="291"/>
      <c r="B436" s="459" t="s">
        <v>70</v>
      </c>
      <c r="C436" s="265">
        <f>SUMIFS($O$5:$O5,$H$5:$H5,$A$438,$I$5:$I5,$B436,$B$5:$B5,"&lt;=30")</f>
        <v>0</v>
      </c>
      <c r="D436" s="265">
        <f>SUMIFS($O$5:$O5,$H$5:$H5,$A$438,$I$5:$I5,$B436,$B$5:$B5,"&lt;=60")-C436</f>
        <v>0</v>
      </c>
      <c r="E436" s="265">
        <f>SUMIFS($O$5:$O5,$H$5:$H5,$A$438,$I$5:$I5,$B436,$B$5:$B5,"&lt;=90")-D436-C436</f>
        <v>0</v>
      </c>
      <c r="F436" s="265">
        <f>SUMIFS($O$5:$O5,$H$5:$H5,$A$438,$I$5:$I5,$B436,$B$5:$B5,"&gt;=91")</f>
        <v>0</v>
      </c>
      <c r="G436" s="266">
        <f t="shared" si="35"/>
        <v>0</v>
      </c>
    </row>
    <row r="437" spans="1:53" ht="16.5" customHeight="1" x14ac:dyDescent="0.25">
      <c r="A437" s="293"/>
      <c r="B437" s="461" t="s">
        <v>69</v>
      </c>
      <c r="C437" s="265">
        <f>SUMIFS($O$5:$O5,$H$5:$H5,$A$438,$I$5:$I5,$B437,$B$5:$B5,"&lt;=30")</f>
        <v>0</v>
      </c>
      <c r="D437" s="265">
        <f>SUMIFS($O$5:$O5,$H$5:$H5,$A$438,$I$5:$I5,$B437,$B$5:$B5,"&lt;=60")-C437</f>
        <v>0</v>
      </c>
      <c r="E437" s="265">
        <f>SUMIFS($O$5:$O5,$H$5:$H5,$A$438,$I$5:$I5,$B437,$B$5:$B5,"&lt;=90")-D437-C437</f>
        <v>0</v>
      </c>
      <c r="F437" s="265">
        <f>SUMIFS($O$5:$O5,$H$5:$H5,$A$438,$I$5:$I5,$B437,$B$5:$B5,"&gt;=91")</f>
        <v>0</v>
      </c>
      <c r="G437" s="266">
        <f t="shared" si="35"/>
        <v>0</v>
      </c>
      <c r="O437" s="451"/>
      <c r="T437" s="362"/>
    </row>
    <row r="438" spans="1:53" ht="16.5" customHeight="1" x14ac:dyDescent="0.25">
      <c r="A438" s="293" t="s">
        <v>34</v>
      </c>
      <c r="B438" s="462" t="s">
        <v>114</v>
      </c>
      <c r="C438" s="265">
        <f>SUMIFS($O$5:$O5,$H$5:$H5,$A$438,$I$5:$I5,$B438,$B$5:$B5,"&lt;=30")</f>
        <v>0</v>
      </c>
      <c r="D438" s="265">
        <f>SUMIFS($O$5:$O5,$H$5:$H5,$A$438,$I$5:$I5,$B438,$B$5:$B5,"&lt;=60")-C438</f>
        <v>0</v>
      </c>
      <c r="E438" s="265">
        <f>SUMIFS($O$5:$O5,$H$5:$H5,$A$438,$I$5:$I5,$B438,$B$5:$B5,"&lt;=90")-D438-C438</f>
        <v>0</v>
      </c>
      <c r="F438" s="265">
        <f>SUMIFS($O$5:$O5,$H$5:$H5,$A$438,$I$5:$I5,$B438,$B$5:$B5,"&gt;=91")</f>
        <v>0</v>
      </c>
      <c r="G438" s="266">
        <f t="shared" si="35"/>
        <v>0</v>
      </c>
    </row>
    <row r="439" spans="1:53" ht="16.5" customHeight="1" x14ac:dyDescent="0.25">
      <c r="A439" s="293"/>
      <c r="B439" s="462" t="s">
        <v>6020</v>
      </c>
      <c r="C439" s="265">
        <f>SUMIFS($O$5:$O5,$H$5:$H5,$A$438,$I$5:$I5,$B439,$B$5:$B5,"&lt;=30")</f>
        <v>0</v>
      </c>
      <c r="D439" s="265">
        <f>SUMIFS($O$5:$O5,$H$5:$H5,$A$438,$I$5:$I5,$B439,$B$5:$B5,"&lt;=60")-C439</f>
        <v>0</v>
      </c>
      <c r="E439" s="265">
        <f>SUMIFS($O$5:$O5,$H$5:$H5,$A$438,$I$5:$I5,$B439,$B$5:$B5,"&lt;=90")-D439-C439</f>
        <v>0</v>
      </c>
      <c r="F439" s="265">
        <f>SUMIFS($O$5:$O5,$H$5:$H5,$A$438,$I$5:$I5,$B439,$B$5:$B5,"&gt;=91")</f>
        <v>0</v>
      </c>
      <c r="G439" s="266">
        <f t="shared" si="35"/>
        <v>0</v>
      </c>
    </row>
    <row r="440" spans="1:53" ht="16.5" customHeight="1" x14ac:dyDescent="0.25">
      <c r="A440" s="293"/>
      <c r="B440" s="462" t="s">
        <v>158</v>
      </c>
      <c r="C440" s="265">
        <f>SUMIFS($O$5:$O5,$H$5:$H5,$A$438,$I$5:$I5,$B440,$B$5:$B5,"&lt;=30")</f>
        <v>0</v>
      </c>
      <c r="D440" s="265">
        <f>SUMIFS($O$5:$O5,$H$5:$H5,$A$438,$I$5:$I5,$B440,$B$5:$B5,"&lt;=60")-C440</f>
        <v>0</v>
      </c>
      <c r="E440" s="265">
        <f>SUMIFS($O$5:$O5,$H$5:$H5,$A$438,$I$5:$I5,$B440,$B$5:$B5,"&lt;=90")-D440-C440</f>
        <v>0</v>
      </c>
      <c r="F440" s="265">
        <f>SUMIFS($O$5:$O5,$H$5:$H5,$A$438,$I$5:$I5,$B440,$B$5:$B5,"&gt;=91")</f>
        <v>0</v>
      </c>
      <c r="G440" s="266">
        <f t="shared" si="35"/>
        <v>0</v>
      </c>
    </row>
    <row r="441" spans="1:53" s="351" customFormat="1" ht="16.5" customHeight="1" x14ac:dyDescent="0.25">
      <c r="A441" s="296"/>
      <c r="B441" s="459" t="s">
        <v>70</v>
      </c>
      <c r="C441" s="265">
        <f>SUMIFS($O$5:$O5,$H$5:$H5,$A$443,$I$5:$I5,$B441,$B$5:$B5,"&lt;=30")</f>
        <v>0</v>
      </c>
      <c r="D441" s="265">
        <f>SUMIFS($O$5:$O5,$H$5:$H5,$A$443,$I$5:$I5,$B441,$B$5:$B5,"&lt;=60")-C441</f>
        <v>0</v>
      </c>
      <c r="E441" s="265">
        <f>SUMIFS($O$5:$O5,$H$5:$H5,$A$443,$I$5:$I5,$B441,$B$5:$B5,"&lt;=90")-D441-C441</f>
        <v>0</v>
      </c>
      <c r="F441" s="265">
        <f>SUMIFS($O$5:$O5,$H$5:$H5,$A$443,$I$5:$I5,$B441,$B$5:$B5,"&gt;=91")</f>
        <v>0</v>
      </c>
      <c r="G441" s="266">
        <f t="shared" si="35"/>
        <v>0</v>
      </c>
      <c r="H441" s="336"/>
      <c r="I441" s="336"/>
      <c r="K441" s="399"/>
      <c r="L441" s="399"/>
      <c r="M441" s="399"/>
      <c r="N441" s="352"/>
      <c r="O441" s="353"/>
      <c r="P441" s="353"/>
      <c r="Q441" s="353"/>
      <c r="S441" s="353"/>
      <c r="T441" s="399"/>
      <c r="Y441" s="463"/>
      <c r="Z441" s="463"/>
      <c r="AA441" s="463"/>
      <c r="AJ441" s="336"/>
      <c r="AK441" s="336"/>
      <c r="AL441" s="336"/>
      <c r="AM441" s="336"/>
      <c r="AN441" s="336"/>
      <c r="AO441" s="336"/>
      <c r="AP441" s="336"/>
      <c r="AQ441" s="336"/>
      <c r="AR441" s="336"/>
      <c r="AS441" s="336"/>
      <c r="AT441" s="364"/>
      <c r="AU441" s="364"/>
      <c r="AV441" s="364"/>
      <c r="AY441" s="336"/>
      <c r="AZ441" s="336"/>
    </row>
    <row r="442" spans="1:53" x14ac:dyDescent="0.25">
      <c r="A442" s="302"/>
      <c r="B442" s="461" t="s">
        <v>69</v>
      </c>
      <c r="C442" s="265">
        <f>SUMIFS($O$5:$O5,$H$5:$H5,$A$443,$I$5:$I5,$B442,$B$5:$B5,"&lt;=30")</f>
        <v>0</v>
      </c>
      <c r="D442" s="265">
        <f>SUMIFS($O$5:$O5,$H$5:$H5,$A$443,$I$5:$I5,$B442,$B$5:$B5,"&lt;=60")-C442</f>
        <v>0</v>
      </c>
      <c r="E442" s="265">
        <f>SUMIFS($O$5:$O5,$H$5:$H5,$A$443,$I$5:$I5,$B442,$B$5:$B5,"&lt;=90")-D442-C442</f>
        <v>0</v>
      </c>
      <c r="F442" s="265">
        <f>SUMIFS($O$5:$O5,$H$5:$H5,$A$443,$I$5:$I5,$B442,$B$5:$B5,"&gt;=91")</f>
        <v>0</v>
      </c>
      <c r="G442" s="266">
        <f t="shared" si="35"/>
        <v>0</v>
      </c>
      <c r="T442" s="362"/>
    </row>
    <row r="443" spans="1:53" x14ac:dyDescent="0.25">
      <c r="A443" s="302" t="s">
        <v>35</v>
      </c>
      <c r="B443" s="462" t="s">
        <v>114</v>
      </c>
      <c r="C443" s="265">
        <f>SUMIFS($O$5:$O5,$H$5:$H5,$A$443,$I$5:$I5,$B443,$B$5:$B5,"&lt;=30")</f>
        <v>0</v>
      </c>
      <c r="D443" s="265">
        <f>SUMIFS($O$5:$O5,$H$5:$H5,$A$443,$I$5:$I5,$B443,$B$5:$B5,"&lt;=60")-C443</f>
        <v>0</v>
      </c>
      <c r="E443" s="265">
        <f>SUMIFS($O$5:$O5,$H$5:$H5,$A$443,$I$5:$I5,$B443,$B$5:$B5,"&lt;=90")-D443-C443</f>
        <v>0</v>
      </c>
      <c r="F443" s="265">
        <f>SUMIFS($O$5:$O5,$H$5:$H5,$A$443,$I$5:$I5,$B443,$B$5:$B5,"&gt;=91")</f>
        <v>0</v>
      </c>
      <c r="G443" s="266">
        <f t="shared" si="35"/>
        <v>0</v>
      </c>
    </row>
    <row r="444" spans="1:53" x14ac:dyDescent="0.25">
      <c r="A444" s="302"/>
      <c r="B444" s="462" t="s">
        <v>6020</v>
      </c>
      <c r="C444" s="265">
        <f>SUMIFS($O$5:$O5,$H$5:$H5,$A$443,$I$5:$I5,$B444,$B$5:$B5,"&lt;=30")</f>
        <v>0</v>
      </c>
      <c r="D444" s="265">
        <f>SUMIFS($O$5:$O5,$H$5:$H5,$A$443,$I$5:$I5,$B444,$B$5:$B5,"&lt;=60")-C444</f>
        <v>0</v>
      </c>
      <c r="E444" s="265">
        <f>SUMIFS($O$5:$O5,$H$5:$H5,$A$443,$I$5:$I5,$B444,$B$5:$B5,"&lt;=90")-D444-C444</f>
        <v>0</v>
      </c>
      <c r="F444" s="265">
        <f>SUMIFS($O$5:$O5,$H$5:$H5,$A$443,$I$5:$I5,$B444,$B$5:$B5,"&gt;=91")</f>
        <v>0</v>
      </c>
      <c r="G444" s="266">
        <f t="shared" si="35"/>
        <v>0</v>
      </c>
    </row>
    <row r="445" spans="1:53" x14ac:dyDescent="0.25">
      <c r="A445" s="302"/>
      <c r="B445" s="462" t="s">
        <v>158</v>
      </c>
      <c r="C445" s="265">
        <f>SUMIFS($O$5:$O5,$H$5:$H5,$A$443,$I$5:$I5,$B445,$B$5:$B5,"&lt;=30")</f>
        <v>0</v>
      </c>
      <c r="D445" s="265">
        <f>SUMIFS($O$5:$O5,$H$5:$H5,$A$443,$I$5:$I5,$B445,$B$5:$B5,"&lt;=60")-C445</f>
        <v>0</v>
      </c>
      <c r="E445" s="265">
        <f>SUMIFS($O$5:$O5,$H$5:$H5,$A$443,$I$5:$I5,$B445,$B$5:$B5,"&lt;=90")-D445-C445</f>
        <v>0</v>
      </c>
      <c r="F445" s="265">
        <f>SUMIFS($O$5:$O5,$H$5:$H5,$A$443,$I$5:$I5,$B445,$B$5:$B5,"&gt;=91")</f>
        <v>0</v>
      </c>
      <c r="G445" s="266">
        <f t="shared" si="35"/>
        <v>0</v>
      </c>
    </row>
    <row r="446" spans="1:53" s="361" customFormat="1" ht="16.5" customHeight="1" x14ac:dyDescent="0.25">
      <c r="A446" s="307"/>
      <c r="B446" s="459" t="s">
        <v>70</v>
      </c>
      <c r="C446" s="265">
        <f>SUMIFS($O$5:$O5,$H$5:$H5,$A$448,$I$5:$I5,$B446,$B$5:$B5,"&lt;=30")</f>
        <v>0</v>
      </c>
      <c r="D446" s="265">
        <f>SUMIFS($O$5:$O5,$H$5:$H5,$A$448,$I$5:$I5,$B446,$B$5:$B5,"&lt;=60")-C446</f>
        <v>0</v>
      </c>
      <c r="E446" s="265">
        <f>SUMIFS($O$5:$O5,$H$5:$H5,$A$448,$I$5:$I5,$B446,$B$5:$B5,"&lt;=90")-D446-C446</f>
        <v>0</v>
      </c>
      <c r="F446" s="265">
        <f>SUMIFS($O$5:$O5,$H$5:$H5,$A$448,$I$5:$I5,$B446,$B$5:$B5,"&gt;=91")</f>
        <v>0</v>
      </c>
      <c r="G446" s="266">
        <f t="shared" si="35"/>
        <v>0</v>
      </c>
      <c r="J446" s="417"/>
      <c r="K446" s="417"/>
      <c r="L446" s="417"/>
      <c r="M446" s="417"/>
      <c r="N446" s="363"/>
      <c r="O446" s="451"/>
      <c r="P446" s="419"/>
      <c r="Q446" s="362"/>
      <c r="R446" s="362"/>
      <c r="S446" s="422"/>
      <c r="T446" s="399"/>
      <c r="U446" s="452"/>
      <c r="V446" s="452"/>
      <c r="W446" s="45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448"/>
      <c r="AH446" s="453"/>
      <c r="AL446" s="416"/>
      <c r="AM446" s="416"/>
      <c r="AN446" s="416"/>
      <c r="AO446" s="416"/>
      <c r="AP446" s="416"/>
      <c r="AQ446" s="416"/>
      <c r="AT446" s="364"/>
      <c r="AU446" s="364"/>
      <c r="AV446" s="364"/>
      <c r="AW446" s="364"/>
    </row>
    <row r="447" spans="1:53" s="361" customFormat="1" ht="18" customHeight="1" x14ac:dyDescent="0.25">
      <c r="A447" s="308"/>
      <c r="B447" s="461" t="s">
        <v>69</v>
      </c>
      <c r="C447" s="265">
        <f>SUMIFS($O$5:$O5,$H$5:$H5,$A$448,$I$5:$I5,$B447,$B$5:$B5,"&lt;=30")</f>
        <v>0</v>
      </c>
      <c r="D447" s="265">
        <f>SUMIFS($O$5:$O5,$H$5:$H5,$A$448,$I$5:$I5,$B447,$B$5:$B5,"&lt;=60")-C447</f>
        <v>0</v>
      </c>
      <c r="E447" s="265">
        <f>SUMIFS($O$5:$O5,$H$5:$H5,$A$448,$I$5:$I5,$B447,$B$5:$B5,"&lt;=90")-D447-C447</f>
        <v>0</v>
      </c>
      <c r="F447" s="265">
        <f>SUMIFS($O$5:$O5,$H$5:$H5,$A$448,$I$5:$I5,$B447,$B$5:$B5,"&gt;=91")</f>
        <v>0</v>
      </c>
      <c r="G447" s="266">
        <f t="shared" si="35"/>
        <v>0</v>
      </c>
      <c r="J447" s="417"/>
      <c r="K447" s="417"/>
      <c r="L447" s="417"/>
      <c r="M447" s="417"/>
      <c r="N447" s="363"/>
      <c r="O447" s="356"/>
      <c r="P447" s="364"/>
      <c r="Q447" s="419"/>
      <c r="R447" s="435"/>
      <c r="S447" s="419"/>
      <c r="T447" s="399"/>
      <c r="U447" s="214"/>
      <c r="V447" s="446"/>
      <c r="W447" s="447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448"/>
      <c r="AI447" s="449"/>
      <c r="AL447" s="416"/>
      <c r="AM447" s="416"/>
      <c r="AN447" s="445"/>
      <c r="AO447" s="450"/>
      <c r="AP447" s="450"/>
      <c r="AQ447" s="450"/>
      <c r="AT447" s="364"/>
      <c r="AU447" s="364"/>
      <c r="AV447" s="364"/>
      <c r="AW447" s="417"/>
      <c r="AX447" s="363"/>
      <c r="AY447" s="363"/>
      <c r="AZ447" s="363"/>
      <c r="BA447" s="417"/>
    </row>
    <row r="448" spans="1:53" x14ac:dyDescent="0.25">
      <c r="A448" s="308">
        <v>304</v>
      </c>
      <c r="B448" s="462" t="s">
        <v>114</v>
      </c>
      <c r="C448" s="265">
        <f>SUMIFS($O$5:$O5,$H$5:$H5,$A$448,$I$5:$I5,$B448,$B$5:$B5,"&lt;=30")</f>
        <v>0</v>
      </c>
      <c r="D448" s="265">
        <f>SUMIFS($O$5:$O5,$H$5:$H5,$A$448,$I$5:$I5,$B448,$B$5:$B5,"&lt;=60")-C448</f>
        <v>0</v>
      </c>
      <c r="E448" s="265">
        <f>SUMIFS($O$5:$O5,$H$5:$H5,$A$448,$I$5:$I5,$B448,$B$5:$B5,"&lt;=90")-D448-C448</f>
        <v>0</v>
      </c>
      <c r="F448" s="265">
        <f>SUMIFS($O$5:$O5,$H$5:$H5,$A$448,$I$5:$I5,$B448,$B$5:$B5,"&gt;=91")</f>
        <v>0</v>
      </c>
      <c r="G448" s="266">
        <f t="shared" si="35"/>
        <v>0</v>
      </c>
    </row>
    <row r="449" spans="1:53" x14ac:dyDescent="0.25">
      <c r="A449" s="308"/>
      <c r="B449" s="462" t="s">
        <v>6020</v>
      </c>
      <c r="C449" s="265">
        <f>SUMIFS($O$5:$O5,$H$5:$H5,$A$448,$I$5:$I5,$B449,$B$5:$B5,"&lt;=30")</f>
        <v>0</v>
      </c>
      <c r="D449" s="265">
        <f>SUMIFS($O$5:$O5,$H$5:$H5,$A$448,$I$5:$I5,$B449,$B$5:$B5,"&lt;=60")-C449</f>
        <v>0</v>
      </c>
      <c r="E449" s="464">
        <f>SUMIFS($O$5:$O5,$H$5:$H5,$A$453,$I$5:$I5,$B449,$B$5:$B5,"&lt;=90")-D449-C449</f>
        <v>0</v>
      </c>
      <c r="F449" s="265">
        <f>SUMIFS($O$5:$O5,$H$5:$H5,$A$448,$I$5:$I5,$B449,$B$5:$B5,"&gt;=91")</f>
        <v>0</v>
      </c>
      <c r="G449" s="266">
        <f t="shared" si="35"/>
        <v>0</v>
      </c>
    </row>
    <row r="450" spans="1:53" x14ac:dyDescent="0.25">
      <c r="A450" s="308"/>
      <c r="B450" s="462" t="s">
        <v>158</v>
      </c>
      <c r="C450" s="265">
        <f>SUMIFS($O$5:$O5,$H$5:$H5,$A$448,$I$5:$I5,$B450,$B$5:$B5,"&lt;=30")</f>
        <v>0</v>
      </c>
      <c r="D450" s="265">
        <f>SUMIFS($O$5:$O5,$H$5:$H5,$A$448,$I$5:$I5,$B450,$B$5:$B5,"&lt;=60")-C450</f>
        <v>0</v>
      </c>
      <c r="E450" s="464">
        <f>SUMIFS($O$5:$O5,$H$5:$H5,$A$453,$I$5:$I5,$B450,$B$5:$B5,"&lt;=90")-D450-C450</f>
        <v>0</v>
      </c>
      <c r="F450" s="265">
        <f>SUMIFS($O$5:$O5,$H$5:$H5,$A$448,$I$5:$I5,$B450,$B$5:$B5,"&gt;=91")</f>
        <v>0</v>
      </c>
      <c r="G450" s="266">
        <f t="shared" si="35"/>
        <v>0</v>
      </c>
    </row>
    <row r="451" spans="1:53" s="361" customFormat="1" ht="16.5" customHeight="1" x14ac:dyDescent="0.25">
      <c r="A451" s="465"/>
      <c r="B451" s="459" t="s">
        <v>70</v>
      </c>
      <c r="C451" s="265">
        <f>SUMIFS($O$5:$O32,$H$5:$H32,$A$453,$I$5:$I32,$B451,$B$5:$B32,"&lt;=30")</f>
        <v>0</v>
      </c>
      <c r="D451" s="464">
        <f>SUMIFS($O$5:$O32,$H$5:$H32,$A$453,$I$5:$I32,$B451,$B$5:$B32,"&lt;=60")-C451</f>
        <v>0</v>
      </c>
      <c r="E451" s="464">
        <f>SUMIFS($O$5:$O32,$H$5:$H32,$A$453,$I$5:$I32,$B451,$B$5:$B32,"&lt;=90")-D451-C451</f>
        <v>0</v>
      </c>
      <c r="F451" s="265">
        <f>SUMIFS($O$5:$O32,$H$5:$H32,$A$453,$I$5:$I32,$B451,$B$5:$B32,"&gt;=91")</f>
        <v>0</v>
      </c>
      <c r="G451" s="266">
        <f t="shared" si="35"/>
        <v>0</v>
      </c>
      <c r="J451" s="417"/>
      <c r="K451" s="417"/>
      <c r="L451" s="417"/>
      <c r="M451" s="417"/>
      <c r="N451" s="363"/>
      <c r="O451" s="451"/>
      <c r="P451" s="419"/>
      <c r="Q451" s="362"/>
      <c r="R451" s="362"/>
      <c r="S451" s="422"/>
      <c r="T451" s="399"/>
      <c r="U451" s="452"/>
      <c r="V451" s="452"/>
      <c r="W451" s="45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448"/>
      <c r="AH451" s="453"/>
      <c r="AL451" s="416"/>
      <c r="AM451" s="416"/>
      <c r="AN451" s="416"/>
      <c r="AO451" s="416"/>
      <c r="AP451" s="416"/>
      <c r="AQ451" s="416"/>
      <c r="AT451" s="364"/>
      <c r="AU451" s="364"/>
      <c r="AV451" s="364"/>
      <c r="AW451" s="364"/>
    </row>
    <row r="452" spans="1:53" s="361" customFormat="1" ht="18" customHeight="1" x14ac:dyDescent="0.25">
      <c r="A452" s="466"/>
      <c r="B452" s="461" t="s">
        <v>69</v>
      </c>
      <c r="C452" s="265">
        <f>SUMIFS($O$5:$O32,$H$5:$H32,$A$453,$I$5:$I32,$B452,$B$5:$B32,"&lt;=30")</f>
        <v>0</v>
      </c>
      <c r="D452" s="464">
        <f>SUMIFS($O$5:$O32,$H$5:$H32,$A$453,$I$5:$I32,$B452,$B$5:$B32,"&lt;=60")-C452</f>
        <v>0</v>
      </c>
      <c r="E452" s="464">
        <f>SUMIFS($O$5:$O32,$H$5:$H32,$A$453,$I$5:$I32,$B452,$B$5:$B32,"&lt;=90")-D452-C452</f>
        <v>0</v>
      </c>
      <c r="F452" s="265">
        <f>SUMIFS($O$5:$O32,$H$5:$H32,$A$453,$I$5:$I32,$B452,$B$5:$B32,"&gt;=91")</f>
        <v>0</v>
      </c>
      <c r="G452" s="266">
        <f t="shared" si="35"/>
        <v>0</v>
      </c>
      <c r="J452" s="417"/>
      <c r="K452" s="417"/>
      <c r="L452" s="417"/>
      <c r="M452" s="417"/>
      <c r="N452" s="363"/>
      <c r="O452" s="356"/>
      <c r="P452" s="364"/>
      <c r="Q452" s="419"/>
      <c r="R452" s="435"/>
      <c r="S452" s="419"/>
      <c r="T452" s="399"/>
      <c r="U452" s="214"/>
      <c r="V452" s="446"/>
      <c r="W452" s="447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448"/>
      <c r="AI452" s="449"/>
      <c r="AL452" s="416"/>
      <c r="AM452" s="416"/>
      <c r="AN452" s="445"/>
      <c r="AO452" s="450"/>
      <c r="AP452" s="450"/>
      <c r="AQ452" s="450"/>
      <c r="AT452" s="364"/>
      <c r="AU452" s="364"/>
      <c r="AV452" s="364"/>
      <c r="AW452" s="417"/>
      <c r="AX452" s="363"/>
      <c r="AY452" s="363"/>
      <c r="AZ452" s="363"/>
      <c r="BA452" s="417"/>
    </row>
    <row r="453" spans="1:53" x14ac:dyDescent="0.25">
      <c r="A453" s="466" t="s">
        <v>614</v>
      </c>
      <c r="B453" s="462" t="s">
        <v>114</v>
      </c>
      <c r="C453" s="265">
        <f>SUMIFS($O$5:$O32,$H$5:$H32,$A$453,$I$5:$I32,$B453,$B$5:$B32,"&lt;=30")</f>
        <v>0</v>
      </c>
      <c r="D453" s="464">
        <f>SUMIFS($O$5:$O32,$H$5:$H32,$A$453,$I$5:$I32,$B453,$B$5:$B32,"&lt;=60")-C453</f>
        <v>0</v>
      </c>
      <c r="E453" s="464">
        <f>SUMIFS($O$5:$O32,$H$5:$H32,$A$453,$I$5:$I32,$B453,$B$5:$B32,"&lt;=90")-D453-C453</f>
        <v>0</v>
      </c>
      <c r="F453" s="265">
        <f>SUMIFS($O$5:$O32,$H$5:$H32,$A$453,$I$5:$I32,$B453,$B$5:$B32,"&gt;=91")</f>
        <v>0</v>
      </c>
      <c r="G453" s="266">
        <f t="shared" si="35"/>
        <v>0</v>
      </c>
    </row>
    <row r="454" spans="1:53" x14ac:dyDescent="0.25">
      <c r="A454" s="466"/>
      <c r="B454" s="462" t="s">
        <v>6020</v>
      </c>
      <c r="C454" s="265">
        <f>SUMIFS($O$5:$O32,$H$5:$H32,$A$453,$I$5:$I32,$B454,$B$5:$B32,"&lt;=30")</f>
        <v>0</v>
      </c>
      <c r="D454" s="464">
        <f>SUMIFS($O$5:$O32,$H$5:$H32,$A$453,$I$5:$I32,$B454,$B$5:$B32,"&lt;=60")-C454</f>
        <v>0</v>
      </c>
      <c r="E454" s="464">
        <f>SUMIFS($O$5:$O32,$H$5:$H32,'[2]DISPATCH Oktober''22'!#REF!,$I$5:$I32,$B454,$B$5:$B32,"&lt;=90")-D454-C454</f>
        <v>0</v>
      </c>
      <c r="F454" s="265">
        <f>SUMIFS($O$5:$O32,$H$5:$H32,$A$453,$I$5:$I32,$B454,$B$5:$B32,"&gt;=91")</f>
        <v>0</v>
      </c>
      <c r="G454" s="266">
        <f t="shared" si="35"/>
        <v>0</v>
      </c>
    </row>
    <row r="455" spans="1:53" x14ac:dyDescent="0.25">
      <c r="A455" s="466"/>
      <c r="B455" s="462" t="s">
        <v>158</v>
      </c>
      <c r="C455" s="265">
        <f>SUMIFS($O$5:$O32,$H$5:$H32,$A$453,$I$5:$I32,$B455,$B$5:$B32,"&lt;=30")</f>
        <v>0</v>
      </c>
      <c r="D455" s="464">
        <f>SUMIFS($O$5:$O32,$H$5:$H32,$A$453,$I$5:$I32,$B455,$B$5:$B32,"&lt;=60")-C455</f>
        <v>0</v>
      </c>
      <c r="E455" s="464">
        <f>SUMIFS($O$5:$O32,$H$5:$H32,$A$453,$I$5:$I32,$B455,$B$5:$B32,"&lt;=90")-D455-C455</f>
        <v>0</v>
      </c>
      <c r="F455" s="265">
        <f>SUMIFS($O$5:$O32,$H$5:$H32,$A$453,$I$5:$I32,$B455,$B$5:$B32,"&gt;=91")</f>
        <v>0</v>
      </c>
      <c r="G455" s="266">
        <f t="shared" si="35"/>
        <v>0</v>
      </c>
    </row>
    <row r="456" spans="1:53" x14ac:dyDescent="0.25">
      <c r="A456" s="309"/>
      <c r="B456" s="459" t="s">
        <v>70</v>
      </c>
      <c r="C456" s="265">
        <f>SUMIFS($O$5:$O5,$H$5:$H5,$A$458,$I$5:$I5,$B456,$B$5:$B5,"&lt;=30")</f>
        <v>0</v>
      </c>
      <c r="D456" s="265">
        <f>SUMIFS($O$5:$O5,$H$5:$H5,$A$458,$I$5:$I5,$B456,$B$5:$B5,"&lt;=60")-C456</f>
        <v>0</v>
      </c>
      <c r="E456" s="265">
        <f>SUMIFS($O$5:$O5,$H$5:$H5,$A$458,$I$5:$I5,$B456,$B$5:$B5,"&lt;=90")-D456-C456</f>
        <v>0</v>
      </c>
      <c r="F456" s="265">
        <f>SUMIFS($O$5:$O5,$H$5:$H5,$A$458,$I$5:$I5,$B456,$B$5:$B5,"&gt;=91")</f>
        <v>0</v>
      </c>
      <c r="G456" s="266">
        <f t="shared" si="35"/>
        <v>0</v>
      </c>
    </row>
    <row r="457" spans="1:53" x14ac:dyDescent="0.25">
      <c r="A457" s="312"/>
      <c r="B457" s="461" t="s">
        <v>69</v>
      </c>
      <c r="C457" s="265">
        <f>SUMIFS($O$5:$O5,$H$5:$H5,$A$458,$I$5:$I5,$B457,$B$5:$B5,"&lt;=30")</f>
        <v>0</v>
      </c>
      <c r="D457" s="265">
        <f>SUMIFS($O$5:$O5,$H$5:$H5,$A$458,$I$5:$I5,$B457,$B$5:$B5,"&lt;=60")-C457</f>
        <v>0</v>
      </c>
      <c r="E457" s="265">
        <f>SUMIFS($O$5:$O5,$H$5:$H5,$A$458,$I$5:$I5,$B457,$B$5:$B5,"&lt;=90")-D457-C457</f>
        <v>0</v>
      </c>
      <c r="F457" s="265">
        <f>SUMIFS($O$5:$O5,$H$5:$H5,$A$458,$I$5:$I5,$B457,$B$5:$B5,"&gt;=91")</f>
        <v>0</v>
      </c>
      <c r="G457" s="266">
        <f t="shared" si="35"/>
        <v>0</v>
      </c>
    </row>
    <row r="458" spans="1:53" x14ac:dyDescent="0.25">
      <c r="A458" s="312" t="s">
        <v>182</v>
      </c>
      <c r="B458" s="462" t="s">
        <v>114</v>
      </c>
      <c r="C458" s="265">
        <f>SUMIFS($O$5:$O5,$H$5:$H5,$A$458,$I$5:$I5,$B458,$B$5:$B5,"&lt;=30")</f>
        <v>0</v>
      </c>
      <c r="D458" s="265">
        <f>SUMIFS($O$5:$O5,$H$5:$H5,$A$458,$I$5:$I5,$B458,$B$5:$B5,"&lt;=60")-C458</f>
        <v>0</v>
      </c>
      <c r="E458" s="265">
        <f>SUMIFS($O$5:$O5,$H$5:$H5,$A$458,$I$5:$I5,$B458,$B$5:$B5,"&lt;=90")-D458-C458</f>
        <v>0</v>
      </c>
      <c r="F458" s="265">
        <f>SUMIFS($O$5:$O5,$H$5:$H5,$A$458,$I$5:$I5,$B458,$B$5:$B5,"&gt;=91")</f>
        <v>0</v>
      </c>
      <c r="G458" s="266">
        <f t="shared" si="35"/>
        <v>0</v>
      </c>
    </row>
    <row r="459" spans="1:53" x14ac:dyDescent="0.25">
      <c r="A459" s="312"/>
      <c r="B459" s="462" t="s">
        <v>6020</v>
      </c>
      <c r="C459" s="265">
        <f>SUMIFS($O$5:$O5,$H$5:$H5,$A$458,$I$5:$I5,$B459,$B$5:$B5,"&lt;=30")</f>
        <v>0</v>
      </c>
      <c r="D459" s="265">
        <f>SUMIFS($O$5:$O5,$H$5:$H5,$A$458,$I$5:$I5,$B459,$B$5:$B5,"&lt;=60")-C459</f>
        <v>0</v>
      </c>
      <c r="E459" s="265">
        <f>SUMIFS($O$5:$O5,$H$5:$H5,$A$458,$I$5:$I5,$B459,$B$5:$B5,"&lt;=90")-D459-C459</f>
        <v>0</v>
      </c>
      <c r="F459" s="265">
        <f>SUMIFS($O$5:$O5,$H$5:$H5,$A$458,$I$5:$I5,$B459,$B$5:$B5,"&gt;=91")</f>
        <v>0</v>
      </c>
      <c r="G459" s="266">
        <f t="shared" si="35"/>
        <v>0</v>
      </c>
    </row>
    <row r="460" spans="1:53" x14ac:dyDescent="0.25">
      <c r="A460" s="312"/>
      <c r="B460" s="462" t="s">
        <v>158</v>
      </c>
      <c r="C460" s="265">
        <f>SUMIFS($O$5:$O5,$H$5:$H5,$A$458,$I$5:$I5,$B460,$B$5:$B5,"&lt;=30")</f>
        <v>0</v>
      </c>
      <c r="D460" s="265">
        <f>SUMIFS($O$5:$O5,$H$5:$H5,$A$458,$I$5:$I5,$B460,$B$5:$B5,"&lt;=60")-C460</f>
        <v>0</v>
      </c>
      <c r="E460" s="265">
        <f>SUMIFS($O$5:$O5,$H$5:$H5,$A$458,$I$5:$I5,$B460,$B$5:$B5,"&lt;=90")-D460-C460</f>
        <v>0</v>
      </c>
      <c r="F460" s="265">
        <f>SUMIFS($O$5:$O5,$H$5:$H5,$A$458,$I$5:$I5,$B460,$B$5:$B5,"&gt;=91")</f>
        <v>0</v>
      </c>
      <c r="G460" s="266">
        <f t="shared" si="35"/>
        <v>0</v>
      </c>
    </row>
    <row r="461" spans="1:53" s="361" customFormat="1" ht="16.5" customHeight="1" x14ac:dyDescent="0.25">
      <c r="A461" s="313"/>
      <c r="B461" s="459" t="s">
        <v>70</v>
      </c>
      <c r="C461" s="265">
        <f>SUMIFS($O$5:$O5,$H$5:$H5,$A$463,$I$5:$I5,$B461,$B$5:$B5,"&lt;=30")</f>
        <v>0</v>
      </c>
      <c r="D461" s="265">
        <f>SUMIFS($O$5:$O5,$H$5:$H5,$A$463,$I$5:$I5,$B461,$B$5:$B5,"&lt;=60")-C461</f>
        <v>0</v>
      </c>
      <c r="E461" s="265">
        <f>SUMIFS($O$5:$O5,$H$5:$H5,$A$463,$I$5:$I5,$B461,$B$5:$B5,"&lt;=90")-D461-C461</f>
        <v>0</v>
      </c>
      <c r="F461" s="265">
        <f>SUMIFS($O$5:$O5,$H$5:$H5,$A$463,$I$5:$I5,$B461,$B$5:$B5,"&gt;=91")</f>
        <v>0</v>
      </c>
      <c r="G461" s="266">
        <f t="shared" si="35"/>
        <v>0</v>
      </c>
      <c r="J461" s="417"/>
      <c r="K461" s="417"/>
      <c r="L461" s="417"/>
      <c r="M461" s="417"/>
      <c r="N461" s="363"/>
      <c r="O461" s="451"/>
      <c r="P461" s="419"/>
      <c r="Q461" s="362"/>
      <c r="R461" s="362"/>
      <c r="S461" s="422"/>
      <c r="T461" s="399"/>
      <c r="U461" s="452"/>
      <c r="V461" s="452"/>
      <c r="W461" s="45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448"/>
      <c r="AH461" s="453"/>
      <c r="AL461" s="416"/>
      <c r="AM461" s="416"/>
      <c r="AN461" s="416"/>
      <c r="AO461" s="416"/>
      <c r="AP461" s="416"/>
      <c r="AQ461" s="416"/>
      <c r="AT461" s="364"/>
      <c r="AU461" s="364"/>
      <c r="AV461" s="364"/>
      <c r="AW461" s="364"/>
    </row>
    <row r="462" spans="1:53" x14ac:dyDescent="0.25">
      <c r="A462" s="314"/>
      <c r="B462" s="461" t="s">
        <v>69</v>
      </c>
      <c r="C462" s="265">
        <f>SUMIFS($O$5:$O5,$H$5:$H5,$A$463,$I$5:$I5,$B462,$B$5:$B5,"&lt;=30")</f>
        <v>0</v>
      </c>
      <c r="D462" s="265">
        <f>SUMIFS($O$5:$O5,$H$5:$H5,$A$463,$I$5:$I5,$B462,$B$5:$B5,"&lt;=60")-C462</f>
        <v>0</v>
      </c>
      <c r="E462" s="265">
        <f>SUMIFS($O$5:$O5,$H$5:$H5,$A$463,$I$5:$I5,$B462,$B$5:$B5,"&lt;=90")-D462-C462</f>
        <v>0</v>
      </c>
      <c r="F462" s="265">
        <f>SUMIFS($O$5:$O5,$H$5:$H5,$A$463,$I$5:$I5,$B462,$B$5:$B5,"&gt;=91")</f>
        <v>0</v>
      </c>
      <c r="G462" s="266">
        <f t="shared" si="35"/>
        <v>0</v>
      </c>
    </row>
    <row r="463" spans="1:53" x14ac:dyDescent="0.25">
      <c r="A463" s="314" t="s">
        <v>135</v>
      </c>
      <c r="B463" s="462" t="s">
        <v>114</v>
      </c>
      <c r="C463" s="265">
        <f>SUMIFS($O$5:$O5,$H$5:$H5,$A$463,$I$5:$I5,$B463,$B$5:$B5,"&lt;=30")</f>
        <v>0</v>
      </c>
      <c r="D463" s="265">
        <f>SUMIFS($O$5:$O5,$H$5:$H5,$A$463,$I$5:$I5,$B463,$B$5:$B5,"&lt;=60")-C463</f>
        <v>0</v>
      </c>
      <c r="E463" s="265">
        <f>SUMIFS($O$5:$O5,$H$5:$H5,$A$463,$I$5:$I5,$B463,$B$5:$B5,"&lt;=90")-D463-C463</f>
        <v>0</v>
      </c>
      <c r="F463" s="265">
        <f>SUMIFS($O$5:$O5,$H$5:$H5,$A$463,$I$5:$I5,$B463,$B$5:$B5,"&gt;=91")</f>
        <v>0</v>
      </c>
      <c r="G463" s="266">
        <f t="shared" si="35"/>
        <v>0</v>
      </c>
      <c r="O463" s="364"/>
    </row>
    <row r="464" spans="1:53" x14ac:dyDescent="0.25">
      <c r="A464" s="314"/>
      <c r="B464" s="462" t="s">
        <v>6020</v>
      </c>
      <c r="C464" s="265">
        <f>SUMIFS($O$5:$O5,$H$5:$H5,$A$463,$I$5:$I5,$B464,$B$5:$B5,"&lt;=30")</f>
        <v>0</v>
      </c>
      <c r="D464" s="265">
        <f>SUMIFS($O$5:$O5,$H$5:$H5,$A$463,$I$5:$I5,$B464,$B$5:$B5,"&lt;=60")-C464</f>
        <v>0</v>
      </c>
      <c r="E464" s="265">
        <f>SUMIFS($O$5:$O5,$H$5:$H5,$A$463,$I$5:$I5,$B464,$B$5:$B5,"&lt;=90")-D464-C464</f>
        <v>0</v>
      </c>
      <c r="F464" s="265">
        <f>SUMIFS($O$5:$O5,$H$5:$H5,$A$463,$I$5:$I5,$B464,$B$5:$B5,"&gt;=91")</f>
        <v>0</v>
      </c>
      <c r="G464" s="266">
        <f t="shared" si="35"/>
        <v>0</v>
      </c>
      <c r="O464" s="364"/>
    </row>
    <row r="465" spans="1:52" x14ac:dyDescent="0.25">
      <c r="A465" s="314"/>
      <c r="B465" s="462" t="s">
        <v>158</v>
      </c>
      <c r="C465" s="265">
        <f>SUMIFS($O$5:$O5,$H$5:$H5,$A$463,$I$5:$I5,$B465,$B$5:$B5,"&lt;=30")</f>
        <v>0</v>
      </c>
      <c r="D465" s="265">
        <f>SUMIFS($O$5:$O5,$H$5:$H5,$A$463,$I$5:$I5,$B465,$B$5:$B5,"&lt;=60")-C465</f>
        <v>0</v>
      </c>
      <c r="E465" s="265">
        <f>SUMIFS($O$5:$O5,$H$5:$H5,$A$463,$I$5:$I5,$B465,$B$5:$B5,"&lt;=90")-D465-C465</f>
        <v>0</v>
      </c>
      <c r="F465" s="265">
        <f>SUMIFS($O$5:$O5,$H$5:$H5,$A$463,$I$5:$I5,$B465,$B$5:$B5,"&gt;=91")</f>
        <v>0</v>
      </c>
      <c r="G465" s="266">
        <f t="shared" si="35"/>
        <v>0</v>
      </c>
      <c r="O465" s="364"/>
    </row>
    <row r="466" spans="1:52" s="361" customFormat="1" ht="16.5" customHeight="1" x14ac:dyDescent="0.25">
      <c r="A466" s="316"/>
      <c r="B466" s="459" t="s">
        <v>70</v>
      </c>
      <c r="C466" s="265">
        <f>SUMIFS($O$5:$O5,$H$5:$H5,$A$468,$I$5:$I5,$B466,$B$5:$B5,"&lt;=30")</f>
        <v>0</v>
      </c>
      <c r="D466" s="265">
        <f>SUMIFS($O$5:$O5,$H$5:$H5,$A$468,$I$5:$I5,$B466,$B$5:$B5,"&lt;=60")-C466</f>
        <v>0</v>
      </c>
      <c r="E466" s="265">
        <f>SUMIFS($O$5:$O5,$H$5:$H5,$A$468,$I$5:$I5,$B466,$B$5:$B5,"&lt;=90")-D466-C466</f>
        <v>0</v>
      </c>
      <c r="F466" s="265">
        <f>SUMIFS($O$5:$O5,$H$5:$H5,$A$468,$I$5:$I5,$B466,$B$5:$B5,"&gt;=91")</f>
        <v>0</v>
      </c>
      <c r="G466" s="266">
        <f t="shared" si="35"/>
        <v>0</v>
      </c>
      <c r="J466" s="417"/>
      <c r="K466" s="417"/>
      <c r="L466" s="417"/>
      <c r="M466" s="417"/>
      <c r="N466" s="363"/>
      <c r="O466" s="356"/>
      <c r="P466" s="419"/>
      <c r="Q466" s="362"/>
      <c r="R466" s="362"/>
      <c r="S466" s="422"/>
      <c r="T466" s="399"/>
      <c r="U466" s="452"/>
      <c r="V466" s="452"/>
      <c r="W466" s="45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448"/>
      <c r="AH466" s="453"/>
      <c r="AL466" s="416"/>
      <c r="AM466" s="416"/>
      <c r="AN466" s="416"/>
      <c r="AO466" s="416"/>
      <c r="AP466" s="416"/>
      <c r="AQ466" s="416"/>
      <c r="AT466" s="364"/>
      <c r="AU466" s="364"/>
      <c r="AV466" s="364"/>
      <c r="AW466" s="364"/>
    </row>
    <row r="467" spans="1:52" x14ac:dyDescent="0.25">
      <c r="A467" s="317"/>
      <c r="B467" s="461" t="s">
        <v>69</v>
      </c>
      <c r="C467" s="265">
        <f>SUMIFS($O$5:$O5,$H$5:$H5,$A$468,$I$5:$I5,$B467,$B$5:$B5,"&lt;=30")</f>
        <v>0</v>
      </c>
      <c r="D467" s="265">
        <f>SUMIFS($O$5:$O5,$H$5:$H5,$A$468,$I$5:$I5,$B467,$B$5:$B5,"&lt;=60")-C467</f>
        <v>0</v>
      </c>
      <c r="E467" s="265">
        <f>SUMIFS($O$5:$O5,$H$5:$H5,$A$468,$I$5:$I5,$B467,$B$5:$B5,"&lt;=90")-D467-C467</f>
        <v>0</v>
      </c>
      <c r="F467" s="265">
        <f>SUMIFS($O$5:$O5,$H$5:$H5,$A$468,$I$5:$I5,$B467,$B$5:$B5,"&gt;=91")</f>
        <v>0</v>
      </c>
      <c r="G467" s="266">
        <f t="shared" si="35"/>
        <v>0</v>
      </c>
    </row>
    <row r="468" spans="1:52" x14ac:dyDescent="0.25">
      <c r="A468" s="317">
        <v>430</v>
      </c>
      <c r="B468" s="462" t="s">
        <v>114</v>
      </c>
      <c r="C468" s="265">
        <f>SUMIFS($O$5:$O5,$H$5:$H5,$A$468,$I$5:$I5,$B468,$B$5:$B5,"&lt;=30")</f>
        <v>0</v>
      </c>
      <c r="D468" s="265">
        <f>SUMIFS($O$5:$O5,$H$5:$H5,$A$468,$I$5:$I5,$B468,$B$5:$B5,"&lt;=60")-C468</f>
        <v>0</v>
      </c>
      <c r="E468" s="265">
        <f>SUMIFS($O$5:$O5,$H$5:$H5,$A$468,$I$5:$I5,$B468,$B$5:$B5,"&lt;=90")-D468-C468</f>
        <v>0</v>
      </c>
      <c r="F468" s="265">
        <f>SUMIFS($O$5:$O5,$H$5:$H5,$A$468,$I$5:$I5,$B468,$B$5:$B5,"&gt;=91")</f>
        <v>0</v>
      </c>
      <c r="G468" s="266">
        <f t="shared" si="35"/>
        <v>0</v>
      </c>
    </row>
    <row r="469" spans="1:52" x14ac:dyDescent="0.25">
      <c r="A469" s="317"/>
      <c r="B469" s="462" t="s">
        <v>6020</v>
      </c>
      <c r="C469" s="265">
        <f>SUMIFS($O$5:$O5,$H$5:$H5,$A$468,$I$5:$I5,$B469,$B$5:$B5,"&lt;=30")</f>
        <v>0</v>
      </c>
      <c r="D469" s="265">
        <f>SUMIFS($O$5:$O5,$H$5:$H5,$A$468,$I$5:$I5,$B469,$B$5:$B5,"&lt;=60")-C469</f>
        <v>0</v>
      </c>
      <c r="E469" s="265">
        <f>SUMIFS($O$5:$O5,$H$5:$H5,$A$468,$I$5:$I5,$B469,$B$5:$B5,"&lt;=90")-D469-C469</f>
        <v>0</v>
      </c>
      <c r="F469" s="265">
        <f>SUMIFS($O$5:$O5,$H$5:$H5,$A$468,$I$5:$I5,$B469,$B$5:$B5,"&gt;=91")</f>
        <v>0</v>
      </c>
      <c r="G469" s="266">
        <f t="shared" si="35"/>
        <v>0</v>
      </c>
    </row>
    <row r="470" spans="1:52" x14ac:dyDescent="0.25">
      <c r="A470" s="317"/>
      <c r="B470" s="462" t="s">
        <v>158</v>
      </c>
      <c r="C470" s="265">
        <f>SUMIFS($O$5:$O5,$H$5:$H5,$A$468,$I$5:$I5,$B470,$B$5:$B5,"&lt;=30")</f>
        <v>0</v>
      </c>
      <c r="D470" s="265">
        <f>SUMIFS($O$5:$O5,$H$5:$H5,$A$468,$I$5:$I5,$B470,$B$5:$B5,"&lt;=60")-C470</f>
        <v>0</v>
      </c>
      <c r="E470" s="265">
        <f>SUMIFS($O$5:$O5,$H$5:$H5,$A$468,$I$5:$I5,$B470,$B$5:$B5,"&lt;=90")-D470-C470</f>
        <v>0</v>
      </c>
      <c r="F470" s="265">
        <f>SUMIFS($O$5:$O5,$H$5:$H5,$A$468,$I$5:$I5,$B470,$B$5:$B5,"&gt;=91")</f>
        <v>0</v>
      </c>
      <c r="G470" s="266">
        <f t="shared" si="35"/>
        <v>0</v>
      </c>
    </row>
    <row r="471" spans="1:52" ht="16.5" customHeight="1" x14ac:dyDescent="0.25">
      <c r="A471" s="318"/>
      <c r="B471" s="467" t="s">
        <v>70</v>
      </c>
      <c r="C471" s="265">
        <f>SUMIFS($O$5:$O5,$H$5:$H5,$A$473,$I$5:$I5,$B471,$B$5:$B5,"&lt;=30")</f>
        <v>0</v>
      </c>
      <c r="D471" s="265">
        <f>SUMIFS($O$5:$O5,$H$5:$H5,$A$473,$I$5:$I5,$B471,$B$5:$B5,"&lt;=60")-C471</f>
        <v>0</v>
      </c>
      <c r="E471" s="265">
        <f>SUMIFS($O$5:$O5,$H$5:$H5,$A$473,$I$5:$I5,$B471,$B$5:$B5,"&lt;=90")-D471-C471</f>
        <v>0</v>
      </c>
      <c r="F471" s="265">
        <f>SUMIFS($O$5:$O5,$H$5:$H5,$A$473,$I$5:$I5,$B471,$B$5:$B5,"&gt;=91")</f>
        <v>0</v>
      </c>
      <c r="G471" s="266">
        <f t="shared" si="35"/>
        <v>0</v>
      </c>
    </row>
    <row r="472" spans="1:52" s="351" customFormat="1" ht="16.5" customHeight="1" x14ac:dyDescent="0.25">
      <c r="A472" s="319"/>
      <c r="B472" s="468" t="s">
        <v>69</v>
      </c>
      <c r="C472" s="265">
        <f>SUMIFS($O$5:$O5,$H$5:$H5,$A$473,$I$5:$I5,$B472,$B$5:$B5,"&lt;=30")</f>
        <v>0</v>
      </c>
      <c r="D472" s="265">
        <f>SUMIFS($O$5:$O5,$H$5:$H5,$A$473,$I$5:$I5,$B472,$B$5:$B5,"&lt;=60")-C472</f>
        <v>0</v>
      </c>
      <c r="E472" s="265">
        <f>SUMIFS($O$5:$O5,$H$5:$H5,$A$473,$I$5:$I5,$B472,$B$5:$B5,"&lt;=90")-D472-C472</f>
        <v>0</v>
      </c>
      <c r="F472" s="265">
        <f>SUMIFS($O$5:$O5,$H$5:$H5,$A$473,$I$5:$I5,$B472,$B$5:$B5,"&gt;=91")</f>
        <v>0</v>
      </c>
      <c r="G472" s="266">
        <f t="shared" si="35"/>
        <v>0</v>
      </c>
      <c r="H472" s="336"/>
      <c r="I472" s="336"/>
      <c r="K472" s="399"/>
      <c r="L472" s="399"/>
      <c r="M472" s="399"/>
      <c r="N472" s="352"/>
      <c r="O472" s="353"/>
      <c r="P472" s="353"/>
      <c r="Q472" s="353"/>
      <c r="S472" s="353"/>
      <c r="T472" s="399"/>
      <c r="Y472" s="463"/>
      <c r="Z472" s="463"/>
      <c r="AA472" s="463"/>
      <c r="AJ472" s="336"/>
      <c r="AK472" s="336"/>
      <c r="AL472" s="336"/>
      <c r="AM472" s="336"/>
      <c r="AN472" s="336"/>
      <c r="AO472" s="336"/>
      <c r="AP472" s="336"/>
      <c r="AQ472" s="336"/>
      <c r="AR472" s="336"/>
      <c r="AS472" s="336"/>
      <c r="AT472" s="364"/>
      <c r="AU472" s="364"/>
      <c r="AV472" s="364"/>
      <c r="AY472" s="336"/>
      <c r="AZ472" s="336"/>
    </row>
    <row r="473" spans="1:52" x14ac:dyDescent="0.25">
      <c r="A473" s="319" t="s">
        <v>3790</v>
      </c>
      <c r="B473" s="469" t="s">
        <v>114</v>
      </c>
      <c r="C473" s="265">
        <f>SUMIFS($O$5:$O5,$H$5:$H5,$A$473,$I$5:$I5,$B473,$B$5:$B5,"&lt;=30")</f>
        <v>0</v>
      </c>
      <c r="D473" s="265">
        <f>SUMIFS($O$5:$O5,$H$5:$H5,$A$473,$I$5:$I5,$B473,$B$5:$B5,"&lt;=60")-C473</f>
        <v>0</v>
      </c>
      <c r="E473" s="265">
        <f>SUMIFS($O$5:$O5,$H$5:$H5,$A$473,$I$5:$I5,$B473,$B$5:$B5,"&lt;=90")-D473-C473</f>
        <v>0</v>
      </c>
      <c r="F473" s="265">
        <f>SUMIFS($O$5:$O5,$H$5:$H5,$A$473,$I$5:$I5,$B473,$B$5:$B5,"&gt;=91")</f>
        <v>0</v>
      </c>
      <c r="G473" s="266">
        <f t="shared" si="35"/>
        <v>0</v>
      </c>
    </row>
    <row r="474" spans="1:52" x14ac:dyDescent="0.25">
      <c r="A474" s="319"/>
      <c r="B474" s="469" t="s">
        <v>6020</v>
      </c>
      <c r="C474" s="265">
        <f>SUMIFS($O$5:$O5,$H$5:$H5,$A$473,$I$5:$I5,$B474,$B$5:$B5,"&lt;=30")</f>
        <v>0</v>
      </c>
      <c r="D474" s="265">
        <f>SUMIFS($O$5:$O5,$H$5:$H5,$A$473,$I$5:$I5,$B474,$B$5:$B5,"&lt;=60")-C474</f>
        <v>0</v>
      </c>
      <c r="E474" s="265">
        <f>SUMIFS($O$5:$O5,$H$5:$H5,$A$473,$I$5:$I5,$B474,$B$5:$B5,"&lt;=90")-D474-C474</f>
        <v>0</v>
      </c>
      <c r="F474" s="265">
        <f>SUMIFS($O$5:$O5,$H$5:$H5,$A$473,$I$5:$I5,$B474,$B$5:$B5,"&gt;=91")</f>
        <v>0</v>
      </c>
      <c r="G474" s="266">
        <f t="shared" si="35"/>
        <v>0</v>
      </c>
    </row>
    <row r="475" spans="1:52" x14ac:dyDescent="0.25">
      <c r="A475" s="320"/>
      <c r="B475" s="469" t="s">
        <v>158</v>
      </c>
      <c r="C475" s="265">
        <f>SUMIFS($O$5:$O5,$H$5:$H5,$A$473,$I$5:$I5,$B475,$B$5:$B5,"&lt;=30")</f>
        <v>0</v>
      </c>
      <c r="D475" s="265">
        <f>SUMIFS($O$5:$O5,$H$5:$H5,$A$473,$I$5:$I5,$B475,$B$5:$B5,"&lt;=60")-C475</f>
        <v>0</v>
      </c>
      <c r="E475" s="265">
        <f>SUMIFS($O$5:$O5,$H$5:$H5,$A$473,$I$5:$I5,$B475,$B$5:$B5,"&lt;=90")-D475-C475</f>
        <v>0</v>
      </c>
      <c r="F475" s="265">
        <f>SUMIFS($O$5:$O5,$H$5:$H5,$A$473,$I$5:$I5,$B475,$B$5:$B5,"&gt;=91")</f>
        <v>0</v>
      </c>
      <c r="G475" s="266">
        <f t="shared" si="35"/>
        <v>0</v>
      </c>
    </row>
    <row r="476" spans="1:52" x14ac:dyDescent="0.25">
      <c r="A476" s="470"/>
      <c r="B476" s="467" t="s">
        <v>70</v>
      </c>
      <c r="C476" s="265">
        <f>SUMIFS($O$5:$O5,$H$5:$H5,$A$478,$I$5:$I5,$B476,$B$5:$B5,"&lt;=30")</f>
        <v>0</v>
      </c>
      <c r="D476" s="265">
        <f>SUMIFS($O$5:$O5,$H$5:$H5,$A$478,$I$5:$I5,$B476,$B$5:$B5,"&lt;=60")-C476</f>
        <v>0</v>
      </c>
      <c r="E476" s="265">
        <f>SUMIFS($O$5:$O5,$H$5:$H5,$A$478,$I$5:$I5,$B476,$B$5:$B5,"&lt;=90")-D476-C476</f>
        <v>0</v>
      </c>
      <c r="F476" s="265">
        <f>SUMIFS($O$5:$O5,$H$5:$H5,$A$478,$I$5:$I5,$B476,$B$5:$B5,"&gt;=91")</f>
        <v>0</v>
      </c>
      <c r="G476" s="266">
        <f t="shared" si="35"/>
        <v>0</v>
      </c>
    </row>
    <row r="477" spans="1:52" x14ac:dyDescent="0.25">
      <c r="A477" s="460"/>
      <c r="B477" s="468" t="s">
        <v>69</v>
      </c>
      <c r="C477" s="265">
        <f>SUMIFS($O$5:$O5,$H$5:$H5,$A$478,$I$5:$I5,$B477,$B$5:$B5,"&lt;=30")</f>
        <v>0</v>
      </c>
      <c r="D477" s="265">
        <f>SUMIFS($O$5:$O5,$H$5:$H5,$A$478,$I$5:$I5,$B477,$B$5:$B5,"&lt;=60")-C477</f>
        <v>0</v>
      </c>
      <c r="E477" s="265">
        <f>SUMIFS($O$5:$O5,$H$5:$H5,$A$478,$I$5:$I5,$B477,$B$5:$B5,"&lt;=90")-D477-C477</f>
        <v>0</v>
      </c>
      <c r="F477" s="265">
        <f>SUMIFS($O$5:$O5,$H$5:$H5,$A$478,$I$5:$I5,$B477,$B$5:$B5,"&gt;=91")</f>
        <v>0</v>
      </c>
      <c r="G477" s="266">
        <f t="shared" si="35"/>
        <v>0</v>
      </c>
    </row>
    <row r="478" spans="1:52" x14ac:dyDescent="0.25">
      <c r="A478" s="460" t="s">
        <v>38</v>
      </c>
      <c r="B478" s="469" t="s">
        <v>114</v>
      </c>
      <c r="C478" s="265">
        <f>SUMIFS($O$5:$O5,$H$5:$H5,$A$478,$I$5:$I5,$B478,$B$5:$B5,"&lt;=30")</f>
        <v>0</v>
      </c>
      <c r="D478" s="265">
        <f>SUMIFS($O$5:$O5,$H$5:$H5,$A$478,$I$5:$I5,$B478,$B$5:$B5,"&lt;=60")-C478</f>
        <v>0</v>
      </c>
      <c r="E478" s="265">
        <f>SUMIFS($O$5:$O5,$H$5:$H5,$A$478,$I$5:$I5,$B478,$B$5:$B5,"&lt;=90")-D478-C478</f>
        <v>0</v>
      </c>
      <c r="F478" s="265">
        <f>SUMIFS($O$5:$O5,$H$5:$H5,$A$478,$I$5:$I5,$B478,$B$5:$B5,"&gt;=91")</f>
        <v>0</v>
      </c>
      <c r="G478" s="266">
        <f t="shared" si="35"/>
        <v>0</v>
      </c>
    </row>
    <row r="479" spans="1:52" x14ac:dyDescent="0.25">
      <c r="A479" s="460"/>
      <c r="B479" s="469" t="s">
        <v>6020</v>
      </c>
      <c r="C479" s="265">
        <f>SUMIFS($O$5:$O32,$H$5:$H32,$A$478,$I$5:$I32,$B479,$B$5:$B32,"&lt;=30")</f>
        <v>0</v>
      </c>
      <c r="D479" s="265">
        <f>SUMIFS($O$5:$O32,$H$5:$H32,$A$478,$I$5:$I32,$B479,$B$5:$B32,"&lt;=60")-C479</f>
        <v>0</v>
      </c>
      <c r="E479" s="265">
        <f>SUMIFS($O$5:$O32,$H$5:$H32,$A$478,$I$5:$I32,$B479,$B$5:$B32,"&lt;=90")-D479-C479</f>
        <v>0</v>
      </c>
      <c r="F479" s="265">
        <f>SUMIFS($O$5:$O32,$H$5:$H32,$A$478,$I$5:$I32,$B479,$B$5:$B32,"&gt;=91")</f>
        <v>0</v>
      </c>
      <c r="G479" s="266">
        <f t="shared" si="35"/>
        <v>0</v>
      </c>
    </row>
    <row r="480" spans="1:52" x14ac:dyDescent="0.25">
      <c r="A480" s="471"/>
      <c r="B480" s="469" t="s">
        <v>158</v>
      </c>
      <c r="C480" s="265">
        <f>SUMIFS($O$5:$O32,$H$5:$H32,$A$478,$I$5:$I32,$B480,$B$5:$B32,"&lt;=30")</f>
        <v>0</v>
      </c>
      <c r="D480" s="265">
        <f>SUMIFS($O$5:$O32,$H$5:$H32,$A$478,$I$5:$I32,$B480,$B$5:$B32,"&lt;=60")-C480</f>
        <v>0</v>
      </c>
      <c r="E480" s="265">
        <f>SUMIFS($O$5:$O32,$H$5:$H32,$A$478,$I$5:$I32,$B480,$B$5:$B32,"&lt;=90")-D480-C480</f>
        <v>0</v>
      </c>
      <c r="F480" s="265">
        <f>SUMIFS($O$5:$O32,$H$5:$H32,$A$478,$I$5:$I32,$B480,$B$5:$B32,"&gt;=91")</f>
        <v>0</v>
      </c>
      <c r="G480" s="266">
        <f t="shared" si="35"/>
        <v>0</v>
      </c>
    </row>
    <row r="481" spans="1:67" ht="16.5" customHeight="1" x14ac:dyDescent="0.25">
      <c r="A481" s="323"/>
      <c r="B481" s="467" t="s">
        <v>70</v>
      </c>
      <c r="C481" s="265">
        <f>SUMIFS($O$5:$O49,$H$5:$H49,$A$483,$I$5:$I49,$B481,$B$5:$B49,"&lt;=30")</f>
        <v>0</v>
      </c>
      <c r="D481" s="464">
        <f>SUMIFS($O$5:$O49,$H$5:$H49,$A$483,$I$5:$I49,$B481,$B$5:$B49,"&lt;=60")-C481</f>
        <v>0</v>
      </c>
      <c r="E481" s="464">
        <f>SUMIFS($O$5:$O49,$H$5:$H49,$A$483,$I$5:$I49,$B481,$B$5:$B49,"&lt;=90")-D481-C481</f>
        <v>0</v>
      </c>
      <c r="F481" s="265">
        <f>SUMIFS($O$5:$O49,$H$5:$H49,$A$483,$I$5:$I49,$B481,$B$5:$B49,"&gt;=91")</f>
        <v>0</v>
      </c>
      <c r="G481" s="266">
        <f t="shared" si="35"/>
        <v>0</v>
      </c>
    </row>
    <row r="482" spans="1:67" s="351" customFormat="1" ht="16.5" customHeight="1" x14ac:dyDescent="0.25">
      <c r="A482" s="327"/>
      <c r="B482" s="468" t="s">
        <v>69</v>
      </c>
      <c r="C482" s="265">
        <f>SUMIFS($O$5:$O49,$H$5:$H49,$A$483,$I$5:$I49,$B482,$B$5:$B49,"&lt;=30")</f>
        <v>0</v>
      </c>
      <c r="D482" s="464">
        <f>SUMIFS($O$5:$O49,$H$5:$H49,$A$483,$I$5:$I49,$B482,$B$5:$B49,"&lt;=60")-C482</f>
        <v>0</v>
      </c>
      <c r="E482" s="464">
        <f>SUMIFS($O$5:$O49,$H$5:$H49,$A$483,$I$5:$I49,$B482,$B$5:$B49,"&lt;=90")-D482-C482</f>
        <v>0</v>
      </c>
      <c r="F482" s="265">
        <f>SUMIFS($O$5:$O49,$H$5:$H49,$A$483,$I$5:$I49,$B482,$B$5:$B49,"&gt;=91")</f>
        <v>0</v>
      </c>
      <c r="G482" s="266">
        <f t="shared" si="35"/>
        <v>0</v>
      </c>
      <c r="H482" s="336"/>
      <c r="I482" s="336"/>
      <c r="K482" s="399"/>
      <c r="L482" s="399"/>
      <c r="M482" s="399"/>
      <c r="N482" s="352"/>
      <c r="O482" s="353"/>
      <c r="P482" s="353"/>
      <c r="Q482" s="353"/>
      <c r="S482" s="353"/>
      <c r="T482" s="399"/>
      <c r="Y482" s="463"/>
      <c r="Z482" s="463"/>
      <c r="AA482" s="463"/>
      <c r="AJ482" s="336"/>
      <c r="AK482" s="336"/>
      <c r="AL482" s="336"/>
      <c r="AM482" s="336"/>
      <c r="AN482" s="336"/>
      <c r="AO482" s="336"/>
      <c r="AP482" s="336"/>
      <c r="AQ482" s="336"/>
      <c r="AR482" s="336"/>
      <c r="AS482" s="336"/>
      <c r="AT482" s="364"/>
      <c r="AU482" s="364"/>
      <c r="AV482" s="364"/>
      <c r="AY482" s="336"/>
      <c r="AZ482" s="336"/>
    </row>
    <row r="483" spans="1:67" x14ac:dyDescent="0.25">
      <c r="A483" s="327">
        <v>410</v>
      </c>
      <c r="B483" s="469" t="s">
        <v>114</v>
      </c>
      <c r="C483" s="265">
        <f>SUMIFS($O$5:$O49,$H$5:$H49,$A$483,$I$5:$I49,$B483,$B$5:$B49,"&lt;=30")</f>
        <v>0</v>
      </c>
      <c r="D483" s="464">
        <f>SUMIFS($O$5:$O49,$H$5:$H49,$A$483,$I$5:$I49,$B483,$B$5:$B49,"&lt;=60")-C483</f>
        <v>0</v>
      </c>
      <c r="E483" s="464">
        <f>SUMIFS($O$5:$O49,$H$5:$H49,$A$483,$I$5:$I49,$B483,$B$5:$B49,"&lt;=90")-D483-C483</f>
        <v>0</v>
      </c>
      <c r="F483" s="265">
        <f>SUMIFS($O$5:$O49,$H$5:$H49,$A$483,$I$5:$I49,$B483,$B$5:$B49,"&gt;=91")</f>
        <v>0</v>
      </c>
      <c r="G483" s="266">
        <f t="shared" si="35"/>
        <v>0</v>
      </c>
    </row>
    <row r="484" spans="1:67" x14ac:dyDescent="0.25">
      <c r="A484" s="327"/>
      <c r="B484" s="469" t="s">
        <v>6020</v>
      </c>
      <c r="C484" s="265">
        <f>SUMIFS($O$5:$O49,$H$5:$H49,$A$483,$I$5:$I49,$B484,$B$5:$B49,"&lt;=30")</f>
        <v>0</v>
      </c>
      <c r="D484" s="464">
        <f>SUMIFS($O$5:$O49,$H$5:$H49,$A$483,$I$5:$I49,$B484,$B$5:$B49,"&lt;=60")-C484</f>
        <v>0</v>
      </c>
      <c r="E484" s="464">
        <f>SUMIFS($O$5:$O49,$H$5:$H49,$A$483,$I$5:$I49,$B484,$B$5:$B49,"&lt;=90")-D484-C484</f>
        <v>0</v>
      </c>
      <c r="F484" s="265">
        <f>SUMIFS($O$5:$O49,$H$5:$H49,$A$483,$I$5:$I49,$B484,$B$5:$B49,"&gt;=91")</f>
        <v>0</v>
      </c>
      <c r="G484" s="266">
        <f t="shared" si="35"/>
        <v>0</v>
      </c>
    </row>
    <row r="485" spans="1:67" x14ac:dyDescent="0.25">
      <c r="A485" s="328"/>
      <c r="B485" s="469" t="s">
        <v>158</v>
      </c>
      <c r="C485" s="265">
        <f ca="1">SUMIFS($O$5:$O49,$H$5:$H49,$A$483,$I$5:$I49,$B485,$B$5:$B49,"&lt;=30")</f>
        <v>0</v>
      </c>
      <c r="D485" s="464">
        <f ca="1">SUMIFS($O$5:$O49,$H$5:$H49,$A$483,$I$5:$I49,$B485,$B$5:$B49,"&lt;=60")-C485</f>
        <v>0</v>
      </c>
      <c r="E485" s="464">
        <f ca="1">SUMIFS($O$5:$O49,$H$5:$H49,$A$483,$I$5:$I49,$B485,$B$5:$B49,"&lt;=90")-D485-C485</f>
        <v>0</v>
      </c>
      <c r="F485" s="265">
        <f ca="1">SUMIFS($O$5:$O49,$H$5:$H49,$A$483,$I$5:$I49,$B485,$B$5:$B49,"&gt;=91")</f>
        <v>44.729000000000006</v>
      </c>
      <c r="G485" s="266">
        <f t="shared" ref="G485:G491" ca="1" si="36">SUM(C485:F485)</f>
        <v>44.729000000000006</v>
      </c>
    </row>
    <row r="486" spans="1:67" x14ac:dyDescent="0.25">
      <c r="A486" s="472"/>
      <c r="B486" s="467" t="s">
        <v>70</v>
      </c>
      <c r="C486" s="265">
        <f>SUMIFS($O$5:$O49,$H$5:$H49,$A$488,$I$5:$I49,$B486,$B$5:$B49,"&lt;=30")</f>
        <v>0</v>
      </c>
      <c r="D486" s="464">
        <f>SUMIFS($O$5:$O49,$H$5:$H49,$A$488,$I$5:$I49,$B486,$B$5:$B49,"&lt;=60")-C486</f>
        <v>0</v>
      </c>
      <c r="E486" s="464">
        <f>SUMIFS($O$5:$O49,$H$5:$H49,$A$488,$I$5:$I49,$B486,$B$5:$B49,"&lt;=90")-D486-C486</f>
        <v>0</v>
      </c>
      <c r="F486" s="265">
        <f>SUMIFS($O$5:$O49,$H$5:$H49,$A$488,$I$5:$I49,$B486,$B$5:$B49,"&gt;=91")</f>
        <v>0</v>
      </c>
      <c r="G486" s="266">
        <f t="shared" si="36"/>
        <v>0</v>
      </c>
    </row>
    <row r="487" spans="1:67" x14ac:dyDescent="0.25">
      <c r="A487" s="473"/>
      <c r="B487" s="468" t="s">
        <v>69</v>
      </c>
      <c r="C487" s="265">
        <f>SUMIFS($O$5:$O49,$H$5:$H49,$A$488,$I$5:$I49,$B487,$B$5:$B49,"&lt;=30")</f>
        <v>0</v>
      </c>
      <c r="D487" s="464">
        <f>SUMIFS($O$5:$O49,$H$5:$H49,$A$488,$I$5:$I49,$B487,$B$5:$B49,"&lt;=60")-C487</f>
        <v>0</v>
      </c>
      <c r="E487" s="464">
        <f>SUMIFS($O$5:$O49,$H$5:$H49,$A$488,$I$5:$I49,$B487,$B$5:$B49,"&lt;=90")-D487-C487</f>
        <v>0</v>
      </c>
      <c r="F487" s="265">
        <f>SUMIFS($O$5:$O49,$H$5:$H49,$A$488,$I$5:$I49,$B487,$B$5:$B49,"&gt;=91")</f>
        <v>0</v>
      </c>
      <c r="G487" s="266">
        <f t="shared" si="36"/>
        <v>0</v>
      </c>
    </row>
    <row r="488" spans="1:67" x14ac:dyDescent="0.25">
      <c r="A488" s="473">
        <v>301</v>
      </c>
      <c r="B488" s="469" t="s">
        <v>114</v>
      </c>
      <c r="C488" s="265">
        <f>SUMIFS($O$5:$O49,$H$5:$H49,$A$488,$I$5:$I49,$B488,$B$5:$B49,"&lt;=30")</f>
        <v>0</v>
      </c>
      <c r="D488" s="464">
        <f>SUMIFS($O$5:$O49,$H$5:$H49,$A$488,$I$5:$I49,$B488,$B$5:$B49,"&lt;=60")-C488</f>
        <v>0</v>
      </c>
      <c r="E488" s="464">
        <f>SUMIFS($O$5:$O49,$H$5:$H49,$A$488,$I$5:$I49,$B488,$B$5:$B49,"&lt;=90")-D488-C488</f>
        <v>0</v>
      </c>
      <c r="F488" s="265">
        <f>SUMIFS($O$5:$O49,$H$5:$H49,$A$488,$I$5:$I49,$B488,$B$5:$B49,"&gt;=91")</f>
        <v>0</v>
      </c>
      <c r="G488" s="266">
        <f t="shared" si="36"/>
        <v>0</v>
      </c>
    </row>
    <row r="489" spans="1:67" x14ac:dyDescent="0.25">
      <c r="A489" s="473"/>
      <c r="B489" s="469" t="s">
        <v>6020</v>
      </c>
      <c r="C489" s="265">
        <f>SUMIFS($O$5:$O32,$H$5:$H32,$A$488,$I$5:$I32,$B489,$B$5:$B32,"&lt;=30")</f>
        <v>0</v>
      </c>
      <c r="D489" s="464">
        <f>SUMIFS($O$5:$O32,$H$5:$H32,$A$488,$I$5:$I32,$B489,$B$5:$B32,"&lt;=60")-C489</f>
        <v>0</v>
      </c>
      <c r="E489" s="464">
        <f>SUMIFS($O$5:$O32,$H$5:$H32,$A$488,$I$5:$I32,$B489,$B$5:$B32,"&lt;=90")-D489-C489</f>
        <v>0</v>
      </c>
      <c r="F489" s="265">
        <f>SUMIFS($O$5:$O32,$H$5:$H32,$A$488,$I$5:$I32,$B489,$B$5:$B32,"&gt;=91")</f>
        <v>0</v>
      </c>
      <c r="G489" s="266">
        <f t="shared" si="36"/>
        <v>0</v>
      </c>
    </row>
    <row r="490" spans="1:67" x14ac:dyDescent="0.25">
      <c r="A490" s="474"/>
      <c r="B490" s="469" t="s">
        <v>158</v>
      </c>
      <c r="C490" s="265">
        <f>SUMIFS($O$5:$O32,$H$5:$H32,$A$488,$I$5:$I32,$B490,$B$5:$B32,"&lt;=30")</f>
        <v>0</v>
      </c>
      <c r="D490" s="464">
        <f>SUMIFS($O$5:$O32,$H$5:$H32,$A$488,$I$5:$I32,$B490,$B$5:$B32,"&lt;=60")-C490</f>
        <v>0</v>
      </c>
      <c r="E490" s="464">
        <f>SUMIFS($O$5:$O32,$H$5:$H32,$A$488,$I$5:$I32,$B490,$B$5:$B32,"&lt;=90")-D490-C490</f>
        <v>0</v>
      </c>
      <c r="F490" s="265">
        <f>SUMIFS($O$5:$O32,$H$5:$H32,$A$488,$I$5:$I32,$B490,$B$5:$B32,"&gt;=91")</f>
        <v>0</v>
      </c>
      <c r="G490" s="266">
        <f t="shared" si="36"/>
        <v>0</v>
      </c>
    </row>
    <row r="491" spans="1:67" x14ac:dyDescent="0.25">
      <c r="A491" s="331" t="s">
        <v>39</v>
      </c>
      <c r="B491" s="332"/>
      <c r="C491" s="333">
        <f ca="1">SUM(C421:C490)</f>
        <v>0</v>
      </c>
      <c r="D491" s="333">
        <f ca="1">SUM(D421:D490)</f>
        <v>0</v>
      </c>
      <c r="E491" s="333">
        <f ca="1">SUM(E421:E490)</f>
        <v>0</v>
      </c>
      <c r="F491" s="333">
        <f ca="1">SUM(F421:F490)</f>
        <v>44.729000000000006</v>
      </c>
      <c r="G491" s="266">
        <f t="shared" ca="1" si="36"/>
        <v>44.729000000000006</v>
      </c>
    </row>
    <row r="492" spans="1:67" x14ac:dyDescent="0.25">
      <c r="O492" s="451"/>
    </row>
    <row r="493" spans="1:67" s="351" customFormat="1" ht="16.5" customHeight="1" x14ac:dyDescent="0.25">
      <c r="A493" s="336"/>
      <c r="B493" s="336"/>
      <c r="C493" s="336"/>
      <c r="D493" s="336"/>
      <c r="E493" s="336"/>
      <c r="F493" s="336"/>
      <c r="G493" s="336"/>
      <c r="H493" s="336"/>
      <c r="I493" s="336"/>
      <c r="K493" s="399"/>
      <c r="L493" s="399"/>
      <c r="M493" s="399"/>
      <c r="N493" s="352"/>
      <c r="O493" s="353"/>
      <c r="P493" s="353"/>
      <c r="Q493" s="353"/>
      <c r="S493" s="353"/>
      <c r="T493" s="399"/>
      <c r="Y493" s="463"/>
      <c r="Z493" s="463"/>
      <c r="AA493" s="463"/>
      <c r="AJ493" s="336"/>
      <c r="AK493" s="336"/>
      <c r="AL493" s="336"/>
      <c r="AM493" s="336"/>
      <c r="AN493" s="336"/>
      <c r="AO493" s="336"/>
      <c r="AP493" s="336"/>
      <c r="AQ493" s="336"/>
      <c r="AR493" s="336"/>
      <c r="AS493" s="336"/>
      <c r="AT493" s="364"/>
      <c r="AU493" s="364"/>
      <c r="AV493" s="364"/>
      <c r="AY493" s="336"/>
      <c r="AZ493" s="336"/>
    </row>
    <row r="494" spans="1:67" s="351" customFormat="1" ht="16.5" customHeight="1" x14ac:dyDescent="0.25">
      <c r="A494" s="454"/>
      <c r="B494" s="454"/>
      <c r="C494" s="336"/>
      <c r="D494" s="336"/>
      <c r="E494" s="336"/>
      <c r="F494" s="336"/>
      <c r="G494" s="336"/>
      <c r="H494" s="336"/>
      <c r="I494" s="336"/>
      <c r="K494" s="399"/>
      <c r="L494" s="399"/>
      <c r="M494" s="399"/>
      <c r="N494" s="352"/>
      <c r="O494" s="353"/>
      <c r="P494" s="353"/>
      <c r="Q494" s="353"/>
      <c r="S494" s="353"/>
      <c r="T494" s="399"/>
      <c r="Y494" s="463"/>
      <c r="Z494" s="463"/>
      <c r="AA494" s="463"/>
      <c r="AJ494" s="336"/>
      <c r="AK494" s="336"/>
      <c r="AL494" s="336"/>
      <c r="AM494" s="336"/>
      <c r="AN494" s="336"/>
      <c r="AO494" s="336"/>
      <c r="AP494" s="336"/>
      <c r="AQ494" s="336"/>
      <c r="AR494" s="336"/>
      <c r="AS494" s="336"/>
      <c r="AT494" s="364"/>
      <c r="AU494" s="364"/>
      <c r="AV494" s="364"/>
      <c r="AY494" s="336"/>
      <c r="AZ494" s="336"/>
    </row>
    <row r="495" spans="1:67" s="353" customFormat="1" ht="16.5" customHeight="1" x14ac:dyDescent="0.25">
      <c r="A495" s="336"/>
      <c r="B495" s="336"/>
      <c r="C495" s="336"/>
      <c r="D495" s="336"/>
      <c r="E495" s="336"/>
      <c r="F495" s="336"/>
      <c r="G495" s="336"/>
      <c r="H495" s="336"/>
      <c r="I495" s="336"/>
      <c r="J495" s="351"/>
      <c r="K495" s="399"/>
      <c r="L495" s="399"/>
      <c r="M495" s="399"/>
      <c r="N495" s="352"/>
      <c r="O495" s="451"/>
      <c r="R495" s="351"/>
      <c r="T495" s="399"/>
      <c r="U495" s="351"/>
      <c r="V495" s="351"/>
      <c r="W495" s="351"/>
      <c r="X495" s="351"/>
      <c r="Y495" s="351"/>
      <c r="Z495" s="351"/>
      <c r="AA495" s="351"/>
      <c r="AB495" s="351"/>
      <c r="AC495" s="351"/>
      <c r="AD495" s="351"/>
      <c r="AE495" s="351"/>
      <c r="AF495" s="351"/>
      <c r="AG495" s="351"/>
      <c r="AH495" s="351"/>
      <c r="AI495" s="351"/>
      <c r="AJ495" s="336"/>
      <c r="AK495" s="336"/>
      <c r="AL495" s="336"/>
      <c r="AM495" s="336"/>
      <c r="AN495" s="336"/>
      <c r="AO495" s="336"/>
      <c r="AP495" s="336"/>
      <c r="AQ495" s="336"/>
      <c r="AR495" s="336"/>
      <c r="AS495" s="336"/>
      <c r="AT495" s="364"/>
      <c r="AU495" s="364"/>
      <c r="AV495" s="364"/>
      <c r="AW495" s="351"/>
      <c r="AX495" s="351"/>
      <c r="AY495" s="336"/>
      <c r="AZ495" s="336"/>
      <c r="BA495" s="336"/>
      <c r="BB495" s="336"/>
      <c r="BC495" s="336"/>
      <c r="BD495" s="336"/>
      <c r="BE495" s="336"/>
      <c r="BF495" s="336"/>
      <c r="BG495" s="336"/>
      <c r="BH495" s="336"/>
      <c r="BI495" s="336"/>
      <c r="BJ495" s="336"/>
      <c r="BK495" s="336"/>
      <c r="BL495" s="336"/>
      <c r="BM495" s="336"/>
      <c r="BN495" s="336"/>
      <c r="BO495" s="336"/>
    </row>
    <row r="496" spans="1:67" x14ac:dyDescent="0.25">
      <c r="D496" s="475" t="s">
        <v>6021</v>
      </c>
      <c r="E496" s="475">
        <f ca="1">SUMIFS(O:O,B:B,"&gt;=60")</f>
        <v>127.52899999999994</v>
      </c>
    </row>
    <row r="528" spans="1:67" s="351" customFormat="1" x14ac:dyDescent="0.25">
      <c r="A528" s="336"/>
      <c r="B528" s="336"/>
      <c r="C528" s="336"/>
      <c r="D528" s="336"/>
      <c r="E528" s="336"/>
      <c r="F528" s="336"/>
      <c r="G528" s="336"/>
      <c r="H528" s="336"/>
      <c r="I528" s="336"/>
      <c r="K528" s="399"/>
      <c r="L528" s="399"/>
      <c r="M528" s="399"/>
      <c r="N528" s="352"/>
      <c r="O528" s="353"/>
      <c r="P528" s="353"/>
      <c r="Q528" s="353"/>
      <c r="S528" s="353"/>
      <c r="T528" s="362"/>
      <c r="AJ528" s="336"/>
      <c r="AK528" s="336"/>
      <c r="AL528" s="336"/>
      <c r="AM528" s="336"/>
      <c r="AN528" s="336"/>
      <c r="AO528" s="336"/>
      <c r="AP528" s="336"/>
      <c r="AQ528" s="336"/>
      <c r="AR528" s="336"/>
      <c r="AS528" s="336"/>
      <c r="AT528" s="364"/>
      <c r="AU528" s="364"/>
      <c r="AV528" s="364"/>
      <c r="AY528" s="336"/>
      <c r="AZ528" s="336"/>
      <c r="BA528" s="336"/>
      <c r="BB528" s="336"/>
      <c r="BC528" s="336"/>
      <c r="BD528" s="336"/>
      <c r="BE528" s="336"/>
      <c r="BF528" s="336"/>
      <c r="BG528" s="336"/>
      <c r="BH528" s="336"/>
      <c r="BI528" s="336"/>
      <c r="BJ528" s="336"/>
      <c r="BK528" s="336"/>
      <c r="BL528" s="336"/>
      <c r="BM528" s="336"/>
      <c r="BN528" s="336"/>
      <c r="BO528" s="336"/>
    </row>
    <row r="531" spans="1:67" s="351" customFormat="1" x14ac:dyDescent="0.25">
      <c r="A531" s="336"/>
      <c r="B531" s="336"/>
      <c r="C531" s="336"/>
      <c r="D531" s="336"/>
      <c r="E531" s="336"/>
      <c r="F531" s="336"/>
      <c r="G531" s="336"/>
      <c r="H531" s="336"/>
      <c r="I531" s="336"/>
      <c r="K531" s="399"/>
      <c r="L531" s="399"/>
      <c r="M531" s="399"/>
      <c r="N531" s="352"/>
      <c r="O531" s="353"/>
      <c r="P531" s="353"/>
      <c r="Q531" s="353"/>
      <c r="S531" s="353"/>
      <c r="T531" s="362"/>
      <c r="AJ531" s="336"/>
      <c r="AK531" s="336"/>
      <c r="AL531" s="336"/>
      <c r="AM531" s="336"/>
      <c r="AN531" s="336"/>
      <c r="AO531" s="336"/>
      <c r="AP531" s="336"/>
      <c r="AQ531" s="336"/>
      <c r="AR531" s="336"/>
      <c r="AS531" s="336"/>
      <c r="AT531" s="364"/>
      <c r="AU531" s="364"/>
      <c r="AV531" s="364"/>
      <c r="AY531" s="336"/>
      <c r="AZ531" s="336"/>
      <c r="BA531" s="336"/>
      <c r="BB531" s="336"/>
      <c r="BC531" s="336"/>
      <c r="BD531" s="336"/>
      <c r="BE531" s="336"/>
      <c r="BF531" s="336"/>
      <c r="BG531" s="336"/>
      <c r="BH531" s="336"/>
      <c r="BI531" s="336"/>
      <c r="BJ531" s="336"/>
      <c r="BK531" s="336"/>
      <c r="BL531" s="336"/>
      <c r="BM531" s="336"/>
      <c r="BN531" s="336"/>
      <c r="BO531" s="336"/>
    </row>
    <row r="532" spans="1:67" s="351" customFormat="1" x14ac:dyDescent="0.25">
      <c r="A532" s="336"/>
      <c r="B532" s="336"/>
      <c r="C532" s="336"/>
      <c r="D532" s="336"/>
      <c r="E532" s="336"/>
      <c r="F532" s="336"/>
      <c r="G532" s="336"/>
      <c r="H532" s="336"/>
      <c r="I532" s="336"/>
      <c r="K532" s="399"/>
      <c r="L532" s="399"/>
      <c r="M532" s="399"/>
      <c r="N532" s="352"/>
      <c r="O532" s="353"/>
      <c r="P532" s="353"/>
      <c r="Q532" s="353"/>
      <c r="S532" s="353"/>
      <c r="T532" s="362"/>
      <c r="AJ532" s="336"/>
      <c r="AK532" s="336"/>
      <c r="AL532" s="336"/>
      <c r="AM532" s="336"/>
      <c r="AN532" s="336"/>
      <c r="AO532" s="336"/>
      <c r="AP532" s="336"/>
      <c r="AQ532" s="336"/>
      <c r="AR532" s="336"/>
      <c r="AS532" s="336"/>
      <c r="AT532" s="364"/>
      <c r="AU532" s="364"/>
      <c r="AV532" s="364"/>
      <c r="AY532" s="336"/>
      <c r="AZ532" s="336"/>
      <c r="BA532" s="336"/>
      <c r="BB532" s="336"/>
      <c r="BC532" s="336"/>
      <c r="BD532" s="336"/>
      <c r="BE532" s="336"/>
      <c r="BF532" s="336"/>
      <c r="BG532" s="336"/>
      <c r="BH532" s="336"/>
      <c r="BI532" s="336"/>
      <c r="BJ532" s="336"/>
      <c r="BK532" s="336"/>
      <c r="BL532" s="336"/>
      <c r="BM532" s="336"/>
      <c r="BN532" s="336"/>
      <c r="BO532" s="336"/>
    </row>
    <row r="533" spans="1:67" s="351" customFormat="1" x14ac:dyDescent="0.25">
      <c r="A533" s="336"/>
      <c r="B533" s="336"/>
      <c r="C533" s="336"/>
      <c r="D533" s="336"/>
      <c r="E533" s="336"/>
      <c r="F533" s="336"/>
      <c r="G533" s="336"/>
      <c r="H533" s="336"/>
      <c r="I533" s="336"/>
      <c r="K533" s="399"/>
      <c r="L533" s="399"/>
      <c r="M533" s="399"/>
      <c r="N533" s="352"/>
      <c r="O533" s="353"/>
      <c r="P533" s="353"/>
      <c r="Q533" s="353"/>
      <c r="S533" s="353"/>
      <c r="T533" s="362"/>
      <c r="AJ533" s="336"/>
      <c r="AK533" s="336"/>
      <c r="AL533" s="336"/>
      <c r="AM533" s="336"/>
      <c r="AN533" s="336"/>
      <c r="AO533" s="336"/>
      <c r="AP533" s="336"/>
      <c r="AQ533" s="336"/>
      <c r="AR533" s="336"/>
      <c r="AS533" s="336"/>
      <c r="AT533" s="364"/>
      <c r="AU533" s="364"/>
      <c r="AV533" s="364"/>
      <c r="AY533" s="336"/>
      <c r="AZ533" s="336"/>
      <c r="BA533" s="336"/>
      <c r="BB533" s="336"/>
      <c r="BC533" s="336"/>
      <c r="BD533" s="336"/>
      <c r="BE533" s="336"/>
      <c r="BF533" s="336"/>
      <c r="BG533" s="336"/>
      <c r="BH533" s="336"/>
      <c r="BI533" s="336"/>
      <c r="BJ533" s="336"/>
      <c r="BK533" s="336"/>
      <c r="BL533" s="336"/>
      <c r="BM533" s="336"/>
      <c r="BN533" s="336"/>
      <c r="BO533" s="336"/>
    </row>
    <row r="534" spans="1:67" s="351" customFormat="1" x14ac:dyDescent="0.25">
      <c r="A534" s="336"/>
      <c r="B534" s="336"/>
      <c r="C534" s="336"/>
      <c r="D534" s="336"/>
      <c r="E534" s="336"/>
      <c r="F534" s="336"/>
      <c r="G534" s="336"/>
      <c r="H534" s="336"/>
      <c r="I534" s="336"/>
      <c r="K534" s="399"/>
      <c r="L534" s="399"/>
      <c r="M534" s="399"/>
      <c r="N534" s="352"/>
      <c r="O534" s="353"/>
      <c r="P534" s="353"/>
      <c r="Q534" s="353"/>
      <c r="S534" s="353"/>
      <c r="T534" s="362"/>
      <c r="AJ534" s="336"/>
      <c r="AK534" s="336"/>
      <c r="AL534" s="336"/>
      <c r="AM534" s="336"/>
      <c r="AN534" s="336"/>
      <c r="AO534" s="336"/>
      <c r="AP534" s="336"/>
      <c r="AQ534" s="336"/>
      <c r="AR534" s="336"/>
      <c r="AS534" s="336"/>
      <c r="AT534" s="364"/>
      <c r="AU534" s="364"/>
      <c r="AV534" s="364"/>
      <c r="AY534" s="336"/>
      <c r="AZ534" s="336"/>
      <c r="BA534" s="336"/>
      <c r="BB534" s="336"/>
      <c r="BC534" s="336"/>
      <c r="BD534" s="336"/>
      <c r="BE534" s="336"/>
      <c r="BF534" s="336"/>
      <c r="BG534" s="336"/>
      <c r="BH534" s="336"/>
      <c r="BI534" s="336"/>
      <c r="BJ534" s="336"/>
      <c r="BK534" s="336"/>
      <c r="BL534" s="336"/>
      <c r="BM534" s="336"/>
      <c r="BN534" s="336"/>
      <c r="BO534" s="336"/>
    </row>
    <row r="535" spans="1:67" s="351" customFormat="1" x14ac:dyDescent="0.25">
      <c r="A535" s="336"/>
      <c r="B535" s="336"/>
      <c r="C535" s="336"/>
      <c r="D535" s="336"/>
      <c r="E535" s="336"/>
      <c r="F535" s="336"/>
      <c r="G535" s="336"/>
      <c r="H535" s="336"/>
      <c r="I535" s="336"/>
      <c r="K535" s="399"/>
      <c r="L535" s="399"/>
      <c r="M535" s="399"/>
      <c r="N535" s="352"/>
      <c r="O535" s="353"/>
      <c r="P535" s="353"/>
      <c r="Q535" s="353"/>
      <c r="S535" s="353"/>
      <c r="T535" s="362"/>
      <c r="AJ535" s="336"/>
      <c r="AK535" s="336"/>
      <c r="AL535" s="336"/>
      <c r="AM535" s="336"/>
      <c r="AN535" s="336"/>
      <c r="AO535" s="336"/>
      <c r="AP535" s="336"/>
      <c r="AQ535" s="336"/>
      <c r="AR535" s="336"/>
      <c r="AS535" s="336"/>
      <c r="AT535" s="364"/>
      <c r="AU535" s="364"/>
      <c r="AV535" s="364"/>
      <c r="AY535" s="336"/>
      <c r="AZ535" s="336"/>
      <c r="BA535" s="336"/>
      <c r="BB535" s="336"/>
      <c r="BC535" s="336"/>
      <c r="BD535" s="336"/>
      <c r="BE535" s="336"/>
      <c r="BF535" s="336"/>
      <c r="BG535" s="336"/>
      <c r="BH535" s="336"/>
      <c r="BI535" s="336"/>
      <c r="BJ535" s="336"/>
      <c r="BK535" s="336"/>
      <c r="BL535" s="336"/>
      <c r="BM535" s="336"/>
      <c r="BN535" s="336"/>
      <c r="BO535" s="336"/>
    </row>
    <row r="539" spans="1:67" s="361" customFormat="1" ht="16.5" customHeight="1" x14ac:dyDescent="0.25">
      <c r="G539" s="359"/>
      <c r="J539" s="417"/>
      <c r="K539" s="417"/>
      <c r="L539" s="417"/>
      <c r="M539" s="417"/>
      <c r="N539" s="363"/>
      <c r="O539" s="356"/>
      <c r="P539" s="419"/>
      <c r="Q539" s="362"/>
      <c r="R539" s="362"/>
      <c r="S539" s="422"/>
      <c r="T539" s="399"/>
      <c r="U539" s="452"/>
      <c r="V539" s="452"/>
      <c r="W539" s="45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448"/>
      <c r="AH539" s="453"/>
      <c r="AL539" s="416"/>
      <c r="AM539" s="416"/>
      <c r="AN539" s="416"/>
      <c r="AO539" s="416"/>
      <c r="AP539" s="416"/>
      <c r="AQ539" s="416"/>
      <c r="AT539" s="364"/>
      <c r="AU539" s="364"/>
      <c r="AV539" s="364"/>
      <c r="AW539" s="364"/>
    </row>
    <row r="542" spans="1:67" s="361" customFormat="1" ht="16.5" customHeight="1" x14ac:dyDescent="0.25">
      <c r="G542" s="359"/>
      <c r="J542" s="417"/>
      <c r="K542" s="417"/>
      <c r="L542" s="417"/>
      <c r="M542" s="417"/>
      <c r="N542" s="363"/>
      <c r="O542" s="356"/>
      <c r="P542" s="419"/>
      <c r="Q542" s="362"/>
      <c r="R542" s="362"/>
      <c r="S542" s="422"/>
      <c r="T542" s="362"/>
      <c r="U542" s="452"/>
      <c r="V542" s="452"/>
      <c r="W542" s="45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448"/>
      <c r="AH542" s="453"/>
      <c r="AL542" s="416"/>
      <c r="AM542" s="416"/>
      <c r="AN542" s="416"/>
      <c r="AO542" s="416"/>
      <c r="AP542" s="416"/>
      <c r="AQ542" s="416"/>
      <c r="AT542" s="364"/>
      <c r="AU542" s="364"/>
      <c r="AV542" s="364"/>
      <c r="AW542" s="364"/>
    </row>
    <row r="543" spans="1:67" s="361" customFormat="1" ht="16.5" customHeight="1" x14ac:dyDescent="0.25">
      <c r="G543" s="359"/>
      <c r="J543" s="417"/>
      <c r="K543" s="417"/>
      <c r="L543" s="417"/>
      <c r="M543" s="417"/>
      <c r="N543" s="363"/>
      <c r="O543" s="356"/>
      <c r="P543" s="419"/>
      <c r="Q543" s="362"/>
      <c r="R543" s="362"/>
      <c r="S543" s="422"/>
      <c r="T543" s="362"/>
      <c r="U543" s="452"/>
      <c r="V543" s="452"/>
      <c r="W543" s="45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448"/>
      <c r="AH543" s="453"/>
      <c r="AL543" s="416"/>
      <c r="AM543" s="416"/>
      <c r="AN543" s="416"/>
      <c r="AO543" s="416"/>
      <c r="AP543" s="416"/>
      <c r="AQ543" s="416"/>
      <c r="AT543" s="364"/>
      <c r="AU543" s="364"/>
      <c r="AV543" s="364"/>
      <c r="AW543" s="364"/>
    </row>
    <row r="544" spans="1:67" s="361" customFormat="1" ht="16.5" customHeight="1" x14ac:dyDescent="0.25">
      <c r="J544" s="417"/>
      <c r="K544" s="417"/>
      <c r="L544" s="417"/>
      <c r="M544" s="417"/>
      <c r="N544" s="363"/>
      <c r="O544" s="364"/>
      <c r="P544" s="419"/>
      <c r="Q544" s="362"/>
      <c r="R544" s="362"/>
      <c r="S544" s="422"/>
      <c r="T544" s="362"/>
      <c r="U544" s="452"/>
      <c r="V544" s="452"/>
      <c r="W544" s="45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448"/>
      <c r="AH544" s="453"/>
      <c r="AL544" s="416"/>
      <c r="AM544" s="416"/>
      <c r="AN544" s="416"/>
      <c r="AO544" s="416"/>
      <c r="AP544" s="416"/>
      <c r="AQ544" s="416"/>
      <c r="AT544" s="364"/>
      <c r="AU544" s="364"/>
      <c r="AV544" s="364"/>
      <c r="AW544" s="364"/>
    </row>
    <row r="545" spans="1:67" s="361" customFormat="1" ht="16.5" customHeight="1" x14ac:dyDescent="0.25">
      <c r="J545" s="417"/>
      <c r="K545" s="417"/>
      <c r="L545" s="417"/>
      <c r="M545" s="417"/>
      <c r="N545" s="363"/>
      <c r="O545" s="364"/>
      <c r="P545" s="419"/>
      <c r="Q545" s="362"/>
      <c r="R545" s="362"/>
      <c r="S545" s="422"/>
      <c r="T545" s="362"/>
      <c r="U545" s="452"/>
      <c r="V545" s="452"/>
      <c r="W545" s="45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448"/>
      <c r="AH545" s="453"/>
      <c r="AL545" s="416"/>
      <c r="AM545" s="416"/>
      <c r="AN545" s="416"/>
      <c r="AO545" s="416"/>
      <c r="AP545" s="416"/>
      <c r="AQ545" s="416"/>
      <c r="AT545" s="364"/>
      <c r="AU545" s="364"/>
      <c r="AV545" s="364"/>
      <c r="AW545" s="364"/>
    </row>
    <row r="546" spans="1:67" s="361" customFormat="1" ht="16.5" customHeight="1" x14ac:dyDescent="0.25">
      <c r="J546" s="417"/>
      <c r="K546" s="417"/>
      <c r="L546" s="417"/>
      <c r="M546" s="417"/>
      <c r="N546" s="363"/>
      <c r="O546" s="364"/>
      <c r="P546" s="419"/>
      <c r="Q546" s="362"/>
      <c r="R546" s="362"/>
      <c r="S546" s="422"/>
      <c r="T546" s="362"/>
      <c r="U546" s="452"/>
      <c r="V546" s="452"/>
      <c r="W546" s="45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448"/>
      <c r="AH546" s="453"/>
      <c r="AL546" s="416"/>
      <c r="AM546" s="416"/>
      <c r="AN546" s="416"/>
      <c r="AO546" s="416"/>
      <c r="AP546" s="416"/>
      <c r="AQ546" s="416"/>
      <c r="AT546" s="364"/>
      <c r="AU546" s="364"/>
      <c r="AV546" s="364"/>
      <c r="AW546" s="364"/>
    </row>
    <row r="547" spans="1:67" x14ac:dyDescent="0.25">
      <c r="T547" s="362"/>
    </row>
    <row r="550" spans="1:67" s="351" customFormat="1" ht="30" customHeight="1" x14ac:dyDescent="0.25">
      <c r="A550" s="476" t="s">
        <v>6022</v>
      </c>
      <c r="B550" s="476"/>
      <c r="C550" s="477"/>
      <c r="D550" s="477"/>
      <c r="E550" s="477"/>
      <c r="F550" s="336"/>
      <c r="G550" s="336"/>
      <c r="H550" s="336"/>
      <c r="I550" s="336"/>
      <c r="K550" s="399"/>
      <c r="L550" s="399"/>
      <c r="M550" s="399"/>
      <c r="N550" s="352"/>
      <c r="O550" s="353"/>
      <c r="P550" s="353"/>
      <c r="Q550" s="353"/>
      <c r="S550" s="353"/>
      <c r="T550" s="399"/>
      <c r="AJ550" s="336"/>
      <c r="AK550" s="336"/>
      <c r="AL550" s="336"/>
      <c r="AM550" s="336"/>
      <c r="AN550" s="336"/>
      <c r="AO550" s="336"/>
      <c r="AP550" s="336"/>
      <c r="AQ550" s="336"/>
      <c r="AR550" s="336"/>
      <c r="AS550" s="336"/>
      <c r="AT550" s="364"/>
      <c r="AU550" s="364"/>
      <c r="AV550" s="364"/>
      <c r="AY550" s="336"/>
      <c r="AZ550" s="336"/>
      <c r="BA550" s="336"/>
      <c r="BB550" s="336"/>
      <c r="BC550" s="336"/>
      <c r="BD550" s="336"/>
      <c r="BE550" s="336"/>
      <c r="BF550" s="336"/>
      <c r="BG550" s="336"/>
      <c r="BH550" s="336"/>
      <c r="BI550" s="336"/>
      <c r="BJ550" s="336"/>
      <c r="BK550" s="336"/>
      <c r="BL550" s="336"/>
      <c r="BM550" s="336"/>
      <c r="BN550" s="336"/>
      <c r="BO550" s="336"/>
    </row>
    <row r="553" spans="1:67" s="361" customFormat="1" ht="16.5" customHeight="1" x14ac:dyDescent="0.25">
      <c r="J553" s="417"/>
      <c r="K553" s="417"/>
      <c r="L553" s="417"/>
      <c r="M553" s="417"/>
      <c r="N553" s="363"/>
      <c r="O553" s="364"/>
      <c r="P553" s="419"/>
      <c r="Q553" s="362"/>
      <c r="R553" s="362"/>
      <c r="S553" s="422"/>
      <c r="T553" s="399"/>
      <c r="U553" s="452"/>
      <c r="V553" s="452"/>
      <c r="W553" s="45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448"/>
      <c r="AH553" s="453"/>
      <c r="AL553" s="416"/>
      <c r="AM553" s="416"/>
      <c r="AN553" s="416"/>
      <c r="AO553" s="416"/>
      <c r="AP553" s="416"/>
      <c r="AQ553" s="416"/>
      <c r="AT553" s="364"/>
      <c r="AU553" s="364"/>
      <c r="AV553" s="364"/>
      <c r="AW553" s="364"/>
    </row>
    <row r="554" spans="1:67" s="361" customFormat="1" ht="16.5" customHeight="1" x14ac:dyDescent="0.25">
      <c r="J554" s="417"/>
      <c r="K554" s="417"/>
      <c r="L554" s="417"/>
      <c r="M554" s="417"/>
      <c r="N554" s="363"/>
      <c r="O554" s="364"/>
      <c r="P554" s="419"/>
      <c r="Q554" s="362"/>
      <c r="R554" s="362"/>
      <c r="S554" s="422"/>
      <c r="T554" s="399"/>
      <c r="U554" s="452"/>
      <c r="V554" s="452"/>
      <c r="W554" s="45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448"/>
      <c r="AH554" s="453"/>
      <c r="AL554" s="416"/>
      <c r="AM554" s="416"/>
      <c r="AN554" s="416"/>
      <c r="AO554" s="416"/>
      <c r="AP554" s="416"/>
      <c r="AQ554" s="416"/>
      <c r="AT554" s="364"/>
      <c r="AU554" s="364"/>
      <c r="AV554" s="364"/>
      <c r="AW554" s="364"/>
    </row>
    <row r="555" spans="1:67" s="361" customFormat="1" ht="16.5" customHeight="1" x14ac:dyDescent="0.25">
      <c r="J555" s="417"/>
      <c r="K555" s="417"/>
      <c r="L555" s="417"/>
      <c r="M555" s="417"/>
      <c r="N555" s="363"/>
      <c r="O555" s="364"/>
      <c r="P555" s="419"/>
      <c r="Q555" s="362"/>
      <c r="R555" s="362"/>
      <c r="S555" s="422"/>
      <c r="T555" s="399"/>
      <c r="U555" s="452"/>
      <c r="V555" s="452"/>
      <c r="W555" s="45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448"/>
      <c r="AH555" s="453"/>
      <c r="AL555" s="416"/>
      <c r="AM555" s="416"/>
      <c r="AN555" s="416"/>
      <c r="AO555" s="416"/>
      <c r="AP555" s="416"/>
      <c r="AQ555" s="416"/>
      <c r="AT555" s="364"/>
      <c r="AU555" s="364"/>
      <c r="AV555" s="364"/>
      <c r="AW555" s="364"/>
    </row>
    <row r="556" spans="1:67" s="361" customFormat="1" ht="16.5" customHeight="1" x14ac:dyDescent="0.25">
      <c r="J556" s="417"/>
      <c r="K556" s="417"/>
      <c r="L556" s="417"/>
      <c r="M556" s="417"/>
      <c r="N556" s="363"/>
      <c r="O556" s="364"/>
      <c r="P556" s="419"/>
      <c r="Q556" s="362"/>
      <c r="R556" s="362"/>
      <c r="S556" s="422"/>
      <c r="T556" s="399"/>
      <c r="U556" s="452"/>
      <c r="V556" s="452"/>
      <c r="W556" s="45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448"/>
      <c r="AH556" s="453"/>
      <c r="AL556" s="416"/>
      <c r="AM556" s="416"/>
      <c r="AN556" s="416"/>
      <c r="AO556" s="416"/>
      <c r="AP556" s="416"/>
      <c r="AQ556" s="416"/>
      <c r="AT556" s="364"/>
      <c r="AU556" s="364"/>
      <c r="AV556" s="364"/>
      <c r="AW556" s="364"/>
    </row>
    <row r="557" spans="1:67" s="361" customFormat="1" ht="16.5" customHeight="1" x14ac:dyDescent="0.25">
      <c r="J557" s="417"/>
      <c r="K557" s="417"/>
      <c r="L557" s="417"/>
      <c r="M557" s="417"/>
      <c r="N557" s="363"/>
      <c r="O557" s="364"/>
      <c r="P557" s="419"/>
      <c r="Q557" s="362"/>
      <c r="R557" s="362"/>
      <c r="S557" s="422"/>
      <c r="T557" s="399"/>
      <c r="U557" s="452"/>
      <c r="V557" s="452"/>
      <c r="W557" s="45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448"/>
      <c r="AH557" s="453"/>
      <c r="AL557" s="416"/>
      <c r="AM557" s="416"/>
      <c r="AN557" s="416"/>
      <c r="AO557" s="416"/>
      <c r="AP557" s="416"/>
      <c r="AQ557" s="416"/>
      <c r="AT557" s="364"/>
      <c r="AU557" s="364"/>
      <c r="AV557" s="364"/>
      <c r="AW557" s="364"/>
    </row>
    <row r="558" spans="1:67" s="361" customFormat="1" ht="16.5" customHeight="1" x14ac:dyDescent="0.25">
      <c r="J558" s="417"/>
      <c r="K558" s="417"/>
      <c r="L558" s="417"/>
      <c r="M558" s="417"/>
      <c r="N558" s="363"/>
      <c r="O558" s="364"/>
      <c r="P558" s="419"/>
      <c r="Q558" s="419"/>
      <c r="R558" s="435"/>
      <c r="S558" s="422"/>
      <c r="T558" s="399"/>
      <c r="U558" s="452"/>
      <c r="V558" s="452"/>
      <c r="W558" s="448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453"/>
      <c r="AK558" s="416"/>
      <c r="AL558" s="416"/>
      <c r="AM558" s="416"/>
      <c r="AN558" s="416"/>
      <c r="AO558" s="416"/>
      <c r="AP558" s="416"/>
      <c r="AQ558" s="416"/>
      <c r="AS558" s="364"/>
      <c r="AT558" s="364"/>
      <c r="AU558" s="364"/>
      <c r="AV558" s="364"/>
      <c r="AW558" s="364"/>
    </row>
    <row r="563" spans="1:67" x14ac:dyDescent="0.25">
      <c r="T563" s="362"/>
    </row>
    <row r="564" spans="1:67" s="351" customFormat="1" x14ac:dyDescent="0.25">
      <c r="A564" s="336"/>
      <c r="B564" s="336"/>
      <c r="C564" s="336"/>
      <c r="D564" s="336"/>
      <c r="E564" s="336"/>
      <c r="F564" s="336"/>
      <c r="G564" s="336"/>
      <c r="H564" s="336"/>
      <c r="I564" s="336"/>
      <c r="K564" s="399"/>
      <c r="L564" s="399"/>
      <c r="M564" s="399"/>
      <c r="N564" s="352"/>
      <c r="O564" s="451"/>
      <c r="P564" s="353"/>
      <c r="Q564" s="353"/>
      <c r="S564" s="353"/>
      <c r="T564" s="362"/>
      <c r="AJ564" s="336"/>
      <c r="AK564" s="336"/>
      <c r="AL564" s="336"/>
      <c r="AM564" s="336"/>
      <c r="AN564" s="336"/>
      <c r="AO564" s="336"/>
      <c r="AP564" s="336"/>
      <c r="AQ564" s="336"/>
      <c r="AR564" s="336"/>
      <c r="AS564" s="336"/>
      <c r="AT564" s="364"/>
      <c r="AU564" s="364"/>
      <c r="AV564" s="364"/>
      <c r="AY564" s="336"/>
      <c r="AZ564" s="336"/>
      <c r="BA564" s="336"/>
      <c r="BB564" s="336"/>
      <c r="BC564" s="336"/>
      <c r="BD564" s="336"/>
      <c r="BE564" s="336"/>
      <c r="BF564" s="336"/>
      <c r="BG564" s="336"/>
      <c r="BH564" s="336"/>
      <c r="BI564" s="336"/>
      <c r="BJ564" s="336"/>
      <c r="BK564" s="336"/>
      <c r="BL564" s="336"/>
      <c r="BM564" s="336"/>
      <c r="BN564" s="336"/>
      <c r="BO564" s="336"/>
    </row>
    <row r="565" spans="1:67" x14ac:dyDescent="0.25">
      <c r="T565" s="362"/>
    </row>
    <row r="566" spans="1:67" x14ac:dyDescent="0.25">
      <c r="T566" s="362"/>
    </row>
    <row r="567" spans="1:67" x14ac:dyDescent="0.25">
      <c r="T567" s="362"/>
    </row>
    <row r="568" spans="1:67" s="351" customFormat="1" x14ac:dyDescent="0.25">
      <c r="A568" s="336"/>
      <c r="B568" s="336"/>
      <c r="C568" s="336"/>
      <c r="D568" s="336"/>
      <c r="E568" s="336"/>
      <c r="F568" s="336"/>
      <c r="G568" s="336"/>
      <c r="H568" s="336"/>
      <c r="I568" s="336"/>
      <c r="K568" s="399"/>
      <c r="L568" s="399"/>
      <c r="M568" s="399"/>
      <c r="N568" s="352"/>
      <c r="O568" s="353"/>
      <c r="P568" s="353"/>
      <c r="Q568" s="353"/>
      <c r="S568" s="353"/>
      <c r="T568" s="362"/>
      <c r="AJ568" s="336"/>
      <c r="AK568" s="336"/>
      <c r="AL568" s="336"/>
      <c r="AM568" s="336"/>
      <c r="AN568" s="336"/>
      <c r="AO568" s="336"/>
      <c r="AP568" s="336"/>
      <c r="AQ568" s="336"/>
      <c r="AR568" s="336"/>
      <c r="AS568" s="336"/>
      <c r="AT568" s="364"/>
      <c r="AU568" s="364"/>
      <c r="AV568" s="364"/>
      <c r="AY568" s="336"/>
      <c r="AZ568" s="336"/>
      <c r="BA568" s="336"/>
      <c r="BB568" s="336"/>
      <c r="BC568" s="336"/>
      <c r="BD568" s="336"/>
      <c r="BE568" s="336"/>
      <c r="BF568" s="336"/>
      <c r="BG568" s="336"/>
      <c r="BH568" s="336"/>
      <c r="BI568" s="336"/>
      <c r="BJ568" s="336"/>
      <c r="BK568" s="336"/>
      <c r="BL568" s="336"/>
      <c r="BM568" s="336"/>
      <c r="BN568" s="336"/>
      <c r="BO568" s="336"/>
    </row>
    <row r="569" spans="1:67" s="351" customFormat="1" x14ac:dyDescent="0.25">
      <c r="A569" s="336"/>
      <c r="B569" s="336"/>
      <c r="C569" s="336"/>
      <c r="D569" s="336"/>
      <c r="E569" s="336"/>
      <c r="F569" s="336"/>
      <c r="G569" s="336"/>
      <c r="H569" s="336"/>
      <c r="I569" s="336"/>
      <c r="K569" s="399"/>
      <c r="L569" s="399"/>
      <c r="M569" s="399"/>
      <c r="N569" s="352"/>
      <c r="O569" s="353"/>
      <c r="P569" s="353"/>
      <c r="Q569" s="353"/>
      <c r="S569" s="353"/>
      <c r="T569" s="362"/>
      <c r="AJ569" s="336"/>
      <c r="AK569" s="336"/>
      <c r="AL569" s="336"/>
      <c r="AM569" s="336"/>
      <c r="AN569" s="336"/>
      <c r="AO569" s="336"/>
      <c r="AP569" s="336"/>
      <c r="AQ569" s="336"/>
      <c r="AR569" s="336"/>
      <c r="AS569" s="336"/>
      <c r="AT569" s="364"/>
      <c r="AU569" s="364"/>
      <c r="AV569" s="364"/>
      <c r="AY569" s="336"/>
      <c r="AZ569" s="336"/>
      <c r="BA569" s="336"/>
      <c r="BB569" s="336"/>
      <c r="BC569" s="336"/>
      <c r="BD569" s="336"/>
      <c r="BE569" s="336"/>
      <c r="BF569" s="336"/>
      <c r="BG569" s="336"/>
      <c r="BH569" s="336"/>
      <c r="BI569" s="336"/>
      <c r="BJ569" s="336"/>
      <c r="BK569" s="336"/>
      <c r="BL569" s="336"/>
      <c r="BM569" s="336"/>
      <c r="BN569" s="336"/>
      <c r="BO569" s="336"/>
    </row>
    <row r="570" spans="1:67" s="351" customFormat="1" x14ac:dyDescent="0.25">
      <c r="A570" s="336"/>
      <c r="B570" s="336"/>
      <c r="C570" s="336"/>
      <c r="D570" s="336"/>
      <c r="E570" s="336"/>
      <c r="F570" s="336"/>
      <c r="G570" s="336"/>
      <c r="H570" s="336"/>
      <c r="I570" s="336"/>
      <c r="K570" s="399"/>
      <c r="L570" s="399"/>
      <c r="M570" s="399"/>
      <c r="N570" s="352"/>
      <c r="O570" s="353"/>
      <c r="P570" s="353"/>
      <c r="Q570" s="353"/>
      <c r="S570" s="353"/>
      <c r="T570" s="362"/>
      <c r="AJ570" s="336"/>
      <c r="AK570" s="336"/>
      <c r="AL570" s="336"/>
      <c r="AM570" s="336"/>
      <c r="AN570" s="336"/>
      <c r="AO570" s="336"/>
      <c r="AP570" s="336"/>
      <c r="AQ570" s="336"/>
      <c r="AR570" s="336"/>
      <c r="AS570" s="336"/>
      <c r="AT570" s="364"/>
      <c r="AU570" s="364"/>
      <c r="AV570" s="364"/>
      <c r="AY570" s="336"/>
      <c r="AZ570" s="336"/>
      <c r="BA570" s="336"/>
      <c r="BB570" s="336"/>
      <c r="BC570" s="336"/>
      <c r="BD570" s="336"/>
      <c r="BE570" s="336"/>
      <c r="BF570" s="336"/>
      <c r="BG570" s="336"/>
      <c r="BH570" s="336"/>
      <c r="BI570" s="336"/>
      <c r="BJ570" s="336"/>
      <c r="BK570" s="336"/>
      <c r="BL570" s="336"/>
      <c r="BM570" s="336"/>
      <c r="BN570" s="336"/>
      <c r="BO570" s="336"/>
    </row>
    <row r="571" spans="1:67" s="351" customFormat="1" x14ac:dyDescent="0.25">
      <c r="A571" s="336"/>
      <c r="B571" s="336"/>
      <c r="C571" s="336"/>
      <c r="D571" s="336"/>
      <c r="E571" s="336"/>
      <c r="F571" s="336"/>
      <c r="G571" s="336"/>
      <c r="H571" s="336"/>
      <c r="I571" s="336"/>
      <c r="K571" s="399"/>
      <c r="L571" s="399"/>
      <c r="M571" s="399"/>
      <c r="N571" s="352"/>
      <c r="O571" s="353"/>
      <c r="P571" s="353"/>
      <c r="Q571" s="353"/>
      <c r="S571" s="353"/>
      <c r="T571" s="362"/>
      <c r="AJ571" s="336"/>
      <c r="AK571" s="336"/>
      <c r="AL571" s="336"/>
      <c r="AM571" s="336"/>
      <c r="AN571" s="336"/>
      <c r="AO571" s="336"/>
      <c r="AP571" s="336"/>
      <c r="AQ571" s="336"/>
      <c r="AR571" s="336"/>
      <c r="AS571" s="336"/>
      <c r="AT571" s="364"/>
      <c r="AU571" s="364"/>
      <c r="AV571" s="364"/>
      <c r="AY571" s="336"/>
      <c r="AZ571" s="336"/>
      <c r="BA571" s="336"/>
      <c r="BB571" s="336"/>
      <c r="BC571" s="336"/>
      <c r="BD571" s="336"/>
      <c r="BE571" s="336"/>
      <c r="BF571" s="336"/>
      <c r="BG571" s="336"/>
      <c r="BH571" s="336"/>
      <c r="BI571" s="336"/>
      <c r="BJ571" s="336"/>
      <c r="BK571" s="336"/>
      <c r="BL571" s="336"/>
      <c r="BM571" s="336"/>
      <c r="BN571" s="336"/>
      <c r="BO571" s="336"/>
    </row>
    <row r="572" spans="1:67" s="351" customFormat="1" x14ac:dyDescent="0.25">
      <c r="A572" s="336"/>
      <c r="B572" s="336"/>
      <c r="C572" s="336"/>
      <c r="D572" s="336"/>
      <c r="E572" s="336"/>
      <c r="F572" s="336"/>
      <c r="G572" s="336"/>
      <c r="H572" s="336"/>
      <c r="I572" s="336"/>
      <c r="K572" s="399"/>
      <c r="L572" s="399"/>
      <c r="M572" s="399"/>
      <c r="N572" s="352"/>
      <c r="O572" s="353"/>
      <c r="P572" s="353"/>
      <c r="Q572" s="353"/>
      <c r="S572" s="353"/>
      <c r="T572" s="362"/>
      <c r="AJ572" s="336"/>
      <c r="AK572" s="336"/>
      <c r="AL572" s="336"/>
      <c r="AM572" s="336"/>
      <c r="AN572" s="336"/>
      <c r="AO572" s="336"/>
      <c r="AP572" s="336"/>
      <c r="AQ572" s="336"/>
      <c r="AR572" s="336"/>
      <c r="AS572" s="336"/>
      <c r="AT572" s="364"/>
      <c r="AU572" s="364"/>
      <c r="AV572" s="364"/>
      <c r="AY572" s="336"/>
      <c r="AZ572" s="336"/>
      <c r="BA572" s="336"/>
      <c r="BB572" s="336"/>
      <c r="BC572" s="336"/>
      <c r="BD572" s="336"/>
      <c r="BE572" s="336"/>
      <c r="BF572" s="336"/>
      <c r="BG572" s="336"/>
      <c r="BH572" s="336"/>
      <c r="BI572" s="336"/>
      <c r="BJ572" s="336"/>
      <c r="BK572" s="336"/>
      <c r="BL572" s="336"/>
      <c r="BM572" s="336"/>
      <c r="BN572" s="336"/>
      <c r="BO572" s="336"/>
    </row>
    <row r="573" spans="1:67" s="351" customFormat="1" x14ac:dyDescent="0.25">
      <c r="A573" s="336"/>
      <c r="B573" s="336"/>
      <c r="C573" s="336"/>
      <c r="D573" s="336"/>
      <c r="E573" s="336"/>
      <c r="F573" s="336"/>
      <c r="G573" s="336"/>
      <c r="H573" s="336"/>
      <c r="I573" s="336"/>
      <c r="K573" s="399"/>
      <c r="L573" s="399"/>
      <c r="M573" s="399"/>
      <c r="N573" s="352"/>
      <c r="O573" s="353"/>
      <c r="P573" s="353"/>
      <c r="Q573" s="353"/>
      <c r="S573" s="353"/>
      <c r="T573" s="362"/>
      <c r="AJ573" s="336"/>
      <c r="AK573" s="336"/>
      <c r="AL573" s="336"/>
      <c r="AM573" s="336"/>
      <c r="AN573" s="336"/>
      <c r="AO573" s="336"/>
      <c r="AP573" s="336"/>
      <c r="AQ573" s="336"/>
      <c r="AR573" s="336"/>
      <c r="AS573" s="336"/>
      <c r="AT573" s="364"/>
      <c r="AU573" s="364"/>
      <c r="AV573" s="364"/>
      <c r="AY573" s="336"/>
      <c r="AZ573" s="336"/>
      <c r="BA573" s="336"/>
      <c r="BB573" s="336"/>
      <c r="BC573" s="336"/>
      <c r="BD573" s="336"/>
      <c r="BE573" s="336"/>
      <c r="BF573" s="336"/>
      <c r="BG573" s="336"/>
      <c r="BH573" s="336"/>
      <c r="BI573" s="336"/>
      <c r="BJ573" s="336"/>
      <c r="BK573" s="336"/>
      <c r="BL573" s="336"/>
      <c r="BM573" s="336"/>
      <c r="BN573" s="336"/>
      <c r="BO573" s="336"/>
    </row>
    <row r="574" spans="1:67" s="361" customFormat="1" ht="16.5" customHeight="1" x14ac:dyDescent="0.25">
      <c r="J574" s="417"/>
      <c r="K574" s="417"/>
      <c r="L574" s="417"/>
      <c r="M574" s="417"/>
      <c r="N574" s="363"/>
      <c r="O574" s="364"/>
      <c r="P574" s="419"/>
      <c r="Q574" s="362"/>
      <c r="R574" s="362"/>
      <c r="S574" s="422"/>
      <c r="T574" s="362"/>
      <c r="U574" s="452"/>
      <c r="V574" s="452"/>
      <c r="W574" s="45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448"/>
      <c r="AH574" s="453"/>
      <c r="AL574" s="416"/>
      <c r="AM574" s="416"/>
      <c r="AN574" s="416"/>
      <c r="AO574" s="416"/>
      <c r="AP574" s="416"/>
      <c r="AQ574" s="416"/>
      <c r="AT574" s="364"/>
      <c r="AU574" s="364"/>
      <c r="AV574" s="364"/>
      <c r="AW574" s="364"/>
    </row>
    <row r="575" spans="1:67" s="361" customFormat="1" ht="16.5" customHeight="1" x14ac:dyDescent="0.25">
      <c r="J575" s="417"/>
      <c r="K575" s="417"/>
      <c r="L575" s="417"/>
      <c r="M575" s="417"/>
      <c r="N575" s="363"/>
      <c r="O575" s="364"/>
      <c r="P575" s="419"/>
      <c r="Q575" s="362"/>
      <c r="R575" s="362"/>
      <c r="S575" s="422"/>
      <c r="T575" s="362"/>
      <c r="U575" s="452"/>
      <c r="V575" s="452"/>
      <c r="W575" s="45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448"/>
      <c r="AH575" s="453"/>
      <c r="AL575" s="416"/>
      <c r="AM575" s="416"/>
      <c r="AN575" s="416"/>
      <c r="AO575" s="416"/>
      <c r="AP575" s="416"/>
      <c r="AQ575" s="416"/>
      <c r="AT575" s="364"/>
      <c r="AU575" s="364"/>
      <c r="AV575" s="364"/>
      <c r="AW575" s="364"/>
    </row>
    <row r="576" spans="1:67" s="361" customFormat="1" ht="16.5" customHeight="1" x14ac:dyDescent="0.25">
      <c r="J576" s="417"/>
      <c r="K576" s="417"/>
      <c r="L576" s="417"/>
      <c r="M576" s="417"/>
      <c r="N576" s="363"/>
      <c r="O576" s="364"/>
      <c r="P576" s="419"/>
      <c r="Q576" s="362"/>
      <c r="R576" s="362"/>
      <c r="S576" s="422"/>
      <c r="T576" s="362"/>
      <c r="U576" s="452"/>
      <c r="V576" s="452"/>
      <c r="W576" s="45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448"/>
      <c r="AH576" s="453"/>
      <c r="AL576" s="416"/>
      <c r="AM576" s="416"/>
      <c r="AN576" s="416"/>
      <c r="AO576" s="416"/>
      <c r="AP576" s="416"/>
      <c r="AQ576" s="416"/>
      <c r="AT576" s="364"/>
      <c r="AU576" s="364"/>
      <c r="AV576" s="364"/>
      <c r="AW576" s="364"/>
    </row>
    <row r="577" spans="10:49" s="361" customFormat="1" ht="16.5" customHeight="1" x14ac:dyDescent="0.25">
      <c r="J577" s="417"/>
      <c r="K577" s="417"/>
      <c r="L577" s="417"/>
      <c r="M577" s="417"/>
      <c r="N577" s="363"/>
      <c r="O577" s="364"/>
      <c r="P577" s="419"/>
      <c r="Q577" s="362"/>
      <c r="R577" s="362"/>
      <c r="S577" s="422"/>
      <c r="T577" s="362"/>
      <c r="U577" s="452"/>
      <c r="V577" s="452"/>
      <c r="W577" s="45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448"/>
      <c r="AH577" s="453"/>
      <c r="AL577" s="416"/>
      <c r="AM577" s="416"/>
      <c r="AN577" s="416"/>
      <c r="AO577" s="416"/>
      <c r="AP577" s="416"/>
      <c r="AQ577" s="416"/>
      <c r="AT577" s="364"/>
      <c r="AU577" s="364"/>
      <c r="AV577" s="364"/>
      <c r="AW577" s="364"/>
    </row>
    <row r="578" spans="10:49" s="361" customFormat="1" ht="16.5" customHeight="1" x14ac:dyDescent="0.25">
      <c r="J578" s="417"/>
      <c r="K578" s="417"/>
      <c r="L578" s="417"/>
      <c r="M578" s="417"/>
      <c r="N578" s="363"/>
      <c r="O578" s="364"/>
      <c r="P578" s="419"/>
      <c r="Q578" s="362"/>
      <c r="R578" s="362"/>
      <c r="S578" s="422"/>
      <c r="T578" s="362"/>
      <c r="U578" s="452"/>
      <c r="V578" s="452"/>
      <c r="W578" s="45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448"/>
      <c r="AH578" s="453"/>
      <c r="AL578" s="416"/>
      <c r="AM578" s="416"/>
      <c r="AN578" s="416"/>
      <c r="AO578" s="416"/>
      <c r="AP578" s="416"/>
      <c r="AQ578" s="416"/>
      <c r="AT578" s="364"/>
      <c r="AU578" s="364"/>
      <c r="AV578" s="364"/>
      <c r="AW578" s="364"/>
    </row>
    <row r="579" spans="10:49" s="361" customFormat="1" ht="16.5" customHeight="1" x14ac:dyDescent="0.25">
      <c r="J579" s="417"/>
      <c r="K579" s="417"/>
      <c r="L579" s="417"/>
      <c r="M579" s="417"/>
      <c r="N579" s="363"/>
      <c r="O579" s="364"/>
      <c r="P579" s="419"/>
      <c r="Q579" s="362"/>
      <c r="R579" s="362"/>
      <c r="S579" s="422"/>
      <c r="T579" s="362"/>
      <c r="U579" s="452"/>
      <c r="V579" s="452"/>
      <c r="W579" s="45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448"/>
      <c r="AH579" s="453"/>
      <c r="AL579" s="416"/>
      <c r="AM579" s="416"/>
      <c r="AN579" s="416"/>
      <c r="AO579" s="416"/>
      <c r="AP579" s="416"/>
      <c r="AQ579" s="416"/>
      <c r="AT579" s="364"/>
      <c r="AU579" s="364"/>
      <c r="AV579" s="364"/>
      <c r="AW579" s="364"/>
    </row>
    <row r="580" spans="10:49" s="361" customFormat="1" ht="16.5" customHeight="1" x14ac:dyDescent="0.25">
      <c r="J580" s="417"/>
      <c r="K580" s="417"/>
      <c r="L580" s="417"/>
      <c r="M580" s="417"/>
      <c r="N580" s="363"/>
      <c r="O580" s="364"/>
      <c r="P580" s="419"/>
      <c r="Q580" s="362"/>
      <c r="R580" s="362"/>
      <c r="S580" s="422"/>
      <c r="T580" s="362"/>
      <c r="U580" s="452"/>
      <c r="V580" s="452"/>
      <c r="W580" s="45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448"/>
      <c r="AH580" s="453"/>
      <c r="AL580" s="416"/>
      <c r="AM580" s="416"/>
      <c r="AN580" s="416"/>
      <c r="AO580" s="416"/>
      <c r="AP580" s="416"/>
      <c r="AQ580" s="416"/>
      <c r="AT580" s="364"/>
      <c r="AU580" s="364"/>
      <c r="AV580" s="364"/>
      <c r="AW580" s="364"/>
    </row>
    <row r="581" spans="10:49" s="361" customFormat="1" ht="16.5" customHeight="1" x14ac:dyDescent="0.25">
      <c r="J581" s="417"/>
      <c r="K581" s="417"/>
      <c r="L581" s="417"/>
      <c r="M581" s="417"/>
      <c r="N581" s="363"/>
      <c r="O581" s="364"/>
      <c r="P581" s="419"/>
      <c r="Q581" s="362"/>
      <c r="R581" s="362"/>
      <c r="S581" s="422"/>
      <c r="T581" s="362"/>
      <c r="U581" s="452"/>
      <c r="V581" s="452"/>
      <c r="W581" s="45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448"/>
      <c r="AH581" s="453"/>
      <c r="AL581" s="416"/>
      <c r="AM581" s="416"/>
      <c r="AN581" s="416"/>
      <c r="AO581" s="416"/>
      <c r="AP581" s="416"/>
      <c r="AQ581" s="416"/>
      <c r="AT581" s="364"/>
      <c r="AU581" s="364"/>
      <c r="AV581" s="364"/>
      <c r="AW581" s="364"/>
    </row>
    <row r="582" spans="10:49" s="361" customFormat="1" ht="16.5" customHeight="1" x14ac:dyDescent="0.25">
      <c r="J582" s="417"/>
      <c r="K582" s="417"/>
      <c r="L582" s="417"/>
      <c r="M582" s="417"/>
      <c r="N582" s="363"/>
      <c r="O582" s="364"/>
      <c r="P582" s="419"/>
      <c r="Q582" s="362"/>
      <c r="R582" s="362"/>
      <c r="S582" s="422"/>
      <c r="T582" s="362"/>
      <c r="U582" s="452"/>
      <c r="V582" s="452"/>
      <c r="W582" s="45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448"/>
      <c r="AH582" s="453"/>
      <c r="AL582" s="416"/>
      <c r="AM582" s="416"/>
      <c r="AN582" s="416"/>
      <c r="AO582" s="416"/>
      <c r="AP582" s="416"/>
      <c r="AQ582" s="416"/>
      <c r="AT582" s="364"/>
      <c r="AU582" s="364"/>
      <c r="AV582" s="364"/>
      <c r="AW582" s="364"/>
    </row>
    <row r="583" spans="10:49" s="361" customFormat="1" ht="16.5" customHeight="1" x14ac:dyDescent="0.25">
      <c r="J583" s="417"/>
      <c r="K583" s="417"/>
      <c r="L583" s="417"/>
      <c r="M583" s="417"/>
      <c r="N583" s="363"/>
      <c r="O583" s="364"/>
      <c r="P583" s="419"/>
      <c r="Q583" s="362"/>
      <c r="R583" s="362"/>
      <c r="S583" s="422"/>
      <c r="T583" s="362"/>
      <c r="U583" s="452"/>
      <c r="V583" s="452"/>
      <c r="W583" s="45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448"/>
      <c r="AH583" s="453"/>
      <c r="AL583" s="416"/>
      <c r="AM583" s="416"/>
      <c r="AN583" s="416"/>
      <c r="AO583" s="416"/>
      <c r="AP583" s="416"/>
      <c r="AQ583" s="416"/>
      <c r="AT583" s="364"/>
      <c r="AU583" s="364"/>
      <c r="AV583" s="364"/>
      <c r="AW583" s="364"/>
    </row>
    <row r="584" spans="10:49" s="361" customFormat="1" ht="16.5" customHeight="1" x14ac:dyDescent="0.25">
      <c r="J584" s="417"/>
      <c r="K584" s="417"/>
      <c r="L584" s="417"/>
      <c r="M584" s="417"/>
      <c r="N584" s="363"/>
      <c r="O584" s="364"/>
      <c r="P584" s="419"/>
      <c r="Q584" s="362"/>
      <c r="R584" s="362"/>
      <c r="S584" s="422"/>
      <c r="T584" s="362"/>
      <c r="U584" s="452"/>
      <c r="V584" s="452"/>
      <c r="W584" s="45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448"/>
      <c r="AH584" s="453"/>
      <c r="AL584" s="416"/>
      <c r="AM584" s="416"/>
      <c r="AN584" s="416"/>
      <c r="AO584" s="416"/>
      <c r="AP584" s="416"/>
      <c r="AQ584" s="416"/>
      <c r="AT584" s="364"/>
      <c r="AU584" s="364"/>
      <c r="AV584" s="364"/>
      <c r="AW584" s="364"/>
    </row>
    <row r="585" spans="10:49" s="361" customFormat="1" ht="16.5" customHeight="1" x14ac:dyDescent="0.25">
      <c r="J585" s="417"/>
      <c r="K585" s="417"/>
      <c r="L585" s="417"/>
      <c r="M585" s="417"/>
      <c r="N585" s="363"/>
      <c r="O585" s="364"/>
      <c r="P585" s="419"/>
      <c r="Q585" s="362"/>
      <c r="R585" s="362"/>
      <c r="S585" s="422"/>
      <c r="T585" s="362"/>
      <c r="U585" s="452"/>
      <c r="V585" s="452"/>
      <c r="W585" s="45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448"/>
      <c r="AH585" s="453"/>
      <c r="AL585" s="416"/>
      <c r="AM585" s="416"/>
      <c r="AN585" s="416"/>
      <c r="AO585" s="416"/>
      <c r="AP585" s="416"/>
      <c r="AQ585" s="416"/>
      <c r="AT585" s="364"/>
      <c r="AU585" s="364"/>
      <c r="AV585" s="364"/>
      <c r="AW585" s="364"/>
    </row>
    <row r="586" spans="10:49" s="361" customFormat="1" ht="16.5" customHeight="1" x14ac:dyDescent="0.25">
      <c r="J586" s="417"/>
      <c r="K586" s="417"/>
      <c r="L586" s="417"/>
      <c r="M586" s="417"/>
      <c r="N586" s="363"/>
      <c r="O586" s="364"/>
      <c r="P586" s="419"/>
      <c r="Q586" s="362"/>
      <c r="R586" s="362"/>
      <c r="S586" s="422"/>
      <c r="T586" s="362"/>
      <c r="U586" s="452"/>
      <c r="V586" s="452"/>
      <c r="W586" s="45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448"/>
      <c r="AH586" s="453"/>
      <c r="AL586" s="416"/>
      <c r="AM586" s="416"/>
      <c r="AN586" s="416"/>
      <c r="AO586" s="416"/>
      <c r="AP586" s="416"/>
      <c r="AQ586" s="416"/>
      <c r="AT586" s="364"/>
      <c r="AU586" s="364"/>
      <c r="AV586" s="364"/>
      <c r="AW586" s="364"/>
    </row>
    <row r="587" spans="10:49" s="361" customFormat="1" ht="16.5" customHeight="1" x14ac:dyDescent="0.25">
      <c r="J587" s="417"/>
      <c r="K587" s="417"/>
      <c r="L587" s="417"/>
      <c r="M587" s="417"/>
      <c r="N587" s="363"/>
      <c r="O587" s="364"/>
      <c r="P587" s="419"/>
      <c r="Q587" s="362"/>
      <c r="R587" s="362"/>
      <c r="S587" s="422"/>
      <c r="T587" s="362"/>
      <c r="U587" s="452"/>
      <c r="V587" s="452"/>
      <c r="W587" s="45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448"/>
      <c r="AH587" s="453"/>
      <c r="AL587" s="416"/>
      <c r="AM587" s="416"/>
      <c r="AN587" s="416"/>
      <c r="AO587" s="416"/>
      <c r="AP587" s="416"/>
      <c r="AQ587" s="416"/>
      <c r="AT587" s="364"/>
      <c r="AU587" s="364"/>
      <c r="AV587" s="364"/>
      <c r="AW587" s="364"/>
    </row>
    <row r="588" spans="10:49" s="361" customFormat="1" ht="16.5" customHeight="1" x14ac:dyDescent="0.25">
      <c r="J588" s="417"/>
      <c r="K588" s="417"/>
      <c r="L588" s="417"/>
      <c r="M588" s="417"/>
      <c r="N588" s="363"/>
      <c r="O588" s="364"/>
      <c r="P588" s="419"/>
      <c r="Q588" s="362"/>
      <c r="R588" s="362"/>
      <c r="S588" s="422"/>
      <c r="T588" s="362"/>
      <c r="U588" s="452"/>
      <c r="V588" s="452"/>
      <c r="W588" s="45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448"/>
      <c r="AH588" s="453"/>
      <c r="AL588" s="416"/>
      <c r="AM588" s="416"/>
      <c r="AN588" s="416"/>
      <c r="AO588" s="416"/>
      <c r="AP588" s="416"/>
      <c r="AQ588" s="416"/>
      <c r="AT588" s="364"/>
      <c r="AU588" s="364"/>
      <c r="AV588" s="364"/>
      <c r="AW588" s="364"/>
    </row>
    <row r="589" spans="10:49" s="361" customFormat="1" ht="16.5" customHeight="1" x14ac:dyDescent="0.25">
      <c r="J589" s="417"/>
      <c r="K589" s="417"/>
      <c r="L589" s="417"/>
      <c r="M589" s="417"/>
      <c r="N589" s="363"/>
      <c r="O589" s="364"/>
      <c r="P589" s="419"/>
      <c r="Q589" s="362"/>
      <c r="R589" s="362"/>
      <c r="S589" s="422"/>
      <c r="T589" s="362"/>
      <c r="U589" s="452"/>
      <c r="V589" s="452"/>
      <c r="W589" s="45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448"/>
      <c r="AH589" s="453"/>
      <c r="AL589" s="416"/>
      <c r="AM589" s="416"/>
      <c r="AN589" s="416"/>
      <c r="AO589" s="416"/>
      <c r="AP589" s="416"/>
      <c r="AQ589" s="416"/>
      <c r="AT589" s="364"/>
      <c r="AU589" s="364"/>
      <c r="AV589" s="364"/>
      <c r="AW589" s="364"/>
    </row>
    <row r="590" spans="10:49" s="361" customFormat="1" ht="16.5" customHeight="1" x14ac:dyDescent="0.25">
      <c r="J590" s="417"/>
      <c r="K590" s="417"/>
      <c r="L590" s="417"/>
      <c r="M590" s="417"/>
      <c r="N590" s="363"/>
      <c r="O590" s="364"/>
      <c r="P590" s="419"/>
      <c r="Q590" s="362"/>
      <c r="R590" s="362"/>
      <c r="S590" s="422"/>
      <c r="T590" s="362"/>
      <c r="U590" s="452"/>
      <c r="V590" s="452"/>
      <c r="W590" s="45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448"/>
      <c r="AH590" s="453"/>
      <c r="AL590" s="416"/>
      <c r="AM590" s="416"/>
      <c r="AN590" s="416"/>
      <c r="AO590" s="416"/>
      <c r="AP590" s="416"/>
      <c r="AQ590" s="416"/>
      <c r="AT590" s="364"/>
      <c r="AU590" s="364"/>
      <c r="AV590" s="364"/>
      <c r="AW590" s="364"/>
    </row>
    <row r="591" spans="10:49" s="361" customFormat="1" ht="16.5" customHeight="1" x14ac:dyDescent="0.25">
      <c r="J591" s="417"/>
      <c r="K591" s="417"/>
      <c r="L591" s="417"/>
      <c r="M591" s="417"/>
      <c r="N591" s="363"/>
      <c r="O591" s="364"/>
      <c r="P591" s="419"/>
      <c r="Q591" s="362"/>
      <c r="R591" s="362"/>
      <c r="S591" s="422"/>
      <c r="T591" s="362"/>
      <c r="U591" s="452"/>
      <c r="V591" s="452"/>
      <c r="W591" s="45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448"/>
      <c r="AH591" s="453"/>
      <c r="AL591" s="416"/>
      <c r="AM591" s="416"/>
      <c r="AN591" s="416"/>
      <c r="AO591" s="416"/>
      <c r="AP591" s="416"/>
      <c r="AQ591" s="416"/>
      <c r="AT591" s="364"/>
      <c r="AU591" s="364"/>
      <c r="AV591" s="364"/>
      <c r="AW591" s="364"/>
    </row>
    <row r="592" spans="10:49" s="361" customFormat="1" ht="16.5" customHeight="1" x14ac:dyDescent="0.25">
      <c r="J592" s="417"/>
      <c r="K592" s="417"/>
      <c r="L592" s="417"/>
      <c r="M592" s="417"/>
      <c r="N592" s="363"/>
      <c r="O592" s="364"/>
      <c r="P592" s="419"/>
      <c r="Q592" s="362"/>
      <c r="R592" s="362"/>
      <c r="S592" s="422"/>
      <c r="T592" s="362"/>
      <c r="U592" s="452"/>
      <c r="V592" s="452"/>
      <c r="W592" s="45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448"/>
      <c r="AH592" s="453"/>
      <c r="AL592" s="416"/>
      <c r="AM592" s="416"/>
      <c r="AN592" s="416"/>
      <c r="AO592" s="416"/>
      <c r="AP592" s="416"/>
      <c r="AQ592" s="416"/>
      <c r="AT592" s="364"/>
      <c r="AU592" s="364"/>
      <c r="AV592" s="364"/>
      <c r="AW592" s="364"/>
    </row>
    <row r="593" spans="7:49" s="361" customFormat="1" ht="16.5" customHeight="1" x14ac:dyDescent="0.25">
      <c r="J593" s="417"/>
      <c r="K593" s="417"/>
      <c r="L593" s="417"/>
      <c r="M593" s="417"/>
      <c r="N593" s="363"/>
      <c r="O593" s="364"/>
      <c r="P593" s="419"/>
      <c r="Q593" s="362"/>
      <c r="R593" s="362"/>
      <c r="S593" s="422"/>
      <c r="T593" s="362"/>
      <c r="U593" s="452"/>
      <c r="V593" s="452"/>
      <c r="W593" s="45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448"/>
      <c r="AH593" s="453"/>
      <c r="AL593" s="416"/>
      <c r="AM593" s="416"/>
      <c r="AN593" s="416"/>
      <c r="AO593" s="416"/>
      <c r="AP593" s="416"/>
      <c r="AQ593" s="416"/>
      <c r="AT593" s="364"/>
      <c r="AU593" s="364"/>
      <c r="AV593" s="364"/>
      <c r="AW593" s="364"/>
    </row>
    <row r="594" spans="7:49" s="361" customFormat="1" ht="16.5" customHeight="1" x14ac:dyDescent="0.25">
      <c r="G594" s="365"/>
      <c r="J594" s="417"/>
      <c r="K594" s="417"/>
      <c r="L594" s="417"/>
      <c r="M594" s="417"/>
      <c r="N594" s="363"/>
      <c r="O594" s="364"/>
      <c r="P594" s="419"/>
      <c r="Q594" s="362"/>
      <c r="R594" s="362"/>
      <c r="S594" s="422"/>
      <c r="T594" s="362"/>
      <c r="U594" s="452"/>
      <c r="V594" s="452"/>
      <c r="W594" s="45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448"/>
      <c r="AH594" s="453"/>
      <c r="AL594" s="416"/>
      <c r="AM594" s="416"/>
      <c r="AN594" s="416"/>
      <c r="AO594" s="416"/>
      <c r="AP594" s="416"/>
      <c r="AQ594" s="416"/>
      <c r="AT594" s="364"/>
      <c r="AU594" s="364"/>
      <c r="AV594" s="364"/>
      <c r="AW594" s="364"/>
    </row>
    <row r="595" spans="7:49" s="361" customFormat="1" ht="16.5" customHeight="1" x14ac:dyDescent="0.25">
      <c r="G595" s="365"/>
      <c r="J595" s="417"/>
      <c r="K595" s="417"/>
      <c r="L595" s="417"/>
      <c r="M595" s="417"/>
      <c r="N595" s="363"/>
      <c r="O595" s="364"/>
      <c r="P595" s="419"/>
      <c r="Q595" s="362"/>
      <c r="R595" s="362"/>
      <c r="S595" s="422"/>
      <c r="T595" s="362"/>
      <c r="U595" s="452"/>
      <c r="V595" s="452"/>
      <c r="W595" s="45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448"/>
      <c r="AH595" s="453"/>
      <c r="AL595" s="416"/>
      <c r="AM595" s="416"/>
      <c r="AN595" s="416"/>
      <c r="AO595" s="416"/>
      <c r="AP595" s="416"/>
      <c r="AQ595" s="416"/>
      <c r="AT595" s="364"/>
      <c r="AU595" s="364"/>
      <c r="AV595" s="364"/>
      <c r="AW595" s="364"/>
    </row>
    <row r="596" spans="7:49" s="361" customFormat="1" ht="16.5" customHeight="1" x14ac:dyDescent="0.25">
      <c r="G596" s="365"/>
      <c r="J596" s="417"/>
      <c r="K596" s="417"/>
      <c r="L596" s="417"/>
      <c r="M596" s="417"/>
      <c r="N596" s="363"/>
      <c r="O596" s="364"/>
      <c r="P596" s="419"/>
      <c r="Q596" s="362"/>
      <c r="R596" s="362"/>
      <c r="S596" s="422"/>
      <c r="T596" s="362"/>
      <c r="U596" s="452"/>
      <c r="V596" s="452"/>
      <c r="W596" s="45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448"/>
      <c r="AH596" s="453"/>
      <c r="AL596" s="416"/>
      <c r="AM596" s="416"/>
      <c r="AN596" s="416"/>
      <c r="AO596" s="416"/>
      <c r="AP596" s="416"/>
      <c r="AQ596" s="416"/>
      <c r="AT596" s="364"/>
      <c r="AU596" s="364"/>
      <c r="AV596" s="364"/>
      <c r="AW596" s="364"/>
    </row>
    <row r="597" spans="7:49" s="361" customFormat="1" ht="16.5" customHeight="1" x14ac:dyDescent="0.25">
      <c r="G597" s="365"/>
      <c r="J597" s="417"/>
      <c r="K597" s="417"/>
      <c r="L597" s="417"/>
      <c r="M597" s="417"/>
      <c r="N597" s="363"/>
      <c r="O597" s="364"/>
      <c r="P597" s="419"/>
      <c r="Q597" s="362"/>
      <c r="R597" s="362"/>
      <c r="S597" s="422"/>
      <c r="T597" s="362"/>
      <c r="U597" s="452"/>
      <c r="V597" s="452"/>
      <c r="W597" s="45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448"/>
      <c r="AH597" s="453"/>
      <c r="AL597" s="416"/>
      <c r="AM597" s="416"/>
      <c r="AN597" s="416"/>
      <c r="AO597" s="416"/>
      <c r="AP597" s="416"/>
      <c r="AQ597" s="416"/>
      <c r="AT597" s="364"/>
      <c r="AU597" s="364"/>
      <c r="AV597" s="364"/>
      <c r="AW597" s="364"/>
    </row>
    <row r="598" spans="7:49" s="361" customFormat="1" ht="16.5" customHeight="1" x14ac:dyDescent="0.25">
      <c r="J598" s="417"/>
      <c r="K598" s="417"/>
      <c r="L598" s="417"/>
      <c r="M598" s="417"/>
      <c r="N598" s="363"/>
      <c r="O598" s="364"/>
      <c r="P598" s="419"/>
      <c r="Q598" s="362"/>
      <c r="R598" s="362"/>
      <c r="S598" s="422"/>
      <c r="T598" s="362"/>
      <c r="U598" s="452"/>
      <c r="V598" s="452"/>
      <c r="W598" s="45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448"/>
      <c r="AH598" s="453"/>
      <c r="AL598" s="416"/>
      <c r="AM598" s="416"/>
      <c r="AN598" s="416"/>
      <c r="AO598" s="416"/>
      <c r="AP598" s="416"/>
      <c r="AQ598" s="416"/>
      <c r="AT598" s="364"/>
      <c r="AU598" s="364"/>
      <c r="AV598" s="364"/>
      <c r="AW598" s="364"/>
    </row>
    <row r="599" spans="7:49" s="361" customFormat="1" ht="16.5" customHeight="1" x14ac:dyDescent="0.25">
      <c r="J599" s="417"/>
      <c r="K599" s="417"/>
      <c r="L599" s="417"/>
      <c r="M599" s="417"/>
      <c r="N599" s="363"/>
      <c r="O599" s="364"/>
      <c r="P599" s="419"/>
      <c r="Q599" s="362"/>
      <c r="R599" s="362"/>
      <c r="S599" s="422"/>
      <c r="T599" s="399"/>
      <c r="U599" s="452"/>
      <c r="V599" s="452"/>
      <c r="W599" s="45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448"/>
      <c r="AH599" s="453"/>
      <c r="AL599" s="416"/>
      <c r="AM599" s="416"/>
      <c r="AN599" s="416"/>
      <c r="AO599" s="416"/>
      <c r="AP599" s="416"/>
      <c r="AQ599" s="416"/>
      <c r="AT599" s="364"/>
      <c r="AU599" s="364"/>
      <c r="AV599" s="364"/>
      <c r="AW599" s="364"/>
    </row>
    <row r="600" spans="7:49" s="361" customFormat="1" ht="16.5" customHeight="1" x14ac:dyDescent="0.25">
      <c r="J600" s="417"/>
      <c r="K600" s="417"/>
      <c r="L600" s="417"/>
      <c r="M600" s="417"/>
      <c r="N600" s="363"/>
      <c r="O600" s="364"/>
      <c r="P600" s="419"/>
      <c r="Q600" s="362"/>
      <c r="R600" s="362"/>
      <c r="S600" s="422"/>
      <c r="T600" s="399"/>
      <c r="U600" s="452"/>
      <c r="V600" s="452"/>
      <c r="W600" s="45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448"/>
      <c r="AH600" s="453"/>
      <c r="AL600" s="416"/>
      <c r="AM600" s="416"/>
      <c r="AN600" s="416"/>
      <c r="AO600" s="416"/>
      <c r="AP600" s="416"/>
      <c r="AQ600" s="416"/>
      <c r="AT600" s="364"/>
      <c r="AU600" s="364"/>
      <c r="AV600" s="364"/>
      <c r="AW600" s="364"/>
    </row>
    <row r="601" spans="7:49" s="361" customFormat="1" ht="16.5" customHeight="1" x14ac:dyDescent="0.25">
      <c r="J601" s="417"/>
      <c r="K601" s="417"/>
      <c r="L601" s="417"/>
      <c r="M601" s="417"/>
      <c r="N601" s="363"/>
      <c r="O601" s="364"/>
      <c r="P601" s="419"/>
      <c r="Q601" s="362"/>
      <c r="R601" s="362"/>
      <c r="S601" s="422"/>
      <c r="T601" s="399"/>
      <c r="U601" s="452"/>
      <c r="V601" s="452"/>
      <c r="W601" s="45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448"/>
      <c r="AH601" s="453"/>
      <c r="AL601" s="416"/>
      <c r="AM601" s="416"/>
      <c r="AN601" s="416"/>
      <c r="AO601" s="416"/>
      <c r="AP601" s="416"/>
      <c r="AQ601" s="416"/>
      <c r="AT601" s="364"/>
      <c r="AU601" s="364"/>
      <c r="AV601" s="364"/>
      <c r="AW601" s="364"/>
    </row>
    <row r="602" spans="7:49" s="361" customFormat="1" ht="16.5" customHeight="1" x14ac:dyDescent="0.25">
      <c r="J602" s="417"/>
      <c r="K602" s="417"/>
      <c r="L602" s="417"/>
      <c r="M602" s="417"/>
      <c r="N602" s="363"/>
      <c r="O602" s="364"/>
      <c r="P602" s="419"/>
      <c r="Q602" s="362"/>
      <c r="R602" s="362"/>
      <c r="S602" s="422"/>
      <c r="T602" s="399"/>
      <c r="U602" s="452"/>
      <c r="V602" s="452"/>
      <c r="W602" s="45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448"/>
      <c r="AH602" s="453"/>
      <c r="AL602" s="416"/>
      <c r="AM602" s="416"/>
      <c r="AN602" s="416"/>
      <c r="AO602" s="416"/>
      <c r="AP602" s="416"/>
      <c r="AQ602" s="416"/>
      <c r="AT602" s="364"/>
      <c r="AU602" s="364"/>
      <c r="AV602" s="364"/>
      <c r="AW602" s="364"/>
    </row>
    <row r="603" spans="7:49" s="361" customFormat="1" ht="16.5" customHeight="1" x14ac:dyDescent="0.25">
      <c r="J603" s="417"/>
      <c r="K603" s="417"/>
      <c r="L603" s="417"/>
      <c r="M603" s="417"/>
      <c r="N603" s="363"/>
      <c r="O603" s="364"/>
      <c r="P603" s="419"/>
      <c r="Q603" s="362"/>
      <c r="R603" s="362"/>
      <c r="S603" s="422"/>
      <c r="T603" s="399"/>
      <c r="U603" s="452"/>
      <c r="V603" s="452"/>
      <c r="W603" s="45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448"/>
      <c r="AH603" s="453"/>
      <c r="AL603" s="416"/>
      <c r="AM603" s="416"/>
      <c r="AN603" s="416"/>
      <c r="AO603" s="416"/>
      <c r="AP603" s="416"/>
      <c r="AQ603" s="416"/>
      <c r="AT603" s="364"/>
      <c r="AU603" s="364"/>
      <c r="AV603" s="364"/>
      <c r="AW603" s="364"/>
    </row>
    <row r="604" spans="7:49" s="361" customFormat="1" ht="16.5" customHeight="1" x14ac:dyDescent="0.25">
      <c r="J604" s="417"/>
      <c r="K604" s="417"/>
      <c r="L604" s="417"/>
      <c r="M604" s="417"/>
      <c r="N604" s="363"/>
      <c r="O604" s="364"/>
      <c r="P604" s="419"/>
      <c r="Q604" s="362"/>
      <c r="R604" s="362"/>
      <c r="S604" s="422"/>
      <c r="T604" s="399"/>
      <c r="U604" s="452"/>
      <c r="V604" s="452"/>
      <c r="W604" s="45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448"/>
      <c r="AH604" s="453"/>
      <c r="AL604" s="416"/>
      <c r="AM604" s="416"/>
      <c r="AN604" s="416"/>
      <c r="AO604" s="416"/>
      <c r="AP604" s="416"/>
      <c r="AQ604" s="416"/>
      <c r="AT604" s="364"/>
      <c r="AU604" s="364"/>
      <c r="AV604" s="364"/>
      <c r="AW604" s="364"/>
    </row>
    <row r="605" spans="7:49" s="361" customFormat="1" ht="16.5" customHeight="1" x14ac:dyDescent="0.25">
      <c r="J605" s="417"/>
      <c r="K605" s="417"/>
      <c r="L605" s="417"/>
      <c r="M605" s="417"/>
      <c r="N605" s="363"/>
      <c r="O605" s="364"/>
      <c r="P605" s="419"/>
      <c r="Q605" s="362"/>
      <c r="R605" s="362"/>
      <c r="S605" s="422"/>
      <c r="T605" s="399"/>
      <c r="U605" s="452"/>
      <c r="V605" s="452"/>
      <c r="W605" s="45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448"/>
      <c r="AH605" s="453"/>
      <c r="AL605" s="416"/>
      <c r="AM605" s="416"/>
      <c r="AN605" s="416"/>
      <c r="AO605" s="416"/>
      <c r="AP605" s="416"/>
      <c r="AQ605" s="416"/>
      <c r="AT605" s="364"/>
      <c r="AU605" s="364"/>
      <c r="AV605" s="364"/>
      <c r="AW605" s="364"/>
    </row>
    <row r="606" spans="7:49" s="361" customFormat="1" ht="16.5" customHeight="1" x14ac:dyDescent="0.25">
      <c r="J606" s="417"/>
      <c r="K606" s="417"/>
      <c r="L606" s="417"/>
      <c r="M606" s="417"/>
      <c r="N606" s="363"/>
      <c r="O606" s="364"/>
      <c r="P606" s="419"/>
      <c r="Q606" s="362"/>
      <c r="R606" s="362"/>
      <c r="S606" s="422"/>
      <c r="T606" s="399"/>
      <c r="U606" s="452"/>
      <c r="V606" s="452"/>
      <c r="W606" s="45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448"/>
      <c r="AH606" s="453"/>
      <c r="AL606" s="416"/>
      <c r="AM606" s="416"/>
      <c r="AN606" s="416"/>
      <c r="AO606" s="416"/>
      <c r="AP606" s="416"/>
      <c r="AQ606" s="416"/>
      <c r="AT606" s="364"/>
      <c r="AU606" s="364"/>
      <c r="AV606" s="364"/>
      <c r="AW606" s="364"/>
    </row>
    <row r="607" spans="7:49" s="361" customFormat="1" ht="16.5" customHeight="1" x14ac:dyDescent="0.25">
      <c r="J607" s="417"/>
      <c r="K607" s="417"/>
      <c r="L607" s="417"/>
      <c r="M607" s="417"/>
      <c r="N607" s="363"/>
      <c r="O607" s="364"/>
      <c r="P607" s="419"/>
      <c r="Q607" s="362"/>
      <c r="R607" s="362"/>
      <c r="S607" s="422"/>
      <c r="T607" s="399"/>
      <c r="U607" s="452"/>
      <c r="V607" s="452"/>
      <c r="W607" s="45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448"/>
      <c r="AH607" s="453"/>
      <c r="AL607" s="416"/>
      <c r="AM607" s="416"/>
      <c r="AN607" s="416"/>
      <c r="AO607" s="416"/>
      <c r="AP607" s="416"/>
      <c r="AQ607" s="416"/>
      <c r="AT607" s="364"/>
      <c r="AU607" s="364"/>
      <c r="AV607" s="364"/>
      <c r="AW607" s="364"/>
    </row>
    <row r="608" spans="7:49" s="361" customFormat="1" ht="16.5" customHeight="1" x14ac:dyDescent="0.25">
      <c r="J608" s="417"/>
      <c r="K608" s="417"/>
      <c r="L608" s="417"/>
      <c r="M608" s="417"/>
      <c r="N608" s="363"/>
      <c r="O608" s="364"/>
      <c r="P608" s="419"/>
      <c r="Q608" s="362"/>
      <c r="R608" s="362"/>
      <c r="S608" s="422"/>
      <c r="T608" s="399"/>
      <c r="U608" s="452"/>
      <c r="V608" s="452"/>
      <c r="W608" s="45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448"/>
      <c r="AH608" s="453"/>
      <c r="AL608" s="416"/>
      <c r="AM608" s="416"/>
      <c r="AN608" s="416"/>
      <c r="AO608" s="416"/>
      <c r="AP608" s="416"/>
      <c r="AQ608" s="416"/>
      <c r="AT608" s="364"/>
      <c r="AU608" s="364"/>
      <c r="AV608" s="364"/>
      <c r="AW608" s="364"/>
    </row>
    <row r="609" spans="10:49" s="361" customFormat="1" ht="16.5" customHeight="1" x14ac:dyDescent="0.25">
      <c r="J609" s="417"/>
      <c r="K609" s="417"/>
      <c r="L609" s="417"/>
      <c r="M609" s="417"/>
      <c r="N609" s="363"/>
      <c r="O609" s="364"/>
      <c r="P609" s="419"/>
      <c r="Q609" s="362"/>
      <c r="R609" s="362"/>
      <c r="S609" s="422"/>
      <c r="T609" s="399"/>
      <c r="U609" s="452"/>
      <c r="V609" s="452"/>
      <c r="W609" s="45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448"/>
      <c r="AH609" s="453"/>
      <c r="AL609" s="416"/>
      <c r="AM609" s="416"/>
      <c r="AN609" s="416"/>
      <c r="AO609" s="416"/>
      <c r="AP609" s="416"/>
      <c r="AQ609" s="416"/>
      <c r="AT609" s="364"/>
      <c r="AU609" s="364"/>
      <c r="AV609" s="364"/>
      <c r="AW609" s="364"/>
    </row>
  </sheetData>
  <autoFilter ref="A4:BO243" xr:uid="{27901B87-A512-46C8-A669-3DCA843FB70F}"/>
  <mergeCells count="11">
    <mergeCell ref="P169:P174"/>
    <mergeCell ref="P207:P216"/>
    <mergeCell ref="A419:A420"/>
    <mergeCell ref="C419:G419"/>
    <mergeCell ref="A491:B491"/>
    <mergeCell ref="A1:U1"/>
    <mergeCell ref="P50:P51"/>
    <mergeCell ref="P52:P53"/>
    <mergeCell ref="P137:P141"/>
    <mergeCell ref="O145:O146"/>
    <mergeCell ref="P145:P146"/>
  </mergeCells>
  <pageMargins left="0.5" right="0.5" top="0.5" bottom="0.75" header="0.3" footer="0.3"/>
  <pageSetup scale="1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F25A-8690-485E-9543-C5E7C8AE958E}">
  <sheetPr>
    <pageSetUpPr fitToPage="1"/>
  </sheetPr>
  <dimension ref="A1:BQ1048538"/>
  <sheetViews>
    <sheetView topLeftCell="C1" zoomScale="70" zoomScaleNormal="70" workbookViewId="0">
      <pane ySplit="4" topLeftCell="A165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3" width="17.7109375" style="336" customWidth="1"/>
    <col min="4" max="4" width="36.85546875" style="336" customWidth="1"/>
    <col min="5" max="5" width="29.7109375" style="336" customWidth="1"/>
    <col min="6" max="6" width="23.42578125" style="336" customWidth="1"/>
    <col min="7" max="7" width="30.28515625" style="336" customWidth="1"/>
    <col min="8" max="8" width="9.7109375" style="336" customWidth="1"/>
    <col min="9" max="10" width="9.140625" style="336" customWidth="1"/>
    <col min="11" max="11" width="11.140625" style="399" customWidth="1"/>
    <col min="12" max="13" width="10" style="399" customWidth="1"/>
    <col min="14" max="14" width="9.7109375" style="352" customWidth="1"/>
    <col min="15" max="15" width="13.5703125" style="353" customWidth="1"/>
    <col min="16" max="17" width="16.140625" style="353" customWidth="1"/>
    <col min="18" max="18" width="15.42578125" style="353" customWidth="1"/>
    <col min="19" max="19" width="12.42578125" style="353" customWidth="1"/>
    <col min="20" max="20" width="18.85546875" style="399" customWidth="1"/>
    <col min="21" max="21" width="35.140625" style="351" customWidth="1"/>
    <col min="22" max="22" width="38.7109375" style="351" customWidth="1"/>
    <col min="23" max="23" width="34.85546875" style="351" customWidth="1"/>
    <col min="24" max="24" width="13.28515625" style="351" customWidth="1"/>
    <col min="25" max="33" width="12.42578125" style="351" customWidth="1"/>
    <col min="34" max="34" width="18.85546875" style="351" customWidth="1"/>
    <col min="35" max="35" width="12.42578125" style="351" customWidth="1"/>
    <col min="36" max="36" width="36.42578125" style="336" customWidth="1"/>
    <col min="37" max="37" width="18.28515625" style="336" customWidth="1"/>
    <col min="38" max="38" width="12.85546875" style="336" customWidth="1"/>
    <col min="39" max="39" width="12.7109375" style="336" customWidth="1"/>
    <col min="40" max="43" width="13.42578125" style="336" customWidth="1"/>
    <col min="44" max="44" width="22.42578125" style="336" customWidth="1"/>
    <col min="45" max="45" width="15" style="336" customWidth="1"/>
    <col min="46" max="48" width="13.5703125" style="364" customWidth="1"/>
    <col min="49" max="50" width="12.42578125" style="351" customWidth="1"/>
    <col min="51" max="62" width="9.140625" style="336" customWidth="1"/>
    <col min="63" max="63" width="14.140625" style="336" customWidth="1"/>
    <col min="64" max="64" width="13.5703125" style="336" customWidth="1"/>
    <col min="65" max="65" width="16.140625" style="336" customWidth="1"/>
    <col min="66" max="66" width="11.5703125" style="336" customWidth="1"/>
    <col min="67" max="67" width="10.5703125" style="336" customWidth="1"/>
    <col min="68" max="68" width="11.85546875" style="336" customWidth="1"/>
    <col min="69" max="69" width="14" style="336" customWidth="1"/>
    <col min="70" max="16384" width="9.140625" style="336"/>
  </cols>
  <sheetData>
    <row r="1" spans="1:69" ht="21" customHeight="1" x14ac:dyDescent="0.25">
      <c r="A1" s="478" t="s">
        <v>6023</v>
      </c>
      <c r="B1" s="478"/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334"/>
      <c r="AK1" s="334"/>
      <c r="AL1" s="334"/>
      <c r="AM1" s="334"/>
      <c r="AN1" s="334"/>
      <c r="AO1" s="334"/>
      <c r="AP1" s="334"/>
      <c r="AQ1" s="334"/>
      <c r="AR1" s="334"/>
      <c r="AS1" s="334"/>
      <c r="AT1" s="334"/>
      <c r="AU1" s="334"/>
      <c r="AV1" s="334"/>
      <c r="AW1" s="334"/>
      <c r="AX1" s="334"/>
    </row>
    <row r="2" spans="1:69" x14ac:dyDescent="0.25">
      <c r="C2" s="4" t="s">
        <v>3793</v>
      </c>
      <c r="BK2" s="361" t="str">
        <f>MID(E2,5,5)&amp;".2016"</f>
        <v>.2016</v>
      </c>
      <c r="BL2" s="361" t="str">
        <f>LEFT(BK2,2)&amp;"/"&amp;MID(BK2,4,2)&amp;"/"&amp;RIGHT(BK2,4)</f>
        <v>.2/16/2016</v>
      </c>
      <c r="BM2" s="400" t="e">
        <f>BL2+7</f>
        <v>#VALUE!</v>
      </c>
      <c r="BN2" s="361" t="e">
        <f ca="1">TODAY()-BM2</f>
        <v>#VALUE!</v>
      </c>
    </row>
    <row r="3" spans="1:69" x14ac:dyDescent="0.25">
      <c r="G3" s="359"/>
    </row>
    <row r="4" spans="1:69" ht="42.75" customHeight="1" x14ac:dyDescent="0.25">
      <c r="A4" s="347" t="s">
        <v>5463</v>
      </c>
      <c r="B4" s="337" t="s">
        <v>5464</v>
      </c>
      <c r="C4" s="337" t="s">
        <v>5465</v>
      </c>
      <c r="D4" s="479" t="s">
        <v>74</v>
      </c>
      <c r="E4" s="153" t="s">
        <v>5</v>
      </c>
      <c r="F4" s="337" t="s">
        <v>76</v>
      </c>
      <c r="G4" s="337" t="s">
        <v>77</v>
      </c>
      <c r="H4" s="337" t="s">
        <v>78</v>
      </c>
      <c r="I4" s="337" t="s">
        <v>79</v>
      </c>
      <c r="J4" s="338" t="s">
        <v>5466</v>
      </c>
      <c r="K4" s="338" t="s">
        <v>81</v>
      </c>
      <c r="L4" s="339" t="s">
        <v>3797</v>
      </c>
      <c r="M4" s="339" t="s">
        <v>3798</v>
      </c>
      <c r="N4" s="340" t="s">
        <v>84</v>
      </c>
      <c r="O4" s="378" t="s">
        <v>5469</v>
      </c>
      <c r="P4" s="401" t="s">
        <v>5470</v>
      </c>
      <c r="Q4" s="338" t="s">
        <v>5471</v>
      </c>
      <c r="R4" s="402" t="s">
        <v>5472</v>
      </c>
      <c r="S4" s="338" t="s">
        <v>5473</v>
      </c>
      <c r="T4" s="397" t="s">
        <v>5474</v>
      </c>
      <c r="U4" s="338" t="s">
        <v>88</v>
      </c>
      <c r="V4" s="338"/>
      <c r="W4" s="338" t="s">
        <v>90</v>
      </c>
      <c r="X4" s="342" t="s">
        <v>3801</v>
      </c>
      <c r="Y4" s="343" t="s">
        <v>3802</v>
      </c>
      <c r="Z4" s="161" t="s">
        <v>3803</v>
      </c>
      <c r="AA4" s="162" t="s">
        <v>3804</v>
      </c>
      <c r="AB4" s="344" t="s">
        <v>3805</v>
      </c>
      <c r="AC4" s="164" t="s">
        <v>3806</v>
      </c>
      <c r="AD4" s="345" t="s">
        <v>3807</v>
      </c>
      <c r="AE4" s="346" t="s">
        <v>3808</v>
      </c>
      <c r="AF4" s="167" t="s">
        <v>3809</v>
      </c>
      <c r="AG4" s="343" t="s">
        <v>3810</v>
      </c>
      <c r="AH4" s="338" t="s">
        <v>91</v>
      </c>
      <c r="AI4" s="338" t="s">
        <v>92</v>
      </c>
      <c r="AJ4" s="337" t="s">
        <v>93</v>
      </c>
      <c r="AK4" s="337" t="s">
        <v>94</v>
      </c>
      <c r="AL4" s="347" t="s">
        <v>95</v>
      </c>
      <c r="AM4" s="347" t="s">
        <v>96</v>
      </c>
      <c r="AN4" s="347" t="s">
        <v>3811</v>
      </c>
      <c r="AO4" s="347" t="s">
        <v>3812</v>
      </c>
      <c r="AP4" s="347" t="s">
        <v>3813</v>
      </c>
      <c r="AQ4" s="347" t="s">
        <v>98</v>
      </c>
      <c r="AR4" s="337" t="s">
        <v>100</v>
      </c>
      <c r="AS4" s="337" t="s">
        <v>101</v>
      </c>
      <c r="AT4" s="348" t="s">
        <v>3814</v>
      </c>
      <c r="AU4" s="348" t="s">
        <v>3815</v>
      </c>
      <c r="AV4" s="348" t="s">
        <v>3816</v>
      </c>
      <c r="AW4" s="338" t="s">
        <v>3817</v>
      </c>
      <c r="AX4" s="338"/>
      <c r="AZ4" s="403" t="s">
        <v>6024</v>
      </c>
      <c r="BB4" s="403" t="s">
        <v>6025</v>
      </c>
      <c r="BG4" s="403"/>
      <c r="BH4" s="403"/>
      <c r="BJ4" s="403" t="s">
        <v>110</v>
      </c>
      <c r="BK4" s="403"/>
      <c r="BL4" s="403"/>
      <c r="BM4" s="403"/>
      <c r="BN4" s="480"/>
      <c r="BP4" s="403" t="s">
        <v>5479</v>
      </c>
      <c r="BQ4" s="403" t="s">
        <v>6026</v>
      </c>
    </row>
    <row r="5" spans="1:69" s="406" customFormat="1" ht="19.5" customHeight="1" x14ac:dyDescent="0.25">
      <c r="A5" s="405" t="s">
        <v>6027</v>
      </c>
      <c r="K5" s="408"/>
      <c r="L5" s="408"/>
      <c r="M5" s="408"/>
      <c r="N5" s="409"/>
      <c r="O5" s="410"/>
      <c r="P5" s="410"/>
      <c r="Q5" s="410"/>
      <c r="R5" s="410"/>
      <c r="S5" s="410"/>
      <c r="T5" s="408"/>
      <c r="U5" s="407"/>
      <c r="V5" s="407"/>
      <c r="W5" s="407"/>
      <c r="X5" s="407"/>
      <c r="Y5" s="407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T5" s="411"/>
      <c r="AU5" s="411"/>
      <c r="AV5" s="411"/>
      <c r="AW5" s="407"/>
      <c r="AX5" s="407"/>
    </row>
    <row r="6" spans="1:69" x14ac:dyDescent="0.25">
      <c r="B6" s="336" t="s">
        <v>6028</v>
      </c>
    </row>
    <row r="7" spans="1:69" s="361" customFormat="1" ht="21" customHeight="1" x14ac:dyDescent="0.25">
      <c r="A7" s="199">
        <v>44728</v>
      </c>
      <c r="B7" s="204">
        <f ca="1">IF(A7="",(IF(ISNUMBER(SUBSTITUTE(LEFT(RIGHT(E7,LEN(E7)-MIN(SEARCH({1,2,3,4,5,6,7,8,9,0},E7&amp;"1234567890"))+1),10),".","/"))=TRUE,AO7-(SUBSTITUTE(LEFT(RIGHT(E7,LEN(E7)-MIN(SEARCH({1,2,3,4,5,6,7,8,9,0},E7&amp;"1234567890"))+1),10),".","/")),IF((SUBSTITUTE(LEFT(RIGHT(E7,LEN(E7)-MIN(SEARCH({1,2,3,4,5,6,7,8,9,0},E7&amp;"1234567890"))+1),10),".","/"))="","",(AO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O7-A7))</f>
        <v>230</v>
      </c>
      <c r="C7" s="201"/>
      <c r="D7" s="201" t="str">
        <f t="shared" ref="D7:D13" si="0">IF(LEFT(V7,7)="MAT RET","R"&amp;"-"&amp;H7&amp;"/"&amp;I7&amp;"-"&amp;TEXT(K7,"0.00")&amp;"X"&amp;IF(Q7="",N7,Q7),IF(N7&lt;570,"FGMKW2","FGCKW2")&amp;"-"&amp;H7&amp;"/"&amp;I7&amp;"-"&amp;TEXT(K7,"0.00")&amp;"X"&amp;IF(Q7="",N7,Q7))</f>
        <v>FGMKW2-304/2B-1.50X116.8</v>
      </c>
      <c r="E7" s="201" t="s">
        <v>6029</v>
      </c>
      <c r="F7" s="201" t="s">
        <v>6030</v>
      </c>
      <c r="G7" s="201" t="s">
        <v>6031</v>
      </c>
      <c r="H7" s="201">
        <v>304</v>
      </c>
      <c r="I7" s="201" t="s">
        <v>114</v>
      </c>
      <c r="J7" s="201"/>
      <c r="K7" s="203">
        <v>1.5</v>
      </c>
      <c r="L7" s="203"/>
      <c r="M7" s="203"/>
      <c r="N7" s="204">
        <v>116.8</v>
      </c>
      <c r="O7" s="381">
        <v>0.75</v>
      </c>
      <c r="P7" s="413">
        <v>0.751</v>
      </c>
      <c r="Q7" s="371">
        <v>116.8</v>
      </c>
      <c r="R7" s="201"/>
      <c r="S7" s="201"/>
      <c r="T7" s="371"/>
      <c r="U7" s="178" t="s">
        <v>390</v>
      </c>
      <c r="V7" s="481" t="s">
        <v>6032</v>
      </c>
      <c r="W7" s="482"/>
      <c r="X7" s="483"/>
      <c r="Y7" s="483"/>
      <c r="Z7" s="483"/>
      <c r="AA7" s="483"/>
      <c r="AB7" s="483"/>
      <c r="AC7" s="483"/>
      <c r="AD7" s="483"/>
      <c r="AE7" s="483"/>
      <c r="AF7" s="483"/>
      <c r="AG7" s="483"/>
      <c r="AH7" s="484"/>
      <c r="AI7" s="201"/>
      <c r="AJ7" s="201"/>
      <c r="AK7" s="201"/>
      <c r="AL7" s="199"/>
      <c r="AM7" s="199"/>
      <c r="AN7" s="199"/>
      <c r="AO7" s="199">
        <f t="shared" ref="AO7:AO19" ca="1" si="1">TODAY()</f>
        <v>44958</v>
      </c>
      <c r="AP7" s="199"/>
      <c r="AQ7" s="199"/>
      <c r="AR7" s="201"/>
      <c r="AS7" s="201"/>
      <c r="AT7" s="382"/>
      <c r="AU7" s="382"/>
      <c r="AV7" s="382"/>
      <c r="AW7" s="382"/>
      <c r="AZ7" s="361" t="s">
        <v>6033</v>
      </c>
      <c r="BB7" s="485">
        <v>44834</v>
      </c>
      <c r="BF7" s="361" t="s">
        <v>6034</v>
      </c>
      <c r="BI7" s="486"/>
      <c r="BJ7" s="486" t="s">
        <v>124</v>
      </c>
      <c r="BP7" s="361" t="s">
        <v>5655</v>
      </c>
      <c r="BQ7" s="361" t="s">
        <v>5678</v>
      </c>
    </row>
    <row r="8" spans="1:69" s="488" customFormat="1" ht="21" customHeight="1" x14ac:dyDescent="0.25">
      <c r="A8" s="199">
        <v>44824</v>
      </c>
      <c r="B8" s="204">
        <f ca="1">IF(A8="",(IF(ISNUMBER(SUBSTITUTE(LEFT(RIGHT(E8,LEN(E8)-MIN(SEARCH({1,2,3,4,5,6,7,8,9,0},E8&amp;"1234567890"))+1),10),".","/"))=TRUE,AO8-(SUBSTITUTE(LEFT(RIGHT(E8,LEN(E8)-MIN(SEARCH({1,2,3,4,5,6,7,8,9,0},E8&amp;"1234567890"))+1),10),".","/")),IF((SUBSTITUTE(LEFT(RIGHT(E8,LEN(E8)-MIN(SEARCH({1,2,3,4,5,6,7,8,9,0},E8&amp;"1234567890"))+1),10),".","/"))="","",(AO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O8-A8))</f>
        <v>134</v>
      </c>
      <c r="C8" s="487"/>
      <c r="D8" s="201" t="str">
        <f t="shared" si="0"/>
        <v>FGMKW2-304/2B-1.20X380</v>
      </c>
      <c r="E8" s="201" t="s">
        <v>6035</v>
      </c>
      <c r="F8" s="201" t="s">
        <v>6036</v>
      </c>
      <c r="G8" s="201" t="s">
        <v>6037</v>
      </c>
      <c r="H8" s="201">
        <v>304</v>
      </c>
      <c r="I8" s="201" t="s">
        <v>114</v>
      </c>
      <c r="J8" s="201"/>
      <c r="K8" s="203">
        <v>1.2</v>
      </c>
      <c r="L8" s="203">
        <v>1.1499999999999999</v>
      </c>
      <c r="M8" s="203">
        <v>1.17</v>
      </c>
      <c r="N8" s="414">
        <v>380</v>
      </c>
      <c r="O8" s="381">
        <v>0.80900000000000005</v>
      </c>
      <c r="P8" s="413">
        <v>0.81</v>
      </c>
      <c r="Q8" s="430">
        <v>380</v>
      </c>
      <c r="R8" s="487"/>
      <c r="S8" s="414"/>
      <c r="T8" s="371"/>
      <c r="U8" s="178" t="s">
        <v>390</v>
      </c>
      <c r="V8" s="481" t="s">
        <v>6038</v>
      </c>
      <c r="W8" s="371" t="s">
        <v>114</v>
      </c>
      <c r="X8" s="483" t="s">
        <v>6039</v>
      </c>
      <c r="Y8" s="483"/>
      <c r="Z8" s="483" t="s">
        <v>6040</v>
      </c>
      <c r="AA8" s="483"/>
      <c r="AB8" s="483" t="s">
        <v>6041</v>
      </c>
      <c r="AC8" s="483"/>
      <c r="AD8" s="483" t="s">
        <v>6041</v>
      </c>
      <c r="AE8" s="483"/>
      <c r="AF8" s="483"/>
      <c r="AG8" s="483"/>
      <c r="AH8" s="484"/>
      <c r="AI8" s="201" t="s">
        <v>69</v>
      </c>
      <c r="AJ8" s="201" t="s">
        <v>6042</v>
      </c>
      <c r="AK8" s="201" t="s">
        <v>6043</v>
      </c>
      <c r="AL8" s="199">
        <v>42751</v>
      </c>
      <c r="AM8" s="199">
        <v>42799</v>
      </c>
      <c r="AN8" s="199"/>
      <c r="AO8" s="199">
        <f t="shared" ca="1" si="1"/>
        <v>44958</v>
      </c>
      <c r="AP8" s="199">
        <v>215</v>
      </c>
      <c r="AQ8" s="199"/>
      <c r="AR8" s="201" t="s">
        <v>6044</v>
      </c>
      <c r="AS8" s="201" t="s">
        <v>6045</v>
      </c>
      <c r="AT8" s="382">
        <v>10.65</v>
      </c>
      <c r="AU8" s="382"/>
      <c r="AV8" s="382"/>
      <c r="AW8" s="382">
        <v>10.737</v>
      </c>
      <c r="AX8" s="361"/>
      <c r="AY8" s="361"/>
      <c r="AZ8" s="361" t="s">
        <v>6046</v>
      </c>
      <c r="BA8" s="361"/>
      <c r="BB8" s="485">
        <v>44834</v>
      </c>
      <c r="BC8" s="361"/>
      <c r="BD8" s="361"/>
      <c r="BE8" s="361"/>
      <c r="BF8" s="361" t="s">
        <v>6034</v>
      </c>
      <c r="BJ8" s="486" t="s">
        <v>124</v>
      </c>
      <c r="BK8" s="361"/>
      <c r="BL8" s="486"/>
      <c r="BM8" s="486"/>
      <c r="BN8" s="361"/>
      <c r="BP8" s="489" t="s">
        <v>5655</v>
      </c>
      <c r="BQ8" s="488" t="s">
        <v>5678</v>
      </c>
    </row>
    <row r="9" spans="1:69" s="489" customFormat="1" ht="19.5" customHeight="1" x14ac:dyDescent="0.25">
      <c r="A9" s="199">
        <v>44301</v>
      </c>
      <c r="B9" s="204">
        <f ca="1">IF(A9="",(IF(ISNUMBER(SUBSTITUTE(LEFT(RIGHT(E9,LEN(E9)-MIN(SEARCH({1,2,3,4,5,6,7,8,9,0},E9&amp;"1234567890"))+1),10),".","/"))=TRUE,AO9-(SUBSTITUTE(LEFT(RIGHT(E9,LEN(E9)-MIN(SEARCH({1,2,3,4,5,6,7,8,9,0},E9&amp;"1234567890"))+1),10),".","/")),IF((SUBSTITUTE(LEFT(RIGHT(E9,LEN(E9)-MIN(SEARCH({1,2,3,4,5,6,7,8,9,0},E9&amp;"1234567890"))+1),10),".","/"))="","",(AO9)-(MID(RIGHT((SUBSTITUTE(LEFT(RIGHT(E9,LEN(E9)-MIN(SEARCH({1,2,3,4,5,6,7,8,9,0},E9&amp;"1234567890"))+1),10),".","/")),10),4,2)&amp;"/"&amp;LEFT((RIGHT((SUBSTITUTE(LEFT(RIGHT(E9,LEN(E9)-MIN(SEARCH({1,2,3,4,5,6,7,8,9,0},E9&amp;"1234567890"))+1),10),".","/")),10)),2)&amp;"/"&amp;RIGHT((SUBSTITUTE(LEFT(RIGHT(E9,LEN(E9)-MIN(SEARCH({1,2,3,4,5,6,7,8,9,0},E9&amp;"1234567890"))+1),10),".","/")),4))))),(AO9-A9))</f>
        <v>657</v>
      </c>
      <c r="C9" s="199"/>
      <c r="D9" s="201" t="str">
        <f t="shared" si="0"/>
        <v>FGCKW2-430/2B-1.95X763</v>
      </c>
      <c r="E9" s="201" t="s">
        <v>6047</v>
      </c>
      <c r="F9" s="201" t="s">
        <v>6048</v>
      </c>
      <c r="G9" s="201" t="s">
        <v>6049</v>
      </c>
      <c r="H9" s="201">
        <v>430</v>
      </c>
      <c r="I9" s="202" t="s">
        <v>114</v>
      </c>
      <c r="J9" s="203">
        <v>4</v>
      </c>
      <c r="K9" s="203">
        <v>1.95</v>
      </c>
      <c r="L9" s="203">
        <v>1.92</v>
      </c>
      <c r="M9" s="203">
        <v>1.95</v>
      </c>
      <c r="N9" s="204">
        <v>763</v>
      </c>
      <c r="O9" s="381">
        <v>1.2050000000000001</v>
      </c>
      <c r="P9" s="413">
        <v>1.206</v>
      </c>
      <c r="Q9" s="185">
        <v>763</v>
      </c>
      <c r="R9" s="490"/>
      <c r="S9" s="414"/>
      <c r="T9" s="413"/>
      <c r="U9" s="178" t="s">
        <v>390</v>
      </c>
      <c r="V9" s="491" t="s">
        <v>115</v>
      </c>
      <c r="W9" s="491"/>
      <c r="X9" s="492">
        <v>43446</v>
      </c>
      <c r="Y9" s="492"/>
      <c r="Z9" s="492">
        <v>43446</v>
      </c>
      <c r="AA9" s="492"/>
      <c r="AB9" s="492">
        <v>43448</v>
      </c>
      <c r="AC9" s="492"/>
      <c r="AD9" s="492">
        <v>43889</v>
      </c>
      <c r="AE9" s="492"/>
      <c r="AF9" s="492"/>
      <c r="AG9" s="492"/>
      <c r="AH9" s="493" t="s">
        <v>167</v>
      </c>
      <c r="AI9" s="494" t="s">
        <v>69</v>
      </c>
      <c r="AJ9" s="494" t="s">
        <v>119</v>
      </c>
      <c r="AK9" s="495" t="s">
        <v>168</v>
      </c>
      <c r="AL9" s="495">
        <v>43329</v>
      </c>
      <c r="AM9" s="495">
        <v>43348</v>
      </c>
      <c r="AN9" s="495"/>
      <c r="AO9" s="199">
        <f t="shared" ca="1" si="1"/>
        <v>44958</v>
      </c>
      <c r="AP9" s="494">
        <f ca="1">IF(AM9&lt;&gt;0,AO9-AM9,0)</f>
        <v>1610</v>
      </c>
      <c r="AQ9" s="494">
        <f ca="1">IF(ISNUMBER(AB9)=TRUE,AO9-AB9,IF(AB9="","",(AO9)-(MID(RIGHT(AB9,10),4,2)&amp;"/"&amp;LEFT((RIGHT(AB9,10)),2)&amp;"/"&amp;RIGHT(AB9,4))))</f>
        <v>1510</v>
      </c>
      <c r="AR9" s="495" t="s">
        <v>169</v>
      </c>
      <c r="AS9" s="495" t="s">
        <v>170</v>
      </c>
      <c r="AT9" s="496">
        <v>11.29</v>
      </c>
      <c r="AU9" s="496">
        <v>11.305</v>
      </c>
      <c r="AV9" s="496">
        <v>11.315</v>
      </c>
      <c r="AW9" s="496">
        <v>11.32</v>
      </c>
      <c r="AX9" s="489">
        <f ca="1">IF(ISNUMBER(Z9)=TRUE,AO9-Z9,IF(Z9="","",(AO9)-(MID(RIGHT(Z9,10),4,2)&amp;"/"&amp;LEFT((RIGHT(Z9,10)),2)&amp;"/"&amp;RIGHT(Z9,4))))</f>
        <v>1512</v>
      </c>
      <c r="AY9" s="489">
        <v>134</v>
      </c>
      <c r="BA9" s="489" t="s">
        <v>171</v>
      </c>
      <c r="BB9" s="485"/>
      <c r="BE9" s="489" t="s">
        <v>172</v>
      </c>
      <c r="BH9" s="489">
        <v>0</v>
      </c>
      <c r="BJ9" s="361" t="s">
        <v>194</v>
      </c>
      <c r="BP9" s="489" t="s">
        <v>5655</v>
      </c>
      <c r="BQ9" s="489" t="s">
        <v>5678</v>
      </c>
    </row>
    <row r="10" spans="1:69" s="489" customFormat="1" ht="18" customHeight="1" x14ac:dyDescent="0.2">
      <c r="A10" s="199">
        <v>44301</v>
      </c>
      <c r="B10" s="204">
        <f ca="1">IF(A10="",(IF(ISNUMBER(SUBSTITUTE(LEFT(RIGHT(E10,LEN(E10)-MIN(SEARCH({1,2,3,4,5,6,7,8,9,0},E10&amp;"1234567890"))+1),10),".","/"))=TRUE,AO10-(SUBSTITUTE(LEFT(RIGHT(E10,LEN(E10)-MIN(SEARCH({1,2,3,4,5,6,7,8,9,0},E10&amp;"1234567890"))+1),10),".","/")),IF((SUBSTITUTE(LEFT(RIGHT(E10,LEN(E10)-MIN(SEARCH({1,2,3,4,5,6,7,8,9,0},E10&amp;"1234567890"))+1),10),".","/"))="","",(AO10)-(MID(RIGHT((SUBSTITUTE(LEFT(RIGHT(E10,LEN(E10)-MIN(SEARCH({1,2,3,4,5,6,7,8,9,0},E10&amp;"1234567890"))+1),10),".","/")),10),4,2)&amp;"/"&amp;LEFT((RIGHT((SUBSTITUTE(LEFT(RIGHT(E10,LEN(E10)-MIN(SEARCH({1,2,3,4,5,6,7,8,9,0},E10&amp;"1234567890"))+1),10),".","/")),10)),2)&amp;"/"&amp;RIGHT((SUBSTITUTE(LEFT(RIGHT(E10,LEN(E10)-MIN(SEARCH({1,2,3,4,5,6,7,8,9,0},E10&amp;"1234567890"))+1),10),".","/")),4))))),(AO10-A10))</f>
        <v>657</v>
      </c>
      <c r="C10" s="199"/>
      <c r="D10" s="201" t="str">
        <f t="shared" si="0"/>
        <v>FGCKW2-430/2B-1.60X750</v>
      </c>
      <c r="E10" s="201" t="s">
        <v>6050</v>
      </c>
      <c r="F10" s="201" t="s">
        <v>6051</v>
      </c>
      <c r="G10" s="201" t="s">
        <v>6052</v>
      </c>
      <c r="H10" s="201">
        <v>430</v>
      </c>
      <c r="I10" s="202" t="s">
        <v>114</v>
      </c>
      <c r="J10" s="203">
        <v>4</v>
      </c>
      <c r="K10" s="203">
        <v>1.6</v>
      </c>
      <c r="L10" s="203">
        <v>1.57</v>
      </c>
      <c r="M10" s="203">
        <v>1.59</v>
      </c>
      <c r="N10" s="204">
        <v>750</v>
      </c>
      <c r="O10" s="381">
        <v>0.375</v>
      </c>
      <c r="P10" s="413">
        <v>0.376</v>
      </c>
      <c r="Q10" s="185">
        <v>750</v>
      </c>
      <c r="R10" s="490"/>
      <c r="S10" s="414"/>
      <c r="T10" s="371"/>
      <c r="U10" s="491" t="s">
        <v>390</v>
      </c>
      <c r="V10" s="491"/>
      <c r="W10" s="497" t="s">
        <v>667</v>
      </c>
      <c r="X10" s="492">
        <v>43938</v>
      </c>
      <c r="Y10" s="492"/>
      <c r="Z10" s="492">
        <v>43941</v>
      </c>
      <c r="AA10" s="492"/>
      <c r="AB10" s="492">
        <v>43968</v>
      </c>
      <c r="AC10" s="492"/>
      <c r="AD10" s="492"/>
      <c r="AE10" s="492"/>
      <c r="AF10" s="492"/>
      <c r="AG10" s="492"/>
      <c r="AH10" s="493"/>
      <c r="AI10" s="494" t="s">
        <v>69</v>
      </c>
      <c r="AJ10" s="494" t="s">
        <v>177</v>
      </c>
      <c r="AK10" s="495" t="s">
        <v>178</v>
      </c>
      <c r="AL10" s="495">
        <v>43313</v>
      </c>
      <c r="AM10" s="495">
        <v>43413</v>
      </c>
      <c r="AN10" s="495"/>
      <c r="AO10" s="199">
        <f t="shared" ca="1" si="1"/>
        <v>44958</v>
      </c>
      <c r="AP10" s="494">
        <f ca="1">IF(AM10&lt;&gt;0,AO10-AM10,0)</f>
        <v>1545</v>
      </c>
      <c r="AQ10" s="494">
        <f ca="1">IF(ISNUMBER(AB10)=TRUE,AO10-AB10,IF(AB10="","",(AO10)-(MID(RIGHT(AB10,10),4,2)&amp;"/"&amp;LEFT((RIGHT(AB10,10)),2)&amp;"/"&amp;RIGHT(AB10,4))))</f>
        <v>990</v>
      </c>
      <c r="AR10" s="495" t="s">
        <v>5732</v>
      </c>
      <c r="AS10" s="495" t="s">
        <v>6051</v>
      </c>
      <c r="AT10" s="496">
        <v>10.051</v>
      </c>
      <c r="AU10" s="496">
        <v>10.081</v>
      </c>
      <c r="AV10" s="496">
        <v>10.039999999999999</v>
      </c>
      <c r="AW10" s="496">
        <v>10.045</v>
      </c>
      <c r="AX10" s="489">
        <f ca="1">IF(ISNUMBER(Z10)=TRUE,AO10-Z10,IF(Z10="","",(AO10)-(MID(RIGHT(Z10,10),4,2)&amp;"/"&amp;LEFT((RIGHT(Z10,10)),2)&amp;"/"&amp;RIGHT(Z10,4))))</f>
        <v>1017</v>
      </c>
      <c r="BA10" s="489" t="s">
        <v>123</v>
      </c>
      <c r="BB10" s="485"/>
      <c r="BJ10" s="489" t="s">
        <v>124</v>
      </c>
      <c r="BP10" s="489" t="s">
        <v>5655</v>
      </c>
      <c r="BQ10" s="489" t="s">
        <v>5678</v>
      </c>
    </row>
    <row r="11" spans="1:69" s="489" customFormat="1" ht="18" customHeight="1" x14ac:dyDescent="0.2">
      <c r="A11" s="199"/>
      <c r="B11" s="204">
        <f ca="1">IF(A11="",(IF(ISNUMBER(SUBSTITUTE(LEFT(RIGHT(E11,LEN(E11)-MIN(SEARCH({1,2,3,4,5,6,7,8,9,0},E11&amp;"1234567890"))+1),10),".","/"))=TRUE,AO11-(SUBSTITUTE(LEFT(RIGHT(E11,LEN(E11)-MIN(SEARCH({1,2,3,4,5,6,7,8,9,0},E11&amp;"1234567890"))+1),10),".","/")),IF((SUBSTITUTE(LEFT(RIGHT(E11,LEN(E11)-MIN(SEARCH({1,2,3,4,5,6,7,8,9,0},E11&amp;"1234567890"))+1),10),".","/"))="","",(AO11)-(MID(RIGHT((SUBSTITUTE(LEFT(RIGHT(E11,LEN(E11)-MIN(SEARCH({1,2,3,4,5,6,7,8,9,0},E11&amp;"1234567890"))+1),10),".","/")),10),4,2)&amp;"/"&amp;LEFT((RIGHT((SUBSTITUTE(LEFT(RIGHT(E11,LEN(E11)-MIN(SEARCH({1,2,3,4,5,6,7,8,9,0},E11&amp;"1234567890"))+1),10),".","/")),10)),2)&amp;"/"&amp;RIGHT((SUBSTITUTE(LEFT(RIGHT(E11,LEN(E11)-MIN(SEARCH({1,2,3,4,5,6,7,8,9,0},E11&amp;"1234567890"))+1),10),".","/")),4))))),(AO11-A11))</f>
        <v>989</v>
      </c>
      <c r="C11" s="199"/>
      <c r="D11" s="201" t="str">
        <f t="shared" si="0"/>
        <v>FGCKW2-304/2B-0.78X77.8</v>
      </c>
      <c r="E11" s="201" t="s">
        <v>6053</v>
      </c>
      <c r="F11" s="201" t="s">
        <v>5707</v>
      </c>
      <c r="G11" s="201" t="s">
        <v>6054</v>
      </c>
      <c r="H11" s="201">
        <v>304</v>
      </c>
      <c r="I11" s="202" t="s">
        <v>114</v>
      </c>
      <c r="J11" s="203">
        <v>1.1399999999999999</v>
      </c>
      <c r="K11" s="203">
        <v>0.78</v>
      </c>
      <c r="L11" s="203">
        <v>0.77</v>
      </c>
      <c r="M11" s="203">
        <v>0.79</v>
      </c>
      <c r="N11" s="204">
        <v>730</v>
      </c>
      <c r="O11" s="381">
        <v>0.29499999999999998</v>
      </c>
      <c r="P11" s="413"/>
      <c r="Q11" s="185">
        <v>77.8</v>
      </c>
      <c r="R11" s="490"/>
      <c r="S11" s="414"/>
      <c r="T11" s="371"/>
      <c r="U11" s="491" t="s">
        <v>390</v>
      </c>
      <c r="V11" s="491" t="s">
        <v>6055</v>
      </c>
      <c r="W11" s="498" t="s">
        <v>6056</v>
      </c>
      <c r="X11" s="492" t="s">
        <v>5710</v>
      </c>
      <c r="Y11" s="492"/>
      <c r="Z11" s="492" t="s">
        <v>5711</v>
      </c>
      <c r="AA11" s="492"/>
      <c r="AB11" s="492" t="s">
        <v>5712</v>
      </c>
      <c r="AC11" s="492"/>
      <c r="AD11" s="492"/>
      <c r="AE11" s="492"/>
      <c r="AF11" s="492"/>
      <c r="AG11" s="492"/>
      <c r="AH11" s="493"/>
      <c r="AI11" s="494" t="s">
        <v>70</v>
      </c>
      <c r="AJ11" s="494" t="s">
        <v>119</v>
      </c>
      <c r="AK11" s="495" t="s">
        <v>5713</v>
      </c>
      <c r="AL11" s="495">
        <v>43284</v>
      </c>
      <c r="AM11" s="495">
        <v>43299</v>
      </c>
      <c r="AN11" s="495"/>
      <c r="AO11" s="199">
        <f t="shared" ca="1" si="1"/>
        <v>44958</v>
      </c>
      <c r="AP11" s="494">
        <f ca="1">IF(AM11&lt;&gt;0,AO11-AM11,0)</f>
        <v>1659</v>
      </c>
      <c r="AQ11" s="494">
        <f ca="1">IF(ISNUMBER(AB11)=TRUE,AO11-AB11,IF(AB11="","",(AO11)-(MID(RIGHT(AB11,10),4,2)&amp;"/"&amp;LEFT((RIGHT(AB11,10)),2)&amp;"/"&amp;RIGHT(AB11,4))))</f>
        <v>1000</v>
      </c>
      <c r="AR11" s="495"/>
      <c r="AS11" s="495" t="s">
        <v>5707</v>
      </c>
      <c r="AT11" s="496">
        <v>8.9849999999999994</v>
      </c>
      <c r="AU11" s="496">
        <v>9</v>
      </c>
      <c r="AV11" s="496">
        <v>8.9949999999999992</v>
      </c>
      <c r="AW11" s="496">
        <v>9</v>
      </c>
      <c r="AX11" s="489">
        <f ca="1">IF(ISNUMBER(Z11)=TRUE,AO11-Z11,IF(Z11="","",(AO11)-(MID(RIGHT(Z11,10),4,2)&amp;"/"&amp;LEFT((RIGHT(Z11,10)),2)&amp;"/"&amp;RIGHT(Z11,4))))</f>
        <v>1003</v>
      </c>
      <c r="BA11" s="489" t="s">
        <v>123</v>
      </c>
      <c r="BB11" s="485"/>
      <c r="BG11" s="489" t="s">
        <v>5714</v>
      </c>
      <c r="BJ11" s="489" t="s">
        <v>124</v>
      </c>
      <c r="BP11" s="489" t="s">
        <v>5655</v>
      </c>
      <c r="BQ11" s="489" t="s">
        <v>5656</v>
      </c>
    </row>
    <row r="12" spans="1:69" s="489" customFormat="1" ht="18" customHeight="1" x14ac:dyDescent="0.2">
      <c r="A12" s="199">
        <v>44301</v>
      </c>
      <c r="B12" s="204">
        <f ca="1">IF(A12="",(IF(ISNUMBER(SUBSTITUTE(LEFT(RIGHT(E12,LEN(E12)-MIN(SEARCH({1,2,3,4,5,6,7,8,9,0},E12&amp;"1234567890"))+1),10),".","/"))=TRUE,AO12-(SUBSTITUTE(LEFT(RIGHT(E12,LEN(E12)-MIN(SEARCH({1,2,3,4,5,6,7,8,9,0},E12&amp;"1234567890"))+1),10),".","/")),IF((SUBSTITUTE(LEFT(RIGHT(E12,LEN(E12)-MIN(SEARCH({1,2,3,4,5,6,7,8,9,0},E12&amp;"1234567890"))+1),10),".","/"))="","",(AO12)-(MID(RIGHT((SUBSTITUTE(LEFT(RIGHT(E12,LEN(E12)-MIN(SEARCH({1,2,3,4,5,6,7,8,9,0},E12&amp;"1234567890"))+1),10),".","/")),10),4,2)&amp;"/"&amp;LEFT((RIGHT((SUBSTITUTE(LEFT(RIGHT(E12,LEN(E12)-MIN(SEARCH({1,2,3,4,5,6,7,8,9,0},E12&amp;"1234567890"))+1),10),".","/")),10)),2)&amp;"/"&amp;RIGHT((SUBSTITUTE(LEFT(RIGHT(E12,LEN(E12)-MIN(SEARCH({1,2,3,4,5,6,7,8,9,0},E12&amp;"1234567890"))+1),10),".","/")),4))))),(AO12-A12))</f>
        <v>657</v>
      </c>
      <c r="C12" s="199"/>
      <c r="D12" s="201" t="str">
        <f t="shared" si="0"/>
        <v>FGCKW2-304/2B-0.50X725</v>
      </c>
      <c r="E12" s="201" t="s">
        <v>6057</v>
      </c>
      <c r="F12" s="201" t="s">
        <v>6058</v>
      </c>
      <c r="G12" s="201" t="s">
        <v>6059</v>
      </c>
      <c r="H12" s="201">
        <v>304</v>
      </c>
      <c r="I12" s="202" t="s">
        <v>114</v>
      </c>
      <c r="J12" s="203"/>
      <c r="K12" s="203">
        <v>0.5</v>
      </c>
      <c r="L12" s="203">
        <v>0.45</v>
      </c>
      <c r="M12" s="203">
        <v>0.45</v>
      </c>
      <c r="N12" s="204">
        <v>725</v>
      </c>
      <c r="O12" s="381">
        <v>0.60499999999999998</v>
      </c>
      <c r="P12" s="413">
        <v>0.60599999999999998</v>
      </c>
      <c r="Q12" s="185">
        <v>725</v>
      </c>
      <c r="R12" s="490"/>
      <c r="S12" s="414"/>
      <c r="T12" s="371"/>
      <c r="U12" s="491" t="s">
        <v>390</v>
      </c>
      <c r="V12" s="499" t="s">
        <v>6060</v>
      </c>
      <c r="W12" s="498" t="s">
        <v>6061</v>
      </c>
      <c r="X12" s="492"/>
      <c r="Y12" s="492"/>
      <c r="Z12" s="492"/>
      <c r="AA12" s="492"/>
      <c r="AB12" s="492"/>
      <c r="AC12" s="492"/>
      <c r="AD12" s="492"/>
      <c r="AE12" s="492"/>
      <c r="AF12" s="492"/>
      <c r="AG12" s="492"/>
      <c r="AH12" s="493"/>
      <c r="AI12" s="494"/>
      <c r="AJ12" s="494"/>
      <c r="AK12" s="495"/>
      <c r="AL12" s="495"/>
      <c r="AM12" s="495"/>
      <c r="AN12" s="495"/>
      <c r="AO12" s="199">
        <f t="shared" ca="1" si="1"/>
        <v>44958</v>
      </c>
      <c r="AP12" s="494"/>
      <c r="AQ12" s="494"/>
      <c r="AR12" s="495"/>
      <c r="AS12" s="495"/>
      <c r="AT12" s="496"/>
      <c r="AU12" s="496"/>
      <c r="AV12" s="496"/>
      <c r="AW12" s="496"/>
      <c r="BB12" s="485"/>
      <c r="BP12" s="489" t="s">
        <v>5655</v>
      </c>
      <c r="BQ12" s="489" t="s">
        <v>5656</v>
      </c>
    </row>
    <row r="13" spans="1:69" s="489" customFormat="1" ht="18" customHeight="1" x14ac:dyDescent="0.25">
      <c r="A13" s="199">
        <v>44301</v>
      </c>
      <c r="B13" s="204">
        <f ca="1">IF(A13="",(IF(ISNUMBER(SUBSTITUTE(LEFT(RIGHT(E13,LEN(E13)-MIN(SEARCH({1,2,3,4,5,6,7,8,9,0},E13&amp;"1234567890"))+1),10),".","/"))=TRUE,AO13-(SUBSTITUTE(LEFT(RIGHT(E13,LEN(E13)-MIN(SEARCH({1,2,3,4,5,6,7,8,9,0},E13&amp;"1234567890"))+1),10),".","/")),IF((SUBSTITUTE(LEFT(RIGHT(E13,LEN(E13)-MIN(SEARCH({1,2,3,4,5,6,7,8,9,0},E13&amp;"1234567890"))+1),10),".","/"))="","",(AO13)-(MID(RIGHT((SUBSTITUTE(LEFT(RIGHT(E13,LEN(E13)-MIN(SEARCH({1,2,3,4,5,6,7,8,9,0},E13&amp;"1234567890"))+1),10),".","/")),10),4,2)&amp;"/"&amp;LEFT((RIGHT((SUBSTITUTE(LEFT(RIGHT(E13,LEN(E13)-MIN(SEARCH({1,2,3,4,5,6,7,8,9,0},E13&amp;"1234567890"))+1),10),".","/")),10)),2)&amp;"/"&amp;RIGHT((SUBSTITUTE(LEFT(RIGHT(E13,LEN(E13)-MIN(SEARCH({1,2,3,4,5,6,7,8,9,0},E13&amp;"1234567890"))+1),10),".","/")),4))))),(AO13-A13))</f>
        <v>657</v>
      </c>
      <c r="C13" s="199"/>
      <c r="D13" s="201" t="str">
        <f t="shared" si="0"/>
        <v>FGCKW2-430/2B-1.95X763</v>
      </c>
      <c r="E13" s="201" t="s">
        <v>6062</v>
      </c>
      <c r="F13" s="201" t="s">
        <v>6048</v>
      </c>
      <c r="G13" s="201" t="s">
        <v>6063</v>
      </c>
      <c r="H13" s="201">
        <v>430</v>
      </c>
      <c r="I13" s="202" t="s">
        <v>114</v>
      </c>
      <c r="J13" s="203">
        <v>4</v>
      </c>
      <c r="K13" s="203">
        <v>1.95</v>
      </c>
      <c r="L13" s="203">
        <v>1.92</v>
      </c>
      <c r="M13" s="203">
        <v>1.95</v>
      </c>
      <c r="N13" s="204">
        <v>763</v>
      </c>
      <c r="O13" s="381">
        <v>1.825</v>
      </c>
      <c r="P13" s="413">
        <v>1.8260000000000001</v>
      </c>
      <c r="Q13" s="185">
        <v>763</v>
      </c>
      <c r="R13" s="490"/>
      <c r="S13" s="414"/>
      <c r="T13" s="371"/>
      <c r="U13" s="491" t="s">
        <v>390</v>
      </c>
      <c r="V13" s="491" t="s">
        <v>6064</v>
      </c>
      <c r="W13" s="500" t="s">
        <v>6065</v>
      </c>
      <c r="X13" s="492">
        <v>43446</v>
      </c>
      <c r="Y13" s="492"/>
      <c r="Z13" s="492">
        <v>43446</v>
      </c>
      <c r="AA13" s="492"/>
      <c r="AB13" s="492">
        <v>43448</v>
      </c>
      <c r="AC13" s="492"/>
      <c r="AD13" s="492">
        <v>43889</v>
      </c>
      <c r="AE13" s="492"/>
      <c r="AF13" s="492"/>
      <c r="AG13" s="492"/>
      <c r="AH13" s="493" t="s">
        <v>167</v>
      </c>
      <c r="AI13" s="494" t="s">
        <v>69</v>
      </c>
      <c r="AJ13" s="494" t="s">
        <v>119</v>
      </c>
      <c r="AK13" s="495" t="s">
        <v>168</v>
      </c>
      <c r="AL13" s="495">
        <v>43329</v>
      </c>
      <c r="AM13" s="495">
        <v>43348</v>
      </c>
      <c r="AN13" s="495"/>
      <c r="AO13" s="199">
        <f t="shared" ca="1" si="1"/>
        <v>44958</v>
      </c>
      <c r="AP13" s="494">
        <f t="shared" ref="AP13:AP19" ca="1" si="2">IF(AM13&lt;&gt;0,AO13-AM13,0)</f>
        <v>1610</v>
      </c>
      <c r="AQ13" s="494">
        <f t="shared" ref="AQ13:AQ19" ca="1" si="3">IF(ISNUMBER(AB13)=TRUE,AO13-AB13,IF(AB13="","",(AO13)-(MID(RIGHT(AB13,10),4,2)&amp;"/"&amp;LEFT((RIGHT(AB13,10)),2)&amp;"/"&amp;RIGHT(AB13,4))))</f>
        <v>1510</v>
      </c>
      <c r="AR13" s="495" t="s">
        <v>169</v>
      </c>
      <c r="AS13" s="495" t="s">
        <v>170</v>
      </c>
      <c r="AT13" s="496">
        <v>11.29</v>
      </c>
      <c r="AU13" s="496">
        <v>11.305</v>
      </c>
      <c r="AV13" s="496">
        <v>11.315</v>
      </c>
      <c r="AW13" s="496">
        <v>11.32</v>
      </c>
      <c r="AX13" s="489">
        <f t="shared" ref="AX13:AX19" ca="1" si="4">IF(ISNUMBER(Z13)=TRUE,AO13-Z13,IF(Z13="","",(AO13)-(MID(RIGHT(Z13,10),4,2)&amp;"/"&amp;LEFT((RIGHT(Z13,10)),2)&amp;"/"&amp;RIGHT(Z13,4))))</f>
        <v>1512</v>
      </c>
      <c r="AY13" s="489">
        <v>134</v>
      </c>
      <c r="AZ13" s="489" t="s">
        <v>6066</v>
      </c>
      <c r="BA13" s="489" t="s">
        <v>171</v>
      </c>
      <c r="BB13" s="485">
        <v>44834</v>
      </c>
      <c r="BC13" s="489" t="s">
        <v>172</v>
      </c>
      <c r="BL13" s="489">
        <v>0</v>
      </c>
      <c r="BN13" s="489" t="s">
        <v>124</v>
      </c>
      <c r="BP13" s="489" t="s">
        <v>5655</v>
      </c>
      <c r="BQ13" s="489" t="s">
        <v>5851</v>
      </c>
    </row>
    <row r="14" spans="1:69" s="489" customFormat="1" ht="18" customHeight="1" x14ac:dyDescent="0.25">
      <c r="A14" s="199"/>
      <c r="B14" s="204">
        <f ca="1">IF(A14="",(IF(ISNUMBER(SUBSTITUTE(LEFT(RIGHT(E14,LEN(E14)-MIN(SEARCH({1,2,3,4,5,6,7,8,9,0},E14&amp;"1234567890"))+1),10),".","/"))=TRUE,AO14-(SUBSTITUTE(LEFT(RIGHT(E14,LEN(E14)-MIN(SEARCH({1,2,3,4,5,6,7,8,9,0},E14&amp;"1234567890"))+1),10),".","/")),IF((SUBSTITUTE(LEFT(RIGHT(E14,LEN(E14)-MIN(SEARCH({1,2,3,4,5,6,7,8,9,0},E14&amp;"1234567890"))+1),10),".","/"))="","",(AO14)-(MID(RIGHT((SUBSTITUTE(LEFT(RIGHT(E14,LEN(E14)-MIN(SEARCH({1,2,3,4,5,6,7,8,9,0},E14&amp;"1234567890"))+1),10),".","/")),10),4,2)&amp;"/"&amp;LEFT((RIGHT((SUBSTITUTE(LEFT(RIGHT(E14,LEN(E14)-MIN(SEARCH({1,2,3,4,5,6,7,8,9,0},E14&amp;"1234567890"))+1),10),".","/")),10)),2)&amp;"/"&amp;RIGHT((SUBSTITUTE(LEFT(RIGHT(E14,LEN(E14)-MIN(SEARCH({1,2,3,4,5,6,7,8,9,0},E14&amp;"1234567890"))+1),10),".","/")),4))))),(AO14-A14))</f>
        <v>909</v>
      </c>
      <c r="C14" s="199"/>
      <c r="D14" s="201" t="str">
        <f>IF(LEFT(U14,7)="MAT RET","R"&amp;"-"&amp;H14&amp;"/"&amp;I14&amp;"-"&amp;TEXT(K14,"0.00")&amp;"X"&amp;IF(Q14="",N14,Q14),IF(N14&lt;570,"FGMKW2","FGCKW2")&amp;"-"&amp;H14&amp;"/"&amp;I14&amp;"-"&amp;TEXT(K14,"0.00")&amp;"X"&amp;IF(Q14="",N14,Q14))</f>
        <v>FGCKW2-304/2B-0.92X98</v>
      </c>
      <c r="E14" s="201" t="s">
        <v>6067</v>
      </c>
      <c r="F14" s="201" t="s">
        <v>6068</v>
      </c>
      <c r="G14" s="201" t="s">
        <v>6069</v>
      </c>
      <c r="H14" s="201">
        <v>304</v>
      </c>
      <c r="I14" s="202" t="s">
        <v>114</v>
      </c>
      <c r="J14" s="203">
        <v>1.44</v>
      </c>
      <c r="K14" s="203">
        <v>0.92</v>
      </c>
      <c r="L14" s="203">
        <v>0.9</v>
      </c>
      <c r="M14" s="203">
        <v>0.92</v>
      </c>
      <c r="N14" s="204">
        <v>730</v>
      </c>
      <c r="O14" s="381">
        <f>4.36-3.77</f>
        <v>0.5900000000000003</v>
      </c>
      <c r="P14" s="413"/>
      <c r="Q14" s="185">
        <v>98</v>
      </c>
      <c r="R14" s="490"/>
      <c r="S14" s="414"/>
      <c r="T14" s="371"/>
      <c r="U14" s="491" t="s">
        <v>115</v>
      </c>
      <c r="V14" s="491" t="s">
        <v>6070</v>
      </c>
      <c r="W14" s="491" t="s">
        <v>6071</v>
      </c>
      <c r="X14" s="492" t="s">
        <v>6072</v>
      </c>
      <c r="Y14" s="492"/>
      <c r="Z14" s="492" t="s">
        <v>6072</v>
      </c>
      <c r="AA14" s="492"/>
      <c r="AB14" s="492" t="s">
        <v>6073</v>
      </c>
      <c r="AC14" s="492"/>
      <c r="AD14" s="492">
        <v>44040</v>
      </c>
      <c r="AE14" s="492"/>
      <c r="AF14" s="492"/>
      <c r="AG14" s="492"/>
      <c r="AH14" s="493"/>
      <c r="AI14" s="494" t="s">
        <v>69</v>
      </c>
      <c r="AJ14" s="494" t="s">
        <v>6074</v>
      </c>
      <c r="AK14" s="495" t="s">
        <v>6075</v>
      </c>
      <c r="AL14" s="495">
        <v>43187</v>
      </c>
      <c r="AM14" s="495">
        <v>43220</v>
      </c>
      <c r="AN14" s="495"/>
      <c r="AO14" s="199">
        <f t="shared" ca="1" si="1"/>
        <v>44958</v>
      </c>
      <c r="AP14" s="494">
        <f t="shared" ca="1" si="2"/>
        <v>1738</v>
      </c>
      <c r="AQ14" s="494">
        <f t="shared" ca="1" si="3"/>
        <v>1683</v>
      </c>
      <c r="AR14" s="495"/>
      <c r="AS14" s="495" t="s">
        <v>6068</v>
      </c>
      <c r="AT14" s="496">
        <v>8.99</v>
      </c>
      <c r="AU14" s="496">
        <v>9.0050000000000008</v>
      </c>
      <c r="AV14" s="496">
        <v>9.01</v>
      </c>
      <c r="AW14" s="496">
        <v>9.0150000000000006</v>
      </c>
      <c r="AX14" s="489">
        <f t="shared" ca="1" si="4"/>
        <v>1686</v>
      </c>
      <c r="BA14" s="489" t="s">
        <v>123</v>
      </c>
      <c r="BP14" s="489" t="s">
        <v>5655</v>
      </c>
      <c r="BQ14" s="489" t="s">
        <v>5678</v>
      </c>
    </row>
    <row r="15" spans="1:69" s="489" customFormat="1" ht="18" customHeight="1" x14ac:dyDescent="0.25">
      <c r="A15" s="199"/>
      <c r="B15" s="204">
        <f ca="1">IF(A15="",(IF(ISNUMBER(SUBSTITUTE(LEFT(RIGHT(E15,LEN(E15)-MIN(SEARCH({1,2,3,4,5,6,7,8,9,0},E15&amp;"1234567890"))+1),10),".","/"))=TRUE,AO15-(SUBSTITUTE(LEFT(RIGHT(E15,LEN(E15)-MIN(SEARCH({1,2,3,4,5,6,7,8,9,0},E15&amp;"1234567890"))+1),10),".","/")),IF((SUBSTITUTE(LEFT(RIGHT(E15,LEN(E15)-MIN(SEARCH({1,2,3,4,5,6,7,8,9,0},E15&amp;"1234567890"))+1),10),".","/"))="","",(AO15)-(MID(RIGHT((SUBSTITUTE(LEFT(RIGHT(E15,LEN(E15)-MIN(SEARCH({1,2,3,4,5,6,7,8,9,0},E15&amp;"1234567890"))+1),10),".","/")),10),4,2)&amp;"/"&amp;LEFT((RIGHT((SUBSTITUTE(LEFT(RIGHT(E15,LEN(E15)-MIN(SEARCH({1,2,3,4,5,6,7,8,9,0},E15&amp;"1234567890"))+1),10),".","/")),10)),2)&amp;"/"&amp;RIGHT((SUBSTITUTE(LEFT(RIGHT(E15,LEN(E15)-MIN(SEARCH({1,2,3,4,5,6,7,8,9,0},E15&amp;"1234567890"))+1),10),".","/")),4))))),(AO15-A15))</f>
        <v>909</v>
      </c>
      <c r="C15" s="199"/>
      <c r="D15" s="201" t="str">
        <f>IF(LEFT(U15,7)="MAT RET","R"&amp;"-"&amp;H15&amp;"/"&amp;I15&amp;"-"&amp;TEXT(K15,"0.00")&amp;"X"&amp;IF(Q15="",N15,Q15),IF(N15&lt;570,"FGMKW2","FGCKW2")&amp;"-"&amp;H15&amp;"/"&amp;I15&amp;"-"&amp;TEXT(K15,"0.00")&amp;"X"&amp;IF(Q15="",N15,Q15))</f>
        <v>FGCKW2-304/2B-0.92X98</v>
      </c>
      <c r="E15" s="201" t="s">
        <v>6067</v>
      </c>
      <c r="F15" s="201" t="s">
        <v>6068</v>
      </c>
      <c r="G15" s="201" t="s">
        <v>6076</v>
      </c>
      <c r="H15" s="201">
        <v>304</v>
      </c>
      <c r="I15" s="202" t="s">
        <v>114</v>
      </c>
      <c r="J15" s="203">
        <v>1.44</v>
      </c>
      <c r="K15" s="203">
        <v>0.92</v>
      </c>
      <c r="L15" s="203">
        <v>0.9</v>
      </c>
      <c r="M15" s="203">
        <v>0.92</v>
      </c>
      <c r="N15" s="204">
        <v>730</v>
      </c>
      <c r="O15" s="381">
        <f>4.37-3.78</f>
        <v>0.5900000000000003</v>
      </c>
      <c r="P15" s="413"/>
      <c r="Q15" s="185">
        <v>98</v>
      </c>
      <c r="R15" s="490"/>
      <c r="S15" s="414"/>
      <c r="T15" s="371"/>
      <c r="U15" s="491" t="s">
        <v>115</v>
      </c>
      <c r="V15" s="491" t="s">
        <v>6070</v>
      </c>
      <c r="W15" s="491" t="s">
        <v>6071</v>
      </c>
      <c r="X15" s="492" t="s">
        <v>6072</v>
      </c>
      <c r="Y15" s="492"/>
      <c r="Z15" s="492" t="s">
        <v>6072</v>
      </c>
      <c r="AA15" s="492"/>
      <c r="AB15" s="492" t="s">
        <v>6073</v>
      </c>
      <c r="AC15" s="492"/>
      <c r="AD15" s="492">
        <v>44040</v>
      </c>
      <c r="AE15" s="492"/>
      <c r="AF15" s="492"/>
      <c r="AG15" s="492"/>
      <c r="AH15" s="493"/>
      <c r="AI15" s="494" t="s">
        <v>69</v>
      </c>
      <c r="AJ15" s="494" t="s">
        <v>6074</v>
      </c>
      <c r="AK15" s="495" t="s">
        <v>6075</v>
      </c>
      <c r="AL15" s="495">
        <v>43187</v>
      </c>
      <c r="AM15" s="495">
        <v>43220</v>
      </c>
      <c r="AN15" s="495"/>
      <c r="AO15" s="199">
        <f t="shared" ca="1" si="1"/>
        <v>44958</v>
      </c>
      <c r="AP15" s="494">
        <f t="shared" ca="1" si="2"/>
        <v>1738</v>
      </c>
      <c r="AQ15" s="494">
        <f t="shared" ca="1" si="3"/>
        <v>1683</v>
      </c>
      <c r="AR15" s="495"/>
      <c r="AS15" s="495" t="s">
        <v>6068</v>
      </c>
      <c r="AT15" s="496">
        <v>8.99</v>
      </c>
      <c r="AU15" s="496">
        <v>9.0050000000000008</v>
      </c>
      <c r="AV15" s="496">
        <v>9.01</v>
      </c>
      <c r="AW15" s="496">
        <v>9.0150000000000006</v>
      </c>
      <c r="AX15" s="489">
        <f t="shared" ca="1" si="4"/>
        <v>1686</v>
      </c>
      <c r="BA15" s="489" t="s">
        <v>123</v>
      </c>
      <c r="BP15" s="489" t="s">
        <v>5655</v>
      </c>
      <c r="BQ15" s="489" t="s">
        <v>5678</v>
      </c>
    </row>
    <row r="16" spans="1:69" s="489" customFormat="1" ht="18" customHeight="1" thickBot="1" x14ac:dyDescent="0.3">
      <c r="A16" s="199"/>
      <c r="B16" s="204">
        <f ca="1">IF(A16="",(IF(ISNUMBER(SUBSTITUTE(LEFT(RIGHT(E16,LEN(E16)-MIN(SEARCH({1,2,3,4,5,6,7,8,9,0},E16&amp;"1234567890"))+1),10),".","/"))=TRUE,AO16-(SUBSTITUTE(LEFT(RIGHT(E16,LEN(E16)-MIN(SEARCH({1,2,3,4,5,6,7,8,9,0},E16&amp;"1234567890"))+1),10),".","/")),IF((SUBSTITUTE(LEFT(RIGHT(E16,LEN(E16)-MIN(SEARCH({1,2,3,4,5,6,7,8,9,0},E16&amp;"1234567890"))+1),10),".","/"))="","",(AO16)-(MID(RIGHT((SUBSTITUTE(LEFT(RIGHT(E16,LEN(E16)-MIN(SEARCH({1,2,3,4,5,6,7,8,9,0},E16&amp;"1234567890"))+1),10),".","/")),10),4,2)&amp;"/"&amp;LEFT((RIGHT((SUBSTITUTE(LEFT(RIGHT(E16,LEN(E16)-MIN(SEARCH({1,2,3,4,5,6,7,8,9,0},E16&amp;"1234567890"))+1),10),".","/")),10)),2)&amp;"/"&amp;RIGHT((SUBSTITUTE(LEFT(RIGHT(E16,LEN(E16)-MIN(SEARCH({1,2,3,4,5,6,7,8,9,0},E16&amp;"1234567890"))+1),10),".","/")),4))))),(AO16-A16))</f>
        <v>877</v>
      </c>
      <c r="C16" s="199"/>
      <c r="D16" s="201" t="str">
        <f>IF(LEFT(U16,7)="MAT RET","R"&amp;"-"&amp;H16&amp;"/"&amp;I16&amp;"-"&amp;TEXT(K16,"0.00")&amp;"X"&amp;IF(Q16="",N16,Q16),IF(N16&lt;570,"FGMKW2","FGCKW2")&amp;"-"&amp;H16&amp;"/"&amp;I16&amp;"-"&amp;TEXT(K16,"0.00")&amp;"X"&amp;IF(Q16="",N16,Q16))</f>
        <v>FGCKW2-304/2B-0.80X800</v>
      </c>
      <c r="E16" s="201" t="s">
        <v>6077</v>
      </c>
      <c r="F16" s="201" t="s">
        <v>6078</v>
      </c>
      <c r="G16" s="201" t="s">
        <v>6079</v>
      </c>
      <c r="H16" s="201">
        <v>304</v>
      </c>
      <c r="I16" s="202" t="s">
        <v>114</v>
      </c>
      <c r="J16" s="203">
        <v>1.2</v>
      </c>
      <c r="K16" s="203">
        <v>0.8</v>
      </c>
      <c r="L16" s="203">
        <v>0.75</v>
      </c>
      <c r="M16" s="203">
        <v>0.77</v>
      </c>
      <c r="N16" s="204">
        <v>800</v>
      </c>
      <c r="O16" s="381">
        <v>2.35</v>
      </c>
      <c r="P16" s="413"/>
      <c r="Q16" s="185">
        <v>800</v>
      </c>
      <c r="R16" s="490"/>
      <c r="S16" s="414"/>
      <c r="T16" s="371"/>
      <c r="U16" s="491" t="s">
        <v>390</v>
      </c>
      <c r="V16" s="491" t="s">
        <v>6080</v>
      </c>
      <c r="W16" s="501" t="s">
        <v>6081</v>
      </c>
      <c r="X16" s="492" t="s">
        <v>6082</v>
      </c>
      <c r="Y16" s="492"/>
      <c r="Z16" s="492" t="s">
        <v>6083</v>
      </c>
      <c r="AA16" s="492"/>
      <c r="AB16" s="492" t="s">
        <v>6084</v>
      </c>
      <c r="AC16" s="492"/>
      <c r="AD16" s="492">
        <v>42927</v>
      </c>
      <c r="AE16" s="492"/>
      <c r="AF16" s="492"/>
      <c r="AG16" s="492"/>
      <c r="AH16" s="493" t="s">
        <v>167</v>
      </c>
      <c r="AI16" s="494" t="s">
        <v>69</v>
      </c>
      <c r="AJ16" s="494" t="s">
        <v>6042</v>
      </c>
      <c r="AK16" s="495" t="s">
        <v>6043</v>
      </c>
      <c r="AL16" s="495">
        <v>42751</v>
      </c>
      <c r="AM16" s="495">
        <v>42798</v>
      </c>
      <c r="AN16" s="495"/>
      <c r="AO16" s="199">
        <f t="shared" ca="1" si="1"/>
        <v>44958</v>
      </c>
      <c r="AP16" s="494">
        <f t="shared" ca="1" si="2"/>
        <v>2160</v>
      </c>
      <c r="AQ16" s="494">
        <f t="shared" ca="1" si="3"/>
        <v>2031</v>
      </c>
      <c r="AR16" s="495" t="s">
        <v>6085</v>
      </c>
      <c r="AS16" s="495" t="s">
        <v>6086</v>
      </c>
      <c r="AT16" s="496">
        <v>10.7</v>
      </c>
      <c r="AU16" s="496"/>
      <c r="AV16" s="496"/>
      <c r="AW16" s="496">
        <v>10.811</v>
      </c>
      <c r="AX16" s="489">
        <f t="shared" ca="1" si="4"/>
        <v>2132</v>
      </c>
      <c r="AY16" s="489">
        <v>44</v>
      </c>
      <c r="BC16" s="502" t="s">
        <v>6087</v>
      </c>
      <c r="BF16" s="489" t="s">
        <v>6088</v>
      </c>
      <c r="BH16" s="489" t="s">
        <v>6089</v>
      </c>
      <c r="BJ16" s="489" t="s">
        <v>6090</v>
      </c>
      <c r="BL16" s="489">
        <v>0</v>
      </c>
      <c r="BN16" s="489" t="s">
        <v>124</v>
      </c>
      <c r="BP16" s="489" t="s">
        <v>5655</v>
      </c>
      <c r="BQ16" s="489" t="s">
        <v>125</v>
      </c>
    </row>
    <row r="17" spans="1:69" s="489" customFormat="1" ht="18" customHeight="1" x14ac:dyDescent="0.25">
      <c r="A17" s="199">
        <v>44301</v>
      </c>
      <c r="B17" s="204">
        <f ca="1">IF(A17="",(IF(ISNUMBER(SUBSTITUTE(LEFT(RIGHT(E17,LEN(E17)-MIN(SEARCH({1,2,3,4,5,6,7,8,9,0},E17&amp;"1234567890"))+1),10),".","/"))=TRUE,AO17-(SUBSTITUTE(LEFT(RIGHT(E17,LEN(E17)-MIN(SEARCH({1,2,3,4,5,6,7,8,9,0},E17&amp;"1234567890"))+1),10),".","/")),IF((SUBSTITUTE(LEFT(RIGHT(E17,LEN(E17)-MIN(SEARCH({1,2,3,4,5,6,7,8,9,0},E17&amp;"1234567890"))+1),10),".","/"))="","",(AO17)-(MID(RIGHT((SUBSTITUTE(LEFT(RIGHT(E17,LEN(E17)-MIN(SEARCH({1,2,3,4,5,6,7,8,9,0},E17&amp;"1234567890"))+1),10),".","/")),10),4,2)&amp;"/"&amp;LEFT((RIGHT((SUBSTITUTE(LEFT(RIGHT(E17,LEN(E17)-MIN(SEARCH({1,2,3,4,5,6,7,8,9,0},E17&amp;"1234567890"))+1),10),".","/")),10)),2)&amp;"/"&amp;RIGHT((SUBSTITUTE(LEFT(RIGHT(E17,LEN(E17)-MIN(SEARCH({1,2,3,4,5,6,7,8,9,0},E17&amp;"1234567890"))+1),10),".","/")),4))))),(AO17-A17))</f>
        <v>657</v>
      </c>
      <c r="C17" s="199"/>
      <c r="D17" s="201" t="str">
        <f>IF(LEFT(U17,7)="MAT RET","R"&amp;"-"&amp;H17&amp;"/"&amp;I17&amp;"-"&amp;TEXT(K17,"0.00")&amp;"X"&amp;IF(Q17="",N17,Q17),IF(N17&lt;570,"FGMKW2","FGCKW2")&amp;"-"&amp;H17&amp;"/"&amp;I17&amp;"-"&amp;TEXT(K17,"0.00")&amp;"X"&amp;IF(Q17="",N17,Q17))</f>
        <v>FGCKW2-409L/2B-1.20X630</v>
      </c>
      <c r="E17" s="201" t="s">
        <v>6091</v>
      </c>
      <c r="F17" s="201" t="s">
        <v>6092</v>
      </c>
      <c r="G17" s="201" t="s">
        <v>6093</v>
      </c>
      <c r="H17" s="201" t="s">
        <v>38</v>
      </c>
      <c r="I17" s="202" t="s">
        <v>114</v>
      </c>
      <c r="J17" s="203">
        <v>1.2</v>
      </c>
      <c r="K17" s="203">
        <v>1.2</v>
      </c>
      <c r="L17" s="203"/>
      <c r="M17" s="203"/>
      <c r="N17" s="204">
        <v>630</v>
      </c>
      <c r="O17" s="381">
        <v>0.315</v>
      </c>
      <c r="P17" s="413">
        <v>0.316</v>
      </c>
      <c r="Q17" s="185">
        <v>630</v>
      </c>
      <c r="R17" s="490"/>
      <c r="S17" s="414"/>
      <c r="T17" s="371"/>
      <c r="U17" s="491" t="s">
        <v>390</v>
      </c>
      <c r="V17" s="491"/>
      <c r="W17" s="491"/>
      <c r="X17" s="492"/>
      <c r="Y17" s="492"/>
      <c r="Z17" s="492"/>
      <c r="AA17" s="492"/>
      <c r="AB17" s="492"/>
      <c r="AC17" s="492"/>
      <c r="AD17" s="492"/>
      <c r="AE17" s="492"/>
      <c r="AF17" s="492"/>
      <c r="AG17" s="492"/>
      <c r="AH17" s="493"/>
      <c r="AI17" s="494" t="s">
        <v>114</v>
      </c>
      <c r="AJ17" s="494" t="s">
        <v>248</v>
      </c>
      <c r="AK17" s="495" t="s">
        <v>6094</v>
      </c>
      <c r="AL17" s="495"/>
      <c r="AM17" s="495">
        <v>44097</v>
      </c>
      <c r="AN17" s="495"/>
      <c r="AO17" s="199">
        <f t="shared" ca="1" si="1"/>
        <v>44958</v>
      </c>
      <c r="AP17" s="494">
        <f t="shared" ca="1" si="2"/>
        <v>861</v>
      </c>
      <c r="AQ17" s="494" t="str">
        <f t="shared" si="3"/>
        <v/>
      </c>
      <c r="AR17" s="495"/>
      <c r="AS17" s="495" t="s">
        <v>6095</v>
      </c>
      <c r="AT17" s="496">
        <v>3.923</v>
      </c>
      <c r="AU17" s="496">
        <v>3.9630000000000001</v>
      </c>
      <c r="AV17" s="496">
        <v>3.988</v>
      </c>
      <c r="AW17" s="496">
        <v>3.9929999999999999</v>
      </c>
      <c r="AX17" s="489" t="str">
        <f t="shared" si="4"/>
        <v/>
      </c>
      <c r="BA17" s="489" t="s">
        <v>123</v>
      </c>
      <c r="BP17" s="489" t="s">
        <v>5655</v>
      </c>
      <c r="BQ17" s="489" t="s">
        <v>5851</v>
      </c>
    </row>
    <row r="18" spans="1:69" s="489" customFormat="1" ht="18" customHeight="1" x14ac:dyDescent="0.25">
      <c r="A18" s="199">
        <v>44173</v>
      </c>
      <c r="B18" s="204">
        <f ca="1">IF(A18="",(IF(ISNUMBER(SUBSTITUTE(LEFT(RIGHT(E18,LEN(E18)-MIN(SEARCH({1,2,3,4,5,6,7,8,9,0},E18&amp;"1234567890"))+1),10),".","/"))=TRUE,AO18-(SUBSTITUTE(LEFT(RIGHT(E18,LEN(E18)-MIN(SEARCH({1,2,3,4,5,6,7,8,9,0},E18&amp;"1234567890"))+1),10),".","/")),IF((SUBSTITUTE(LEFT(RIGHT(E18,LEN(E18)-MIN(SEARCH({1,2,3,4,5,6,7,8,9,0},E18&amp;"1234567890"))+1),10),".","/"))="","",(AO18)-(MID(RIGHT((SUBSTITUTE(LEFT(RIGHT(E18,LEN(E18)-MIN(SEARCH({1,2,3,4,5,6,7,8,9,0},E18&amp;"1234567890"))+1),10),".","/")),10),4,2)&amp;"/"&amp;LEFT((RIGHT((SUBSTITUTE(LEFT(RIGHT(E18,LEN(E18)-MIN(SEARCH({1,2,3,4,5,6,7,8,9,0},E18&amp;"1234567890"))+1),10),".","/")),10)),2)&amp;"/"&amp;RIGHT((SUBSTITUTE(LEFT(RIGHT(E18,LEN(E18)-MIN(SEARCH({1,2,3,4,5,6,7,8,9,0},E18&amp;"1234567890"))+1),10),".","/")),4))))),(AO18-A18))</f>
        <v>785</v>
      </c>
      <c r="C18" s="199"/>
      <c r="D18" s="201" t="str">
        <f>IF(LEFT(U18,7)="MAT RET","R"&amp;"-"&amp;H18&amp;"/"&amp;I18&amp;"-"&amp;TEXT(K18,"0.00")&amp;"X"&amp;IF(Q18="",N18,Q18),IF(N18&lt;570,"FGMKW2","FGCKW2")&amp;"-"&amp;H18&amp;"/"&amp;I18&amp;"-"&amp;TEXT(K18,"0.00")&amp;"X"&amp;IF(Q18="",N18,Q18))</f>
        <v>FGCKW2-J4/2B-0.28X100</v>
      </c>
      <c r="E18" s="201" t="s">
        <v>6096</v>
      </c>
      <c r="F18" s="201" t="s">
        <v>6097</v>
      </c>
      <c r="G18" s="201" t="s">
        <v>6098</v>
      </c>
      <c r="H18" s="201" t="s">
        <v>35</v>
      </c>
      <c r="I18" s="202" t="s">
        <v>114</v>
      </c>
      <c r="J18" s="203">
        <v>0.63</v>
      </c>
      <c r="K18" s="203">
        <v>0.28000000000000003</v>
      </c>
      <c r="L18" s="203">
        <v>0.27</v>
      </c>
      <c r="M18" s="203">
        <v>0.28000000000000003</v>
      </c>
      <c r="N18" s="204">
        <v>720</v>
      </c>
      <c r="O18" s="381">
        <v>0.36499999999999999</v>
      </c>
      <c r="P18" s="413"/>
      <c r="Q18" s="185">
        <v>100</v>
      </c>
      <c r="R18" s="490"/>
      <c r="S18" s="414"/>
      <c r="T18" s="371"/>
      <c r="U18" s="491" t="s">
        <v>390</v>
      </c>
      <c r="V18" s="491" t="s">
        <v>6099</v>
      </c>
      <c r="W18" s="491" t="s">
        <v>176</v>
      </c>
      <c r="X18" s="492">
        <v>44144</v>
      </c>
      <c r="Y18" s="492"/>
      <c r="Z18" s="492">
        <v>44145</v>
      </c>
      <c r="AA18" s="492"/>
      <c r="AB18" s="492" t="s">
        <v>6100</v>
      </c>
      <c r="AC18" s="492"/>
      <c r="AD18" s="492">
        <v>44144</v>
      </c>
      <c r="AE18" s="492"/>
      <c r="AF18" s="492"/>
      <c r="AG18" s="492"/>
      <c r="AH18" s="493" t="s">
        <v>167</v>
      </c>
      <c r="AI18" s="494" t="s">
        <v>70</v>
      </c>
      <c r="AJ18" s="494" t="s">
        <v>119</v>
      </c>
      <c r="AK18" s="495" t="s">
        <v>5782</v>
      </c>
      <c r="AL18" s="495">
        <v>43385</v>
      </c>
      <c r="AM18" s="495">
        <v>43410</v>
      </c>
      <c r="AN18" s="495"/>
      <c r="AO18" s="199">
        <f t="shared" ca="1" si="1"/>
        <v>44958</v>
      </c>
      <c r="AP18" s="494">
        <f t="shared" ca="1" si="2"/>
        <v>1548</v>
      </c>
      <c r="AQ18" s="494">
        <f t="shared" ca="1" si="3"/>
        <v>813</v>
      </c>
      <c r="AR18" s="495" t="s">
        <v>6101</v>
      </c>
      <c r="AS18" s="495" t="s">
        <v>6102</v>
      </c>
      <c r="AT18" s="496">
        <v>11.605</v>
      </c>
      <c r="AU18" s="496">
        <v>11.620000000000001</v>
      </c>
      <c r="AV18" s="496">
        <v>11.625</v>
      </c>
      <c r="AW18" s="496">
        <v>11.63</v>
      </c>
      <c r="AX18" s="489">
        <f t="shared" ca="1" si="4"/>
        <v>813</v>
      </c>
      <c r="AY18" s="489">
        <v>144</v>
      </c>
      <c r="BA18" s="489" t="s">
        <v>6103</v>
      </c>
      <c r="BH18" s="489" t="s">
        <v>172</v>
      </c>
      <c r="BP18" s="489" t="s">
        <v>5655</v>
      </c>
      <c r="BQ18" s="489" t="s">
        <v>5656</v>
      </c>
    </row>
    <row r="19" spans="1:69" s="489" customFormat="1" ht="18" customHeight="1" x14ac:dyDescent="0.25">
      <c r="A19" s="199"/>
      <c r="B19" s="204">
        <f ca="1">IF(A19="",(IF(ISNUMBER(SUBSTITUTE(LEFT(RIGHT(E19,LEN(E19)-MIN(SEARCH({1,2,3,4,5,6,7,8,9,0},E19&amp;"1234567890"))+1),10),".","/"))=TRUE,AO19-(SUBSTITUTE(LEFT(RIGHT(E19,LEN(E19)-MIN(SEARCH({1,2,3,4,5,6,7,8,9,0},E19&amp;"1234567890"))+1),10),".","/")),IF((SUBSTITUTE(LEFT(RIGHT(E19,LEN(E19)-MIN(SEARCH({1,2,3,4,5,6,7,8,9,0},E19&amp;"1234567890"))+1),10),".","/"))="","",(AO19)-(MID(RIGHT((SUBSTITUTE(LEFT(RIGHT(E19,LEN(E19)-MIN(SEARCH({1,2,3,4,5,6,7,8,9,0},E19&amp;"1234567890"))+1),10),".","/")),10),4,2)&amp;"/"&amp;LEFT((RIGHT((SUBSTITUTE(LEFT(RIGHT(E19,LEN(E19)-MIN(SEARCH({1,2,3,4,5,6,7,8,9,0},E19&amp;"1234567890"))+1),10),".","/")),10)),2)&amp;"/"&amp;RIGHT((SUBSTITUTE(LEFT(RIGHT(E19,LEN(E19)-MIN(SEARCH({1,2,3,4,5,6,7,8,9,0},E19&amp;"1234567890"))+1),10),".","/")),4))))),(AO19-A19))</f>
        <v>807</v>
      </c>
      <c r="C19" s="199"/>
      <c r="D19" s="201" t="str">
        <f>IF(Q19="MULTI","FGM","FGC")&amp;"-"&amp;H19&amp;"/"&amp;I19&amp;"-"&amp;TEXT(K19,"0.00")&amp;"X"&amp;IF(Q19="MULTI",N19,Q19)</f>
        <v>FGC-J4/2B-0.28X100</v>
      </c>
      <c r="E19" s="201" t="s">
        <v>6104</v>
      </c>
      <c r="F19" s="201" t="s">
        <v>6097</v>
      </c>
      <c r="G19" s="201" t="s">
        <v>6105</v>
      </c>
      <c r="H19" s="201" t="s">
        <v>35</v>
      </c>
      <c r="I19" s="202" t="s">
        <v>114</v>
      </c>
      <c r="J19" s="203">
        <v>0.63</v>
      </c>
      <c r="K19" s="203">
        <v>0.28000000000000003</v>
      </c>
      <c r="L19" s="203">
        <v>0.27</v>
      </c>
      <c r="M19" s="203">
        <v>0.28000000000000003</v>
      </c>
      <c r="N19" s="204">
        <v>720</v>
      </c>
      <c r="O19" s="381">
        <v>0.34</v>
      </c>
      <c r="P19" s="413"/>
      <c r="Q19" s="185">
        <v>100</v>
      </c>
      <c r="R19" s="490"/>
      <c r="S19" s="414"/>
      <c r="T19" s="371"/>
      <c r="U19" s="491" t="s">
        <v>115</v>
      </c>
      <c r="V19" s="491" t="s">
        <v>5826</v>
      </c>
      <c r="W19" s="491" t="s">
        <v>176</v>
      </c>
      <c r="X19" s="492">
        <v>44144</v>
      </c>
      <c r="Y19" s="492"/>
      <c r="Z19" s="492">
        <v>44145</v>
      </c>
      <c r="AA19" s="492"/>
      <c r="AB19" s="492" t="s">
        <v>6100</v>
      </c>
      <c r="AC19" s="492"/>
      <c r="AD19" s="492">
        <v>44144</v>
      </c>
      <c r="AE19" s="492"/>
      <c r="AF19" s="492"/>
      <c r="AG19" s="492"/>
      <c r="AH19" s="493" t="s">
        <v>167</v>
      </c>
      <c r="AI19" s="494" t="s">
        <v>70</v>
      </c>
      <c r="AJ19" s="494" t="s">
        <v>119</v>
      </c>
      <c r="AK19" s="495" t="s">
        <v>5782</v>
      </c>
      <c r="AL19" s="495">
        <v>43385</v>
      </c>
      <c r="AM19" s="495">
        <v>43410</v>
      </c>
      <c r="AN19" s="495"/>
      <c r="AO19" s="199">
        <f t="shared" ca="1" si="1"/>
        <v>44958</v>
      </c>
      <c r="AP19" s="494">
        <f t="shared" ca="1" si="2"/>
        <v>1548</v>
      </c>
      <c r="AQ19" s="494">
        <f t="shared" ca="1" si="3"/>
        <v>813</v>
      </c>
      <c r="AR19" s="495" t="s">
        <v>6101</v>
      </c>
      <c r="AS19" s="495" t="s">
        <v>6102</v>
      </c>
      <c r="AT19" s="496">
        <v>11.605</v>
      </c>
      <c r="AU19" s="496">
        <v>11.620000000000001</v>
      </c>
      <c r="AV19" s="496">
        <v>11.625</v>
      </c>
      <c r="AW19" s="496">
        <v>11.63</v>
      </c>
      <c r="AX19" s="489">
        <f t="shared" ca="1" si="4"/>
        <v>813</v>
      </c>
      <c r="AY19" s="489">
        <v>144</v>
      </c>
      <c r="BA19" s="489" t="s">
        <v>6103</v>
      </c>
      <c r="BH19" s="489" t="s">
        <v>172</v>
      </c>
      <c r="BP19" s="489" t="s">
        <v>5655</v>
      </c>
      <c r="BQ19" s="489" t="s">
        <v>5656</v>
      </c>
    </row>
    <row r="20" spans="1:69" s="489" customFormat="1" ht="18" customHeight="1" x14ac:dyDescent="0.25">
      <c r="A20" s="199"/>
      <c r="B20" s="204"/>
      <c r="C20" s="199"/>
      <c r="D20" s="201"/>
      <c r="E20" s="201" t="s">
        <v>6106</v>
      </c>
      <c r="F20" s="201" t="s">
        <v>6107</v>
      </c>
      <c r="G20" s="201" t="s">
        <v>6108</v>
      </c>
      <c r="H20" s="201" t="s">
        <v>182</v>
      </c>
      <c r="I20" s="202" t="s">
        <v>114</v>
      </c>
      <c r="J20" s="203">
        <v>0.5</v>
      </c>
      <c r="K20" s="203">
        <v>0.5</v>
      </c>
      <c r="L20" s="203"/>
      <c r="M20" s="203"/>
      <c r="N20" s="204">
        <v>770</v>
      </c>
      <c r="O20" s="381">
        <v>0.26500000000000001</v>
      </c>
      <c r="P20" s="413"/>
      <c r="Q20" s="185">
        <v>50</v>
      </c>
      <c r="R20" s="490"/>
      <c r="S20" s="414"/>
      <c r="T20" s="371"/>
      <c r="U20" s="491" t="s">
        <v>390</v>
      </c>
      <c r="V20" s="491"/>
      <c r="W20" s="491">
        <v>4</v>
      </c>
      <c r="X20" s="492">
        <v>767</v>
      </c>
      <c r="Y20" s="492"/>
      <c r="Z20" s="492" t="s">
        <v>6109</v>
      </c>
      <c r="AA20" s="492"/>
      <c r="AB20" s="492"/>
      <c r="AC20" s="492"/>
      <c r="AD20" s="492"/>
      <c r="AE20" s="492"/>
      <c r="AF20" s="492"/>
      <c r="AG20" s="492"/>
      <c r="AH20" s="493"/>
      <c r="AI20" s="494" t="s">
        <v>127</v>
      </c>
      <c r="AJ20" s="494" t="s">
        <v>190</v>
      </c>
      <c r="AK20" s="495" t="s">
        <v>6110</v>
      </c>
      <c r="AL20" s="495"/>
      <c r="AM20" s="495">
        <v>43818</v>
      </c>
      <c r="AN20" s="495"/>
      <c r="AO20" s="199"/>
      <c r="AP20" s="494"/>
      <c r="AQ20" s="494"/>
      <c r="AR20" s="495"/>
      <c r="AS20" s="495" t="s">
        <v>6111</v>
      </c>
      <c r="AT20" s="496">
        <v>10.47</v>
      </c>
      <c r="AU20" s="496">
        <v>10.48</v>
      </c>
      <c r="AV20" s="496">
        <v>10.51</v>
      </c>
      <c r="AW20" s="496">
        <v>10.515000000000001</v>
      </c>
      <c r="BP20" s="489" t="s">
        <v>5655</v>
      </c>
      <c r="BQ20" s="489" t="s">
        <v>5678</v>
      </c>
    </row>
    <row r="21" spans="1:69" s="489" customFormat="1" ht="18" customHeight="1" x14ac:dyDescent="0.25">
      <c r="A21" s="199"/>
      <c r="B21" s="204"/>
      <c r="C21" s="199"/>
      <c r="D21" s="201"/>
      <c r="E21" s="201" t="s">
        <v>6106</v>
      </c>
      <c r="F21" s="201" t="s">
        <v>6112</v>
      </c>
      <c r="G21" s="201" t="s">
        <v>6113</v>
      </c>
      <c r="H21" s="201" t="s">
        <v>34</v>
      </c>
      <c r="I21" s="202" t="s">
        <v>114</v>
      </c>
      <c r="J21" s="203">
        <v>0.5</v>
      </c>
      <c r="K21" s="203">
        <v>0.5</v>
      </c>
      <c r="L21" s="203"/>
      <c r="M21" s="203"/>
      <c r="N21" s="204">
        <v>730</v>
      </c>
      <c r="O21" s="381">
        <v>0.252</v>
      </c>
      <c r="P21" s="413"/>
      <c r="Q21" s="371">
        <v>58</v>
      </c>
      <c r="R21" s="490"/>
      <c r="S21" s="414"/>
      <c r="T21" s="371"/>
      <c r="U21" s="491" t="s">
        <v>390</v>
      </c>
      <c r="V21" s="491" t="s">
        <v>6114</v>
      </c>
      <c r="W21" s="491"/>
      <c r="X21" s="492"/>
      <c r="Y21" s="492"/>
      <c r="Z21" s="492"/>
      <c r="AA21" s="492"/>
      <c r="AB21" s="492"/>
      <c r="AC21" s="492"/>
      <c r="AD21" s="492"/>
      <c r="AE21" s="492"/>
      <c r="AF21" s="492"/>
      <c r="AG21" s="492"/>
      <c r="AH21" s="493"/>
      <c r="AI21" s="494" t="s">
        <v>70</v>
      </c>
      <c r="AJ21" s="494" t="s">
        <v>6115</v>
      </c>
      <c r="AK21" s="495" t="s">
        <v>6116</v>
      </c>
      <c r="AL21" s="495">
        <v>42628</v>
      </c>
      <c r="AM21" s="495">
        <v>42664</v>
      </c>
      <c r="AN21" s="495"/>
      <c r="AO21" s="199"/>
      <c r="AP21" s="494"/>
      <c r="AQ21" s="494"/>
      <c r="AR21" s="495"/>
      <c r="AS21" s="495" t="s">
        <v>6117</v>
      </c>
      <c r="AT21" s="496">
        <v>11.331</v>
      </c>
      <c r="AU21" s="496"/>
      <c r="AV21" s="496"/>
      <c r="AW21" s="496"/>
      <c r="BP21" s="489" t="s">
        <v>5655</v>
      </c>
      <c r="BQ21" s="489" t="s">
        <v>5678</v>
      </c>
    </row>
    <row r="22" spans="1:69" s="489" customFormat="1" ht="18" customHeight="1" x14ac:dyDescent="0.25">
      <c r="A22" s="199"/>
      <c r="B22" s="204"/>
      <c r="C22" s="199"/>
      <c r="D22" s="201"/>
      <c r="E22" s="201" t="s">
        <v>6106</v>
      </c>
      <c r="F22" s="201" t="s">
        <v>6118</v>
      </c>
      <c r="G22" s="201" t="s">
        <v>6119</v>
      </c>
      <c r="H22" s="201" t="s">
        <v>34</v>
      </c>
      <c r="I22" s="202" t="s">
        <v>114</v>
      </c>
      <c r="J22" s="203">
        <v>0.5</v>
      </c>
      <c r="K22" s="203">
        <v>0.5</v>
      </c>
      <c r="L22" s="203"/>
      <c r="M22" s="203"/>
      <c r="N22" s="204">
        <v>730</v>
      </c>
      <c r="O22" s="381">
        <v>0.10100000000000001</v>
      </c>
      <c r="P22" s="413"/>
      <c r="Q22" s="371">
        <v>88.7</v>
      </c>
      <c r="R22" s="490"/>
      <c r="S22" s="414"/>
      <c r="T22" s="371"/>
      <c r="U22" s="491" t="s">
        <v>390</v>
      </c>
      <c r="V22" s="491"/>
      <c r="W22" s="491"/>
      <c r="X22" s="492"/>
      <c r="Y22" s="492"/>
      <c r="Z22" s="492"/>
      <c r="AA22" s="492"/>
      <c r="AB22" s="492"/>
      <c r="AC22" s="492"/>
      <c r="AD22" s="492"/>
      <c r="AE22" s="492"/>
      <c r="AF22" s="492"/>
      <c r="AG22" s="492"/>
      <c r="AH22" s="493"/>
      <c r="AI22" s="494" t="s">
        <v>70</v>
      </c>
      <c r="AJ22" s="494" t="s">
        <v>6115</v>
      </c>
      <c r="AK22" s="495" t="s">
        <v>6116</v>
      </c>
      <c r="AL22" s="495">
        <v>42628</v>
      </c>
      <c r="AM22" s="495">
        <v>42664</v>
      </c>
      <c r="AN22" s="495"/>
      <c r="AO22" s="199"/>
      <c r="AP22" s="494"/>
      <c r="AQ22" s="494"/>
      <c r="AR22" s="495"/>
      <c r="AS22" s="495" t="s">
        <v>6120</v>
      </c>
      <c r="AT22" s="496">
        <v>11.483000000000001</v>
      </c>
      <c r="AU22" s="496"/>
      <c r="AV22" s="496"/>
      <c r="AW22" s="496"/>
      <c r="BP22" s="489" t="s">
        <v>5655</v>
      </c>
      <c r="BQ22" s="489" t="s">
        <v>5656</v>
      </c>
    </row>
    <row r="23" spans="1:69" s="489" customFormat="1" ht="18" customHeight="1" x14ac:dyDescent="0.25">
      <c r="A23" s="199"/>
      <c r="B23" s="204"/>
      <c r="C23" s="199"/>
      <c r="D23" s="201"/>
      <c r="E23" s="201" t="s">
        <v>6106</v>
      </c>
      <c r="F23" s="201" t="s">
        <v>6121</v>
      </c>
      <c r="G23" s="201" t="s">
        <v>6122</v>
      </c>
      <c r="H23" s="201">
        <v>304</v>
      </c>
      <c r="I23" s="202" t="s">
        <v>114</v>
      </c>
      <c r="J23" s="203">
        <v>1.35</v>
      </c>
      <c r="K23" s="203">
        <v>1.35</v>
      </c>
      <c r="L23" s="203"/>
      <c r="M23" s="203"/>
      <c r="N23" s="204">
        <v>730</v>
      </c>
      <c r="O23" s="381">
        <v>0.48699999999999999</v>
      </c>
      <c r="P23" s="413"/>
      <c r="Q23" s="185">
        <v>78.3</v>
      </c>
      <c r="R23" s="490"/>
      <c r="S23" s="414"/>
      <c r="T23" s="371"/>
      <c r="U23" s="491" t="s">
        <v>390</v>
      </c>
      <c r="V23" s="491"/>
      <c r="W23" s="491"/>
      <c r="X23" s="492"/>
      <c r="Y23" s="492"/>
      <c r="Z23" s="492"/>
      <c r="AA23" s="492"/>
      <c r="AB23" s="492"/>
      <c r="AC23" s="492"/>
      <c r="AD23" s="492"/>
      <c r="AE23" s="492"/>
      <c r="AF23" s="492"/>
      <c r="AG23" s="492"/>
      <c r="AH23" s="493"/>
      <c r="AI23" s="494" t="s">
        <v>127</v>
      </c>
      <c r="AJ23" s="494" t="s">
        <v>5674</v>
      </c>
      <c r="AK23" s="495" t="s">
        <v>6123</v>
      </c>
      <c r="AL23" s="495">
        <v>43113</v>
      </c>
      <c r="AM23" s="495">
        <v>43146</v>
      </c>
      <c r="AN23" s="495"/>
      <c r="AO23" s="199"/>
      <c r="AP23" s="494"/>
      <c r="AQ23" s="494"/>
      <c r="AR23" s="495" t="s">
        <v>6124</v>
      </c>
      <c r="AS23" s="495" t="s">
        <v>6121</v>
      </c>
      <c r="AT23" s="496">
        <v>9.3219999999999992</v>
      </c>
      <c r="AU23" s="496">
        <v>9.3519999999999985</v>
      </c>
      <c r="AV23" s="496">
        <v>9.35</v>
      </c>
      <c r="AW23" s="496">
        <v>9.3550000000000004</v>
      </c>
      <c r="BP23" s="489" t="s">
        <v>5655</v>
      </c>
    </row>
    <row r="24" spans="1:69" s="489" customFormat="1" ht="18" customHeight="1" x14ac:dyDescent="0.25">
      <c r="A24" s="199"/>
      <c r="B24" s="204"/>
      <c r="C24" s="199"/>
      <c r="D24" s="201"/>
      <c r="E24" s="201" t="s">
        <v>6106</v>
      </c>
      <c r="F24" s="201" t="s">
        <v>6125</v>
      </c>
      <c r="G24" s="201" t="s">
        <v>6126</v>
      </c>
      <c r="H24" s="201">
        <v>430</v>
      </c>
      <c r="I24" s="202" t="s">
        <v>114</v>
      </c>
      <c r="J24" s="503"/>
      <c r="K24" s="503"/>
      <c r="L24" s="203"/>
      <c r="M24" s="203"/>
      <c r="N24" s="204">
        <v>900</v>
      </c>
      <c r="O24" s="504"/>
      <c r="P24" s="413"/>
      <c r="Q24" s="505"/>
      <c r="R24" s="490"/>
      <c r="S24" s="414"/>
      <c r="T24" s="371"/>
      <c r="U24" s="491" t="s">
        <v>390</v>
      </c>
      <c r="V24" s="491"/>
      <c r="W24" s="491"/>
      <c r="X24" s="492"/>
      <c r="Y24" s="492"/>
      <c r="Z24" s="492"/>
      <c r="AA24" s="492"/>
      <c r="AB24" s="492"/>
      <c r="AC24" s="492"/>
      <c r="AD24" s="492"/>
      <c r="AE24" s="492"/>
      <c r="AF24" s="492"/>
      <c r="AG24" s="492"/>
      <c r="AH24" s="493"/>
      <c r="AI24" s="494" t="s">
        <v>127</v>
      </c>
      <c r="AJ24" s="494" t="s">
        <v>6127</v>
      </c>
      <c r="AK24" s="495" t="s">
        <v>6128</v>
      </c>
      <c r="AL24" s="495">
        <v>42527</v>
      </c>
      <c r="AM24" s="495">
        <v>42551</v>
      </c>
      <c r="AN24" s="495"/>
      <c r="AO24" s="199"/>
      <c r="AP24" s="494"/>
      <c r="AQ24" s="494"/>
      <c r="AR24" s="495"/>
      <c r="AS24" s="495" t="s">
        <v>6129</v>
      </c>
      <c r="AT24" s="496">
        <v>12.555</v>
      </c>
      <c r="AU24" s="496"/>
      <c r="AV24" s="496"/>
      <c r="AW24" s="496">
        <v>12.496</v>
      </c>
      <c r="BP24" s="489" t="s">
        <v>5655</v>
      </c>
      <c r="BQ24" s="489" t="s">
        <v>163</v>
      </c>
    </row>
    <row r="25" spans="1:69" s="489" customFormat="1" ht="18" customHeight="1" x14ac:dyDescent="0.25">
      <c r="A25" s="199"/>
      <c r="B25" s="204"/>
      <c r="C25" s="199"/>
      <c r="D25" s="201"/>
      <c r="E25" s="201" t="s">
        <v>6106</v>
      </c>
      <c r="F25" s="201" t="s">
        <v>6130</v>
      </c>
      <c r="G25" s="201" t="s">
        <v>6131</v>
      </c>
      <c r="H25" s="201" t="s">
        <v>34</v>
      </c>
      <c r="I25" s="202" t="s">
        <v>114</v>
      </c>
      <c r="J25" s="503"/>
      <c r="K25" s="503"/>
      <c r="L25" s="203"/>
      <c r="M25" s="203"/>
      <c r="N25" s="204">
        <v>730</v>
      </c>
      <c r="O25" s="381">
        <v>0.14000000000000001</v>
      </c>
      <c r="P25" s="413"/>
      <c r="Q25" s="505"/>
      <c r="R25" s="490"/>
      <c r="S25" s="414"/>
      <c r="T25" s="371"/>
      <c r="U25" s="491" t="s">
        <v>390</v>
      </c>
      <c r="V25" s="491"/>
      <c r="W25" s="491"/>
      <c r="X25" s="492"/>
      <c r="Y25" s="492"/>
      <c r="Z25" s="492"/>
      <c r="AA25" s="492"/>
      <c r="AB25" s="492"/>
      <c r="AC25" s="492"/>
      <c r="AD25" s="492"/>
      <c r="AE25" s="492"/>
      <c r="AF25" s="492"/>
      <c r="AG25" s="492"/>
      <c r="AH25" s="493"/>
      <c r="AI25" s="494" t="s">
        <v>70</v>
      </c>
      <c r="AJ25" s="494" t="s">
        <v>129</v>
      </c>
      <c r="AK25" s="495" t="s">
        <v>6132</v>
      </c>
      <c r="AL25" s="495">
        <v>42579</v>
      </c>
      <c r="AM25" s="495">
        <v>42614</v>
      </c>
      <c r="AN25" s="495"/>
      <c r="AO25" s="199"/>
      <c r="AP25" s="494"/>
      <c r="AQ25" s="494"/>
      <c r="AR25" s="495" t="s">
        <v>6133</v>
      </c>
      <c r="AS25" s="495" t="s">
        <v>6134</v>
      </c>
      <c r="AT25" s="496">
        <v>11.361000000000001</v>
      </c>
      <c r="AU25" s="496"/>
      <c r="AV25" s="496"/>
      <c r="AW25" s="496"/>
      <c r="BP25" s="489" t="s">
        <v>5655</v>
      </c>
      <c r="BQ25" s="489" t="s">
        <v>5656</v>
      </c>
    </row>
    <row r="26" spans="1:69" s="489" customFormat="1" ht="18" customHeight="1" x14ac:dyDescent="0.25">
      <c r="A26" s="199"/>
      <c r="B26" s="204"/>
      <c r="C26" s="199"/>
      <c r="D26" s="201"/>
      <c r="E26" s="201" t="s">
        <v>6106</v>
      </c>
      <c r="F26" s="201" t="s">
        <v>6130</v>
      </c>
      <c r="G26" s="201" t="s">
        <v>6135</v>
      </c>
      <c r="H26" s="201" t="s">
        <v>34</v>
      </c>
      <c r="I26" s="202" t="s">
        <v>114</v>
      </c>
      <c r="J26" s="503"/>
      <c r="K26" s="503"/>
      <c r="L26" s="203"/>
      <c r="M26" s="203"/>
      <c r="N26" s="204">
        <v>730</v>
      </c>
      <c r="O26" s="381">
        <v>0.14000000000000001</v>
      </c>
      <c r="P26" s="413"/>
      <c r="Q26" s="505"/>
      <c r="R26" s="490"/>
      <c r="S26" s="414"/>
      <c r="T26" s="371"/>
      <c r="U26" s="491" t="s">
        <v>390</v>
      </c>
      <c r="V26" s="491"/>
      <c r="W26" s="491"/>
      <c r="X26" s="492"/>
      <c r="Y26" s="492"/>
      <c r="Z26" s="492"/>
      <c r="AA26" s="492"/>
      <c r="AB26" s="492"/>
      <c r="AC26" s="492"/>
      <c r="AD26" s="492"/>
      <c r="AE26" s="492"/>
      <c r="AF26" s="492"/>
      <c r="AG26" s="492"/>
      <c r="AH26" s="493"/>
      <c r="AI26" s="494" t="s">
        <v>70</v>
      </c>
      <c r="AJ26" s="494" t="s">
        <v>129</v>
      </c>
      <c r="AK26" s="495" t="s">
        <v>6132</v>
      </c>
      <c r="AL26" s="495">
        <v>42579</v>
      </c>
      <c r="AM26" s="495">
        <v>42614</v>
      </c>
      <c r="AN26" s="495"/>
      <c r="AO26" s="199"/>
      <c r="AP26" s="494"/>
      <c r="AQ26" s="494"/>
      <c r="AR26" s="495" t="s">
        <v>6133</v>
      </c>
      <c r="AS26" s="495" t="s">
        <v>6134</v>
      </c>
      <c r="AT26" s="496">
        <v>11.361000000000001</v>
      </c>
      <c r="AU26" s="496"/>
      <c r="AV26" s="496"/>
      <c r="AW26" s="496"/>
      <c r="BP26" s="489" t="s">
        <v>5655</v>
      </c>
      <c r="BQ26" s="489" t="s">
        <v>5656</v>
      </c>
    </row>
    <row r="27" spans="1:69" s="489" customFormat="1" ht="18" customHeight="1" x14ac:dyDescent="0.25">
      <c r="A27" s="199"/>
      <c r="B27" s="204"/>
      <c r="C27" s="199"/>
      <c r="D27" s="201"/>
      <c r="E27" s="201" t="s">
        <v>6106</v>
      </c>
      <c r="F27" s="201" t="s">
        <v>6130</v>
      </c>
      <c r="G27" s="201" t="s">
        <v>6136</v>
      </c>
      <c r="H27" s="201" t="s">
        <v>34</v>
      </c>
      <c r="I27" s="202" t="s">
        <v>114</v>
      </c>
      <c r="J27" s="503"/>
      <c r="K27" s="503"/>
      <c r="L27" s="203"/>
      <c r="M27" s="203"/>
      <c r="N27" s="204">
        <v>730</v>
      </c>
      <c r="O27" s="381">
        <v>0.14000000000000001</v>
      </c>
      <c r="P27" s="413"/>
      <c r="Q27" s="505"/>
      <c r="R27" s="490"/>
      <c r="S27" s="414"/>
      <c r="T27" s="371"/>
      <c r="U27" s="491" t="s">
        <v>390</v>
      </c>
      <c r="V27" s="491"/>
      <c r="W27" s="491"/>
      <c r="X27" s="492"/>
      <c r="Y27" s="492"/>
      <c r="Z27" s="492"/>
      <c r="AA27" s="492"/>
      <c r="AB27" s="492"/>
      <c r="AC27" s="492"/>
      <c r="AD27" s="492"/>
      <c r="AE27" s="492"/>
      <c r="AF27" s="492"/>
      <c r="AG27" s="492"/>
      <c r="AH27" s="493"/>
      <c r="AI27" s="494" t="s">
        <v>70</v>
      </c>
      <c r="AJ27" s="494" t="s">
        <v>129</v>
      </c>
      <c r="AK27" s="495" t="s">
        <v>6132</v>
      </c>
      <c r="AL27" s="495">
        <v>42579</v>
      </c>
      <c r="AM27" s="495">
        <v>42614</v>
      </c>
      <c r="AN27" s="495"/>
      <c r="AO27" s="199"/>
      <c r="AP27" s="494"/>
      <c r="AQ27" s="494"/>
      <c r="AR27" s="495" t="s">
        <v>6133</v>
      </c>
      <c r="AS27" s="495" t="s">
        <v>6134</v>
      </c>
      <c r="AT27" s="496">
        <v>11.361000000000001</v>
      </c>
      <c r="AU27" s="496"/>
      <c r="AV27" s="496"/>
      <c r="AW27" s="496"/>
      <c r="BP27" s="489" t="s">
        <v>5655</v>
      </c>
      <c r="BQ27" s="489" t="s">
        <v>5656</v>
      </c>
    </row>
    <row r="28" spans="1:69" s="489" customFormat="1" ht="18" customHeight="1" x14ac:dyDescent="0.25">
      <c r="A28" s="199"/>
      <c r="B28" s="204"/>
      <c r="C28" s="199"/>
      <c r="D28" s="201"/>
      <c r="E28" s="201" t="s">
        <v>6106</v>
      </c>
      <c r="F28" s="201" t="s">
        <v>6137</v>
      </c>
      <c r="G28" s="201" t="s">
        <v>6138</v>
      </c>
      <c r="H28" s="201" t="s">
        <v>34</v>
      </c>
      <c r="I28" s="202" t="s">
        <v>114</v>
      </c>
      <c r="J28" s="203">
        <v>0.38</v>
      </c>
      <c r="K28" s="203">
        <v>0.38</v>
      </c>
      <c r="L28" s="203"/>
      <c r="M28" s="203"/>
      <c r="N28" s="204">
        <v>590</v>
      </c>
      <c r="O28" s="381">
        <v>7.0000000000000007E-2</v>
      </c>
      <c r="P28" s="413"/>
      <c r="Q28" s="371">
        <v>59</v>
      </c>
      <c r="R28" s="490"/>
      <c r="S28" s="414"/>
      <c r="T28" s="371"/>
      <c r="U28" s="491" t="s">
        <v>390</v>
      </c>
      <c r="V28" s="491"/>
      <c r="W28" s="491"/>
      <c r="X28" s="492"/>
      <c r="Y28" s="492"/>
      <c r="Z28" s="492"/>
      <c r="AA28" s="492"/>
      <c r="AB28" s="492"/>
      <c r="AC28" s="492"/>
      <c r="AD28" s="492"/>
      <c r="AE28" s="492"/>
      <c r="AF28" s="492"/>
      <c r="AG28" s="492"/>
      <c r="AH28" s="493"/>
      <c r="AI28" s="494" t="s">
        <v>127</v>
      </c>
      <c r="AJ28" s="494" t="s">
        <v>119</v>
      </c>
      <c r="AK28" s="495" t="s">
        <v>6139</v>
      </c>
      <c r="AL28" s="495">
        <v>43294</v>
      </c>
      <c r="AM28" s="495">
        <v>43312</v>
      </c>
      <c r="AN28" s="495"/>
      <c r="AO28" s="199"/>
      <c r="AP28" s="494"/>
      <c r="AQ28" s="494"/>
      <c r="AR28" s="495"/>
      <c r="AS28" s="495" t="s">
        <v>6140</v>
      </c>
      <c r="AT28" s="496">
        <v>9.1780000000000008</v>
      </c>
      <c r="AU28" s="496">
        <v>9.1930000000000014</v>
      </c>
      <c r="AV28" s="496">
        <v>9.2099999999999991</v>
      </c>
      <c r="AW28" s="496">
        <v>9.2149999999999999</v>
      </c>
      <c r="BP28" s="489" t="s">
        <v>5655</v>
      </c>
      <c r="BQ28" s="489" t="s">
        <v>5656</v>
      </c>
    </row>
    <row r="29" spans="1:69" s="489" customFormat="1" ht="18" customHeight="1" x14ac:dyDescent="0.25">
      <c r="A29" s="199"/>
      <c r="B29" s="204"/>
      <c r="C29" s="199"/>
      <c r="D29" s="201"/>
      <c r="E29" s="201" t="s">
        <v>6106</v>
      </c>
      <c r="F29" s="201" t="s">
        <v>6141</v>
      </c>
      <c r="G29" s="201" t="s">
        <v>6142</v>
      </c>
      <c r="H29" s="201" t="s">
        <v>34</v>
      </c>
      <c r="I29" s="202" t="s">
        <v>114</v>
      </c>
      <c r="J29" s="203">
        <v>0.45</v>
      </c>
      <c r="K29" s="203">
        <v>0.45</v>
      </c>
      <c r="L29" s="203"/>
      <c r="M29" s="203"/>
      <c r="N29" s="204">
        <v>730</v>
      </c>
      <c r="O29" s="381">
        <v>0.09</v>
      </c>
      <c r="P29" s="413"/>
      <c r="Q29" s="371">
        <v>119.3</v>
      </c>
      <c r="R29" s="490"/>
      <c r="S29" s="414"/>
      <c r="T29" s="371"/>
      <c r="U29" s="491" t="s">
        <v>390</v>
      </c>
      <c r="V29" s="491" t="s">
        <v>6114</v>
      </c>
      <c r="W29" s="491"/>
      <c r="X29" s="492"/>
      <c r="Y29" s="492"/>
      <c r="Z29" s="492"/>
      <c r="AA29" s="492"/>
      <c r="AB29" s="492"/>
      <c r="AC29" s="492"/>
      <c r="AD29" s="492"/>
      <c r="AE29" s="492"/>
      <c r="AF29" s="492"/>
      <c r="AG29" s="492"/>
      <c r="AH29" s="493"/>
      <c r="AI29" s="494" t="s">
        <v>70</v>
      </c>
      <c r="AJ29" s="494" t="s">
        <v>6143</v>
      </c>
      <c r="AK29" s="495" t="s">
        <v>6144</v>
      </c>
      <c r="AL29" s="495">
        <v>42796</v>
      </c>
      <c r="AM29" s="495">
        <v>42840</v>
      </c>
      <c r="AN29" s="495"/>
      <c r="AO29" s="199"/>
      <c r="AP29" s="494"/>
      <c r="AQ29" s="494"/>
      <c r="AR29" s="495"/>
      <c r="AS29" s="495" t="s">
        <v>6145</v>
      </c>
      <c r="AT29" s="496">
        <v>11.547000000000001</v>
      </c>
      <c r="AU29" s="496"/>
      <c r="AV29" s="496"/>
      <c r="AW29" s="496">
        <v>11.592000000000001</v>
      </c>
      <c r="BP29" s="489" t="s">
        <v>5655</v>
      </c>
      <c r="BQ29" s="489" t="s">
        <v>5656</v>
      </c>
    </row>
    <row r="30" spans="1:69" s="489" customFormat="1" ht="18" customHeight="1" x14ac:dyDescent="0.25">
      <c r="A30" s="199"/>
      <c r="B30" s="204"/>
      <c r="C30" s="199"/>
      <c r="D30" s="201"/>
      <c r="E30" s="201" t="s">
        <v>6106</v>
      </c>
      <c r="F30" s="201" t="s">
        <v>6141</v>
      </c>
      <c r="G30" s="201" t="s">
        <v>6146</v>
      </c>
      <c r="H30" s="201" t="s">
        <v>34</v>
      </c>
      <c r="I30" s="202" t="s">
        <v>114</v>
      </c>
      <c r="J30" s="203">
        <v>0.45</v>
      </c>
      <c r="K30" s="203">
        <v>0.45</v>
      </c>
      <c r="L30" s="203"/>
      <c r="M30" s="203"/>
      <c r="N30" s="204">
        <v>730</v>
      </c>
      <c r="O30" s="381">
        <v>0.14399999999999999</v>
      </c>
      <c r="P30" s="413"/>
      <c r="Q30" s="371">
        <v>88.9</v>
      </c>
      <c r="R30" s="490"/>
      <c r="S30" s="414"/>
      <c r="T30" s="371"/>
      <c r="U30" s="491" t="s">
        <v>390</v>
      </c>
      <c r="V30" s="491" t="s">
        <v>6114</v>
      </c>
      <c r="W30" s="491"/>
      <c r="X30" s="492"/>
      <c r="Y30" s="492"/>
      <c r="Z30" s="492"/>
      <c r="AA30" s="492"/>
      <c r="AB30" s="492"/>
      <c r="AC30" s="492"/>
      <c r="AD30" s="492"/>
      <c r="AE30" s="492"/>
      <c r="AF30" s="492"/>
      <c r="AG30" s="492"/>
      <c r="AH30" s="493"/>
      <c r="AI30" s="494" t="s">
        <v>70</v>
      </c>
      <c r="AJ30" s="494" t="s">
        <v>6143</v>
      </c>
      <c r="AK30" s="495" t="s">
        <v>6144</v>
      </c>
      <c r="AL30" s="495">
        <v>42796</v>
      </c>
      <c r="AM30" s="495">
        <v>42840</v>
      </c>
      <c r="AN30" s="495"/>
      <c r="AO30" s="199"/>
      <c r="AP30" s="494"/>
      <c r="AQ30" s="494"/>
      <c r="AR30" s="495"/>
      <c r="AS30" s="495" t="s">
        <v>6145</v>
      </c>
      <c r="AT30" s="496">
        <v>11.547000000000001</v>
      </c>
      <c r="AU30" s="496"/>
      <c r="AV30" s="496"/>
      <c r="AW30" s="496">
        <v>11.592000000000001</v>
      </c>
      <c r="BP30" s="489" t="s">
        <v>5655</v>
      </c>
      <c r="BQ30" s="489" t="s">
        <v>5678</v>
      </c>
    </row>
    <row r="31" spans="1:69" s="489" customFormat="1" ht="18" customHeight="1" x14ac:dyDescent="0.25">
      <c r="A31" s="199"/>
      <c r="B31" s="204"/>
      <c r="C31" s="199"/>
      <c r="D31" s="201"/>
      <c r="E31" s="201" t="s">
        <v>6106</v>
      </c>
      <c r="F31" s="201" t="s">
        <v>6147</v>
      </c>
      <c r="G31" s="201" t="s">
        <v>6148</v>
      </c>
      <c r="H31" s="201">
        <v>304</v>
      </c>
      <c r="I31" s="202" t="s">
        <v>114</v>
      </c>
      <c r="J31" s="203">
        <v>0.75</v>
      </c>
      <c r="K31" s="203">
        <v>0.75</v>
      </c>
      <c r="L31" s="203"/>
      <c r="M31" s="203"/>
      <c r="N31" s="204">
        <v>730</v>
      </c>
      <c r="O31" s="381">
        <v>0.219</v>
      </c>
      <c r="P31" s="413"/>
      <c r="Q31" s="371">
        <v>29.8</v>
      </c>
      <c r="R31" s="490"/>
      <c r="S31" s="414"/>
      <c r="T31" s="371"/>
      <c r="U31" s="491" t="s">
        <v>390</v>
      </c>
      <c r="V31" s="491"/>
      <c r="W31" s="491"/>
      <c r="X31" s="492"/>
      <c r="Y31" s="492"/>
      <c r="Z31" s="492"/>
      <c r="AA31" s="492"/>
      <c r="AB31" s="492"/>
      <c r="AC31" s="492"/>
      <c r="AD31" s="492"/>
      <c r="AE31" s="492"/>
      <c r="AF31" s="492"/>
      <c r="AG31" s="492"/>
      <c r="AH31" s="493"/>
      <c r="AI31" s="494" t="s">
        <v>127</v>
      </c>
      <c r="AJ31" s="494" t="s">
        <v>6149</v>
      </c>
      <c r="AK31" s="495" t="s">
        <v>6150</v>
      </c>
      <c r="AL31" s="495">
        <v>43218</v>
      </c>
      <c r="AM31" s="495">
        <v>43242</v>
      </c>
      <c r="AN31" s="495"/>
      <c r="AO31" s="199"/>
      <c r="AP31" s="494"/>
      <c r="AQ31" s="494"/>
      <c r="AR31" s="495"/>
      <c r="AS31" s="495" t="s">
        <v>6151</v>
      </c>
      <c r="AT31" s="496">
        <v>10.938000000000001</v>
      </c>
      <c r="AU31" s="496">
        <v>10.958</v>
      </c>
      <c r="AV31" s="496">
        <v>10.975</v>
      </c>
      <c r="AW31" s="496">
        <v>10.98</v>
      </c>
      <c r="BP31" s="489" t="s">
        <v>5655</v>
      </c>
      <c r="BQ31" s="489" t="s">
        <v>5678</v>
      </c>
    </row>
    <row r="32" spans="1:69" s="489" customFormat="1" ht="18" customHeight="1" x14ac:dyDescent="0.25">
      <c r="A32" s="199"/>
      <c r="B32" s="204"/>
      <c r="C32" s="199"/>
      <c r="D32" s="201"/>
      <c r="E32" s="201" t="s">
        <v>6106</v>
      </c>
      <c r="F32" s="201" t="s">
        <v>6147</v>
      </c>
      <c r="G32" s="201" t="s">
        <v>6152</v>
      </c>
      <c r="H32" s="201">
        <v>304</v>
      </c>
      <c r="I32" s="202" t="s">
        <v>114</v>
      </c>
      <c r="J32" s="203">
        <v>0.75</v>
      </c>
      <c r="K32" s="203">
        <v>0.75</v>
      </c>
      <c r="L32" s="203"/>
      <c r="M32" s="203"/>
      <c r="N32" s="204">
        <v>730</v>
      </c>
      <c r="O32" s="381">
        <v>0.17699999999999999</v>
      </c>
      <c r="P32" s="413"/>
      <c r="Q32" s="371">
        <v>29.8</v>
      </c>
      <c r="R32" s="490"/>
      <c r="S32" s="414"/>
      <c r="T32" s="371"/>
      <c r="U32" s="491" t="s">
        <v>390</v>
      </c>
      <c r="V32" s="491"/>
      <c r="W32" s="491"/>
      <c r="X32" s="492"/>
      <c r="Y32" s="492"/>
      <c r="Z32" s="492"/>
      <c r="AA32" s="492"/>
      <c r="AB32" s="492"/>
      <c r="AC32" s="492"/>
      <c r="AD32" s="492"/>
      <c r="AE32" s="492"/>
      <c r="AF32" s="492"/>
      <c r="AG32" s="492"/>
      <c r="AH32" s="493"/>
      <c r="AI32" s="494" t="s">
        <v>127</v>
      </c>
      <c r="AJ32" s="494" t="s">
        <v>6149</v>
      </c>
      <c r="AK32" s="495" t="s">
        <v>6150</v>
      </c>
      <c r="AL32" s="495">
        <v>43218</v>
      </c>
      <c r="AM32" s="495">
        <v>43242</v>
      </c>
      <c r="AN32" s="495"/>
      <c r="AO32" s="199"/>
      <c r="AP32" s="494"/>
      <c r="AQ32" s="494"/>
      <c r="AR32" s="495"/>
      <c r="AS32" s="495" t="s">
        <v>6151</v>
      </c>
      <c r="AT32" s="496">
        <v>10.938000000000001</v>
      </c>
      <c r="AU32" s="496">
        <v>10.958</v>
      </c>
      <c r="AV32" s="496">
        <v>10.975</v>
      </c>
      <c r="AW32" s="496">
        <v>10.98</v>
      </c>
      <c r="BP32" s="489" t="s">
        <v>5655</v>
      </c>
      <c r="BQ32" s="489" t="s">
        <v>5678</v>
      </c>
    </row>
    <row r="33" spans="1:69" s="489" customFormat="1" ht="18" customHeight="1" x14ac:dyDescent="0.25">
      <c r="A33" s="199"/>
      <c r="B33" s="204"/>
      <c r="C33" s="199"/>
      <c r="D33" s="201"/>
      <c r="E33" s="201" t="s">
        <v>6106</v>
      </c>
      <c r="F33" s="201" t="s">
        <v>6147</v>
      </c>
      <c r="G33" s="201" t="s">
        <v>6153</v>
      </c>
      <c r="H33" s="201">
        <v>304</v>
      </c>
      <c r="I33" s="202" t="s">
        <v>114</v>
      </c>
      <c r="J33" s="203">
        <v>0.75</v>
      </c>
      <c r="K33" s="203">
        <v>0.75</v>
      </c>
      <c r="L33" s="203"/>
      <c r="M33" s="203"/>
      <c r="N33" s="204">
        <v>730</v>
      </c>
      <c r="O33" s="381">
        <v>0.17899999999999999</v>
      </c>
      <c r="P33" s="413"/>
      <c r="Q33" s="371">
        <v>29.8</v>
      </c>
      <c r="R33" s="490"/>
      <c r="S33" s="414"/>
      <c r="T33" s="371"/>
      <c r="U33" s="491" t="s">
        <v>390</v>
      </c>
      <c r="V33" s="491"/>
      <c r="W33" s="491"/>
      <c r="X33" s="492"/>
      <c r="Y33" s="492"/>
      <c r="Z33" s="492"/>
      <c r="AA33" s="492"/>
      <c r="AB33" s="492"/>
      <c r="AC33" s="492"/>
      <c r="AD33" s="492"/>
      <c r="AE33" s="492"/>
      <c r="AF33" s="492"/>
      <c r="AG33" s="492"/>
      <c r="AH33" s="493"/>
      <c r="AI33" s="494" t="s">
        <v>127</v>
      </c>
      <c r="AJ33" s="494" t="s">
        <v>6149</v>
      </c>
      <c r="AK33" s="495" t="s">
        <v>6150</v>
      </c>
      <c r="AL33" s="495">
        <v>43218</v>
      </c>
      <c r="AM33" s="495">
        <v>43242</v>
      </c>
      <c r="AN33" s="495"/>
      <c r="AO33" s="199"/>
      <c r="AP33" s="494"/>
      <c r="AQ33" s="494"/>
      <c r="AR33" s="495"/>
      <c r="AS33" s="495" t="s">
        <v>6151</v>
      </c>
      <c r="AT33" s="496">
        <v>10.938000000000001</v>
      </c>
      <c r="AU33" s="496">
        <v>10.958</v>
      </c>
      <c r="AV33" s="496">
        <v>10.975</v>
      </c>
      <c r="AW33" s="496">
        <v>10.98</v>
      </c>
      <c r="BP33" s="489" t="s">
        <v>5655</v>
      </c>
      <c r="BQ33" s="489" t="s">
        <v>5678</v>
      </c>
    </row>
    <row r="34" spans="1:69" s="489" customFormat="1" ht="18" customHeight="1" x14ac:dyDescent="0.25">
      <c r="A34" s="199"/>
      <c r="B34" s="204"/>
      <c r="C34" s="199"/>
      <c r="D34" s="201"/>
      <c r="E34" s="201" t="s">
        <v>6106</v>
      </c>
      <c r="F34" s="201" t="s">
        <v>6154</v>
      </c>
      <c r="G34" s="201" t="s">
        <v>6155</v>
      </c>
      <c r="H34" s="201" t="s">
        <v>34</v>
      </c>
      <c r="I34" s="202" t="s">
        <v>114</v>
      </c>
      <c r="J34" s="203">
        <v>0.95</v>
      </c>
      <c r="K34" s="203">
        <v>0.95</v>
      </c>
      <c r="L34" s="203"/>
      <c r="M34" s="203"/>
      <c r="N34" s="204">
        <v>595</v>
      </c>
      <c r="O34" s="381">
        <v>3.5000000000000003E-2</v>
      </c>
      <c r="P34" s="413"/>
      <c r="Q34" s="185">
        <v>48</v>
      </c>
      <c r="R34" s="490"/>
      <c r="S34" s="414"/>
      <c r="T34" s="371"/>
      <c r="U34" s="491" t="s">
        <v>390</v>
      </c>
      <c r="V34" s="491"/>
      <c r="W34" s="491"/>
      <c r="X34" s="492"/>
      <c r="Y34" s="492"/>
      <c r="Z34" s="492"/>
      <c r="AA34" s="492"/>
      <c r="AB34" s="492"/>
      <c r="AC34" s="492"/>
      <c r="AD34" s="492"/>
      <c r="AE34" s="492"/>
      <c r="AF34" s="492"/>
      <c r="AG34" s="492"/>
      <c r="AH34" s="493"/>
      <c r="AI34" s="494" t="s">
        <v>127</v>
      </c>
      <c r="AJ34" s="494" t="s">
        <v>6156</v>
      </c>
      <c r="AK34" s="495" t="s">
        <v>6157</v>
      </c>
      <c r="AL34" s="495">
        <v>43543</v>
      </c>
      <c r="AM34" s="495">
        <v>43563</v>
      </c>
      <c r="AN34" s="495"/>
      <c r="AO34" s="199"/>
      <c r="AP34" s="494"/>
      <c r="AQ34" s="494"/>
      <c r="AR34" s="495" t="s">
        <v>6158</v>
      </c>
      <c r="AS34" s="495" t="s">
        <v>6154</v>
      </c>
      <c r="AT34" s="496">
        <v>7.1420000000000003</v>
      </c>
      <c r="AU34" s="496">
        <v>7.1619999999999999</v>
      </c>
      <c r="AV34" s="496">
        <v>7.14</v>
      </c>
      <c r="AW34" s="496">
        <v>7.1449999999999996</v>
      </c>
      <c r="BP34" s="489" t="s">
        <v>5655</v>
      </c>
      <c r="BQ34" s="489" t="s">
        <v>5656</v>
      </c>
    </row>
    <row r="35" spans="1:69" s="489" customFormat="1" ht="18" customHeight="1" x14ac:dyDescent="0.25">
      <c r="A35" s="199"/>
      <c r="B35" s="204"/>
      <c r="C35" s="199"/>
      <c r="D35" s="201"/>
      <c r="E35" s="201" t="s">
        <v>6106</v>
      </c>
      <c r="F35" s="201" t="s">
        <v>6159</v>
      </c>
      <c r="G35" s="201" t="s">
        <v>6160</v>
      </c>
      <c r="H35" s="201" t="s">
        <v>34</v>
      </c>
      <c r="I35" s="202" t="s">
        <v>114</v>
      </c>
      <c r="J35" s="203">
        <v>0.38</v>
      </c>
      <c r="K35" s="203">
        <v>0.38</v>
      </c>
      <c r="L35" s="203"/>
      <c r="M35" s="203"/>
      <c r="N35" s="204">
        <v>730</v>
      </c>
      <c r="O35" s="381">
        <v>9.5000000000000001E-2</v>
      </c>
      <c r="P35" s="413"/>
      <c r="Q35" s="371">
        <v>59</v>
      </c>
      <c r="R35" s="490"/>
      <c r="S35" s="414"/>
      <c r="T35" s="371"/>
      <c r="U35" s="491" t="s">
        <v>390</v>
      </c>
      <c r="V35" s="491"/>
      <c r="W35" s="491"/>
      <c r="X35" s="492"/>
      <c r="Y35" s="492"/>
      <c r="Z35" s="492"/>
      <c r="AA35" s="492"/>
      <c r="AB35" s="492"/>
      <c r="AC35" s="492"/>
      <c r="AD35" s="492"/>
      <c r="AE35" s="492"/>
      <c r="AF35" s="492"/>
      <c r="AG35" s="492"/>
      <c r="AH35" s="493"/>
      <c r="AI35" s="494" t="s">
        <v>70</v>
      </c>
      <c r="AJ35" s="494" t="s">
        <v>119</v>
      </c>
      <c r="AK35" s="495" t="s">
        <v>6161</v>
      </c>
      <c r="AL35" s="495">
        <v>43193</v>
      </c>
      <c r="AM35" s="495">
        <v>43218</v>
      </c>
      <c r="AN35" s="495"/>
      <c r="AO35" s="199"/>
      <c r="AP35" s="494"/>
      <c r="AQ35" s="494"/>
      <c r="AR35" s="495"/>
      <c r="AS35" s="495" t="s">
        <v>6162</v>
      </c>
      <c r="AT35" s="496">
        <v>11.483000000000001</v>
      </c>
      <c r="AU35" s="496">
        <v>11.498000000000001</v>
      </c>
      <c r="AV35" s="496">
        <v>11.505000000000001</v>
      </c>
      <c r="AW35" s="496">
        <v>11.51</v>
      </c>
      <c r="BP35" s="489" t="s">
        <v>5655</v>
      </c>
    </row>
    <row r="36" spans="1:69" s="489" customFormat="1" ht="18" customHeight="1" x14ac:dyDescent="0.25">
      <c r="A36" s="199"/>
      <c r="B36" s="204"/>
      <c r="C36" s="199"/>
      <c r="D36" s="201"/>
      <c r="E36" s="201" t="s">
        <v>6106</v>
      </c>
      <c r="F36" s="201" t="s">
        <v>6163</v>
      </c>
      <c r="G36" s="201" t="s">
        <v>6164</v>
      </c>
      <c r="H36" s="201" t="s">
        <v>182</v>
      </c>
      <c r="I36" s="202" t="s">
        <v>114</v>
      </c>
      <c r="J36" s="203">
        <v>1.02</v>
      </c>
      <c r="K36" s="203">
        <v>1.02</v>
      </c>
      <c r="L36" s="203"/>
      <c r="M36" s="203"/>
      <c r="N36" s="204">
        <v>766</v>
      </c>
      <c r="O36" s="381">
        <v>0.39500000000000002</v>
      </c>
      <c r="P36" s="413"/>
      <c r="Q36" s="371">
        <v>67</v>
      </c>
      <c r="R36" s="490"/>
      <c r="S36" s="414"/>
      <c r="T36" s="371"/>
      <c r="U36" s="491" t="s">
        <v>390</v>
      </c>
      <c r="V36" s="491"/>
      <c r="W36" s="491"/>
      <c r="X36" s="492"/>
      <c r="Y36" s="492"/>
      <c r="Z36" s="492"/>
      <c r="AA36" s="492"/>
      <c r="AB36" s="492"/>
      <c r="AC36" s="492"/>
      <c r="AD36" s="492"/>
      <c r="AE36" s="492"/>
      <c r="AF36" s="492"/>
      <c r="AG36" s="492"/>
      <c r="AH36" s="493"/>
      <c r="AI36" s="494" t="s">
        <v>127</v>
      </c>
      <c r="AJ36" s="494" t="s">
        <v>190</v>
      </c>
      <c r="AK36" s="495" t="s">
        <v>6165</v>
      </c>
      <c r="AL36" s="495"/>
      <c r="AM36" s="495">
        <v>43646</v>
      </c>
      <c r="AN36" s="495"/>
      <c r="AO36" s="199"/>
      <c r="AP36" s="494"/>
      <c r="AQ36" s="494"/>
      <c r="AR36" s="495"/>
      <c r="AS36" s="495" t="s">
        <v>6166</v>
      </c>
      <c r="AT36" s="496">
        <v>12.185</v>
      </c>
      <c r="AU36" s="496">
        <v>12.195</v>
      </c>
      <c r="AV36" s="496">
        <v>12.229999999999999</v>
      </c>
      <c r="AW36" s="496">
        <v>12.234999999999999</v>
      </c>
      <c r="BP36" s="489" t="s">
        <v>5655</v>
      </c>
      <c r="BQ36" s="489" t="s">
        <v>5678</v>
      </c>
    </row>
    <row r="37" spans="1:69" s="489" customFormat="1" ht="18" customHeight="1" x14ac:dyDescent="0.25">
      <c r="A37" s="199"/>
      <c r="B37" s="204"/>
      <c r="C37" s="199"/>
      <c r="D37" s="201"/>
      <c r="E37" s="201" t="s">
        <v>6106</v>
      </c>
      <c r="F37" s="201" t="s">
        <v>6167</v>
      </c>
      <c r="G37" s="201" t="s">
        <v>6168</v>
      </c>
      <c r="H37" s="201" t="s">
        <v>182</v>
      </c>
      <c r="I37" s="202" t="s">
        <v>114</v>
      </c>
      <c r="J37" s="203">
        <v>0.5</v>
      </c>
      <c r="K37" s="203">
        <v>0.5</v>
      </c>
      <c r="L37" s="203"/>
      <c r="M37" s="203"/>
      <c r="N37" s="204">
        <v>760</v>
      </c>
      <c r="O37" s="381">
        <v>0.19</v>
      </c>
      <c r="P37" s="413"/>
      <c r="Q37" s="185">
        <v>174</v>
      </c>
      <c r="R37" s="490"/>
      <c r="S37" s="414"/>
      <c r="T37" s="371"/>
      <c r="U37" s="491" t="s">
        <v>390</v>
      </c>
      <c r="V37" s="491"/>
      <c r="W37" s="491"/>
      <c r="X37" s="492"/>
      <c r="Y37" s="492"/>
      <c r="Z37" s="492"/>
      <c r="AA37" s="492"/>
      <c r="AB37" s="492"/>
      <c r="AC37" s="492"/>
      <c r="AD37" s="492"/>
      <c r="AE37" s="492"/>
      <c r="AF37" s="492"/>
      <c r="AG37" s="492"/>
      <c r="AH37" s="493"/>
      <c r="AI37" s="494" t="s">
        <v>127</v>
      </c>
      <c r="AJ37" s="494" t="s">
        <v>190</v>
      </c>
      <c r="AK37" s="495" t="s">
        <v>6169</v>
      </c>
      <c r="AL37" s="495"/>
      <c r="AM37" s="495">
        <v>43630</v>
      </c>
      <c r="AN37" s="495"/>
      <c r="AO37" s="199"/>
      <c r="AP37" s="494"/>
      <c r="AQ37" s="494"/>
      <c r="AR37" s="495"/>
      <c r="AS37" s="495" t="s">
        <v>6170</v>
      </c>
      <c r="AT37" s="496">
        <v>10.16</v>
      </c>
      <c r="AU37" s="496">
        <v>10.17</v>
      </c>
      <c r="AV37" s="496">
        <v>10.18</v>
      </c>
      <c r="AW37" s="496">
        <v>10.185</v>
      </c>
      <c r="BP37" s="489" t="s">
        <v>5655</v>
      </c>
      <c r="BQ37" s="489" t="s">
        <v>5656</v>
      </c>
    </row>
    <row r="38" spans="1:69" s="489" customFormat="1" ht="18" customHeight="1" x14ac:dyDescent="0.25">
      <c r="A38" s="199"/>
      <c r="B38" s="204"/>
      <c r="C38" s="199"/>
      <c r="D38" s="201"/>
      <c r="E38" s="201" t="s">
        <v>6106</v>
      </c>
      <c r="F38" s="201" t="s">
        <v>6171</v>
      </c>
      <c r="G38" s="201" t="s">
        <v>6172</v>
      </c>
      <c r="H38" s="201">
        <v>304</v>
      </c>
      <c r="I38" s="202" t="s">
        <v>114</v>
      </c>
      <c r="J38" s="203">
        <v>0.5</v>
      </c>
      <c r="K38" s="203">
        <v>0.5</v>
      </c>
      <c r="L38" s="203"/>
      <c r="M38" s="203"/>
      <c r="N38" s="204">
        <v>730</v>
      </c>
      <c r="O38" s="381">
        <v>0.13600000000000001</v>
      </c>
      <c r="P38" s="413"/>
      <c r="Q38" s="185">
        <v>64</v>
      </c>
      <c r="R38" s="490"/>
      <c r="S38" s="414"/>
      <c r="T38" s="371"/>
      <c r="U38" s="491" t="s">
        <v>390</v>
      </c>
      <c r="V38" s="491"/>
      <c r="W38" s="491"/>
      <c r="X38" s="492"/>
      <c r="Y38" s="492"/>
      <c r="Z38" s="492"/>
      <c r="AA38" s="492"/>
      <c r="AB38" s="492"/>
      <c r="AC38" s="492"/>
      <c r="AD38" s="492"/>
      <c r="AE38" s="492"/>
      <c r="AF38" s="492"/>
      <c r="AG38" s="492"/>
      <c r="AH38" s="493"/>
      <c r="AI38" s="494" t="s">
        <v>127</v>
      </c>
      <c r="AJ38" s="494" t="s">
        <v>6143</v>
      </c>
      <c r="AK38" s="495" t="s">
        <v>6173</v>
      </c>
      <c r="AL38" s="495">
        <v>43067</v>
      </c>
      <c r="AM38" s="495">
        <v>43098</v>
      </c>
      <c r="AN38" s="495"/>
      <c r="AO38" s="199"/>
      <c r="AP38" s="494"/>
      <c r="AQ38" s="494"/>
      <c r="AR38" s="495" t="s">
        <v>6174</v>
      </c>
      <c r="AS38" s="495" t="s">
        <v>6171</v>
      </c>
      <c r="AT38" s="496">
        <v>9.0939999999999994</v>
      </c>
      <c r="AU38" s="496">
        <v>9.1239999999999988</v>
      </c>
      <c r="AV38" s="496"/>
      <c r="AW38" s="496">
        <v>9.1300000000000008</v>
      </c>
      <c r="BP38" s="489" t="s">
        <v>5655</v>
      </c>
      <c r="BQ38" s="489" t="s">
        <v>5656</v>
      </c>
    </row>
    <row r="39" spans="1:69" s="489" customFormat="1" ht="18" customHeight="1" x14ac:dyDescent="0.25">
      <c r="A39" s="199"/>
      <c r="B39" s="204"/>
      <c r="C39" s="199"/>
      <c r="D39" s="201"/>
      <c r="E39" s="201" t="s">
        <v>6106</v>
      </c>
      <c r="F39" s="201" t="s">
        <v>6171</v>
      </c>
      <c r="G39" s="201" t="s">
        <v>6175</v>
      </c>
      <c r="H39" s="201">
        <v>304</v>
      </c>
      <c r="I39" s="202" t="s">
        <v>114</v>
      </c>
      <c r="J39" s="203">
        <v>0.5</v>
      </c>
      <c r="K39" s="203">
        <v>0.5</v>
      </c>
      <c r="L39" s="203"/>
      <c r="M39" s="203"/>
      <c r="N39" s="204">
        <v>730</v>
      </c>
      <c r="O39" s="381">
        <v>0.13600000000000001</v>
      </c>
      <c r="P39" s="413"/>
      <c r="Q39" s="371">
        <v>64</v>
      </c>
      <c r="R39" s="490"/>
      <c r="S39" s="414"/>
      <c r="T39" s="371"/>
      <c r="U39" s="491" t="s">
        <v>390</v>
      </c>
      <c r="V39" s="491"/>
      <c r="W39" s="491"/>
      <c r="X39" s="492"/>
      <c r="Y39" s="492"/>
      <c r="Z39" s="492"/>
      <c r="AA39" s="492"/>
      <c r="AB39" s="492"/>
      <c r="AC39" s="492"/>
      <c r="AD39" s="492"/>
      <c r="AE39" s="492"/>
      <c r="AF39" s="492"/>
      <c r="AG39" s="492"/>
      <c r="AH39" s="493"/>
      <c r="AI39" s="494" t="s">
        <v>127</v>
      </c>
      <c r="AJ39" s="494" t="s">
        <v>6143</v>
      </c>
      <c r="AK39" s="495" t="s">
        <v>6173</v>
      </c>
      <c r="AL39" s="495">
        <v>43067</v>
      </c>
      <c r="AM39" s="495">
        <v>43098</v>
      </c>
      <c r="AN39" s="495"/>
      <c r="AO39" s="199"/>
      <c r="AP39" s="494"/>
      <c r="AQ39" s="494"/>
      <c r="AR39" s="495" t="s">
        <v>6174</v>
      </c>
      <c r="AS39" s="495" t="s">
        <v>6171</v>
      </c>
      <c r="AT39" s="496">
        <v>9.0939999999999994</v>
      </c>
      <c r="AU39" s="496">
        <v>9.1239999999999988</v>
      </c>
      <c r="AV39" s="496"/>
      <c r="AW39" s="496">
        <v>9.1300000000000008</v>
      </c>
      <c r="BP39" s="489" t="s">
        <v>5655</v>
      </c>
      <c r="BQ39" s="489" t="s">
        <v>5656</v>
      </c>
    </row>
    <row r="40" spans="1:69" s="489" customFormat="1" ht="18" customHeight="1" x14ac:dyDescent="0.25">
      <c r="A40" s="199"/>
      <c r="B40" s="204"/>
      <c r="C40" s="199"/>
      <c r="D40" s="201"/>
      <c r="E40" s="201" t="s">
        <v>6106</v>
      </c>
      <c r="F40" s="201" t="s">
        <v>6176</v>
      </c>
      <c r="G40" s="201" t="s">
        <v>6177</v>
      </c>
      <c r="H40" s="201" t="s">
        <v>34</v>
      </c>
      <c r="I40" s="202" t="s">
        <v>114</v>
      </c>
      <c r="J40" s="203">
        <v>0.5</v>
      </c>
      <c r="K40" s="203">
        <v>0.5</v>
      </c>
      <c r="L40" s="203"/>
      <c r="M40" s="203"/>
      <c r="N40" s="204">
        <v>730</v>
      </c>
      <c r="O40" s="381">
        <v>0.14000000000000001</v>
      </c>
      <c r="P40" s="413"/>
      <c r="Q40" s="505"/>
      <c r="R40" s="490"/>
      <c r="S40" s="414"/>
      <c r="T40" s="371"/>
      <c r="U40" s="491" t="s">
        <v>390</v>
      </c>
      <c r="V40" s="491" t="s">
        <v>6114</v>
      </c>
      <c r="W40" s="491"/>
      <c r="X40" s="492"/>
      <c r="Y40" s="492"/>
      <c r="Z40" s="492"/>
      <c r="AA40" s="492"/>
      <c r="AB40" s="492"/>
      <c r="AC40" s="492"/>
      <c r="AD40" s="492"/>
      <c r="AE40" s="492"/>
      <c r="AF40" s="492"/>
      <c r="AG40" s="492"/>
      <c r="AH40" s="493"/>
      <c r="AI40" s="494" t="s">
        <v>70</v>
      </c>
      <c r="AJ40" s="494" t="s">
        <v>6143</v>
      </c>
      <c r="AK40" s="495" t="s">
        <v>6144</v>
      </c>
      <c r="AL40" s="495">
        <v>42796</v>
      </c>
      <c r="AM40" s="495">
        <v>42839</v>
      </c>
      <c r="AN40" s="495"/>
      <c r="AO40" s="199"/>
      <c r="AP40" s="494"/>
      <c r="AQ40" s="494"/>
      <c r="AR40" s="495"/>
      <c r="AS40" s="495" t="s">
        <v>6178</v>
      </c>
      <c r="AT40" s="496">
        <v>11.613</v>
      </c>
      <c r="AU40" s="496"/>
      <c r="AV40" s="496"/>
      <c r="AW40" s="496">
        <v>11.662000000000001</v>
      </c>
      <c r="BP40" s="489" t="s">
        <v>5655</v>
      </c>
      <c r="BQ40" s="489" t="s">
        <v>5656</v>
      </c>
    </row>
    <row r="41" spans="1:69" s="489" customFormat="1" ht="18" customHeight="1" x14ac:dyDescent="0.25">
      <c r="A41" s="199"/>
      <c r="B41" s="204"/>
      <c r="C41" s="199"/>
      <c r="D41" s="201"/>
      <c r="E41" s="201" t="s">
        <v>6106</v>
      </c>
      <c r="F41" s="201" t="s">
        <v>6179</v>
      </c>
      <c r="G41" s="201" t="s">
        <v>6180</v>
      </c>
      <c r="H41" s="201">
        <v>304</v>
      </c>
      <c r="I41" s="202" t="s">
        <v>114</v>
      </c>
      <c r="J41" s="203">
        <v>0.5</v>
      </c>
      <c r="K41" s="203">
        <v>0.5</v>
      </c>
      <c r="L41" s="203"/>
      <c r="M41" s="203"/>
      <c r="N41" s="204">
        <v>730</v>
      </c>
      <c r="O41" s="381">
        <v>0.17799999999999999</v>
      </c>
      <c r="P41" s="413"/>
      <c r="Q41" s="505"/>
      <c r="R41" s="490"/>
      <c r="S41" s="414"/>
      <c r="T41" s="371"/>
      <c r="U41" s="491" t="s">
        <v>390</v>
      </c>
      <c r="V41" s="491"/>
      <c r="W41" s="491"/>
      <c r="X41" s="492"/>
      <c r="Y41" s="492"/>
      <c r="Z41" s="492"/>
      <c r="AA41" s="492"/>
      <c r="AB41" s="492"/>
      <c r="AC41" s="492"/>
      <c r="AD41" s="492"/>
      <c r="AE41" s="492"/>
      <c r="AF41" s="492"/>
      <c r="AG41" s="492"/>
      <c r="AH41" s="493"/>
      <c r="AI41" s="494" t="s">
        <v>127</v>
      </c>
      <c r="AJ41" s="494" t="s">
        <v>6181</v>
      </c>
      <c r="AK41" s="495" t="s">
        <v>6182</v>
      </c>
      <c r="AL41" s="495">
        <v>43146</v>
      </c>
      <c r="AM41" s="495">
        <v>43166</v>
      </c>
      <c r="AN41" s="495"/>
      <c r="AO41" s="199"/>
      <c r="AP41" s="494"/>
      <c r="AQ41" s="494"/>
      <c r="AR41" s="495"/>
      <c r="AS41" s="495" t="s">
        <v>6179</v>
      </c>
      <c r="AT41" s="496">
        <v>9.18</v>
      </c>
      <c r="AU41" s="496">
        <v>9.2099999999999991</v>
      </c>
      <c r="AV41" s="496">
        <v>9.2099999999999991</v>
      </c>
      <c r="AW41" s="496">
        <v>9.2149999999999999</v>
      </c>
      <c r="BP41" s="489" t="s">
        <v>5655</v>
      </c>
      <c r="BQ41" s="489" t="s">
        <v>5678</v>
      </c>
    </row>
    <row r="42" spans="1:69" s="489" customFormat="1" ht="18" customHeight="1" x14ac:dyDescent="0.25">
      <c r="A42" s="199"/>
      <c r="B42" s="204"/>
      <c r="C42" s="491"/>
      <c r="D42" s="201" t="s">
        <v>6183</v>
      </c>
      <c r="E42" s="201" t="s">
        <v>6106</v>
      </c>
      <c r="F42" s="201" t="s">
        <v>6184</v>
      </c>
      <c r="G42" s="201" t="s">
        <v>6185</v>
      </c>
      <c r="H42" s="201">
        <v>201</v>
      </c>
      <c r="I42" s="202" t="s">
        <v>114</v>
      </c>
      <c r="J42" s="203">
        <v>1</v>
      </c>
      <c r="K42" s="203">
        <v>1</v>
      </c>
      <c r="L42" s="203"/>
      <c r="M42" s="203"/>
      <c r="N42" s="371">
        <v>29</v>
      </c>
      <c r="O42" s="381">
        <v>0.214</v>
      </c>
      <c r="P42" s="413"/>
      <c r="Q42" s="185">
        <v>29</v>
      </c>
      <c r="R42" s="490"/>
      <c r="S42" s="414"/>
      <c r="T42" s="371"/>
      <c r="U42" s="491" t="s">
        <v>390</v>
      </c>
      <c r="V42" s="491"/>
      <c r="W42" s="491"/>
      <c r="X42" s="492"/>
      <c r="Y42" s="492"/>
      <c r="Z42" s="492"/>
      <c r="AA42" s="492"/>
      <c r="AB42" s="492"/>
      <c r="AC42" s="492"/>
      <c r="AD42" s="492"/>
      <c r="AE42" s="492"/>
      <c r="AF42" s="492"/>
      <c r="AG42" s="492"/>
      <c r="AH42" s="493"/>
      <c r="AI42" s="494" t="s">
        <v>127</v>
      </c>
      <c r="AJ42" s="494" t="s">
        <v>129</v>
      </c>
      <c r="AK42" s="495" t="s">
        <v>6186</v>
      </c>
      <c r="AL42" s="495">
        <v>42520</v>
      </c>
      <c r="AM42" s="495">
        <v>42529</v>
      </c>
      <c r="AN42" s="495"/>
      <c r="AO42" s="199"/>
      <c r="AP42" s="494"/>
      <c r="AQ42" s="494"/>
      <c r="AR42" s="495" t="s">
        <v>6187</v>
      </c>
      <c r="AS42" s="495" t="s">
        <v>6188</v>
      </c>
      <c r="AT42" s="496">
        <v>6.69</v>
      </c>
      <c r="AU42" s="496"/>
      <c r="AV42" s="496"/>
      <c r="AW42" s="496"/>
      <c r="BP42" s="489" t="s">
        <v>5655</v>
      </c>
    </row>
    <row r="43" spans="1:69" s="489" customFormat="1" ht="18" customHeight="1" x14ac:dyDescent="0.25">
      <c r="A43" s="199"/>
      <c r="B43" s="204"/>
      <c r="C43" s="491"/>
      <c r="D43" s="201" t="s">
        <v>6189</v>
      </c>
      <c r="E43" s="201" t="s">
        <v>6106</v>
      </c>
      <c r="F43" s="201" t="s">
        <v>6190</v>
      </c>
      <c r="G43" s="201" t="s">
        <v>6191</v>
      </c>
      <c r="H43" s="201" t="s">
        <v>32</v>
      </c>
      <c r="I43" s="202" t="s">
        <v>114</v>
      </c>
      <c r="J43" s="203">
        <v>0.5</v>
      </c>
      <c r="K43" s="203">
        <v>0.5</v>
      </c>
      <c r="L43" s="203"/>
      <c r="M43" s="203"/>
      <c r="N43" s="371">
        <v>119.3</v>
      </c>
      <c r="O43" s="381">
        <v>0.39300000000000002</v>
      </c>
      <c r="P43" s="413"/>
      <c r="Q43" s="185">
        <v>119.3</v>
      </c>
      <c r="R43" s="490"/>
      <c r="S43" s="414"/>
      <c r="T43" s="371"/>
      <c r="U43" s="491" t="s">
        <v>390</v>
      </c>
      <c r="V43" s="491" t="s">
        <v>6192</v>
      </c>
      <c r="W43" s="491"/>
      <c r="X43" s="492"/>
      <c r="Y43" s="492"/>
      <c r="Z43" s="492"/>
      <c r="AA43" s="492"/>
      <c r="AB43" s="492"/>
      <c r="AC43" s="492"/>
      <c r="AD43" s="492"/>
      <c r="AE43" s="492"/>
      <c r="AF43" s="492"/>
      <c r="AG43" s="492"/>
      <c r="AH43" s="493"/>
      <c r="AI43" s="494" t="s">
        <v>70</v>
      </c>
      <c r="AJ43" s="494" t="s">
        <v>129</v>
      </c>
      <c r="AK43" s="495" t="s">
        <v>6193</v>
      </c>
      <c r="AL43" s="495">
        <v>42587</v>
      </c>
      <c r="AM43" s="495">
        <v>42622</v>
      </c>
      <c r="AN43" s="495"/>
      <c r="AO43" s="199"/>
      <c r="AP43" s="494"/>
      <c r="AQ43" s="494"/>
      <c r="AR43" s="495" t="s">
        <v>6194</v>
      </c>
      <c r="AS43" s="495" t="s">
        <v>6195</v>
      </c>
      <c r="AT43" s="496">
        <v>9.8889999999999993</v>
      </c>
      <c r="AU43" s="496"/>
      <c r="AV43" s="496"/>
      <c r="AW43" s="496"/>
      <c r="BP43" s="489" t="s">
        <v>5655</v>
      </c>
    </row>
    <row r="44" spans="1:69" s="489" customFormat="1" ht="18" customHeight="1" x14ac:dyDescent="0.25">
      <c r="A44" s="199"/>
      <c r="B44" s="204"/>
      <c r="C44" s="491"/>
      <c r="D44" s="201" t="s">
        <v>6196</v>
      </c>
      <c r="E44" s="201" t="s">
        <v>6106</v>
      </c>
      <c r="F44" s="201" t="s">
        <v>6184</v>
      </c>
      <c r="G44" s="201" t="s">
        <v>6197</v>
      </c>
      <c r="H44" s="201">
        <v>201</v>
      </c>
      <c r="I44" s="202" t="s">
        <v>114</v>
      </c>
      <c r="J44" s="203">
        <v>1</v>
      </c>
      <c r="K44" s="203">
        <v>1</v>
      </c>
      <c r="L44" s="203"/>
      <c r="M44" s="203"/>
      <c r="N44" s="371">
        <v>76.599999999999994</v>
      </c>
      <c r="O44" s="381">
        <v>6.2E-2</v>
      </c>
      <c r="P44" s="413"/>
      <c r="Q44" s="185">
        <v>76.599999999999994</v>
      </c>
      <c r="R44" s="490"/>
      <c r="S44" s="414"/>
      <c r="T44" s="371"/>
      <c r="U44" s="491" t="s">
        <v>390</v>
      </c>
      <c r="V44" s="491" t="s">
        <v>6198</v>
      </c>
      <c r="W44" s="491"/>
      <c r="X44" s="492"/>
      <c r="Y44" s="492"/>
      <c r="Z44" s="492"/>
      <c r="AA44" s="492"/>
      <c r="AB44" s="492"/>
      <c r="AC44" s="492"/>
      <c r="AD44" s="492"/>
      <c r="AE44" s="492"/>
      <c r="AF44" s="492"/>
      <c r="AG44" s="492"/>
      <c r="AH44" s="493"/>
      <c r="AI44" s="494" t="s">
        <v>127</v>
      </c>
      <c r="AJ44" s="494" t="s">
        <v>129</v>
      </c>
      <c r="AK44" s="495" t="s">
        <v>6186</v>
      </c>
      <c r="AL44" s="495">
        <v>42520</v>
      </c>
      <c r="AM44" s="495">
        <v>42529</v>
      </c>
      <c r="AN44" s="495"/>
      <c r="AO44" s="199"/>
      <c r="AP44" s="494"/>
      <c r="AQ44" s="494"/>
      <c r="AR44" s="495" t="s">
        <v>6187</v>
      </c>
      <c r="AS44" s="495" t="s">
        <v>6188</v>
      </c>
      <c r="AT44" s="496">
        <v>6.69</v>
      </c>
      <c r="AU44" s="496"/>
      <c r="AV44" s="496"/>
      <c r="AW44" s="496"/>
      <c r="BP44" s="489" t="s">
        <v>5655</v>
      </c>
      <c r="BQ44" s="489" t="s">
        <v>5678</v>
      </c>
    </row>
    <row r="45" spans="1:69" s="489" customFormat="1" ht="18" customHeight="1" x14ac:dyDescent="0.25">
      <c r="A45" s="199"/>
      <c r="B45" s="204"/>
      <c r="C45" s="491"/>
      <c r="D45" s="201" t="s">
        <v>6199</v>
      </c>
      <c r="E45" s="201" t="s">
        <v>6106</v>
      </c>
      <c r="F45" s="201" t="s">
        <v>6068</v>
      </c>
      <c r="G45" s="201" t="s">
        <v>6200</v>
      </c>
      <c r="H45" s="201">
        <v>304</v>
      </c>
      <c r="I45" s="202" t="s">
        <v>114</v>
      </c>
      <c r="J45" s="203">
        <v>1</v>
      </c>
      <c r="K45" s="203">
        <v>1</v>
      </c>
      <c r="L45" s="203"/>
      <c r="M45" s="203"/>
      <c r="N45" s="371">
        <v>99.1</v>
      </c>
      <c r="O45" s="381">
        <v>5.5E-2</v>
      </c>
      <c r="P45" s="413"/>
      <c r="Q45" s="185">
        <v>99.1</v>
      </c>
      <c r="R45" s="490"/>
      <c r="S45" s="414"/>
      <c r="T45" s="371"/>
      <c r="U45" s="491" t="s">
        <v>390</v>
      </c>
      <c r="V45" s="491"/>
      <c r="W45" s="491"/>
      <c r="X45" s="492"/>
      <c r="Y45" s="492"/>
      <c r="Z45" s="492"/>
      <c r="AA45" s="492"/>
      <c r="AB45" s="492"/>
      <c r="AC45" s="492"/>
      <c r="AD45" s="492"/>
      <c r="AE45" s="492"/>
      <c r="AF45" s="492"/>
      <c r="AG45" s="492"/>
      <c r="AH45" s="493"/>
      <c r="AI45" s="494" t="s">
        <v>127</v>
      </c>
      <c r="AJ45" s="494" t="s">
        <v>6074</v>
      </c>
      <c r="AK45" s="495" t="s">
        <v>6075</v>
      </c>
      <c r="AL45" s="495">
        <v>43187</v>
      </c>
      <c r="AM45" s="495">
        <v>43220</v>
      </c>
      <c r="AN45" s="495"/>
      <c r="AO45" s="199"/>
      <c r="AP45" s="494"/>
      <c r="AQ45" s="494"/>
      <c r="AR45" s="495"/>
      <c r="AS45" s="495" t="s">
        <v>6068</v>
      </c>
      <c r="AT45" s="496">
        <v>8.99</v>
      </c>
      <c r="AU45" s="496">
        <v>9.0050000000000008</v>
      </c>
      <c r="AV45" s="496">
        <v>9.01</v>
      </c>
      <c r="AW45" s="496">
        <v>9.0150000000000006</v>
      </c>
      <c r="BP45" s="489" t="s">
        <v>5655</v>
      </c>
      <c r="BQ45" s="489" t="s">
        <v>5656</v>
      </c>
    </row>
    <row r="46" spans="1:69" s="489" customFormat="1" ht="18" customHeight="1" x14ac:dyDescent="0.25">
      <c r="A46" s="199"/>
      <c r="B46" s="204"/>
      <c r="C46" s="491"/>
      <c r="D46" s="201" t="s">
        <v>6201</v>
      </c>
      <c r="E46" s="201" t="s">
        <v>6106</v>
      </c>
      <c r="F46" s="201" t="s">
        <v>6202</v>
      </c>
      <c r="G46" s="201" t="s">
        <v>6203</v>
      </c>
      <c r="H46" s="201">
        <v>304</v>
      </c>
      <c r="I46" s="202" t="s">
        <v>114</v>
      </c>
      <c r="J46" s="203">
        <v>1.6</v>
      </c>
      <c r="K46" s="203">
        <v>1.6</v>
      </c>
      <c r="L46" s="203"/>
      <c r="M46" s="203"/>
      <c r="N46" s="371">
        <v>76</v>
      </c>
      <c r="O46" s="504"/>
      <c r="P46" s="413"/>
      <c r="Q46" s="185">
        <v>76</v>
      </c>
      <c r="R46" s="490"/>
      <c r="S46" s="414"/>
      <c r="T46" s="371"/>
      <c r="U46" s="491" t="s">
        <v>390</v>
      </c>
      <c r="V46" s="491"/>
      <c r="W46" s="491"/>
      <c r="X46" s="492"/>
      <c r="Y46" s="492"/>
      <c r="Z46" s="492"/>
      <c r="AA46" s="492"/>
      <c r="AB46" s="492"/>
      <c r="AC46" s="492"/>
      <c r="AD46" s="492"/>
      <c r="AE46" s="492"/>
      <c r="AF46" s="492"/>
      <c r="AG46" s="492"/>
      <c r="AH46" s="493"/>
      <c r="AI46" s="494" t="s">
        <v>127</v>
      </c>
      <c r="AJ46" s="494" t="s">
        <v>119</v>
      </c>
      <c r="AK46" s="495" t="s">
        <v>6204</v>
      </c>
      <c r="AL46" s="495">
        <v>43300</v>
      </c>
      <c r="AM46" s="495">
        <v>43321</v>
      </c>
      <c r="AN46" s="495"/>
      <c r="AO46" s="199"/>
      <c r="AP46" s="494"/>
      <c r="AQ46" s="494"/>
      <c r="AR46" s="495" t="s">
        <v>6205</v>
      </c>
      <c r="AS46" s="495" t="s">
        <v>6202</v>
      </c>
      <c r="AT46" s="496">
        <v>8.9559999999999995</v>
      </c>
      <c r="AU46" s="496">
        <v>8.9710000000000001</v>
      </c>
      <c r="AV46" s="496">
        <v>8.9849999999999994</v>
      </c>
      <c r="AW46" s="496">
        <v>8.99</v>
      </c>
      <c r="BP46" s="489" t="s">
        <v>5655</v>
      </c>
      <c r="BQ46" s="489" t="s">
        <v>5678</v>
      </c>
    </row>
    <row r="47" spans="1:69" s="489" customFormat="1" ht="18" customHeight="1" x14ac:dyDescent="0.25">
      <c r="A47" s="199"/>
      <c r="B47" s="204"/>
      <c r="C47" s="491"/>
      <c r="D47" s="201" t="s">
        <v>6206</v>
      </c>
      <c r="E47" s="201" t="s">
        <v>6106</v>
      </c>
      <c r="F47" s="201" t="s">
        <v>6207</v>
      </c>
      <c r="G47" s="201" t="s">
        <v>6208</v>
      </c>
      <c r="H47" s="201">
        <v>304</v>
      </c>
      <c r="I47" s="202" t="s">
        <v>114</v>
      </c>
      <c r="J47" s="203">
        <v>2.15</v>
      </c>
      <c r="K47" s="203">
        <v>2.15</v>
      </c>
      <c r="L47" s="203"/>
      <c r="M47" s="203"/>
      <c r="N47" s="371">
        <v>74</v>
      </c>
      <c r="O47" s="504"/>
      <c r="P47" s="413"/>
      <c r="Q47" s="185">
        <v>74</v>
      </c>
      <c r="R47" s="490"/>
      <c r="S47" s="414"/>
      <c r="T47" s="371"/>
      <c r="U47" s="491" t="s">
        <v>390</v>
      </c>
      <c r="V47" s="491"/>
      <c r="W47" s="491"/>
      <c r="X47" s="492"/>
      <c r="Y47" s="492"/>
      <c r="Z47" s="492"/>
      <c r="AA47" s="492"/>
      <c r="AB47" s="492"/>
      <c r="AC47" s="492"/>
      <c r="AD47" s="492"/>
      <c r="AE47" s="492"/>
      <c r="AF47" s="492"/>
      <c r="AG47" s="492"/>
      <c r="AH47" s="493"/>
      <c r="AI47" s="494" t="s">
        <v>127</v>
      </c>
      <c r="AJ47" s="494" t="s">
        <v>6042</v>
      </c>
      <c r="AK47" s="495" t="s">
        <v>6209</v>
      </c>
      <c r="AL47" s="495">
        <v>42751</v>
      </c>
      <c r="AM47" s="495">
        <v>42800</v>
      </c>
      <c r="AN47" s="495"/>
      <c r="AO47" s="199"/>
      <c r="AP47" s="494"/>
      <c r="AQ47" s="494"/>
      <c r="AR47" s="495" t="s">
        <v>6210</v>
      </c>
      <c r="AS47" s="495" t="s">
        <v>6211</v>
      </c>
      <c r="AT47" s="496">
        <v>10.664999999999999</v>
      </c>
      <c r="AU47" s="496">
        <v>10.747</v>
      </c>
      <c r="AV47" s="496"/>
      <c r="AW47" s="496"/>
      <c r="BP47" s="489" t="s">
        <v>5655</v>
      </c>
      <c r="BQ47" s="489" t="s">
        <v>5678</v>
      </c>
    </row>
    <row r="48" spans="1:69" s="489" customFormat="1" ht="18" customHeight="1" x14ac:dyDescent="0.25">
      <c r="A48" s="199"/>
      <c r="B48" s="204"/>
      <c r="C48" s="491"/>
      <c r="D48" s="201" t="s">
        <v>6212</v>
      </c>
      <c r="E48" s="201" t="s">
        <v>6106</v>
      </c>
      <c r="F48" s="201" t="s">
        <v>6213</v>
      </c>
      <c r="G48" s="201" t="s">
        <v>6214</v>
      </c>
      <c r="H48" s="201">
        <v>304</v>
      </c>
      <c r="I48" s="202" t="s">
        <v>114</v>
      </c>
      <c r="J48" s="203">
        <v>1.2</v>
      </c>
      <c r="K48" s="203">
        <v>1.2</v>
      </c>
      <c r="L48" s="203"/>
      <c r="M48" s="203"/>
      <c r="N48" s="371">
        <v>770</v>
      </c>
      <c r="O48" s="381">
        <v>0.58499999999999996</v>
      </c>
      <c r="P48" s="413"/>
      <c r="Q48" s="185">
        <v>770</v>
      </c>
      <c r="R48" s="490"/>
      <c r="S48" s="414"/>
      <c r="T48" s="371"/>
      <c r="U48" s="491" t="s">
        <v>390</v>
      </c>
      <c r="V48" s="491"/>
      <c r="W48" s="491"/>
      <c r="X48" s="492"/>
      <c r="Y48" s="492"/>
      <c r="Z48" s="492"/>
      <c r="AA48" s="492"/>
      <c r="AB48" s="492"/>
      <c r="AC48" s="492"/>
      <c r="AD48" s="492"/>
      <c r="AE48" s="492"/>
      <c r="AF48" s="492"/>
      <c r="AG48" s="492"/>
      <c r="AH48" s="493"/>
      <c r="AI48" s="494" t="s">
        <v>127</v>
      </c>
      <c r="AJ48" s="494" t="s">
        <v>190</v>
      </c>
      <c r="AK48" s="495" t="s">
        <v>5773</v>
      </c>
      <c r="AL48" s="495"/>
      <c r="AM48" s="495">
        <v>44062</v>
      </c>
      <c r="AN48" s="495"/>
      <c r="AO48" s="199"/>
      <c r="AP48" s="494"/>
      <c r="AQ48" s="494"/>
      <c r="AR48" s="495"/>
      <c r="AS48" s="495" t="s">
        <v>6215</v>
      </c>
      <c r="AT48" s="496">
        <v>10.535</v>
      </c>
      <c r="AU48" s="496">
        <v>10.545</v>
      </c>
      <c r="AV48" s="496">
        <v>10.569999999999999</v>
      </c>
      <c r="AW48" s="496">
        <v>10.574999999999999</v>
      </c>
      <c r="BP48" s="489" t="s">
        <v>5655</v>
      </c>
    </row>
    <row r="49" spans="1:69" s="489" customFormat="1" ht="18" customHeight="1" x14ac:dyDescent="0.25">
      <c r="A49" s="199"/>
      <c r="B49" s="204"/>
      <c r="C49" s="491"/>
      <c r="D49" s="201" t="s">
        <v>6216</v>
      </c>
      <c r="E49" s="201" t="s">
        <v>6106</v>
      </c>
      <c r="F49" s="201" t="s">
        <v>6217</v>
      </c>
      <c r="G49" s="201" t="s">
        <v>6218</v>
      </c>
      <c r="H49" s="201" t="s">
        <v>34</v>
      </c>
      <c r="I49" s="202" t="s">
        <v>114</v>
      </c>
      <c r="J49" s="203">
        <v>0.55000000000000004</v>
      </c>
      <c r="K49" s="203">
        <v>0.55000000000000004</v>
      </c>
      <c r="L49" s="203"/>
      <c r="M49" s="203"/>
      <c r="N49" s="371">
        <v>50</v>
      </c>
      <c r="O49" s="381">
        <v>9.9000000000000005E-2</v>
      </c>
      <c r="P49" s="413"/>
      <c r="Q49" s="185">
        <v>50</v>
      </c>
      <c r="R49" s="490"/>
      <c r="S49" s="414"/>
      <c r="T49" s="371"/>
      <c r="U49" s="491" t="s">
        <v>390</v>
      </c>
      <c r="V49" s="491"/>
      <c r="W49" s="491"/>
      <c r="X49" s="492"/>
      <c r="Y49" s="492"/>
      <c r="Z49" s="492"/>
      <c r="AA49" s="492"/>
      <c r="AB49" s="492"/>
      <c r="AC49" s="492"/>
      <c r="AD49" s="492"/>
      <c r="AE49" s="492"/>
      <c r="AF49" s="492"/>
      <c r="AG49" s="492"/>
      <c r="AH49" s="493"/>
      <c r="AI49" s="494" t="s">
        <v>70</v>
      </c>
      <c r="AJ49" s="494" t="s">
        <v>6143</v>
      </c>
      <c r="AK49" s="495" t="s">
        <v>6144</v>
      </c>
      <c r="AL49" s="495">
        <v>42796</v>
      </c>
      <c r="AM49" s="495">
        <v>42839</v>
      </c>
      <c r="AN49" s="495"/>
      <c r="AO49" s="199"/>
      <c r="AP49" s="494"/>
      <c r="AQ49" s="494"/>
      <c r="AR49" s="495" t="s">
        <v>6219</v>
      </c>
      <c r="AS49" s="495" t="s">
        <v>6220</v>
      </c>
      <c r="AT49" s="496">
        <v>11.555</v>
      </c>
      <c r="AU49" s="496"/>
      <c r="AV49" s="496"/>
      <c r="AW49" s="496">
        <v>11.584</v>
      </c>
      <c r="BP49" s="489" t="s">
        <v>5655</v>
      </c>
      <c r="BQ49" s="489" t="s">
        <v>6221</v>
      </c>
    </row>
    <row r="50" spans="1:69" s="489" customFormat="1" ht="18" customHeight="1" x14ac:dyDescent="0.25">
      <c r="A50" s="199"/>
      <c r="B50" s="204"/>
      <c r="C50" s="491"/>
      <c r="D50" s="201" t="s">
        <v>6222</v>
      </c>
      <c r="E50" s="201" t="s">
        <v>6106</v>
      </c>
      <c r="F50" s="201" t="s">
        <v>6184</v>
      </c>
      <c r="G50" s="201" t="s">
        <v>6223</v>
      </c>
      <c r="H50" s="201">
        <v>201</v>
      </c>
      <c r="I50" s="202" t="s">
        <v>114</v>
      </c>
      <c r="J50" s="203">
        <v>1</v>
      </c>
      <c r="K50" s="203">
        <v>1</v>
      </c>
      <c r="L50" s="203"/>
      <c r="M50" s="203"/>
      <c r="N50" s="371">
        <v>78</v>
      </c>
      <c r="O50" s="381">
        <v>0.151</v>
      </c>
      <c r="P50" s="413"/>
      <c r="Q50" s="185">
        <v>78</v>
      </c>
      <c r="R50" s="490"/>
      <c r="S50" s="414"/>
      <c r="T50" s="371"/>
      <c r="U50" s="491" t="s">
        <v>390</v>
      </c>
      <c r="V50" s="491" t="s">
        <v>6198</v>
      </c>
      <c r="W50" s="491"/>
      <c r="X50" s="492"/>
      <c r="Y50" s="492"/>
      <c r="Z50" s="492"/>
      <c r="AA50" s="492"/>
      <c r="AB50" s="492"/>
      <c r="AC50" s="492"/>
      <c r="AD50" s="492"/>
      <c r="AE50" s="492"/>
      <c r="AF50" s="492"/>
      <c r="AG50" s="492"/>
      <c r="AH50" s="493"/>
      <c r="AI50" s="494" t="s">
        <v>127</v>
      </c>
      <c r="AJ50" s="494" t="s">
        <v>129</v>
      </c>
      <c r="AK50" s="495" t="s">
        <v>6186</v>
      </c>
      <c r="AL50" s="495">
        <v>42520</v>
      </c>
      <c r="AM50" s="495">
        <v>42529</v>
      </c>
      <c r="AN50" s="495"/>
      <c r="AO50" s="199"/>
      <c r="AP50" s="494"/>
      <c r="AQ50" s="494"/>
      <c r="AR50" s="495" t="s">
        <v>6187</v>
      </c>
      <c r="AS50" s="495" t="s">
        <v>6188</v>
      </c>
      <c r="AT50" s="496">
        <v>6.69</v>
      </c>
      <c r="AU50" s="496"/>
      <c r="AV50" s="496"/>
      <c r="AW50" s="496"/>
      <c r="BP50" s="489" t="s">
        <v>5655</v>
      </c>
      <c r="BQ50" s="489" t="s">
        <v>5678</v>
      </c>
    </row>
    <row r="51" spans="1:69" s="489" customFormat="1" ht="18" customHeight="1" x14ac:dyDescent="0.25">
      <c r="A51" s="199"/>
      <c r="B51" s="204"/>
      <c r="C51" s="491"/>
      <c r="D51" s="201" t="s">
        <v>6224</v>
      </c>
      <c r="E51" s="201" t="s">
        <v>6106</v>
      </c>
      <c r="F51" s="201" t="s">
        <v>6225</v>
      </c>
      <c r="G51" s="201" t="s">
        <v>6226</v>
      </c>
      <c r="H51" s="201">
        <v>201</v>
      </c>
      <c r="I51" s="202" t="s">
        <v>114</v>
      </c>
      <c r="J51" s="203">
        <v>0.9</v>
      </c>
      <c r="K51" s="203">
        <v>0.9</v>
      </c>
      <c r="L51" s="203"/>
      <c r="M51" s="203"/>
      <c r="N51" s="371">
        <v>28</v>
      </c>
      <c r="O51" s="381">
        <v>8.5000000000000006E-2</v>
      </c>
      <c r="P51" s="413"/>
      <c r="Q51" s="185">
        <v>28</v>
      </c>
      <c r="R51" s="490"/>
      <c r="S51" s="414"/>
      <c r="T51" s="371"/>
      <c r="U51" s="491" t="s">
        <v>390</v>
      </c>
      <c r="V51" s="491" t="s">
        <v>6192</v>
      </c>
      <c r="W51" s="491"/>
      <c r="X51" s="492"/>
      <c r="Y51" s="492"/>
      <c r="Z51" s="492"/>
      <c r="AA51" s="492"/>
      <c r="AB51" s="492"/>
      <c r="AC51" s="492"/>
      <c r="AD51" s="492"/>
      <c r="AE51" s="492"/>
      <c r="AF51" s="492"/>
      <c r="AG51" s="492"/>
      <c r="AH51" s="493"/>
      <c r="AI51" s="494" t="s">
        <v>127</v>
      </c>
      <c r="AJ51" s="494" t="s">
        <v>129</v>
      </c>
      <c r="AK51" s="495" t="s">
        <v>6227</v>
      </c>
      <c r="AL51" s="495">
        <v>42525</v>
      </c>
      <c r="AM51" s="495">
        <v>42536</v>
      </c>
      <c r="AN51" s="495"/>
      <c r="AO51" s="199"/>
      <c r="AP51" s="494"/>
      <c r="AQ51" s="494"/>
      <c r="AR51" s="495" t="s">
        <v>6228</v>
      </c>
      <c r="AS51" s="495" t="s">
        <v>6229</v>
      </c>
      <c r="AT51" s="496">
        <v>6.75</v>
      </c>
      <c r="AU51" s="496"/>
      <c r="AV51" s="496"/>
      <c r="AW51" s="496"/>
      <c r="BP51" s="489" t="s">
        <v>5655</v>
      </c>
      <c r="BQ51" s="489" t="s">
        <v>5656</v>
      </c>
    </row>
    <row r="52" spans="1:69" s="489" customFormat="1" ht="18" customHeight="1" x14ac:dyDescent="0.25">
      <c r="A52" s="199"/>
      <c r="B52" s="204"/>
      <c r="C52" s="491"/>
      <c r="D52" s="201" t="s">
        <v>6230</v>
      </c>
      <c r="E52" s="201" t="s">
        <v>6106</v>
      </c>
      <c r="F52" s="201" t="s">
        <v>6231</v>
      </c>
      <c r="G52" s="201" t="s">
        <v>6232</v>
      </c>
      <c r="H52" s="201" t="s">
        <v>32</v>
      </c>
      <c r="I52" s="202" t="s">
        <v>114</v>
      </c>
      <c r="J52" s="203">
        <v>1.2</v>
      </c>
      <c r="K52" s="203">
        <v>1.2</v>
      </c>
      <c r="L52" s="203"/>
      <c r="M52" s="203"/>
      <c r="N52" s="371">
        <v>57.7</v>
      </c>
      <c r="O52" s="381">
        <v>0.15</v>
      </c>
      <c r="P52" s="413"/>
      <c r="Q52" s="185">
        <v>57.7</v>
      </c>
      <c r="R52" s="490"/>
      <c r="S52" s="414"/>
      <c r="T52" s="371"/>
      <c r="U52" s="491" t="s">
        <v>390</v>
      </c>
      <c r="V52" s="491"/>
      <c r="W52" s="491"/>
      <c r="X52" s="492"/>
      <c r="Y52" s="492"/>
      <c r="Z52" s="492"/>
      <c r="AA52" s="492"/>
      <c r="AB52" s="492"/>
      <c r="AC52" s="492"/>
      <c r="AD52" s="492"/>
      <c r="AE52" s="492"/>
      <c r="AF52" s="492"/>
      <c r="AG52" s="492"/>
      <c r="AH52" s="493"/>
      <c r="AI52" s="494" t="s">
        <v>70</v>
      </c>
      <c r="AJ52" s="494" t="s">
        <v>129</v>
      </c>
      <c r="AK52" s="495" t="s">
        <v>6233</v>
      </c>
      <c r="AL52" s="495">
        <v>42580</v>
      </c>
      <c r="AM52" s="495">
        <v>42608</v>
      </c>
      <c r="AN52" s="495"/>
      <c r="AO52" s="199"/>
      <c r="AP52" s="494"/>
      <c r="AQ52" s="494"/>
      <c r="AR52" s="495" t="s">
        <v>6234</v>
      </c>
      <c r="AS52" s="495" t="s">
        <v>6235</v>
      </c>
      <c r="AT52" s="496">
        <v>11.335000000000001</v>
      </c>
      <c r="AU52" s="496"/>
      <c r="AV52" s="496"/>
      <c r="AW52" s="496"/>
      <c r="BP52" s="489" t="s">
        <v>5655</v>
      </c>
      <c r="BQ52" s="489" t="s">
        <v>5656</v>
      </c>
    </row>
    <row r="53" spans="1:69" s="489" customFormat="1" ht="18" customHeight="1" x14ac:dyDescent="0.25">
      <c r="A53" s="199"/>
      <c r="B53" s="204"/>
      <c r="C53" s="491"/>
      <c r="D53" s="201" t="str">
        <f>IF(LEFT(U53,7)="MAT RET","R"&amp;"-"&amp;H53&amp;"/"&amp;I53&amp;"-"&amp;TEXT(K53,"0.00")&amp;"X"&amp;IF(Q53="",N53,Q53),IF(N53&lt;570,"FGMKW2","FGCKW2")&amp;"-"&amp;H53&amp;"/"&amp;I53&amp;"-"&amp;TEXT(K53,"0.00")&amp;"X"&amp;IF(Q53="",N53,Q53))</f>
        <v>FGCKW2-J4/2B-0.28X80</v>
      </c>
      <c r="E53" s="201" t="s">
        <v>6236</v>
      </c>
      <c r="F53" s="201" t="s">
        <v>6237</v>
      </c>
      <c r="G53" s="201" t="s">
        <v>6238</v>
      </c>
      <c r="H53" s="201" t="s">
        <v>35</v>
      </c>
      <c r="I53" s="202" t="s">
        <v>114</v>
      </c>
      <c r="J53" s="203">
        <v>0.48</v>
      </c>
      <c r="K53" s="203">
        <v>0.28000000000000003</v>
      </c>
      <c r="L53" s="203">
        <v>0.27</v>
      </c>
      <c r="M53" s="203">
        <v>0.28999999999999998</v>
      </c>
      <c r="N53" s="371">
        <v>710</v>
      </c>
      <c r="O53" s="381">
        <v>0.35</v>
      </c>
      <c r="P53" s="413"/>
      <c r="Q53" s="185">
        <v>80</v>
      </c>
      <c r="R53" s="490"/>
      <c r="S53" s="414"/>
      <c r="T53" s="371"/>
      <c r="U53" s="491" t="s">
        <v>390</v>
      </c>
      <c r="V53" s="491" t="s">
        <v>5826</v>
      </c>
      <c r="W53" s="491" t="s">
        <v>114</v>
      </c>
      <c r="X53" s="492" t="s">
        <v>6239</v>
      </c>
      <c r="Y53" s="492"/>
      <c r="Z53" s="492" t="s">
        <v>6240</v>
      </c>
      <c r="AA53" s="492"/>
      <c r="AB53" s="492" t="s">
        <v>6241</v>
      </c>
      <c r="AC53" s="492"/>
      <c r="AD53" s="492" t="s">
        <v>6242</v>
      </c>
      <c r="AE53" s="492"/>
      <c r="AF53" s="492"/>
      <c r="AG53" s="492"/>
      <c r="AH53" s="493" t="s">
        <v>167</v>
      </c>
      <c r="AI53" s="494" t="s">
        <v>70</v>
      </c>
      <c r="AJ53" s="494" t="s">
        <v>119</v>
      </c>
      <c r="AK53" s="495" t="s">
        <v>5782</v>
      </c>
      <c r="AL53" s="495">
        <v>43385</v>
      </c>
      <c r="AM53" s="495">
        <v>43410</v>
      </c>
      <c r="AN53" s="495"/>
      <c r="AO53" s="199">
        <f t="shared" ref="AO53:AO116" ca="1" si="5">TODAY()</f>
        <v>44958</v>
      </c>
      <c r="AP53" s="494">
        <f t="shared" ref="AP53:AP102" ca="1" si="6">IF(AM53&lt;&gt;0,AO53-AM53,0)</f>
        <v>1548</v>
      </c>
      <c r="AQ53" s="494">
        <f t="shared" ref="AQ53:AQ68" ca="1" si="7">IF(ISNUMBER(AB53)=TRUE,AO53-AB53,IF(AB53="","",(AO53)-(MID(RIGHT(AB53,10),4,2)&amp;"/"&amp;LEFT((RIGHT(AB53,10)),2)&amp;"/"&amp;RIGHT(AB53,4))))</f>
        <v>777</v>
      </c>
      <c r="AR53" s="495" t="s">
        <v>6243</v>
      </c>
      <c r="AS53" s="495" t="s">
        <v>6244</v>
      </c>
      <c r="AT53" s="496">
        <v>11.541</v>
      </c>
      <c r="AU53" s="496">
        <v>11.556000000000001</v>
      </c>
      <c r="AV53" s="496">
        <v>11.555</v>
      </c>
      <c r="AW53" s="496">
        <v>11.56</v>
      </c>
      <c r="AX53" s="489">
        <f t="shared" ref="AX53:AX68" ca="1" si="8">IF(ISNUMBER(Z53)=TRUE,AO53-Z53,IF(Z53="","",(AO53)-(MID(RIGHT(Z53,10),4,2)&amp;"/"&amp;LEFT((RIGHT(Z53,10)),2)&amp;"/"&amp;RIGHT(Z53,4))))</f>
        <v>777</v>
      </c>
      <c r="AY53" s="489">
        <v>144</v>
      </c>
      <c r="BA53" s="489" t="s">
        <v>123</v>
      </c>
      <c r="BH53" s="489" t="s">
        <v>172</v>
      </c>
      <c r="BQ53" s="489" t="s">
        <v>5656</v>
      </c>
    </row>
    <row r="54" spans="1:69" s="489" customFormat="1" ht="18" customHeight="1" x14ac:dyDescent="0.25">
      <c r="A54" s="199"/>
      <c r="B54" s="204"/>
      <c r="C54" s="491"/>
      <c r="D54" s="201" t="str">
        <f>IF(LEFT(U54,7)="MAT RET","R"&amp;"-"&amp;H54&amp;"/"&amp;I54&amp;"-"&amp;TEXT(K54,"0.00")&amp;"X"&amp;IF(Q54="",N54,Q54),IF(N54&lt;570,"FGMKW2","FGCKW2")&amp;"-"&amp;H54&amp;"/"&amp;I54&amp;"-"&amp;TEXT(K54,"0.00")&amp;"X"&amp;IF(Q54="",N54,Q54))</f>
        <v>FGCKW2-J4/2B-0.28X80</v>
      </c>
      <c r="E54" s="201" t="s">
        <v>6236</v>
      </c>
      <c r="F54" s="201" t="s">
        <v>6237</v>
      </c>
      <c r="G54" s="201" t="s">
        <v>6245</v>
      </c>
      <c r="H54" s="201" t="s">
        <v>35</v>
      </c>
      <c r="I54" s="202" t="s">
        <v>114</v>
      </c>
      <c r="J54" s="203">
        <v>0.48</v>
      </c>
      <c r="K54" s="203">
        <v>0.28000000000000003</v>
      </c>
      <c r="L54" s="203">
        <v>0.27</v>
      </c>
      <c r="M54" s="203">
        <v>0.28999999999999998</v>
      </c>
      <c r="N54" s="371">
        <v>710</v>
      </c>
      <c r="O54" s="381">
        <v>0.35499999999999998</v>
      </c>
      <c r="P54" s="413"/>
      <c r="Q54" s="185">
        <v>80</v>
      </c>
      <c r="R54" s="490"/>
      <c r="S54" s="414"/>
      <c r="T54" s="371"/>
      <c r="U54" s="491" t="s">
        <v>390</v>
      </c>
      <c r="V54" s="491" t="s">
        <v>5826</v>
      </c>
      <c r="W54" s="491" t="s">
        <v>114</v>
      </c>
      <c r="X54" s="492" t="s">
        <v>6239</v>
      </c>
      <c r="Y54" s="492"/>
      <c r="Z54" s="492" t="s">
        <v>6240</v>
      </c>
      <c r="AA54" s="492"/>
      <c r="AB54" s="492" t="s">
        <v>6241</v>
      </c>
      <c r="AC54" s="492"/>
      <c r="AD54" s="492" t="s">
        <v>6242</v>
      </c>
      <c r="AE54" s="492"/>
      <c r="AF54" s="492"/>
      <c r="AG54" s="492"/>
      <c r="AH54" s="493" t="s">
        <v>167</v>
      </c>
      <c r="AI54" s="494" t="s">
        <v>70</v>
      </c>
      <c r="AJ54" s="494" t="s">
        <v>119</v>
      </c>
      <c r="AK54" s="495" t="s">
        <v>5782</v>
      </c>
      <c r="AL54" s="495">
        <v>43385</v>
      </c>
      <c r="AM54" s="495">
        <v>43410</v>
      </c>
      <c r="AN54" s="495"/>
      <c r="AO54" s="199">
        <f t="shared" ca="1" si="5"/>
        <v>44958</v>
      </c>
      <c r="AP54" s="494">
        <f t="shared" ca="1" si="6"/>
        <v>1548</v>
      </c>
      <c r="AQ54" s="494">
        <f t="shared" ca="1" si="7"/>
        <v>777</v>
      </c>
      <c r="AR54" s="495" t="s">
        <v>6243</v>
      </c>
      <c r="AS54" s="495" t="s">
        <v>6244</v>
      </c>
      <c r="AT54" s="496">
        <v>11.541</v>
      </c>
      <c r="AU54" s="496">
        <v>11.556000000000001</v>
      </c>
      <c r="AV54" s="496">
        <v>11.555</v>
      </c>
      <c r="AW54" s="496">
        <v>11.56</v>
      </c>
      <c r="AX54" s="489">
        <f t="shared" ca="1" si="8"/>
        <v>777</v>
      </c>
      <c r="AY54" s="489">
        <v>144</v>
      </c>
      <c r="BA54" s="489" t="s">
        <v>123</v>
      </c>
      <c r="BH54" s="489" t="s">
        <v>172</v>
      </c>
      <c r="BQ54" s="489" t="s">
        <v>5656</v>
      </c>
    </row>
    <row r="55" spans="1:69" s="489" customFormat="1" ht="18" customHeight="1" x14ac:dyDescent="0.25">
      <c r="A55" s="199"/>
      <c r="B55" s="204"/>
      <c r="C55" s="491"/>
      <c r="D55" s="201" t="str">
        <f>IF(LEFT(U55,7)="MAT RET","R"&amp;"-"&amp;H55&amp;"/"&amp;I55&amp;"-"&amp;TEXT(K55,"0.00")&amp;"X"&amp;IF(Q55="",N55,Q55),IF(N55&lt;570,"FGMKW2","FGCKW2")&amp;"-"&amp;H55&amp;"/"&amp;I55&amp;"-"&amp;TEXT(K55,"0.00")&amp;"X"&amp;IF(Q55="",N55,Q55))</f>
        <v>FGCKW2-J4/2B-0.28X80</v>
      </c>
      <c r="E55" s="201" t="s">
        <v>6236</v>
      </c>
      <c r="F55" s="201" t="s">
        <v>6237</v>
      </c>
      <c r="G55" s="201" t="s">
        <v>6246</v>
      </c>
      <c r="H55" s="201" t="s">
        <v>35</v>
      </c>
      <c r="I55" s="202" t="s">
        <v>114</v>
      </c>
      <c r="J55" s="203">
        <v>0.48</v>
      </c>
      <c r="K55" s="203">
        <v>0.28000000000000003</v>
      </c>
      <c r="L55" s="203">
        <v>0.27</v>
      </c>
      <c r="M55" s="203">
        <v>0.28999999999999998</v>
      </c>
      <c r="N55" s="371">
        <v>710</v>
      </c>
      <c r="O55" s="381">
        <v>0.28499999999999998</v>
      </c>
      <c r="P55" s="413"/>
      <c r="Q55" s="185">
        <v>80</v>
      </c>
      <c r="R55" s="490"/>
      <c r="S55" s="414"/>
      <c r="T55" s="371"/>
      <c r="U55" s="491" t="s">
        <v>390</v>
      </c>
      <c r="V55" s="491" t="s">
        <v>5826</v>
      </c>
      <c r="W55" s="491" t="s">
        <v>114</v>
      </c>
      <c r="X55" s="492" t="s">
        <v>6239</v>
      </c>
      <c r="Y55" s="492"/>
      <c r="Z55" s="492" t="s">
        <v>6240</v>
      </c>
      <c r="AA55" s="492"/>
      <c r="AB55" s="492" t="s">
        <v>6241</v>
      </c>
      <c r="AC55" s="492"/>
      <c r="AD55" s="492" t="s">
        <v>6242</v>
      </c>
      <c r="AE55" s="492"/>
      <c r="AF55" s="492"/>
      <c r="AG55" s="492"/>
      <c r="AH55" s="493" t="s">
        <v>167</v>
      </c>
      <c r="AI55" s="494" t="s">
        <v>70</v>
      </c>
      <c r="AJ55" s="494" t="s">
        <v>119</v>
      </c>
      <c r="AK55" s="495" t="s">
        <v>5782</v>
      </c>
      <c r="AL55" s="495">
        <v>43385</v>
      </c>
      <c r="AM55" s="495">
        <v>43410</v>
      </c>
      <c r="AN55" s="495"/>
      <c r="AO55" s="199">
        <f t="shared" ca="1" si="5"/>
        <v>44958</v>
      </c>
      <c r="AP55" s="494">
        <f t="shared" ca="1" si="6"/>
        <v>1548</v>
      </c>
      <c r="AQ55" s="494">
        <f t="shared" ca="1" si="7"/>
        <v>777</v>
      </c>
      <c r="AR55" s="495" t="s">
        <v>6243</v>
      </c>
      <c r="AS55" s="495" t="s">
        <v>6244</v>
      </c>
      <c r="AT55" s="496">
        <v>11.541</v>
      </c>
      <c r="AU55" s="496">
        <v>11.556000000000001</v>
      </c>
      <c r="AV55" s="496">
        <v>11.555</v>
      </c>
      <c r="AW55" s="496">
        <v>11.56</v>
      </c>
      <c r="AX55" s="489">
        <f t="shared" ca="1" si="8"/>
        <v>777</v>
      </c>
      <c r="AY55" s="489">
        <v>144</v>
      </c>
      <c r="BA55" s="489" t="s">
        <v>123</v>
      </c>
      <c r="BH55" s="489" t="s">
        <v>172</v>
      </c>
      <c r="BQ55" s="489" t="s">
        <v>5656</v>
      </c>
    </row>
    <row r="56" spans="1:69" s="489" customFormat="1" ht="18" customHeight="1" x14ac:dyDescent="0.25">
      <c r="A56" s="199"/>
      <c r="B56" s="204">
        <f ca="1">IF(A56="",(IF(ISNUMBER(SUBSTITUTE(LEFT(RIGHT(E56,LEN(E56)-MIN(SEARCH({1,2,3,4,5,6,7,8,9,0},E56&amp;"1234567890"))+1),10),".","/"))=TRUE,AO56-(SUBSTITUTE(LEFT(RIGHT(E56,LEN(E56)-MIN(SEARCH({1,2,3,4,5,6,7,8,9,0},E56&amp;"1234567890"))+1),10),".","/")),IF((SUBSTITUTE(LEFT(RIGHT(E56,LEN(E56)-MIN(SEARCH({1,2,3,4,5,6,7,8,9,0},E56&amp;"1234567890"))+1),10),".","/"))="","",(AO56)-(MID(RIGHT((SUBSTITUTE(LEFT(RIGHT(E56,LEN(E56)-MIN(SEARCH({1,2,3,4,5,6,7,8,9,0},E56&amp;"1234567890"))+1),10),".","/")),10),4,2)&amp;"/"&amp;LEFT((RIGHT((SUBSTITUTE(LEFT(RIGHT(E56,LEN(E56)-MIN(SEARCH({1,2,3,4,5,6,7,8,9,0},E56&amp;"1234567890"))+1),10),".","/")),10)),2)&amp;"/"&amp;RIGHT((SUBSTITUTE(LEFT(RIGHT(E56,LEN(E56)-MIN(SEARCH({1,2,3,4,5,6,7,8,9,0},E56&amp;"1234567890"))+1),10),".","/")),4))))),(AO56-A56))</f>
        <v>770</v>
      </c>
      <c r="C56" s="199"/>
      <c r="D56" s="201" t="str">
        <f>IF(LEFT(U56,7)="MAT RET","R"&amp;"-"&amp;H56&amp;"/"&amp;I56&amp;"-"&amp;TEXT(K56,"0.00")&amp;"X"&amp;IF(Q56="",N56,Q56),IF(N56&lt;570,"FGMKW2","FGCKW2")&amp;"-"&amp;H56&amp;"/"&amp;I56&amp;"-"&amp;TEXT(K56,"0.00")&amp;"X"&amp;IF(Q56="",N56,Q56))</f>
        <v>FGCKW2-304/2B-1.50X770</v>
      </c>
      <c r="E56" s="201" t="s">
        <v>6247</v>
      </c>
      <c r="F56" s="201" t="s">
        <v>6248</v>
      </c>
      <c r="G56" s="201" t="s">
        <v>6249</v>
      </c>
      <c r="H56" s="201">
        <v>304</v>
      </c>
      <c r="I56" s="202" t="s">
        <v>114</v>
      </c>
      <c r="J56" s="203">
        <v>3.8</v>
      </c>
      <c r="K56" s="203">
        <v>1.5</v>
      </c>
      <c r="L56" s="203">
        <v>1.51</v>
      </c>
      <c r="M56" s="203">
        <v>1.53</v>
      </c>
      <c r="N56" s="204">
        <v>770</v>
      </c>
      <c r="O56" s="381">
        <v>0.4</v>
      </c>
      <c r="P56" s="413"/>
      <c r="Q56" s="185">
        <v>770</v>
      </c>
      <c r="R56" s="490"/>
      <c r="S56" s="414"/>
      <c r="T56" s="371"/>
      <c r="U56" s="491" t="s">
        <v>390</v>
      </c>
      <c r="V56" s="491"/>
      <c r="W56" s="491" t="s">
        <v>114</v>
      </c>
      <c r="X56" s="492">
        <v>44183</v>
      </c>
      <c r="Y56" s="492"/>
      <c r="Z56" s="492">
        <v>44183</v>
      </c>
      <c r="AA56" s="492"/>
      <c r="AB56" s="492">
        <v>44184</v>
      </c>
      <c r="AC56" s="492"/>
      <c r="AD56" s="492"/>
      <c r="AE56" s="492"/>
      <c r="AF56" s="492"/>
      <c r="AG56" s="492"/>
      <c r="AH56" s="493"/>
      <c r="AI56" s="494" t="s">
        <v>69</v>
      </c>
      <c r="AJ56" s="494" t="s">
        <v>142</v>
      </c>
      <c r="AK56" s="495" t="s">
        <v>5792</v>
      </c>
      <c r="AL56" s="495"/>
      <c r="AM56" s="495">
        <v>44179</v>
      </c>
      <c r="AN56" s="495"/>
      <c r="AO56" s="199">
        <f t="shared" ca="1" si="5"/>
        <v>44958</v>
      </c>
      <c r="AP56" s="494">
        <f t="shared" ca="1" si="6"/>
        <v>779</v>
      </c>
      <c r="AQ56" s="494">
        <f t="shared" ca="1" si="7"/>
        <v>774</v>
      </c>
      <c r="AR56" s="495"/>
      <c r="AS56" s="495" t="s">
        <v>6250</v>
      </c>
      <c r="AT56" s="496">
        <v>10.585000000000001</v>
      </c>
      <c r="AU56" s="496">
        <v>10.595000000000001</v>
      </c>
      <c r="AV56" s="496">
        <v>10.62</v>
      </c>
      <c r="AW56" s="496">
        <v>10.625</v>
      </c>
      <c r="AX56" s="489">
        <f t="shared" ca="1" si="8"/>
        <v>775</v>
      </c>
      <c r="BA56" s="489" t="s">
        <v>123</v>
      </c>
    </row>
    <row r="57" spans="1:69" s="489" customFormat="1" ht="18" customHeight="1" x14ac:dyDescent="0.25">
      <c r="A57" s="199"/>
      <c r="B57" s="204">
        <f ca="1">IF(A57="",(IF(ISNUMBER(SUBSTITUTE(LEFT(RIGHT(E57,LEN(E57)-MIN(SEARCH({1,2,3,4,5,6,7,8,9,0},E57&amp;"1234567890"))+1),10),".","/"))=TRUE,AO57-(SUBSTITUTE(LEFT(RIGHT(E57,LEN(E57)-MIN(SEARCH({1,2,3,4,5,6,7,8,9,0},E57&amp;"1234567890"))+1),10),".","/")),IF((SUBSTITUTE(LEFT(RIGHT(E57,LEN(E57)-MIN(SEARCH({1,2,3,4,5,6,7,8,9,0},E57&amp;"1234567890"))+1),10),".","/"))="","",(AO57)-(MID(RIGHT((SUBSTITUTE(LEFT(RIGHT(E57,LEN(E57)-MIN(SEARCH({1,2,3,4,5,6,7,8,9,0},E57&amp;"1234567890"))+1),10),".","/")),10),4,2)&amp;"/"&amp;LEFT((RIGHT((SUBSTITUTE(LEFT(RIGHT(E57,LEN(E57)-MIN(SEARCH({1,2,3,4,5,6,7,8,9,0},E57&amp;"1234567890"))+1),10),".","/")),10)),2)&amp;"/"&amp;RIGHT((SUBSTITUTE(LEFT(RIGHT(E57,LEN(E57)-MIN(SEARCH({1,2,3,4,5,6,7,8,9,0},E57&amp;"1234567890"))+1),10),".","/")),4))))),(AO57-A57))</f>
        <v>758</v>
      </c>
      <c r="C57" s="199"/>
      <c r="D57" s="201" t="str">
        <f>IF(Q57="MULTI","FGM","FGC")&amp;"-"&amp;H57&amp;"/"&amp;I57&amp;"-"&amp;TEXT(K57,"0.00")&amp;"X"&amp;IF(Q57="MULTI",N57,Q57)</f>
        <v>FGC-304/2B-0.99X760</v>
      </c>
      <c r="E57" s="201" t="s">
        <v>6251</v>
      </c>
      <c r="F57" s="201" t="s">
        <v>6252</v>
      </c>
      <c r="G57" s="201" t="s">
        <v>6253</v>
      </c>
      <c r="H57" s="201">
        <v>304</v>
      </c>
      <c r="I57" s="202" t="s">
        <v>114</v>
      </c>
      <c r="J57" s="203">
        <v>2.98</v>
      </c>
      <c r="K57" s="203">
        <v>0.99</v>
      </c>
      <c r="L57" s="203">
        <v>0.97</v>
      </c>
      <c r="M57" s="203">
        <v>0.99</v>
      </c>
      <c r="N57" s="204">
        <v>770</v>
      </c>
      <c r="O57" s="381">
        <v>0.255</v>
      </c>
      <c r="P57" s="413"/>
      <c r="Q57" s="185">
        <v>760</v>
      </c>
      <c r="R57" s="185"/>
      <c r="S57" s="414"/>
      <c r="T57" s="371"/>
      <c r="U57" s="491" t="s">
        <v>390</v>
      </c>
      <c r="V57" s="491"/>
      <c r="W57" s="491" t="s">
        <v>114</v>
      </c>
      <c r="X57" s="492">
        <v>44561</v>
      </c>
      <c r="Y57" s="492"/>
      <c r="Z57" s="492">
        <v>44197</v>
      </c>
      <c r="AA57" s="492"/>
      <c r="AB57" s="492">
        <v>44197</v>
      </c>
      <c r="AC57" s="492"/>
      <c r="AD57" s="492"/>
      <c r="AE57" s="492"/>
      <c r="AF57" s="492"/>
      <c r="AG57" s="492"/>
      <c r="AH57" s="493"/>
      <c r="AI57" s="494" t="s">
        <v>69</v>
      </c>
      <c r="AJ57" s="494" t="s">
        <v>142</v>
      </c>
      <c r="AK57" s="495" t="s">
        <v>5792</v>
      </c>
      <c r="AL57" s="495"/>
      <c r="AM57" s="495">
        <v>44179</v>
      </c>
      <c r="AN57" s="495"/>
      <c r="AO57" s="199">
        <f t="shared" ca="1" si="5"/>
        <v>44958</v>
      </c>
      <c r="AP57" s="494">
        <f t="shared" ca="1" si="6"/>
        <v>779</v>
      </c>
      <c r="AQ57" s="494">
        <f t="shared" ca="1" si="7"/>
        <v>761</v>
      </c>
      <c r="AR57" s="495"/>
      <c r="AS57" s="495" t="s">
        <v>6254</v>
      </c>
      <c r="AT57" s="496">
        <v>8.6199999999999992</v>
      </c>
      <c r="AU57" s="496">
        <v>8.6300000000000008</v>
      </c>
      <c r="AV57" s="496">
        <v>8.6549999999999994</v>
      </c>
      <c r="AW57" s="496">
        <v>8.66</v>
      </c>
      <c r="AX57" s="489">
        <f t="shared" ca="1" si="8"/>
        <v>761</v>
      </c>
      <c r="BA57" s="489" t="s">
        <v>123</v>
      </c>
    </row>
    <row r="58" spans="1:69" s="489" customFormat="1" ht="18" customHeight="1" x14ac:dyDescent="0.25">
      <c r="A58" s="199"/>
      <c r="B58" s="204">
        <f ca="1">IF(A58="",(IF(ISNUMBER(SUBSTITUTE(LEFT(RIGHT(E58,LEN(E58)-MIN(SEARCH({1,2,3,4,5,6,7,8,9,0},E58&amp;"1234567890"))+1),10),".","/"))=TRUE,AO58-(SUBSTITUTE(LEFT(RIGHT(E58,LEN(E58)-MIN(SEARCH({1,2,3,4,5,6,7,8,9,0},E58&amp;"1234567890"))+1),10),".","/")),IF((SUBSTITUTE(LEFT(RIGHT(E58,LEN(E58)-MIN(SEARCH({1,2,3,4,5,6,7,8,9,0},E58&amp;"1234567890"))+1),10),".","/"))="","",(AO58)-(MID(RIGHT((SUBSTITUTE(LEFT(RIGHT(E58,LEN(E58)-MIN(SEARCH({1,2,3,4,5,6,7,8,9,0},E58&amp;"1234567890"))+1),10),".","/")),10),4,2)&amp;"/"&amp;LEFT((RIGHT((SUBSTITUTE(LEFT(RIGHT(E58,LEN(E58)-MIN(SEARCH({1,2,3,4,5,6,7,8,9,0},E58&amp;"1234567890"))+1),10),".","/")),10)),2)&amp;"/"&amp;RIGHT((SUBSTITUTE(LEFT(RIGHT(E58,LEN(E58)-MIN(SEARCH({1,2,3,4,5,6,7,8,9,0},E58&amp;"1234567890"))+1),10),".","/")),4))))),(AO58-A58))</f>
        <v>747</v>
      </c>
      <c r="C58" s="199"/>
      <c r="D58" s="201" t="str">
        <f t="shared" ref="D58:D73" si="9">IF(LEFT(U58,7)="MAT RET","R"&amp;"-"&amp;H58&amp;"/"&amp;I58&amp;"-"&amp;TEXT(K58,"0.00")&amp;"X"&amp;IF(Q58="",N58,Q58),IF(N58&lt;570,"FGMKW2","FGCKW2")&amp;"-"&amp;H58&amp;"/"&amp;I58&amp;"-"&amp;TEXT(K58,"0.00")&amp;"X"&amp;IF(Q58="",N58,Q58))</f>
        <v>FGCKW2-J1/2B-0.47X80</v>
      </c>
      <c r="E58" s="201" t="s">
        <v>6255</v>
      </c>
      <c r="F58" s="201" t="s">
        <v>6256</v>
      </c>
      <c r="G58" s="201" t="s">
        <v>6257</v>
      </c>
      <c r="H58" s="201" t="s">
        <v>32</v>
      </c>
      <c r="I58" s="202" t="s">
        <v>114</v>
      </c>
      <c r="J58" s="203">
        <v>0.92</v>
      </c>
      <c r="K58" s="203">
        <v>0.47</v>
      </c>
      <c r="L58" s="203">
        <v>0.47</v>
      </c>
      <c r="M58" s="203">
        <v>0.46</v>
      </c>
      <c r="N58" s="204">
        <v>692</v>
      </c>
      <c r="O58" s="381">
        <f>0.67</f>
        <v>0.67</v>
      </c>
      <c r="P58" s="413"/>
      <c r="Q58" s="185">
        <v>80</v>
      </c>
      <c r="R58" s="490"/>
      <c r="S58" s="414"/>
      <c r="T58" s="371"/>
      <c r="U58" s="491" t="s">
        <v>390</v>
      </c>
      <c r="V58" s="491" t="s">
        <v>6258</v>
      </c>
      <c r="W58" s="491" t="s">
        <v>114</v>
      </c>
      <c r="X58" s="492">
        <v>44208</v>
      </c>
      <c r="Y58" s="492"/>
      <c r="Z58" s="492">
        <v>44208</v>
      </c>
      <c r="AA58" s="492"/>
      <c r="AB58" s="492">
        <v>44209</v>
      </c>
      <c r="AC58" s="492"/>
      <c r="AD58" s="492">
        <v>44207</v>
      </c>
      <c r="AE58" s="492"/>
      <c r="AF58" s="492"/>
      <c r="AG58" s="492"/>
      <c r="AH58" s="493"/>
      <c r="AI58" s="494" t="s">
        <v>114</v>
      </c>
      <c r="AJ58" s="494" t="s">
        <v>209</v>
      </c>
      <c r="AK58" s="495" t="s">
        <v>210</v>
      </c>
      <c r="AL58" s="495"/>
      <c r="AM58" s="495">
        <v>44126</v>
      </c>
      <c r="AN58" s="495"/>
      <c r="AO58" s="199">
        <f t="shared" ca="1" si="5"/>
        <v>44958</v>
      </c>
      <c r="AP58" s="494">
        <f t="shared" ca="1" si="6"/>
        <v>832</v>
      </c>
      <c r="AQ58" s="494">
        <f t="shared" ca="1" si="7"/>
        <v>749</v>
      </c>
      <c r="AR58" s="495" t="s">
        <v>6259</v>
      </c>
      <c r="AS58" s="495" t="s">
        <v>6260</v>
      </c>
      <c r="AT58" s="496">
        <v>11.269</v>
      </c>
      <c r="AU58" s="496">
        <v>11.298999999999999</v>
      </c>
      <c r="AV58" s="496">
        <v>11.323999999999998</v>
      </c>
      <c r="AW58" s="496">
        <v>11.328999999999999</v>
      </c>
      <c r="AX58" s="489">
        <f t="shared" ca="1" si="8"/>
        <v>750</v>
      </c>
      <c r="BA58" s="489" t="s">
        <v>123</v>
      </c>
      <c r="BQ58" s="489" t="s">
        <v>5831</v>
      </c>
    </row>
    <row r="59" spans="1:69" s="489" customFormat="1" ht="18" customHeight="1" x14ac:dyDescent="0.25">
      <c r="A59" s="199"/>
      <c r="B59" s="204">
        <f ca="1">IF(A59="",(IF(ISNUMBER(SUBSTITUTE(LEFT(RIGHT(E59,LEN(E59)-MIN(SEARCH({1,2,3,4,5,6,7,8,9,0},E59&amp;"1234567890"))+1),10),".","/"))=TRUE,AO59-(SUBSTITUTE(LEFT(RIGHT(E59,LEN(E59)-MIN(SEARCH({1,2,3,4,5,6,7,8,9,0},E59&amp;"1234567890"))+1),10),".","/")),IF((SUBSTITUTE(LEFT(RIGHT(E59,LEN(E59)-MIN(SEARCH({1,2,3,4,5,6,7,8,9,0},E59&amp;"1234567890"))+1),10),".","/"))="","",(AO59)-(MID(RIGHT((SUBSTITUTE(LEFT(RIGHT(E59,LEN(E59)-MIN(SEARCH({1,2,3,4,5,6,7,8,9,0},E59&amp;"1234567890"))+1),10),".","/")),10),4,2)&amp;"/"&amp;LEFT((RIGHT((SUBSTITUTE(LEFT(RIGHT(E59,LEN(E59)-MIN(SEARCH({1,2,3,4,5,6,7,8,9,0},E59&amp;"1234567890"))+1),10),".","/")),10)),2)&amp;"/"&amp;RIGHT((SUBSTITUTE(LEFT(RIGHT(E59,LEN(E59)-MIN(SEARCH({1,2,3,4,5,6,7,8,9,0},E59&amp;"1234567890"))+1),10),".","/")),4))))),(AO59-A59))</f>
        <v>747</v>
      </c>
      <c r="C59" s="199"/>
      <c r="D59" s="201" t="str">
        <f t="shared" si="9"/>
        <v>FGCKW2-J1/2B-0.47X80</v>
      </c>
      <c r="E59" s="201" t="s">
        <v>6255</v>
      </c>
      <c r="F59" s="201" t="s">
        <v>6256</v>
      </c>
      <c r="G59" s="201" t="s">
        <v>6261</v>
      </c>
      <c r="H59" s="201" t="s">
        <v>32</v>
      </c>
      <c r="I59" s="202" t="s">
        <v>114</v>
      </c>
      <c r="J59" s="203">
        <v>0.92</v>
      </c>
      <c r="K59" s="203">
        <v>0.47</v>
      </c>
      <c r="L59" s="203">
        <v>0.47</v>
      </c>
      <c r="M59" s="203">
        <v>0.46</v>
      </c>
      <c r="N59" s="204">
        <v>692</v>
      </c>
      <c r="O59" s="381">
        <v>0.66</v>
      </c>
      <c r="P59" s="413"/>
      <c r="Q59" s="185">
        <v>80</v>
      </c>
      <c r="R59" s="490"/>
      <c r="S59" s="414"/>
      <c r="T59" s="371"/>
      <c r="U59" s="491" t="s">
        <v>390</v>
      </c>
      <c r="V59" s="491" t="s">
        <v>6258</v>
      </c>
      <c r="W59" s="491" t="s">
        <v>114</v>
      </c>
      <c r="X59" s="492">
        <v>44208</v>
      </c>
      <c r="Y59" s="492"/>
      <c r="Z59" s="492">
        <v>44208</v>
      </c>
      <c r="AA59" s="492"/>
      <c r="AB59" s="492">
        <v>44209</v>
      </c>
      <c r="AC59" s="492"/>
      <c r="AD59" s="492">
        <v>44207</v>
      </c>
      <c r="AE59" s="492"/>
      <c r="AF59" s="492"/>
      <c r="AG59" s="492"/>
      <c r="AH59" s="493"/>
      <c r="AI59" s="494" t="s">
        <v>114</v>
      </c>
      <c r="AJ59" s="494" t="s">
        <v>209</v>
      </c>
      <c r="AK59" s="495" t="s">
        <v>210</v>
      </c>
      <c r="AL59" s="495"/>
      <c r="AM59" s="495">
        <v>44126</v>
      </c>
      <c r="AN59" s="495"/>
      <c r="AO59" s="199">
        <f t="shared" ca="1" si="5"/>
        <v>44958</v>
      </c>
      <c r="AP59" s="494">
        <f t="shared" ca="1" si="6"/>
        <v>832</v>
      </c>
      <c r="AQ59" s="494">
        <f t="shared" ca="1" si="7"/>
        <v>749</v>
      </c>
      <c r="AR59" s="495" t="s">
        <v>6259</v>
      </c>
      <c r="AS59" s="495" t="s">
        <v>6260</v>
      </c>
      <c r="AT59" s="496">
        <v>11.269</v>
      </c>
      <c r="AU59" s="496">
        <v>11.298999999999999</v>
      </c>
      <c r="AV59" s="496">
        <v>11.323999999999998</v>
      </c>
      <c r="AW59" s="496">
        <v>11.328999999999999</v>
      </c>
      <c r="AX59" s="489">
        <f t="shared" ca="1" si="8"/>
        <v>750</v>
      </c>
      <c r="BA59" s="489" t="s">
        <v>123</v>
      </c>
      <c r="BQ59" s="489" t="s">
        <v>5831</v>
      </c>
    </row>
    <row r="60" spans="1:69" s="489" customFormat="1" ht="18" customHeight="1" x14ac:dyDescent="0.25">
      <c r="A60" s="199"/>
      <c r="B60" s="204">
        <f ca="1">IF(A60="",(IF(ISNUMBER(SUBSTITUTE(LEFT(RIGHT(E60,LEN(E60)-MIN(SEARCH({1,2,3,4,5,6,7,8,9,0},E60&amp;"1234567890"))+1),10),".","/"))=TRUE,AO60-(SUBSTITUTE(LEFT(RIGHT(E60,LEN(E60)-MIN(SEARCH({1,2,3,4,5,6,7,8,9,0},E60&amp;"1234567890"))+1),10),".","/")),IF((SUBSTITUTE(LEFT(RIGHT(E60,LEN(E60)-MIN(SEARCH({1,2,3,4,5,6,7,8,9,0},E60&amp;"1234567890"))+1),10),".","/"))="","",(AO60)-(MID(RIGHT((SUBSTITUTE(LEFT(RIGHT(E60,LEN(E60)-MIN(SEARCH({1,2,3,4,5,6,7,8,9,0},E60&amp;"1234567890"))+1),10),".","/")),10),4,2)&amp;"/"&amp;LEFT((RIGHT((SUBSTITUTE(LEFT(RIGHT(E60,LEN(E60)-MIN(SEARCH({1,2,3,4,5,6,7,8,9,0},E60&amp;"1234567890"))+1),10),".","/")),10)),2)&amp;"/"&amp;RIGHT((SUBSTITUTE(LEFT(RIGHT(E60,LEN(E60)-MIN(SEARCH({1,2,3,4,5,6,7,8,9,0},E60&amp;"1234567890"))+1),10),".","/")),4))))),(AO60-A60))</f>
        <v>747</v>
      </c>
      <c r="C60" s="199"/>
      <c r="D60" s="201" t="str">
        <f t="shared" si="9"/>
        <v>FGCKW2-J1/2B-0.47X80</v>
      </c>
      <c r="E60" s="201" t="s">
        <v>6255</v>
      </c>
      <c r="F60" s="201" t="s">
        <v>6262</v>
      </c>
      <c r="G60" s="201" t="s">
        <v>6263</v>
      </c>
      <c r="H60" s="201" t="s">
        <v>32</v>
      </c>
      <c r="I60" s="202" t="s">
        <v>114</v>
      </c>
      <c r="J60" s="203">
        <v>0.92</v>
      </c>
      <c r="K60" s="203">
        <v>0.47</v>
      </c>
      <c r="L60" s="203">
        <v>0.46</v>
      </c>
      <c r="M60" s="203">
        <v>0.47</v>
      </c>
      <c r="N60" s="204">
        <v>692</v>
      </c>
      <c r="O60" s="381">
        <f>0.59</f>
        <v>0.59</v>
      </c>
      <c r="P60" s="413"/>
      <c r="Q60" s="185">
        <v>80</v>
      </c>
      <c r="R60" s="490"/>
      <c r="S60" s="414"/>
      <c r="T60" s="371"/>
      <c r="U60" s="491" t="s">
        <v>390</v>
      </c>
      <c r="V60" s="491" t="s">
        <v>6258</v>
      </c>
      <c r="W60" s="491" t="s">
        <v>114</v>
      </c>
      <c r="X60" s="492">
        <v>44207</v>
      </c>
      <c r="Y60" s="492"/>
      <c r="Z60" s="492">
        <v>44208</v>
      </c>
      <c r="AA60" s="492"/>
      <c r="AB60" s="492">
        <v>44208</v>
      </c>
      <c r="AC60" s="492"/>
      <c r="AD60" s="492">
        <v>44205</v>
      </c>
      <c r="AE60" s="492"/>
      <c r="AF60" s="492"/>
      <c r="AG60" s="492"/>
      <c r="AH60" s="493"/>
      <c r="AI60" s="494" t="s">
        <v>114</v>
      </c>
      <c r="AJ60" s="494" t="s">
        <v>209</v>
      </c>
      <c r="AK60" s="495" t="s">
        <v>210</v>
      </c>
      <c r="AL60" s="495"/>
      <c r="AM60" s="495">
        <v>44126</v>
      </c>
      <c r="AN60" s="495"/>
      <c r="AO60" s="199">
        <f t="shared" ca="1" si="5"/>
        <v>44958</v>
      </c>
      <c r="AP60" s="494">
        <f t="shared" ca="1" si="6"/>
        <v>832</v>
      </c>
      <c r="AQ60" s="494">
        <f t="shared" ca="1" si="7"/>
        <v>750</v>
      </c>
      <c r="AR60" s="495" t="s">
        <v>6264</v>
      </c>
      <c r="AS60" s="495" t="s">
        <v>6265</v>
      </c>
      <c r="AT60" s="496">
        <v>9.8689999999999998</v>
      </c>
      <c r="AU60" s="496">
        <v>9.8989999999999991</v>
      </c>
      <c r="AV60" s="496">
        <v>9.9239999999999977</v>
      </c>
      <c r="AW60" s="496">
        <v>9.9289999999999985</v>
      </c>
      <c r="AX60" s="489">
        <f t="shared" ca="1" si="8"/>
        <v>750</v>
      </c>
      <c r="BA60" s="489" t="s">
        <v>123</v>
      </c>
      <c r="BQ60" s="489" t="s">
        <v>5831</v>
      </c>
    </row>
    <row r="61" spans="1:69" s="489" customFormat="1" ht="18" customHeight="1" x14ac:dyDescent="0.25">
      <c r="A61" s="199"/>
      <c r="B61" s="204">
        <f ca="1">IF(A61="",(IF(ISNUMBER(SUBSTITUTE(LEFT(RIGHT(E61,LEN(E61)-MIN(SEARCH({1,2,3,4,5,6,7,8,9,0},E61&amp;"1234567890"))+1),10),".","/"))=TRUE,AO61-(SUBSTITUTE(LEFT(RIGHT(E61,LEN(E61)-MIN(SEARCH({1,2,3,4,5,6,7,8,9,0},E61&amp;"1234567890"))+1),10),".","/")),IF((SUBSTITUTE(LEFT(RIGHT(E61,LEN(E61)-MIN(SEARCH({1,2,3,4,5,6,7,8,9,0},E61&amp;"1234567890"))+1),10),".","/"))="","",(AO61)-(MID(RIGHT((SUBSTITUTE(LEFT(RIGHT(E61,LEN(E61)-MIN(SEARCH({1,2,3,4,5,6,7,8,9,0},E61&amp;"1234567890"))+1),10),".","/")),10),4,2)&amp;"/"&amp;LEFT((RIGHT((SUBSTITUTE(LEFT(RIGHT(E61,LEN(E61)-MIN(SEARCH({1,2,3,4,5,6,7,8,9,0},E61&amp;"1234567890"))+1),10),".","/")),10)),2)&amp;"/"&amp;RIGHT((SUBSTITUTE(LEFT(RIGHT(E61,LEN(E61)-MIN(SEARCH({1,2,3,4,5,6,7,8,9,0},E61&amp;"1234567890"))+1),10),".","/")),4))))),(AO61-A61))</f>
        <v>747</v>
      </c>
      <c r="C61" s="199"/>
      <c r="D61" s="201" t="str">
        <f t="shared" si="9"/>
        <v>FGCKW2-J1/2B-0.47X80</v>
      </c>
      <c r="E61" s="201" t="s">
        <v>6255</v>
      </c>
      <c r="F61" s="201" t="s">
        <v>6262</v>
      </c>
      <c r="G61" s="201" t="s">
        <v>6266</v>
      </c>
      <c r="H61" s="201" t="s">
        <v>32</v>
      </c>
      <c r="I61" s="202" t="s">
        <v>114</v>
      </c>
      <c r="J61" s="203">
        <v>0.92</v>
      </c>
      <c r="K61" s="203">
        <v>0.47</v>
      </c>
      <c r="L61" s="203">
        <v>0.46</v>
      </c>
      <c r="M61" s="203">
        <v>0.47</v>
      </c>
      <c r="N61" s="204">
        <v>692</v>
      </c>
      <c r="O61" s="381">
        <v>0.59</v>
      </c>
      <c r="P61" s="413"/>
      <c r="Q61" s="185">
        <v>80</v>
      </c>
      <c r="R61" s="490"/>
      <c r="S61" s="414"/>
      <c r="T61" s="371"/>
      <c r="U61" s="491" t="s">
        <v>390</v>
      </c>
      <c r="V61" s="491" t="s">
        <v>6258</v>
      </c>
      <c r="W61" s="491" t="s">
        <v>114</v>
      </c>
      <c r="X61" s="492">
        <v>44207</v>
      </c>
      <c r="Y61" s="492"/>
      <c r="Z61" s="492">
        <v>44208</v>
      </c>
      <c r="AA61" s="492"/>
      <c r="AB61" s="492">
        <v>44208</v>
      </c>
      <c r="AC61" s="492"/>
      <c r="AD61" s="492">
        <v>44205</v>
      </c>
      <c r="AE61" s="492"/>
      <c r="AF61" s="492"/>
      <c r="AG61" s="492"/>
      <c r="AH61" s="493"/>
      <c r="AI61" s="494" t="s">
        <v>114</v>
      </c>
      <c r="AJ61" s="494" t="s">
        <v>209</v>
      </c>
      <c r="AK61" s="495" t="s">
        <v>210</v>
      </c>
      <c r="AL61" s="495"/>
      <c r="AM61" s="495">
        <v>44126</v>
      </c>
      <c r="AN61" s="495"/>
      <c r="AO61" s="199">
        <f t="shared" ca="1" si="5"/>
        <v>44958</v>
      </c>
      <c r="AP61" s="494">
        <f t="shared" ca="1" si="6"/>
        <v>832</v>
      </c>
      <c r="AQ61" s="494">
        <f t="shared" ca="1" si="7"/>
        <v>750</v>
      </c>
      <c r="AR61" s="495" t="s">
        <v>6264</v>
      </c>
      <c r="AS61" s="495" t="s">
        <v>6265</v>
      </c>
      <c r="AT61" s="496">
        <v>9.8689999999999998</v>
      </c>
      <c r="AU61" s="496">
        <v>9.8989999999999991</v>
      </c>
      <c r="AV61" s="496">
        <v>9.9239999999999977</v>
      </c>
      <c r="AW61" s="496">
        <v>9.9289999999999985</v>
      </c>
      <c r="AX61" s="489">
        <f t="shared" ca="1" si="8"/>
        <v>750</v>
      </c>
      <c r="BA61" s="489" t="s">
        <v>123</v>
      </c>
      <c r="BQ61" s="489" t="s">
        <v>5831</v>
      </c>
    </row>
    <row r="62" spans="1:69" s="489" customFormat="1" ht="18" customHeight="1" x14ac:dyDescent="0.25">
      <c r="A62" s="199"/>
      <c r="B62" s="204">
        <f ca="1">IF(A62="",(IF(ISNUMBER(SUBSTITUTE(LEFT(RIGHT(E62,LEN(E62)-MIN(SEARCH({1,2,3,4,5,6,7,8,9,0},E62&amp;"1234567890"))+1),10),".","/"))=TRUE,AO62-(SUBSTITUTE(LEFT(RIGHT(E62,LEN(E62)-MIN(SEARCH({1,2,3,4,5,6,7,8,9,0},E62&amp;"1234567890"))+1),10),".","/")),IF((SUBSTITUTE(LEFT(RIGHT(E62,LEN(E62)-MIN(SEARCH({1,2,3,4,5,6,7,8,9,0},E62&amp;"1234567890"))+1),10),".","/"))="","",(AO62)-(MID(RIGHT((SUBSTITUTE(LEFT(RIGHT(E62,LEN(E62)-MIN(SEARCH({1,2,3,4,5,6,7,8,9,0},E62&amp;"1234567890"))+1),10),".","/")),10),4,2)&amp;"/"&amp;LEFT((RIGHT((SUBSTITUTE(LEFT(RIGHT(E62,LEN(E62)-MIN(SEARCH({1,2,3,4,5,6,7,8,9,0},E62&amp;"1234567890"))+1),10),".","/")),10)),2)&amp;"/"&amp;RIGHT((SUBSTITUTE(LEFT(RIGHT(E62,LEN(E62)-MIN(SEARCH({1,2,3,4,5,6,7,8,9,0},E62&amp;"1234567890"))+1),10),".","/")),4))))),(AO62-A62))</f>
        <v>747</v>
      </c>
      <c r="C62" s="199"/>
      <c r="D62" s="201" t="str">
        <f t="shared" si="9"/>
        <v>FGCKW2-J1/2B-0.47X110</v>
      </c>
      <c r="E62" s="201" t="s">
        <v>6255</v>
      </c>
      <c r="F62" s="201" t="s">
        <v>6267</v>
      </c>
      <c r="G62" s="201" t="s">
        <v>6268</v>
      </c>
      <c r="H62" s="201" t="s">
        <v>32</v>
      </c>
      <c r="I62" s="202" t="s">
        <v>114</v>
      </c>
      <c r="J62" s="203">
        <v>0.92</v>
      </c>
      <c r="K62" s="203">
        <v>0.47</v>
      </c>
      <c r="L62" s="203">
        <v>0.45</v>
      </c>
      <c r="M62" s="203">
        <v>0.47</v>
      </c>
      <c r="N62" s="204">
        <v>720</v>
      </c>
      <c r="O62" s="381">
        <v>0.88</v>
      </c>
      <c r="P62" s="413"/>
      <c r="Q62" s="185">
        <v>110</v>
      </c>
      <c r="R62" s="490"/>
      <c r="S62" s="414"/>
      <c r="T62" s="371"/>
      <c r="U62" s="491" t="s">
        <v>390</v>
      </c>
      <c r="V62" s="491" t="s">
        <v>6258</v>
      </c>
      <c r="W62" s="491" t="s">
        <v>114</v>
      </c>
      <c r="X62" s="492">
        <v>44208</v>
      </c>
      <c r="Y62" s="492"/>
      <c r="Z62" s="492">
        <v>44209</v>
      </c>
      <c r="AA62" s="492"/>
      <c r="AB62" s="492">
        <v>44209</v>
      </c>
      <c r="AC62" s="492"/>
      <c r="AD62" s="492">
        <v>44207</v>
      </c>
      <c r="AE62" s="492"/>
      <c r="AF62" s="492"/>
      <c r="AG62" s="492"/>
      <c r="AH62" s="493"/>
      <c r="AI62" s="494" t="s">
        <v>114</v>
      </c>
      <c r="AJ62" s="494" t="s">
        <v>209</v>
      </c>
      <c r="AK62" s="495" t="s">
        <v>5828</v>
      </c>
      <c r="AL62" s="495">
        <v>44082</v>
      </c>
      <c r="AM62" s="495">
        <v>44103</v>
      </c>
      <c r="AN62" s="495"/>
      <c r="AO62" s="199">
        <f t="shared" ca="1" si="5"/>
        <v>44958</v>
      </c>
      <c r="AP62" s="494">
        <f t="shared" ca="1" si="6"/>
        <v>855</v>
      </c>
      <c r="AQ62" s="494">
        <f t="shared" ca="1" si="7"/>
        <v>749</v>
      </c>
      <c r="AR62" s="495" t="s">
        <v>6269</v>
      </c>
      <c r="AS62" s="495" t="s">
        <v>6270</v>
      </c>
      <c r="AT62" s="496">
        <v>11.653</v>
      </c>
      <c r="AU62" s="496">
        <v>11.683</v>
      </c>
      <c r="AV62" s="496">
        <v>11.707999999999998</v>
      </c>
      <c r="AW62" s="496">
        <v>11.712999999999999</v>
      </c>
      <c r="AX62" s="489">
        <f t="shared" ca="1" si="8"/>
        <v>749</v>
      </c>
      <c r="BA62" s="489" t="s">
        <v>123</v>
      </c>
    </row>
    <row r="63" spans="1:69" s="489" customFormat="1" ht="18" customHeight="1" x14ac:dyDescent="0.25">
      <c r="A63" s="199">
        <v>44299</v>
      </c>
      <c r="B63" s="204">
        <f ca="1">IF(A63="",(IF(ISNUMBER(SUBSTITUTE(LEFT(RIGHT(E63,LEN(E63)-MIN(SEARCH({1,2,3,4,5,6,7,8,9,0},E63&amp;"1234567890"))+1),10),".","/"))=TRUE,AO63-(SUBSTITUTE(LEFT(RIGHT(E63,LEN(E63)-MIN(SEARCH({1,2,3,4,5,6,7,8,9,0},E63&amp;"1234567890"))+1),10),".","/")),IF((SUBSTITUTE(LEFT(RIGHT(E63,LEN(E63)-MIN(SEARCH({1,2,3,4,5,6,7,8,9,0},E63&amp;"1234567890"))+1),10),".","/"))="","",(AO63)-(MID(RIGHT((SUBSTITUTE(LEFT(RIGHT(E63,LEN(E63)-MIN(SEARCH({1,2,3,4,5,6,7,8,9,0},E63&amp;"1234567890"))+1),10),".","/")),10),4,2)&amp;"/"&amp;LEFT((RIGHT((SUBSTITUTE(LEFT(RIGHT(E63,LEN(E63)-MIN(SEARCH({1,2,3,4,5,6,7,8,9,0},E63&amp;"1234567890"))+1),10),".","/")),10)),2)&amp;"/"&amp;RIGHT((SUBSTITUTE(LEFT(RIGHT(E63,LEN(E63)-MIN(SEARCH({1,2,3,4,5,6,7,8,9,0},E63&amp;"1234567890"))+1),10),".","/")),4))))),(AO63-A63))</f>
        <v>659</v>
      </c>
      <c r="C63" s="199" t="s">
        <v>6271</v>
      </c>
      <c r="D63" s="201" t="str">
        <f t="shared" si="9"/>
        <v>FGCKW2-J3/2B-0.73X590</v>
      </c>
      <c r="E63" s="201" t="s">
        <v>6272</v>
      </c>
      <c r="F63" s="201" t="s">
        <v>6273</v>
      </c>
      <c r="G63" s="201" t="s">
        <v>6274</v>
      </c>
      <c r="H63" s="201" t="s">
        <v>34</v>
      </c>
      <c r="I63" s="202" t="s">
        <v>114</v>
      </c>
      <c r="J63" s="203">
        <v>0.91</v>
      </c>
      <c r="K63" s="203">
        <v>0.73</v>
      </c>
      <c r="L63" s="203">
        <v>0.75</v>
      </c>
      <c r="M63" s="203">
        <v>0.75</v>
      </c>
      <c r="N63" s="204">
        <v>590</v>
      </c>
      <c r="O63" s="439">
        <v>0.84499999999999997</v>
      </c>
      <c r="P63" s="432">
        <v>0.84599999999999997</v>
      </c>
      <c r="Q63" s="185">
        <v>590</v>
      </c>
      <c r="R63" s="490"/>
      <c r="S63" s="414"/>
      <c r="T63" s="371"/>
      <c r="U63" s="491" t="s">
        <v>390</v>
      </c>
      <c r="V63" s="491" t="s">
        <v>1555</v>
      </c>
      <c r="W63" s="491"/>
      <c r="X63" s="492" t="s">
        <v>6275</v>
      </c>
      <c r="Y63" s="492"/>
      <c r="Z63" s="492">
        <v>44195</v>
      </c>
      <c r="AA63" s="492"/>
      <c r="AB63" s="492">
        <v>44561</v>
      </c>
      <c r="AC63" s="492"/>
      <c r="AD63" s="492"/>
      <c r="AE63" s="492"/>
      <c r="AF63" s="492"/>
      <c r="AG63" s="492"/>
      <c r="AH63" s="493"/>
      <c r="AI63" s="494" t="s">
        <v>69</v>
      </c>
      <c r="AJ63" s="494" t="s">
        <v>209</v>
      </c>
      <c r="AK63" s="495" t="s">
        <v>5807</v>
      </c>
      <c r="AL63" s="495">
        <v>44154</v>
      </c>
      <c r="AM63" s="495">
        <v>44176</v>
      </c>
      <c r="AN63" s="495"/>
      <c r="AO63" s="199">
        <f t="shared" ca="1" si="5"/>
        <v>44958</v>
      </c>
      <c r="AP63" s="494">
        <f t="shared" ca="1" si="6"/>
        <v>782</v>
      </c>
      <c r="AQ63" s="494">
        <f t="shared" ca="1" si="7"/>
        <v>397</v>
      </c>
      <c r="AR63" s="495" t="s">
        <v>6276</v>
      </c>
      <c r="AS63" s="495" t="s">
        <v>6277</v>
      </c>
      <c r="AT63" s="496">
        <v>9.4819999999999993</v>
      </c>
      <c r="AU63" s="496">
        <v>9.5119999999999987</v>
      </c>
      <c r="AV63" s="496">
        <v>9.5369999999999973</v>
      </c>
      <c r="AW63" s="496">
        <v>9.541999999999998</v>
      </c>
      <c r="AX63" s="489">
        <f t="shared" ca="1" si="8"/>
        <v>763</v>
      </c>
      <c r="BA63" s="489" t="s">
        <v>123</v>
      </c>
      <c r="BQ63" s="489" t="s">
        <v>5851</v>
      </c>
    </row>
    <row r="64" spans="1:69" s="489" customFormat="1" ht="18" customHeight="1" x14ac:dyDescent="0.25">
      <c r="A64" s="199">
        <v>44299</v>
      </c>
      <c r="B64" s="204">
        <f ca="1">IF(A64="",(IF(ISNUMBER(SUBSTITUTE(LEFT(RIGHT(E64,LEN(E64)-MIN(SEARCH({1,2,3,4,5,6,7,8,9,0},E64&amp;"1234567890"))+1),10),".","/"))=TRUE,AO64-(SUBSTITUTE(LEFT(RIGHT(E64,LEN(E64)-MIN(SEARCH({1,2,3,4,5,6,7,8,9,0},E64&amp;"1234567890"))+1),10),".","/")),IF((SUBSTITUTE(LEFT(RIGHT(E64,LEN(E64)-MIN(SEARCH({1,2,3,4,5,6,7,8,9,0},E64&amp;"1234567890"))+1),10),".","/"))="","",(AO64)-(MID(RIGHT((SUBSTITUTE(LEFT(RIGHT(E64,LEN(E64)-MIN(SEARCH({1,2,3,4,5,6,7,8,9,0},E64&amp;"1234567890"))+1),10),".","/")),10),4,2)&amp;"/"&amp;LEFT((RIGHT((SUBSTITUTE(LEFT(RIGHT(E64,LEN(E64)-MIN(SEARCH({1,2,3,4,5,6,7,8,9,0},E64&amp;"1234567890"))+1),10),".","/")),10)),2)&amp;"/"&amp;RIGHT((SUBSTITUTE(LEFT(RIGHT(E64,LEN(E64)-MIN(SEARCH({1,2,3,4,5,6,7,8,9,0},E64&amp;"1234567890"))+1),10),".","/")),4))))),(AO64-A64))</f>
        <v>659</v>
      </c>
      <c r="C64" s="199" t="s">
        <v>6278</v>
      </c>
      <c r="D64" s="201" t="str">
        <f t="shared" si="9"/>
        <v>FGCKW2-J3/2B-0.73X595</v>
      </c>
      <c r="E64" s="201" t="s">
        <v>6272</v>
      </c>
      <c r="F64" s="201" t="s">
        <v>6279</v>
      </c>
      <c r="G64" s="201" t="s">
        <v>6280</v>
      </c>
      <c r="H64" s="201" t="s">
        <v>34</v>
      </c>
      <c r="I64" s="202" t="s">
        <v>114</v>
      </c>
      <c r="J64" s="203">
        <v>2.4</v>
      </c>
      <c r="K64" s="203">
        <v>0.73</v>
      </c>
      <c r="L64" s="203">
        <v>0.73</v>
      </c>
      <c r="M64" s="203">
        <v>0.74</v>
      </c>
      <c r="N64" s="204">
        <v>595</v>
      </c>
      <c r="O64" s="506"/>
      <c r="P64" s="437"/>
      <c r="Q64" s="185">
        <v>595</v>
      </c>
      <c r="R64" s="490"/>
      <c r="S64" s="414"/>
      <c r="T64" s="371"/>
      <c r="U64" s="491" t="s">
        <v>390</v>
      </c>
      <c r="V64" s="491" t="s">
        <v>1555</v>
      </c>
      <c r="W64" s="491"/>
      <c r="X64" s="492">
        <v>44154</v>
      </c>
      <c r="Y64" s="492"/>
      <c r="Z64" s="492"/>
      <c r="AA64" s="492"/>
      <c r="AB64" s="492"/>
      <c r="AC64" s="492"/>
      <c r="AD64" s="492"/>
      <c r="AE64" s="492"/>
      <c r="AF64" s="492"/>
      <c r="AG64" s="492"/>
      <c r="AH64" s="493"/>
      <c r="AI64" s="494" t="s">
        <v>69</v>
      </c>
      <c r="AJ64" s="494" t="s">
        <v>209</v>
      </c>
      <c r="AK64" s="495" t="s">
        <v>5800</v>
      </c>
      <c r="AL64" s="495">
        <v>44126</v>
      </c>
      <c r="AM64" s="495">
        <v>44154</v>
      </c>
      <c r="AN64" s="495"/>
      <c r="AO64" s="199">
        <f t="shared" ca="1" si="5"/>
        <v>44958</v>
      </c>
      <c r="AP64" s="494">
        <f t="shared" ca="1" si="6"/>
        <v>804</v>
      </c>
      <c r="AQ64" s="494" t="str">
        <f t="shared" si="7"/>
        <v/>
      </c>
      <c r="AR64" s="495"/>
      <c r="AS64" s="495" t="s">
        <v>6281</v>
      </c>
      <c r="AT64" s="496">
        <v>8.08</v>
      </c>
      <c r="AU64" s="496">
        <v>8.11</v>
      </c>
      <c r="AV64" s="496">
        <v>8.134999999999998</v>
      </c>
      <c r="AW64" s="496">
        <v>8.1399999999999988</v>
      </c>
      <c r="AX64" s="489" t="str">
        <f t="shared" si="8"/>
        <v/>
      </c>
      <c r="BA64" s="489" t="s">
        <v>123</v>
      </c>
      <c r="BQ64" s="489" t="s">
        <v>5851</v>
      </c>
    </row>
    <row r="65" spans="1:69" s="489" customFormat="1" ht="18" customHeight="1" x14ac:dyDescent="0.25">
      <c r="A65" s="199">
        <v>44299</v>
      </c>
      <c r="B65" s="204">
        <f ca="1">IF(A65="",(IF(ISNUMBER(SUBSTITUTE(LEFT(RIGHT(E65,LEN(E65)-MIN(SEARCH({1,2,3,4,5,6,7,8,9,0},E65&amp;"1234567890"))+1),10),".","/"))=TRUE,AO65-(SUBSTITUTE(LEFT(RIGHT(E65,LEN(E65)-MIN(SEARCH({1,2,3,4,5,6,7,8,9,0},E65&amp;"1234567890"))+1),10),".","/")),IF((SUBSTITUTE(LEFT(RIGHT(E65,LEN(E65)-MIN(SEARCH({1,2,3,4,5,6,7,8,9,0},E65&amp;"1234567890"))+1),10),".","/"))="","",(AO65)-(MID(RIGHT((SUBSTITUTE(LEFT(RIGHT(E65,LEN(E65)-MIN(SEARCH({1,2,3,4,5,6,7,8,9,0},E65&amp;"1234567890"))+1),10),".","/")),10),4,2)&amp;"/"&amp;LEFT((RIGHT((SUBSTITUTE(LEFT(RIGHT(E65,LEN(E65)-MIN(SEARCH({1,2,3,4,5,6,7,8,9,0},E65&amp;"1234567890"))+1),10),".","/")),10)),2)&amp;"/"&amp;RIGHT((SUBSTITUTE(LEFT(RIGHT(E65,LEN(E65)-MIN(SEARCH({1,2,3,4,5,6,7,8,9,0},E65&amp;"1234567890"))+1),10),".","/")),4))))),(AO65-A65))</f>
        <v>659</v>
      </c>
      <c r="C65" s="199" t="s">
        <v>6282</v>
      </c>
      <c r="D65" s="201" t="str">
        <f t="shared" si="9"/>
        <v>FGCKW2-J3/2B-0.95X595</v>
      </c>
      <c r="E65" s="201" t="s">
        <v>6272</v>
      </c>
      <c r="F65" s="201" t="s">
        <v>6283</v>
      </c>
      <c r="G65" s="201" t="s">
        <v>6284</v>
      </c>
      <c r="H65" s="201" t="s">
        <v>34</v>
      </c>
      <c r="I65" s="202" t="s">
        <v>114</v>
      </c>
      <c r="J65" s="203">
        <v>2.4</v>
      </c>
      <c r="K65" s="203">
        <v>0.95</v>
      </c>
      <c r="L65" s="203">
        <v>0.95</v>
      </c>
      <c r="M65" s="203">
        <v>0.97</v>
      </c>
      <c r="N65" s="204">
        <v>595</v>
      </c>
      <c r="O65" s="441"/>
      <c r="P65" s="433"/>
      <c r="Q65" s="185">
        <v>595</v>
      </c>
      <c r="R65" s="490"/>
      <c r="S65" s="414"/>
      <c r="T65" s="371"/>
      <c r="U65" s="491" t="s">
        <v>390</v>
      </c>
      <c r="V65" s="491" t="s">
        <v>1555</v>
      </c>
      <c r="W65" s="491"/>
      <c r="X65" s="492">
        <v>44166</v>
      </c>
      <c r="Y65" s="492"/>
      <c r="Z65" s="492"/>
      <c r="AA65" s="492"/>
      <c r="AB65" s="492"/>
      <c r="AC65" s="492"/>
      <c r="AD65" s="492"/>
      <c r="AE65" s="492"/>
      <c r="AF65" s="492"/>
      <c r="AG65" s="492"/>
      <c r="AH65" s="493"/>
      <c r="AI65" s="494" t="s">
        <v>69</v>
      </c>
      <c r="AJ65" s="494" t="s">
        <v>209</v>
      </c>
      <c r="AK65" s="495" t="s">
        <v>6285</v>
      </c>
      <c r="AL65" s="495">
        <v>44138</v>
      </c>
      <c r="AM65" s="495">
        <v>44166</v>
      </c>
      <c r="AN65" s="495"/>
      <c r="AO65" s="199">
        <f t="shared" ca="1" si="5"/>
        <v>44958</v>
      </c>
      <c r="AP65" s="494">
        <f t="shared" ca="1" si="6"/>
        <v>792</v>
      </c>
      <c r="AQ65" s="494" t="str">
        <f t="shared" si="7"/>
        <v/>
      </c>
      <c r="AR65" s="495" t="s">
        <v>6286</v>
      </c>
      <c r="AS65" s="495" t="s">
        <v>6287</v>
      </c>
      <c r="AT65" s="496">
        <v>8.1080000000000005</v>
      </c>
      <c r="AU65" s="496">
        <v>8.1379999999999999</v>
      </c>
      <c r="AV65" s="496">
        <v>8.1629999999999985</v>
      </c>
      <c r="AW65" s="496">
        <v>8.1679999999999993</v>
      </c>
      <c r="AX65" s="489" t="str">
        <f t="shared" si="8"/>
        <v/>
      </c>
      <c r="BA65" s="489" t="s">
        <v>123</v>
      </c>
      <c r="BQ65" s="489" t="s">
        <v>5851</v>
      </c>
    </row>
    <row r="66" spans="1:69" s="489" customFormat="1" ht="18" customHeight="1" x14ac:dyDescent="0.25">
      <c r="A66" s="199">
        <v>44298</v>
      </c>
      <c r="B66" s="204">
        <f ca="1">IF(A66="",(IF(ISNUMBER(SUBSTITUTE(LEFT(RIGHT(E66,LEN(E66)-MIN(SEARCH({1,2,3,4,5,6,7,8,9,0},E66&amp;"1234567890"))+1),10),".","/"))=TRUE,AO66-(SUBSTITUTE(LEFT(RIGHT(E66,LEN(E66)-MIN(SEARCH({1,2,3,4,5,6,7,8,9,0},E66&amp;"1234567890"))+1),10),".","/")),IF((SUBSTITUTE(LEFT(RIGHT(E66,LEN(E66)-MIN(SEARCH({1,2,3,4,5,6,7,8,9,0},E66&amp;"1234567890"))+1),10),".","/"))="","",(AO66)-(MID(RIGHT((SUBSTITUTE(LEFT(RIGHT(E66,LEN(E66)-MIN(SEARCH({1,2,3,4,5,6,7,8,9,0},E66&amp;"1234567890"))+1),10),".","/")),10),4,2)&amp;"/"&amp;LEFT((RIGHT((SUBSTITUTE(LEFT(RIGHT(E66,LEN(E66)-MIN(SEARCH({1,2,3,4,5,6,7,8,9,0},E66&amp;"1234567890"))+1),10),".","/")),10)),2)&amp;"/"&amp;RIGHT((SUBSTITUTE(LEFT(RIGHT(E66,LEN(E66)-MIN(SEARCH({1,2,3,4,5,6,7,8,9,0},E66&amp;"1234567890"))+1),10),".","/")),4))))),(AO66-A66))</f>
        <v>660</v>
      </c>
      <c r="C66" s="199"/>
      <c r="D66" s="201" t="str">
        <f t="shared" si="9"/>
        <v>FGCKW2-J1/2B-0.95X640</v>
      </c>
      <c r="E66" s="201" t="s">
        <v>6288</v>
      </c>
      <c r="F66" s="201" t="s">
        <v>6289</v>
      </c>
      <c r="G66" s="201" t="s">
        <v>6290</v>
      </c>
      <c r="H66" s="201" t="s">
        <v>32</v>
      </c>
      <c r="I66" s="202" t="s">
        <v>114</v>
      </c>
      <c r="J66" s="203">
        <v>2.35</v>
      </c>
      <c r="K66" s="203">
        <v>0.95</v>
      </c>
      <c r="L66" s="203">
        <v>0.93</v>
      </c>
      <c r="M66" s="203">
        <v>0.95</v>
      </c>
      <c r="N66" s="204">
        <v>640</v>
      </c>
      <c r="O66" s="381">
        <v>0.69</v>
      </c>
      <c r="P66" s="413">
        <v>0.69099999999999995</v>
      </c>
      <c r="Q66" s="185">
        <v>640</v>
      </c>
      <c r="R66" s="185"/>
      <c r="S66" s="414"/>
      <c r="T66" s="371"/>
      <c r="U66" s="491" t="s">
        <v>390</v>
      </c>
      <c r="V66" s="491" t="s">
        <v>216</v>
      </c>
      <c r="W66" s="491" t="s">
        <v>114</v>
      </c>
      <c r="X66" s="492">
        <v>44101</v>
      </c>
      <c r="Y66" s="492"/>
      <c r="Z66" s="492">
        <v>44102</v>
      </c>
      <c r="AA66" s="492"/>
      <c r="AB66" s="492">
        <v>44104</v>
      </c>
      <c r="AC66" s="492"/>
      <c r="AD66" s="492"/>
      <c r="AE66" s="492"/>
      <c r="AF66" s="492"/>
      <c r="AG66" s="492"/>
      <c r="AH66" s="493"/>
      <c r="AI66" s="494" t="s">
        <v>69</v>
      </c>
      <c r="AJ66" s="494" t="s">
        <v>190</v>
      </c>
      <c r="AK66" s="495" t="s">
        <v>5866</v>
      </c>
      <c r="AL66" s="495"/>
      <c r="AM66" s="495">
        <v>44100</v>
      </c>
      <c r="AN66" s="495"/>
      <c r="AO66" s="199">
        <f t="shared" ca="1" si="5"/>
        <v>44958</v>
      </c>
      <c r="AP66" s="494">
        <f t="shared" ca="1" si="6"/>
        <v>858</v>
      </c>
      <c r="AQ66" s="494">
        <f t="shared" ca="1" si="7"/>
        <v>854</v>
      </c>
      <c r="AR66" s="495"/>
      <c r="AS66" s="495" t="s">
        <v>6291</v>
      </c>
      <c r="AT66" s="496">
        <v>10.53</v>
      </c>
      <c r="AU66" s="496">
        <v>10.54</v>
      </c>
      <c r="AV66" s="496">
        <v>10.564999999999998</v>
      </c>
      <c r="AW66" s="496">
        <v>10.569999999999999</v>
      </c>
      <c r="AX66" s="489">
        <f t="shared" ca="1" si="8"/>
        <v>856</v>
      </c>
      <c r="BA66" s="489" t="s">
        <v>123</v>
      </c>
    </row>
    <row r="67" spans="1:69" s="489" customFormat="1" ht="18" customHeight="1" x14ac:dyDescent="0.25">
      <c r="A67" s="199">
        <v>44300</v>
      </c>
      <c r="B67" s="204">
        <f ca="1">IF(A67="",(IF(ISNUMBER(SUBSTITUTE(LEFT(RIGHT(E67,LEN(E67)-MIN(SEARCH({1,2,3,4,5,6,7,8,9,0},E67&amp;"1234567890"))+1),10),".","/"))=TRUE,AO67-(SUBSTITUTE(LEFT(RIGHT(E67,LEN(E67)-MIN(SEARCH({1,2,3,4,5,6,7,8,9,0},E67&amp;"1234567890"))+1),10),".","/")),IF((SUBSTITUTE(LEFT(RIGHT(E67,LEN(E67)-MIN(SEARCH({1,2,3,4,5,6,7,8,9,0},E67&amp;"1234567890"))+1),10),".","/"))="","",(AO67)-(MID(RIGHT((SUBSTITUTE(LEFT(RIGHT(E67,LEN(E67)-MIN(SEARCH({1,2,3,4,5,6,7,8,9,0},E67&amp;"1234567890"))+1),10),".","/")),10),4,2)&amp;"/"&amp;LEFT((RIGHT((SUBSTITUTE(LEFT(RIGHT(E67,LEN(E67)-MIN(SEARCH({1,2,3,4,5,6,7,8,9,0},E67&amp;"1234567890"))+1),10),".","/")),10)),2)&amp;"/"&amp;RIGHT((SUBSTITUTE(LEFT(RIGHT(E67,LEN(E67)-MIN(SEARCH({1,2,3,4,5,6,7,8,9,0},E67&amp;"1234567890"))+1),10),".","/")),4))))),(AO67-A67))</f>
        <v>658</v>
      </c>
      <c r="C67" s="199"/>
      <c r="D67" s="201" t="str">
        <f t="shared" si="9"/>
        <v>FGCKW2-J3/2B-0.75X595</v>
      </c>
      <c r="E67" s="201" t="s">
        <v>6292</v>
      </c>
      <c r="F67" s="201" t="s">
        <v>6293</v>
      </c>
      <c r="G67" s="201" t="s">
        <v>6294</v>
      </c>
      <c r="H67" s="201" t="s">
        <v>34</v>
      </c>
      <c r="I67" s="202" t="s">
        <v>114</v>
      </c>
      <c r="J67" s="203">
        <v>2.2000000000000002</v>
      </c>
      <c r="K67" s="203">
        <v>0.75</v>
      </c>
      <c r="L67" s="203">
        <v>0.75</v>
      </c>
      <c r="M67" s="203">
        <v>0.76</v>
      </c>
      <c r="N67" s="204">
        <v>595</v>
      </c>
      <c r="O67" s="381">
        <v>0.92</v>
      </c>
      <c r="P67" s="413">
        <v>0.92100000000000004</v>
      </c>
      <c r="Q67" s="185">
        <v>595</v>
      </c>
      <c r="R67" s="185"/>
      <c r="S67" s="414"/>
      <c r="T67" s="371"/>
      <c r="U67" s="491" t="s">
        <v>390</v>
      </c>
      <c r="V67" s="491" t="s">
        <v>6295</v>
      </c>
      <c r="W67" s="491" t="s">
        <v>114</v>
      </c>
      <c r="X67" s="492">
        <v>44240</v>
      </c>
      <c r="Y67" s="492"/>
      <c r="Z67" s="492">
        <v>44241</v>
      </c>
      <c r="AA67" s="492"/>
      <c r="AB67" s="492"/>
      <c r="AC67" s="492"/>
      <c r="AD67" s="492"/>
      <c r="AE67" s="492"/>
      <c r="AF67" s="492"/>
      <c r="AG67" s="492"/>
      <c r="AH67" s="493"/>
      <c r="AI67" s="494" t="s">
        <v>69</v>
      </c>
      <c r="AJ67" s="494" t="s">
        <v>209</v>
      </c>
      <c r="AK67" s="495" t="s">
        <v>223</v>
      </c>
      <c r="AL67" s="495">
        <v>44177</v>
      </c>
      <c r="AM67" s="495">
        <v>44212</v>
      </c>
      <c r="AN67" s="495"/>
      <c r="AO67" s="199">
        <f t="shared" ca="1" si="5"/>
        <v>44958</v>
      </c>
      <c r="AP67" s="494">
        <f t="shared" ca="1" si="6"/>
        <v>746</v>
      </c>
      <c r="AQ67" s="494" t="str">
        <f t="shared" si="7"/>
        <v/>
      </c>
      <c r="AR67" s="495" t="s">
        <v>6296</v>
      </c>
      <c r="AS67" s="495" t="s">
        <v>6297</v>
      </c>
      <c r="AT67" s="496">
        <v>8.1519999999999992</v>
      </c>
      <c r="AU67" s="496">
        <v>8.1919999999999984</v>
      </c>
      <c r="AV67" s="496">
        <v>8.216999999999997</v>
      </c>
      <c r="AW67" s="496">
        <v>8.2219999999999978</v>
      </c>
      <c r="AX67" s="489">
        <f t="shared" ca="1" si="8"/>
        <v>717</v>
      </c>
      <c r="BA67" s="489" t="s">
        <v>123</v>
      </c>
      <c r="BQ67" s="489" t="s">
        <v>5656</v>
      </c>
    </row>
    <row r="68" spans="1:69" s="489" customFormat="1" ht="18" customHeight="1" x14ac:dyDescent="0.25">
      <c r="A68" s="199">
        <v>44300</v>
      </c>
      <c r="B68" s="204">
        <f ca="1">IF(A68="",(IF(ISNUMBER(SUBSTITUTE(LEFT(RIGHT(E68,LEN(E68)-MIN(SEARCH({1,2,3,4,5,6,7,8,9,0},E68&amp;"1234567890"))+1),10),".","/"))=TRUE,AO68-(SUBSTITUTE(LEFT(RIGHT(E68,LEN(E68)-MIN(SEARCH({1,2,3,4,5,6,7,8,9,0},E68&amp;"1234567890"))+1),10),".","/")),IF((SUBSTITUTE(LEFT(RIGHT(E68,LEN(E68)-MIN(SEARCH({1,2,3,4,5,6,7,8,9,0},E68&amp;"1234567890"))+1),10),".","/"))="","",(AO68)-(MID(RIGHT((SUBSTITUTE(LEFT(RIGHT(E68,LEN(E68)-MIN(SEARCH({1,2,3,4,5,6,7,8,9,0},E68&amp;"1234567890"))+1),10),".","/")),10),4,2)&amp;"/"&amp;LEFT((RIGHT((SUBSTITUTE(LEFT(RIGHT(E68,LEN(E68)-MIN(SEARCH({1,2,3,4,5,6,7,8,9,0},E68&amp;"1234567890"))+1),10),".","/")),10)),2)&amp;"/"&amp;RIGHT((SUBSTITUTE(LEFT(RIGHT(E68,LEN(E68)-MIN(SEARCH({1,2,3,4,5,6,7,8,9,0},E68&amp;"1234567890"))+1),10),".","/")),4))))),(AO68-A68))</f>
        <v>658</v>
      </c>
      <c r="C68" s="199"/>
      <c r="D68" s="201" t="str">
        <f t="shared" si="9"/>
        <v>FGCKW2-J1/2B-0.57X600</v>
      </c>
      <c r="E68" s="201" t="s">
        <v>6298</v>
      </c>
      <c r="F68" s="201" t="s">
        <v>5861</v>
      </c>
      <c r="G68" s="201" t="s">
        <v>6299</v>
      </c>
      <c r="H68" s="201" t="s">
        <v>32</v>
      </c>
      <c r="I68" s="202" t="s">
        <v>114</v>
      </c>
      <c r="J68" s="203">
        <v>1.1000000000000001</v>
      </c>
      <c r="K68" s="203">
        <v>0.56999999999999995</v>
      </c>
      <c r="L68" s="203">
        <v>0.56000000000000005</v>
      </c>
      <c r="M68" s="203">
        <v>0.56999999999999995</v>
      </c>
      <c r="N68" s="204">
        <v>600</v>
      </c>
      <c r="O68" s="381">
        <v>1.0049999999999999</v>
      </c>
      <c r="P68" s="413">
        <v>1.006</v>
      </c>
      <c r="Q68" s="185">
        <v>600</v>
      </c>
      <c r="R68" s="185"/>
      <c r="S68" s="414"/>
      <c r="T68" s="371"/>
      <c r="U68" s="491" t="s">
        <v>390</v>
      </c>
      <c r="V68" s="491" t="s">
        <v>295</v>
      </c>
      <c r="W68" s="491" t="s">
        <v>114</v>
      </c>
      <c r="X68" s="492" t="s">
        <v>5863</v>
      </c>
      <c r="Y68" s="492"/>
      <c r="Z68" s="492" t="s">
        <v>5864</v>
      </c>
      <c r="AA68" s="492"/>
      <c r="AB68" s="492" t="s">
        <v>5865</v>
      </c>
      <c r="AC68" s="492"/>
      <c r="AD68" s="492">
        <v>44283</v>
      </c>
      <c r="AE68" s="492"/>
      <c r="AF68" s="492"/>
      <c r="AG68" s="492"/>
      <c r="AH68" s="493"/>
      <c r="AI68" s="494" t="s">
        <v>69</v>
      </c>
      <c r="AJ68" s="494" t="s">
        <v>190</v>
      </c>
      <c r="AK68" s="495" t="s">
        <v>5866</v>
      </c>
      <c r="AL68" s="495"/>
      <c r="AM68" s="495">
        <v>44015</v>
      </c>
      <c r="AN68" s="495"/>
      <c r="AO68" s="199">
        <f t="shared" ca="1" si="5"/>
        <v>44958</v>
      </c>
      <c r="AP68" s="494">
        <f t="shared" ca="1" si="6"/>
        <v>943</v>
      </c>
      <c r="AQ68" s="494">
        <f t="shared" ca="1" si="7"/>
        <v>675</v>
      </c>
      <c r="AR68" s="495"/>
      <c r="AS68" s="495" t="s">
        <v>5867</v>
      </c>
      <c r="AT68" s="496">
        <v>10.414999999999999</v>
      </c>
      <c r="AU68" s="496">
        <v>10.424999999999999</v>
      </c>
      <c r="AV68" s="496">
        <v>10.449999999999998</v>
      </c>
      <c r="AW68" s="496">
        <v>10.454999999999998</v>
      </c>
      <c r="AX68" s="489">
        <f t="shared" ca="1" si="8"/>
        <v>675</v>
      </c>
      <c r="BA68" s="489" t="s">
        <v>123</v>
      </c>
      <c r="BQ68" s="489" t="s">
        <v>5656</v>
      </c>
    </row>
    <row r="69" spans="1:69" s="489" customFormat="1" ht="18" customHeight="1" x14ac:dyDescent="0.25">
      <c r="A69" s="199"/>
      <c r="B69" s="204">
        <f ca="1">IF(A69="",(IF(ISNUMBER(SUBSTITUTE(LEFT(RIGHT(E69,LEN(E69)-MIN(SEARCH({1,2,3,4,5,6,7,8,9,0},E69&amp;"1234567890"))+1),10),".","/"))=TRUE,AO69-(SUBSTITUTE(LEFT(RIGHT(E69,LEN(E69)-MIN(SEARCH({1,2,3,4,5,6,7,8,9,0},E69&amp;"1234567890"))+1),10),".","/")),IF((SUBSTITUTE(LEFT(RIGHT(E69,LEN(E69)-MIN(SEARCH({1,2,3,4,5,6,7,8,9,0},E69&amp;"1234567890"))+1),10),".","/"))="","",(AO69)-(MID(RIGHT((SUBSTITUTE(LEFT(RIGHT(E69,LEN(E69)-MIN(SEARCH({1,2,3,4,5,6,7,8,9,0},E69&amp;"1234567890"))+1),10),".","/")),10),4,2)&amp;"/"&amp;LEFT((RIGHT((SUBSTITUTE(LEFT(RIGHT(E69,LEN(E69)-MIN(SEARCH({1,2,3,4,5,6,7,8,9,0},E69&amp;"1234567890"))+1),10),".","/")),10)),2)&amp;"/"&amp;RIGHT((SUBSTITUTE(LEFT(RIGHT(E69,LEN(E69)-MIN(SEARCH({1,2,3,4,5,6,7,8,9,0},E69&amp;"1234567890"))+1),10),".","/")),4))))),(AO69-A69))</f>
        <v>671</v>
      </c>
      <c r="C69" s="199"/>
      <c r="D69" s="201" t="str">
        <f t="shared" si="9"/>
        <v>FGCKW2-304/2B-1.50X770</v>
      </c>
      <c r="E69" s="201" t="s">
        <v>6300</v>
      </c>
      <c r="F69" s="201" t="s">
        <v>6301</v>
      </c>
      <c r="G69" s="201" t="s">
        <v>6302</v>
      </c>
      <c r="H69" s="201">
        <v>304</v>
      </c>
      <c r="I69" s="202" t="s">
        <v>114</v>
      </c>
      <c r="J69" s="203">
        <v>3.79</v>
      </c>
      <c r="K69" s="203">
        <v>1.5</v>
      </c>
      <c r="L69" s="203">
        <v>1.49</v>
      </c>
      <c r="M69" s="203">
        <v>1.51</v>
      </c>
      <c r="N69" s="204">
        <v>770</v>
      </c>
      <c r="O69" s="381">
        <v>0.52</v>
      </c>
      <c r="P69" s="413"/>
      <c r="Q69" s="185">
        <v>770</v>
      </c>
      <c r="R69" s="185"/>
      <c r="S69" s="414"/>
      <c r="T69" s="371"/>
      <c r="U69" s="491" t="s">
        <v>390</v>
      </c>
      <c r="V69" s="491"/>
      <c r="W69" s="491" t="s">
        <v>114</v>
      </c>
      <c r="X69" s="492">
        <v>44286</v>
      </c>
      <c r="Y69" s="492"/>
      <c r="Z69" s="492">
        <v>44286</v>
      </c>
      <c r="AA69" s="492"/>
      <c r="AB69" s="492">
        <v>44286</v>
      </c>
      <c r="AC69" s="492"/>
      <c r="AD69" s="492"/>
      <c r="AE69" s="492"/>
      <c r="AF69" s="492"/>
      <c r="AG69" s="492"/>
      <c r="AH69" s="493"/>
      <c r="AI69" s="494" t="s">
        <v>69</v>
      </c>
      <c r="AJ69" s="494" t="s">
        <v>142</v>
      </c>
      <c r="AK69" s="495" t="s">
        <v>6303</v>
      </c>
      <c r="AL69" s="495"/>
      <c r="AM69" s="495">
        <v>44283</v>
      </c>
      <c r="AN69" s="495"/>
      <c r="AO69" s="199">
        <f t="shared" ca="1" si="5"/>
        <v>44958</v>
      </c>
      <c r="AP69" s="494">
        <f t="shared" ca="1" si="6"/>
        <v>675</v>
      </c>
      <c r="AQ69" s="494"/>
      <c r="AR69" s="495"/>
      <c r="AS69" s="495" t="s">
        <v>6304</v>
      </c>
      <c r="AT69" s="496">
        <v>10.545</v>
      </c>
      <c r="AU69" s="496">
        <v>10.565</v>
      </c>
      <c r="AV69" s="496">
        <v>10.589999999999998</v>
      </c>
      <c r="AW69" s="496">
        <v>10.594999999999999</v>
      </c>
      <c r="BA69" s="489" t="s">
        <v>123</v>
      </c>
      <c r="BC69" s="489">
        <v>304</v>
      </c>
    </row>
    <row r="70" spans="1:69" s="489" customFormat="1" ht="18" customHeight="1" x14ac:dyDescent="0.25">
      <c r="A70" s="199"/>
      <c r="B70" s="204">
        <f ca="1">IF(A70="",(IF(ISNUMBER(SUBSTITUTE(LEFT(RIGHT(E70,LEN(E70)-MIN(SEARCH({1,2,3,4,5,6,7,8,9,0},E70&amp;"1234567890"))+1),10),".","/"))=TRUE,AO70-(SUBSTITUTE(LEFT(RIGHT(E70,LEN(E70)-MIN(SEARCH({1,2,3,4,5,6,7,8,9,0},E70&amp;"1234567890"))+1),10),".","/")),IF((SUBSTITUTE(LEFT(RIGHT(E70,LEN(E70)-MIN(SEARCH({1,2,3,4,5,6,7,8,9,0},E70&amp;"1234567890"))+1),10),".","/"))="","",(AO70)-(MID(RIGHT((SUBSTITUTE(LEFT(RIGHT(E70,LEN(E70)-MIN(SEARCH({1,2,3,4,5,6,7,8,9,0},E70&amp;"1234567890"))+1),10),".","/")),10),4,2)&amp;"/"&amp;LEFT((RIGHT((SUBSTITUTE(LEFT(RIGHT(E70,LEN(E70)-MIN(SEARCH({1,2,3,4,5,6,7,8,9,0},E70&amp;"1234567890"))+1),10),".","/")),10)),2)&amp;"/"&amp;RIGHT((SUBSTITUTE(LEFT(RIGHT(E70,LEN(E70)-MIN(SEARCH({1,2,3,4,5,6,7,8,9,0},E70&amp;"1234567890"))+1),10),".","/")),4))))),(AO70-A70))</f>
        <v>671</v>
      </c>
      <c r="C70" s="199"/>
      <c r="D70" s="201" t="str">
        <f t="shared" si="9"/>
        <v>FGCKW2-304/304L/2B-1.50X760</v>
      </c>
      <c r="E70" s="201" t="s">
        <v>6305</v>
      </c>
      <c r="F70" s="201" t="s">
        <v>6306</v>
      </c>
      <c r="G70" s="201" t="s">
        <v>6307</v>
      </c>
      <c r="H70" s="201" t="s">
        <v>614</v>
      </c>
      <c r="I70" s="202" t="s">
        <v>114</v>
      </c>
      <c r="J70" s="203">
        <v>3.84</v>
      </c>
      <c r="K70" s="203">
        <v>1.5</v>
      </c>
      <c r="L70" s="203">
        <v>1.52</v>
      </c>
      <c r="M70" s="203">
        <v>1.54</v>
      </c>
      <c r="N70" s="204">
        <v>770</v>
      </c>
      <c r="O70" s="381">
        <v>0.315</v>
      </c>
      <c r="P70" s="413"/>
      <c r="Q70" s="185">
        <v>760</v>
      </c>
      <c r="R70" s="185"/>
      <c r="S70" s="414"/>
      <c r="T70" s="371"/>
      <c r="U70" s="491" t="s">
        <v>390</v>
      </c>
      <c r="V70" s="491" t="s">
        <v>6308</v>
      </c>
      <c r="W70" s="491" t="s">
        <v>114</v>
      </c>
      <c r="X70" s="492">
        <v>44285</v>
      </c>
      <c r="Y70" s="492"/>
      <c r="Z70" s="492">
        <v>44285</v>
      </c>
      <c r="AA70" s="492"/>
      <c r="AB70" s="492">
        <v>44286</v>
      </c>
      <c r="AC70" s="492"/>
      <c r="AD70" s="492"/>
      <c r="AE70" s="492"/>
      <c r="AF70" s="492"/>
      <c r="AG70" s="492"/>
      <c r="AH70" s="493"/>
      <c r="AI70" s="494" t="s">
        <v>69</v>
      </c>
      <c r="AJ70" s="494" t="s">
        <v>142</v>
      </c>
      <c r="AK70" s="495" t="s">
        <v>6303</v>
      </c>
      <c r="AL70" s="495"/>
      <c r="AM70" s="495">
        <v>44283</v>
      </c>
      <c r="AN70" s="495"/>
      <c r="AO70" s="199">
        <f t="shared" ca="1" si="5"/>
        <v>44958</v>
      </c>
      <c r="AP70" s="494">
        <f t="shared" ca="1" si="6"/>
        <v>675</v>
      </c>
      <c r="AQ70" s="494"/>
      <c r="AR70" s="495"/>
      <c r="AS70" s="495" t="s">
        <v>6309</v>
      </c>
      <c r="AT70" s="496">
        <v>10.535</v>
      </c>
      <c r="AU70" s="496">
        <v>10.555</v>
      </c>
      <c r="AV70" s="496">
        <v>10.579999999999998</v>
      </c>
      <c r="AW70" s="496">
        <v>10.584999999999999</v>
      </c>
      <c r="BA70" s="489" t="s">
        <v>123</v>
      </c>
      <c r="BC70" s="489" t="s">
        <v>614</v>
      </c>
    </row>
    <row r="71" spans="1:69" s="489" customFormat="1" ht="18" customHeight="1" x14ac:dyDescent="0.25">
      <c r="A71" s="444">
        <v>44300</v>
      </c>
      <c r="B71" s="204">
        <f ca="1">IF(A71="",(IF(ISNUMBER(SUBSTITUTE(LEFT(RIGHT(E71,LEN(E71)-MIN(SEARCH({1,2,3,4,5,6,7,8,9,0},E71&amp;"1234567890"))+1),10),".","/"))=TRUE,AO71-(SUBSTITUTE(LEFT(RIGHT(E71,LEN(E71)-MIN(SEARCH({1,2,3,4,5,6,7,8,9,0},E71&amp;"1234567890"))+1),10),".","/")),IF((SUBSTITUTE(LEFT(RIGHT(E71,LEN(E71)-MIN(SEARCH({1,2,3,4,5,6,7,8,9,0},E71&amp;"1234567890"))+1),10),".","/"))="","",(AO71)-(MID(RIGHT((SUBSTITUTE(LEFT(RIGHT(E71,LEN(E71)-MIN(SEARCH({1,2,3,4,5,6,7,8,9,0},E71&amp;"1234567890"))+1),10),".","/")),10),4,2)&amp;"/"&amp;LEFT((RIGHT((SUBSTITUTE(LEFT(RIGHT(E71,LEN(E71)-MIN(SEARCH({1,2,3,4,5,6,7,8,9,0},E71&amp;"1234567890"))+1),10),".","/")),10)),2)&amp;"/"&amp;RIGHT((SUBSTITUTE(LEFT(RIGHT(E71,LEN(E71)-MIN(SEARCH({1,2,3,4,5,6,7,8,9,0},E71&amp;"1234567890"))+1),10),".","/")),4))))),(AO71-A71))</f>
        <v>658</v>
      </c>
      <c r="C71" s="199"/>
      <c r="D71" s="201" t="str">
        <f t="shared" si="9"/>
        <v>FGCKW2-304L/2B-0.40X45</v>
      </c>
      <c r="E71" s="201" t="s">
        <v>6310</v>
      </c>
      <c r="F71" s="201" t="s">
        <v>6311</v>
      </c>
      <c r="G71" s="201" t="s">
        <v>6312</v>
      </c>
      <c r="H71" s="201" t="s">
        <v>182</v>
      </c>
      <c r="I71" s="202" t="s">
        <v>114</v>
      </c>
      <c r="J71" s="203">
        <v>0.79</v>
      </c>
      <c r="K71" s="203">
        <v>0.4</v>
      </c>
      <c r="L71" s="203">
        <v>0.41</v>
      </c>
      <c r="M71" s="203">
        <v>0.42</v>
      </c>
      <c r="N71" s="204">
        <v>770</v>
      </c>
      <c r="O71" s="381">
        <v>0.35</v>
      </c>
      <c r="P71" s="413"/>
      <c r="Q71" s="185">
        <v>45</v>
      </c>
      <c r="R71" s="185"/>
      <c r="S71" s="414"/>
      <c r="T71" s="371"/>
      <c r="U71" s="491" t="s">
        <v>390</v>
      </c>
      <c r="V71" s="491" t="s">
        <v>6313</v>
      </c>
      <c r="W71" s="491" t="s">
        <v>114</v>
      </c>
      <c r="X71" s="492" t="s">
        <v>6314</v>
      </c>
      <c r="Y71" s="492"/>
      <c r="Z71" s="492" t="s">
        <v>6315</v>
      </c>
      <c r="AA71" s="492"/>
      <c r="AB71" s="492" t="s">
        <v>6316</v>
      </c>
      <c r="AC71" s="492"/>
      <c r="AD71" s="492" t="s">
        <v>6317</v>
      </c>
      <c r="AE71" s="492"/>
      <c r="AF71" s="492"/>
      <c r="AG71" s="492"/>
      <c r="AH71" s="493"/>
      <c r="AI71" s="494" t="s">
        <v>69</v>
      </c>
      <c r="AJ71" s="494" t="s">
        <v>190</v>
      </c>
      <c r="AK71" s="495" t="s">
        <v>5773</v>
      </c>
      <c r="AL71" s="495"/>
      <c r="AM71" s="495">
        <v>44069</v>
      </c>
      <c r="AN71" s="495"/>
      <c r="AO71" s="199">
        <f t="shared" ca="1" si="5"/>
        <v>44958</v>
      </c>
      <c r="AP71" s="494">
        <f t="shared" ca="1" si="6"/>
        <v>889</v>
      </c>
      <c r="AQ71" s="494">
        <f ca="1">IF(ISNUMBER(AB71)=TRUE,AO71-AB71,IF(AB71="","",(AO71)-(MID(RIGHT(AB71,10),4,2)&amp;"/"&amp;LEFT((RIGHT(AB71,10)),2)&amp;"/"&amp;RIGHT(AB71,4))))</f>
        <v>687</v>
      </c>
      <c r="AR71" s="495"/>
      <c r="AS71" s="495" t="s">
        <v>6318</v>
      </c>
      <c r="AT71" s="496">
        <v>11.815</v>
      </c>
      <c r="AU71" s="496">
        <v>11.824999999999999</v>
      </c>
      <c r="AV71" s="496">
        <v>11.849999999999998</v>
      </c>
      <c r="AW71" s="496">
        <v>11.854999999999999</v>
      </c>
      <c r="AX71" s="489">
        <f t="shared" ref="AX71:AX82" ca="1" si="10">IF(ISNUMBER(Z71)=TRUE,AO71-Z71,IF(Z71="","",(AO71)-(MID(RIGHT(Z71,10),4,2)&amp;"/"&amp;LEFT((RIGHT(Z71,10)),2)&amp;"/"&amp;RIGHT(Z71,4))))</f>
        <v>702</v>
      </c>
      <c r="BA71" s="489" t="s">
        <v>123</v>
      </c>
      <c r="BQ71" s="489" t="s">
        <v>5656</v>
      </c>
    </row>
    <row r="72" spans="1:69" s="489" customFormat="1" ht="18" customHeight="1" x14ac:dyDescent="0.25">
      <c r="A72" s="444">
        <v>44300</v>
      </c>
      <c r="B72" s="204">
        <f ca="1">IF(A72="",(IF(ISNUMBER(SUBSTITUTE(LEFT(RIGHT(E72,LEN(E72)-MIN(SEARCH({1,2,3,4,5,6,7,8,9,0},E72&amp;"1234567890"))+1),10),".","/"))=TRUE,AO72-(SUBSTITUTE(LEFT(RIGHT(E72,LEN(E72)-MIN(SEARCH({1,2,3,4,5,6,7,8,9,0},E72&amp;"1234567890"))+1),10),".","/")),IF((SUBSTITUTE(LEFT(RIGHT(E72,LEN(E72)-MIN(SEARCH({1,2,3,4,5,6,7,8,9,0},E72&amp;"1234567890"))+1),10),".","/"))="","",(AO72)-(MID(RIGHT((SUBSTITUTE(LEFT(RIGHT(E72,LEN(E72)-MIN(SEARCH({1,2,3,4,5,6,7,8,9,0},E72&amp;"1234567890"))+1),10),".","/")),10),4,2)&amp;"/"&amp;LEFT((RIGHT((SUBSTITUTE(LEFT(RIGHT(E72,LEN(E72)-MIN(SEARCH({1,2,3,4,5,6,7,8,9,0},E72&amp;"1234567890"))+1),10),".","/")),10)),2)&amp;"/"&amp;RIGHT((SUBSTITUTE(LEFT(RIGHT(E72,LEN(E72)-MIN(SEARCH({1,2,3,4,5,6,7,8,9,0},E72&amp;"1234567890"))+1),10),".","/")),4))))),(AO72-A72))</f>
        <v>658</v>
      </c>
      <c r="C72" s="199"/>
      <c r="D72" s="201" t="str">
        <f t="shared" si="9"/>
        <v>FGCKW2-J3/2B-0.36X59</v>
      </c>
      <c r="E72" s="201" t="s">
        <v>6319</v>
      </c>
      <c r="F72" s="201" t="s">
        <v>6320</v>
      </c>
      <c r="G72" s="201" t="s">
        <v>6321</v>
      </c>
      <c r="H72" s="201" t="s">
        <v>34</v>
      </c>
      <c r="I72" s="202" t="s">
        <v>114</v>
      </c>
      <c r="J72" s="203">
        <v>0.65</v>
      </c>
      <c r="K72" s="203">
        <v>0.36</v>
      </c>
      <c r="L72" s="203">
        <v>0.35</v>
      </c>
      <c r="M72" s="203">
        <v>0.36</v>
      </c>
      <c r="N72" s="204">
        <v>585</v>
      </c>
      <c r="O72" s="381">
        <f>3.61-3.24</f>
        <v>0.36999999999999966</v>
      </c>
      <c r="P72" s="413"/>
      <c r="Q72" s="185">
        <v>59</v>
      </c>
      <c r="R72" s="185"/>
      <c r="S72" s="414"/>
      <c r="T72" s="371"/>
      <c r="U72" s="491" t="s">
        <v>390</v>
      </c>
      <c r="V72" s="491" t="s">
        <v>6322</v>
      </c>
      <c r="W72" s="491" t="s">
        <v>114</v>
      </c>
      <c r="X72" s="492" t="s">
        <v>6323</v>
      </c>
      <c r="Y72" s="492"/>
      <c r="Z72" s="492" t="s">
        <v>287</v>
      </c>
      <c r="AA72" s="492"/>
      <c r="AB72" s="492" t="s">
        <v>6324</v>
      </c>
      <c r="AC72" s="492"/>
      <c r="AD72" s="492">
        <v>44281</v>
      </c>
      <c r="AE72" s="492"/>
      <c r="AF72" s="492"/>
      <c r="AG72" s="492"/>
      <c r="AH72" s="493"/>
      <c r="AI72" s="494" t="s">
        <v>69</v>
      </c>
      <c r="AJ72" s="494" t="s">
        <v>248</v>
      </c>
      <c r="AK72" s="495" t="s">
        <v>6325</v>
      </c>
      <c r="AL72" s="495">
        <v>44200</v>
      </c>
      <c r="AM72" s="495">
        <v>44224</v>
      </c>
      <c r="AN72" s="495"/>
      <c r="AO72" s="199">
        <f t="shared" ca="1" si="5"/>
        <v>44958</v>
      </c>
      <c r="AP72" s="494">
        <f t="shared" ca="1" si="6"/>
        <v>734</v>
      </c>
      <c r="AQ72" s="494">
        <f ca="1">IF(ISNUMBER(AB72)=TRUE,AO72-AB72,IF(AB72="","",(AO72)-(MID(RIGHT(AB72,10),4,2)&amp;"/"&amp;LEFT((RIGHT(AB72,10)),2)&amp;"/"&amp;RIGHT(AB72,4))))</f>
        <v>676</v>
      </c>
      <c r="AR72" s="495" t="s">
        <v>6326</v>
      </c>
      <c r="AS72" s="495" t="s">
        <v>6327</v>
      </c>
      <c r="AT72" s="496">
        <v>7.55</v>
      </c>
      <c r="AU72" s="496">
        <v>7.59</v>
      </c>
      <c r="AV72" s="496">
        <v>7.6150000000000002</v>
      </c>
      <c r="AW72" s="496">
        <v>7.62</v>
      </c>
      <c r="AX72" s="489">
        <f t="shared" ca="1" si="10"/>
        <v>676</v>
      </c>
      <c r="BA72" s="489" t="s">
        <v>123</v>
      </c>
      <c r="BQ72" s="489" t="s">
        <v>5656</v>
      </c>
    </row>
    <row r="73" spans="1:69" s="489" customFormat="1" ht="20.25" customHeight="1" x14ac:dyDescent="0.25">
      <c r="A73" s="444">
        <v>44300</v>
      </c>
      <c r="B73" s="204">
        <f ca="1">IF(A73="",(IF(ISNUMBER(SUBSTITUTE(LEFT(RIGHT(E73,LEN(E73)-MIN(SEARCH({1,2,3,4,5,6,7,8,9,0},E73&amp;"1234567890"))+1),10),".","/"))=TRUE,AO73-(SUBSTITUTE(LEFT(RIGHT(E73,LEN(E73)-MIN(SEARCH({1,2,3,4,5,6,7,8,9,0},E73&amp;"1234567890"))+1),10),".","/")),IF((SUBSTITUTE(LEFT(RIGHT(E73,LEN(E73)-MIN(SEARCH({1,2,3,4,5,6,7,8,9,0},E73&amp;"1234567890"))+1),10),".","/"))="","",(AO73)-(MID(RIGHT((SUBSTITUTE(LEFT(RIGHT(E73,LEN(E73)-MIN(SEARCH({1,2,3,4,5,6,7,8,9,0},E73&amp;"1234567890"))+1),10),".","/")),10),4,2)&amp;"/"&amp;LEFT((RIGHT((SUBSTITUTE(LEFT(RIGHT(E73,LEN(E73)-MIN(SEARCH({1,2,3,4,5,6,7,8,9,0},E73&amp;"1234567890"))+1),10),".","/")),10)),2)&amp;"/"&amp;RIGHT((SUBSTITUTE(LEFT(RIGHT(E73,LEN(E73)-MIN(SEARCH({1,2,3,4,5,6,7,8,9,0},E73&amp;"1234567890"))+1),10),".","/")),4))))),(AO73-A73))</f>
        <v>658</v>
      </c>
      <c r="C73" s="199"/>
      <c r="D73" s="201" t="str">
        <f t="shared" si="9"/>
        <v>FGCKW2-J3/2B-0.45X48.8</v>
      </c>
      <c r="E73" s="201" t="s">
        <v>6328</v>
      </c>
      <c r="F73" s="201" t="s">
        <v>6329</v>
      </c>
      <c r="G73" s="201" t="s">
        <v>6330</v>
      </c>
      <c r="H73" s="201" t="s">
        <v>34</v>
      </c>
      <c r="I73" s="202" t="s">
        <v>114</v>
      </c>
      <c r="J73" s="203">
        <v>0.91</v>
      </c>
      <c r="K73" s="203">
        <v>0.45</v>
      </c>
      <c r="L73" s="203">
        <v>0.44</v>
      </c>
      <c r="M73" s="203">
        <v>0.45</v>
      </c>
      <c r="N73" s="204">
        <v>585</v>
      </c>
      <c r="O73" s="381">
        <f>4.075-3.725</f>
        <v>0.35000000000000009</v>
      </c>
      <c r="P73" s="413"/>
      <c r="Q73" s="185">
        <v>48.8</v>
      </c>
      <c r="R73" s="185"/>
      <c r="S73" s="414"/>
      <c r="T73" s="371"/>
      <c r="U73" s="491" t="s">
        <v>390</v>
      </c>
      <c r="V73" s="491" t="s">
        <v>6331</v>
      </c>
      <c r="W73" s="185" t="s">
        <v>114</v>
      </c>
      <c r="X73" s="492" t="s">
        <v>6332</v>
      </c>
      <c r="Y73" s="492"/>
      <c r="Z73" s="492" t="s">
        <v>6333</v>
      </c>
      <c r="AA73" s="492"/>
      <c r="AB73" s="492" t="s">
        <v>6334</v>
      </c>
      <c r="AC73" s="492"/>
      <c r="AD73" s="492">
        <v>44239</v>
      </c>
      <c r="AE73" s="492"/>
      <c r="AF73" s="492"/>
      <c r="AG73" s="492"/>
      <c r="AH73" s="493"/>
      <c r="AI73" s="494" t="s">
        <v>69</v>
      </c>
      <c r="AJ73" s="494" t="s">
        <v>209</v>
      </c>
      <c r="AK73" s="495" t="s">
        <v>5839</v>
      </c>
      <c r="AL73" s="495">
        <v>44177</v>
      </c>
      <c r="AM73" s="495">
        <v>44214</v>
      </c>
      <c r="AN73" s="495"/>
      <c r="AO73" s="199">
        <f t="shared" ca="1" si="5"/>
        <v>44958</v>
      </c>
      <c r="AP73" s="494">
        <f t="shared" ca="1" si="6"/>
        <v>744</v>
      </c>
      <c r="AQ73" s="494">
        <f ca="1">IF(ISNUMBER(AB73)=TRUE,AO73-AB73,IF(AB73="","",(AO73)-(MID(RIGHT(AB73,10),4,2)&amp;"/"&amp;LEFT((RIGHT(AB73,10)),2)&amp;"/"&amp;RIGHT(AB73,4))))</f>
        <v>715</v>
      </c>
      <c r="AR73" s="495" t="s">
        <v>6335</v>
      </c>
      <c r="AS73" s="495" t="s">
        <v>5841</v>
      </c>
      <c r="AT73" s="496">
        <v>8.1440000000000001</v>
      </c>
      <c r="AU73" s="496">
        <v>8.1839999999999993</v>
      </c>
      <c r="AV73" s="496">
        <v>8.2089999999999979</v>
      </c>
      <c r="AW73" s="496">
        <v>8.2139999999999986</v>
      </c>
      <c r="AX73" s="489">
        <f t="shared" ca="1" si="10"/>
        <v>715</v>
      </c>
      <c r="BA73" s="489" t="s">
        <v>123</v>
      </c>
      <c r="BQ73" s="489" t="s">
        <v>5656</v>
      </c>
    </row>
    <row r="74" spans="1:69" s="489" customFormat="1" ht="18" customHeight="1" x14ac:dyDescent="0.25">
      <c r="A74" s="199">
        <v>44299</v>
      </c>
      <c r="B74" s="204">
        <f ca="1">IF(A74="",(IF(ISNUMBER(SUBSTITUTE(LEFT(RIGHT(E74,LEN(E74)-MIN(SEARCH({1,2,3,4,5,6,7,8,9,0},E74&amp;"1234567890"))+1),10),".","/"))=TRUE,AO74-(SUBSTITUTE(LEFT(RIGHT(E74,LEN(E74)-MIN(SEARCH({1,2,3,4,5,6,7,8,9,0},E74&amp;"1234567890"))+1),10),".","/")),IF((SUBSTITUTE(LEFT(RIGHT(E74,LEN(E74)-MIN(SEARCH({1,2,3,4,5,6,7,8,9,0},E74&amp;"1234567890"))+1),10),".","/"))="","",(AO74)-(MID(RIGHT((SUBSTITUTE(LEFT(RIGHT(E74,LEN(E74)-MIN(SEARCH({1,2,3,4,5,6,7,8,9,0},E74&amp;"1234567890"))+1),10),".","/")),10),4,2)&amp;"/"&amp;LEFT((RIGHT((SUBSTITUTE(LEFT(RIGHT(E74,LEN(E74)-MIN(SEARCH({1,2,3,4,5,6,7,8,9,0},E74&amp;"1234567890"))+1),10),".","/")),10)),2)&amp;"/"&amp;RIGHT((SUBSTITUTE(LEFT(RIGHT(E74,LEN(E74)-MIN(SEARCH({1,2,3,4,5,6,7,8,9,0},E74&amp;"1234567890"))+1),10),".","/")),4))))),(AO74-A74))</f>
        <v>659</v>
      </c>
      <c r="C74" s="199"/>
      <c r="D74" s="201" t="str">
        <f>IF(Q74="MULTI","FGM","FGC")&amp;"-"&amp;H74&amp;"/"&amp;I74&amp;"-"&amp;TEXT(K74,"0.00")&amp;"X"&amp;IF(Q74="MULTI",N74,Q74)</f>
        <v>FGC-J3/2B-0.91X595</v>
      </c>
      <c r="E74" s="201" t="s">
        <v>6336</v>
      </c>
      <c r="F74" s="201" t="s">
        <v>6337</v>
      </c>
      <c r="G74" s="201" t="s">
        <v>6338</v>
      </c>
      <c r="H74" s="201" t="s">
        <v>34</v>
      </c>
      <c r="I74" s="202" t="s">
        <v>114</v>
      </c>
      <c r="J74" s="203">
        <v>2.2000000000000002</v>
      </c>
      <c r="K74" s="203">
        <v>0.91</v>
      </c>
      <c r="L74" s="203">
        <v>0.89</v>
      </c>
      <c r="M74" s="203">
        <v>0.9</v>
      </c>
      <c r="N74" s="204">
        <v>595</v>
      </c>
      <c r="O74" s="381">
        <v>0.24</v>
      </c>
      <c r="P74" s="413">
        <v>0.24099999999999999</v>
      </c>
      <c r="Q74" s="185">
        <v>595</v>
      </c>
      <c r="R74" s="185"/>
      <c r="S74" s="414"/>
      <c r="T74" s="371"/>
      <c r="U74" s="491" t="s">
        <v>390</v>
      </c>
      <c r="V74" s="491"/>
      <c r="W74" s="491" t="s">
        <v>114</v>
      </c>
      <c r="X74" s="492">
        <v>44241</v>
      </c>
      <c r="Y74" s="492"/>
      <c r="Z74" s="492">
        <v>44241</v>
      </c>
      <c r="AA74" s="492"/>
      <c r="AB74" s="492">
        <v>44246</v>
      </c>
      <c r="AC74" s="492"/>
      <c r="AD74" s="492"/>
      <c r="AE74" s="492"/>
      <c r="AF74" s="492"/>
      <c r="AG74" s="492"/>
      <c r="AH74" s="493"/>
      <c r="AI74" s="494" t="s">
        <v>69</v>
      </c>
      <c r="AJ74" s="494" t="s">
        <v>209</v>
      </c>
      <c r="AK74" s="495" t="s">
        <v>5839</v>
      </c>
      <c r="AL74" s="495">
        <v>44177</v>
      </c>
      <c r="AM74" s="495">
        <v>44214</v>
      </c>
      <c r="AN74" s="495"/>
      <c r="AO74" s="199">
        <f t="shared" ca="1" si="5"/>
        <v>44958</v>
      </c>
      <c r="AP74" s="494">
        <f t="shared" ca="1" si="6"/>
        <v>744</v>
      </c>
      <c r="AQ74" s="494">
        <f ca="1">IF(ISNUMBER(AB74)=TRUE,AO74-AB74,IF(AB74="","",(AO74)-(MID(RIGHT(AB74,10),4,2)&amp;"/"&amp;LEFT((RIGHT(AB74,10)),2)&amp;"/"&amp;RIGHT(AB74,4))))</f>
        <v>712</v>
      </c>
      <c r="AR74" s="495" t="s">
        <v>6339</v>
      </c>
      <c r="AS74" s="495" t="s">
        <v>5841</v>
      </c>
      <c r="AT74" s="496">
        <v>8.1340000000000003</v>
      </c>
      <c r="AU74" s="496">
        <v>8.1739999999999995</v>
      </c>
      <c r="AV74" s="496">
        <v>8.1989999999999981</v>
      </c>
      <c r="AW74" s="496">
        <v>8.2039999999999988</v>
      </c>
      <c r="AX74" s="489">
        <f t="shared" ca="1" si="10"/>
        <v>717</v>
      </c>
      <c r="BA74" s="489" t="s">
        <v>123</v>
      </c>
      <c r="BQ74" s="489" t="s">
        <v>5678</v>
      </c>
    </row>
    <row r="75" spans="1:69" s="489" customFormat="1" ht="18" customHeight="1" x14ac:dyDescent="0.25">
      <c r="A75" s="199">
        <v>44300</v>
      </c>
      <c r="B75" s="204">
        <f ca="1">IF(A75="",(IF(ISNUMBER(SUBSTITUTE(LEFT(RIGHT(E75,LEN(E75)-MIN(SEARCH({1,2,3,4,5,6,7,8,9,0},E75&amp;"1234567890"))+1),10),".","/"))=TRUE,AO75-(SUBSTITUTE(LEFT(RIGHT(E75,LEN(E75)-MIN(SEARCH({1,2,3,4,5,6,7,8,9,0},E75&amp;"1234567890"))+1),10),".","/")),IF((SUBSTITUTE(LEFT(RIGHT(E75,LEN(E75)-MIN(SEARCH({1,2,3,4,5,6,7,8,9,0},E75&amp;"1234567890"))+1),10),".","/"))="","",(AO75)-(MID(RIGHT((SUBSTITUTE(LEFT(RIGHT(E75,LEN(E75)-MIN(SEARCH({1,2,3,4,5,6,7,8,9,0},E75&amp;"1234567890"))+1),10),".","/")),10),4,2)&amp;"/"&amp;LEFT((RIGHT((SUBSTITUTE(LEFT(RIGHT(E75,LEN(E75)-MIN(SEARCH({1,2,3,4,5,6,7,8,9,0},E75&amp;"1234567890"))+1),10),".","/")),10)),2)&amp;"/"&amp;RIGHT((SUBSTITUTE(LEFT(RIGHT(E75,LEN(E75)-MIN(SEARCH({1,2,3,4,5,6,7,8,9,0},E75&amp;"1234567890"))+1),10),".","/")),4))))),(AO75-A75))</f>
        <v>658</v>
      </c>
      <c r="C75" s="199"/>
      <c r="D75" s="201" t="str">
        <f t="shared" ref="D75:D104" si="11">IF(LEFT(U75,7)="MAT RET","R"&amp;"-"&amp;H75&amp;"/"&amp;I75&amp;"-"&amp;TEXT(K75,"0.00")&amp;"X"&amp;IF(Q75="",N75,Q75),IF(N75&lt;570,"FGMKW2","FGCKW2")&amp;"-"&amp;H75&amp;"/"&amp;I75&amp;"-"&amp;TEXT(K75,"0.00")&amp;"X"&amp;IF(Q75="",N75,Q75))</f>
        <v>FGCKW2-J3/2B-1.16X595</v>
      </c>
      <c r="E75" s="201" t="s">
        <v>6340</v>
      </c>
      <c r="F75" s="201" t="s">
        <v>6341</v>
      </c>
      <c r="G75" s="201" t="s">
        <v>6342</v>
      </c>
      <c r="H75" s="201" t="s">
        <v>34</v>
      </c>
      <c r="I75" s="202" t="s">
        <v>114</v>
      </c>
      <c r="J75" s="203">
        <v>2.4</v>
      </c>
      <c r="K75" s="203">
        <v>1.1599999999999999</v>
      </c>
      <c r="L75" s="203">
        <v>1.2</v>
      </c>
      <c r="M75" s="203">
        <v>1.2</v>
      </c>
      <c r="N75" s="204">
        <v>595</v>
      </c>
      <c r="O75" s="381">
        <v>0.59</v>
      </c>
      <c r="P75" s="413">
        <v>0.59099999999999997</v>
      </c>
      <c r="Q75" s="185">
        <v>595</v>
      </c>
      <c r="R75" s="185"/>
      <c r="S75" s="414"/>
      <c r="T75" s="371"/>
      <c r="U75" s="491" t="s">
        <v>390</v>
      </c>
      <c r="V75" s="491" t="s">
        <v>1555</v>
      </c>
      <c r="W75" s="491" t="s">
        <v>1224</v>
      </c>
      <c r="X75" s="492" t="s">
        <v>6343</v>
      </c>
      <c r="Y75" s="492"/>
      <c r="Z75" s="492">
        <v>44222</v>
      </c>
      <c r="AA75" s="492"/>
      <c r="AB75" s="492">
        <v>44224</v>
      </c>
      <c r="AC75" s="492"/>
      <c r="AD75" s="492"/>
      <c r="AE75" s="492"/>
      <c r="AF75" s="492"/>
      <c r="AG75" s="492"/>
      <c r="AH75" s="493"/>
      <c r="AI75" s="494" t="s">
        <v>69</v>
      </c>
      <c r="AJ75" s="494" t="s">
        <v>209</v>
      </c>
      <c r="AK75" s="495" t="s">
        <v>5820</v>
      </c>
      <c r="AL75" s="495">
        <v>44141</v>
      </c>
      <c r="AM75" s="495">
        <v>44181</v>
      </c>
      <c r="AN75" s="495"/>
      <c r="AO75" s="199">
        <f t="shared" ca="1" si="5"/>
        <v>44958</v>
      </c>
      <c r="AP75" s="494">
        <f t="shared" ca="1" si="6"/>
        <v>777</v>
      </c>
      <c r="AQ75" s="494">
        <f ca="1">IF(ISNUMBER(AB75)=TRUE,AO75-AB75,IF(AB75="","",(AO75)-(MID(RIGHT(AB75,10),4,2)&amp;"/"&amp;LEFT((RIGHT(AB75,10)),2)&amp;"/"&amp;RIGHT(AB75,4))))</f>
        <v>734</v>
      </c>
      <c r="AR75" s="495" t="s">
        <v>6344</v>
      </c>
      <c r="AS75" s="495" t="s">
        <v>5850</v>
      </c>
      <c r="AT75" s="496">
        <v>8.1229999999999993</v>
      </c>
      <c r="AU75" s="496">
        <v>8.1529999999999987</v>
      </c>
      <c r="AV75" s="496">
        <v>8.1779999999999973</v>
      </c>
      <c r="AW75" s="496">
        <v>8.1829999999999981</v>
      </c>
      <c r="AX75" s="489">
        <f t="shared" ca="1" si="10"/>
        <v>736</v>
      </c>
      <c r="BA75" s="489" t="s">
        <v>123</v>
      </c>
      <c r="BQ75" s="489" t="s">
        <v>5678</v>
      </c>
    </row>
    <row r="76" spans="1:69" s="489" customFormat="1" ht="18" customHeight="1" x14ac:dyDescent="0.25">
      <c r="A76" s="199"/>
      <c r="B76" s="204">
        <f ca="1">IF(A76="",(IF(ISNUMBER(SUBSTITUTE(LEFT(RIGHT(E76,LEN(E76)-MIN(SEARCH({1,2,3,4,5,6,7,8,9,0},E76&amp;"1234567890"))+1),10),".","/"))=TRUE,AO76-(SUBSTITUTE(LEFT(RIGHT(E76,LEN(E76)-MIN(SEARCH({1,2,3,4,5,6,7,8,9,0},E76&amp;"1234567890"))+1),10),".","/")),IF((SUBSTITUTE(LEFT(RIGHT(E76,LEN(E76)-MIN(SEARCH({1,2,3,4,5,6,7,8,9,0},E76&amp;"1234567890"))+1),10),".","/"))="","",(AO76)-(MID(RIGHT((SUBSTITUTE(LEFT(RIGHT(E76,LEN(E76)-MIN(SEARCH({1,2,3,4,5,6,7,8,9,0},E76&amp;"1234567890"))+1),10),".","/")),10),4,2)&amp;"/"&amp;LEFT((RIGHT((SUBSTITUTE(LEFT(RIGHT(E76,LEN(E76)-MIN(SEARCH({1,2,3,4,5,6,7,8,9,0},E76&amp;"1234567890"))+1),10),".","/")),10)),2)&amp;"/"&amp;RIGHT((SUBSTITUTE(LEFT(RIGHT(E76,LEN(E76)-MIN(SEARCH({1,2,3,4,5,6,7,8,9,0},E76&amp;"1234567890"))+1),10),".","/")),4))))),(AO76-A76))</f>
        <v>636</v>
      </c>
      <c r="C76" s="199"/>
      <c r="D76" s="201" t="str">
        <f t="shared" si="11"/>
        <v>FGCKW2-J3/2B-1.40X97</v>
      </c>
      <c r="E76" s="201" t="s">
        <v>6345</v>
      </c>
      <c r="F76" s="201" t="s">
        <v>6346</v>
      </c>
      <c r="G76" s="201" t="s">
        <v>6347</v>
      </c>
      <c r="H76" s="201" t="s">
        <v>34</v>
      </c>
      <c r="I76" s="202" t="s">
        <v>114</v>
      </c>
      <c r="J76" s="203">
        <v>2.4</v>
      </c>
      <c r="K76" s="203">
        <v>1.4</v>
      </c>
      <c r="L76" s="203">
        <v>1.37</v>
      </c>
      <c r="M76" s="203">
        <v>1.38</v>
      </c>
      <c r="N76" s="204">
        <v>595</v>
      </c>
      <c r="O76" s="381">
        <f>3.865-3.215</f>
        <v>0.65000000000000036</v>
      </c>
      <c r="P76" s="413"/>
      <c r="Q76" s="185">
        <v>97</v>
      </c>
      <c r="R76" s="185"/>
      <c r="S76" s="414"/>
      <c r="T76" s="371"/>
      <c r="U76" s="491" t="s">
        <v>390</v>
      </c>
      <c r="V76" s="491" t="s">
        <v>295</v>
      </c>
      <c r="W76" s="491" t="s">
        <v>114</v>
      </c>
      <c r="X76" s="492">
        <v>44276</v>
      </c>
      <c r="Y76" s="492"/>
      <c r="Z76" s="492">
        <v>44276</v>
      </c>
      <c r="AA76" s="492"/>
      <c r="AB76" s="492">
        <v>44277</v>
      </c>
      <c r="AC76" s="492"/>
      <c r="AD76" s="492"/>
      <c r="AE76" s="492"/>
      <c r="AF76" s="492"/>
      <c r="AG76" s="492"/>
      <c r="AH76" s="493"/>
      <c r="AI76" s="494" t="s">
        <v>69</v>
      </c>
      <c r="AJ76" s="494" t="s">
        <v>248</v>
      </c>
      <c r="AK76" s="495" t="s">
        <v>288</v>
      </c>
      <c r="AL76" s="495">
        <v>44224</v>
      </c>
      <c r="AM76" s="495">
        <v>44247</v>
      </c>
      <c r="AN76" s="495"/>
      <c r="AO76" s="199">
        <f t="shared" ca="1" si="5"/>
        <v>44958</v>
      </c>
      <c r="AP76" s="494">
        <f t="shared" ca="1" si="6"/>
        <v>711</v>
      </c>
      <c r="AQ76" s="494"/>
      <c r="AR76" s="495" t="s">
        <v>6348</v>
      </c>
      <c r="AS76" s="495" t="s">
        <v>6349</v>
      </c>
      <c r="AT76" s="496">
        <v>8.1199999999999992</v>
      </c>
      <c r="AU76" s="496">
        <v>8.1599999999999984</v>
      </c>
      <c r="AV76" s="496">
        <v>8.1849999999999969</v>
      </c>
      <c r="AW76" s="496">
        <v>8.1899999999999977</v>
      </c>
      <c r="AX76" s="489">
        <f t="shared" ca="1" si="10"/>
        <v>682</v>
      </c>
      <c r="BA76" s="489" t="s">
        <v>123</v>
      </c>
      <c r="BQ76" s="489" t="s">
        <v>163</v>
      </c>
    </row>
    <row r="77" spans="1:69" s="489" customFormat="1" ht="18" customHeight="1" x14ac:dyDescent="0.25">
      <c r="A77" s="199">
        <v>44516</v>
      </c>
      <c r="B77" s="204">
        <f ca="1">IF(A77="",(IF(ISNUMBER(SUBSTITUTE(LEFT(RIGHT(E77,LEN(E77)-MIN(SEARCH({1,2,3,4,5,6,7,8,9,0},E77&amp;"1234567890"))+1),10),".","/"))=TRUE,AO77-(SUBSTITUTE(LEFT(RIGHT(E77,LEN(E77)-MIN(SEARCH({1,2,3,4,5,6,7,8,9,0},E77&amp;"1234567890"))+1),10),".","/")),IF((SUBSTITUTE(LEFT(RIGHT(E77,LEN(E77)-MIN(SEARCH({1,2,3,4,5,6,7,8,9,0},E77&amp;"1234567890"))+1),10),".","/"))="","",(AO77)-(MID(RIGHT((SUBSTITUTE(LEFT(RIGHT(E77,LEN(E77)-MIN(SEARCH({1,2,3,4,5,6,7,8,9,0},E77&amp;"1234567890"))+1),10),".","/")),10),4,2)&amp;"/"&amp;LEFT((RIGHT((SUBSTITUTE(LEFT(RIGHT(E77,LEN(E77)-MIN(SEARCH({1,2,3,4,5,6,7,8,9,0},E77&amp;"1234567890"))+1),10),".","/")),10)),2)&amp;"/"&amp;RIGHT((SUBSTITUTE(LEFT(RIGHT(E77,LEN(E77)-MIN(SEARCH({1,2,3,4,5,6,7,8,9,0},E77&amp;"1234567890"))+1),10),".","/")),4))))),(AO77-A77))</f>
        <v>442</v>
      </c>
      <c r="C77" s="199"/>
      <c r="D77" s="201" t="str">
        <f t="shared" si="11"/>
        <v>FGCKW2-J3/2B-0.95X595</v>
      </c>
      <c r="E77" s="201" t="s">
        <v>6350</v>
      </c>
      <c r="F77" s="201" t="s">
        <v>6351</v>
      </c>
      <c r="G77" s="201" t="s">
        <v>6352</v>
      </c>
      <c r="H77" s="201" t="s">
        <v>34</v>
      </c>
      <c r="I77" s="202" t="s">
        <v>114</v>
      </c>
      <c r="J77" s="203">
        <v>2.4</v>
      </c>
      <c r="K77" s="203">
        <v>0.95</v>
      </c>
      <c r="L77" s="203">
        <v>0.93</v>
      </c>
      <c r="M77" s="203">
        <v>0.95</v>
      </c>
      <c r="N77" s="204">
        <v>595</v>
      </c>
      <c r="O77" s="381">
        <v>0.33</v>
      </c>
      <c r="P77" s="413">
        <v>0.33100000000000002</v>
      </c>
      <c r="Q77" s="185">
        <v>595</v>
      </c>
      <c r="R77" s="185"/>
      <c r="S77" s="414"/>
      <c r="T77" s="371"/>
      <c r="U77" s="491" t="s">
        <v>390</v>
      </c>
      <c r="V77" s="491" t="s">
        <v>114</v>
      </c>
      <c r="W77" s="491"/>
      <c r="X77" s="492">
        <v>44278</v>
      </c>
      <c r="Y77" s="492"/>
      <c r="Z77" s="492">
        <v>44278</v>
      </c>
      <c r="AA77" s="492"/>
      <c r="AB77" s="492">
        <v>44291</v>
      </c>
      <c r="AC77" s="492"/>
      <c r="AD77" s="492">
        <v>44350</v>
      </c>
      <c r="AE77" s="492"/>
      <c r="AF77" s="492"/>
      <c r="AG77" s="492"/>
      <c r="AH77" s="493"/>
      <c r="AI77" s="494" t="s">
        <v>69</v>
      </c>
      <c r="AJ77" s="494" t="s">
        <v>248</v>
      </c>
      <c r="AK77" s="495" t="s">
        <v>288</v>
      </c>
      <c r="AL77" s="495">
        <v>44224</v>
      </c>
      <c r="AM77" s="495">
        <v>44247</v>
      </c>
      <c r="AN77" s="495"/>
      <c r="AO77" s="199">
        <f t="shared" ca="1" si="5"/>
        <v>44958</v>
      </c>
      <c r="AP77" s="494">
        <f t="shared" ca="1" si="6"/>
        <v>711</v>
      </c>
      <c r="AQ77" s="494"/>
      <c r="AR77" s="495" t="s">
        <v>6353</v>
      </c>
      <c r="AS77" s="495" t="s">
        <v>6349</v>
      </c>
      <c r="AT77" s="496">
        <v>8.1300000000000008</v>
      </c>
      <c r="AU77" s="496">
        <v>8.17</v>
      </c>
      <c r="AV77" s="496">
        <v>8.1949999999999985</v>
      </c>
      <c r="AW77" s="496">
        <v>8.1999999999999993</v>
      </c>
      <c r="AX77" s="489">
        <f t="shared" ca="1" si="10"/>
        <v>680</v>
      </c>
      <c r="BA77" s="489" t="s">
        <v>123</v>
      </c>
      <c r="BQ77" s="489" t="s">
        <v>6354</v>
      </c>
    </row>
    <row r="78" spans="1:69" s="489" customFormat="1" ht="18" customHeight="1" x14ac:dyDescent="0.25">
      <c r="A78" s="199">
        <v>44524</v>
      </c>
      <c r="B78" s="204">
        <f ca="1">IF(A78="",(IF(ISNUMBER(SUBSTITUTE(LEFT(RIGHT(E78,LEN(E78)-MIN(SEARCH({1,2,3,4,5,6,7,8,9,0},E78&amp;"1234567890"))+1),10),".","/"))=TRUE,AO78-(SUBSTITUTE(LEFT(RIGHT(E78,LEN(E78)-MIN(SEARCH({1,2,3,4,5,6,7,8,9,0},E78&amp;"1234567890"))+1),10),".","/")),IF((SUBSTITUTE(LEFT(RIGHT(E78,LEN(E78)-MIN(SEARCH({1,2,3,4,5,6,7,8,9,0},E78&amp;"1234567890"))+1),10),".","/"))="","",(AO78)-(MID(RIGHT((SUBSTITUTE(LEFT(RIGHT(E78,LEN(E78)-MIN(SEARCH({1,2,3,4,5,6,7,8,9,0},E78&amp;"1234567890"))+1),10),".","/")),10),4,2)&amp;"/"&amp;LEFT((RIGHT((SUBSTITUTE(LEFT(RIGHT(E78,LEN(E78)-MIN(SEARCH({1,2,3,4,5,6,7,8,9,0},E78&amp;"1234567890"))+1),10),".","/")),10)),2)&amp;"/"&amp;RIGHT((SUBSTITUTE(LEFT(RIGHT(E78,LEN(E78)-MIN(SEARCH({1,2,3,4,5,6,7,8,9,0},E78&amp;"1234567890"))+1),10),".","/")),4))))),(AO78-A78))</f>
        <v>434</v>
      </c>
      <c r="C78" s="199"/>
      <c r="D78" s="201" t="str">
        <f t="shared" si="11"/>
        <v>FGCKW2-J3/2B-0.95X595</v>
      </c>
      <c r="E78" s="201" t="s">
        <v>6355</v>
      </c>
      <c r="F78" s="201" t="s">
        <v>6356</v>
      </c>
      <c r="G78" s="201" t="s">
        <v>6357</v>
      </c>
      <c r="H78" s="201" t="s">
        <v>34</v>
      </c>
      <c r="I78" s="202" t="s">
        <v>114</v>
      </c>
      <c r="J78" s="203">
        <v>2.4</v>
      </c>
      <c r="K78" s="203">
        <v>0.95</v>
      </c>
      <c r="L78" s="203">
        <v>0.92</v>
      </c>
      <c r="M78" s="203">
        <v>0.95</v>
      </c>
      <c r="N78" s="204">
        <v>595</v>
      </c>
      <c r="O78" s="381">
        <v>0.27</v>
      </c>
      <c r="P78" s="413">
        <v>0.27100000000000002</v>
      </c>
      <c r="Q78" s="185">
        <v>595</v>
      </c>
      <c r="R78" s="185"/>
      <c r="S78" s="414"/>
      <c r="T78" s="371"/>
      <c r="U78" s="491" t="s">
        <v>390</v>
      </c>
      <c r="V78" s="491"/>
      <c r="W78" s="491" t="s">
        <v>114</v>
      </c>
      <c r="X78" s="492">
        <v>44346</v>
      </c>
      <c r="Y78" s="492"/>
      <c r="Z78" s="492">
        <v>44346</v>
      </c>
      <c r="AA78" s="492"/>
      <c r="AB78" s="492">
        <v>44347</v>
      </c>
      <c r="AC78" s="492"/>
      <c r="AD78" s="492"/>
      <c r="AE78" s="492"/>
      <c r="AF78" s="492"/>
      <c r="AG78" s="492"/>
      <c r="AH78" s="493"/>
      <c r="AI78" s="494" t="s">
        <v>69</v>
      </c>
      <c r="AJ78" s="494" t="s">
        <v>248</v>
      </c>
      <c r="AK78" s="495"/>
      <c r="AL78" s="495"/>
      <c r="AM78" s="495">
        <v>44294</v>
      </c>
      <c r="AN78" s="495"/>
      <c r="AO78" s="199">
        <f t="shared" ca="1" si="5"/>
        <v>44958</v>
      </c>
      <c r="AP78" s="494">
        <f t="shared" ca="1" si="6"/>
        <v>664</v>
      </c>
      <c r="AQ78" s="494"/>
      <c r="AR78" s="495"/>
      <c r="AS78" s="495" t="s">
        <v>6358</v>
      </c>
      <c r="AT78" s="496">
        <v>8.1940000000000008</v>
      </c>
      <c r="AU78" s="496">
        <v>8.234</v>
      </c>
      <c r="AV78" s="496">
        <v>8.2589999999999986</v>
      </c>
      <c r="AW78" s="496">
        <v>8.2639999999999993</v>
      </c>
      <c r="AX78" s="489">
        <f t="shared" ca="1" si="10"/>
        <v>612</v>
      </c>
      <c r="BA78" s="489" t="s">
        <v>123</v>
      </c>
      <c r="BQ78" s="489" t="s">
        <v>5656</v>
      </c>
    </row>
    <row r="79" spans="1:69" s="489" customFormat="1" ht="18" customHeight="1" x14ac:dyDescent="0.25">
      <c r="A79" s="199"/>
      <c r="B79" s="204">
        <f ca="1">IF(A79="",(IF(ISNUMBER(SUBSTITUTE(LEFT(RIGHT(E79,LEN(E79)-MIN(SEARCH({1,2,3,4,5,6,7,8,9,0},E79&amp;"1234567890"))+1),10),".","/"))=TRUE,AO79-(SUBSTITUTE(LEFT(RIGHT(E79,LEN(E79)-MIN(SEARCH({1,2,3,4,5,6,7,8,9,0},E79&amp;"1234567890"))+1),10),".","/")),IF((SUBSTITUTE(LEFT(RIGHT(E79,LEN(E79)-MIN(SEARCH({1,2,3,4,5,6,7,8,9,0},E79&amp;"1234567890"))+1),10),".","/"))="","",(AO79)-(MID(RIGHT((SUBSTITUTE(LEFT(RIGHT(E79,LEN(E79)-MIN(SEARCH({1,2,3,4,5,6,7,8,9,0},E79&amp;"1234567890"))+1),10),".","/")),10),4,2)&amp;"/"&amp;LEFT((RIGHT((SUBSTITUTE(LEFT(RIGHT(E79,LEN(E79)-MIN(SEARCH({1,2,3,4,5,6,7,8,9,0},E79&amp;"1234567890"))+1),10),".","/")),10)),2)&amp;"/"&amp;RIGHT((SUBSTITUTE(LEFT(RIGHT(E79,LEN(E79)-MIN(SEARCH({1,2,3,4,5,6,7,8,9,0},E79&amp;"1234567890"))+1),10),".","/")),4))))),(AO79-A79))</f>
        <v>597</v>
      </c>
      <c r="C79" s="199"/>
      <c r="D79" s="201" t="str">
        <f t="shared" si="11"/>
        <v>FGCKW2-J3/2B-0.92X595</v>
      </c>
      <c r="E79" s="201" t="s">
        <v>6359</v>
      </c>
      <c r="F79" s="201" t="s">
        <v>6360</v>
      </c>
      <c r="G79" s="201" t="s">
        <v>6361</v>
      </c>
      <c r="H79" s="201" t="s">
        <v>34</v>
      </c>
      <c r="I79" s="202" t="s">
        <v>114</v>
      </c>
      <c r="J79" s="203">
        <v>2.2000000000000002</v>
      </c>
      <c r="K79" s="203">
        <v>0.92</v>
      </c>
      <c r="L79" s="203">
        <v>0.91</v>
      </c>
      <c r="M79" s="203">
        <v>0.94</v>
      </c>
      <c r="N79" s="204">
        <v>595</v>
      </c>
      <c r="O79" s="381">
        <v>0.315</v>
      </c>
      <c r="P79" s="413"/>
      <c r="Q79" s="185">
        <v>595</v>
      </c>
      <c r="R79" s="185"/>
      <c r="S79" s="414"/>
      <c r="T79" s="371"/>
      <c r="U79" s="491" t="s">
        <v>390</v>
      </c>
      <c r="V79" s="491" t="s">
        <v>805</v>
      </c>
      <c r="W79" s="491" t="s">
        <v>114</v>
      </c>
      <c r="X79" s="492">
        <v>44254</v>
      </c>
      <c r="Y79" s="492"/>
      <c r="Z79" s="492">
        <v>44254</v>
      </c>
      <c r="AA79" s="492"/>
      <c r="AB79" s="492">
        <v>44257</v>
      </c>
      <c r="AC79" s="492"/>
      <c r="AD79" s="492"/>
      <c r="AE79" s="492"/>
      <c r="AF79" s="492"/>
      <c r="AG79" s="492"/>
      <c r="AH79" s="493"/>
      <c r="AI79" s="494" t="s">
        <v>69</v>
      </c>
      <c r="AJ79" s="494" t="s">
        <v>209</v>
      </c>
      <c r="AK79" s="495" t="s">
        <v>223</v>
      </c>
      <c r="AL79" s="495">
        <v>44177</v>
      </c>
      <c r="AM79" s="495">
        <v>44212</v>
      </c>
      <c r="AN79" s="495"/>
      <c r="AO79" s="199">
        <f t="shared" ca="1" si="5"/>
        <v>44958</v>
      </c>
      <c r="AP79" s="494">
        <f t="shared" ca="1" si="6"/>
        <v>746</v>
      </c>
      <c r="AQ79" s="494">
        <f ca="1">IF(ISNUMBER(AB79)=TRUE,AO79-AB79,IF(AB79="","",(AO79)-(MID(RIGHT(AB79,10),4,2)&amp;"/"&amp;LEFT((RIGHT(AB79,10)),2)&amp;"/"&amp;RIGHT(AB79,4))))</f>
        <v>701</v>
      </c>
      <c r="AR79" s="495" t="s">
        <v>6362</v>
      </c>
      <c r="AS79" s="495" t="s">
        <v>6363</v>
      </c>
      <c r="AT79" s="496">
        <v>8.2460000000000004</v>
      </c>
      <c r="AU79" s="496">
        <v>8.2859999999999996</v>
      </c>
      <c r="AV79" s="496">
        <v>8.3109999999999982</v>
      </c>
      <c r="AW79" s="496">
        <v>8.3159999999999989</v>
      </c>
      <c r="AX79" s="489">
        <f t="shared" ca="1" si="10"/>
        <v>704</v>
      </c>
      <c r="BA79" s="489" t="s">
        <v>123</v>
      </c>
      <c r="BQ79" s="489" t="s">
        <v>6364</v>
      </c>
    </row>
    <row r="80" spans="1:69" s="489" customFormat="1" ht="18" customHeight="1" x14ac:dyDescent="0.25">
      <c r="A80" s="199">
        <v>44492</v>
      </c>
      <c r="B80" s="204">
        <f ca="1">IF(A80="",(IF(ISNUMBER(SUBSTITUTE(LEFT(RIGHT(E80,LEN(E80)-MIN(SEARCH({1,2,3,4,5,6,7,8,9,0},E80&amp;"1234567890"))+1),10),".","/"))=TRUE,AO80-(SUBSTITUTE(LEFT(RIGHT(E80,LEN(E80)-MIN(SEARCH({1,2,3,4,5,6,7,8,9,0},E80&amp;"1234567890"))+1),10),".","/")),IF((SUBSTITUTE(LEFT(RIGHT(E80,LEN(E80)-MIN(SEARCH({1,2,3,4,5,6,7,8,9,0},E80&amp;"1234567890"))+1),10),".","/"))="","",(AO80)-(MID(RIGHT((SUBSTITUTE(LEFT(RIGHT(E80,LEN(E80)-MIN(SEARCH({1,2,3,4,5,6,7,8,9,0},E80&amp;"1234567890"))+1),10),".","/")),10),4,2)&amp;"/"&amp;LEFT((RIGHT((SUBSTITUTE(LEFT(RIGHT(E80,LEN(E80)-MIN(SEARCH({1,2,3,4,5,6,7,8,9,0},E80&amp;"1234567890"))+1),10),".","/")),10)),2)&amp;"/"&amp;RIGHT((SUBSTITUTE(LEFT(RIGHT(E80,LEN(E80)-MIN(SEARCH({1,2,3,4,5,6,7,8,9,0},E80&amp;"1234567890"))+1),10),".","/")),4))))),(AO80-A80))</f>
        <v>466</v>
      </c>
      <c r="C80" s="199"/>
      <c r="D80" s="201" t="str">
        <f t="shared" si="11"/>
        <v>FGCKW2-316L/2B-1.50X770</v>
      </c>
      <c r="E80" s="201" t="s">
        <v>6365</v>
      </c>
      <c r="F80" s="201" t="s">
        <v>6366</v>
      </c>
      <c r="G80" s="201" t="s">
        <v>6367</v>
      </c>
      <c r="H80" s="201" t="s">
        <v>135</v>
      </c>
      <c r="I80" s="202" t="s">
        <v>114</v>
      </c>
      <c r="J80" s="203">
        <v>3.79</v>
      </c>
      <c r="K80" s="203">
        <v>1.5</v>
      </c>
      <c r="L80" s="203">
        <v>1.52</v>
      </c>
      <c r="M80" s="203">
        <v>1.54</v>
      </c>
      <c r="N80" s="204">
        <v>770</v>
      </c>
      <c r="O80" s="381">
        <v>0.56499999999999995</v>
      </c>
      <c r="P80" s="413">
        <v>0.56599999999999995</v>
      </c>
      <c r="Q80" s="185">
        <v>770</v>
      </c>
      <c r="R80" s="185"/>
      <c r="S80" s="414"/>
      <c r="T80" s="371"/>
      <c r="U80" s="491" t="s">
        <v>390</v>
      </c>
      <c r="V80" s="491"/>
      <c r="W80" s="491" t="s">
        <v>114</v>
      </c>
      <c r="X80" s="492">
        <v>44374</v>
      </c>
      <c r="Y80" s="492"/>
      <c r="Z80" s="492">
        <v>44374</v>
      </c>
      <c r="AA80" s="492"/>
      <c r="AB80" s="492">
        <v>44375</v>
      </c>
      <c r="AC80" s="492"/>
      <c r="AD80" s="492">
        <v>44375</v>
      </c>
      <c r="AE80" s="492"/>
      <c r="AF80" s="492"/>
      <c r="AG80" s="492"/>
      <c r="AH80" s="493"/>
      <c r="AI80" s="494" t="s">
        <v>69</v>
      </c>
      <c r="AJ80" s="494" t="s">
        <v>142</v>
      </c>
      <c r="AK80" s="495" t="s">
        <v>5885</v>
      </c>
      <c r="AL80" s="495"/>
      <c r="AM80" s="495">
        <v>44373</v>
      </c>
      <c r="AN80" s="495"/>
      <c r="AO80" s="199">
        <f t="shared" ca="1" si="5"/>
        <v>44958</v>
      </c>
      <c r="AP80" s="494">
        <f t="shared" ca="1" si="6"/>
        <v>585</v>
      </c>
      <c r="AQ80" s="494"/>
      <c r="AR80" s="495"/>
      <c r="AS80" s="495" t="s">
        <v>5886</v>
      </c>
      <c r="AT80" s="496">
        <v>12.26</v>
      </c>
      <c r="AU80" s="496">
        <v>12.27</v>
      </c>
      <c r="AV80" s="496">
        <v>12.294999999999998</v>
      </c>
      <c r="AW80" s="496">
        <v>12.299999999999999</v>
      </c>
      <c r="AX80" s="489">
        <f t="shared" ca="1" si="10"/>
        <v>584</v>
      </c>
      <c r="BA80" s="489" t="s">
        <v>123</v>
      </c>
    </row>
    <row r="81" spans="1:69" s="489" customFormat="1" ht="18" customHeight="1" x14ac:dyDescent="0.25">
      <c r="A81" s="199"/>
      <c r="B81" s="204">
        <f ca="1">IF(A81="",(IF(ISNUMBER(SUBSTITUTE(LEFT(RIGHT(E81,LEN(E81)-MIN(SEARCH({1,2,3,4,5,6,7,8,9,0},E81&amp;"1234567890"))+1),10),".","/"))=TRUE,AO81-(SUBSTITUTE(LEFT(RIGHT(E81,LEN(E81)-MIN(SEARCH({1,2,3,4,5,6,7,8,9,0},E81&amp;"1234567890"))+1),10),".","/")),IF((SUBSTITUTE(LEFT(RIGHT(E81,LEN(E81)-MIN(SEARCH({1,2,3,4,5,6,7,8,9,0},E81&amp;"1234567890"))+1),10),".","/"))="","",(AO81)-(MID(RIGHT((SUBSTITUTE(LEFT(RIGHT(E81,LEN(E81)-MIN(SEARCH({1,2,3,4,5,6,7,8,9,0},E81&amp;"1234567890"))+1),10),".","/")),10),4,2)&amp;"/"&amp;LEFT((RIGHT((SUBSTITUTE(LEFT(RIGHT(E81,LEN(E81)-MIN(SEARCH({1,2,3,4,5,6,7,8,9,0},E81&amp;"1234567890"))+1),10),".","/")),10)),2)&amp;"/"&amp;RIGHT((SUBSTITUTE(LEFT(RIGHT(E81,LEN(E81)-MIN(SEARCH({1,2,3,4,5,6,7,8,9,0},E81&amp;"1234567890"))+1),10),".","/")),4))))),(AO81-A81))</f>
        <v>569</v>
      </c>
      <c r="C81" s="199"/>
      <c r="D81" s="201" t="str">
        <f t="shared" si="11"/>
        <v>FGCKW2-304/2B-1.15X770</v>
      </c>
      <c r="E81" s="201" t="s">
        <v>6368</v>
      </c>
      <c r="F81" s="201" t="s">
        <v>6369</v>
      </c>
      <c r="G81" s="201" t="s">
        <v>6370</v>
      </c>
      <c r="H81" s="201">
        <v>304</v>
      </c>
      <c r="I81" s="202" t="s">
        <v>114</v>
      </c>
      <c r="J81" s="203">
        <v>3.28</v>
      </c>
      <c r="K81" s="203">
        <v>1.1499999999999999</v>
      </c>
      <c r="L81" s="203">
        <v>1.1499999999999999</v>
      </c>
      <c r="M81" s="203">
        <v>1.17</v>
      </c>
      <c r="N81" s="204">
        <v>770</v>
      </c>
      <c r="O81" s="381">
        <v>0.22500000000000001</v>
      </c>
      <c r="P81" s="413"/>
      <c r="Q81" s="185">
        <v>770</v>
      </c>
      <c r="R81" s="490"/>
      <c r="S81" s="414"/>
      <c r="T81" s="371"/>
      <c r="U81" s="491" t="s">
        <v>390</v>
      </c>
      <c r="V81" s="491"/>
      <c r="W81" s="491" t="s">
        <v>114</v>
      </c>
      <c r="X81" s="492">
        <v>44388</v>
      </c>
      <c r="Y81" s="492"/>
      <c r="Z81" s="492">
        <v>44388</v>
      </c>
      <c r="AA81" s="492"/>
      <c r="AB81" s="492">
        <v>44389</v>
      </c>
      <c r="AC81" s="492"/>
      <c r="AD81" s="492"/>
      <c r="AE81" s="492"/>
      <c r="AF81" s="492"/>
      <c r="AG81" s="492"/>
      <c r="AH81" s="493"/>
      <c r="AI81" s="494" t="s">
        <v>69</v>
      </c>
      <c r="AJ81" s="494" t="s">
        <v>142</v>
      </c>
      <c r="AK81" s="495" t="s">
        <v>6371</v>
      </c>
      <c r="AL81" s="495"/>
      <c r="AM81" s="495">
        <v>44388</v>
      </c>
      <c r="AN81" s="495"/>
      <c r="AO81" s="199">
        <f t="shared" ca="1" si="5"/>
        <v>44958</v>
      </c>
      <c r="AP81" s="494">
        <f t="shared" ca="1" si="6"/>
        <v>570</v>
      </c>
      <c r="AQ81" s="494"/>
      <c r="AR81" s="495"/>
      <c r="AS81" s="495" t="s">
        <v>6372</v>
      </c>
      <c r="AT81" s="496">
        <v>10.625</v>
      </c>
      <c r="AU81" s="496">
        <v>10.635</v>
      </c>
      <c r="AV81" s="496">
        <v>10.659999999999998</v>
      </c>
      <c r="AW81" s="496">
        <v>10.664999999999999</v>
      </c>
      <c r="AX81" s="489">
        <f t="shared" ca="1" si="10"/>
        <v>570</v>
      </c>
      <c r="BA81" s="489" t="s">
        <v>123</v>
      </c>
    </row>
    <row r="82" spans="1:69" s="489" customFormat="1" ht="18" customHeight="1" x14ac:dyDescent="0.25">
      <c r="A82" s="199">
        <v>44516</v>
      </c>
      <c r="B82" s="204">
        <f ca="1">IF(A82="",(IF(ISNUMBER(SUBSTITUTE(LEFT(RIGHT(E82,LEN(E82)-MIN(SEARCH({1,2,3,4,5,6,7,8,9,0},E82&amp;"1234567890"))+1),10),".","/"))=TRUE,AO82-(SUBSTITUTE(LEFT(RIGHT(E82,LEN(E82)-MIN(SEARCH({1,2,3,4,5,6,7,8,9,0},E82&amp;"1234567890"))+1),10),".","/")),IF((SUBSTITUTE(LEFT(RIGHT(E82,LEN(E82)-MIN(SEARCH({1,2,3,4,5,6,7,8,9,0},E82&amp;"1234567890"))+1),10),".","/"))="","",(AO82)-(MID(RIGHT((SUBSTITUTE(LEFT(RIGHT(E82,LEN(E82)-MIN(SEARCH({1,2,3,4,5,6,7,8,9,0},E82&amp;"1234567890"))+1),10),".","/")),10),4,2)&amp;"/"&amp;LEFT((RIGHT((SUBSTITUTE(LEFT(RIGHT(E82,LEN(E82)-MIN(SEARCH({1,2,3,4,5,6,7,8,9,0},E82&amp;"1234567890"))+1),10),".","/")),10)),2)&amp;"/"&amp;RIGHT((SUBSTITUTE(LEFT(RIGHT(E82,LEN(E82)-MIN(SEARCH({1,2,3,4,5,6,7,8,9,0},E82&amp;"1234567890"))+1),10),".","/")),4))))),(AO82-A82))</f>
        <v>442</v>
      </c>
      <c r="C82" s="199"/>
      <c r="D82" s="201" t="str">
        <f t="shared" si="11"/>
        <v>FGCKW2-304/304L/FH-0.40XMULTI</v>
      </c>
      <c r="E82" s="201" t="s">
        <v>6373</v>
      </c>
      <c r="F82" s="201" t="s">
        <v>6374</v>
      </c>
      <c r="G82" s="201" t="s">
        <v>6375</v>
      </c>
      <c r="H82" s="201" t="s">
        <v>614</v>
      </c>
      <c r="I82" s="202" t="s">
        <v>70</v>
      </c>
      <c r="J82" s="203">
        <v>0.78</v>
      </c>
      <c r="K82" s="203">
        <v>0.4</v>
      </c>
      <c r="L82" s="203"/>
      <c r="M82" s="203"/>
      <c r="N82" s="204">
        <v>757</v>
      </c>
      <c r="O82" s="381">
        <v>0.65</v>
      </c>
      <c r="P82" s="413">
        <v>0.65100000000000002</v>
      </c>
      <c r="Q82" s="185" t="s">
        <v>5124</v>
      </c>
      <c r="R82" s="185">
        <f>326+389</f>
        <v>715</v>
      </c>
      <c r="S82" s="414"/>
      <c r="T82" s="371"/>
      <c r="U82" s="491" t="s">
        <v>390</v>
      </c>
      <c r="V82" s="491" t="s">
        <v>6376</v>
      </c>
      <c r="W82" s="185" t="s">
        <v>114</v>
      </c>
      <c r="X82" s="492" t="s">
        <v>6377</v>
      </c>
      <c r="Y82" s="492"/>
      <c r="Z82" s="492" t="s">
        <v>6377</v>
      </c>
      <c r="AA82" s="492"/>
      <c r="AB82" s="492">
        <v>44404</v>
      </c>
      <c r="AC82" s="492"/>
      <c r="AD82" s="492">
        <v>44441</v>
      </c>
      <c r="AE82" s="492"/>
      <c r="AF82" s="492"/>
      <c r="AG82" s="492"/>
      <c r="AH82" s="493"/>
      <c r="AI82" s="494" t="s">
        <v>69</v>
      </c>
      <c r="AJ82" s="494" t="s">
        <v>142</v>
      </c>
      <c r="AK82" s="495" t="s">
        <v>6378</v>
      </c>
      <c r="AL82" s="495"/>
      <c r="AM82" s="495">
        <v>44388</v>
      </c>
      <c r="AN82" s="495"/>
      <c r="AO82" s="199">
        <f t="shared" ca="1" si="5"/>
        <v>44958</v>
      </c>
      <c r="AP82" s="494">
        <f t="shared" ca="1" si="6"/>
        <v>570</v>
      </c>
      <c r="AQ82" s="494"/>
      <c r="AR82" s="495"/>
      <c r="AS82" s="495" t="s">
        <v>6379</v>
      </c>
      <c r="AT82" s="496">
        <v>10.42</v>
      </c>
      <c r="AU82" s="496">
        <v>10.43</v>
      </c>
      <c r="AV82" s="496">
        <v>10.454999999999998</v>
      </c>
      <c r="AW82" s="496">
        <v>10.459999999999999</v>
      </c>
      <c r="AX82" s="489">
        <f t="shared" ca="1" si="10"/>
        <v>513</v>
      </c>
      <c r="BA82" s="489" t="s">
        <v>123</v>
      </c>
      <c r="BQ82" s="489" t="s">
        <v>5656</v>
      </c>
    </row>
    <row r="83" spans="1:69" s="489" customFormat="1" ht="18" customHeight="1" x14ac:dyDescent="0.25">
      <c r="A83" s="199">
        <v>44492</v>
      </c>
      <c r="B83" s="204">
        <f ca="1">IF(A83="",(IF(ISNUMBER(SUBSTITUTE(LEFT(RIGHT(E83,LEN(E83)-MIN(SEARCH({1,2,3,4,5,6,7,8,9,0},E83&amp;"1234567890"))+1),10),".","/"))=TRUE,AO83-(SUBSTITUTE(LEFT(RIGHT(E83,LEN(E83)-MIN(SEARCH({1,2,3,4,5,6,7,8,9,0},E83&amp;"1234567890"))+1),10),".","/")),IF((SUBSTITUTE(LEFT(RIGHT(E83,LEN(E83)-MIN(SEARCH({1,2,3,4,5,6,7,8,9,0},E83&amp;"1234567890"))+1),10),".","/"))="","",(AO83)-(MID(RIGHT((SUBSTITUTE(LEFT(RIGHT(E83,LEN(E83)-MIN(SEARCH({1,2,3,4,5,6,7,8,9,0},E83&amp;"1234567890"))+1),10),".","/")),10),4,2)&amp;"/"&amp;LEFT((RIGHT((SUBSTITUTE(LEFT(RIGHT(E83,LEN(E83)-MIN(SEARCH({1,2,3,4,5,6,7,8,9,0},E83&amp;"1234567890"))+1),10),".","/")),10)),2)&amp;"/"&amp;RIGHT((SUBSTITUTE(LEFT(RIGHT(E83,LEN(E83)-MIN(SEARCH({1,2,3,4,5,6,7,8,9,0},E83&amp;"1234567890"))+1),10),".","/")),4))))),(AO83-A83))</f>
        <v>466</v>
      </c>
      <c r="C83" s="199"/>
      <c r="D83" s="201" t="str">
        <f t="shared" si="11"/>
        <v>FGCKW2-304/304L/2B-1.43X770</v>
      </c>
      <c r="E83" s="201" t="s">
        <v>6380</v>
      </c>
      <c r="F83" s="201" t="s">
        <v>6381</v>
      </c>
      <c r="G83" s="201" t="s">
        <v>6382</v>
      </c>
      <c r="H83" s="201" t="s">
        <v>614</v>
      </c>
      <c r="I83" s="202" t="s">
        <v>114</v>
      </c>
      <c r="J83" s="203">
        <v>3.79</v>
      </c>
      <c r="K83" s="203">
        <v>1.43</v>
      </c>
      <c r="L83" s="203">
        <v>1.43</v>
      </c>
      <c r="M83" s="203">
        <v>1.47</v>
      </c>
      <c r="N83" s="204">
        <v>770</v>
      </c>
      <c r="O83" s="381">
        <v>0.27</v>
      </c>
      <c r="P83" s="413">
        <v>0.27100000000000002</v>
      </c>
      <c r="Q83" s="185">
        <v>770</v>
      </c>
      <c r="R83" s="185"/>
      <c r="S83" s="414"/>
      <c r="T83" s="371"/>
      <c r="U83" s="491" t="s">
        <v>390</v>
      </c>
      <c r="V83" s="491"/>
      <c r="W83" s="185" t="s">
        <v>114</v>
      </c>
      <c r="X83" s="492">
        <v>44439</v>
      </c>
      <c r="Y83" s="492"/>
      <c r="Z83" s="492">
        <v>44439</v>
      </c>
      <c r="AA83" s="492"/>
      <c r="AB83" s="492">
        <v>44441</v>
      </c>
      <c r="AC83" s="492"/>
      <c r="AD83" s="492"/>
      <c r="AE83" s="492"/>
      <c r="AF83" s="492"/>
      <c r="AG83" s="492"/>
      <c r="AH83" s="493"/>
      <c r="AI83" s="494" t="s">
        <v>69</v>
      </c>
      <c r="AJ83" s="494" t="s">
        <v>142</v>
      </c>
      <c r="AK83" s="495" t="s">
        <v>630</v>
      </c>
      <c r="AL83" s="495"/>
      <c r="AM83" s="495">
        <v>44431</v>
      </c>
      <c r="AN83" s="495"/>
      <c r="AO83" s="199">
        <f t="shared" ca="1" si="5"/>
        <v>44958</v>
      </c>
      <c r="AP83" s="494">
        <f t="shared" ca="1" si="6"/>
        <v>527</v>
      </c>
      <c r="AQ83" s="494">
        <f t="shared" ref="AQ83:AQ100" ca="1" si="12">IF(ISNUMBER(AB83)=TRUE,AO83-AB83,IF(AB83="","",(AO83)-(MID(RIGHT(AB83,10),4,2)&amp;"/"&amp;LEFT((RIGHT(AB83,10)),2)&amp;"/"&amp;RIGHT(AB83,4))))</f>
        <v>517</v>
      </c>
      <c r="AR83" s="495"/>
      <c r="AS83" s="495" t="s">
        <v>6383</v>
      </c>
      <c r="AT83" s="496">
        <v>11.7</v>
      </c>
      <c r="AU83" s="496">
        <v>11.71</v>
      </c>
      <c r="AV83" s="496">
        <v>11.734999999999999</v>
      </c>
      <c r="AW83" s="496">
        <v>11.74</v>
      </c>
      <c r="BA83" s="489" t="s">
        <v>123</v>
      </c>
    </row>
    <row r="84" spans="1:69" s="489" customFormat="1" ht="18" customHeight="1" x14ac:dyDescent="0.25">
      <c r="A84" s="199">
        <v>44524</v>
      </c>
      <c r="B84" s="204">
        <f ca="1">IF(A84="",(IF(ISNUMBER(SUBSTITUTE(LEFT(RIGHT(E84,LEN(E84)-MIN(SEARCH({1,2,3,4,5,6,7,8,9,0},E84&amp;"1234567890"))+1),10),".","/"))=TRUE,AO84-(SUBSTITUTE(LEFT(RIGHT(E84,LEN(E84)-MIN(SEARCH({1,2,3,4,5,6,7,8,9,0},E84&amp;"1234567890"))+1),10),".","/")),IF((SUBSTITUTE(LEFT(RIGHT(E84,LEN(E84)-MIN(SEARCH({1,2,3,4,5,6,7,8,9,0},E84&amp;"1234567890"))+1),10),".","/"))="","",(AO84)-(MID(RIGHT((SUBSTITUTE(LEFT(RIGHT(E84,LEN(E84)-MIN(SEARCH({1,2,3,4,5,6,7,8,9,0},E84&amp;"1234567890"))+1),10),".","/")),10),4,2)&amp;"/"&amp;LEFT((RIGHT((SUBSTITUTE(LEFT(RIGHT(E84,LEN(E84)-MIN(SEARCH({1,2,3,4,5,6,7,8,9,0},E84&amp;"1234567890"))+1),10),".","/")),10)),2)&amp;"/"&amp;RIGHT((SUBSTITUTE(LEFT(RIGHT(E84,LEN(E84)-MIN(SEARCH({1,2,3,4,5,6,7,8,9,0},E84&amp;"1234567890"))+1),10),".","/")),4))))),(AO84-A84))</f>
        <v>434</v>
      </c>
      <c r="C84" s="199"/>
      <c r="D84" s="201" t="str">
        <f t="shared" si="11"/>
        <v>FGCKW2-J3/2B-0.78X760</v>
      </c>
      <c r="E84" s="201" t="s">
        <v>6384</v>
      </c>
      <c r="F84" s="201" t="s">
        <v>6385</v>
      </c>
      <c r="G84" s="201" t="s">
        <v>6386</v>
      </c>
      <c r="H84" s="201" t="s">
        <v>34</v>
      </c>
      <c r="I84" s="202" t="s">
        <v>114</v>
      </c>
      <c r="J84" s="203">
        <v>2.2000000000000002</v>
      </c>
      <c r="K84" s="203">
        <v>0.78</v>
      </c>
      <c r="L84" s="203">
        <v>0.78</v>
      </c>
      <c r="M84" s="203">
        <v>0.8</v>
      </c>
      <c r="N84" s="204">
        <v>595</v>
      </c>
      <c r="O84" s="381">
        <v>0.2</v>
      </c>
      <c r="P84" s="413">
        <v>0.20100000000000001</v>
      </c>
      <c r="Q84" s="185">
        <v>760</v>
      </c>
      <c r="R84" s="185"/>
      <c r="S84" s="414"/>
      <c r="T84" s="371"/>
      <c r="U84" s="491" t="s">
        <v>390</v>
      </c>
      <c r="V84" s="491"/>
      <c r="W84" s="491" t="s">
        <v>114</v>
      </c>
      <c r="X84" s="492">
        <v>44457</v>
      </c>
      <c r="Y84" s="492"/>
      <c r="Z84" s="492">
        <v>44457</v>
      </c>
      <c r="AA84" s="492"/>
      <c r="AB84" s="492">
        <v>44459</v>
      </c>
      <c r="AC84" s="492"/>
      <c r="AD84" s="492"/>
      <c r="AE84" s="492"/>
      <c r="AF84" s="492"/>
      <c r="AG84" s="492"/>
      <c r="AH84" s="493"/>
      <c r="AI84" s="494" t="s">
        <v>69</v>
      </c>
      <c r="AJ84" s="494" t="s">
        <v>119</v>
      </c>
      <c r="AK84" s="495" t="s">
        <v>331</v>
      </c>
      <c r="AL84" s="495">
        <v>44303</v>
      </c>
      <c r="AM84" s="495">
        <v>44327</v>
      </c>
      <c r="AN84" s="495"/>
      <c r="AO84" s="199">
        <f t="shared" ca="1" si="5"/>
        <v>44958</v>
      </c>
      <c r="AP84" s="494">
        <f t="shared" ca="1" si="6"/>
        <v>631</v>
      </c>
      <c r="AQ84" s="494">
        <f t="shared" ca="1" si="12"/>
        <v>499</v>
      </c>
      <c r="AR84" s="495" t="s">
        <v>6387</v>
      </c>
      <c r="AS84" s="495" t="s">
        <v>6388</v>
      </c>
      <c r="AT84" s="496">
        <v>8.2370000000000001</v>
      </c>
      <c r="AU84" s="496">
        <v>8.2520000000000007</v>
      </c>
      <c r="AV84" s="496">
        <v>8.2769999999999992</v>
      </c>
      <c r="AW84" s="496">
        <v>8.282</v>
      </c>
      <c r="AX84" s="489">
        <f ca="1">IF(ISNUMBER(Z84)=TRUE,AO84-Z84,IF(Z84="","",(AO84)-(MID(RIGHT(Z84,10),4,2)&amp;"/"&amp;LEFT((RIGHT(Z84,10)),2)&amp;"/"&amp;RIGHT(Z84,4))))</f>
        <v>501</v>
      </c>
      <c r="BA84" s="489" t="s">
        <v>123</v>
      </c>
      <c r="BQ84" s="489" t="s">
        <v>5656</v>
      </c>
    </row>
    <row r="85" spans="1:69" s="489" customFormat="1" ht="18" customHeight="1" x14ac:dyDescent="0.25">
      <c r="A85" s="199">
        <v>44516</v>
      </c>
      <c r="B85" s="204">
        <f ca="1">IF(A85="",(IF(ISNUMBER(SUBSTITUTE(LEFT(RIGHT(E85,LEN(E85)-MIN(SEARCH({1,2,3,4,5,6,7,8,9,0},E85&amp;"1234567890"))+1),10),".","/"))=TRUE,AO85-(SUBSTITUTE(LEFT(RIGHT(E85,LEN(E85)-MIN(SEARCH({1,2,3,4,5,6,7,8,9,0},E85&amp;"1234567890"))+1),10),".","/")),IF((SUBSTITUTE(LEFT(RIGHT(E85,LEN(E85)-MIN(SEARCH({1,2,3,4,5,6,7,8,9,0},E85&amp;"1234567890"))+1),10),".","/"))="","",(AO85)-(MID(RIGHT((SUBSTITUTE(LEFT(RIGHT(E85,LEN(E85)-MIN(SEARCH({1,2,3,4,5,6,7,8,9,0},E85&amp;"1234567890"))+1),10),".","/")),10),4,2)&amp;"/"&amp;LEFT((RIGHT((SUBSTITUTE(LEFT(RIGHT(E85,LEN(E85)-MIN(SEARCH({1,2,3,4,5,6,7,8,9,0},E85&amp;"1234567890"))+1),10),".","/")),10)),2)&amp;"/"&amp;RIGHT((SUBSTITUTE(LEFT(RIGHT(E85,LEN(E85)-MIN(SEARCH({1,2,3,4,5,6,7,8,9,0},E85&amp;"1234567890"))+1),10),".","/")),4))))),(AO85-A85))</f>
        <v>442</v>
      </c>
      <c r="C85" s="199"/>
      <c r="D85" s="201" t="str">
        <f t="shared" si="11"/>
        <v>FGMKW2-304/2B-1.90X235.8</v>
      </c>
      <c r="E85" s="201" t="s">
        <v>5908</v>
      </c>
      <c r="F85" s="201" t="s">
        <v>6389</v>
      </c>
      <c r="G85" s="201" t="s">
        <v>6390</v>
      </c>
      <c r="H85" s="201">
        <v>304</v>
      </c>
      <c r="I85" s="202" t="s">
        <v>114</v>
      </c>
      <c r="J85" s="203">
        <v>3.8</v>
      </c>
      <c r="K85" s="203">
        <v>1.9</v>
      </c>
      <c r="L85" s="203">
        <v>1.91</v>
      </c>
      <c r="M85" s="203">
        <v>1.93</v>
      </c>
      <c r="N85" s="185">
        <v>235.8</v>
      </c>
      <c r="O85" s="381">
        <v>0.19500000000000001</v>
      </c>
      <c r="P85" s="413">
        <v>0.19600000000000001</v>
      </c>
      <c r="Q85" s="185">
        <v>235.8</v>
      </c>
      <c r="R85" s="185"/>
      <c r="S85" s="414"/>
      <c r="T85" s="371"/>
      <c r="U85" s="491" t="s">
        <v>390</v>
      </c>
      <c r="V85" s="491" t="s">
        <v>6391</v>
      </c>
      <c r="W85" s="491" t="s">
        <v>114</v>
      </c>
      <c r="X85" s="492">
        <v>44467</v>
      </c>
      <c r="Y85" s="492"/>
      <c r="Z85" s="492">
        <v>44468</v>
      </c>
      <c r="AA85" s="492"/>
      <c r="AB85" s="492">
        <v>44473</v>
      </c>
      <c r="AC85" s="492"/>
      <c r="AD85" s="492"/>
      <c r="AE85" s="492"/>
      <c r="AF85" s="492"/>
      <c r="AG85" s="492"/>
      <c r="AH85" s="493"/>
      <c r="AI85" s="494" t="s">
        <v>69</v>
      </c>
      <c r="AJ85" s="494" t="s">
        <v>142</v>
      </c>
      <c r="AK85" s="495" t="s">
        <v>6392</v>
      </c>
      <c r="AL85" s="495"/>
      <c r="AM85" s="495">
        <v>44444</v>
      </c>
      <c r="AN85" s="495"/>
      <c r="AO85" s="199">
        <f t="shared" ca="1" si="5"/>
        <v>44958</v>
      </c>
      <c r="AP85" s="494">
        <f t="shared" ca="1" si="6"/>
        <v>514</v>
      </c>
      <c r="AQ85" s="494">
        <f t="shared" ca="1" si="12"/>
        <v>485</v>
      </c>
      <c r="AR85" s="495"/>
      <c r="AS85" s="495" t="s">
        <v>6393</v>
      </c>
      <c r="AT85" s="496">
        <v>10.515000000000001</v>
      </c>
      <c r="AU85" s="496">
        <v>10.525</v>
      </c>
      <c r="AV85" s="496">
        <v>10.549999999999999</v>
      </c>
      <c r="AW85" s="496">
        <v>10.555</v>
      </c>
      <c r="BA85" s="489" t="s">
        <v>123</v>
      </c>
      <c r="BQ85" s="489" t="s">
        <v>5656</v>
      </c>
    </row>
    <row r="86" spans="1:69" s="489" customFormat="1" ht="18" customHeight="1" x14ac:dyDescent="0.25">
      <c r="A86" s="199"/>
      <c r="B86" s="204">
        <f ca="1">IF(A86="",(IF(ISNUMBER(SUBSTITUTE(LEFT(RIGHT(E86,LEN(E86)-MIN(SEARCH({1,2,3,4,5,6,7,8,9,0},E86&amp;"1234567890"))+1),10),".","/"))=TRUE,AO86-(SUBSTITUTE(LEFT(RIGHT(E86,LEN(E86)-MIN(SEARCH({1,2,3,4,5,6,7,8,9,0},E86&amp;"1234567890"))+1),10),".","/")),IF((SUBSTITUTE(LEFT(RIGHT(E86,LEN(E86)-MIN(SEARCH({1,2,3,4,5,6,7,8,9,0},E86&amp;"1234567890"))+1),10),".","/"))="","",(AO86)-(MID(RIGHT((SUBSTITUTE(LEFT(RIGHT(E86,LEN(E86)-MIN(SEARCH({1,2,3,4,5,6,7,8,9,0},E86&amp;"1234567890"))+1),10),".","/")),10),4,2)&amp;"/"&amp;LEFT((RIGHT((SUBSTITUTE(LEFT(RIGHT(E86,LEN(E86)-MIN(SEARCH({1,2,3,4,5,6,7,8,9,0},E86&amp;"1234567890"))+1),10),".","/")),10)),2)&amp;"/"&amp;RIGHT((SUBSTITUTE(LEFT(RIGHT(E86,LEN(E86)-MIN(SEARCH({1,2,3,4,5,6,7,8,9,0},E86&amp;"1234567890"))+1),10),".","/")),4))))),(AO86-A86))</f>
        <v>474</v>
      </c>
      <c r="C86" s="199"/>
      <c r="D86" s="201" t="str">
        <f t="shared" si="11"/>
        <v>FGCKW2-J3/2B-0.78X595</v>
      </c>
      <c r="E86" s="201" t="s">
        <v>6394</v>
      </c>
      <c r="F86" s="201" t="s">
        <v>6395</v>
      </c>
      <c r="G86" s="201" t="s">
        <v>6396</v>
      </c>
      <c r="H86" s="201" t="s">
        <v>34</v>
      </c>
      <c r="I86" s="202" t="s">
        <v>114</v>
      </c>
      <c r="J86" s="203">
        <v>2.2000000000000002</v>
      </c>
      <c r="K86" s="203">
        <v>0.78</v>
      </c>
      <c r="L86" s="203"/>
      <c r="M86" s="203"/>
      <c r="N86" s="204">
        <v>595</v>
      </c>
      <c r="O86" s="381">
        <v>0.19500000000000001</v>
      </c>
      <c r="P86" s="413"/>
      <c r="Q86" s="185">
        <v>595</v>
      </c>
      <c r="R86" s="185"/>
      <c r="S86" s="414"/>
      <c r="T86" s="371"/>
      <c r="U86" s="491" t="s">
        <v>390</v>
      </c>
      <c r="V86" s="491"/>
      <c r="W86" s="507" t="s">
        <v>114</v>
      </c>
      <c r="X86" s="492">
        <v>44474</v>
      </c>
      <c r="Y86" s="492"/>
      <c r="Z86" s="492">
        <v>44474</v>
      </c>
      <c r="AA86" s="492"/>
      <c r="AB86" s="492">
        <v>44484</v>
      </c>
      <c r="AC86" s="492"/>
      <c r="AD86" s="492"/>
      <c r="AE86" s="492"/>
      <c r="AF86" s="492"/>
      <c r="AG86" s="492"/>
      <c r="AH86" s="493"/>
      <c r="AI86" s="494" t="s">
        <v>69</v>
      </c>
      <c r="AJ86" s="494" t="s">
        <v>248</v>
      </c>
      <c r="AK86" s="495" t="s">
        <v>6397</v>
      </c>
      <c r="AL86" s="495">
        <v>44315</v>
      </c>
      <c r="AM86" s="495">
        <v>44352</v>
      </c>
      <c r="AN86" s="495"/>
      <c r="AO86" s="199">
        <f t="shared" ca="1" si="5"/>
        <v>44958</v>
      </c>
      <c r="AP86" s="494">
        <f t="shared" ca="1" si="6"/>
        <v>606</v>
      </c>
      <c r="AQ86" s="494">
        <f t="shared" ca="1" si="12"/>
        <v>474</v>
      </c>
      <c r="AR86" s="495" t="s">
        <v>6398</v>
      </c>
      <c r="AS86" s="495" t="s">
        <v>6399</v>
      </c>
      <c r="AT86" s="496">
        <v>8.1920000000000002</v>
      </c>
      <c r="AU86" s="496">
        <v>8.2319999999999993</v>
      </c>
      <c r="AV86" s="496">
        <v>8.2569999999999979</v>
      </c>
      <c r="AW86" s="496">
        <v>8.2619999999999987</v>
      </c>
      <c r="AX86" s="489">
        <f t="shared" ref="AX86:AX102" ca="1" si="13">IF(ISNUMBER(Z86)=TRUE,AO86-Z86,IF(Z86="","",(AO86)-(MID(RIGHT(Z86,10),4,2)&amp;"/"&amp;LEFT((RIGHT(Z86,10)),2)&amp;"/"&amp;RIGHT(Z86,4))))</f>
        <v>484</v>
      </c>
      <c r="BA86" s="489" t="s">
        <v>123</v>
      </c>
      <c r="BQ86" s="489" t="s">
        <v>5656</v>
      </c>
    </row>
    <row r="87" spans="1:69" s="489" customFormat="1" ht="18" customHeight="1" x14ac:dyDescent="0.25">
      <c r="A87" s="199"/>
      <c r="B87" s="204">
        <f ca="1">IF(A87="",(IF(ISNUMBER(SUBSTITUTE(LEFT(RIGHT(E87,LEN(E87)-MIN(SEARCH({1,2,3,4,5,6,7,8,9,0},E87&amp;"1234567890"))+1),10),".","/"))=TRUE,AO87-(SUBSTITUTE(LEFT(RIGHT(E87,LEN(E87)-MIN(SEARCH({1,2,3,4,5,6,7,8,9,0},E87&amp;"1234567890"))+1),10),".","/")),IF((SUBSTITUTE(LEFT(RIGHT(E87,LEN(E87)-MIN(SEARCH({1,2,3,4,5,6,7,8,9,0},E87&amp;"1234567890"))+1),10),".","/"))="","",(AO87)-(MID(RIGHT((SUBSTITUTE(LEFT(RIGHT(E87,LEN(E87)-MIN(SEARCH({1,2,3,4,5,6,7,8,9,0},E87&amp;"1234567890"))+1),10),".","/")),10),4,2)&amp;"/"&amp;LEFT((RIGHT((SUBSTITUTE(LEFT(RIGHT(E87,LEN(E87)-MIN(SEARCH({1,2,3,4,5,6,7,8,9,0},E87&amp;"1234567890"))+1),10),".","/")),10)),2)&amp;"/"&amp;RIGHT((SUBSTITUTE(LEFT(RIGHT(E87,LEN(E87)-MIN(SEARCH({1,2,3,4,5,6,7,8,9,0},E87&amp;"1234567890"))+1),10),".","/")),4))))),(AO87-A87))</f>
        <v>463</v>
      </c>
      <c r="C87" s="199"/>
      <c r="D87" s="201" t="str">
        <f t="shared" si="11"/>
        <v>FGCKW2-410/BA-0.25X600</v>
      </c>
      <c r="E87" s="201" t="s">
        <v>6400</v>
      </c>
      <c r="F87" s="201" t="s">
        <v>6401</v>
      </c>
      <c r="G87" s="201" t="s">
        <v>6402</v>
      </c>
      <c r="H87" s="201">
        <v>410</v>
      </c>
      <c r="I87" s="202" t="s">
        <v>158</v>
      </c>
      <c r="J87" s="203">
        <v>0.25</v>
      </c>
      <c r="K87" s="203">
        <v>0.25</v>
      </c>
      <c r="L87" s="203"/>
      <c r="M87" s="203"/>
      <c r="N87" s="204">
        <v>600</v>
      </c>
      <c r="O87" s="381">
        <v>0.22</v>
      </c>
      <c r="P87" s="413"/>
      <c r="Q87" s="185">
        <v>600</v>
      </c>
      <c r="R87" s="185"/>
      <c r="S87" s="414"/>
      <c r="T87" s="508"/>
      <c r="U87" s="491" t="s">
        <v>390</v>
      </c>
      <c r="V87" s="491"/>
      <c r="W87" s="185"/>
      <c r="X87" s="492"/>
      <c r="Y87" s="492"/>
      <c r="Z87" s="492"/>
      <c r="AA87" s="492"/>
      <c r="AB87" s="492"/>
      <c r="AC87" s="492"/>
      <c r="AD87" s="492">
        <v>44495</v>
      </c>
      <c r="AE87" s="492"/>
      <c r="AF87" s="492"/>
      <c r="AG87" s="492"/>
      <c r="AH87" s="493"/>
      <c r="AI87" s="494" t="s">
        <v>158</v>
      </c>
      <c r="AJ87" s="494" t="s">
        <v>430</v>
      </c>
      <c r="AK87" s="495" t="s">
        <v>431</v>
      </c>
      <c r="AL87" s="495">
        <v>44376</v>
      </c>
      <c r="AM87" s="495">
        <v>44396</v>
      </c>
      <c r="AN87" s="495"/>
      <c r="AO87" s="199">
        <f t="shared" ca="1" si="5"/>
        <v>44958</v>
      </c>
      <c r="AP87" s="494">
        <f t="shared" ca="1" si="6"/>
        <v>562</v>
      </c>
      <c r="AQ87" s="494" t="str">
        <f t="shared" si="12"/>
        <v/>
      </c>
      <c r="AR87" s="495" t="s">
        <v>432</v>
      </c>
      <c r="AS87" s="495" t="s">
        <v>6403</v>
      </c>
      <c r="AT87" s="496">
        <v>2.8090000000000002</v>
      </c>
      <c r="AU87" s="496">
        <f>AT87+0.01</f>
        <v>2.819</v>
      </c>
      <c r="AV87" s="496">
        <v>2.8090000000000002</v>
      </c>
      <c r="AW87" s="496">
        <f>AV87+0.01</f>
        <v>2.819</v>
      </c>
      <c r="AX87" s="489" t="str">
        <f t="shared" si="13"/>
        <v/>
      </c>
      <c r="BA87" s="489" t="s">
        <v>123</v>
      </c>
    </row>
    <row r="88" spans="1:69" s="489" customFormat="1" ht="18" customHeight="1" x14ac:dyDescent="0.25">
      <c r="A88" s="199">
        <v>44524</v>
      </c>
      <c r="B88" s="204">
        <f ca="1">IF(A88="",(IF(ISNUMBER(SUBSTITUTE(LEFT(RIGHT(E88,LEN(E88)-MIN(SEARCH({1,2,3,4,5,6,7,8,9,0},E88&amp;"1234567890"))+1),10),".","/"))=TRUE,AO88-(SUBSTITUTE(LEFT(RIGHT(E88,LEN(E88)-MIN(SEARCH({1,2,3,4,5,6,7,8,9,0},E88&amp;"1234567890"))+1),10),".","/")),IF((SUBSTITUTE(LEFT(RIGHT(E88,LEN(E88)-MIN(SEARCH({1,2,3,4,5,6,7,8,9,0},E88&amp;"1234567890"))+1),10),".","/"))="","",(AO88)-(MID(RIGHT((SUBSTITUTE(LEFT(RIGHT(E88,LEN(E88)-MIN(SEARCH({1,2,3,4,5,6,7,8,9,0},E88&amp;"1234567890"))+1),10),".","/")),10),4,2)&amp;"/"&amp;LEFT((RIGHT((SUBSTITUTE(LEFT(RIGHT(E88,LEN(E88)-MIN(SEARCH({1,2,3,4,5,6,7,8,9,0},E88&amp;"1234567890"))+1),10),".","/")),10)),2)&amp;"/"&amp;RIGHT((SUBSTITUTE(LEFT(RIGHT(E88,LEN(E88)-MIN(SEARCH({1,2,3,4,5,6,7,8,9,0},E88&amp;"1234567890"))+1),10),".","/")),4))))),(AO88-A88))</f>
        <v>434</v>
      </c>
      <c r="C88" s="199"/>
      <c r="D88" s="201" t="str">
        <f t="shared" si="11"/>
        <v>FGMKW2-J3/2B-0.73X118.2</v>
      </c>
      <c r="E88" s="201" t="s">
        <v>6404</v>
      </c>
      <c r="F88" s="201" t="s">
        <v>6405</v>
      </c>
      <c r="G88" s="201" t="s">
        <v>6406</v>
      </c>
      <c r="H88" s="201" t="s">
        <v>34</v>
      </c>
      <c r="I88" s="202" t="s">
        <v>114</v>
      </c>
      <c r="J88" s="203">
        <v>2.2000000000000002</v>
      </c>
      <c r="K88" s="203">
        <v>0.73</v>
      </c>
      <c r="L88" s="203">
        <v>0.73</v>
      </c>
      <c r="M88" s="203">
        <v>0.75</v>
      </c>
      <c r="N88" s="174">
        <v>118.2</v>
      </c>
      <c r="O88" s="381">
        <f>3.96-3.68</f>
        <v>0.2799999999999998</v>
      </c>
      <c r="P88" s="413">
        <v>0.28100000000000003</v>
      </c>
      <c r="Q88" s="174">
        <v>118.2</v>
      </c>
      <c r="R88" s="185"/>
      <c r="S88" s="414"/>
      <c r="T88" s="508"/>
      <c r="U88" s="491" t="s">
        <v>390</v>
      </c>
      <c r="V88" s="491" t="s">
        <v>6407</v>
      </c>
      <c r="W88" s="185" t="s">
        <v>114</v>
      </c>
      <c r="X88" s="492">
        <v>44297</v>
      </c>
      <c r="Y88" s="492"/>
      <c r="Z88" s="492">
        <v>44297</v>
      </c>
      <c r="AA88" s="492"/>
      <c r="AB88" s="492">
        <v>44300</v>
      </c>
      <c r="AC88" s="492"/>
      <c r="AD88" s="492"/>
      <c r="AE88" s="492"/>
      <c r="AF88" s="492"/>
      <c r="AG88" s="492"/>
      <c r="AH88" s="493"/>
      <c r="AI88" s="494" t="s">
        <v>69</v>
      </c>
      <c r="AJ88" s="494" t="s">
        <v>119</v>
      </c>
      <c r="AK88" s="495" t="s">
        <v>6408</v>
      </c>
      <c r="AL88" s="495">
        <v>44275</v>
      </c>
      <c r="AM88" s="495">
        <v>44294</v>
      </c>
      <c r="AN88" s="495"/>
      <c r="AO88" s="199">
        <f t="shared" ca="1" si="5"/>
        <v>44958</v>
      </c>
      <c r="AP88" s="494">
        <f t="shared" ca="1" si="6"/>
        <v>664</v>
      </c>
      <c r="AQ88" s="494">
        <f t="shared" ca="1" si="12"/>
        <v>658</v>
      </c>
      <c r="AR88" s="495"/>
      <c r="AS88" s="495" t="s">
        <v>6409</v>
      </c>
      <c r="AT88" s="496">
        <v>8.1760000000000002</v>
      </c>
      <c r="AU88" s="496">
        <v>8.1910000000000007</v>
      </c>
      <c r="AV88" s="496">
        <v>8.2159999999999993</v>
      </c>
      <c r="AW88" s="496">
        <v>8.2210000000000001</v>
      </c>
      <c r="AX88" s="489">
        <f t="shared" ca="1" si="13"/>
        <v>661</v>
      </c>
      <c r="BA88" s="489" t="s">
        <v>123</v>
      </c>
      <c r="BQ88" s="489" t="s">
        <v>5656</v>
      </c>
    </row>
    <row r="89" spans="1:69" s="489" customFormat="1" ht="18" customHeight="1" x14ac:dyDescent="0.25">
      <c r="A89" s="199">
        <v>44516</v>
      </c>
      <c r="B89" s="204">
        <f ca="1">IF(A89="",(IF(ISNUMBER(SUBSTITUTE(LEFT(RIGHT(E89,LEN(E89)-MIN(SEARCH({1,2,3,4,5,6,7,8,9,0},E89&amp;"1234567890"))+1),10),".","/"))=TRUE,AO89-(SUBSTITUTE(LEFT(RIGHT(E89,LEN(E89)-MIN(SEARCH({1,2,3,4,5,6,7,8,9,0},E89&amp;"1234567890"))+1),10),".","/")),IF((SUBSTITUTE(LEFT(RIGHT(E89,LEN(E89)-MIN(SEARCH({1,2,3,4,5,6,7,8,9,0},E89&amp;"1234567890"))+1),10),".","/"))="","",(AO89)-(MID(RIGHT((SUBSTITUTE(LEFT(RIGHT(E89,LEN(E89)-MIN(SEARCH({1,2,3,4,5,6,7,8,9,0},E89&amp;"1234567890"))+1),10),".","/")),10),4,2)&amp;"/"&amp;LEFT((RIGHT((SUBSTITUTE(LEFT(RIGHT(E89,LEN(E89)-MIN(SEARCH({1,2,3,4,5,6,7,8,9,0},E89&amp;"1234567890"))+1),10),".","/")),10)),2)&amp;"/"&amp;RIGHT((SUBSTITUTE(LEFT(RIGHT(E89,LEN(E89)-MIN(SEARCH({1,2,3,4,5,6,7,8,9,0},E89&amp;"1234567890"))+1),10),".","/")),4))))),(AO89-A89))</f>
        <v>442</v>
      </c>
      <c r="C89" s="199"/>
      <c r="D89" s="201" t="str">
        <f t="shared" si="11"/>
        <v>FGCKW2-J3/2B-0.91X595</v>
      </c>
      <c r="E89" s="201" t="s">
        <v>6410</v>
      </c>
      <c r="F89" s="201" t="s">
        <v>6411</v>
      </c>
      <c r="G89" s="201" t="s">
        <v>6412</v>
      </c>
      <c r="H89" s="201" t="s">
        <v>34</v>
      </c>
      <c r="I89" s="202" t="s">
        <v>114</v>
      </c>
      <c r="J89" s="203">
        <v>2.4</v>
      </c>
      <c r="K89" s="203">
        <v>0.91</v>
      </c>
      <c r="L89" s="203">
        <v>0.9</v>
      </c>
      <c r="M89" s="203">
        <v>0.91</v>
      </c>
      <c r="N89" s="204">
        <v>595</v>
      </c>
      <c r="O89" s="381">
        <v>0.255</v>
      </c>
      <c r="P89" s="413">
        <v>0.25600000000000001</v>
      </c>
      <c r="Q89" s="185">
        <v>595</v>
      </c>
      <c r="R89" s="185"/>
      <c r="S89" s="414"/>
      <c r="T89" s="371"/>
      <c r="U89" s="491" t="s">
        <v>390</v>
      </c>
      <c r="V89" s="491"/>
      <c r="W89" s="185" t="s">
        <v>114</v>
      </c>
      <c r="X89" s="492">
        <v>44367</v>
      </c>
      <c r="Y89" s="492"/>
      <c r="Z89" s="492">
        <v>44367</v>
      </c>
      <c r="AA89" s="492"/>
      <c r="AB89" s="492">
        <v>44385</v>
      </c>
      <c r="AC89" s="492"/>
      <c r="AD89" s="492"/>
      <c r="AE89" s="492"/>
      <c r="AF89" s="492"/>
      <c r="AG89" s="492"/>
      <c r="AH89" s="493"/>
      <c r="AI89" s="494" t="s">
        <v>69</v>
      </c>
      <c r="AJ89" s="494" t="s">
        <v>119</v>
      </c>
      <c r="AK89" s="495" t="s">
        <v>6413</v>
      </c>
      <c r="AL89" s="495">
        <v>44280</v>
      </c>
      <c r="AM89" s="495">
        <v>44302</v>
      </c>
      <c r="AN89" s="495"/>
      <c r="AO89" s="199">
        <f t="shared" ca="1" si="5"/>
        <v>44958</v>
      </c>
      <c r="AP89" s="494">
        <f t="shared" ca="1" si="6"/>
        <v>656</v>
      </c>
      <c r="AQ89" s="494">
        <f t="shared" ca="1" si="12"/>
        <v>573</v>
      </c>
      <c r="AR89" s="495"/>
      <c r="AS89" s="495" t="s">
        <v>6414</v>
      </c>
      <c r="AT89" s="496">
        <v>8.1080000000000005</v>
      </c>
      <c r="AU89" s="496">
        <v>8.1230000000000011</v>
      </c>
      <c r="AV89" s="496">
        <v>8.1479999999999997</v>
      </c>
      <c r="AW89" s="496">
        <v>8.1530000000000005</v>
      </c>
      <c r="AX89" s="489">
        <f t="shared" ca="1" si="13"/>
        <v>591</v>
      </c>
      <c r="BA89" s="489" t="s">
        <v>123</v>
      </c>
      <c r="BQ89" s="489" t="s">
        <v>6354</v>
      </c>
    </row>
    <row r="90" spans="1:69" s="489" customFormat="1" ht="18" customHeight="1" x14ac:dyDescent="0.25">
      <c r="A90" s="199">
        <v>44524</v>
      </c>
      <c r="B90" s="204">
        <f ca="1">IF(A90="",(IF(ISNUMBER(SUBSTITUTE(LEFT(RIGHT(E90,LEN(E90)-MIN(SEARCH({1,2,3,4,5,6,7,8,9,0},E90&amp;"1234567890"))+1),10),".","/"))=TRUE,AO90-(SUBSTITUTE(LEFT(RIGHT(E90,LEN(E90)-MIN(SEARCH({1,2,3,4,5,6,7,8,9,0},E90&amp;"1234567890"))+1),10),".","/")),IF((SUBSTITUTE(LEFT(RIGHT(E90,LEN(E90)-MIN(SEARCH({1,2,3,4,5,6,7,8,9,0},E90&amp;"1234567890"))+1),10),".","/"))="","",(AO90)-(MID(RIGHT((SUBSTITUTE(LEFT(RIGHT(E90,LEN(E90)-MIN(SEARCH({1,2,3,4,5,6,7,8,9,0},E90&amp;"1234567890"))+1),10),".","/")),10),4,2)&amp;"/"&amp;LEFT((RIGHT((SUBSTITUTE(LEFT(RIGHT(E90,LEN(E90)-MIN(SEARCH({1,2,3,4,5,6,7,8,9,0},E90&amp;"1234567890"))+1),10),".","/")),10)),2)&amp;"/"&amp;RIGHT((SUBSTITUTE(LEFT(RIGHT(E90,LEN(E90)-MIN(SEARCH({1,2,3,4,5,6,7,8,9,0},E90&amp;"1234567890"))+1),10),".","/")),4))))),(AO90-A90))</f>
        <v>434</v>
      </c>
      <c r="C90" s="199"/>
      <c r="D90" s="201" t="str">
        <f t="shared" si="11"/>
        <v>FGCKW2-410/BA-0.25X600</v>
      </c>
      <c r="E90" s="201" t="s">
        <v>6415</v>
      </c>
      <c r="F90" s="201" t="s">
        <v>6416</v>
      </c>
      <c r="G90" s="201" t="s">
        <v>6417</v>
      </c>
      <c r="H90" s="201">
        <v>410</v>
      </c>
      <c r="I90" s="202" t="s">
        <v>158</v>
      </c>
      <c r="J90" s="203">
        <v>0.25</v>
      </c>
      <c r="K90" s="203">
        <v>0.25</v>
      </c>
      <c r="L90" s="203"/>
      <c r="M90" s="203"/>
      <c r="N90" s="204">
        <v>600</v>
      </c>
      <c r="O90" s="381">
        <v>0.26</v>
      </c>
      <c r="P90" s="413">
        <v>0.26100000000000001</v>
      </c>
      <c r="Q90" s="185">
        <v>600</v>
      </c>
      <c r="R90" s="185"/>
      <c r="S90" s="414"/>
      <c r="T90" s="371"/>
      <c r="U90" s="491" t="s">
        <v>390</v>
      </c>
      <c r="V90" s="491"/>
      <c r="W90" s="185" t="s">
        <v>6418</v>
      </c>
      <c r="X90" s="492"/>
      <c r="Y90" s="492"/>
      <c r="Z90" s="492"/>
      <c r="AA90" s="492"/>
      <c r="AB90" s="492"/>
      <c r="AC90" s="492"/>
      <c r="AD90" s="492" t="s">
        <v>6419</v>
      </c>
      <c r="AE90" s="492"/>
      <c r="AF90" s="492"/>
      <c r="AG90" s="492"/>
      <c r="AH90" s="493"/>
      <c r="AI90" s="494" t="s">
        <v>158</v>
      </c>
      <c r="AJ90" s="494" t="s">
        <v>430</v>
      </c>
      <c r="AK90" s="495" t="s">
        <v>431</v>
      </c>
      <c r="AL90" s="495">
        <v>44376</v>
      </c>
      <c r="AM90" s="495">
        <v>44396</v>
      </c>
      <c r="AN90" s="495"/>
      <c r="AO90" s="199">
        <f t="shared" ca="1" si="5"/>
        <v>44958</v>
      </c>
      <c r="AP90" s="494">
        <f t="shared" ca="1" si="6"/>
        <v>562</v>
      </c>
      <c r="AQ90" s="494" t="str">
        <f t="shared" si="12"/>
        <v/>
      </c>
      <c r="AR90" s="495" t="s">
        <v>6420</v>
      </c>
      <c r="AS90" s="495" t="s">
        <v>6421</v>
      </c>
      <c r="AT90" s="496">
        <v>3.34</v>
      </c>
      <c r="AU90" s="496">
        <f>AT90+0.01</f>
        <v>3.3499999999999996</v>
      </c>
      <c r="AV90" s="496">
        <v>3.34</v>
      </c>
      <c r="AW90" s="496">
        <f>AV90+0.01</f>
        <v>3.3499999999999996</v>
      </c>
      <c r="AX90" s="489" t="str">
        <f t="shared" si="13"/>
        <v/>
      </c>
      <c r="BA90" s="489" t="s">
        <v>123</v>
      </c>
      <c r="BB90" s="485">
        <v>44834</v>
      </c>
      <c r="BQ90" s="489" t="s">
        <v>5656</v>
      </c>
    </row>
    <row r="91" spans="1:69" s="489" customFormat="1" ht="18" customHeight="1" x14ac:dyDescent="0.25">
      <c r="A91" s="199">
        <v>44537</v>
      </c>
      <c r="B91" s="204">
        <f ca="1">IF(A91="",(IF(ISNUMBER(SUBSTITUTE(LEFT(RIGHT(E91,LEN(E91)-MIN(SEARCH({1,2,3,4,5,6,7,8,9,0},E91&amp;"1234567890"))+1),10),".","/"))=TRUE,AO91-(SUBSTITUTE(LEFT(RIGHT(E91,LEN(E91)-MIN(SEARCH({1,2,3,4,5,6,7,8,9,0},E91&amp;"1234567890"))+1),10),".","/")),IF((SUBSTITUTE(LEFT(RIGHT(E91,LEN(E91)-MIN(SEARCH({1,2,3,4,5,6,7,8,9,0},E91&amp;"1234567890"))+1),10),".","/"))="","",(AO91)-(MID(RIGHT((SUBSTITUTE(LEFT(RIGHT(E91,LEN(E91)-MIN(SEARCH({1,2,3,4,5,6,7,8,9,0},E91&amp;"1234567890"))+1),10),".","/")),10),4,2)&amp;"/"&amp;LEFT((RIGHT((SUBSTITUTE(LEFT(RIGHT(E91,LEN(E91)-MIN(SEARCH({1,2,3,4,5,6,7,8,9,0},E91&amp;"1234567890"))+1),10),".","/")),10)),2)&amp;"/"&amp;RIGHT((SUBSTITUTE(LEFT(RIGHT(E91,LEN(E91)-MIN(SEARCH({1,2,3,4,5,6,7,8,9,0},E91&amp;"1234567890"))+1),10),".","/")),4))))),(AO91-A91))</f>
        <v>421</v>
      </c>
      <c r="C91" s="199"/>
      <c r="D91" s="201" t="str">
        <f t="shared" si="11"/>
        <v>FGCKW2-304/2B-0.50XMULTI</v>
      </c>
      <c r="E91" s="201" t="s">
        <v>6422</v>
      </c>
      <c r="F91" s="201" t="s">
        <v>6423</v>
      </c>
      <c r="G91" s="201" t="s">
        <v>6424</v>
      </c>
      <c r="H91" s="201">
        <v>304</v>
      </c>
      <c r="I91" s="202" t="s">
        <v>114</v>
      </c>
      <c r="J91" s="203">
        <v>0.94</v>
      </c>
      <c r="K91" s="203">
        <v>0.5</v>
      </c>
      <c r="L91" s="203">
        <v>0.47</v>
      </c>
      <c r="M91" s="203">
        <v>0.5</v>
      </c>
      <c r="N91" s="204" t="s">
        <v>5124</v>
      </c>
      <c r="O91" s="381">
        <f>0.185+0.135+0.095</f>
        <v>0.41500000000000004</v>
      </c>
      <c r="P91" s="413"/>
      <c r="Q91" s="185" t="s">
        <v>5124</v>
      </c>
      <c r="R91" s="185">
        <f>219+272+225</f>
        <v>716</v>
      </c>
      <c r="S91" s="414"/>
      <c r="T91" s="371"/>
      <c r="U91" s="491" t="s">
        <v>390</v>
      </c>
      <c r="V91" s="491" t="s">
        <v>184</v>
      </c>
      <c r="W91" s="185" t="s">
        <v>114</v>
      </c>
      <c r="X91" s="492" t="s">
        <v>6425</v>
      </c>
      <c r="Y91" s="492"/>
      <c r="Z91" s="492" t="s">
        <v>6425</v>
      </c>
      <c r="AA91" s="492"/>
      <c r="AB91" s="492" t="s">
        <v>6426</v>
      </c>
      <c r="AC91" s="492"/>
      <c r="AD91" s="492">
        <v>44529</v>
      </c>
      <c r="AE91" s="492"/>
      <c r="AF91" s="492"/>
      <c r="AG91" s="492"/>
      <c r="AH91" s="493"/>
      <c r="AI91" s="494" t="s">
        <v>69</v>
      </c>
      <c r="AJ91" s="494" t="s">
        <v>6074</v>
      </c>
      <c r="AK91" s="495" t="s">
        <v>6075</v>
      </c>
      <c r="AL91" s="495">
        <v>43187</v>
      </c>
      <c r="AM91" s="495">
        <v>43220</v>
      </c>
      <c r="AN91" s="495"/>
      <c r="AO91" s="199">
        <f t="shared" ca="1" si="5"/>
        <v>44958</v>
      </c>
      <c r="AP91" s="494">
        <f t="shared" ca="1" si="6"/>
        <v>1738</v>
      </c>
      <c r="AQ91" s="494">
        <f t="shared" ca="1" si="12"/>
        <v>851</v>
      </c>
      <c r="AR91" s="495"/>
      <c r="AS91" s="495" t="s">
        <v>6423</v>
      </c>
      <c r="AT91" s="496">
        <v>8.9480000000000004</v>
      </c>
      <c r="AU91" s="496">
        <v>8.963000000000001</v>
      </c>
      <c r="AV91" s="496">
        <v>8.9499999999999993</v>
      </c>
      <c r="AW91" s="496">
        <v>8.9550000000000001</v>
      </c>
      <c r="AX91" s="489">
        <f t="shared" ca="1" si="13"/>
        <v>855</v>
      </c>
      <c r="BA91" s="489" t="s">
        <v>6103</v>
      </c>
    </row>
    <row r="92" spans="1:69" s="489" customFormat="1" ht="18" customHeight="1" x14ac:dyDescent="0.25">
      <c r="A92" s="199"/>
      <c r="B92" s="204">
        <f ca="1">IF(A92="",(IF(ISNUMBER(SUBSTITUTE(LEFT(RIGHT(E92,LEN(E92)-MIN(SEARCH({1,2,3,4,5,6,7,8,9,0},E92&amp;"1234567890"))+1),10),".","/"))=TRUE,AO92-(SUBSTITUTE(LEFT(RIGHT(E92,LEN(E92)-MIN(SEARCH({1,2,3,4,5,6,7,8,9,0},E92&amp;"1234567890"))+1),10),".","/")),IF((SUBSTITUTE(LEFT(RIGHT(E92,LEN(E92)-MIN(SEARCH({1,2,3,4,5,6,7,8,9,0},E92&amp;"1234567890"))+1),10),".","/"))="","",(AO92)-(MID(RIGHT((SUBSTITUTE(LEFT(RIGHT(E92,LEN(E92)-MIN(SEARCH({1,2,3,4,5,6,7,8,9,0},E92&amp;"1234567890"))+1),10),".","/")),10),4,2)&amp;"/"&amp;LEFT((RIGHT((SUBSTITUTE(LEFT(RIGHT(E92,LEN(E92)-MIN(SEARCH({1,2,3,4,5,6,7,8,9,0},E92&amp;"1234567890"))+1),10),".","/")),10)),2)&amp;"/"&amp;RIGHT((SUBSTITUTE(LEFT(RIGHT(E92,LEN(E92)-MIN(SEARCH({1,2,3,4,5,6,7,8,9,0},E92&amp;"1234567890"))+1),10),".","/")),4))))),(AO92-A92))</f>
        <v>428</v>
      </c>
      <c r="C92" s="199"/>
      <c r="D92" s="201" t="str">
        <f t="shared" si="11"/>
        <v>FGCKW2-304/2B-0.50XMULTI</v>
      </c>
      <c r="E92" s="201" t="s">
        <v>6422</v>
      </c>
      <c r="F92" s="201" t="s">
        <v>6423</v>
      </c>
      <c r="G92" s="201" t="s">
        <v>6427</v>
      </c>
      <c r="H92" s="201">
        <v>304</v>
      </c>
      <c r="I92" s="202" t="s">
        <v>114</v>
      </c>
      <c r="J92" s="203">
        <v>0.94</v>
      </c>
      <c r="K92" s="203">
        <v>0.5</v>
      </c>
      <c r="L92" s="203">
        <v>0.47</v>
      </c>
      <c r="M92" s="203">
        <v>0.5</v>
      </c>
      <c r="N92" s="204" t="s">
        <v>5124</v>
      </c>
      <c r="O92" s="381">
        <f>0.1+0.08+0.08</f>
        <v>0.26</v>
      </c>
      <c r="P92" s="413"/>
      <c r="Q92" s="185" t="s">
        <v>5124</v>
      </c>
      <c r="R92" s="185">
        <f>272+225+219</f>
        <v>716</v>
      </c>
      <c r="S92" s="414"/>
      <c r="T92" s="371"/>
      <c r="U92" s="491" t="s">
        <v>390</v>
      </c>
      <c r="V92" s="491" t="s">
        <v>184</v>
      </c>
      <c r="W92" s="185" t="s">
        <v>114</v>
      </c>
      <c r="X92" s="492" t="s">
        <v>6425</v>
      </c>
      <c r="Y92" s="492"/>
      <c r="Z92" s="492" t="s">
        <v>6425</v>
      </c>
      <c r="AA92" s="492"/>
      <c r="AB92" s="492" t="s">
        <v>6426</v>
      </c>
      <c r="AC92" s="492"/>
      <c r="AD92" s="492">
        <v>44529</v>
      </c>
      <c r="AE92" s="492"/>
      <c r="AF92" s="492"/>
      <c r="AG92" s="492"/>
      <c r="AH92" s="493"/>
      <c r="AI92" s="494" t="s">
        <v>69</v>
      </c>
      <c r="AJ92" s="494" t="s">
        <v>6074</v>
      </c>
      <c r="AK92" s="495" t="s">
        <v>6075</v>
      </c>
      <c r="AL92" s="495">
        <v>43187</v>
      </c>
      <c r="AM92" s="495">
        <v>43220</v>
      </c>
      <c r="AN92" s="495"/>
      <c r="AO92" s="199">
        <f t="shared" ca="1" si="5"/>
        <v>44958</v>
      </c>
      <c r="AP92" s="494">
        <f t="shared" ca="1" si="6"/>
        <v>1738</v>
      </c>
      <c r="AQ92" s="494">
        <f t="shared" ca="1" si="12"/>
        <v>851</v>
      </c>
      <c r="AR92" s="495"/>
      <c r="AS92" s="495" t="s">
        <v>6423</v>
      </c>
      <c r="AT92" s="496">
        <v>8.9480000000000004</v>
      </c>
      <c r="AU92" s="496">
        <v>8.963000000000001</v>
      </c>
      <c r="AV92" s="496">
        <v>8.9499999999999993</v>
      </c>
      <c r="AW92" s="496">
        <v>8.9550000000000001</v>
      </c>
      <c r="AX92" s="489">
        <f t="shared" ca="1" si="13"/>
        <v>855</v>
      </c>
      <c r="BA92" s="489" t="s">
        <v>6103</v>
      </c>
    </row>
    <row r="93" spans="1:69" s="489" customFormat="1" ht="18" customHeight="1" x14ac:dyDescent="0.25">
      <c r="A93" s="199">
        <v>44718</v>
      </c>
      <c r="B93" s="204">
        <f ca="1">IF(A93="",(IF(ISNUMBER(SUBSTITUTE(LEFT(RIGHT(E93,LEN(E93)-MIN(SEARCH({1,2,3,4,5,6,7,8,9,0},E93&amp;"1234567890"))+1),10),".","/"))=TRUE,AO93-(SUBSTITUTE(LEFT(RIGHT(E93,LEN(E93)-MIN(SEARCH({1,2,3,4,5,6,7,8,9,0},E93&amp;"1234567890"))+1),10),".","/")),IF((SUBSTITUTE(LEFT(RIGHT(E93,LEN(E93)-MIN(SEARCH({1,2,3,4,5,6,7,8,9,0},E93&amp;"1234567890"))+1),10),".","/"))="","",(AO93)-(MID(RIGHT((SUBSTITUTE(LEFT(RIGHT(E93,LEN(E93)-MIN(SEARCH({1,2,3,4,5,6,7,8,9,0},E93&amp;"1234567890"))+1),10),".","/")),10),4,2)&amp;"/"&amp;LEFT((RIGHT((SUBSTITUTE(LEFT(RIGHT(E93,LEN(E93)-MIN(SEARCH({1,2,3,4,5,6,7,8,9,0},E93&amp;"1234567890"))+1),10),".","/")),10)),2)&amp;"/"&amp;RIGHT((SUBSTITUTE(LEFT(RIGHT(E93,LEN(E93)-MIN(SEARCH({1,2,3,4,5,6,7,8,9,0},E93&amp;"1234567890"))+1),10),".","/")),4))))),(AO93-A93))</f>
        <v>240</v>
      </c>
      <c r="C93" s="199"/>
      <c r="D93" s="201" t="str">
        <f t="shared" si="11"/>
        <v>FGCKW2-J3/2B-0.92XMULTI</v>
      </c>
      <c r="E93" s="201" t="s">
        <v>6428</v>
      </c>
      <c r="F93" s="201" t="s">
        <v>489</v>
      </c>
      <c r="G93" s="201" t="s">
        <v>6429</v>
      </c>
      <c r="H93" s="201" t="s">
        <v>34</v>
      </c>
      <c r="I93" s="202" t="s">
        <v>114</v>
      </c>
      <c r="J93" s="203">
        <v>0.92</v>
      </c>
      <c r="K93" s="203">
        <v>0.92</v>
      </c>
      <c r="L93" s="203"/>
      <c r="M93" s="203"/>
      <c r="N93" s="204">
        <v>620</v>
      </c>
      <c r="O93" s="381">
        <v>0.34499999999999997</v>
      </c>
      <c r="P93" s="413">
        <v>0.34599999999999997</v>
      </c>
      <c r="Q93" s="185" t="s">
        <v>5124</v>
      </c>
      <c r="R93" s="380" t="s">
        <v>6430</v>
      </c>
      <c r="S93" s="414"/>
      <c r="T93" s="371"/>
      <c r="U93" s="491" t="s">
        <v>390</v>
      </c>
      <c r="V93" s="491"/>
      <c r="W93" s="185"/>
      <c r="X93" s="492"/>
      <c r="Y93" s="492"/>
      <c r="Z93" s="492"/>
      <c r="AA93" s="492"/>
      <c r="AB93" s="492"/>
      <c r="AC93" s="492"/>
      <c r="AD93" s="492"/>
      <c r="AE93" s="492"/>
      <c r="AF93" s="492"/>
      <c r="AG93" s="492"/>
      <c r="AH93" s="493"/>
      <c r="AI93" s="494" t="s">
        <v>114</v>
      </c>
      <c r="AJ93" s="494" t="s">
        <v>248</v>
      </c>
      <c r="AK93" s="495"/>
      <c r="AL93" s="495"/>
      <c r="AM93" s="495">
        <v>44398</v>
      </c>
      <c r="AN93" s="495"/>
      <c r="AO93" s="199">
        <f t="shared" ca="1" si="5"/>
        <v>44958</v>
      </c>
      <c r="AP93" s="494">
        <f t="shared" ca="1" si="6"/>
        <v>560</v>
      </c>
      <c r="AQ93" s="494" t="str">
        <f t="shared" si="12"/>
        <v/>
      </c>
      <c r="AR93" s="495"/>
      <c r="AS93" s="495" t="s">
        <v>492</v>
      </c>
      <c r="AT93" s="496">
        <v>9.9329999999999998</v>
      </c>
      <c r="AU93" s="496">
        <v>9.972999999999999</v>
      </c>
      <c r="AV93" s="496">
        <v>9.9979999999999976</v>
      </c>
      <c r="AW93" s="496">
        <v>10.002999999999998</v>
      </c>
      <c r="AX93" s="489" t="str">
        <f t="shared" si="13"/>
        <v/>
      </c>
      <c r="BA93" s="489" t="s">
        <v>123</v>
      </c>
      <c r="BB93" s="485">
        <v>44834</v>
      </c>
      <c r="BN93" s="211"/>
    </row>
    <row r="94" spans="1:69" s="489" customFormat="1" ht="18" customHeight="1" x14ac:dyDescent="0.25">
      <c r="A94" s="199">
        <v>44718</v>
      </c>
      <c r="B94" s="204">
        <f ca="1">IF(A94="",(IF(ISNUMBER(SUBSTITUTE(LEFT(RIGHT(E94,LEN(E94)-MIN(SEARCH({1,2,3,4,5,6,7,8,9,0},E94&amp;"1234567890"))+1),10),".","/"))=TRUE,AO94-(SUBSTITUTE(LEFT(RIGHT(E94,LEN(E94)-MIN(SEARCH({1,2,3,4,5,6,7,8,9,0},E94&amp;"1234567890"))+1),10),".","/")),IF((SUBSTITUTE(LEFT(RIGHT(E94,LEN(E94)-MIN(SEARCH({1,2,3,4,5,6,7,8,9,0},E94&amp;"1234567890"))+1),10),".","/"))="","",(AO94)-(MID(RIGHT((SUBSTITUTE(LEFT(RIGHT(E94,LEN(E94)-MIN(SEARCH({1,2,3,4,5,6,7,8,9,0},E94&amp;"1234567890"))+1),10),".","/")),10),4,2)&amp;"/"&amp;LEFT((RIGHT((SUBSTITUTE(LEFT(RIGHT(E94,LEN(E94)-MIN(SEARCH({1,2,3,4,5,6,7,8,9,0},E94&amp;"1234567890"))+1),10),".","/")),10)),2)&amp;"/"&amp;RIGHT((SUBSTITUTE(LEFT(RIGHT(E94,LEN(E94)-MIN(SEARCH({1,2,3,4,5,6,7,8,9,0},E94&amp;"1234567890"))+1),10),".","/")),4))))),(AO94-A94))</f>
        <v>240</v>
      </c>
      <c r="C94" s="199"/>
      <c r="D94" s="201" t="str">
        <f t="shared" si="11"/>
        <v>FGCKW2-304L/2B-0.95XMULTI</v>
      </c>
      <c r="E94" s="201" t="s">
        <v>6431</v>
      </c>
      <c r="F94" s="201" t="s">
        <v>6432</v>
      </c>
      <c r="G94" s="201" t="s">
        <v>6433</v>
      </c>
      <c r="H94" s="201" t="s">
        <v>182</v>
      </c>
      <c r="I94" s="202" t="s">
        <v>114</v>
      </c>
      <c r="J94" s="203">
        <v>3.48</v>
      </c>
      <c r="K94" s="203">
        <v>0.95</v>
      </c>
      <c r="L94" s="203"/>
      <c r="M94" s="203"/>
      <c r="N94" s="204">
        <v>770</v>
      </c>
      <c r="O94" s="381">
        <v>0.48</v>
      </c>
      <c r="P94" s="413">
        <v>0.48099999999999998</v>
      </c>
      <c r="Q94" s="185" t="s">
        <v>5124</v>
      </c>
      <c r="R94" s="380" t="s">
        <v>6434</v>
      </c>
      <c r="S94" s="414"/>
      <c r="T94" s="371"/>
      <c r="U94" s="491" t="s">
        <v>390</v>
      </c>
      <c r="V94" s="491"/>
      <c r="W94" s="185" t="s">
        <v>114</v>
      </c>
      <c r="X94" s="492">
        <v>44476</v>
      </c>
      <c r="Y94" s="492"/>
      <c r="Z94" s="492">
        <v>44477</v>
      </c>
      <c r="AA94" s="492"/>
      <c r="AB94" s="492">
        <v>44548</v>
      </c>
      <c r="AC94" s="492"/>
      <c r="AD94" s="492"/>
      <c r="AE94" s="492"/>
      <c r="AF94" s="492"/>
      <c r="AG94" s="492"/>
      <c r="AH94" s="491"/>
      <c r="AI94" s="494" t="s">
        <v>69</v>
      </c>
      <c r="AJ94" s="494" t="s">
        <v>142</v>
      </c>
      <c r="AK94" s="495" t="s">
        <v>6435</v>
      </c>
      <c r="AL94" s="495"/>
      <c r="AM94" s="495">
        <v>44466</v>
      </c>
      <c r="AN94" s="495"/>
      <c r="AO94" s="199">
        <f t="shared" ca="1" si="5"/>
        <v>44958</v>
      </c>
      <c r="AP94" s="494">
        <f t="shared" ca="1" si="6"/>
        <v>492</v>
      </c>
      <c r="AQ94" s="494">
        <f t="shared" ca="1" si="12"/>
        <v>410</v>
      </c>
      <c r="AR94" s="495"/>
      <c r="AS94" s="495" t="s">
        <v>6436</v>
      </c>
      <c r="AT94" s="496">
        <v>10.404999999999999</v>
      </c>
      <c r="AU94" s="496">
        <v>10.414999999999999</v>
      </c>
      <c r="AV94" s="496">
        <v>10.439999999999998</v>
      </c>
      <c r="AW94" s="496">
        <v>10.444999999999999</v>
      </c>
      <c r="AX94" s="489">
        <f t="shared" ca="1" si="13"/>
        <v>481</v>
      </c>
      <c r="BA94" s="489" t="s">
        <v>123</v>
      </c>
      <c r="BN94" s="211"/>
    </row>
    <row r="95" spans="1:69" s="489" customFormat="1" ht="18" customHeight="1" x14ac:dyDescent="0.25">
      <c r="A95" s="199"/>
      <c r="B95" s="204">
        <f ca="1">IF(A95="",(IF(ISNUMBER(SUBSTITUTE(LEFT(RIGHT(E95,LEN(E95)-MIN(SEARCH({1,2,3,4,5,6,7,8,9,0},E95&amp;"1234567890"))+1),10),".","/"))=TRUE,AO95-(SUBSTITUTE(LEFT(RIGHT(E95,LEN(E95)-MIN(SEARCH({1,2,3,4,5,6,7,8,9,0},E95&amp;"1234567890"))+1),10),".","/")),IF((SUBSTITUTE(LEFT(RIGHT(E95,LEN(E95)-MIN(SEARCH({1,2,3,4,5,6,7,8,9,0},E95&amp;"1234567890"))+1),10),".","/"))="","",(AO95)-(MID(RIGHT((SUBSTITUTE(LEFT(RIGHT(E95,LEN(E95)-MIN(SEARCH({1,2,3,4,5,6,7,8,9,0},E95&amp;"1234567890"))+1),10),".","/")),10),4,2)&amp;"/"&amp;LEFT((RIGHT((SUBSTITUTE(LEFT(RIGHT(E95,LEN(E95)-MIN(SEARCH({1,2,3,4,5,6,7,8,9,0},E95&amp;"1234567890"))+1),10),".","/")),10)),2)&amp;"/"&amp;RIGHT((SUBSTITUTE(LEFT(RIGHT(E95,LEN(E95)-MIN(SEARCH({1,2,3,4,5,6,7,8,9,0},E95&amp;"1234567890"))+1),10),".","/")),4))))),(AO95-A95))</f>
        <v>399</v>
      </c>
      <c r="C95" s="199"/>
      <c r="D95" s="201" t="str">
        <f t="shared" si="11"/>
        <v>FGCKW2-316L/2B-1.30X760</v>
      </c>
      <c r="E95" s="201" t="s">
        <v>6437</v>
      </c>
      <c r="F95" s="201" t="s">
        <v>6438</v>
      </c>
      <c r="G95" s="201" t="s">
        <v>6439</v>
      </c>
      <c r="H95" s="201" t="s">
        <v>135</v>
      </c>
      <c r="I95" s="202" t="s">
        <v>114</v>
      </c>
      <c r="J95" s="203">
        <v>3.79</v>
      </c>
      <c r="K95" s="203">
        <v>1.3</v>
      </c>
      <c r="L95" s="203">
        <v>1.27</v>
      </c>
      <c r="M95" s="203">
        <v>1.31</v>
      </c>
      <c r="N95" s="204">
        <v>770</v>
      </c>
      <c r="O95" s="381">
        <v>0.15</v>
      </c>
      <c r="P95" s="413"/>
      <c r="Q95" s="185">
        <v>760</v>
      </c>
      <c r="R95" s="185"/>
      <c r="S95" s="414"/>
      <c r="T95" s="371"/>
      <c r="U95" s="491" t="s">
        <v>390</v>
      </c>
      <c r="V95" s="491"/>
      <c r="W95" s="185" t="s">
        <v>114</v>
      </c>
      <c r="X95" s="492">
        <v>44506</v>
      </c>
      <c r="Y95" s="492"/>
      <c r="Z95" s="492">
        <v>44506</v>
      </c>
      <c r="AA95" s="492"/>
      <c r="AB95" s="492">
        <v>44558</v>
      </c>
      <c r="AC95" s="492"/>
      <c r="AD95" s="492"/>
      <c r="AE95" s="492"/>
      <c r="AF95" s="492"/>
      <c r="AG95" s="492"/>
      <c r="AH95" s="493"/>
      <c r="AI95" s="494" t="s">
        <v>69</v>
      </c>
      <c r="AJ95" s="494" t="s">
        <v>142</v>
      </c>
      <c r="AK95" s="495" t="s">
        <v>648</v>
      </c>
      <c r="AL95" s="495"/>
      <c r="AM95" s="495">
        <v>44496</v>
      </c>
      <c r="AN95" s="495"/>
      <c r="AO95" s="199">
        <f t="shared" ca="1" si="5"/>
        <v>44958</v>
      </c>
      <c r="AP95" s="494">
        <f t="shared" ca="1" si="6"/>
        <v>462</v>
      </c>
      <c r="AQ95" s="494">
        <f t="shared" ca="1" si="12"/>
        <v>400</v>
      </c>
      <c r="AR95" s="495"/>
      <c r="AS95" s="495" t="s">
        <v>6440</v>
      </c>
      <c r="AT95" s="496">
        <v>10.595000000000001</v>
      </c>
      <c r="AU95" s="496">
        <v>10.605</v>
      </c>
      <c r="AV95" s="496">
        <v>10.629999999999999</v>
      </c>
      <c r="AW95" s="496">
        <v>10.635</v>
      </c>
      <c r="AX95" s="489">
        <f t="shared" ca="1" si="13"/>
        <v>452</v>
      </c>
      <c r="BA95" s="489" t="s">
        <v>123</v>
      </c>
      <c r="BN95" s="211"/>
    </row>
    <row r="96" spans="1:69" s="489" customFormat="1" ht="18" customHeight="1" x14ac:dyDescent="0.25">
      <c r="A96" s="199">
        <v>44784</v>
      </c>
      <c r="B96" s="204">
        <f ca="1">IF(A96="",(IF(ISNUMBER(SUBSTITUTE(LEFT(RIGHT(E96,LEN(E96)-MIN(SEARCH({1,2,3,4,5,6,7,8,9,0},E96&amp;"1234567890"))+1),10),".","/"))=TRUE,AO96-(SUBSTITUTE(LEFT(RIGHT(E96,LEN(E96)-MIN(SEARCH({1,2,3,4,5,6,7,8,9,0},E96&amp;"1234567890"))+1),10),".","/")),IF((SUBSTITUTE(LEFT(RIGHT(E96,LEN(E96)-MIN(SEARCH({1,2,3,4,5,6,7,8,9,0},E96&amp;"1234567890"))+1),10),".","/"))="","",(AO96)-(MID(RIGHT((SUBSTITUTE(LEFT(RIGHT(E96,LEN(E96)-MIN(SEARCH({1,2,3,4,5,6,7,8,9,0},E96&amp;"1234567890"))+1),10),".","/")),10),4,2)&amp;"/"&amp;LEFT((RIGHT((SUBSTITUTE(LEFT(RIGHT(E96,LEN(E96)-MIN(SEARCH({1,2,3,4,5,6,7,8,9,0},E96&amp;"1234567890"))+1),10),".","/")),10)),2)&amp;"/"&amp;RIGHT((SUBSTITUTE(LEFT(RIGHT(E96,LEN(E96)-MIN(SEARCH({1,2,3,4,5,6,7,8,9,0},E96&amp;"1234567890"))+1),10),".","/")),4))))),(AO96-A96))</f>
        <v>174</v>
      </c>
      <c r="C96" s="199"/>
      <c r="D96" s="201" t="str">
        <f t="shared" si="11"/>
        <v>FGCKW2-304L/2B-1.50X760</v>
      </c>
      <c r="E96" s="201" t="s">
        <v>6441</v>
      </c>
      <c r="F96" s="201" t="s">
        <v>6442</v>
      </c>
      <c r="G96" s="201" t="s">
        <v>6443</v>
      </c>
      <c r="H96" s="201" t="s">
        <v>182</v>
      </c>
      <c r="I96" s="202" t="s">
        <v>114</v>
      </c>
      <c r="J96" s="203">
        <v>3.78</v>
      </c>
      <c r="K96" s="203">
        <v>1.5</v>
      </c>
      <c r="L96" s="203">
        <v>1.47</v>
      </c>
      <c r="M96" s="203">
        <v>1.49</v>
      </c>
      <c r="N96" s="204">
        <v>764</v>
      </c>
      <c r="O96" s="381">
        <v>0.68500000000000005</v>
      </c>
      <c r="P96" s="413">
        <v>0.68600000000000005</v>
      </c>
      <c r="Q96" s="185">
        <v>760</v>
      </c>
      <c r="R96" s="414"/>
      <c r="S96" s="414"/>
      <c r="T96" s="371"/>
      <c r="U96" s="491" t="s">
        <v>390</v>
      </c>
      <c r="V96" s="491"/>
      <c r="W96" s="185" t="s">
        <v>114</v>
      </c>
      <c r="X96" s="492">
        <v>44612</v>
      </c>
      <c r="Y96" s="492"/>
      <c r="Z96" s="492">
        <v>44613</v>
      </c>
      <c r="AA96" s="492"/>
      <c r="AB96" s="492">
        <v>44614</v>
      </c>
      <c r="AC96" s="492"/>
      <c r="AD96" s="492">
        <v>44617</v>
      </c>
      <c r="AE96" s="492"/>
      <c r="AF96" s="492"/>
      <c r="AG96" s="492"/>
      <c r="AH96" s="493" t="s">
        <v>6444</v>
      </c>
      <c r="AI96" s="494" t="s">
        <v>69</v>
      </c>
      <c r="AJ96" s="494" t="s">
        <v>142</v>
      </c>
      <c r="AK96" s="495" t="s">
        <v>662</v>
      </c>
      <c r="AL96" s="495"/>
      <c r="AM96" s="495">
        <v>44554</v>
      </c>
      <c r="AN96" s="495"/>
      <c r="AO96" s="199">
        <f t="shared" ca="1" si="5"/>
        <v>44958</v>
      </c>
      <c r="AP96" s="494">
        <f t="shared" ca="1" si="6"/>
        <v>404</v>
      </c>
      <c r="AQ96" s="494">
        <f t="shared" ca="1" si="12"/>
        <v>344</v>
      </c>
      <c r="AR96" s="495"/>
      <c r="AS96" s="495" t="s">
        <v>6445</v>
      </c>
      <c r="AT96" s="496">
        <v>10.210000000000001</v>
      </c>
      <c r="AU96" s="496">
        <v>10.220000000000001</v>
      </c>
      <c r="AV96" s="496">
        <v>10.244999999999999</v>
      </c>
      <c r="AW96" s="496">
        <v>10.25</v>
      </c>
      <c r="AX96" s="489">
        <f t="shared" ca="1" si="13"/>
        <v>345</v>
      </c>
      <c r="BA96" s="489" t="s">
        <v>123</v>
      </c>
      <c r="BB96" s="485">
        <v>44834</v>
      </c>
      <c r="BN96" s="211"/>
    </row>
    <row r="97" spans="1:69" s="489" customFormat="1" ht="18" customHeight="1" x14ac:dyDescent="0.25">
      <c r="A97" s="199"/>
      <c r="B97" s="204">
        <f ca="1">IF(A97="",(IF(ISNUMBER(SUBSTITUTE(LEFT(RIGHT(E97,LEN(E97)-MIN(SEARCH({1,2,3,4,5,6,7,8,9,0},E97&amp;"1234567890"))+1),10),".","/"))=TRUE,AO97-(SUBSTITUTE(LEFT(RIGHT(E97,LEN(E97)-MIN(SEARCH({1,2,3,4,5,6,7,8,9,0},E97&amp;"1234567890"))+1),10),".","/")),IF((SUBSTITUTE(LEFT(RIGHT(E97,LEN(E97)-MIN(SEARCH({1,2,3,4,5,6,7,8,9,0},E97&amp;"1234567890"))+1),10),".","/"))="","",(AO97)-(MID(RIGHT((SUBSTITUTE(LEFT(RIGHT(E97,LEN(E97)-MIN(SEARCH({1,2,3,4,5,6,7,8,9,0},E97&amp;"1234567890"))+1),10),".","/")),10),4,2)&amp;"/"&amp;LEFT((RIGHT((SUBSTITUTE(LEFT(RIGHT(E97,LEN(E97)-MIN(SEARCH({1,2,3,4,5,6,7,8,9,0},E97&amp;"1234567890"))+1),10),".","/")),10)),2)&amp;"/"&amp;RIGHT((SUBSTITUTE(LEFT(RIGHT(E97,LEN(E97)-MIN(SEARCH({1,2,3,4,5,6,7,8,9,0},E97&amp;"1234567890"))+1),10),".","/")),4))))),(AO97-A97))</f>
        <v>329</v>
      </c>
      <c r="C97" s="199"/>
      <c r="D97" s="201" t="str">
        <f t="shared" si="11"/>
        <v>FGCKW2-304/2B-1.50X760</v>
      </c>
      <c r="E97" s="201" t="s">
        <v>6446</v>
      </c>
      <c r="F97" s="201" t="s">
        <v>6447</v>
      </c>
      <c r="G97" s="201" t="s">
        <v>6448</v>
      </c>
      <c r="H97" s="201">
        <v>304</v>
      </c>
      <c r="I97" s="202" t="s">
        <v>114</v>
      </c>
      <c r="J97" s="203">
        <v>3.77</v>
      </c>
      <c r="K97" s="203">
        <v>1.5</v>
      </c>
      <c r="L97" s="203">
        <v>1.49</v>
      </c>
      <c r="M97" s="203">
        <v>1.5</v>
      </c>
      <c r="N97" s="204">
        <v>767</v>
      </c>
      <c r="O97" s="381">
        <v>0.29499999999999998</v>
      </c>
      <c r="P97" s="413"/>
      <c r="Q97" s="185">
        <v>760</v>
      </c>
      <c r="R97" s="414"/>
      <c r="S97" s="414"/>
      <c r="T97" s="371"/>
      <c r="U97" s="491" t="s">
        <v>390</v>
      </c>
      <c r="V97" s="491"/>
      <c r="W97" s="185" t="s">
        <v>114</v>
      </c>
      <c r="X97" s="492">
        <v>44625</v>
      </c>
      <c r="Y97" s="492"/>
      <c r="Z97" s="492">
        <v>44625</v>
      </c>
      <c r="AA97" s="492"/>
      <c r="AB97" s="492">
        <v>44628</v>
      </c>
      <c r="AC97" s="492"/>
      <c r="AD97" s="492"/>
      <c r="AE97" s="492"/>
      <c r="AF97" s="492"/>
      <c r="AG97" s="492"/>
      <c r="AH97" s="493" t="s">
        <v>674</v>
      </c>
      <c r="AI97" s="494" t="s">
        <v>69</v>
      </c>
      <c r="AJ97" s="494" t="s">
        <v>142</v>
      </c>
      <c r="AK97" s="495" t="s">
        <v>6449</v>
      </c>
      <c r="AL97" s="495"/>
      <c r="AM97" s="495">
        <v>44554</v>
      </c>
      <c r="AN97" s="495"/>
      <c r="AO97" s="199">
        <f t="shared" ca="1" si="5"/>
        <v>44958</v>
      </c>
      <c r="AP97" s="494">
        <f t="shared" ca="1" si="6"/>
        <v>404</v>
      </c>
      <c r="AQ97" s="494">
        <f t="shared" ca="1" si="12"/>
        <v>330</v>
      </c>
      <c r="AR97" s="495"/>
      <c r="AS97" s="495" t="s">
        <v>6450</v>
      </c>
      <c r="AT97" s="496">
        <v>10.39</v>
      </c>
      <c r="AU97" s="496">
        <v>10.4</v>
      </c>
      <c r="AV97" s="496">
        <v>10.424999999999999</v>
      </c>
      <c r="AW97" s="496">
        <v>10.43</v>
      </c>
      <c r="AX97" s="489">
        <f t="shared" ca="1" si="13"/>
        <v>333</v>
      </c>
      <c r="BA97" s="489" t="s">
        <v>123</v>
      </c>
      <c r="BN97" s="211"/>
    </row>
    <row r="98" spans="1:69" s="489" customFormat="1" ht="18" customHeight="1" x14ac:dyDescent="0.25">
      <c r="A98" s="199"/>
      <c r="B98" s="204">
        <f ca="1">IF(A98="",(IF(ISNUMBER(SUBSTITUTE(LEFT(RIGHT(E98,LEN(E98)-MIN(SEARCH({1,2,3,4,5,6,7,8,9,0},E98&amp;"1234567890"))+1),10),".","/"))=TRUE,AO98-(SUBSTITUTE(LEFT(RIGHT(E98,LEN(E98)-MIN(SEARCH({1,2,3,4,5,6,7,8,9,0},E98&amp;"1234567890"))+1),10),".","/")),IF((SUBSTITUTE(LEFT(RIGHT(E98,LEN(E98)-MIN(SEARCH({1,2,3,4,5,6,7,8,9,0},E98&amp;"1234567890"))+1),10),".","/"))="","",(AO98)-(MID(RIGHT((SUBSTITUTE(LEFT(RIGHT(E98,LEN(E98)-MIN(SEARCH({1,2,3,4,5,6,7,8,9,0},E98&amp;"1234567890"))+1),10),".","/")),10),4,2)&amp;"/"&amp;LEFT((RIGHT((SUBSTITUTE(LEFT(RIGHT(E98,LEN(E98)-MIN(SEARCH({1,2,3,4,5,6,7,8,9,0},E98&amp;"1234567890"))+1),10),".","/")),10)),2)&amp;"/"&amp;RIGHT((SUBSTITUTE(LEFT(RIGHT(E98,LEN(E98)-MIN(SEARCH({1,2,3,4,5,6,7,8,9,0},E98&amp;"1234567890"))+1),10),".","/")),4))))),(AO98-A98))</f>
        <v>326</v>
      </c>
      <c r="C98" s="199"/>
      <c r="D98" s="201" t="str">
        <f t="shared" si="11"/>
        <v>FGCKW2-J3/2B-0.36X59</v>
      </c>
      <c r="E98" s="201" t="s">
        <v>6451</v>
      </c>
      <c r="F98" s="201" t="s">
        <v>6452</v>
      </c>
      <c r="G98" s="201" t="s">
        <v>6453</v>
      </c>
      <c r="H98" s="201" t="s">
        <v>34</v>
      </c>
      <c r="I98" s="202" t="s">
        <v>114</v>
      </c>
      <c r="J98" s="203">
        <v>0.57999999999999996</v>
      </c>
      <c r="K98" s="203">
        <v>0.36</v>
      </c>
      <c r="L98" s="203">
        <v>0.34</v>
      </c>
      <c r="M98" s="203">
        <v>0.35</v>
      </c>
      <c r="N98" s="204">
        <v>589</v>
      </c>
      <c r="O98" s="381">
        <v>0.37</v>
      </c>
      <c r="P98" s="413"/>
      <c r="Q98" s="185">
        <v>59</v>
      </c>
      <c r="R98" s="414"/>
      <c r="S98" s="414"/>
      <c r="T98" s="371"/>
      <c r="U98" s="491" t="s">
        <v>390</v>
      </c>
      <c r="V98" s="491"/>
      <c r="W98" s="185" t="s">
        <v>114</v>
      </c>
      <c r="X98" s="492" t="s">
        <v>6454</v>
      </c>
      <c r="Y98" s="492"/>
      <c r="Z98" s="492" t="s">
        <v>6454</v>
      </c>
      <c r="AA98" s="492"/>
      <c r="AB98" s="492" t="s">
        <v>6455</v>
      </c>
      <c r="AC98" s="492"/>
      <c r="AD98" s="492">
        <v>44622</v>
      </c>
      <c r="AE98" s="492"/>
      <c r="AF98" s="492"/>
      <c r="AG98" s="492"/>
      <c r="AH98" s="493"/>
      <c r="AI98" s="494" t="s">
        <v>69</v>
      </c>
      <c r="AJ98" s="494" t="s">
        <v>349</v>
      </c>
      <c r="AK98" s="495"/>
      <c r="AL98" s="495"/>
      <c r="AM98" s="495">
        <v>44370</v>
      </c>
      <c r="AN98" s="495"/>
      <c r="AO98" s="199">
        <f t="shared" ca="1" si="5"/>
        <v>44958</v>
      </c>
      <c r="AP98" s="494">
        <f t="shared" ca="1" si="6"/>
        <v>588</v>
      </c>
      <c r="AQ98" s="494">
        <f t="shared" ca="1" si="12"/>
        <v>331</v>
      </c>
      <c r="AR98" s="495" t="s">
        <v>6456</v>
      </c>
      <c r="AS98" s="495" t="s">
        <v>6457</v>
      </c>
      <c r="AT98" s="496">
        <v>8.2219999999999995</v>
      </c>
      <c r="AU98" s="496">
        <v>8.2619999999999987</v>
      </c>
      <c r="AV98" s="496">
        <v>8.2869999999999973</v>
      </c>
      <c r="AW98" s="496">
        <v>8.291999999999998</v>
      </c>
      <c r="AX98" s="489">
        <f t="shared" ca="1" si="13"/>
        <v>332</v>
      </c>
      <c r="BA98" s="489" t="s">
        <v>123</v>
      </c>
      <c r="BN98" s="211"/>
    </row>
    <row r="99" spans="1:69" s="489" customFormat="1" ht="18" customHeight="1" x14ac:dyDescent="0.25">
      <c r="A99" s="199"/>
      <c r="B99" s="204">
        <f ca="1">IF(A99="",(IF(ISNUMBER(SUBSTITUTE(LEFT(RIGHT(E99,LEN(E99)-MIN(SEARCH({1,2,3,4,5,6,7,8,9,0},E99&amp;"1234567890"))+1),10),".","/"))=TRUE,AO99-(SUBSTITUTE(LEFT(RIGHT(E99,LEN(E99)-MIN(SEARCH({1,2,3,4,5,6,7,8,9,0},E99&amp;"1234567890"))+1),10),".","/")),IF((SUBSTITUTE(LEFT(RIGHT(E99,LEN(E99)-MIN(SEARCH({1,2,3,4,5,6,7,8,9,0},E99&amp;"1234567890"))+1),10),".","/"))="","",(AO99)-(MID(RIGHT((SUBSTITUTE(LEFT(RIGHT(E99,LEN(E99)-MIN(SEARCH({1,2,3,4,5,6,7,8,9,0},E99&amp;"1234567890"))+1),10),".","/")),10),4,2)&amp;"/"&amp;LEFT((RIGHT((SUBSTITUTE(LEFT(RIGHT(E99,LEN(E99)-MIN(SEARCH({1,2,3,4,5,6,7,8,9,0},E99&amp;"1234567890"))+1),10),".","/")),10)),2)&amp;"/"&amp;RIGHT((SUBSTITUTE(LEFT(RIGHT(E99,LEN(E99)-MIN(SEARCH({1,2,3,4,5,6,7,8,9,0},E99&amp;"1234567890"))+1),10),".","/")),4))))),(AO99-A99))</f>
        <v>288</v>
      </c>
      <c r="C99" s="199"/>
      <c r="D99" s="201" t="str">
        <f t="shared" si="11"/>
        <v>FGCKW2-410/BA-0.25X600</v>
      </c>
      <c r="E99" s="201" t="s">
        <v>6458</v>
      </c>
      <c r="F99" s="201" t="s">
        <v>6459</v>
      </c>
      <c r="G99" s="201" t="s">
        <v>6460</v>
      </c>
      <c r="H99" s="201">
        <v>410</v>
      </c>
      <c r="I99" s="202" t="s">
        <v>158</v>
      </c>
      <c r="J99" s="203">
        <v>0.25</v>
      </c>
      <c r="K99" s="203">
        <v>0.25</v>
      </c>
      <c r="L99" s="203"/>
      <c r="M99" s="203"/>
      <c r="N99" s="204">
        <v>600</v>
      </c>
      <c r="O99" s="381">
        <v>0.1</v>
      </c>
      <c r="P99" s="413"/>
      <c r="Q99" s="185">
        <v>600</v>
      </c>
      <c r="R99" s="414"/>
      <c r="S99" s="414"/>
      <c r="T99" s="371"/>
      <c r="U99" s="491" t="s">
        <v>390</v>
      </c>
      <c r="V99" s="491"/>
      <c r="W99" s="185"/>
      <c r="X99" s="492"/>
      <c r="Y99" s="492"/>
      <c r="Z99" s="492"/>
      <c r="AA99" s="492"/>
      <c r="AB99" s="492"/>
      <c r="AC99" s="492"/>
      <c r="AD99" s="492">
        <v>44670</v>
      </c>
      <c r="AE99" s="492"/>
      <c r="AF99" s="492"/>
      <c r="AG99" s="492"/>
      <c r="AH99" s="493"/>
      <c r="AI99" s="494" t="s">
        <v>158</v>
      </c>
      <c r="AJ99" s="494" t="s">
        <v>430</v>
      </c>
      <c r="AK99" s="495" t="s">
        <v>520</v>
      </c>
      <c r="AL99" s="495">
        <v>44389</v>
      </c>
      <c r="AM99" s="495">
        <v>44412</v>
      </c>
      <c r="AN99" s="495"/>
      <c r="AO99" s="199">
        <f t="shared" ca="1" si="5"/>
        <v>44958</v>
      </c>
      <c r="AP99" s="494">
        <f t="shared" ca="1" si="6"/>
        <v>546</v>
      </c>
      <c r="AQ99" s="494" t="str">
        <f t="shared" si="12"/>
        <v/>
      </c>
      <c r="AR99" s="495" t="s">
        <v>521</v>
      </c>
      <c r="AS99" s="495" t="s">
        <v>6461</v>
      </c>
      <c r="AT99" s="496">
        <v>2.1779999999999999</v>
      </c>
      <c r="AU99" s="496">
        <v>2.1879999999999997</v>
      </c>
      <c r="AV99" s="496">
        <v>2.1779999999999999</v>
      </c>
      <c r="AW99" s="496">
        <v>2.1879999999999997</v>
      </c>
      <c r="AX99" s="489" t="str">
        <f t="shared" si="13"/>
        <v/>
      </c>
      <c r="BA99" s="489" t="s">
        <v>123</v>
      </c>
      <c r="BN99" s="211"/>
    </row>
    <row r="100" spans="1:69" s="489" customFormat="1" ht="18" customHeight="1" x14ac:dyDescent="0.25">
      <c r="A100" s="199">
        <v>44702</v>
      </c>
      <c r="B100" s="204">
        <f ca="1">IF(A100="",(IF(ISNUMBER(SUBSTITUTE(LEFT(RIGHT(E100,LEN(E100)-MIN(SEARCH({1,2,3,4,5,6,7,8,9,0},E100&amp;"1234567890"))+1),10),".","/"))=TRUE,AO100-(SUBSTITUTE(LEFT(RIGHT(E100,LEN(E100)-MIN(SEARCH({1,2,3,4,5,6,7,8,9,0},E100&amp;"1234567890"))+1),10),".","/")),IF((SUBSTITUTE(LEFT(RIGHT(E100,LEN(E100)-MIN(SEARCH({1,2,3,4,5,6,7,8,9,0},E100&amp;"1234567890"))+1),10),".","/"))="","",(AO100)-(MID(RIGHT((SUBSTITUTE(LEFT(RIGHT(E100,LEN(E100)-MIN(SEARCH({1,2,3,4,5,6,7,8,9,0},E100&amp;"1234567890"))+1),10),".","/")),10),4,2)&amp;"/"&amp;LEFT((RIGHT((SUBSTITUTE(LEFT(RIGHT(E100,LEN(E100)-MIN(SEARCH({1,2,3,4,5,6,7,8,9,0},E100&amp;"1234567890"))+1),10),".","/")),10)),2)&amp;"/"&amp;RIGHT((SUBSTITUTE(LEFT(RIGHT(E100,LEN(E100)-MIN(SEARCH({1,2,3,4,5,6,7,8,9,0},E100&amp;"1234567890"))+1),10),".","/")),4))))),(AO100-A100))</f>
        <v>256</v>
      </c>
      <c r="C100" s="199"/>
      <c r="D100" s="201" t="str">
        <f t="shared" si="11"/>
        <v>FGCKW2-J3/2B-0.92X595</v>
      </c>
      <c r="E100" s="201" t="s">
        <v>6462</v>
      </c>
      <c r="F100" s="201" t="s">
        <v>6463</v>
      </c>
      <c r="G100" s="201" t="s">
        <v>6464</v>
      </c>
      <c r="H100" s="201" t="s">
        <v>34</v>
      </c>
      <c r="I100" s="202" t="s">
        <v>114</v>
      </c>
      <c r="J100" s="203">
        <v>2.4</v>
      </c>
      <c r="K100" s="203">
        <v>0.92</v>
      </c>
      <c r="L100" s="203">
        <v>0.91</v>
      </c>
      <c r="M100" s="203">
        <v>0.94</v>
      </c>
      <c r="N100" s="204">
        <v>595</v>
      </c>
      <c r="O100" s="381">
        <v>0.25</v>
      </c>
      <c r="P100" s="413">
        <v>0.251</v>
      </c>
      <c r="Q100" s="185">
        <v>595</v>
      </c>
      <c r="R100" s="185"/>
      <c r="S100" s="414"/>
      <c r="T100" s="371"/>
      <c r="U100" s="491" t="s">
        <v>390</v>
      </c>
      <c r="V100" s="491"/>
      <c r="W100" s="185" t="s">
        <v>114</v>
      </c>
      <c r="X100" s="492">
        <v>44553</v>
      </c>
      <c r="Y100" s="492"/>
      <c r="Z100" s="492">
        <v>44553</v>
      </c>
      <c r="AA100" s="492"/>
      <c r="AB100" s="492">
        <v>44554</v>
      </c>
      <c r="AC100" s="492"/>
      <c r="AD100" s="492"/>
      <c r="AE100" s="492"/>
      <c r="AF100" s="492"/>
      <c r="AG100" s="492"/>
      <c r="AH100" s="493"/>
      <c r="AI100" s="494" t="s">
        <v>69</v>
      </c>
      <c r="AJ100" s="494" t="s">
        <v>119</v>
      </c>
      <c r="AK100" s="495" t="s">
        <v>331</v>
      </c>
      <c r="AL100" s="495">
        <v>44303</v>
      </c>
      <c r="AM100" s="495">
        <v>44327</v>
      </c>
      <c r="AN100" s="495"/>
      <c r="AO100" s="199">
        <f t="shared" ca="1" si="5"/>
        <v>44958</v>
      </c>
      <c r="AP100" s="494">
        <f t="shared" ca="1" si="6"/>
        <v>631</v>
      </c>
      <c r="AQ100" s="494">
        <f t="shared" ca="1" si="12"/>
        <v>404</v>
      </c>
      <c r="AR100" s="495" t="s">
        <v>6465</v>
      </c>
      <c r="AS100" s="495" t="s">
        <v>6466</v>
      </c>
      <c r="AT100" s="496">
        <v>8.2690000000000001</v>
      </c>
      <c r="AU100" s="496">
        <v>8.2840000000000007</v>
      </c>
      <c r="AV100" s="496">
        <v>8.3089999999999993</v>
      </c>
      <c r="AW100" s="496">
        <v>8.3140000000000001</v>
      </c>
      <c r="AX100" s="489">
        <f t="shared" ca="1" si="13"/>
        <v>405</v>
      </c>
      <c r="BA100" s="489" t="s">
        <v>123</v>
      </c>
      <c r="BN100" s="211"/>
    </row>
    <row r="101" spans="1:69" s="489" customFormat="1" ht="18" customHeight="1" x14ac:dyDescent="0.25">
      <c r="A101" s="199">
        <v>44692</v>
      </c>
      <c r="B101" s="204">
        <f ca="1">IF(A101="",(IF(ISNUMBER(SUBSTITUTE(LEFT(RIGHT(E101,LEN(E101)-MIN(SEARCH({1,2,3,4,5,6,7,8,9,0},E101&amp;"1234567890"))+1),10),".","/"))=TRUE,AO101-(SUBSTITUTE(LEFT(RIGHT(E101,LEN(E101)-MIN(SEARCH({1,2,3,4,5,6,7,8,9,0},E101&amp;"1234567890"))+1),10),".","/")),IF((SUBSTITUTE(LEFT(RIGHT(E101,LEN(E101)-MIN(SEARCH({1,2,3,4,5,6,7,8,9,0},E101&amp;"1234567890"))+1),10),".","/"))="","",(AO101)-(MID(RIGHT((SUBSTITUTE(LEFT(RIGHT(E101,LEN(E101)-MIN(SEARCH({1,2,3,4,5,6,7,8,9,0},E101&amp;"1234567890"))+1),10),".","/")),10),4,2)&amp;"/"&amp;LEFT((RIGHT((SUBSTITUTE(LEFT(RIGHT(E101,LEN(E101)-MIN(SEARCH({1,2,3,4,5,6,7,8,9,0},E101&amp;"1234567890"))+1),10),".","/")),10)),2)&amp;"/"&amp;RIGHT((SUBSTITUTE(LEFT(RIGHT(E101,LEN(E101)-MIN(SEARCH({1,2,3,4,5,6,7,8,9,0},E101&amp;"1234567890"))+1),10),".","/")),4))))),(AO101-A101))</f>
        <v>266</v>
      </c>
      <c r="C101" s="199"/>
      <c r="D101" s="201" t="str">
        <f t="shared" si="11"/>
        <v>FGCKW2-304/2B-1.50X770</v>
      </c>
      <c r="E101" s="201" t="s">
        <v>6467</v>
      </c>
      <c r="F101" s="201" t="s">
        <v>6468</v>
      </c>
      <c r="G101" s="201" t="s">
        <v>6469</v>
      </c>
      <c r="H101" s="201">
        <v>304</v>
      </c>
      <c r="I101" s="202" t="s">
        <v>114</v>
      </c>
      <c r="J101" s="203">
        <v>3.78</v>
      </c>
      <c r="K101" s="203">
        <v>1.5</v>
      </c>
      <c r="L101" s="203">
        <v>1.47</v>
      </c>
      <c r="M101" s="203">
        <v>1.52</v>
      </c>
      <c r="N101" s="204">
        <v>770</v>
      </c>
      <c r="O101" s="381">
        <v>0.47499999999999998</v>
      </c>
      <c r="P101" s="413"/>
      <c r="Q101" s="185">
        <v>770</v>
      </c>
      <c r="R101" s="509"/>
      <c r="S101" s="509">
        <v>0.47</v>
      </c>
      <c r="T101" s="371"/>
      <c r="U101" s="491" t="s">
        <v>390</v>
      </c>
      <c r="V101" s="491"/>
      <c r="W101" s="491" t="s">
        <v>114</v>
      </c>
      <c r="X101" s="492">
        <v>44397</v>
      </c>
      <c r="Y101" s="492"/>
      <c r="Z101" s="492">
        <v>44397</v>
      </c>
      <c r="AA101" s="492"/>
      <c r="AB101" s="492">
        <v>44398</v>
      </c>
      <c r="AC101" s="492"/>
      <c r="AD101" s="492">
        <v>44398</v>
      </c>
      <c r="AE101" s="492"/>
      <c r="AF101" s="492"/>
      <c r="AG101" s="492"/>
      <c r="AH101" s="493"/>
      <c r="AI101" s="494" t="s">
        <v>69</v>
      </c>
      <c r="AJ101" s="494" t="s">
        <v>142</v>
      </c>
      <c r="AK101" s="495" t="s">
        <v>6470</v>
      </c>
      <c r="AL101" s="495"/>
      <c r="AM101" s="495">
        <v>44388</v>
      </c>
      <c r="AN101" s="495"/>
      <c r="AO101" s="199">
        <f t="shared" ca="1" si="5"/>
        <v>44958</v>
      </c>
      <c r="AP101" s="494">
        <f t="shared" ca="1" si="6"/>
        <v>570</v>
      </c>
      <c r="AQ101" s="494"/>
      <c r="AR101" s="495"/>
      <c r="AS101" s="495" t="s">
        <v>6471</v>
      </c>
      <c r="AT101" s="496">
        <v>12.05</v>
      </c>
      <c r="AU101" s="496">
        <v>12.06</v>
      </c>
      <c r="AV101" s="496">
        <v>12.084999999999999</v>
      </c>
      <c r="AW101" s="496">
        <v>12.09</v>
      </c>
      <c r="AX101" s="489">
        <f t="shared" ca="1" si="13"/>
        <v>561</v>
      </c>
      <c r="BA101" s="489" t="s">
        <v>123</v>
      </c>
    </row>
    <row r="102" spans="1:69" s="489" customFormat="1" ht="18" customHeight="1" x14ac:dyDescent="0.25">
      <c r="A102" s="199">
        <v>44749</v>
      </c>
      <c r="B102" s="204">
        <f ca="1">IF(A102="",(IF(ISNUMBER(SUBSTITUTE(LEFT(RIGHT(E102,LEN(E102)-MIN(SEARCH({1,2,3,4,5,6,7,8,9,0},E102&amp;"1234567890"))+1),10),".","/"))=TRUE,AO102-(SUBSTITUTE(LEFT(RIGHT(E102,LEN(E102)-MIN(SEARCH({1,2,3,4,5,6,7,8,9,0},E102&amp;"1234567890"))+1),10),".","/")),IF((SUBSTITUTE(LEFT(RIGHT(E102,LEN(E102)-MIN(SEARCH({1,2,3,4,5,6,7,8,9,0},E102&amp;"1234567890"))+1),10),".","/"))="","",(AO102)-(MID(RIGHT((SUBSTITUTE(LEFT(RIGHT(E102,LEN(E102)-MIN(SEARCH({1,2,3,4,5,6,7,8,9,0},E102&amp;"1234567890"))+1),10),".","/")),10),4,2)&amp;"/"&amp;LEFT((RIGHT((SUBSTITUTE(LEFT(RIGHT(E102,LEN(E102)-MIN(SEARCH({1,2,3,4,5,6,7,8,9,0},E102&amp;"1234567890"))+1),10),".","/")),10)),2)&amp;"/"&amp;RIGHT((SUBSTITUTE(LEFT(RIGHT(E102,LEN(E102)-MIN(SEARCH({1,2,3,4,5,6,7,8,9,0},E102&amp;"1234567890"))+1),10),".","/")),4))))),(AO102-A102))</f>
        <v>209</v>
      </c>
      <c r="C102" s="199"/>
      <c r="D102" s="201" t="str">
        <f t="shared" si="11"/>
        <v>FGCKW2-304L/2B-1.15X767</v>
      </c>
      <c r="E102" s="201" t="s">
        <v>6472</v>
      </c>
      <c r="F102" s="201" t="s">
        <v>6473</v>
      </c>
      <c r="G102" s="201" t="s">
        <v>6474</v>
      </c>
      <c r="H102" s="201" t="s">
        <v>182</v>
      </c>
      <c r="I102" s="202" t="s">
        <v>114</v>
      </c>
      <c r="J102" s="203">
        <v>3.79</v>
      </c>
      <c r="K102" s="203">
        <v>1.1499999999999999</v>
      </c>
      <c r="L102" s="203"/>
      <c r="M102" s="203"/>
      <c r="N102" s="204">
        <v>767</v>
      </c>
      <c r="O102" s="381">
        <v>0.47</v>
      </c>
      <c r="P102" s="413">
        <v>0.47099999999999997</v>
      </c>
      <c r="Q102" s="185">
        <v>767</v>
      </c>
      <c r="R102" s="414"/>
      <c r="S102" s="414"/>
      <c r="T102" s="371"/>
      <c r="U102" s="491" t="s">
        <v>390</v>
      </c>
      <c r="V102" s="491" t="s">
        <v>361</v>
      </c>
      <c r="W102" s="185" t="s">
        <v>114</v>
      </c>
      <c r="X102" s="492">
        <v>44680</v>
      </c>
      <c r="Y102" s="492"/>
      <c r="Z102" s="492">
        <v>44680</v>
      </c>
      <c r="AA102" s="492"/>
      <c r="AB102" s="492">
        <v>44689</v>
      </c>
      <c r="AC102" s="492"/>
      <c r="AD102" s="492"/>
      <c r="AE102" s="492"/>
      <c r="AF102" s="492"/>
      <c r="AG102" s="492"/>
      <c r="AH102" s="493" t="s">
        <v>6475</v>
      </c>
      <c r="AI102" s="494" t="s">
        <v>69</v>
      </c>
      <c r="AJ102" s="494" t="s">
        <v>142</v>
      </c>
      <c r="AK102" s="495" t="s">
        <v>6476</v>
      </c>
      <c r="AL102" s="495"/>
      <c r="AM102" s="495">
        <v>44585</v>
      </c>
      <c r="AN102" s="495"/>
      <c r="AO102" s="199">
        <f t="shared" ca="1" si="5"/>
        <v>44958</v>
      </c>
      <c r="AP102" s="494">
        <f t="shared" ca="1" si="6"/>
        <v>373</v>
      </c>
      <c r="AQ102" s="494">
        <f ca="1">IF(ISNUMBER(AB102)=TRUE,AO102-AB102,IF(AB102="","",(AO102)-(MID(RIGHT(AB102,10),4,2)&amp;"/"&amp;LEFT((RIGHT(AB102,10)),2)&amp;"/"&amp;RIGHT(AB102,4))))</f>
        <v>269</v>
      </c>
      <c r="AR102" s="495"/>
      <c r="AS102" s="495" t="s">
        <v>6477</v>
      </c>
      <c r="AT102" s="496">
        <v>11.984999999999999</v>
      </c>
      <c r="AU102" s="496">
        <v>11.994999999999999</v>
      </c>
      <c r="AV102" s="496">
        <v>12.019999999999998</v>
      </c>
      <c r="AW102" s="496">
        <v>12.024999999999999</v>
      </c>
      <c r="AX102" s="489">
        <f t="shared" ca="1" si="13"/>
        <v>278</v>
      </c>
      <c r="BA102" s="489" t="s">
        <v>123</v>
      </c>
      <c r="BN102" s="211"/>
    </row>
    <row r="103" spans="1:69" s="489" customFormat="1" ht="18" customHeight="1" x14ac:dyDescent="0.25">
      <c r="A103" s="199">
        <v>44718</v>
      </c>
      <c r="B103" s="204">
        <f ca="1">IF(A103="",(IF(ISNUMBER(SUBSTITUTE(LEFT(RIGHT(E103,LEN(E103)-MIN(SEARCH({1,2,3,4,5,6,7,8,9,0},E103&amp;"1234567890"))+1),10),".","/"))=TRUE,AO103-(SUBSTITUTE(LEFT(RIGHT(E103,LEN(E103)-MIN(SEARCH({1,2,3,4,5,6,7,8,9,0},E103&amp;"1234567890"))+1),10),".","/")),IF((SUBSTITUTE(LEFT(RIGHT(E103,LEN(E103)-MIN(SEARCH({1,2,3,4,5,6,7,8,9,0},E103&amp;"1234567890"))+1),10),".","/"))="","",(AO103)-(MID(RIGHT((SUBSTITUTE(LEFT(RIGHT(E103,LEN(E103)-MIN(SEARCH({1,2,3,4,5,6,7,8,9,0},E103&amp;"1234567890"))+1),10),".","/")),10),4,2)&amp;"/"&amp;LEFT((RIGHT((SUBSTITUTE(LEFT(RIGHT(E103,LEN(E103)-MIN(SEARCH({1,2,3,4,5,6,7,8,9,0},E103&amp;"1234567890"))+1),10),".","/")),10)),2)&amp;"/"&amp;RIGHT((SUBSTITUTE(LEFT(RIGHT(E103,LEN(E103)-MIN(SEARCH({1,2,3,4,5,6,7,8,9,0},E103&amp;"1234567890"))+1),10),".","/")),4))))),(AO103-A103))</f>
        <v>240</v>
      </c>
      <c r="C103" s="199"/>
      <c r="D103" s="201" t="str">
        <f t="shared" si="11"/>
        <v>FGCKW2-J3/2B-1.40/0.080X730</v>
      </c>
      <c r="E103" s="201" t="s">
        <v>6478</v>
      </c>
      <c r="F103" s="201"/>
      <c r="G103" s="201" t="s">
        <v>6479</v>
      </c>
      <c r="H103" s="201" t="s">
        <v>34</v>
      </c>
      <c r="I103" s="202" t="s">
        <v>114</v>
      </c>
      <c r="J103" s="203"/>
      <c r="K103" s="203" t="s">
        <v>6480</v>
      </c>
      <c r="L103" s="203"/>
      <c r="M103" s="203"/>
      <c r="N103" s="204">
        <v>730</v>
      </c>
      <c r="O103" s="381">
        <v>0.55500000000000005</v>
      </c>
      <c r="P103" s="413">
        <v>0.55600000000000005</v>
      </c>
      <c r="Q103" s="185">
        <v>730</v>
      </c>
      <c r="R103" s="414"/>
      <c r="S103" s="414"/>
      <c r="T103" s="371"/>
      <c r="U103" s="491" t="s">
        <v>390</v>
      </c>
      <c r="V103" s="491" t="s">
        <v>6481</v>
      </c>
      <c r="W103" s="185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2"/>
      <c r="AH103" s="493"/>
      <c r="AI103" s="494"/>
      <c r="AJ103" s="494"/>
      <c r="AK103" s="495"/>
      <c r="AL103" s="495"/>
      <c r="AM103" s="495"/>
      <c r="AN103" s="495"/>
      <c r="AO103" s="199">
        <f t="shared" ca="1" si="5"/>
        <v>44958</v>
      </c>
      <c r="AP103" s="494"/>
      <c r="AQ103" s="494"/>
      <c r="AR103" s="495"/>
      <c r="AS103" s="495"/>
      <c r="AT103" s="496"/>
      <c r="AU103" s="496"/>
      <c r="AV103" s="496"/>
      <c r="AW103" s="496"/>
      <c r="BN103" s="211"/>
    </row>
    <row r="104" spans="1:69" s="489" customFormat="1" ht="18" customHeight="1" x14ac:dyDescent="0.25">
      <c r="A104" s="199">
        <v>44784</v>
      </c>
      <c r="B104" s="204">
        <f ca="1">IF(A104="",(IF(ISNUMBER(SUBSTITUTE(LEFT(RIGHT(E104,LEN(E104)-MIN(SEARCH({1,2,3,4,5,6,7,8,9,0},E104&amp;"1234567890"))+1),10),".","/"))=TRUE,AO104-(SUBSTITUTE(LEFT(RIGHT(E104,LEN(E104)-MIN(SEARCH({1,2,3,4,5,6,7,8,9,0},E104&amp;"1234567890"))+1),10),".","/")),IF((SUBSTITUTE(LEFT(RIGHT(E104,LEN(E104)-MIN(SEARCH({1,2,3,4,5,6,7,8,9,0},E104&amp;"1234567890"))+1),10),".","/"))="","",(AO104)-(MID(RIGHT((SUBSTITUTE(LEFT(RIGHT(E104,LEN(E104)-MIN(SEARCH({1,2,3,4,5,6,7,8,9,0},E104&amp;"1234567890"))+1),10),".","/")),10),4,2)&amp;"/"&amp;LEFT((RIGHT((SUBSTITUTE(LEFT(RIGHT(E104,LEN(E104)-MIN(SEARCH({1,2,3,4,5,6,7,8,9,0},E104&amp;"1234567890"))+1),10),".","/")),10)),2)&amp;"/"&amp;RIGHT((SUBSTITUTE(LEFT(RIGHT(E104,LEN(E104)-MIN(SEARCH({1,2,3,4,5,6,7,8,9,0},E104&amp;"1234567890"))+1),10),".","/")),4))))),(AO104-A104))</f>
        <v>174</v>
      </c>
      <c r="C104" s="199"/>
      <c r="D104" s="201" t="str">
        <f t="shared" si="11"/>
        <v>FGCKW2-J3/2B-0.75X620</v>
      </c>
      <c r="E104" s="201" t="s">
        <v>6482</v>
      </c>
      <c r="F104" s="201" t="s">
        <v>6483</v>
      </c>
      <c r="G104" s="201" t="s">
        <v>6484</v>
      </c>
      <c r="H104" s="201" t="s">
        <v>34</v>
      </c>
      <c r="I104" s="202" t="s">
        <v>114</v>
      </c>
      <c r="J104" s="203">
        <v>2.4</v>
      </c>
      <c r="K104" s="203">
        <v>0.75</v>
      </c>
      <c r="L104" s="203">
        <v>0.73</v>
      </c>
      <c r="M104" s="203">
        <v>0.76</v>
      </c>
      <c r="N104" s="204">
        <v>620</v>
      </c>
      <c r="O104" s="381">
        <v>0.16</v>
      </c>
      <c r="P104" s="413">
        <v>0.161</v>
      </c>
      <c r="Q104" s="185">
        <v>620</v>
      </c>
      <c r="R104" s="414"/>
      <c r="S104" s="414"/>
      <c r="T104" s="371"/>
      <c r="U104" s="491" t="s">
        <v>390</v>
      </c>
      <c r="V104" s="491"/>
      <c r="W104" s="185" t="s">
        <v>114</v>
      </c>
      <c r="X104" s="492">
        <v>44698</v>
      </c>
      <c r="Y104" s="492"/>
      <c r="Z104" s="492">
        <v>44699</v>
      </c>
      <c r="AA104" s="492"/>
      <c r="AB104" s="492">
        <v>44704</v>
      </c>
      <c r="AC104" s="492"/>
      <c r="AD104" s="492"/>
      <c r="AE104" s="492"/>
      <c r="AF104" s="492"/>
      <c r="AG104" s="492"/>
      <c r="AH104" s="493"/>
      <c r="AI104" s="494" t="s">
        <v>69</v>
      </c>
      <c r="AJ104" s="494" t="s">
        <v>119</v>
      </c>
      <c r="AK104" s="495" t="s">
        <v>795</v>
      </c>
      <c r="AL104" s="495">
        <v>44624</v>
      </c>
      <c r="AM104" s="495">
        <v>44658</v>
      </c>
      <c r="AN104" s="495"/>
      <c r="AO104" s="199">
        <f t="shared" ca="1" si="5"/>
        <v>44958</v>
      </c>
      <c r="AP104" s="494">
        <f t="shared" ref="AP104:AP167" ca="1" si="14">IF(AM104&lt;&gt;0,AO104-AM104,0)</f>
        <v>300</v>
      </c>
      <c r="AQ104" s="494">
        <f ca="1">IF(ISNUMBER(AB104)=TRUE,AO104-AB104,IF(AB104="","",(AO104)-(MID(RIGHT(AB104,10),4,2)&amp;"/"&amp;LEFT((RIGHT(AB104,10)),2)&amp;"/"&amp;RIGHT(AB104,4))))</f>
        <v>254</v>
      </c>
      <c r="AR104" s="495" t="s">
        <v>6485</v>
      </c>
      <c r="AS104" s="495" t="s">
        <v>708</v>
      </c>
      <c r="AT104" s="496">
        <v>10.026</v>
      </c>
      <c r="AU104" s="496">
        <v>10.045999999999999</v>
      </c>
      <c r="AV104" s="496">
        <v>10.070999999999998</v>
      </c>
      <c r="AW104" s="496">
        <v>10.075999999999999</v>
      </c>
      <c r="AX104" s="489">
        <f ca="1">IF(ISNUMBER(Z104)=TRUE,AO104-Z104,IF(Z104="","",(AO104)-(MID(RIGHT(Z104,10),4,2)&amp;"/"&amp;LEFT((RIGHT(Z104,10)),2)&amp;"/"&amp;RIGHT(Z104,4))))</f>
        <v>259</v>
      </c>
      <c r="BA104" s="489" t="s">
        <v>123</v>
      </c>
      <c r="BB104" s="485">
        <v>44834</v>
      </c>
      <c r="BN104" s="211"/>
    </row>
    <row r="105" spans="1:69" s="489" customFormat="1" ht="18.75" customHeight="1" x14ac:dyDescent="0.25">
      <c r="A105" s="199">
        <v>44758</v>
      </c>
      <c r="B105" s="204">
        <f ca="1">IF(A105="",(IF(ISNUMBER(SUBSTITUTE(LEFT(RIGHT(E105,LEN(E105)-MIN(SEARCH({1,2,3,4,5,6,7,8,9,0},E105&amp;"1234567890"))+1),10),".","/"))=TRUE,AO105-(SUBSTITUTE(LEFT(RIGHT(E105,LEN(E105)-MIN(SEARCH({1,2,3,4,5,6,7,8,9,0},E105&amp;"1234567890"))+1),10),".","/")),IF((SUBSTITUTE(LEFT(RIGHT(E105,LEN(E105)-MIN(SEARCH({1,2,3,4,5,6,7,8,9,0},E105&amp;"1234567890"))+1),10),".","/"))="","",(AO105)-(MID(RIGHT((SUBSTITUTE(LEFT(RIGHT(E105,LEN(E105)-MIN(SEARCH({1,2,3,4,5,6,7,8,9,0},E105&amp;"1234567890"))+1),10),".","/")),10),4,2)&amp;"/"&amp;LEFT((RIGHT((SUBSTITUTE(LEFT(RIGHT(E105,LEN(E105)-MIN(SEARCH({1,2,3,4,5,6,7,8,9,0},E105&amp;"1234567890"))+1),10),".","/")),10)),2)&amp;"/"&amp;RIGHT((SUBSTITUTE(LEFT(RIGHT(E105,LEN(E105)-MIN(SEARCH({1,2,3,4,5,6,7,8,9,0},E105&amp;"1234567890"))+1),10),".","/")),4))))),(AO105-A105))</f>
        <v>200</v>
      </c>
      <c r="C105" s="199"/>
      <c r="D105" s="201" t="str">
        <f t="shared" ref="D105:D110" si="15">IF(Q105="MULTI","FGM","FGC")&amp;"-"&amp;H105&amp;"/"&amp;I105&amp;"-"&amp;TEXT(K105,"0.00")&amp;"X"&amp;IF(Q105="MULTI",N105,Q105)</f>
        <v>FGC-J3/2B-0.90X78.1</v>
      </c>
      <c r="E105" s="201" t="s">
        <v>6486</v>
      </c>
      <c r="F105" s="201" t="s">
        <v>6487</v>
      </c>
      <c r="G105" s="201" t="s">
        <v>6488</v>
      </c>
      <c r="H105" s="201" t="s">
        <v>34</v>
      </c>
      <c r="I105" s="202" t="s">
        <v>114</v>
      </c>
      <c r="J105" s="203">
        <v>2.4</v>
      </c>
      <c r="K105" s="203">
        <v>0.9</v>
      </c>
      <c r="L105" s="203">
        <v>0.89</v>
      </c>
      <c r="M105" s="203">
        <v>0.91</v>
      </c>
      <c r="N105" s="204">
        <v>620</v>
      </c>
      <c r="O105" s="381">
        <f>4.83-4.225</f>
        <v>0.60500000000000043</v>
      </c>
      <c r="P105" s="413">
        <v>0.60599999999999998</v>
      </c>
      <c r="Q105" s="185">
        <v>78.099999999999994</v>
      </c>
      <c r="R105" s="430"/>
      <c r="S105" s="414"/>
      <c r="T105" s="371"/>
      <c r="U105" s="491" t="s">
        <v>390</v>
      </c>
      <c r="V105" s="491" t="s">
        <v>6489</v>
      </c>
      <c r="W105" s="185" t="s">
        <v>114</v>
      </c>
      <c r="X105" s="492">
        <v>44722</v>
      </c>
      <c r="Y105" s="492"/>
      <c r="Z105" s="492">
        <v>44722</v>
      </c>
      <c r="AA105" s="492"/>
      <c r="AB105" s="492">
        <v>44732</v>
      </c>
      <c r="AC105" s="492"/>
      <c r="AD105" s="492">
        <v>44740</v>
      </c>
      <c r="AE105" s="492"/>
      <c r="AF105" s="492"/>
      <c r="AG105" s="492"/>
      <c r="AH105" s="493"/>
      <c r="AI105" s="494" t="s">
        <v>69</v>
      </c>
      <c r="AJ105" s="494" t="s">
        <v>248</v>
      </c>
      <c r="AK105" s="495" t="s">
        <v>924</v>
      </c>
      <c r="AL105" s="495">
        <v>44697</v>
      </c>
      <c r="AM105" s="495">
        <v>44721</v>
      </c>
      <c r="AN105" s="495"/>
      <c r="AO105" s="199">
        <f t="shared" ca="1" si="5"/>
        <v>44958</v>
      </c>
      <c r="AP105" s="494">
        <f t="shared" ca="1" si="14"/>
        <v>237</v>
      </c>
      <c r="AQ105" s="494"/>
      <c r="AR105" s="495" t="s">
        <v>6490</v>
      </c>
      <c r="AS105" s="495" t="s">
        <v>6491</v>
      </c>
      <c r="AT105" s="496">
        <v>9.9700000000000006</v>
      </c>
      <c r="AU105" s="496">
        <v>10.01</v>
      </c>
      <c r="AV105" s="496">
        <v>10.034999999999998</v>
      </c>
      <c r="AW105" s="496">
        <v>10.039999999999999</v>
      </c>
      <c r="AX105" s="489">
        <f ca="1">IF(ISNUMBER(Z105)=TRUE,AO105-Z105,IF(Z105="","",(AO105)-(MID(RIGHT(Z105,10),4,2)&amp;"/"&amp;LEFT((RIGHT(Z105,10)),2)&amp;"/"&amp;RIGHT(Z105,4))))</f>
        <v>236</v>
      </c>
      <c r="BA105" s="489" t="s">
        <v>123</v>
      </c>
      <c r="BN105" s="211"/>
    </row>
    <row r="106" spans="1:69" s="489" customFormat="1" ht="18.75" customHeight="1" x14ac:dyDescent="0.25">
      <c r="A106" s="199">
        <v>44758</v>
      </c>
      <c r="B106" s="204">
        <f ca="1">IF(A106="",(IF(ISNUMBER(SUBSTITUTE(LEFT(RIGHT(E106,LEN(E106)-MIN(SEARCH({1,2,3,4,5,6,7,8,9,0},E106&amp;"1234567890"))+1),10),".","/"))=TRUE,AO106-(SUBSTITUTE(LEFT(RIGHT(E106,LEN(E106)-MIN(SEARCH({1,2,3,4,5,6,7,8,9,0},E106&amp;"1234567890"))+1),10),".","/")),IF((SUBSTITUTE(LEFT(RIGHT(E106,LEN(E106)-MIN(SEARCH({1,2,3,4,5,6,7,8,9,0},E106&amp;"1234567890"))+1),10),".","/"))="","",(AO106)-(MID(RIGHT((SUBSTITUTE(LEFT(RIGHT(E106,LEN(E106)-MIN(SEARCH({1,2,3,4,5,6,7,8,9,0},E106&amp;"1234567890"))+1),10),".","/")),10),4,2)&amp;"/"&amp;LEFT((RIGHT((SUBSTITUTE(LEFT(RIGHT(E106,LEN(E106)-MIN(SEARCH({1,2,3,4,5,6,7,8,9,0},E106&amp;"1234567890"))+1),10),".","/")),10)),2)&amp;"/"&amp;RIGHT((SUBSTITUTE(LEFT(RIGHT(E106,LEN(E106)-MIN(SEARCH({1,2,3,4,5,6,7,8,9,0},E106&amp;"1234567890"))+1),10),".","/")),4))))),(AO106-A106))</f>
        <v>200</v>
      </c>
      <c r="C106" s="199"/>
      <c r="D106" s="201" t="str">
        <f t="shared" si="15"/>
        <v>FGC-J3/2B-0.90X78.1</v>
      </c>
      <c r="E106" s="201" t="s">
        <v>6492</v>
      </c>
      <c r="F106" s="201" t="s">
        <v>6493</v>
      </c>
      <c r="G106" s="201" t="s">
        <v>6494</v>
      </c>
      <c r="H106" s="201" t="s">
        <v>34</v>
      </c>
      <c r="I106" s="202" t="s">
        <v>114</v>
      </c>
      <c r="J106" s="203">
        <v>2.4</v>
      </c>
      <c r="K106" s="203">
        <v>0.9</v>
      </c>
      <c r="L106" s="203">
        <v>0.87</v>
      </c>
      <c r="M106" s="203">
        <v>0.89</v>
      </c>
      <c r="N106" s="204">
        <v>620</v>
      </c>
      <c r="O106" s="381">
        <f>4.91-4.29</f>
        <v>0.62000000000000011</v>
      </c>
      <c r="P106" s="413">
        <v>0.621</v>
      </c>
      <c r="Q106" s="185">
        <v>78.099999999999994</v>
      </c>
      <c r="R106" s="430"/>
      <c r="S106" s="414"/>
      <c r="T106" s="371"/>
      <c r="U106" s="491" t="s">
        <v>390</v>
      </c>
      <c r="V106" s="491" t="s">
        <v>6489</v>
      </c>
      <c r="W106" s="185" t="s">
        <v>114</v>
      </c>
      <c r="X106" s="492">
        <v>44722</v>
      </c>
      <c r="Y106" s="492"/>
      <c r="Z106" s="492">
        <v>44722</v>
      </c>
      <c r="AA106" s="492"/>
      <c r="AB106" s="492">
        <v>44732</v>
      </c>
      <c r="AC106" s="492"/>
      <c r="AD106" s="492"/>
      <c r="AE106" s="492"/>
      <c r="AF106" s="492"/>
      <c r="AG106" s="492"/>
      <c r="AH106" s="493"/>
      <c r="AI106" s="494" t="s">
        <v>69</v>
      </c>
      <c r="AJ106" s="494" t="s">
        <v>248</v>
      </c>
      <c r="AK106" s="495" t="s">
        <v>924</v>
      </c>
      <c r="AL106" s="495">
        <v>44697</v>
      </c>
      <c r="AM106" s="495">
        <v>44721</v>
      </c>
      <c r="AN106" s="495"/>
      <c r="AO106" s="199">
        <f t="shared" ca="1" si="5"/>
        <v>44958</v>
      </c>
      <c r="AP106" s="494">
        <f t="shared" ca="1" si="14"/>
        <v>237</v>
      </c>
      <c r="AQ106" s="494"/>
      <c r="AR106" s="495" t="s">
        <v>4668</v>
      </c>
      <c r="AS106" s="495" t="s">
        <v>943</v>
      </c>
      <c r="AT106" s="496">
        <v>5.0659999999999998</v>
      </c>
      <c r="AU106" s="496">
        <v>5.1059999999999999</v>
      </c>
      <c r="AV106" s="496">
        <v>5.1310000000000002</v>
      </c>
      <c r="AW106" s="496">
        <v>5.1360000000000001</v>
      </c>
      <c r="AX106" s="489">
        <f ca="1">IF(ISNUMBER(Z106)=TRUE,AO106-Z106,IF(Z106="","",(AO106)-(MID(RIGHT(Z106,10),4,2)&amp;"/"&amp;LEFT((RIGHT(Z106,10)),2)&amp;"/"&amp;RIGHT(Z106,4))))</f>
        <v>236</v>
      </c>
      <c r="BA106" s="489" t="s">
        <v>123</v>
      </c>
      <c r="BN106" s="211"/>
    </row>
    <row r="107" spans="1:69" s="489" customFormat="1" ht="18" customHeight="1" x14ac:dyDescent="0.25">
      <c r="A107" s="199">
        <v>44742</v>
      </c>
      <c r="B107" s="204">
        <f ca="1">IF(A107="",(IF(ISNUMBER(SUBSTITUTE(LEFT(RIGHT(E107,LEN(E107)-MIN(SEARCH({1,2,3,4,5,6,7,8,9,0},E107&amp;"1234567890"))+1),10),".","/"))=TRUE,AO107-(SUBSTITUTE(LEFT(RIGHT(E107,LEN(E107)-MIN(SEARCH({1,2,3,4,5,6,7,8,9,0},E107&amp;"1234567890"))+1),10),".","/")),IF((SUBSTITUTE(LEFT(RIGHT(E107,LEN(E107)-MIN(SEARCH({1,2,3,4,5,6,7,8,9,0},E107&amp;"1234567890"))+1),10),".","/"))="","",(AO107)-(MID(RIGHT((SUBSTITUTE(LEFT(RIGHT(E107,LEN(E107)-MIN(SEARCH({1,2,3,4,5,6,7,8,9,0},E107&amp;"1234567890"))+1),10),".","/")),10),4,2)&amp;"/"&amp;LEFT((RIGHT((SUBSTITUTE(LEFT(RIGHT(E107,LEN(E107)-MIN(SEARCH({1,2,3,4,5,6,7,8,9,0},E107&amp;"1234567890"))+1),10),".","/")),10)),2)&amp;"/"&amp;RIGHT((SUBSTITUTE(LEFT(RIGHT(E107,LEN(E107)-MIN(SEARCH({1,2,3,4,5,6,7,8,9,0},E107&amp;"1234567890"))+1),10),".","/")),4))))),(AO107-A107))</f>
        <v>216</v>
      </c>
      <c r="C107" s="199"/>
      <c r="D107" s="201" t="str">
        <f t="shared" si="15"/>
        <v>FGC-304/2B-1.50X770</v>
      </c>
      <c r="E107" s="201" t="s">
        <v>6495</v>
      </c>
      <c r="F107" s="201" t="s">
        <v>6496</v>
      </c>
      <c r="G107" s="201" t="s">
        <v>6497</v>
      </c>
      <c r="H107" s="201">
        <v>304</v>
      </c>
      <c r="I107" s="202" t="s">
        <v>114</v>
      </c>
      <c r="J107" s="203">
        <v>3.8</v>
      </c>
      <c r="K107" s="203">
        <v>1.5</v>
      </c>
      <c r="L107" s="203">
        <v>1.48</v>
      </c>
      <c r="M107" s="203">
        <v>1.52</v>
      </c>
      <c r="N107" s="204">
        <v>770</v>
      </c>
      <c r="O107" s="381">
        <v>0.34</v>
      </c>
      <c r="P107" s="413">
        <v>0.34100000000000003</v>
      </c>
      <c r="Q107" s="185">
        <v>770</v>
      </c>
      <c r="R107" s="185"/>
      <c r="S107" s="414"/>
      <c r="T107" s="414"/>
      <c r="U107" s="491" t="s">
        <v>390</v>
      </c>
      <c r="V107" s="491"/>
      <c r="W107" s="491" t="s">
        <v>114</v>
      </c>
      <c r="X107" s="492">
        <v>44396</v>
      </c>
      <c r="Y107" s="492"/>
      <c r="Z107" s="492">
        <v>44396</v>
      </c>
      <c r="AA107" s="492"/>
      <c r="AB107" s="492">
        <v>44400</v>
      </c>
      <c r="AC107" s="492"/>
      <c r="AD107" s="492"/>
      <c r="AE107" s="492"/>
      <c r="AF107" s="492"/>
      <c r="AG107" s="492"/>
      <c r="AH107" s="493"/>
      <c r="AI107" s="494" t="s">
        <v>69</v>
      </c>
      <c r="AJ107" s="494" t="s">
        <v>142</v>
      </c>
      <c r="AK107" s="495" t="s">
        <v>6470</v>
      </c>
      <c r="AL107" s="495"/>
      <c r="AM107" s="495">
        <v>44388</v>
      </c>
      <c r="AN107" s="495"/>
      <c r="AO107" s="199">
        <f t="shared" ca="1" si="5"/>
        <v>44958</v>
      </c>
      <c r="AP107" s="494">
        <f t="shared" ca="1" si="14"/>
        <v>570</v>
      </c>
      <c r="AQ107" s="494"/>
      <c r="AR107" s="495"/>
      <c r="AS107" s="495" t="s">
        <v>6498</v>
      </c>
      <c r="AT107" s="496">
        <v>12.07</v>
      </c>
      <c r="AU107" s="496">
        <v>12.08</v>
      </c>
      <c r="AV107" s="496">
        <v>12.104999999999999</v>
      </c>
      <c r="AW107" s="496">
        <v>12.11</v>
      </c>
      <c r="AX107" s="489">
        <f ca="1">IF(ISNUMBER(Z107)=TRUE,AO107-Z107,IF(Z107="","",(AO107)-(MID(RIGHT(Z107,10),4,2)&amp;"/"&amp;LEFT((RIGHT(Z107,10)),2)&amp;"/"&amp;RIGHT(Z107,4))))</f>
        <v>562</v>
      </c>
      <c r="BA107" s="489" t="s">
        <v>123</v>
      </c>
      <c r="BB107" s="485">
        <v>44834</v>
      </c>
      <c r="BQ107" s="489" t="s">
        <v>5678</v>
      </c>
    </row>
    <row r="108" spans="1:69" s="489" customFormat="1" ht="18" customHeight="1" x14ac:dyDescent="0.25">
      <c r="A108" s="199">
        <v>44742</v>
      </c>
      <c r="B108" s="204">
        <f ca="1">IF(A108="",(IF(ISNUMBER(SUBSTITUTE(LEFT(RIGHT(E108,LEN(E108)-MIN(SEARCH({1,2,3,4,5,6,7,8,9,0},E108&amp;"1234567890"))+1),10),".","/"))=TRUE,AO108-(SUBSTITUTE(LEFT(RIGHT(E108,LEN(E108)-MIN(SEARCH({1,2,3,4,5,6,7,8,9,0},E108&amp;"1234567890"))+1),10),".","/")),IF((SUBSTITUTE(LEFT(RIGHT(E108,LEN(E108)-MIN(SEARCH({1,2,3,4,5,6,7,8,9,0},E108&amp;"1234567890"))+1),10),".","/"))="","",(AO108)-(MID(RIGHT((SUBSTITUTE(LEFT(RIGHT(E108,LEN(E108)-MIN(SEARCH({1,2,3,4,5,6,7,8,9,0},E108&amp;"1234567890"))+1),10),".","/")),10),4,2)&amp;"/"&amp;LEFT((RIGHT((SUBSTITUTE(LEFT(RIGHT(E108,LEN(E108)-MIN(SEARCH({1,2,3,4,5,6,7,8,9,0},E108&amp;"1234567890"))+1),10),".","/")),10)),2)&amp;"/"&amp;RIGHT((SUBSTITUTE(LEFT(RIGHT(E108,LEN(E108)-MIN(SEARCH({1,2,3,4,5,6,7,8,9,0},E108&amp;"1234567890"))+1),10),".","/")),4))))),(AO108-A108))</f>
        <v>216</v>
      </c>
      <c r="C108" s="199"/>
      <c r="D108" s="201" t="str">
        <f t="shared" si="15"/>
        <v>FGC-304/304L/2B-1.50X760</v>
      </c>
      <c r="E108" s="201" t="s">
        <v>6499</v>
      </c>
      <c r="F108" s="201" t="s">
        <v>6500</v>
      </c>
      <c r="G108" s="201" t="s">
        <v>6501</v>
      </c>
      <c r="H108" s="201" t="s">
        <v>614</v>
      </c>
      <c r="I108" s="202" t="s">
        <v>114</v>
      </c>
      <c r="J108" s="203">
        <v>3.8</v>
      </c>
      <c r="K108" s="203">
        <v>1.5</v>
      </c>
      <c r="L108" s="203">
        <v>1.5</v>
      </c>
      <c r="M108" s="203">
        <v>1.52</v>
      </c>
      <c r="N108" s="204">
        <v>770</v>
      </c>
      <c r="O108" s="381">
        <v>0.35</v>
      </c>
      <c r="P108" s="413">
        <f>O108+0.001</f>
        <v>0.35099999999999998</v>
      </c>
      <c r="Q108" s="185">
        <v>760</v>
      </c>
      <c r="R108" s="185"/>
      <c r="S108" s="414"/>
      <c r="T108" s="414"/>
      <c r="U108" s="491" t="s">
        <v>390</v>
      </c>
      <c r="V108" s="491"/>
      <c r="W108" s="491" t="s">
        <v>114</v>
      </c>
      <c r="X108" s="492">
        <v>44459</v>
      </c>
      <c r="Y108" s="492"/>
      <c r="Z108" s="492">
        <v>44459</v>
      </c>
      <c r="AA108" s="492"/>
      <c r="AB108" s="492">
        <v>44462</v>
      </c>
      <c r="AC108" s="492"/>
      <c r="AD108" s="492"/>
      <c r="AE108" s="492"/>
      <c r="AF108" s="492"/>
      <c r="AG108" s="492"/>
      <c r="AH108" s="493"/>
      <c r="AI108" s="494" t="s">
        <v>69</v>
      </c>
      <c r="AJ108" s="494" t="s">
        <v>142</v>
      </c>
      <c r="AK108" s="495" t="s">
        <v>630</v>
      </c>
      <c r="AL108" s="495"/>
      <c r="AM108" s="495">
        <v>44431</v>
      </c>
      <c r="AN108" s="495"/>
      <c r="AO108" s="199">
        <f t="shared" ca="1" si="5"/>
        <v>44958</v>
      </c>
      <c r="AP108" s="494">
        <f t="shared" ca="1" si="14"/>
        <v>527</v>
      </c>
      <c r="AQ108" s="494">
        <f ca="1">IF(ISNUMBER(AB108)=TRUE,AO108-AB108,IF(AB108="","",(AO108)-(MID(RIGHT(AB108,10),4,2)&amp;"/"&amp;LEFT((RIGHT(AB108,10)),2)&amp;"/"&amp;RIGHT(AB108,4))))</f>
        <v>496</v>
      </c>
      <c r="AR108" s="495"/>
      <c r="AS108" s="495" t="s">
        <v>6502</v>
      </c>
      <c r="AT108" s="496">
        <v>11.845000000000001</v>
      </c>
      <c r="AU108" s="496">
        <v>11.855</v>
      </c>
      <c r="AV108" s="496">
        <v>11.879999999999999</v>
      </c>
      <c r="AW108" s="496">
        <v>11.885</v>
      </c>
      <c r="BA108" s="489" t="s">
        <v>123</v>
      </c>
      <c r="BB108" s="485">
        <v>44834</v>
      </c>
      <c r="BQ108" s="489" t="s">
        <v>6503</v>
      </c>
    </row>
    <row r="109" spans="1:69" s="489" customFormat="1" ht="18" customHeight="1" x14ac:dyDescent="0.25">
      <c r="A109" s="199">
        <v>44748</v>
      </c>
      <c r="B109" s="204">
        <f ca="1">IF(A109="",(IF(ISNUMBER(SUBSTITUTE(LEFT(RIGHT(E109,LEN(E109)-MIN(SEARCH({1,2,3,4,5,6,7,8,9,0},E109&amp;"1234567890"))+1),10),".","/"))=TRUE,AO109-(SUBSTITUTE(LEFT(RIGHT(E109,LEN(E109)-MIN(SEARCH({1,2,3,4,5,6,7,8,9,0},E109&amp;"1234567890"))+1),10),".","/")),IF((SUBSTITUTE(LEFT(RIGHT(E109,LEN(E109)-MIN(SEARCH({1,2,3,4,5,6,7,8,9,0},E109&amp;"1234567890"))+1),10),".","/"))="","",(AO109)-(MID(RIGHT((SUBSTITUTE(LEFT(RIGHT(E109,LEN(E109)-MIN(SEARCH({1,2,3,4,5,6,7,8,9,0},E109&amp;"1234567890"))+1),10),".","/")),10),4,2)&amp;"/"&amp;LEFT((RIGHT((SUBSTITUTE(LEFT(RIGHT(E109,LEN(E109)-MIN(SEARCH({1,2,3,4,5,6,7,8,9,0},E109&amp;"1234567890"))+1),10),".","/")),10)),2)&amp;"/"&amp;RIGHT((SUBSTITUTE(LEFT(RIGHT(E109,LEN(E109)-MIN(SEARCH({1,2,3,4,5,6,7,8,9,0},E109&amp;"1234567890"))+1),10),".","/")),4))))),(AO109-A109))</f>
        <v>210</v>
      </c>
      <c r="C109" s="199"/>
      <c r="D109" s="201" t="str">
        <f t="shared" si="15"/>
        <v>FGC-304/304L/2B-1.35X20</v>
      </c>
      <c r="E109" s="201" t="s">
        <v>6504</v>
      </c>
      <c r="F109" s="201" t="s">
        <v>6505</v>
      </c>
      <c r="G109" s="201" t="s">
        <v>6506</v>
      </c>
      <c r="H109" s="201" t="s">
        <v>614</v>
      </c>
      <c r="I109" s="202" t="s">
        <v>114</v>
      </c>
      <c r="J109" s="203">
        <v>3.79</v>
      </c>
      <c r="K109" s="203">
        <v>1.35</v>
      </c>
      <c r="L109" s="203">
        <v>1.35</v>
      </c>
      <c r="M109" s="203">
        <v>1.37</v>
      </c>
      <c r="N109" s="204">
        <v>770</v>
      </c>
      <c r="O109" s="381">
        <f>10.01-9.675</f>
        <v>0.33499999999999908</v>
      </c>
      <c r="P109" s="432">
        <v>0.72</v>
      </c>
      <c r="Q109" s="185">
        <v>20</v>
      </c>
      <c r="R109" s="185"/>
      <c r="S109" s="414"/>
      <c r="T109" s="414"/>
      <c r="U109" s="491" t="s">
        <v>390</v>
      </c>
      <c r="V109" s="491" t="s">
        <v>6507</v>
      </c>
      <c r="W109" s="185" t="s">
        <v>114</v>
      </c>
      <c r="X109" s="492">
        <v>44449</v>
      </c>
      <c r="Y109" s="492"/>
      <c r="Z109" s="492">
        <v>44449</v>
      </c>
      <c r="AA109" s="492"/>
      <c r="AB109" s="492">
        <v>44452</v>
      </c>
      <c r="AC109" s="492"/>
      <c r="AD109" s="492"/>
      <c r="AE109" s="492"/>
      <c r="AF109" s="492"/>
      <c r="AG109" s="492"/>
      <c r="AH109" s="493"/>
      <c r="AI109" s="494" t="s">
        <v>69</v>
      </c>
      <c r="AJ109" s="494" t="s">
        <v>142</v>
      </c>
      <c r="AK109" s="495" t="s">
        <v>6378</v>
      </c>
      <c r="AL109" s="495"/>
      <c r="AM109" s="495">
        <v>44431</v>
      </c>
      <c r="AN109" s="495"/>
      <c r="AO109" s="199">
        <f t="shared" ca="1" si="5"/>
        <v>44958</v>
      </c>
      <c r="AP109" s="494">
        <f t="shared" ca="1" si="14"/>
        <v>527</v>
      </c>
      <c r="AQ109" s="494"/>
      <c r="AR109" s="495"/>
      <c r="AS109" s="495" t="s">
        <v>6508</v>
      </c>
      <c r="AT109" s="496">
        <v>10.285</v>
      </c>
      <c r="AU109" s="496">
        <v>10.295</v>
      </c>
      <c r="AV109" s="496">
        <v>10.319999999999999</v>
      </c>
      <c r="AW109" s="496">
        <v>10.324999999999999</v>
      </c>
      <c r="BA109" s="489" t="s">
        <v>123</v>
      </c>
      <c r="BN109" s="211" t="s">
        <v>611</v>
      </c>
    </row>
    <row r="110" spans="1:69" s="489" customFormat="1" ht="18" customHeight="1" x14ac:dyDescent="0.25">
      <c r="A110" s="199">
        <v>44748</v>
      </c>
      <c r="B110" s="204">
        <f ca="1">IF(A110="",(IF(ISNUMBER(SUBSTITUTE(LEFT(RIGHT(E110,LEN(E110)-MIN(SEARCH({1,2,3,4,5,6,7,8,9,0},E110&amp;"1234567890"))+1),10),".","/"))=TRUE,AO110-(SUBSTITUTE(LEFT(RIGHT(E110,LEN(E110)-MIN(SEARCH({1,2,3,4,5,6,7,8,9,0},E110&amp;"1234567890"))+1),10),".","/")),IF((SUBSTITUTE(LEFT(RIGHT(E110,LEN(E110)-MIN(SEARCH({1,2,3,4,5,6,7,8,9,0},E110&amp;"1234567890"))+1),10),".","/"))="","",(AO110)-(MID(RIGHT((SUBSTITUTE(LEFT(RIGHT(E110,LEN(E110)-MIN(SEARCH({1,2,3,4,5,6,7,8,9,0},E110&amp;"1234567890"))+1),10),".","/")),10),4,2)&amp;"/"&amp;LEFT((RIGHT((SUBSTITUTE(LEFT(RIGHT(E110,LEN(E110)-MIN(SEARCH({1,2,3,4,5,6,7,8,9,0},E110&amp;"1234567890"))+1),10),".","/")),10)),2)&amp;"/"&amp;RIGHT((SUBSTITUTE(LEFT(RIGHT(E110,LEN(E110)-MIN(SEARCH({1,2,3,4,5,6,7,8,9,0},E110&amp;"1234567890"))+1),10),".","/")),4))))),(AO110-A110))</f>
        <v>210</v>
      </c>
      <c r="C110" s="199"/>
      <c r="D110" s="201" t="str">
        <f t="shared" si="15"/>
        <v>FGC-304/304L/2B-1.35X20</v>
      </c>
      <c r="E110" s="201" t="s">
        <v>6504</v>
      </c>
      <c r="F110" s="201" t="s">
        <v>6509</v>
      </c>
      <c r="G110" s="201" t="s">
        <v>6510</v>
      </c>
      <c r="H110" s="201" t="s">
        <v>614</v>
      </c>
      <c r="I110" s="202" t="s">
        <v>114</v>
      </c>
      <c r="J110" s="203">
        <v>3.79</v>
      </c>
      <c r="K110" s="203">
        <v>1.35</v>
      </c>
      <c r="L110" s="203">
        <v>1.35</v>
      </c>
      <c r="M110" s="203">
        <v>1.37</v>
      </c>
      <c r="N110" s="204">
        <v>770</v>
      </c>
      <c r="O110" s="381">
        <f>10.115-9.76</f>
        <v>0.35500000000000043</v>
      </c>
      <c r="P110" s="433"/>
      <c r="Q110" s="185">
        <v>20</v>
      </c>
      <c r="R110" s="185"/>
      <c r="S110" s="414"/>
      <c r="T110" s="414"/>
      <c r="U110" s="491" t="s">
        <v>390</v>
      </c>
      <c r="V110" s="491" t="s">
        <v>6507</v>
      </c>
      <c r="W110" s="185" t="s">
        <v>114</v>
      </c>
      <c r="X110" s="492">
        <v>44449</v>
      </c>
      <c r="Y110" s="492"/>
      <c r="Z110" s="492">
        <v>44449</v>
      </c>
      <c r="AA110" s="492"/>
      <c r="AB110" s="492">
        <v>44453</v>
      </c>
      <c r="AC110" s="492"/>
      <c r="AD110" s="492"/>
      <c r="AE110" s="492"/>
      <c r="AF110" s="492"/>
      <c r="AG110" s="492"/>
      <c r="AH110" s="493"/>
      <c r="AI110" s="494" t="s">
        <v>69</v>
      </c>
      <c r="AJ110" s="494" t="s">
        <v>142</v>
      </c>
      <c r="AK110" s="495" t="s">
        <v>6378</v>
      </c>
      <c r="AL110" s="495"/>
      <c r="AM110" s="495">
        <v>44431</v>
      </c>
      <c r="AN110" s="495"/>
      <c r="AO110" s="199">
        <f t="shared" ca="1" si="5"/>
        <v>44958</v>
      </c>
      <c r="AP110" s="494">
        <f t="shared" ca="1" si="14"/>
        <v>527</v>
      </c>
      <c r="AQ110" s="494"/>
      <c r="AR110" s="495"/>
      <c r="AS110" s="495" t="s">
        <v>6508</v>
      </c>
      <c r="AT110" s="496">
        <v>10.285</v>
      </c>
      <c r="AU110" s="496">
        <v>10.295</v>
      </c>
      <c r="AV110" s="496">
        <v>10.319999999999999</v>
      </c>
      <c r="AW110" s="496">
        <v>10.324999999999999</v>
      </c>
      <c r="BA110" s="489" t="s">
        <v>123</v>
      </c>
      <c r="BN110" s="211" t="s">
        <v>125</v>
      </c>
    </row>
    <row r="111" spans="1:69" s="489" customFormat="1" ht="18" customHeight="1" x14ac:dyDescent="0.25">
      <c r="A111" s="199">
        <v>44737</v>
      </c>
      <c r="B111" s="204">
        <f ca="1">IF(A111="",(IF(ISNUMBER(SUBSTITUTE(LEFT(RIGHT(E111,LEN(E111)-MIN(SEARCH({1,2,3,4,5,6,7,8,9,0},E111&amp;"1234567890"))+1),10),".","/"))=TRUE,AO111-(SUBSTITUTE(LEFT(RIGHT(E111,LEN(E111)-MIN(SEARCH({1,2,3,4,5,6,7,8,9,0},E111&amp;"1234567890"))+1),10),".","/")),IF((SUBSTITUTE(LEFT(RIGHT(E111,LEN(E111)-MIN(SEARCH({1,2,3,4,5,6,7,8,9,0},E111&amp;"1234567890"))+1),10),".","/"))="","",(AO111)-(MID(RIGHT((SUBSTITUTE(LEFT(RIGHT(E111,LEN(E111)-MIN(SEARCH({1,2,3,4,5,6,7,8,9,0},E111&amp;"1234567890"))+1),10),".","/")),10),4,2)&amp;"/"&amp;LEFT((RIGHT((SUBSTITUTE(LEFT(RIGHT(E111,LEN(E111)-MIN(SEARCH({1,2,3,4,5,6,7,8,9,0},E111&amp;"1234567890"))+1),10),".","/")),10)),2)&amp;"/"&amp;RIGHT((SUBSTITUTE(LEFT(RIGHT(E111,LEN(E111)-MIN(SEARCH({1,2,3,4,5,6,7,8,9,0},E111&amp;"1234567890"))+1),10),".","/")),4))))),(AO111-A111))</f>
        <v>221</v>
      </c>
      <c r="C111" s="199"/>
      <c r="D111" s="201" t="str">
        <f t="shared" ref="D111:D156" si="16">IF(LEFT(V111,7)="MAT RET","R"&amp;"-"&amp;H111&amp;"/"&amp;I111&amp;"-"&amp;TEXT(K111,"0.00")&amp;"X"&amp;IF(Q111="",N111,Q111),IF(N111&lt;570,"FGMKW2","FGCKW2")&amp;"-"&amp;H111&amp;"/"&amp;I111&amp;"-"&amp;TEXT(K111,"0.00")&amp;"X"&amp;IF(Q111="",N111,Q111))</f>
        <v>FGCKW2-304L/2B-1.45X760</v>
      </c>
      <c r="E111" s="201" t="s">
        <v>6511</v>
      </c>
      <c r="F111" s="201" t="s">
        <v>6512</v>
      </c>
      <c r="G111" s="201" t="s">
        <v>6513</v>
      </c>
      <c r="H111" s="201" t="s">
        <v>182</v>
      </c>
      <c r="I111" s="202" t="s">
        <v>114</v>
      </c>
      <c r="J111" s="203">
        <v>3.84</v>
      </c>
      <c r="K111" s="203">
        <v>1.45</v>
      </c>
      <c r="L111" s="203">
        <v>1.45</v>
      </c>
      <c r="M111" s="203">
        <v>1.48</v>
      </c>
      <c r="N111" s="204">
        <v>765</v>
      </c>
      <c r="O111" s="381">
        <v>0.31</v>
      </c>
      <c r="P111" s="413">
        <v>0.311</v>
      </c>
      <c r="Q111" s="185">
        <v>760</v>
      </c>
      <c r="R111" s="414"/>
      <c r="S111" s="414"/>
      <c r="T111" s="414"/>
      <c r="U111" s="491" t="s">
        <v>390</v>
      </c>
      <c r="V111" s="491" t="s">
        <v>390</v>
      </c>
      <c r="W111" s="185" t="s">
        <v>114</v>
      </c>
      <c r="X111" s="492">
        <v>44704</v>
      </c>
      <c r="Y111" s="492"/>
      <c r="Z111" s="492">
        <v>44705</v>
      </c>
      <c r="AA111" s="492"/>
      <c r="AB111" s="492">
        <v>44736</v>
      </c>
      <c r="AC111" s="492"/>
      <c r="AD111" s="492"/>
      <c r="AE111" s="492"/>
      <c r="AF111" s="492"/>
      <c r="AG111" s="492"/>
      <c r="AH111" s="493" t="s">
        <v>773</v>
      </c>
      <c r="AI111" s="494" t="s">
        <v>69</v>
      </c>
      <c r="AJ111" s="494" t="s">
        <v>142</v>
      </c>
      <c r="AK111" s="495" t="s">
        <v>757</v>
      </c>
      <c r="AL111" s="495"/>
      <c r="AM111" s="495">
        <v>44651</v>
      </c>
      <c r="AN111" s="495"/>
      <c r="AO111" s="199">
        <f t="shared" ca="1" si="5"/>
        <v>44958</v>
      </c>
      <c r="AP111" s="494">
        <f t="shared" ca="1" si="14"/>
        <v>307</v>
      </c>
      <c r="AQ111" s="494">
        <f t="shared" ref="AQ111:AQ117" ca="1" si="17">IF(ISNUMBER(AB111)=TRUE,AO111-AB111,IF(AB111="","",(AO111)-(MID(RIGHT(AB111,10),4,2)&amp;"/"&amp;LEFT((RIGHT(AB111,10)),2)&amp;"/"&amp;RIGHT(AB111,4))))</f>
        <v>222</v>
      </c>
      <c r="AR111" s="495"/>
      <c r="AS111" s="495" t="s">
        <v>6514</v>
      </c>
      <c r="AT111" s="496">
        <v>11.875</v>
      </c>
      <c r="AU111" s="496">
        <v>11.885</v>
      </c>
      <c r="AV111" s="496">
        <v>11.909999999999998</v>
      </c>
      <c r="AW111" s="496">
        <v>11.914999999999999</v>
      </c>
      <c r="AX111" s="489">
        <f t="shared" ref="AX111:AX138" ca="1" si="18">IF(ISNUMBER(Z111)=TRUE,AO111-Z111,IF(Z111="","",(AO111)-(MID(RIGHT(Z111,10),4,2)&amp;"/"&amp;LEFT((RIGHT(Z111,10)),2)&amp;"/"&amp;RIGHT(Z111,4))))</f>
        <v>253</v>
      </c>
      <c r="BA111" s="489" t="s">
        <v>123</v>
      </c>
      <c r="BB111" s="485">
        <v>44834</v>
      </c>
      <c r="BN111" s="211"/>
    </row>
    <row r="112" spans="1:69" s="489" customFormat="1" ht="18" customHeight="1" x14ac:dyDescent="0.25">
      <c r="A112" s="199">
        <v>44737</v>
      </c>
      <c r="B112" s="204">
        <f ca="1">IF(A112="",(IF(ISNUMBER(SUBSTITUTE(LEFT(RIGHT(E112,LEN(E112)-MIN(SEARCH({1,2,3,4,5,6,7,8,9,0},E112&amp;"1234567890"))+1),10),".","/"))=TRUE,AO112-(SUBSTITUTE(LEFT(RIGHT(E112,LEN(E112)-MIN(SEARCH({1,2,3,4,5,6,7,8,9,0},E112&amp;"1234567890"))+1),10),".","/")),IF((SUBSTITUTE(LEFT(RIGHT(E112,LEN(E112)-MIN(SEARCH({1,2,3,4,5,6,7,8,9,0},E112&amp;"1234567890"))+1),10),".","/"))="","",(AO112)-(MID(RIGHT((SUBSTITUTE(LEFT(RIGHT(E112,LEN(E112)-MIN(SEARCH({1,2,3,4,5,6,7,8,9,0},E112&amp;"1234567890"))+1),10),".","/")),10),4,2)&amp;"/"&amp;LEFT((RIGHT((SUBSTITUTE(LEFT(RIGHT(E112,LEN(E112)-MIN(SEARCH({1,2,3,4,5,6,7,8,9,0},E112&amp;"1234567890"))+1),10),".","/")),10)),2)&amp;"/"&amp;RIGHT((SUBSTITUTE(LEFT(RIGHT(E112,LEN(E112)-MIN(SEARCH({1,2,3,4,5,6,7,8,9,0},E112&amp;"1234567890"))+1),10),".","/")),4))))),(AO112-A112))</f>
        <v>221</v>
      </c>
      <c r="C112" s="199"/>
      <c r="D112" s="201" t="str">
        <f t="shared" si="16"/>
        <v>FGCKW2-304/2B-1.00X760</v>
      </c>
      <c r="E112" s="201" t="s">
        <v>6515</v>
      </c>
      <c r="F112" s="201" t="s">
        <v>6516</v>
      </c>
      <c r="G112" s="201" t="s">
        <v>6517</v>
      </c>
      <c r="H112" s="201">
        <v>304</v>
      </c>
      <c r="I112" s="202" t="s">
        <v>114</v>
      </c>
      <c r="J112" s="203">
        <v>3.79</v>
      </c>
      <c r="K112" s="203">
        <v>1</v>
      </c>
      <c r="L112" s="203">
        <v>0.99</v>
      </c>
      <c r="M112" s="203">
        <v>1</v>
      </c>
      <c r="N112" s="204">
        <v>768</v>
      </c>
      <c r="O112" s="381">
        <v>0.21</v>
      </c>
      <c r="P112" s="413">
        <v>0.21099999999999999</v>
      </c>
      <c r="Q112" s="185">
        <v>760</v>
      </c>
      <c r="R112" s="414"/>
      <c r="S112" s="414"/>
      <c r="T112" s="414"/>
      <c r="U112" s="491" t="s">
        <v>390</v>
      </c>
      <c r="V112" s="491" t="s">
        <v>390</v>
      </c>
      <c r="W112" s="185" t="s">
        <v>114</v>
      </c>
      <c r="X112" s="492">
        <v>44730</v>
      </c>
      <c r="Y112" s="492"/>
      <c r="Z112" s="492">
        <v>44731</v>
      </c>
      <c r="AA112" s="492"/>
      <c r="AB112" s="492">
        <v>44737</v>
      </c>
      <c r="AC112" s="492"/>
      <c r="AD112" s="492"/>
      <c r="AE112" s="492"/>
      <c r="AF112" s="492"/>
      <c r="AG112" s="492"/>
      <c r="AH112" s="493" t="s">
        <v>6518</v>
      </c>
      <c r="AI112" s="494" t="s">
        <v>69</v>
      </c>
      <c r="AJ112" s="494" t="s">
        <v>142</v>
      </c>
      <c r="AK112" s="495" t="s">
        <v>757</v>
      </c>
      <c r="AL112" s="495"/>
      <c r="AM112" s="495">
        <v>44651</v>
      </c>
      <c r="AN112" s="495"/>
      <c r="AO112" s="199">
        <f t="shared" ca="1" si="5"/>
        <v>44958</v>
      </c>
      <c r="AP112" s="494">
        <f t="shared" ca="1" si="14"/>
        <v>307</v>
      </c>
      <c r="AQ112" s="494">
        <f t="shared" ca="1" si="17"/>
        <v>221</v>
      </c>
      <c r="AR112" s="495"/>
      <c r="AS112" s="495" t="s">
        <v>6519</v>
      </c>
      <c r="AT112" s="496">
        <v>10.41</v>
      </c>
      <c r="AU112" s="496">
        <v>10.42</v>
      </c>
      <c r="AV112" s="496">
        <v>10.444999999999999</v>
      </c>
      <c r="AW112" s="496">
        <v>10.45</v>
      </c>
      <c r="AX112" s="489">
        <f t="shared" ca="1" si="18"/>
        <v>227</v>
      </c>
      <c r="BA112" s="489" t="s">
        <v>123</v>
      </c>
      <c r="BB112" s="485">
        <v>44834</v>
      </c>
      <c r="BN112" s="211"/>
    </row>
    <row r="113" spans="1:66" s="489" customFormat="1" ht="18" customHeight="1" x14ac:dyDescent="0.25">
      <c r="A113" s="199">
        <v>44743</v>
      </c>
      <c r="B113" s="204">
        <f ca="1">IF(A113="",(IF(ISNUMBER(SUBSTITUTE(LEFT(RIGHT(E113,LEN(E113)-MIN(SEARCH({1,2,3,4,5,6,7,8,9,0},E113&amp;"1234567890"))+1),10),".","/"))=TRUE,AO113-(SUBSTITUTE(LEFT(RIGHT(E113,LEN(E113)-MIN(SEARCH({1,2,3,4,5,6,7,8,9,0},E113&amp;"1234567890"))+1),10),".","/")),IF((SUBSTITUTE(LEFT(RIGHT(E113,LEN(E113)-MIN(SEARCH({1,2,3,4,5,6,7,8,9,0},E113&amp;"1234567890"))+1),10),".","/"))="","",(AO113)-(MID(RIGHT((SUBSTITUTE(LEFT(RIGHT(E113,LEN(E113)-MIN(SEARCH({1,2,3,4,5,6,7,8,9,0},E113&amp;"1234567890"))+1),10),".","/")),10),4,2)&amp;"/"&amp;LEFT((RIGHT((SUBSTITUTE(LEFT(RIGHT(E113,LEN(E113)-MIN(SEARCH({1,2,3,4,5,6,7,8,9,0},E113&amp;"1234567890"))+1),10),".","/")),10)),2)&amp;"/"&amp;RIGHT((SUBSTITUTE(LEFT(RIGHT(E113,LEN(E113)-MIN(SEARCH({1,2,3,4,5,6,7,8,9,0},E113&amp;"1234567890"))+1),10),".","/")),4))))),(AO113-A113))</f>
        <v>215</v>
      </c>
      <c r="C113" s="199"/>
      <c r="D113" s="201" t="str">
        <f t="shared" si="16"/>
        <v>FGCKW2-304L/2B-1.00X760</v>
      </c>
      <c r="E113" s="201" t="s">
        <v>6520</v>
      </c>
      <c r="F113" s="201" t="s">
        <v>6521</v>
      </c>
      <c r="G113" s="201" t="s">
        <v>6522</v>
      </c>
      <c r="H113" s="201" t="s">
        <v>182</v>
      </c>
      <c r="I113" s="202" t="s">
        <v>114</v>
      </c>
      <c r="J113" s="203">
        <v>2</v>
      </c>
      <c r="K113" s="203">
        <v>1</v>
      </c>
      <c r="L113" s="203">
        <v>0.98</v>
      </c>
      <c r="M113" s="203">
        <v>1</v>
      </c>
      <c r="N113" s="204">
        <v>772</v>
      </c>
      <c r="O113" s="381">
        <v>0.15</v>
      </c>
      <c r="P113" s="413">
        <v>0.151</v>
      </c>
      <c r="Q113" s="185">
        <v>760</v>
      </c>
      <c r="R113" s="414"/>
      <c r="S113" s="414"/>
      <c r="T113" s="414"/>
      <c r="U113" s="491" t="s">
        <v>390</v>
      </c>
      <c r="V113" s="491" t="s">
        <v>390</v>
      </c>
      <c r="W113" s="185" t="s">
        <v>114</v>
      </c>
      <c r="X113" s="492" t="s">
        <v>6523</v>
      </c>
      <c r="Y113" s="492"/>
      <c r="Z113" s="492" t="s">
        <v>6524</v>
      </c>
      <c r="AA113" s="492"/>
      <c r="AB113" s="492" t="s">
        <v>6524</v>
      </c>
      <c r="AC113" s="492"/>
      <c r="AD113" s="492"/>
      <c r="AE113" s="492"/>
      <c r="AF113" s="492"/>
      <c r="AG113" s="492"/>
      <c r="AH113" s="493" t="s">
        <v>6525</v>
      </c>
      <c r="AI113" s="494" t="s">
        <v>69</v>
      </c>
      <c r="AJ113" s="494" t="s">
        <v>142</v>
      </c>
      <c r="AK113" s="495" t="s">
        <v>757</v>
      </c>
      <c r="AL113" s="495"/>
      <c r="AM113" s="495">
        <v>44651</v>
      </c>
      <c r="AN113" s="495"/>
      <c r="AO113" s="199">
        <f t="shared" ca="1" si="5"/>
        <v>44958</v>
      </c>
      <c r="AP113" s="494">
        <f t="shared" ca="1" si="14"/>
        <v>307</v>
      </c>
      <c r="AQ113" s="494">
        <f t="shared" ca="1" si="17"/>
        <v>218</v>
      </c>
      <c r="AR113" s="495"/>
      <c r="AS113" s="495" t="s">
        <v>6526</v>
      </c>
      <c r="AT113" s="496">
        <v>10.315</v>
      </c>
      <c r="AU113" s="496">
        <v>10.324999999999999</v>
      </c>
      <c r="AV113" s="496">
        <v>10.349999999999998</v>
      </c>
      <c r="AW113" s="496">
        <v>10.354999999999999</v>
      </c>
      <c r="AX113" s="489">
        <f t="shared" ca="1" si="18"/>
        <v>218</v>
      </c>
      <c r="BA113" s="489" t="s">
        <v>123</v>
      </c>
      <c r="BB113" s="485">
        <v>44834</v>
      </c>
      <c r="BN113" s="211"/>
    </row>
    <row r="114" spans="1:66" s="489" customFormat="1" ht="18" customHeight="1" x14ac:dyDescent="0.25">
      <c r="A114" s="199">
        <v>44743</v>
      </c>
      <c r="B114" s="204">
        <f ca="1">IF(A114="",(IF(ISNUMBER(SUBSTITUTE(LEFT(RIGHT(E114,LEN(E114)-MIN(SEARCH({1,2,3,4,5,6,7,8,9,0},E114&amp;"1234567890"))+1),10),".","/"))=TRUE,AO114-(SUBSTITUTE(LEFT(RIGHT(E114,LEN(E114)-MIN(SEARCH({1,2,3,4,5,6,7,8,9,0},E114&amp;"1234567890"))+1),10),".","/")),IF((SUBSTITUTE(LEFT(RIGHT(E114,LEN(E114)-MIN(SEARCH({1,2,3,4,5,6,7,8,9,0},E114&amp;"1234567890"))+1),10),".","/"))="","",(AO114)-(MID(RIGHT((SUBSTITUTE(LEFT(RIGHT(E114,LEN(E114)-MIN(SEARCH({1,2,3,4,5,6,7,8,9,0},E114&amp;"1234567890"))+1),10),".","/")),10),4,2)&amp;"/"&amp;LEFT((RIGHT((SUBSTITUTE(LEFT(RIGHT(E114,LEN(E114)-MIN(SEARCH({1,2,3,4,5,6,7,8,9,0},E114&amp;"1234567890"))+1),10),".","/")),10)),2)&amp;"/"&amp;RIGHT((SUBSTITUTE(LEFT(RIGHT(E114,LEN(E114)-MIN(SEARCH({1,2,3,4,5,6,7,8,9,0},E114&amp;"1234567890"))+1),10),".","/")),4))))),(AO114-A114))</f>
        <v>215</v>
      </c>
      <c r="C114" s="199"/>
      <c r="D114" s="201" t="str">
        <f t="shared" si="16"/>
        <v>FGCKW2-304L/2B-0.50X760</v>
      </c>
      <c r="E114" s="201" t="s">
        <v>6527</v>
      </c>
      <c r="F114" s="201" t="s">
        <v>6528</v>
      </c>
      <c r="G114" s="201" t="s">
        <v>6529</v>
      </c>
      <c r="H114" s="201" t="s">
        <v>182</v>
      </c>
      <c r="I114" s="202" t="s">
        <v>114</v>
      </c>
      <c r="J114" s="203">
        <v>1</v>
      </c>
      <c r="K114" s="203">
        <v>0.5</v>
      </c>
      <c r="L114" s="203">
        <v>0.49</v>
      </c>
      <c r="M114" s="203">
        <v>0.5</v>
      </c>
      <c r="N114" s="204">
        <v>767</v>
      </c>
      <c r="O114" s="381">
        <v>0.43</v>
      </c>
      <c r="P114" s="413">
        <v>0.43099999999999999</v>
      </c>
      <c r="Q114" s="185">
        <v>760</v>
      </c>
      <c r="R114" s="414"/>
      <c r="S114" s="414"/>
      <c r="T114" s="414"/>
      <c r="U114" s="491" t="s">
        <v>390</v>
      </c>
      <c r="V114" s="491" t="s">
        <v>390</v>
      </c>
      <c r="W114" s="185" t="s">
        <v>114</v>
      </c>
      <c r="X114" s="492" t="s">
        <v>6530</v>
      </c>
      <c r="Y114" s="492"/>
      <c r="Z114" s="492" t="s">
        <v>6531</v>
      </c>
      <c r="AA114" s="492"/>
      <c r="AB114" s="492" t="s">
        <v>6532</v>
      </c>
      <c r="AC114" s="492"/>
      <c r="AD114" s="492" t="s">
        <v>6533</v>
      </c>
      <c r="AE114" s="492"/>
      <c r="AF114" s="492"/>
      <c r="AG114" s="492"/>
      <c r="AH114" s="493" t="s">
        <v>6518</v>
      </c>
      <c r="AI114" s="494" t="s">
        <v>69</v>
      </c>
      <c r="AJ114" s="494" t="s">
        <v>142</v>
      </c>
      <c r="AK114" s="495" t="s">
        <v>757</v>
      </c>
      <c r="AL114" s="495"/>
      <c r="AM114" s="495">
        <v>44651</v>
      </c>
      <c r="AN114" s="495"/>
      <c r="AO114" s="199">
        <f t="shared" ca="1" si="5"/>
        <v>44958</v>
      </c>
      <c r="AP114" s="494">
        <f t="shared" ca="1" si="14"/>
        <v>307</v>
      </c>
      <c r="AQ114" s="494">
        <f t="shared" ca="1" si="17"/>
        <v>218</v>
      </c>
      <c r="AR114" s="495"/>
      <c r="AS114" s="495" t="s">
        <v>6534</v>
      </c>
      <c r="AT114" s="496">
        <v>10.14</v>
      </c>
      <c r="AU114" s="496">
        <v>10.15</v>
      </c>
      <c r="AV114" s="496">
        <v>10.174999999999999</v>
      </c>
      <c r="AW114" s="496">
        <v>10.18</v>
      </c>
      <c r="AX114" s="489">
        <f t="shared" ca="1" si="18"/>
        <v>218</v>
      </c>
      <c r="BA114" s="489" t="s">
        <v>123</v>
      </c>
      <c r="BB114" s="485">
        <v>44834</v>
      </c>
      <c r="BN114" s="211"/>
    </row>
    <row r="115" spans="1:66" s="489" customFormat="1" ht="18" customHeight="1" x14ac:dyDescent="0.25">
      <c r="A115" s="199">
        <v>44718</v>
      </c>
      <c r="B115" s="204">
        <f ca="1">IF(A115="",(IF(ISNUMBER(SUBSTITUTE(LEFT(RIGHT(E115,LEN(E115)-MIN(SEARCH({1,2,3,4,5,6,7,8,9,0},E115&amp;"1234567890"))+1),10),".","/"))=TRUE,AO115-(SUBSTITUTE(LEFT(RIGHT(E115,LEN(E115)-MIN(SEARCH({1,2,3,4,5,6,7,8,9,0},E115&amp;"1234567890"))+1),10),".","/")),IF((SUBSTITUTE(LEFT(RIGHT(E115,LEN(E115)-MIN(SEARCH({1,2,3,4,5,6,7,8,9,0},E115&amp;"1234567890"))+1),10),".","/"))="","",(AO115)-(MID(RIGHT((SUBSTITUTE(LEFT(RIGHT(E115,LEN(E115)-MIN(SEARCH({1,2,3,4,5,6,7,8,9,0},E115&amp;"1234567890"))+1),10),".","/")),10),4,2)&amp;"/"&amp;LEFT((RIGHT((SUBSTITUTE(LEFT(RIGHT(E115,LEN(E115)-MIN(SEARCH({1,2,3,4,5,6,7,8,9,0},E115&amp;"1234567890"))+1),10),".","/")),10)),2)&amp;"/"&amp;RIGHT((SUBSTITUTE(LEFT(RIGHT(E115,LEN(E115)-MIN(SEARCH({1,2,3,4,5,6,7,8,9,0},E115&amp;"1234567890"))+1),10),".","/")),4))))),(AO115-A115))</f>
        <v>240</v>
      </c>
      <c r="C115" s="199"/>
      <c r="D115" s="201" t="str">
        <f t="shared" si="16"/>
        <v>FGCKW2-304L/2B-0.95X760</v>
      </c>
      <c r="E115" s="201" t="s">
        <v>6535</v>
      </c>
      <c r="F115" s="201" t="s">
        <v>6536</v>
      </c>
      <c r="G115" s="201" t="s">
        <v>6537</v>
      </c>
      <c r="H115" s="201" t="s">
        <v>182</v>
      </c>
      <c r="I115" s="202" t="s">
        <v>114</v>
      </c>
      <c r="J115" s="203">
        <v>3.78</v>
      </c>
      <c r="K115" s="203">
        <v>0.95</v>
      </c>
      <c r="L115" s="203"/>
      <c r="M115" s="203"/>
      <c r="N115" s="204">
        <v>767</v>
      </c>
      <c r="O115" s="381">
        <v>0.27500000000000002</v>
      </c>
      <c r="P115" s="413">
        <v>0.27100000000000002</v>
      </c>
      <c r="Q115" s="185">
        <v>760</v>
      </c>
      <c r="R115" s="414"/>
      <c r="S115" s="414"/>
      <c r="T115" s="414"/>
      <c r="U115" s="491" t="s">
        <v>390</v>
      </c>
      <c r="V115" s="491" t="s">
        <v>390</v>
      </c>
      <c r="W115" s="185" t="s">
        <v>114</v>
      </c>
      <c r="X115" s="492">
        <v>44680</v>
      </c>
      <c r="Y115" s="492"/>
      <c r="Z115" s="492">
        <v>44680</v>
      </c>
      <c r="AA115" s="492"/>
      <c r="AB115" s="492">
        <v>44683</v>
      </c>
      <c r="AC115" s="492"/>
      <c r="AD115" s="492"/>
      <c r="AE115" s="492"/>
      <c r="AF115" s="492"/>
      <c r="AG115" s="492"/>
      <c r="AH115" s="493" t="s">
        <v>6475</v>
      </c>
      <c r="AI115" s="494" t="s">
        <v>69</v>
      </c>
      <c r="AJ115" s="494" t="s">
        <v>142</v>
      </c>
      <c r="AK115" s="495" t="s">
        <v>6476</v>
      </c>
      <c r="AL115" s="495"/>
      <c r="AM115" s="495">
        <v>44585</v>
      </c>
      <c r="AN115" s="495"/>
      <c r="AO115" s="199">
        <f t="shared" ca="1" si="5"/>
        <v>44958</v>
      </c>
      <c r="AP115" s="494">
        <f t="shared" ca="1" si="14"/>
        <v>373</v>
      </c>
      <c r="AQ115" s="494">
        <f t="shared" ca="1" si="17"/>
        <v>275</v>
      </c>
      <c r="AR115" s="495"/>
      <c r="AS115" s="495" t="s">
        <v>6538</v>
      </c>
      <c r="AT115" s="496">
        <v>11.99</v>
      </c>
      <c r="AU115" s="496">
        <v>12</v>
      </c>
      <c r="AV115" s="496">
        <v>12.024999999999999</v>
      </c>
      <c r="AW115" s="496">
        <v>12.03</v>
      </c>
      <c r="AX115" s="489">
        <f t="shared" ca="1" si="18"/>
        <v>278</v>
      </c>
      <c r="BA115" s="489" t="s">
        <v>123</v>
      </c>
      <c r="BB115" s="485">
        <v>44834</v>
      </c>
      <c r="BN115" s="211"/>
    </row>
    <row r="116" spans="1:66" s="489" customFormat="1" ht="18" customHeight="1" x14ac:dyDescent="0.25">
      <c r="A116" s="199">
        <v>44718</v>
      </c>
      <c r="B116" s="204">
        <f ca="1">IF(A116="",(IF(ISNUMBER(SUBSTITUTE(LEFT(RIGHT(E116,LEN(E116)-MIN(SEARCH({1,2,3,4,5,6,7,8,9,0},E116&amp;"1234567890"))+1),10),".","/"))=TRUE,AO116-(SUBSTITUTE(LEFT(RIGHT(E116,LEN(E116)-MIN(SEARCH({1,2,3,4,5,6,7,8,9,0},E116&amp;"1234567890"))+1),10),".","/")),IF((SUBSTITUTE(LEFT(RIGHT(E116,LEN(E116)-MIN(SEARCH({1,2,3,4,5,6,7,8,9,0},E116&amp;"1234567890"))+1),10),".","/"))="","",(AO116)-(MID(RIGHT((SUBSTITUTE(LEFT(RIGHT(E116,LEN(E116)-MIN(SEARCH({1,2,3,4,5,6,7,8,9,0},E116&amp;"1234567890"))+1),10),".","/")),10),4,2)&amp;"/"&amp;LEFT((RIGHT((SUBSTITUTE(LEFT(RIGHT(E116,LEN(E116)-MIN(SEARCH({1,2,3,4,5,6,7,8,9,0},E116&amp;"1234567890"))+1),10),".","/")),10)),2)&amp;"/"&amp;RIGHT((SUBSTITUTE(LEFT(RIGHT(E116,LEN(E116)-MIN(SEARCH({1,2,3,4,5,6,7,8,9,0},E116&amp;"1234567890"))+1),10),".","/")),4))))),(AO116-A116))</f>
        <v>240</v>
      </c>
      <c r="C116" s="199"/>
      <c r="D116" s="201" t="str">
        <f t="shared" si="16"/>
        <v>FGCKW2-304L/2B-1.45X766</v>
      </c>
      <c r="E116" s="201" t="s">
        <v>6539</v>
      </c>
      <c r="F116" s="201" t="s">
        <v>6540</v>
      </c>
      <c r="G116" s="201" t="s">
        <v>6541</v>
      </c>
      <c r="H116" s="201" t="s">
        <v>182</v>
      </c>
      <c r="I116" s="202" t="s">
        <v>114</v>
      </c>
      <c r="J116" s="203">
        <v>3.79</v>
      </c>
      <c r="K116" s="203">
        <v>1.45</v>
      </c>
      <c r="L116" s="203">
        <v>1.44</v>
      </c>
      <c r="M116" s="203">
        <v>1.46</v>
      </c>
      <c r="N116" s="204">
        <v>766</v>
      </c>
      <c r="O116" s="381">
        <v>0.32</v>
      </c>
      <c r="P116" s="413">
        <v>0.32100000000000001</v>
      </c>
      <c r="Q116" s="185">
        <v>766</v>
      </c>
      <c r="R116" s="414"/>
      <c r="S116" s="414"/>
      <c r="T116" s="414"/>
      <c r="U116" s="491" t="s">
        <v>390</v>
      </c>
      <c r="V116" s="491" t="s">
        <v>390</v>
      </c>
      <c r="W116" s="185" t="s">
        <v>114</v>
      </c>
      <c r="X116" s="492">
        <v>44699</v>
      </c>
      <c r="Y116" s="492"/>
      <c r="Z116" s="492">
        <v>44699</v>
      </c>
      <c r="AA116" s="492"/>
      <c r="AB116" s="492">
        <v>44700</v>
      </c>
      <c r="AC116" s="492"/>
      <c r="AD116" s="492"/>
      <c r="AE116" s="492"/>
      <c r="AF116" s="492"/>
      <c r="AG116" s="492"/>
      <c r="AH116" s="493" t="s">
        <v>766</v>
      </c>
      <c r="AI116" s="494" t="s">
        <v>69</v>
      </c>
      <c r="AJ116" s="494" t="s">
        <v>142</v>
      </c>
      <c r="AK116" s="495" t="s">
        <v>757</v>
      </c>
      <c r="AL116" s="495"/>
      <c r="AM116" s="495">
        <v>44651</v>
      </c>
      <c r="AN116" s="495"/>
      <c r="AO116" s="199">
        <f t="shared" ca="1" si="5"/>
        <v>44958</v>
      </c>
      <c r="AP116" s="494">
        <f t="shared" ca="1" si="14"/>
        <v>307</v>
      </c>
      <c r="AQ116" s="494">
        <f t="shared" ca="1" si="17"/>
        <v>258</v>
      </c>
      <c r="AR116" s="495"/>
      <c r="AS116" s="495" t="s">
        <v>6542</v>
      </c>
      <c r="AT116" s="496">
        <v>11.955</v>
      </c>
      <c r="AU116" s="496">
        <v>11.965</v>
      </c>
      <c r="AV116" s="496">
        <v>11.989999999999998</v>
      </c>
      <c r="AW116" s="496">
        <v>11.994999999999999</v>
      </c>
      <c r="AX116" s="489">
        <f t="shared" ca="1" si="18"/>
        <v>259</v>
      </c>
      <c r="BA116" s="489" t="s">
        <v>123</v>
      </c>
      <c r="BB116" s="485">
        <v>44834</v>
      </c>
      <c r="BN116" s="211"/>
    </row>
    <row r="117" spans="1:66" s="489" customFormat="1" ht="18" customHeight="1" x14ac:dyDescent="0.25">
      <c r="A117" s="199">
        <v>44745</v>
      </c>
      <c r="B117" s="204">
        <f ca="1">IF(A117="",(IF(ISNUMBER(SUBSTITUTE(LEFT(RIGHT(E117,LEN(E117)-MIN(SEARCH({1,2,3,4,5,6,7,8,9,0},E117&amp;"1234567890"))+1),10),".","/"))=TRUE,AO117-(SUBSTITUTE(LEFT(RIGHT(E117,LEN(E117)-MIN(SEARCH({1,2,3,4,5,6,7,8,9,0},E117&amp;"1234567890"))+1),10),".","/")),IF((SUBSTITUTE(LEFT(RIGHT(E117,LEN(E117)-MIN(SEARCH({1,2,3,4,5,6,7,8,9,0},E117&amp;"1234567890"))+1),10),".","/"))="","",(AO117)-(MID(RIGHT((SUBSTITUTE(LEFT(RIGHT(E117,LEN(E117)-MIN(SEARCH({1,2,3,4,5,6,7,8,9,0},E117&amp;"1234567890"))+1),10),".","/")),10),4,2)&amp;"/"&amp;LEFT((RIGHT((SUBSTITUTE(LEFT(RIGHT(E117,LEN(E117)-MIN(SEARCH({1,2,3,4,5,6,7,8,9,0},E117&amp;"1234567890"))+1),10),".","/")),10)),2)&amp;"/"&amp;RIGHT((SUBSTITUTE(LEFT(RIGHT(E117,LEN(E117)-MIN(SEARCH({1,2,3,4,5,6,7,8,9,0},E117&amp;"1234567890"))+1),10),".","/")),4))))),(AO117-A117))</f>
        <v>213</v>
      </c>
      <c r="C117" s="199"/>
      <c r="D117" s="201" t="str">
        <f t="shared" si="16"/>
        <v>FGCKW2-304L/2B-0.88X760</v>
      </c>
      <c r="E117" s="201" t="s">
        <v>6527</v>
      </c>
      <c r="F117" s="201" t="s">
        <v>6543</v>
      </c>
      <c r="G117" s="201" t="s">
        <v>6544</v>
      </c>
      <c r="H117" s="201" t="s">
        <v>182</v>
      </c>
      <c r="I117" s="202" t="s">
        <v>114</v>
      </c>
      <c r="J117" s="203">
        <v>3.2</v>
      </c>
      <c r="K117" s="203">
        <v>0.88</v>
      </c>
      <c r="L117" s="203">
        <v>0.87</v>
      </c>
      <c r="M117" s="203">
        <v>0.88</v>
      </c>
      <c r="N117" s="204">
        <v>767</v>
      </c>
      <c r="O117" s="381">
        <v>0.16500000000000001</v>
      </c>
      <c r="P117" s="413">
        <v>0.16600000000000001</v>
      </c>
      <c r="Q117" s="185">
        <v>760</v>
      </c>
      <c r="R117" s="414"/>
      <c r="S117" s="414"/>
      <c r="T117" s="414"/>
      <c r="U117" s="491" t="s">
        <v>390</v>
      </c>
      <c r="V117" s="491" t="s">
        <v>390</v>
      </c>
      <c r="W117" s="185" t="s">
        <v>114</v>
      </c>
      <c r="X117" s="492">
        <v>44731</v>
      </c>
      <c r="Y117" s="492"/>
      <c r="Z117" s="492">
        <v>44732</v>
      </c>
      <c r="AA117" s="492"/>
      <c r="AB117" s="492">
        <v>44740</v>
      </c>
      <c r="AC117" s="492"/>
      <c r="AD117" s="492"/>
      <c r="AE117" s="492"/>
      <c r="AF117" s="492"/>
      <c r="AG117" s="492"/>
      <c r="AH117" s="493" t="s">
        <v>6525</v>
      </c>
      <c r="AI117" s="494" t="s">
        <v>69</v>
      </c>
      <c r="AJ117" s="494" t="s">
        <v>142</v>
      </c>
      <c r="AK117" s="495" t="s">
        <v>757</v>
      </c>
      <c r="AL117" s="495"/>
      <c r="AM117" s="495">
        <v>44651</v>
      </c>
      <c r="AN117" s="495"/>
      <c r="AO117" s="199">
        <f t="shared" ref="AO117:AO170" ca="1" si="19">TODAY()</f>
        <v>44958</v>
      </c>
      <c r="AP117" s="494">
        <f t="shared" ca="1" si="14"/>
        <v>307</v>
      </c>
      <c r="AQ117" s="494">
        <f t="shared" ca="1" si="17"/>
        <v>218</v>
      </c>
      <c r="AR117" s="495"/>
      <c r="AS117" s="495" t="s">
        <v>6545</v>
      </c>
      <c r="AT117" s="496">
        <v>11.83</v>
      </c>
      <c r="AU117" s="496">
        <v>11.84</v>
      </c>
      <c r="AV117" s="496">
        <v>11.864999999999998</v>
      </c>
      <c r="AW117" s="496">
        <v>11.87</v>
      </c>
      <c r="AX117" s="489">
        <f t="shared" ca="1" si="18"/>
        <v>226</v>
      </c>
      <c r="BA117" s="489" t="s">
        <v>123</v>
      </c>
      <c r="BN117" s="211"/>
    </row>
    <row r="118" spans="1:66" s="489" customFormat="1" ht="18.75" customHeight="1" x14ac:dyDescent="0.25">
      <c r="A118" s="199">
        <v>44745</v>
      </c>
      <c r="B118" s="204">
        <f ca="1">IF(A118="",(IF(ISNUMBER(SUBSTITUTE(LEFT(RIGHT(E118,LEN(E118)-MIN(SEARCH({1,2,3,4,5,6,7,8,9,0},E118&amp;"1234567890"))+1),10),".","/"))=TRUE,AO118-(SUBSTITUTE(LEFT(RIGHT(E118,LEN(E118)-MIN(SEARCH({1,2,3,4,5,6,7,8,9,0},E118&amp;"1234567890"))+1),10),".","/")),IF((SUBSTITUTE(LEFT(RIGHT(E118,LEN(E118)-MIN(SEARCH({1,2,3,4,5,6,7,8,9,0},E118&amp;"1234567890"))+1),10),".","/"))="","",(AO118)-(MID(RIGHT((SUBSTITUTE(LEFT(RIGHT(E118,LEN(E118)-MIN(SEARCH({1,2,3,4,5,6,7,8,9,0},E118&amp;"1234567890"))+1),10),".","/")),10),4,2)&amp;"/"&amp;LEFT((RIGHT((SUBSTITUTE(LEFT(RIGHT(E118,LEN(E118)-MIN(SEARCH({1,2,3,4,5,6,7,8,9,0},E118&amp;"1234567890"))+1),10),".","/")),10)),2)&amp;"/"&amp;RIGHT((SUBSTITUTE(LEFT(RIGHT(E118,LEN(E118)-MIN(SEARCH({1,2,3,4,5,6,7,8,9,0},E118&amp;"1234567890"))+1),10),".","/")),4))))),(AO118-A118))</f>
        <v>213</v>
      </c>
      <c r="C118" s="199"/>
      <c r="D118" s="201" t="str">
        <f t="shared" si="16"/>
        <v>FGCKW2-304L/2B-1.10X760</v>
      </c>
      <c r="E118" s="201" t="s">
        <v>6546</v>
      </c>
      <c r="F118" s="201" t="s">
        <v>6547</v>
      </c>
      <c r="G118" s="201" t="s">
        <v>6548</v>
      </c>
      <c r="H118" s="201" t="s">
        <v>182</v>
      </c>
      <c r="I118" s="202" t="s">
        <v>114</v>
      </c>
      <c r="J118" s="203">
        <v>3.79</v>
      </c>
      <c r="K118" s="203">
        <v>1.1000000000000001</v>
      </c>
      <c r="L118" s="203">
        <v>1.07</v>
      </c>
      <c r="M118" s="203">
        <v>1.0900000000000001</v>
      </c>
      <c r="N118" s="204">
        <v>765</v>
      </c>
      <c r="O118" s="381">
        <v>0.19</v>
      </c>
      <c r="P118" s="413">
        <v>0.19</v>
      </c>
      <c r="Q118" s="185">
        <v>760</v>
      </c>
      <c r="R118" s="414"/>
      <c r="S118" s="414"/>
      <c r="T118" s="414"/>
      <c r="U118" s="491" t="s">
        <v>390</v>
      </c>
      <c r="V118" s="491" t="s">
        <v>390</v>
      </c>
      <c r="W118" s="185" t="s">
        <v>114</v>
      </c>
      <c r="X118" s="492">
        <v>44737</v>
      </c>
      <c r="Y118" s="492"/>
      <c r="Z118" s="492">
        <v>44738</v>
      </c>
      <c r="AA118" s="492"/>
      <c r="AB118" s="492">
        <v>44738</v>
      </c>
      <c r="AC118" s="492"/>
      <c r="AD118" s="492"/>
      <c r="AE118" s="492"/>
      <c r="AF118" s="492"/>
      <c r="AG118" s="492"/>
      <c r="AH118" s="493" t="s">
        <v>6549</v>
      </c>
      <c r="AI118" s="494" t="s">
        <v>69</v>
      </c>
      <c r="AJ118" s="494" t="s">
        <v>142</v>
      </c>
      <c r="AK118" s="495" t="s">
        <v>990</v>
      </c>
      <c r="AL118" s="495"/>
      <c r="AM118" s="495">
        <v>44727</v>
      </c>
      <c r="AN118" s="495"/>
      <c r="AO118" s="199">
        <f t="shared" ca="1" si="19"/>
        <v>44958</v>
      </c>
      <c r="AP118" s="494">
        <f t="shared" ca="1" si="14"/>
        <v>231</v>
      </c>
      <c r="AQ118" s="494"/>
      <c r="AR118" s="495"/>
      <c r="AS118" s="495" t="s">
        <v>6550</v>
      </c>
      <c r="AT118" s="496">
        <v>10.3</v>
      </c>
      <c r="AU118" s="496">
        <v>10.31</v>
      </c>
      <c r="AV118" s="496">
        <v>10.334999999999999</v>
      </c>
      <c r="AW118" s="496">
        <v>10.34</v>
      </c>
      <c r="AX118" s="489">
        <f t="shared" ca="1" si="18"/>
        <v>220</v>
      </c>
      <c r="BA118" s="489" t="s">
        <v>123</v>
      </c>
      <c r="BB118" s="485">
        <v>44834</v>
      </c>
      <c r="BN118" s="211"/>
    </row>
    <row r="119" spans="1:66" s="489" customFormat="1" ht="18" customHeight="1" x14ac:dyDescent="0.25">
      <c r="A119" s="199">
        <v>44746</v>
      </c>
      <c r="B119" s="204">
        <f ca="1">IF(A119="",(IF(ISNUMBER(SUBSTITUTE(LEFT(RIGHT(E119,LEN(E119)-MIN(SEARCH({1,2,3,4,5,6,7,8,9,0},E119&amp;"1234567890"))+1),10),".","/"))=TRUE,AO119-(SUBSTITUTE(LEFT(RIGHT(E119,LEN(E119)-MIN(SEARCH({1,2,3,4,5,6,7,8,9,0},E119&amp;"1234567890"))+1),10),".","/")),IF((SUBSTITUTE(LEFT(RIGHT(E119,LEN(E119)-MIN(SEARCH({1,2,3,4,5,6,7,8,9,0},E119&amp;"1234567890"))+1),10),".","/"))="","",(AO119)-(MID(RIGHT((SUBSTITUTE(LEFT(RIGHT(E119,LEN(E119)-MIN(SEARCH({1,2,3,4,5,6,7,8,9,0},E119&amp;"1234567890"))+1),10),".","/")),10),4,2)&amp;"/"&amp;LEFT((RIGHT((SUBSTITUTE(LEFT(RIGHT(E119,LEN(E119)-MIN(SEARCH({1,2,3,4,5,6,7,8,9,0},E119&amp;"1234567890"))+1),10),".","/")),10)),2)&amp;"/"&amp;RIGHT((SUBSTITUTE(LEFT(RIGHT(E119,LEN(E119)-MIN(SEARCH({1,2,3,4,5,6,7,8,9,0},E119&amp;"1234567890"))+1),10),".","/")),4))))),(AO119-A119))</f>
        <v>212</v>
      </c>
      <c r="C119" s="199"/>
      <c r="D119" s="201" t="str">
        <f t="shared" si="16"/>
        <v>FGCKW2-304L/2B-1.20X760</v>
      </c>
      <c r="E119" s="201" t="s">
        <v>6551</v>
      </c>
      <c r="F119" s="201" t="s">
        <v>6552</v>
      </c>
      <c r="G119" s="201" t="s">
        <v>6553</v>
      </c>
      <c r="H119" s="201" t="s">
        <v>182</v>
      </c>
      <c r="I119" s="202" t="s">
        <v>114</v>
      </c>
      <c r="J119" s="203">
        <v>3.79</v>
      </c>
      <c r="K119" s="203">
        <v>1.2</v>
      </c>
      <c r="L119" s="203">
        <v>1.18</v>
      </c>
      <c r="M119" s="203">
        <v>1.2</v>
      </c>
      <c r="N119" s="204">
        <v>767</v>
      </c>
      <c r="O119" s="381">
        <v>0.32</v>
      </c>
      <c r="P119" s="413">
        <v>0.32100000000000001</v>
      </c>
      <c r="Q119" s="185">
        <v>760</v>
      </c>
      <c r="R119" s="414"/>
      <c r="S119" s="414"/>
      <c r="T119" s="414"/>
      <c r="U119" s="491" t="s">
        <v>390</v>
      </c>
      <c r="V119" s="491" t="s">
        <v>390</v>
      </c>
      <c r="W119" s="185" t="s">
        <v>114</v>
      </c>
      <c r="X119" s="492">
        <v>44722</v>
      </c>
      <c r="Y119" s="492"/>
      <c r="Z119" s="492">
        <v>44727</v>
      </c>
      <c r="AA119" s="492"/>
      <c r="AB119" s="492">
        <v>44734</v>
      </c>
      <c r="AC119" s="492"/>
      <c r="AD119" s="492"/>
      <c r="AE119" s="492"/>
      <c r="AF119" s="492"/>
      <c r="AG119" s="492"/>
      <c r="AH119" s="493" t="s">
        <v>6525</v>
      </c>
      <c r="AI119" s="494" t="s">
        <v>69</v>
      </c>
      <c r="AJ119" s="494" t="s">
        <v>142</v>
      </c>
      <c r="AK119" s="495" t="s">
        <v>757</v>
      </c>
      <c r="AL119" s="495"/>
      <c r="AM119" s="495">
        <v>44651</v>
      </c>
      <c r="AN119" s="495"/>
      <c r="AO119" s="199">
        <f t="shared" ca="1" si="19"/>
        <v>44958</v>
      </c>
      <c r="AP119" s="494">
        <f t="shared" ca="1" si="14"/>
        <v>307</v>
      </c>
      <c r="AQ119" s="494">
        <f ca="1">IF(ISNUMBER(AB119)=TRUE,AO119-AB119,IF(AB119="","",(AO119)-(MID(RIGHT(AB119,10),4,2)&amp;"/"&amp;LEFT((RIGHT(AB119,10)),2)&amp;"/"&amp;RIGHT(AB119,4))))</f>
        <v>224</v>
      </c>
      <c r="AR119" s="495"/>
      <c r="AS119" s="495" t="s">
        <v>6554</v>
      </c>
      <c r="AT119" s="496">
        <v>12.065</v>
      </c>
      <c r="AU119" s="496">
        <v>12.074999999999999</v>
      </c>
      <c r="AV119" s="496">
        <v>12.099999999999998</v>
      </c>
      <c r="AW119" s="496">
        <v>12.104999999999999</v>
      </c>
      <c r="AX119" s="489">
        <f t="shared" ca="1" si="18"/>
        <v>231</v>
      </c>
      <c r="BA119" s="489" t="s">
        <v>123</v>
      </c>
      <c r="BB119" s="485">
        <v>44834</v>
      </c>
      <c r="BN119" s="211"/>
    </row>
    <row r="120" spans="1:66" s="489" customFormat="1" ht="18" customHeight="1" x14ac:dyDescent="0.25">
      <c r="A120" s="199">
        <v>44746</v>
      </c>
      <c r="B120" s="204">
        <f ca="1">IF(A120="",(IF(ISNUMBER(SUBSTITUTE(LEFT(RIGHT(E120,LEN(E120)-MIN(SEARCH({1,2,3,4,5,6,7,8,9,0},E120&amp;"1234567890"))+1),10),".","/"))=TRUE,AO120-(SUBSTITUTE(LEFT(RIGHT(E120,LEN(E120)-MIN(SEARCH({1,2,3,4,5,6,7,8,9,0},E120&amp;"1234567890"))+1),10),".","/")),IF((SUBSTITUTE(LEFT(RIGHT(E120,LEN(E120)-MIN(SEARCH({1,2,3,4,5,6,7,8,9,0},E120&amp;"1234567890"))+1),10),".","/"))="","",(AO120)-(MID(RIGHT((SUBSTITUTE(LEFT(RIGHT(E120,LEN(E120)-MIN(SEARCH({1,2,3,4,5,6,7,8,9,0},E120&amp;"1234567890"))+1),10),".","/")),10),4,2)&amp;"/"&amp;LEFT((RIGHT((SUBSTITUTE(LEFT(RIGHT(E120,LEN(E120)-MIN(SEARCH({1,2,3,4,5,6,7,8,9,0},E120&amp;"1234567890"))+1),10),".","/")),10)),2)&amp;"/"&amp;RIGHT((SUBSTITUTE(LEFT(RIGHT(E120,LEN(E120)-MIN(SEARCH({1,2,3,4,5,6,7,8,9,0},E120&amp;"1234567890"))+1),10),".","/")),4))))),(AO120-A120))</f>
        <v>212</v>
      </c>
      <c r="C120" s="199"/>
      <c r="D120" s="201" t="str">
        <f t="shared" si="16"/>
        <v>FGCKW2-304L/2B-1.20X760</v>
      </c>
      <c r="E120" s="201" t="s">
        <v>6551</v>
      </c>
      <c r="F120" s="201" t="s">
        <v>6555</v>
      </c>
      <c r="G120" s="201" t="s">
        <v>6556</v>
      </c>
      <c r="H120" s="201" t="s">
        <v>182</v>
      </c>
      <c r="I120" s="202" t="s">
        <v>114</v>
      </c>
      <c r="J120" s="203">
        <v>3.78</v>
      </c>
      <c r="K120" s="203">
        <v>1.2</v>
      </c>
      <c r="L120" s="203">
        <v>1.18</v>
      </c>
      <c r="M120" s="203">
        <v>1.2</v>
      </c>
      <c r="N120" s="204">
        <v>773</v>
      </c>
      <c r="O120" s="381">
        <v>0.37</v>
      </c>
      <c r="P120" s="413">
        <v>0.371</v>
      </c>
      <c r="Q120" s="185">
        <v>760</v>
      </c>
      <c r="R120" s="414"/>
      <c r="S120" s="414"/>
      <c r="T120" s="414"/>
      <c r="U120" s="491" t="s">
        <v>390</v>
      </c>
      <c r="V120" s="491" t="s">
        <v>390</v>
      </c>
      <c r="W120" s="185" t="s">
        <v>114</v>
      </c>
      <c r="X120" s="492">
        <v>44728</v>
      </c>
      <c r="Y120" s="492"/>
      <c r="Z120" s="492">
        <v>44728</v>
      </c>
      <c r="AA120" s="492"/>
      <c r="AB120" s="492">
        <v>44735</v>
      </c>
      <c r="AC120" s="492"/>
      <c r="AD120" s="492"/>
      <c r="AE120" s="492"/>
      <c r="AF120" s="492"/>
      <c r="AG120" s="492"/>
      <c r="AH120" s="493" t="s">
        <v>6525</v>
      </c>
      <c r="AI120" s="494" t="s">
        <v>69</v>
      </c>
      <c r="AJ120" s="494" t="s">
        <v>142</v>
      </c>
      <c r="AK120" s="495" t="s">
        <v>757</v>
      </c>
      <c r="AL120" s="495"/>
      <c r="AM120" s="495">
        <v>44651</v>
      </c>
      <c r="AN120" s="495"/>
      <c r="AO120" s="199">
        <f t="shared" ca="1" si="19"/>
        <v>44958</v>
      </c>
      <c r="AP120" s="494">
        <f t="shared" ca="1" si="14"/>
        <v>307</v>
      </c>
      <c r="AQ120" s="494">
        <f ca="1">IF(ISNUMBER(AB120)=TRUE,AO120-AB120,IF(AB120="","",(AO120)-(MID(RIGHT(AB120,10),4,2)&amp;"/"&amp;LEFT((RIGHT(AB120,10)),2)&amp;"/"&amp;RIGHT(AB120,4))))</f>
        <v>223</v>
      </c>
      <c r="AR120" s="495"/>
      <c r="AS120" s="495" t="s">
        <v>6557</v>
      </c>
      <c r="AT120" s="496">
        <v>10.44</v>
      </c>
      <c r="AU120" s="496">
        <v>10.45</v>
      </c>
      <c r="AV120" s="496">
        <v>10.474999999999998</v>
      </c>
      <c r="AW120" s="496">
        <v>10.479999999999999</v>
      </c>
      <c r="AX120" s="489">
        <f t="shared" ca="1" si="18"/>
        <v>230</v>
      </c>
      <c r="BA120" s="489" t="s">
        <v>123</v>
      </c>
      <c r="BB120" s="485">
        <v>44834</v>
      </c>
      <c r="BN120" s="211"/>
    </row>
    <row r="121" spans="1:66" s="489" customFormat="1" ht="18.75" customHeight="1" x14ac:dyDescent="0.25">
      <c r="A121" s="199">
        <v>44746</v>
      </c>
      <c r="B121" s="204">
        <f ca="1">IF(A121="",(IF(ISNUMBER(SUBSTITUTE(LEFT(RIGHT(E121,LEN(E121)-MIN(SEARCH({1,2,3,4,5,6,7,8,9,0},E121&amp;"1234567890"))+1),10),".","/"))=TRUE,AO121-(SUBSTITUTE(LEFT(RIGHT(E121,LEN(E121)-MIN(SEARCH({1,2,3,4,5,6,7,8,9,0},E121&amp;"1234567890"))+1),10),".","/")),IF((SUBSTITUTE(LEFT(RIGHT(E121,LEN(E121)-MIN(SEARCH({1,2,3,4,5,6,7,8,9,0},E121&amp;"1234567890"))+1),10),".","/"))="","",(AO121)-(MID(RIGHT((SUBSTITUTE(LEFT(RIGHT(E121,LEN(E121)-MIN(SEARCH({1,2,3,4,5,6,7,8,9,0},E121&amp;"1234567890"))+1),10),".","/")),10),4,2)&amp;"/"&amp;LEFT((RIGHT((SUBSTITUTE(LEFT(RIGHT(E121,LEN(E121)-MIN(SEARCH({1,2,3,4,5,6,7,8,9,0},E121&amp;"1234567890"))+1),10),".","/")),10)),2)&amp;"/"&amp;RIGHT((SUBSTITUTE(LEFT(RIGHT(E121,LEN(E121)-MIN(SEARCH({1,2,3,4,5,6,7,8,9,0},E121&amp;"1234567890"))+1),10),".","/")),4))))),(AO121-A121))</f>
        <v>212</v>
      </c>
      <c r="C121" s="199"/>
      <c r="D121" s="201" t="str">
        <f t="shared" si="16"/>
        <v>FGCKW2-304L/2B-2.00X760</v>
      </c>
      <c r="E121" s="201" t="s">
        <v>6558</v>
      </c>
      <c r="F121" s="201" t="s">
        <v>6559</v>
      </c>
      <c r="G121" s="201" t="s">
        <v>6560</v>
      </c>
      <c r="H121" s="201" t="s">
        <v>182</v>
      </c>
      <c r="I121" s="202" t="s">
        <v>114</v>
      </c>
      <c r="J121" s="203">
        <v>3.8</v>
      </c>
      <c r="K121" s="203">
        <v>2</v>
      </c>
      <c r="L121" s="203">
        <v>1.99</v>
      </c>
      <c r="M121" s="203">
        <v>2.0299999999999998</v>
      </c>
      <c r="N121" s="204">
        <v>765</v>
      </c>
      <c r="O121" s="381">
        <v>0.42499999999999999</v>
      </c>
      <c r="P121" s="413">
        <v>0.42599999999999999</v>
      </c>
      <c r="Q121" s="185">
        <v>760</v>
      </c>
      <c r="R121" s="414"/>
      <c r="S121" s="414"/>
      <c r="T121" s="414"/>
      <c r="U121" s="491" t="s">
        <v>390</v>
      </c>
      <c r="V121" s="491" t="s">
        <v>390</v>
      </c>
      <c r="W121" s="185" t="s">
        <v>114</v>
      </c>
      <c r="X121" s="492">
        <v>44745</v>
      </c>
      <c r="Y121" s="492"/>
      <c r="Z121" s="492">
        <v>44745</v>
      </c>
      <c r="AA121" s="492"/>
      <c r="AB121" s="492">
        <v>44745</v>
      </c>
      <c r="AC121" s="492"/>
      <c r="AD121" s="492">
        <v>44746</v>
      </c>
      <c r="AE121" s="492"/>
      <c r="AF121" s="492"/>
      <c r="AG121" s="492"/>
      <c r="AH121" s="493" t="s">
        <v>6561</v>
      </c>
      <c r="AI121" s="494" t="s">
        <v>69</v>
      </c>
      <c r="AJ121" s="494" t="s">
        <v>142</v>
      </c>
      <c r="AK121" s="495" t="s">
        <v>990</v>
      </c>
      <c r="AL121" s="495"/>
      <c r="AM121" s="495">
        <v>44727</v>
      </c>
      <c r="AN121" s="495"/>
      <c r="AO121" s="199">
        <f t="shared" ca="1" si="19"/>
        <v>44958</v>
      </c>
      <c r="AP121" s="494">
        <f t="shared" ca="1" si="14"/>
        <v>231</v>
      </c>
      <c r="AQ121" s="494"/>
      <c r="AR121" s="495"/>
      <c r="AS121" s="495" t="s">
        <v>6562</v>
      </c>
      <c r="AT121" s="496">
        <v>12</v>
      </c>
      <c r="AU121" s="496">
        <v>12.01</v>
      </c>
      <c r="AV121" s="496">
        <v>12.034999999999998</v>
      </c>
      <c r="AW121" s="496">
        <v>12.04</v>
      </c>
      <c r="AX121" s="489">
        <f t="shared" ca="1" si="18"/>
        <v>213</v>
      </c>
      <c r="BA121" s="489" t="s">
        <v>123</v>
      </c>
      <c r="BB121" s="485">
        <v>44834</v>
      </c>
      <c r="BN121" s="211"/>
    </row>
    <row r="122" spans="1:66" s="489" customFormat="1" ht="18.75" customHeight="1" x14ac:dyDescent="0.25">
      <c r="A122" s="199">
        <v>44748</v>
      </c>
      <c r="B122" s="204">
        <f ca="1">IF(A122="",(IF(ISNUMBER(SUBSTITUTE(LEFT(RIGHT(E122,LEN(E122)-MIN(SEARCH({1,2,3,4,5,6,7,8,9,0},E122&amp;"1234567890"))+1),10),".","/"))=TRUE,AO122-(SUBSTITUTE(LEFT(RIGHT(E122,LEN(E122)-MIN(SEARCH({1,2,3,4,5,6,7,8,9,0},E122&amp;"1234567890"))+1),10),".","/")),IF((SUBSTITUTE(LEFT(RIGHT(E122,LEN(E122)-MIN(SEARCH({1,2,3,4,5,6,7,8,9,0},E122&amp;"1234567890"))+1),10),".","/"))="","",(AO122)-(MID(RIGHT((SUBSTITUTE(LEFT(RIGHT(E122,LEN(E122)-MIN(SEARCH({1,2,3,4,5,6,7,8,9,0},E122&amp;"1234567890"))+1),10),".","/")),10),4,2)&amp;"/"&amp;LEFT((RIGHT((SUBSTITUTE(LEFT(RIGHT(E122,LEN(E122)-MIN(SEARCH({1,2,3,4,5,6,7,8,9,0},E122&amp;"1234567890"))+1),10),".","/")),10)),2)&amp;"/"&amp;RIGHT((SUBSTITUTE(LEFT(RIGHT(E122,LEN(E122)-MIN(SEARCH({1,2,3,4,5,6,7,8,9,0},E122&amp;"1234567890"))+1),10),".","/")),4))))),(AO122-A122))</f>
        <v>210</v>
      </c>
      <c r="C122" s="199"/>
      <c r="D122" s="201" t="str">
        <f t="shared" si="16"/>
        <v>FGCKW2-304/2B-0.80X770</v>
      </c>
      <c r="E122" s="201" t="s">
        <v>6563</v>
      </c>
      <c r="F122" s="201" t="s">
        <v>6564</v>
      </c>
      <c r="G122" s="201" t="s">
        <v>6565</v>
      </c>
      <c r="H122" s="201">
        <v>304</v>
      </c>
      <c r="I122" s="202" t="s">
        <v>114</v>
      </c>
      <c r="J122" s="203">
        <v>2.98</v>
      </c>
      <c r="K122" s="203">
        <v>0.8</v>
      </c>
      <c r="L122" s="203">
        <v>0.75</v>
      </c>
      <c r="M122" s="203">
        <v>0.77</v>
      </c>
      <c r="N122" s="204">
        <v>770</v>
      </c>
      <c r="O122" s="381">
        <v>0.255</v>
      </c>
      <c r="P122" s="413">
        <v>0.25600000000000001</v>
      </c>
      <c r="Q122" s="185">
        <v>770</v>
      </c>
      <c r="R122" s="414"/>
      <c r="S122" s="414"/>
      <c r="T122" s="414"/>
      <c r="U122" s="491" t="s">
        <v>390</v>
      </c>
      <c r="V122" s="491" t="s">
        <v>1555</v>
      </c>
      <c r="W122" s="185" t="s">
        <v>6566</v>
      </c>
      <c r="X122" s="492">
        <v>44186</v>
      </c>
      <c r="Y122" s="492"/>
      <c r="Z122" s="492">
        <v>44187</v>
      </c>
      <c r="AA122" s="492"/>
      <c r="AB122" s="492">
        <v>44191</v>
      </c>
      <c r="AC122" s="492"/>
      <c r="AD122" s="492"/>
      <c r="AE122" s="492"/>
      <c r="AF122" s="492"/>
      <c r="AG122" s="492"/>
      <c r="AH122" s="493"/>
      <c r="AI122" s="494" t="s">
        <v>69</v>
      </c>
      <c r="AJ122" s="494" t="s">
        <v>142</v>
      </c>
      <c r="AK122" s="495" t="s">
        <v>5792</v>
      </c>
      <c r="AL122" s="495"/>
      <c r="AM122" s="495">
        <v>44179</v>
      </c>
      <c r="AN122" s="495"/>
      <c r="AO122" s="199">
        <f t="shared" ca="1" si="19"/>
        <v>44958</v>
      </c>
      <c r="AP122" s="494">
        <f t="shared" ca="1" si="14"/>
        <v>779</v>
      </c>
      <c r="AQ122" s="494">
        <f ca="1">IF(ISNUMBER(AB122)=TRUE,AO122-AB122,IF(AB122="","",(AO122)-(MID(RIGHT(AB122,10),4,2)&amp;"/"&amp;LEFT((RIGHT(AB122,10)),2)&amp;"/"&amp;RIGHT(AB122,4))))</f>
        <v>767</v>
      </c>
      <c r="AR122" s="495"/>
      <c r="AS122" s="495" t="s">
        <v>6567</v>
      </c>
      <c r="AT122" s="496">
        <v>10.55</v>
      </c>
      <c r="AU122" s="496">
        <v>10.56</v>
      </c>
      <c r="AV122" s="496">
        <v>10.584999999999999</v>
      </c>
      <c r="AW122" s="496">
        <v>10.59</v>
      </c>
      <c r="AX122" s="489">
        <f t="shared" ca="1" si="18"/>
        <v>771</v>
      </c>
      <c r="BA122" s="489" t="s">
        <v>123</v>
      </c>
      <c r="BB122" s="485">
        <v>44834</v>
      </c>
      <c r="BN122" s="211"/>
    </row>
    <row r="123" spans="1:66" s="489" customFormat="1" ht="18.75" customHeight="1" x14ac:dyDescent="0.25">
      <c r="A123" s="199">
        <v>44749</v>
      </c>
      <c r="B123" s="204">
        <f ca="1">IF(A123="",(IF(ISNUMBER(SUBSTITUTE(LEFT(RIGHT(E123,LEN(E123)-MIN(SEARCH({1,2,3,4,5,6,7,8,9,0},E123&amp;"1234567890"))+1),10),".","/"))=TRUE,AO123-(SUBSTITUTE(LEFT(RIGHT(E123,LEN(E123)-MIN(SEARCH({1,2,3,4,5,6,7,8,9,0},E123&amp;"1234567890"))+1),10),".","/")),IF((SUBSTITUTE(LEFT(RIGHT(E123,LEN(E123)-MIN(SEARCH({1,2,3,4,5,6,7,8,9,0},E123&amp;"1234567890"))+1),10),".","/"))="","",(AO123)-(MID(RIGHT((SUBSTITUTE(LEFT(RIGHT(E123,LEN(E123)-MIN(SEARCH({1,2,3,4,5,6,7,8,9,0},E123&amp;"1234567890"))+1),10),".","/")),10),4,2)&amp;"/"&amp;LEFT((RIGHT((SUBSTITUTE(LEFT(RIGHT(E123,LEN(E123)-MIN(SEARCH({1,2,3,4,5,6,7,8,9,0},E123&amp;"1234567890"))+1),10),".","/")),10)),2)&amp;"/"&amp;RIGHT((SUBSTITUTE(LEFT(RIGHT(E123,LEN(E123)-MIN(SEARCH({1,2,3,4,5,6,7,8,9,0},E123&amp;"1234567890"))+1),10),".","/")),4))))),(AO123-A123))</f>
        <v>209</v>
      </c>
      <c r="C123" s="199"/>
      <c r="D123" s="201" t="str">
        <f t="shared" si="16"/>
        <v>FGCKW2-304/2B-0.70X770</v>
      </c>
      <c r="E123" s="201" t="s">
        <v>6568</v>
      </c>
      <c r="F123" s="201" t="s">
        <v>6569</v>
      </c>
      <c r="G123" s="201" t="s">
        <v>6570</v>
      </c>
      <c r="H123" s="201">
        <v>304</v>
      </c>
      <c r="I123" s="202" t="s">
        <v>114</v>
      </c>
      <c r="J123" s="203">
        <v>1.5</v>
      </c>
      <c r="K123" s="203">
        <v>0.7</v>
      </c>
      <c r="L123" s="203">
        <v>0.7</v>
      </c>
      <c r="M123" s="203">
        <v>0.72</v>
      </c>
      <c r="N123" s="204">
        <v>770</v>
      </c>
      <c r="O123" s="381">
        <v>0.39</v>
      </c>
      <c r="P123" s="413">
        <v>0.39100000000000001</v>
      </c>
      <c r="Q123" s="185">
        <v>770</v>
      </c>
      <c r="R123" s="414"/>
      <c r="S123" s="414"/>
      <c r="T123" s="414"/>
      <c r="U123" s="491" t="s">
        <v>390</v>
      </c>
      <c r="V123" s="491" t="s">
        <v>4190</v>
      </c>
      <c r="W123" s="185" t="s">
        <v>6571</v>
      </c>
      <c r="X123" s="492" t="s">
        <v>6572</v>
      </c>
      <c r="Y123" s="492"/>
      <c r="Z123" s="492" t="s">
        <v>6573</v>
      </c>
      <c r="AA123" s="492"/>
      <c r="AB123" s="492" t="s">
        <v>6574</v>
      </c>
      <c r="AC123" s="492"/>
      <c r="AD123" s="492" t="s">
        <v>6575</v>
      </c>
      <c r="AE123" s="492"/>
      <c r="AF123" s="492"/>
      <c r="AG123" s="492"/>
      <c r="AH123" s="493" t="s">
        <v>6576</v>
      </c>
      <c r="AI123" s="494" t="s">
        <v>69</v>
      </c>
      <c r="AJ123" s="494" t="s">
        <v>190</v>
      </c>
      <c r="AK123" s="495" t="s">
        <v>6577</v>
      </c>
      <c r="AL123" s="495"/>
      <c r="AM123" s="495">
        <v>43747</v>
      </c>
      <c r="AN123" s="495"/>
      <c r="AO123" s="199">
        <f t="shared" ca="1" si="19"/>
        <v>44958</v>
      </c>
      <c r="AP123" s="494">
        <f t="shared" ca="1" si="14"/>
        <v>1211</v>
      </c>
      <c r="AQ123" s="494"/>
      <c r="AR123" s="495"/>
      <c r="AS123" s="495" t="s">
        <v>6578</v>
      </c>
      <c r="AT123" s="496">
        <v>11.824999999999999</v>
      </c>
      <c r="AU123" s="496">
        <v>11.835000000000001</v>
      </c>
      <c r="AV123" s="496">
        <v>11.864999999999998</v>
      </c>
      <c r="AW123" s="496">
        <v>11.87</v>
      </c>
      <c r="AX123" s="489">
        <f t="shared" ca="1" si="18"/>
        <v>1167</v>
      </c>
      <c r="BB123" s="485">
        <v>44834</v>
      </c>
      <c r="BC123" s="489" t="s">
        <v>123</v>
      </c>
      <c r="BN123" s="211"/>
    </row>
    <row r="124" spans="1:66" s="489" customFormat="1" ht="18.75" customHeight="1" x14ac:dyDescent="0.25">
      <c r="A124" s="199">
        <v>44758</v>
      </c>
      <c r="B124" s="204">
        <f ca="1">IF(A124="",(IF(ISNUMBER(SUBSTITUTE(LEFT(RIGHT(E124,LEN(E124)-MIN(SEARCH({1,2,3,4,5,6,7,8,9,0},E124&amp;"1234567890"))+1),10),".","/"))=TRUE,AO124-(SUBSTITUTE(LEFT(RIGHT(E124,LEN(E124)-MIN(SEARCH({1,2,3,4,5,6,7,8,9,0},E124&amp;"1234567890"))+1),10),".","/")),IF((SUBSTITUTE(LEFT(RIGHT(E124,LEN(E124)-MIN(SEARCH({1,2,3,4,5,6,7,8,9,0},E124&amp;"1234567890"))+1),10),".","/"))="","",(AO124)-(MID(RIGHT((SUBSTITUTE(LEFT(RIGHT(E124,LEN(E124)-MIN(SEARCH({1,2,3,4,5,6,7,8,9,0},E124&amp;"1234567890"))+1),10),".","/")),10),4,2)&amp;"/"&amp;LEFT((RIGHT((SUBSTITUTE(LEFT(RIGHT(E124,LEN(E124)-MIN(SEARCH({1,2,3,4,5,6,7,8,9,0},E124&amp;"1234567890"))+1),10),".","/")),10)),2)&amp;"/"&amp;RIGHT((SUBSTITUTE(LEFT(RIGHT(E124,LEN(E124)-MIN(SEARCH({1,2,3,4,5,6,7,8,9,0},E124&amp;"1234567890"))+1),10),".","/")),4))))),(AO124-A124))</f>
        <v>200</v>
      </c>
      <c r="C124" s="199"/>
      <c r="D124" s="201" t="str">
        <f t="shared" si="16"/>
        <v>FGCKW2-304/2B-1.15X760</v>
      </c>
      <c r="E124" s="201" t="s">
        <v>6579</v>
      </c>
      <c r="F124" s="201" t="s">
        <v>6580</v>
      </c>
      <c r="G124" s="201" t="s">
        <v>6581</v>
      </c>
      <c r="H124" s="201">
        <v>304</v>
      </c>
      <c r="I124" s="202" t="s">
        <v>114</v>
      </c>
      <c r="J124" s="203">
        <v>3.77</v>
      </c>
      <c r="K124" s="203">
        <v>1.1499999999999999</v>
      </c>
      <c r="L124" s="203">
        <v>1.1299999999999999</v>
      </c>
      <c r="M124" s="203">
        <v>1.1399999999999999</v>
      </c>
      <c r="N124" s="204">
        <v>768</v>
      </c>
      <c r="O124" s="381">
        <v>0.49</v>
      </c>
      <c r="P124" s="413">
        <v>0.49099999999999999</v>
      </c>
      <c r="Q124" s="185">
        <v>760</v>
      </c>
      <c r="R124" s="414"/>
      <c r="S124" s="414"/>
      <c r="T124" s="371"/>
      <c r="U124" s="491" t="s">
        <v>390</v>
      </c>
      <c r="V124" s="491" t="s">
        <v>6582</v>
      </c>
      <c r="W124" s="185" t="s">
        <v>114</v>
      </c>
      <c r="X124" s="492">
        <v>44719</v>
      </c>
      <c r="Y124" s="492"/>
      <c r="Z124" s="492">
        <v>44719</v>
      </c>
      <c r="AA124" s="492"/>
      <c r="AB124" s="492">
        <v>44751</v>
      </c>
      <c r="AC124" s="492"/>
      <c r="AD124" s="492"/>
      <c r="AE124" s="492"/>
      <c r="AF124" s="492"/>
      <c r="AG124" s="492"/>
      <c r="AH124" s="493" t="s">
        <v>6518</v>
      </c>
      <c r="AI124" s="494" t="s">
        <v>69</v>
      </c>
      <c r="AJ124" s="494" t="s">
        <v>142</v>
      </c>
      <c r="AK124" s="495" t="s">
        <v>757</v>
      </c>
      <c r="AL124" s="495"/>
      <c r="AM124" s="495">
        <v>44651</v>
      </c>
      <c r="AN124" s="495"/>
      <c r="AO124" s="199">
        <f t="shared" ca="1" si="19"/>
        <v>44958</v>
      </c>
      <c r="AP124" s="494">
        <f t="shared" ca="1" si="14"/>
        <v>307</v>
      </c>
      <c r="AQ124" s="494">
        <f t="shared" ref="AQ124:AQ138" ca="1" si="20">IF(ISNUMBER(AB124)=TRUE,AO124-AB124,IF(AB124="","",(AO124)-(MID(RIGHT(AB124,10),4,2)&amp;"/"&amp;LEFT((RIGHT(AB124,10)),2)&amp;"/"&amp;RIGHT(AB124,4))))</f>
        <v>207</v>
      </c>
      <c r="AR124" s="495"/>
      <c r="AS124" s="495" t="s">
        <v>6583</v>
      </c>
      <c r="AT124" s="496">
        <v>10.465</v>
      </c>
      <c r="AU124" s="496">
        <v>10.475</v>
      </c>
      <c r="AV124" s="496">
        <v>10.499999999999998</v>
      </c>
      <c r="AW124" s="496">
        <v>10.504999999999999</v>
      </c>
      <c r="AX124" s="489">
        <f t="shared" ca="1" si="18"/>
        <v>239</v>
      </c>
      <c r="BA124" s="489" t="s">
        <v>123</v>
      </c>
      <c r="BB124" s="485">
        <v>44834</v>
      </c>
      <c r="BN124" s="211"/>
    </row>
    <row r="125" spans="1:66" s="489" customFormat="1" ht="18.75" customHeight="1" x14ac:dyDescent="0.25">
      <c r="A125" s="199">
        <v>44755</v>
      </c>
      <c r="B125" s="204">
        <f ca="1">IF(A125="",(IF(ISNUMBER(SUBSTITUTE(LEFT(RIGHT(E125,LEN(E125)-MIN(SEARCH({1,2,3,4,5,6,7,8,9,0},E125&amp;"1234567890"))+1),10),".","/"))=TRUE,AO125-(SUBSTITUTE(LEFT(RIGHT(E125,LEN(E125)-MIN(SEARCH({1,2,3,4,5,6,7,8,9,0},E125&amp;"1234567890"))+1),10),".","/")),IF((SUBSTITUTE(LEFT(RIGHT(E125,LEN(E125)-MIN(SEARCH({1,2,3,4,5,6,7,8,9,0},E125&amp;"1234567890"))+1),10),".","/"))="","",(AO125)-(MID(RIGHT((SUBSTITUTE(LEFT(RIGHT(E125,LEN(E125)-MIN(SEARCH({1,2,3,4,5,6,7,8,9,0},E125&amp;"1234567890"))+1),10),".","/")),10),4,2)&amp;"/"&amp;LEFT((RIGHT((SUBSTITUTE(LEFT(RIGHT(E125,LEN(E125)-MIN(SEARCH({1,2,3,4,5,6,7,8,9,0},E125&amp;"1234567890"))+1),10),".","/")),10)),2)&amp;"/"&amp;RIGHT((SUBSTITUTE(LEFT(RIGHT(E125,LEN(E125)-MIN(SEARCH({1,2,3,4,5,6,7,8,9,0},E125&amp;"1234567890"))+1),10),".","/")),4))))),(AO125-A125))</f>
        <v>203</v>
      </c>
      <c r="C125" s="199"/>
      <c r="D125" s="201" t="str">
        <f t="shared" si="16"/>
        <v>FGCKW2-304/2B-1.45X760</v>
      </c>
      <c r="E125" s="201" t="s">
        <v>6584</v>
      </c>
      <c r="F125" s="201" t="s">
        <v>6585</v>
      </c>
      <c r="G125" s="201" t="s">
        <v>6586</v>
      </c>
      <c r="H125" s="201">
        <v>304</v>
      </c>
      <c r="I125" s="202" t="s">
        <v>114</v>
      </c>
      <c r="J125" s="203">
        <v>3.8</v>
      </c>
      <c r="K125" s="203">
        <v>1.45</v>
      </c>
      <c r="L125" s="203">
        <v>1.43</v>
      </c>
      <c r="M125" s="203">
        <v>1.46</v>
      </c>
      <c r="N125" s="204">
        <v>769</v>
      </c>
      <c r="O125" s="381">
        <v>0.32500000000000001</v>
      </c>
      <c r="P125" s="413">
        <v>0.32600000000000001</v>
      </c>
      <c r="Q125" s="185">
        <v>760</v>
      </c>
      <c r="R125" s="414"/>
      <c r="S125" s="414"/>
      <c r="T125" s="371"/>
      <c r="U125" s="491" t="s">
        <v>390</v>
      </c>
      <c r="V125" s="491"/>
      <c r="W125" s="185" t="s">
        <v>114</v>
      </c>
      <c r="X125" s="492">
        <v>44748</v>
      </c>
      <c r="Y125" s="492"/>
      <c r="Z125" s="492">
        <v>44749</v>
      </c>
      <c r="AA125" s="492"/>
      <c r="AB125" s="492">
        <v>44753</v>
      </c>
      <c r="AC125" s="492"/>
      <c r="AD125" s="492">
        <v>44754</v>
      </c>
      <c r="AE125" s="492"/>
      <c r="AF125" s="492"/>
      <c r="AG125" s="492"/>
      <c r="AH125" s="493" t="s">
        <v>6518</v>
      </c>
      <c r="AI125" s="494" t="s">
        <v>69</v>
      </c>
      <c r="AJ125" s="494" t="s">
        <v>142</v>
      </c>
      <c r="AK125" s="495" t="s">
        <v>757</v>
      </c>
      <c r="AL125" s="495"/>
      <c r="AM125" s="495">
        <v>44651</v>
      </c>
      <c r="AN125" s="495"/>
      <c r="AO125" s="199">
        <f t="shared" ca="1" si="19"/>
        <v>44958</v>
      </c>
      <c r="AP125" s="494">
        <f t="shared" ca="1" si="14"/>
        <v>307</v>
      </c>
      <c r="AQ125" s="494">
        <f t="shared" ca="1" si="20"/>
        <v>205</v>
      </c>
      <c r="AR125" s="495"/>
      <c r="AS125" s="495" t="s">
        <v>6587</v>
      </c>
      <c r="AT125" s="496">
        <v>10.435</v>
      </c>
      <c r="AU125" s="496">
        <v>10.445</v>
      </c>
      <c r="AV125" s="496">
        <v>10.469999999999999</v>
      </c>
      <c r="AW125" s="496">
        <v>10.475</v>
      </c>
      <c r="AX125" s="489">
        <f t="shared" ca="1" si="18"/>
        <v>209</v>
      </c>
      <c r="BA125" s="489" t="s">
        <v>123</v>
      </c>
      <c r="BB125" s="485">
        <v>44834</v>
      </c>
      <c r="BN125" s="211"/>
    </row>
    <row r="126" spans="1:66" s="489" customFormat="1" ht="18" customHeight="1" x14ac:dyDescent="0.25">
      <c r="A126" s="199">
        <v>44756</v>
      </c>
      <c r="B126" s="204">
        <f ca="1">IF(A126="",(IF(ISNUMBER(SUBSTITUTE(LEFT(RIGHT(E126,LEN(E126)-MIN(SEARCH({1,2,3,4,5,6,7,8,9,0},E126&amp;"1234567890"))+1),10),".","/"))=TRUE,AO126-(SUBSTITUTE(LEFT(RIGHT(E126,LEN(E126)-MIN(SEARCH({1,2,3,4,5,6,7,8,9,0},E126&amp;"1234567890"))+1),10),".","/")),IF((SUBSTITUTE(LEFT(RIGHT(E126,LEN(E126)-MIN(SEARCH({1,2,3,4,5,6,7,8,9,0},E126&amp;"1234567890"))+1),10),".","/"))="","",(AO126)-(MID(RIGHT((SUBSTITUTE(LEFT(RIGHT(E126,LEN(E126)-MIN(SEARCH({1,2,3,4,5,6,7,8,9,0},E126&amp;"1234567890"))+1),10),".","/")),10),4,2)&amp;"/"&amp;LEFT((RIGHT((SUBSTITUTE(LEFT(RIGHT(E126,LEN(E126)-MIN(SEARCH({1,2,3,4,5,6,7,8,9,0},E126&amp;"1234567890"))+1),10),".","/")),10)),2)&amp;"/"&amp;RIGHT((SUBSTITUTE(LEFT(RIGHT(E126,LEN(E126)-MIN(SEARCH({1,2,3,4,5,6,7,8,9,0},E126&amp;"1234567890"))+1),10),".","/")),4))))),(AO126-A126))</f>
        <v>202</v>
      </c>
      <c r="C126" s="199"/>
      <c r="D126" s="201" t="str">
        <f t="shared" si="16"/>
        <v>FGCKW2-304/2B-1.15X760</v>
      </c>
      <c r="E126" s="201" t="s">
        <v>6588</v>
      </c>
      <c r="F126" s="201" t="s">
        <v>6589</v>
      </c>
      <c r="G126" s="201" t="s">
        <v>6590</v>
      </c>
      <c r="H126" s="201">
        <v>304</v>
      </c>
      <c r="I126" s="202" t="s">
        <v>114</v>
      </c>
      <c r="J126" s="203">
        <v>3.47</v>
      </c>
      <c r="K126" s="203">
        <v>1.1499999999999999</v>
      </c>
      <c r="L126" s="203">
        <v>1.1200000000000001</v>
      </c>
      <c r="M126" s="203">
        <v>1.1399999999999999</v>
      </c>
      <c r="N126" s="204">
        <v>769</v>
      </c>
      <c r="O126" s="381">
        <v>0.39</v>
      </c>
      <c r="P126" s="413">
        <v>0.39100000000000001</v>
      </c>
      <c r="Q126" s="185">
        <v>760</v>
      </c>
      <c r="R126" s="414"/>
      <c r="S126" s="414"/>
      <c r="T126" s="371"/>
      <c r="U126" s="491" t="s">
        <v>390</v>
      </c>
      <c r="V126" s="491" t="s">
        <v>1210</v>
      </c>
      <c r="W126" s="185" t="s">
        <v>114</v>
      </c>
      <c r="X126" s="492">
        <v>44749</v>
      </c>
      <c r="Y126" s="492"/>
      <c r="Z126" s="492">
        <v>44750</v>
      </c>
      <c r="AA126" s="492"/>
      <c r="AB126" s="492">
        <v>44754</v>
      </c>
      <c r="AC126" s="492"/>
      <c r="AD126" s="492">
        <v>44755</v>
      </c>
      <c r="AE126" s="492"/>
      <c r="AF126" s="492"/>
      <c r="AG126" s="492"/>
      <c r="AH126" s="493" t="s">
        <v>6561</v>
      </c>
      <c r="AI126" s="494" t="s">
        <v>69</v>
      </c>
      <c r="AJ126" s="494" t="s">
        <v>142</v>
      </c>
      <c r="AK126" s="495" t="s">
        <v>757</v>
      </c>
      <c r="AL126" s="495"/>
      <c r="AM126" s="495">
        <v>44651</v>
      </c>
      <c r="AN126" s="495"/>
      <c r="AO126" s="199">
        <f t="shared" ca="1" si="19"/>
        <v>44958</v>
      </c>
      <c r="AP126" s="494">
        <f t="shared" ca="1" si="14"/>
        <v>307</v>
      </c>
      <c r="AQ126" s="494">
        <f t="shared" ca="1" si="20"/>
        <v>204</v>
      </c>
      <c r="AR126" s="495"/>
      <c r="AS126" s="495" t="s">
        <v>6591</v>
      </c>
      <c r="AT126" s="496">
        <v>10.42</v>
      </c>
      <c r="AU126" s="496">
        <v>10.43</v>
      </c>
      <c r="AV126" s="496">
        <v>10.454999999999998</v>
      </c>
      <c r="AW126" s="496">
        <v>10.459999999999999</v>
      </c>
      <c r="AX126" s="489">
        <f t="shared" ca="1" si="18"/>
        <v>208</v>
      </c>
      <c r="BA126" s="489" t="s">
        <v>123</v>
      </c>
      <c r="BB126" s="485">
        <v>44834</v>
      </c>
      <c r="BN126" s="211"/>
    </row>
    <row r="127" spans="1:66" s="489" customFormat="1" ht="18.75" customHeight="1" x14ac:dyDescent="0.25">
      <c r="A127" s="199">
        <v>44761</v>
      </c>
      <c r="B127" s="204">
        <f ca="1">IF(A127="",(IF(ISNUMBER(SUBSTITUTE(LEFT(RIGHT(E127,LEN(E127)-MIN(SEARCH({1,2,3,4,5,6,7,8,9,0},E127&amp;"1234567890"))+1),10),".","/"))=TRUE,AO127-(SUBSTITUTE(LEFT(RIGHT(E127,LEN(E127)-MIN(SEARCH({1,2,3,4,5,6,7,8,9,0},E127&amp;"1234567890"))+1),10),".","/")),IF((SUBSTITUTE(LEFT(RIGHT(E127,LEN(E127)-MIN(SEARCH({1,2,3,4,5,6,7,8,9,0},E127&amp;"1234567890"))+1),10),".","/"))="","",(AO127)-(MID(RIGHT((SUBSTITUTE(LEFT(RIGHT(E127,LEN(E127)-MIN(SEARCH({1,2,3,4,5,6,7,8,9,0},E127&amp;"1234567890"))+1),10),".","/")),10),4,2)&amp;"/"&amp;LEFT((RIGHT((SUBSTITUTE(LEFT(RIGHT(E127,LEN(E127)-MIN(SEARCH({1,2,3,4,5,6,7,8,9,0},E127&amp;"1234567890"))+1),10),".","/")),10)),2)&amp;"/"&amp;RIGHT((SUBSTITUTE(LEFT(RIGHT(E127,LEN(E127)-MIN(SEARCH({1,2,3,4,5,6,7,8,9,0},E127&amp;"1234567890"))+1),10),".","/")),4))))),(AO127-A127))</f>
        <v>197</v>
      </c>
      <c r="C127" s="199"/>
      <c r="D127" s="201" t="str">
        <f t="shared" si="16"/>
        <v>FGCKW2-304L/2B-1.20X760</v>
      </c>
      <c r="E127" s="201" t="s">
        <v>6592</v>
      </c>
      <c r="F127" s="201" t="s">
        <v>6593</v>
      </c>
      <c r="G127" s="201" t="s">
        <v>6594</v>
      </c>
      <c r="H127" s="201" t="s">
        <v>182</v>
      </c>
      <c r="I127" s="202" t="s">
        <v>114</v>
      </c>
      <c r="J127" s="203">
        <v>3.18</v>
      </c>
      <c r="K127" s="203">
        <v>1.2</v>
      </c>
      <c r="L127" s="203">
        <v>1.17</v>
      </c>
      <c r="M127" s="203">
        <v>1.19</v>
      </c>
      <c r="N127" s="204">
        <v>765</v>
      </c>
      <c r="O127" s="381">
        <v>0.32500000000000001</v>
      </c>
      <c r="P127" s="413">
        <v>0.32600000000000001</v>
      </c>
      <c r="Q127" s="185">
        <v>760</v>
      </c>
      <c r="R127" s="414"/>
      <c r="S127" s="414"/>
      <c r="T127" s="371"/>
      <c r="U127" s="491" t="s">
        <v>390</v>
      </c>
      <c r="V127" s="491"/>
      <c r="W127" s="185" t="s">
        <v>114</v>
      </c>
      <c r="X127" s="492">
        <v>44759</v>
      </c>
      <c r="Y127" s="492"/>
      <c r="Z127" s="492">
        <v>44759</v>
      </c>
      <c r="AA127" s="492"/>
      <c r="AB127" s="492">
        <v>44759</v>
      </c>
      <c r="AC127" s="492"/>
      <c r="AD127" s="492">
        <v>44760</v>
      </c>
      <c r="AE127" s="492"/>
      <c r="AF127" s="492"/>
      <c r="AG127" s="492"/>
      <c r="AH127" s="493" t="s">
        <v>6595</v>
      </c>
      <c r="AI127" s="494" t="s">
        <v>69</v>
      </c>
      <c r="AJ127" s="494" t="s">
        <v>142</v>
      </c>
      <c r="AK127" s="495" t="s">
        <v>990</v>
      </c>
      <c r="AL127" s="495"/>
      <c r="AM127" s="495">
        <v>44727</v>
      </c>
      <c r="AN127" s="495"/>
      <c r="AO127" s="199">
        <f t="shared" ca="1" si="19"/>
        <v>44958</v>
      </c>
      <c r="AP127" s="494">
        <f t="shared" ca="1" si="14"/>
        <v>231</v>
      </c>
      <c r="AQ127" s="494">
        <f t="shared" ca="1" si="20"/>
        <v>199</v>
      </c>
      <c r="AR127" s="495"/>
      <c r="AS127" s="495" t="s">
        <v>6596</v>
      </c>
      <c r="AT127" s="496">
        <v>12.12</v>
      </c>
      <c r="AU127" s="496">
        <v>12.129999999999999</v>
      </c>
      <c r="AV127" s="496">
        <v>12.154999999999998</v>
      </c>
      <c r="AW127" s="496">
        <v>12.159999999999998</v>
      </c>
      <c r="AX127" s="489">
        <f t="shared" ca="1" si="18"/>
        <v>199</v>
      </c>
      <c r="BA127" s="489" t="s">
        <v>123</v>
      </c>
      <c r="BB127" s="485">
        <v>44834</v>
      </c>
      <c r="BK127" s="489">
        <v>3.2</v>
      </c>
      <c r="BN127" s="211"/>
    </row>
    <row r="128" spans="1:66" s="489" customFormat="1" ht="18.75" customHeight="1" x14ac:dyDescent="0.25">
      <c r="A128" s="199">
        <v>44762</v>
      </c>
      <c r="B128" s="204">
        <f ca="1">IF(A128="",(IF(ISNUMBER(SUBSTITUTE(LEFT(RIGHT(E128,LEN(E128)-MIN(SEARCH({1,2,3,4,5,6,7,8,9,0},E128&amp;"1234567890"))+1),10),".","/"))=TRUE,AO128-(SUBSTITUTE(LEFT(RIGHT(E128,LEN(E128)-MIN(SEARCH({1,2,3,4,5,6,7,8,9,0},E128&amp;"1234567890"))+1),10),".","/")),IF((SUBSTITUTE(LEFT(RIGHT(E128,LEN(E128)-MIN(SEARCH({1,2,3,4,5,6,7,8,9,0},E128&amp;"1234567890"))+1),10),".","/"))="","",(AO128)-(MID(RIGHT((SUBSTITUTE(LEFT(RIGHT(E128,LEN(E128)-MIN(SEARCH({1,2,3,4,5,6,7,8,9,0},E128&amp;"1234567890"))+1),10),".","/")),10),4,2)&amp;"/"&amp;LEFT((RIGHT((SUBSTITUTE(LEFT(RIGHT(E128,LEN(E128)-MIN(SEARCH({1,2,3,4,5,6,7,8,9,0},E128&amp;"1234567890"))+1),10),".","/")),10)),2)&amp;"/"&amp;RIGHT((SUBSTITUTE(LEFT(RIGHT(E128,LEN(E128)-MIN(SEARCH({1,2,3,4,5,6,7,8,9,0},E128&amp;"1234567890"))+1),10),".","/")),4))))),(AO128-A128))</f>
        <v>196</v>
      </c>
      <c r="C128" s="199"/>
      <c r="D128" s="201" t="str">
        <f t="shared" si="16"/>
        <v>FGCKW2-304L/2B-1.00X760</v>
      </c>
      <c r="E128" s="201" t="s">
        <v>6597</v>
      </c>
      <c r="F128" s="201" t="s">
        <v>6598</v>
      </c>
      <c r="G128" s="201" t="s">
        <v>6599</v>
      </c>
      <c r="H128" s="201" t="s">
        <v>182</v>
      </c>
      <c r="I128" s="202" t="s">
        <v>114</v>
      </c>
      <c r="J128" s="203">
        <v>2.95</v>
      </c>
      <c r="K128" s="203">
        <v>1</v>
      </c>
      <c r="L128" s="203">
        <v>0.98</v>
      </c>
      <c r="M128" s="203">
        <v>1</v>
      </c>
      <c r="N128" s="204">
        <v>770</v>
      </c>
      <c r="O128" s="381">
        <v>0.35</v>
      </c>
      <c r="P128" s="413">
        <v>0.35099999999999998</v>
      </c>
      <c r="Q128" s="185">
        <v>760</v>
      </c>
      <c r="R128" s="414"/>
      <c r="S128" s="414"/>
      <c r="T128" s="371"/>
      <c r="U128" s="491" t="s">
        <v>390</v>
      </c>
      <c r="V128" s="491"/>
      <c r="W128" s="185" t="s">
        <v>114</v>
      </c>
      <c r="X128" s="492">
        <v>44761</v>
      </c>
      <c r="Y128" s="492"/>
      <c r="Z128" s="492">
        <v>44761</v>
      </c>
      <c r="AA128" s="492"/>
      <c r="AB128" s="492">
        <v>44761</v>
      </c>
      <c r="AC128" s="492"/>
      <c r="AD128" s="492"/>
      <c r="AE128" s="492"/>
      <c r="AF128" s="492"/>
      <c r="AG128" s="492"/>
      <c r="AH128" s="493" t="s">
        <v>6600</v>
      </c>
      <c r="AI128" s="494" t="s">
        <v>69</v>
      </c>
      <c r="AJ128" s="494" t="s">
        <v>142</v>
      </c>
      <c r="AK128" s="495" t="s">
        <v>990</v>
      </c>
      <c r="AL128" s="495"/>
      <c r="AM128" s="495">
        <v>44727</v>
      </c>
      <c r="AN128" s="495"/>
      <c r="AO128" s="199">
        <f t="shared" ca="1" si="19"/>
        <v>44958</v>
      </c>
      <c r="AP128" s="494">
        <f t="shared" ca="1" si="14"/>
        <v>231</v>
      </c>
      <c r="AQ128" s="494">
        <f t="shared" ca="1" si="20"/>
        <v>197</v>
      </c>
      <c r="AR128" s="495"/>
      <c r="AS128" s="495" t="s">
        <v>6601</v>
      </c>
      <c r="AT128" s="496">
        <v>12.29</v>
      </c>
      <c r="AU128" s="496">
        <v>12.299999999999999</v>
      </c>
      <c r="AV128" s="496">
        <v>12.324999999999998</v>
      </c>
      <c r="AW128" s="496">
        <v>12.329999999999998</v>
      </c>
      <c r="AX128" s="489">
        <f t="shared" ca="1" si="18"/>
        <v>197</v>
      </c>
      <c r="BA128" s="489" t="s">
        <v>123</v>
      </c>
      <c r="BB128" s="485">
        <v>44834</v>
      </c>
      <c r="BK128" s="489">
        <v>3</v>
      </c>
      <c r="BN128" s="211"/>
    </row>
    <row r="129" spans="1:66" s="489" customFormat="1" ht="18.75" customHeight="1" x14ac:dyDescent="0.25">
      <c r="A129" s="199">
        <v>44764</v>
      </c>
      <c r="B129" s="204">
        <f ca="1">IF(A129="",(IF(ISNUMBER(SUBSTITUTE(LEFT(RIGHT(E129,LEN(E129)-MIN(SEARCH({1,2,3,4,5,6,7,8,9,0},E129&amp;"1234567890"))+1),10),".","/"))=TRUE,AO129-(SUBSTITUTE(LEFT(RIGHT(E129,LEN(E129)-MIN(SEARCH({1,2,3,4,5,6,7,8,9,0},E129&amp;"1234567890"))+1),10),".","/")),IF((SUBSTITUTE(LEFT(RIGHT(E129,LEN(E129)-MIN(SEARCH({1,2,3,4,5,6,7,8,9,0},E129&amp;"1234567890"))+1),10),".","/"))="","",(AO129)-(MID(RIGHT((SUBSTITUTE(LEFT(RIGHT(E129,LEN(E129)-MIN(SEARCH({1,2,3,4,5,6,7,8,9,0},E129&amp;"1234567890"))+1),10),".","/")),10),4,2)&amp;"/"&amp;LEFT((RIGHT((SUBSTITUTE(LEFT(RIGHT(E129,LEN(E129)-MIN(SEARCH({1,2,3,4,5,6,7,8,9,0},E129&amp;"1234567890"))+1),10),".","/")),10)),2)&amp;"/"&amp;RIGHT((SUBSTITUTE(LEFT(RIGHT(E129,LEN(E129)-MIN(SEARCH({1,2,3,4,5,6,7,8,9,0},E129&amp;"1234567890"))+1),10),".","/")),4))))),(AO129-A129))</f>
        <v>194</v>
      </c>
      <c r="C129" s="199"/>
      <c r="D129" s="201" t="str">
        <f t="shared" si="16"/>
        <v>FGCKW2-304L/2B-1.50X760</v>
      </c>
      <c r="E129" s="201" t="s">
        <v>6597</v>
      </c>
      <c r="F129" s="201" t="s">
        <v>6602</v>
      </c>
      <c r="G129" s="201" t="s">
        <v>6603</v>
      </c>
      <c r="H129" s="201" t="s">
        <v>182</v>
      </c>
      <c r="I129" s="202" t="s">
        <v>114</v>
      </c>
      <c r="J129" s="203">
        <v>3.5</v>
      </c>
      <c r="K129" s="203">
        <v>1.5</v>
      </c>
      <c r="L129" s="203"/>
      <c r="M129" s="203"/>
      <c r="N129" s="204">
        <v>765</v>
      </c>
      <c r="O129" s="381">
        <v>0.4</v>
      </c>
      <c r="P129" s="413">
        <v>0.40100000000000002</v>
      </c>
      <c r="Q129" s="185">
        <v>760</v>
      </c>
      <c r="R129" s="414"/>
      <c r="S129" s="414"/>
      <c r="T129" s="371"/>
      <c r="U129" s="491" t="s">
        <v>390</v>
      </c>
      <c r="V129" s="491" t="s">
        <v>615</v>
      </c>
      <c r="W129" s="185" t="s">
        <v>114</v>
      </c>
      <c r="X129" s="492">
        <v>44761</v>
      </c>
      <c r="Y129" s="492"/>
      <c r="Z129" s="492">
        <v>44761</v>
      </c>
      <c r="AA129" s="492"/>
      <c r="AB129" s="492">
        <v>44762</v>
      </c>
      <c r="AC129" s="492"/>
      <c r="AD129" s="492"/>
      <c r="AE129" s="492"/>
      <c r="AF129" s="492"/>
      <c r="AG129" s="492"/>
      <c r="AH129" s="493" t="s">
        <v>6600</v>
      </c>
      <c r="AI129" s="494" t="s">
        <v>69</v>
      </c>
      <c r="AJ129" s="494" t="s">
        <v>142</v>
      </c>
      <c r="AK129" s="495" t="s">
        <v>990</v>
      </c>
      <c r="AL129" s="495"/>
      <c r="AM129" s="495">
        <v>44727</v>
      </c>
      <c r="AN129" s="495"/>
      <c r="AO129" s="199">
        <f t="shared" ca="1" si="19"/>
        <v>44958</v>
      </c>
      <c r="AP129" s="494">
        <f t="shared" ca="1" si="14"/>
        <v>231</v>
      </c>
      <c r="AQ129" s="494">
        <f t="shared" ca="1" si="20"/>
        <v>196</v>
      </c>
      <c r="AR129" s="495"/>
      <c r="AS129" s="495" t="s">
        <v>6604</v>
      </c>
      <c r="AT129" s="496">
        <v>12.154999999999999</v>
      </c>
      <c r="AU129" s="496">
        <v>12.164999999999999</v>
      </c>
      <c r="AV129" s="496">
        <v>12.189999999999998</v>
      </c>
      <c r="AW129" s="496">
        <v>12.194999999999999</v>
      </c>
      <c r="AX129" s="489">
        <f t="shared" ca="1" si="18"/>
        <v>197</v>
      </c>
      <c r="BA129" s="489" t="s">
        <v>123</v>
      </c>
      <c r="BB129" s="485">
        <v>44834</v>
      </c>
      <c r="BK129" s="489">
        <v>3.5</v>
      </c>
      <c r="BN129" s="211"/>
    </row>
    <row r="130" spans="1:66" s="489" customFormat="1" ht="18.75" customHeight="1" x14ac:dyDescent="0.25">
      <c r="A130" s="199">
        <v>44764</v>
      </c>
      <c r="B130" s="204">
        <f ca="1">IF(A130="",(IF(ISNUMBER(SUBSTITUTE(LEFT(RIGHT(E130,LEN(E130)-MIN(SEARCH({1,2,3,4,5,6,7,8,9,0},E130&amp;"1234567890"))+1),10),".","/"))=TRUE,AO130-(SUBSTITUTE(LEFT(RIGHT(E130,LEN(E130)-MIN(SEARCH({1,2,3,4,5,6,7,8,9,0},E130&amp;"1234567890"))+1),10),".","/")),IF((SUBSTITUTE(LEFT(RIGHT(E130,LEN(E130)-MIN(SEARCH({1,2,3,4,5,6,7,8,9,0},E130&amp;"1234567890"))+1),10),".","/"))="","",(AO130)-(MID(RIGHT((SUBSTITUTE(LEFT(RIGHT(E130,LEN(E130)-MIN(SEARCH({1,2,3,4,5,6,7,8,9,0},E130&amp;"1234567890"))+1),10),".","/")),10),4,2)&amp;"/"&amp;LEFT((RIGHT((SUBSTITUTE(LEFT(RIGHT(E130,LEN(E130)-MIN(SEARCH({1,2,3,4,5,6,7,8,9,0},E130&amp;"1234567890"))+1),10),".","/")),10)),2)&amp;"/"&amp;RIGHT((SUBSTITUTE(LEFT(RIGHT(E130,LEN(E130)-MIN(SEARCH({1,2,3,4,5,6,7,8,9,0},E130&amp;"1234567890"))+1),10),".","/")),4))))),(AO130-A130))</f>
        <v>194</v>
      </c>
      <c r="C130" s="199"/>
      <c r="D130" s="201" t="str">
        <f t="shared" si="16"/>
        <v>FGCKW2-304/2B-1.15X770</v>
      </c>
      <c r="E130" s="201" t="s">
        <v>6605</v>
      </c>
      <c r="F130" s="201" t="s">
        <v>6606</v>
      </c>
      <c r="G130" s="201" t="s">
        <v>6607</v>
      </c>
      <c r="H130" s="201">
        <v>304</v>
      </c>
      <c r="I130" s="202" t="s">
        <v>114</v>
      </c>
      <c r="J130" s="203">
        <v>3.43</v>
      </c>
      <c r="K130" s="203">
        <v>1.1499999999999999</v>
      </c>
      <c r="L130" s="203">
        <v>1.1399999999999999</v>
      </c>
      <c r="M130" s="203">
        <v>1.1599999999999999</v>
      </c>
      <c r="N130" s="204">
        <v>770</v>
      </c>
      <c r="O130" s="381">
        <f>0.32</f>
        <v>0.32</v>
      </c>
      <c r="P130" s="413">
        <v>0.32100000000000001</v>
      </c>
      <c r="Q130" s="371">
        <v>770</v>
      </c>
      <c r="R130" s="414"/>
      <c r="S130" s="414"/>
      <c r="T130" s="371"/>
      <c r="U130" s="491" t="s">
        <v>390</v>
      </c>
      <c r="V130" s="491"/>
      <c r="W130" s="185" t="s">
        <v>114</v>
      </c>
      <c r="X130" s="492">
        <v>44753</v>
      </c>
      <c r="Y130" s="492"/>
      <c r="Z130" s="492">
        <v>44754</v>
      </c>
      <c r="AA130" s="492"/>
      <c r="AB130" s="492">
        <v>44755</v>
      </c>
      <c r="AC130" s="492"/>
      <c r="AD130" s="493"/>
      <c r="AE130" s="493"/>
      <c r="AF130" s="493"/>
      <c r="AG130" s="494"/>
      <c r="AH130" s="494" t="s">
        <v>4799</v>
      </c>
      <c r="AI130" s="495" t="s">
        <v>69</v>
      </c>
      <c r="AJ130" s="495" t="s">
        <v>142</v>
      </c>
      <c r="AK130" s="495" t="s">
        <v>990</v>
      </c>
      <c r="AL130" s="495"/>
      <c r="AM130" s="199">
        <v>44727</v>
      </c>
      <c r="AN130" s="494"/>
      <c r="AO130" s="494">
        <f t="shared" ca="1" si="19"/>
        <v>44958</v>
      </c>
      <c r="AP130" s="495">
        <f t="shared" ca="1" si="14"/>
        <v>231</v>
      </c>
      <c r="AQ130" s="495">
        <f t="shared" ca="1" si="20"/>
        <v>203</v>
      </c>
      <c r="AR130" s="496"/>
      <c r="AS130" s="496" t="s">
        <v>6608</v>
      </c>
      <c r="AT130" s="496">
        <v>11.62</v>
      </c>
      <c r="AU130" s="496">
        <v>11.629999999999999</v>
      </c>
      <c r="AV130" s="489">
        <v>11.654999999999998</v>
      </c>
      <c r="AW130" s="489">
        <v>11.659999999999998</v>
      </c>
      <c r="AX130" s="489">
        <f t="shared" ca="1" si="18"/>
        <v>204</v>
      </c>
      <c r="BA130" s="489" t="s">
        <v>123</v>
      </c>
      <c r="BB130" s="485">
        <v>44834</v>
      </c>
      <c r="BN130" s="211"/>
    </row>
    <row r="131" spans="1:66" s="489" customFormat="1" ht="18.75" customHeight="1" x14ac:dyDescent="0.25">
      <c r="A131" s="199">
        <v>44765</v>
      </c>
      <c r="B131" s="204">
        <f ca="1">IF(A131="",(IF(ISNUMBER(SUBSTITUTE(LEFT(RIGHT(E131,LEN(E131)-MIN(SEARCH({1,2,3,4,5,6,7,8,9,0},E131&amp;"1234567890"))+1),10),".","/"))=TRUE,AO131-(SUBSTITUTE(LEFT(RIGHT(E131,LEN(E131)-MIN(SEARCH({1,2,3,4,5,6,7,8,9,0},E131&amp;"1234567890"))+1),10),".","/")),IF((SUBSTITUTE(LEFT(RIGHT(E131,LEN(E131)-MIN(SEARCH({1,2,3,4,5,6,7,8,9,0},E131&amp;"1234567890"))+1),10),".","/"))="","",(AO131)-(MID(RIGHT((SUBSTITUTE(LEFT(RIGHT(E131,LEN(E131)-MIN(SEARCH({1,2,3,4,5,6,7,8,9,0},E131&amp;"1234567890"))+1),10),".","/")),10),4,2)&amp;"/"&amp;LEFT((RIGHT((SUBSTITUTE(LEFT(RIGHT(E131,LEN(E131)-MIN(SEARCH({1,2,3,4,5,6,7,8,9,0},E131&amp;"1234567890"))+1),10),".","/")),10)),2)&amp;"/"&amp;RIGHT((SUBSTITUTE(LEFT(RIGHT(E131,LEN(E131)-MIN(SEARCH({1,2,3,4,5,6,7,8,9,0},E131&amp;"1234567890"))+1),10),".","/")),4))))),(AO131-A131))</f>
        <v>193</v>
      </c>
      <c r="C131" s="199"/>
      <c r="D131" s="201" t="str">
        <f t="shared" si="16"/>
        <v>FGCKW2-304L/2B-0.95X760</v>
      </c>
      <c r="E131" s="201" t="s">
        <v>6609</v>
      </c>
      <c r="F131" s="201" t="s">
        <v>6610</v>
      </c>
      <c r="G131" s="201" t="s">
        <v>6611</v>
      </c>
      <c r="H131" s="201" t="s">
        <v>182</v>
      </c>
      <c r="I131" s="202" t="s">
        <v>114</v>
      </c>
      <c r="J131" s="203">
        <v>3.77</v>
      </c>
      <c r="K131" s="203">
        <v>0.95</v>
      </c>
      <c r="L131" s="203">
        <v>0.94</v>
      </c>
      <c r="M131" s="203">
        <v>0.96</v>
      </c>
      <c r="N131" s="204">
        <v>767</v>
      </c>
      <c r="O131" s="381">
        <v>0.41</v>
      </c>
      <c r="P131" s="413">
        <v>0.41099999999999998</v>
      </c>
      <c r="Q131" s="185">
        <v>760</v>
      </c>
      <c r="R131" s="414"/>
      <c r="S131" s="414"/>
      <c r="T131" s="371"/>
      <c r="U131" s="491" t="s">
        <v>390</v>
      </c>
      <c r="V131" s="491"/>
      <c r="W131" s="185" t="s">
        <v>114</v>
      </c>
      <c r="X131" s="492">
        <v>44727</v>
      </c>
      <c r="Y131" s="492"/>
      <c r="Z131" s="492">
        <v>44728</v>
      </c>
      <c r="AA131" s="492"/>
      <c r="AB131" s="492">
        <v>44742</v>
      </c>
      <c r="AC131" s="492"/>
      <c r="AD131" s="492"/>
      <c r="AE131" s="492"/>
      <c r="AF131" s="492"/>
      <c r="AG131" s="492"/>
      <c r="AH131" s="493" t="s">
        <v>6525</v>
      </c>
      <c r="AI131" s="494" t="s">
        <v>69</v>
      </c>
      <c r="AJ131" s="494" t="s">
        <v>142</v>
      </c>
      <c r="AK131" s="495" t="s">
        <v>757</v>
      </c>
      <c r="AL131" s="495"/>
      <c r="AM131" s="495">
        <v>44651</v>
      </c>
      <c r="AN131" s="495"/>
      <c r="AO131" s="199">
        <f t="shared" ca="1" si="19"/>
        <v>44958</v>
      </c>
      <c r="AP131" s="494">
        <f t="shared" ca="1" si="14"/>
        <v>307</v>
      </c>
      <c r="AQ131" s="494">
        <f t="shared" ca="1" si="20"/>
        <v>216</v>
      </c>
      <c r="AR131" s="495"/>
      <c r="AS131" s="495" t="s">
        <v>6612</v>
      </c>
      <c r="AT131" s="496">
        <v>10.005000000000001</v>
      </c>
      <c r="AU131" s="496">
        <v>10.015000000000001</v>
      </c>
      <c r="AV131" s="496">
        <v>10.039999999999999</v>
      </c>
      <c r="AW131" s="496">
        <v>10.045</v>
      </c>
      <c r="AX131" s="489">
        <f t="shared" ca="1" si="18"/>
        <v>230</v>
      </c>
      <c r="BA131" s="489" t="s">
        <v>123</v>
      </c>
      <c r="BB131" s="485">
        <v>44834</v>
      </c>
      <c r="BN131" s="211"/>
    </row>
    <row r="132" spans="1:66" s="489" customFormat="1" ht="18.75" customHeight="1" x14ac:dyDescent="0.25">
      <c r="A132" s="199">
        <v>44766</v>
      </c>
      <c r="B132" s="204">
        <f ca="1">IF(A132="",(IF(ISNUMBER(SUBSTITUTE(LEFT(RIGHT(E132,LEN(E132)-MIN(SEARCH({1,2,3,4,5,6,7,8,9,0},E132&amp;"1234567890"))+1),10),".","/"))=TRUE,AO132-(SUBSTITUTE(LEFT(RIGHT(E132,LEN(E132)-MIN(SEARCH({1,2,3,4,5,6,7,8,9,0},E132&amp;"1234567890"))+1),10),".","/")),IF((SUBSTITUTE(LEFT(RIGHT(E132,LEN(E132)-MIN(SEARCH({1,2,3,4,5,6,7,8,9,0},E132&amp;"1234567890"))+1),10),".","/"))="","",(AO132)-(MID(RIGHT((SUBSTITUTE(LEFT(RIGHT(E132,LEN(E132)-MIN(SEARCH({1,2,3,4,5,6,7,8,9,0},E132&amp;"1234567890"))+1),10),".","/")),10),4,2)&amp;"/"&amp;LEFT((RIGHT((SUBSTITUTE(LEFT(RIGHT(E132,LEN(E132)-MIN(SEARCH({1,2,3,4,5,6,7,8,9,0},E132&amp;"1234567890"))+1),10),".","/")),10)),2)&amp;"/"&amp;RIGHT((SUBSTITUTE(LEFT(RIGHT(E132,LEN(E132)-MIN(SEARCH({1,2,3,4,5,6,7,8,9,0},E132&amp;"1234567890"))+1),10),".","/")),4))))),(AO132-A132))</f>
        <v>192</v>
      </c>
      <c r="C132" s="199"/>
      <c r="D132" s="201" t="str">
        <f t="shared" si="16"/>
        <v>FGCKW2-304/2B-1.45X760</v>
      </c>
      <c r="E132" s="201" t="s">
        <v>6609</v>
      </c>
      <c r="F132" s="201" t="s">
        <v>6613</v>
      </c>
      <c r="G132" s="201" t="s">
        <v>6614</v>
      </c>
      <c r="H132" s="201">
        <v>304</v>
      </c>
      <c r="I132" s="202" t="s">
        <v>114</v>
      </c>
      <c r="J132" s="203">
        <v>3.79</v>
      </c>
      <c r="K132" s="203">
        <v>1.45</v>
      </c>
      <c r="L132" s="203">
        <v>1.43</v>
      </c>
      <c r="M132" s="203">
        <v>1.48</v>
      </c>
      <c r="N132" s="204">
        <v>769</v>
      </c>
      <c r="O132" s="381">
        <v>0.28999999999999998</v>
      </c>
      <c r="P132" s="413">
        <v>0.29099999999999998</v>
      </c>
      <c r="Q132" s="185">
        <v>760</v>
      </c>
      <c r="R132" s="414"/>
      <c r="S132" s="414"/>
      <c r="T132" s="371"/>
      <c r="U132" s="491" t="s">
        <v>390</v>
      </c>
      <c r="V132" s="491"/>
      <c r="W132" s="185" t="s">
        <v>114</v>
      </c>
      <c r="X132" s="492">
        <v>44730</v>
      </c>
      <c r="Y132" s="492"/>
      <c r="Z132" s="492">
        <v>44731</v>
      </c>
      <c r="AA132" s="492"/>
      <c r="AB132" s="492">
        <v>44741</v>
      </c>
      <c r="AC132" s="492"/>
      <c r="AD132" s="492"/>
      <c r="AE132" s="492"/>
      <c r="AF132" s="492"/>
      <c r="AG132" s="492"/>
      <c r="AH132" s="493" t="s">
        <v>6518</v>
      </c>
      <c r="AI132" s="494" t="s">
        <v>69</v>
      </c>
      <c r="AJ132" s="494" t="s">
        <v>142</v>
      </c>
      <c r="AK132" s="495" t="s">
        <v>757</v>
      </c>
      <c r="AL132" s="495"/>
      <c r="AM132" s="495">
        <v>44651</v>
      </c>
      <c r="AN132" s="495"/>
      <c r="AO132" s="199">
        <f t="shared" ca="1" si="19"/>
        <v>44958</v>
      </c>
      <c r="AP132" s="494">
        <f t="shared" ca="1" si="14"/>
        <v>307</v>
      </c>
      <c r="AQ132" s="494">
        <f t="shared" ca="1" si="20"/>
        <v>217</v>
      </c>
      <c r="AR132" s="495"/>
      <c r="AS132" s="495" t="s">
        <v>6615</v>
      </c>
      <c r="AT132" s="496">
        <v>10.46</v>
      </c>
      <c r="AU132" s="496">
        <v>10.47</v>
      </c>
      <c r="AV132" s="496">
        <v>10.494999999999999</v>
      </c>
      <c r="AW132" s="496">
        <v>10.5</v>
      </c>
      <c r="AX132" s="489">
        <f t="shared" ca="1" si="18"/>
        <v>227</v>
      </c>
      <c r="BA132" s="489" t="s">
        <v>123</v>
      </c>
      <c r="BB132" s="485">
        <v>44834</v>
      </c>
      <c r="BC132" s="489">
        <v>2.4</v>
      </c>
      <c r="BN132" s="211"/>
    </row>
    <row r="133" spans="1:66" s="489" customFormat="1" ht="18" customHeight="1" x14ac:dyDescent="0.25">
      <c r="A133" s="199">
        <v>44767</v>
      </c>
      <c r="B133" s="204">
        <f ca="1">IF(A133="",(IF(ISNUMBER(SUBSTITUTE(LEFT(RIGHT(E133,LEN(E133)-MIN(SEARCH({1,2,3,4,5,6,7,8,9,0},E133&amp;"1234567890"))+1),10),".","/"))=TRUE,AO133-(SUBSTITUTE(LEFT(RIGHT(E133,LEN(E133)-MIN(SEARCH({1,2,3,4,5,6,7,8,9,0},E133&amp;"1234567890"))+1),10),".","/")),IF((SUBSTITUTE(LEFT(RIGHT(E133,LEN(E133)-MIN(SEARCH({1,2,3,4,5,6,7,8,9,0},E133&amp;"1234567890"))+1),10),".","/"))="","",(AO133)-(MID(RIGHT((SUBSTITUTE(LEFT(RIGHT(E133,LEN(E133)-MIN(SEARCH({1,2,3,4,5,6,7,8,9,0},E133&amp;"1234567890"))+1),10),".","/")),10),4,2)&amp;"/"&amp;LEFT((RIGHT((SUBSTITUTE(LEFT(RIGHT(E133,LEN(E133)-MIN(SEARCH({1,2,3,4,5,6,7,8,9,0},E133&amp;"1234567890"))+1),10),".","/")),10)),2)&amp;"/"&amp;RIGHT((SUBSTITUTE(LEFT(RIGHT(E133,LEN(E133)-MIN(SEARCH({1,2,3,4,5,6,7,8,9,0},E133&amp;"1234567890"))+1),10),".","/")),4))))),(AO133-A133))</f>
        <v>191</v>
      </c>
      <c r="C133" s="199"/>
      <c r="D133" s="201" t="str">
        <f t="shared" si="16"/>
        <v>FGCKW2-J3/2B-1.11X760</v>
      </c>
      <c r="E133" s="201" t="s">
        <v>6616</v>
      </c>
      <c r="F133" s="201" t="s">
        <v>6617</v>
      </c>
      <c r="G133" s="201" t="s">
        <v>6618</v>
      </c>
      <c r="H133" s="201" t="s">
        <v>34</v>
      </c>
      <c r="I133" s="202" t="s">
        <v>114</v>
      </c>
      <c r="J133" s="203">
        <v>2.4</v>
      </c>
      <c r="K133" s="203">
        <v>1.1100000000000001</v>
      </c>
      <c r="L133" s="203">
        <v>1.1000000000000001</v>
      </c>
      <c r="M133" s="203">
        <v>1.1299999999999999</v>
      </c>
      <c r="N133" s="204">
        <v>620</v>
      </c>
      <c r="O133" s="381">
        <v>0.26500000000000001</v>
      </c>
      <c r="P133" s="413">
        <v>0.26600000000000001</v>
      </c>
      <c r="Q133" s="185">
        <v>760</v>
      </c>
      <c r="R133" s="414"/>
      <c r="S133" s="414"/>
      <c r="T133" s="371"/>
      <c r="U133" s="491" t="s">
        <v>390</v>
      </c>
      <c r="V133" s="491"/>
      <c r="W133" s="185" t="s">
        <v>114</v>
      </c>
      <c r="X133" s="492">
        <v>44721</v>
      </c>
      <c r="Y133" s="492"/>
      <c r="Z133" s="492">
        <v>44721</v>
      </c>
      <c r="AA133" s="492"/>
      <c r="AB133" s="492">
        <v>44732</v>
      </c>
      <c r="AC133" s="492"/>
      <c r="AD133" s="492"/>
      <c r="AE133" s="492"/>
      <c r="AF133" s="492"/>
      <c r="AG133" s="492"/>
      <c r="AH133" s="493"/>
      <c r="AI133" s="494" t="s">
        <v>69</v>
      </c>
      <c r="AJ133" s="494" t="s">
        <v>248</v>
      </c>
      <c r="AK133" s="495" t="s">
        <v>819</v>
      </c>
      <c r="AL133" s="495">
        <v>44640</v>
      </c>
      <c r="AM133" s="495">
        <v>44665</v>
      </c>
      <c r="AN133" s="495"/>
      <c r="AO133" s="199">
        <f t="shared" ca="1" si="19"/>
        <v>44958</v>
      </c>
      <c r="AP133" s="494">
        <f t="shared" ca="1" si="14"/>
        <v>293</v>
      </c>
      <c r="AQ133" s="494">
        <f t="shared" ca="1" si="20"/>
        <v>226</v>
      </c>
      <c r="AR133" s="495"/>
      <c r="AS133" s="495" t="s">
        <v>825</v>
      </c>
      <c r="AT133" s="496">
        <v>5.0759999999999996</v>
      </c>
      <c r="AU133" s="496">
        <v>5.1159999999999997</v>
      </c>
      <c r="AV133" s="496">
        <v>5.141</v>
      </c>
      <c r="AW133" s="496">
        <v>5.1459999999999999</v>
      </c>
      <c r="AX133" s="489">
        <f t="shared" ca="1" si="18"/>
        <v>237</v>
      </c>
      <c r="AY133" s="489">
        <v>432</v>
      </c>
      <c r="BA133" s="489" t="s">
        <v>123</v>
      </c>
      <c r="BB133" s="485">
        <v>44834</v>
      </c>
      <c r="BN133" s="211"/>
    </row>
    <row r="134" spans="1:66" s="489" customFormat="1" ht="18.75" customHeight="1" x14ac:dyDescent="0.25">
      <c r="A134" s="199">
        <v>44774</v>
      </c>
      <c r="B134" s="204">
        <f ca="1">IF(A134="",(IF(ISNUMBER(SUBSTITUTE(LEFT(RIGHT(E134,LEN(E134)-MIN(SEARCH({1,2,3,4,5,6,7,8,9,0},E134&amp;"1234567890"))+1),10),".","/"))=TRUE,AO134-(SUBSTITUTE(LEFT(RIGHT(E134,LEN(E134)-MIN(SEARCH({1,2,3,4,5,6,7,8,9,0},E134&amp;"1234567890"))+1),10),".","/")),IF((SUBSTITUTE(LEFT(RIGHT(E134,LEN(E134)-MIN(SEARCH({1,2,3,4,5,6,7,8,9,0},E134&amp;"1234567890"))+1),10),".","/"))="","",(AO134)-(MID(RIGHT((SUBSTITUTE(LEFT(RIGHT(E134,LEN(E134)-MIN(SEARCH({1,2,3,4,5,6,7,8,9,0},E134&amp;"1234567890"))+1),10),".","/")),10),4,2)&amp;"/"&amp;LEFT((RIGHT((SUBSTITUTE(LEFT(RIGHT(E134,LEN(E134)-MIN(SEARCH({1,2,3,4,5,6,7,8,9,0},E134&amp;"1234567890"))+1),10),".","/")),10)),2)&amp;"/"&amp;RIGHT((SUBSTITUTE(LEFT(RIGHT(E134,LEN(E134)-MIN(SEARCH({1,2,3,4,5,6,7,8,9,0},E134&amp;"1234567890"))+1),10),".","/")),4))))),(AO134-A134))</f>
        <v>184</v>
      </c>
      <c r="C134" s="199"/>
      <c r="D134" s="201" t="str">
        <f t="shared" si="16"/>
        <v>FGCKW2-304L/2B-1.15X760</v>
      </c>
      <c r="E134" s="201" t="s">
        <v>6619</v>
      </c>
      <c r="F134" s="201" t="s">
        <v>6620</v>
      </c>
      <c r="G134" s="201" t="s">
        <v>6621</v>
      </c>
      <c r="H134" s="201" t="s">
        <v>182</v>
      </c>
      <c r="I134" s="202" t="s">
        <v>114</v>
      </c>
      <c r="J134" s="203">
        <v>2.98</v>
      </c>
      <c r="K134" s="203">
        <v>1.1499999999999999</v>
      </c>
      <c r="L134" s="203">
        <v>1.1299999999999999</v>
      </c>
      <c r="M134" s="203">
        <v>1.1499999999999999</v>
      </c>
      <c r="N134" s="204">
        <v>765</v>
      </c>
      <c r="O134" s="381">
        <v>0.42499999999999999</v>
      </c>
      <c r="P134" s="413">
        <v>0.42599999999999999</v>
      </c>
      <c r="Q134" s="185">
        <v>760</v>
      </c>
      <c r="R134" s="430"/>
      <c r="S134" s="414"/>
      <c r="T134" s="371"/>
      <c r="U134" s="491" t="s">
        <v>390</v>
      </c>
      <c r="V134" s="491"/>
      <c r="W134" s="185" t="s">
        <v>114</v>
      </c>
      <c r="X134" s="492">
        <v>44772</v>
      </c>
      <c r="Y134" s="492"/>
      <c r="Z134" s="492">
        <v>44772</v>
      </c>
      <c r="AA134" s="492"/>
      <c r="AB134" s="492">
        <v>44772</v>
      </c>
      <c r="AC134" s="492"/>
      <c r="AD134" s="492"/>
      <c r="AE134" s="492"/>
      <c r="AF134" s="492"/>
      <c r="AG134" s="492"/>
      <c r="AH134" s="493" t="s">
        <v>6622</v>
      </c>
      <c r="AI134" s="494" t="s">
        <v>69</v>
      </c>
      <c r="AJ134" s="494" t="s">
        <v>142</v>
      </c>
      <c r="AK134" s="495" t="s">
        <v>990</v>
      </c>
      <c r="AL134" s="495"/>
      <c r="AM134" s="495">
        <v>44727</v>
      </c>
      <c r="AN134" s="495"/>
      <c r="AO134" s="199">
        <f t="shared" ca="1" si="19"/>
        <v>44958</v>
      </c>
      <c r="AP134" s="494">
        <f t="shared" ca="1" si="14"/>
        <v>231</v>
      </c>
      <c r="AQ134" s="494">
        <f t="shared" ca="1" si="20"/>
        <v>186</v>
      </c>
      <c r="AR134" s="495"/>
      <c r="AS134" s="495" t="s">
        <v>6623</v>
      </c>
      <c r="AT134" s="496">
        <v>10.215</v>
      </c>
      <c r="AU134" s="496">
        <v>10.225</v>
      </c>
      <c r="AV134" s="496">
        <v>10.249999999999998</v>
      </c>
      <c r="AW134" s="496">
        <v>10.254999999999999</v>
      </c>
      <c r="AX134" s="489">
        <f t="shared" ca="1" si="18"/>
        <v>186</v>
      </c>
      <c r="AY134" s="489">
        <v>441</v>
      </c>
      <c r="BA134" s="489" t="s">
        <v>123</v>
      </c>
      <c r="BB134" s="485">
        <v>44834</v>
      </c>
      <c r="BK134" s="489">
        <v>3</v>
      </c>
      <c r="BN134" s="211"/>
    </row>
    <row r="135" spans="1:66" s="489" customFormat="1" ht="18.75" customHeight="1" x14ac:dyDescent="0.25">
      <c r="A135" s="199">
        <v>44774</v>
      </c>
      <c r="B135" s="204">
        <f ca="1">IF(A135="",(IF(ISNUMBER(SUBSTITUTE(LEFT(RIGHT(E135,LEN(E135)-MIN(SEARCH({1,2,3,4,5,6,7,8,9,0},E135&amp;"1234567890"))+1),10),".","/"))=TRUE,AO135-(SUBSTITUTE(LEFT(RIGHT(E135,LEN(E135)-MIN(SEARCH({1,2,3,4,5,6,7,8,9,0},E135&amp;"1234567890"))+1),10),".","/")),IF((SUBSTITUTE(LEFT(RIGHT(E135,LEN(E135)-MIN(SEARCH({1,2,3,4,5,6,7,8,9,0},E135&amp;"1234567890"))+1),10),".","/"))="","",(AO135)-(MID(RIGHT((SUBSTITUTE(LEFT(RIGHT(E135,LEN(E135)-MIN(SEARCH({1,2,3,4,5,6,7,8,9,0},E135&amp;"1234567890"))+1),10),".","/")),10),4,2)&amp;"/"&amp;LEFT((RIGHT((SUBSTITUTE(LEFT(RIGHT(E135,LEN(E135)-MIN(SEARCH({1,2,3,4,5,6,7,8,9,0},E135&amp;"1234567890"))+1),10),".","/")),10)),2)&amp;"/"&amp;RIGHT((SUBSTITUTE(LEFT(RIGHT(E135,LEN(E135)-MIN(SEARCH({1,2,3,4,5,6,7,8,9,0},E135&amp;"1234567890"))+1),10),".","/")),4))))),(AO135-A135))</f>
        <v>184</v>
      </c>
      <c r="C135" s="199"/>
      <c r="D135" s="201" t="str">
        <f t="shared" si="16"/>
        <v>FGCKW2-304L/2B-0.80X760</v>
      </c>
      <c r="E135" s="201" t="s">
        <v>6619</v>
      </c>
      <c r="F135" s="201" t="s">
        <v>6624</v>
      </c>
      <c r="G135" s="201" t="s">
        <v>6625</v>
      </c>
      <c r="H135" s="201" t="s">
        <v>182</v>
      </c>
      <c r="I135" s="202" t="s">
        <v>114</v>
      </c>
      <c r="J135" s="203">
        <v>2.8</v>
      </c>
      <c r="K135" s="203">
        <v>0.8</v>
      </c>
      <c r="L135" s="203">
        <v>0.79</v>
      </c>
      <c r="M135" s="203">
        <v>0.8</v>
      </c>
      <c r="N135" s="204">
        <v>765</v>
      </c>
      <c r="O135" s="381">
        <v>0.375</v>
      </c>
      <c r="P135" s="413">
        <v>0.376</v>
      </c>
      <c r="Q135" s="185">
        <v>760</v>
      </c>
      <c r="R135" s="430"/>
      <c r="S135" s="414"/>
      <c r="T135" s="371"/>
      <c r="U135" s="491" t="s">
        <v>390</v>
      </c>
      <c r="V135" s="491"/>
      <c r="W135" s="185" t="s">
        <v>114</v>
      </c>
      <c r="X135" s="492">
        <v>44770</v>
      </c>
      <c r="Y135" s="492"/>
      <c r="Z135" s="492">
        <v>44771</v>
      </c>
      <c r="AA135" s="492"/>
      <c r="AB135" s="492">
        <v>44772</v>
      </c>
      <c r="AC135" s="492"/>
      <c r="AD135" s="492"/>
      <c r="AE135" s="492"/>
      <c r="AF135" s="492"/>
      <c r="AG135" s="492"/>
      <c r="AH135" s="493" t="s">
        <v>6626</v>
      </c>
      <c r="AI135" s="494" t="s">
        <v>69</v>
      </c>
      <c r="AJ135" s="494" t="s">
        <v>142</v>
      </c>
      <c r="AK135" s="495" t="s">
        <v>990</v>
      </c>
      <c r="AL135" s="495"/>
      <c r="AM135" s="495">
        <v>44727</v>
      </c>
      <c r="AN135" s="495"/>
      <c r="AO135" s="199">
        <f t="shared" ca="1" si="19"/>
        <v>44958</v>
      </c>
      <c r="AP135" s="494">
        <f t="shared" ca="1" si="14"/>
        <v>231</v>
      </c>
      <c r="AQ135" s="494">
        <f t="shared" ca="1" si="20"/>
        <v>186</v>
      </c>
      <c r="AR135" s="495"/>
      <c r="AS135" s="495" t="s">
        <v>6627</v>
      </c>
      <c r="AT135" s="496">
        <v>10.029999999999999</v>
      </c>
      <c r="AU135" s="496">
        <v>10.039999999999999</v>
      </c>
      <c r="AV135" s="496">
        <v>10.064999999999998</v>
      </c>
      <c r="AW135" s="496">
        <v>10.069999999999999</v>
      </c>
      <c r="AX135" s="489">
        <f t="shared" ca="1" si="18"/>
        <v>187</v>
      </c>
      <c r="AY135" s="489">
        <v>441</v>
      </c>
      <c r="BA135" s="489" t="s">
        <v>123</v>
      </c>
      <c r="BB135" s="485">
        <v>44834</v>
      </c>
      <c r="BK135" s="489">
        <v>3</v>
      </c>
      <c r="BN135" s="211"/>
    </row>
    <row r="136" spans="1:66" s="489" customFormat="1" ht="18" customHeight="1" x14ac:dyDescent="0.25">
      <c r="A136" s="199"/>
      <c r="B136" s="204">
        <f ca="1">IF(A136="",(IF(ISNUMBER(SUBSTITUTE(LEFT(RIGHT(E136,LEN(E136)-MIN(SEARCH({1,2,3,4,5,6,7,8,9,0},E136&amp;"1234567890"))+1),10),".","/"))=TRUE,AO136-(SUBSTITUTE(LEFT(RIGHT(E136,LEN(E136)-MIN(SEARCH({1,2,3,4,5,6,7,8,9,0},E136&amp;"1234567890"))+1),10),".","/")),IF((SUBSTITUTE(LEFT(RIGHT(E136,LEN(E136)-MIN(SEARCH({1,2,3,4,5,6,7,8,9,0},E136&amp;"1234567890"))+1),10),".","/"))="","",(AO136)-(MID(RIGHT((SUBSTITUTE(LEFT(RIGHT(E136,LEN(E136)-MIN(SEARCH({1,2,3,4,5,6,7,8,9,0},E136&amp;"1234567890"))+1),10),".","/")),10),4,2)&amp;"/"&amp;LEFT((RIGHT((SUBSTITUTE(LEFT(RIGHT(E136,LEN(E136)-MIN(SEARCH({1,2,3,4,5,6,7,8,9,0},E136&amp;"1234567890"))+1),10),".","/")),10)),2)&amp;"/"&amp;RIGHT((SUBSTITUTE(LEFT(RIGHT(E136,LEN(E136)-MIN(SEARCH({1,2,3,4,5,6,7,8,9,0},E136&amp;"1234567890"))+1),10),".","/")),4))))),(AO136-A136))</f>
        <v>175</v>
      </c>
      <c r="C136" s="199"/>
      <c r="D136" s="201" t="str">
        <f t="shared" si="16"/>
        <v>FGCKW2-304L/2B-0.80X760</v>
      </c>
      <c r="E136" s="201" t="s">
        <v>6628</v>
      </c>
      <c r="F136" s="201" t="s">
        <v>6629</v>
      </c>
      <c r="G136" s="201" t="s">
        <v>6630</v>
      </c>
      <c r="H136" s="201" t="s">
        <v>182</v>
      </c>
      <c r="I136" s="202" t="s">
        <v>114</v>
      </c>
      <c r="J136" s="203">
        <v>2.89</v>
      </c>
      <c r="K136" s="203">
        <v>0.8</v>
      </c>
      <c r="L136" s="203">
        <v>0.81</v>
      </c>
      <c r="M136" s="203">
        <v>0.82</v>
      </c>
      <c r="N136" s="204">
        <v>769</v>
      </c>
      <c r="O136" s="381">
        <v>0.30499999999999999</v>
      </c>
      <c r="P136" s="413"/>
      <c r="Q136" s="185">
        <v>760</v>
      </c>
      <c r="R136" s="430"/>
      <c r="S136" s="414"/>
      <c r="T136" s="371"/>
      <c r="U136" s="491" t="s">
        <v>390</v>
      </c>
      <c r="V136" s="491"/>
      <c r="W136" s="185" t="s">
        <v>114</v>
      </c>
      <c r="X136" s="492">
        <v>44782</v>
      </c>
      <c r="Y136" s="492"/>
      <c r="Z136" s="492">
        <v>44782</v>
      </c>
      <c r="AA136" s="492"/>
      <c r="AB136" s="492">
        <v>44783</v>
      </c>
      <c r="AC136" s="492"/>
      <c r="AD136" s="492"/>
      <c r="AE136" s="492"/>
      <c r="AF136" s="492"/>
      <c r="AG136" s="492"/>
      <c r="AH136" s="493" t="s">
        <v>1052</v>
      </c>
      <c r="AI136" s="494" t="s">
        <v>69</v>
      </c>
      <c r="AJ136" s="494" t="s">
        <v>142</v>
      </c>
      <c r="AK136" s="495" t="s">
        <v>1053</v>
      </c>
      <c r="AL136" s="495"/>
      <c r="AM136" s="495">
        <v>44760</v>
      </c>
      <c r="AN136" s="495"/>
      <c r="AO136" s="199">
        <f t="shared" ca="1" si="19"/>
        <v>44958</v>
      </c>
      <c r="AP136" s="494">
        <f t="shared" ca="1" si="14"/>
        <v>198</v>
      </c>
      <c r="AQ136" s="494">
        <f t="shared" ca="1" si="20"/>
        <v>175</v>
      </c>
      <c r="AR136" s="495"/>
      <c r="AS136" s="495" t="s">
        <v>6631</v>
      </c>
      <c r="AT136" s="496">
        <v>10.555</v>
      </c>
      <c r="AU136" s="496">
        <v>10.565</v>
      </c>
      <c r="AV136" s="496">
        <v>10.589999999999998</v>
      </c>
      <c r="AW136" s="496">
        <v>10.594999999999999</v>
      </c>
      <c r="AX136" s="489">
        <f t="shared" ca="1" si="18"/>
        <v>176</v>
      </c>
      <c r="AY136" s="489">
        <v>443</v>
      </c>
      <c r="BA136" s="489" t="s">
        <v>123</v>
      </c>
      <c r="BB136" s="485">
        <v>44834</v>
      </c>
      <c r="BF136" s="489">
        <v>3</v>
      </c>
      <c r="BN136" s="211"/>
    </row>
    <row r="137" spans="1:66" s="489" customFormat="1" ht="18" customHeight="1" x14ac:dyDescent="0.25">
      <c r="A137" s="199">
        <v>44784</v>
      </c>
      <c r="B137" s="204">
        <f ca="1">IF(A137="",(IF(ISNUMBER(SUBSTITUTE(LEFT(RIGHT(E137,LEN(E137)-MIN(SEARCH({1,2,3,4,5,6,7,8,9,0},E137&amp;"1234567890"))+1),10),".","/"))=TRUE,AO137-(SUBSTITUTE(LEFT(RIGHT(E137,LEN(E137)-MIN(SEARCH({1,2,3,4,5,6,7,8,9,0},E137&amp;"1234567890"))+1),10),".","/")),IF((SUBSTITUTE(LEFT(RIGHT(E137,LEN(E137)-MIN(SEARCH({1,2,3,4,5,6,7,8,9,0},E137&amp;"1234567890"))+1),10),".","/"))="","",(AO137)-(MID(RIGHT((SUBSTITUTE(LEFT(RIGHT(E137,LEN(E137)-MIN(SEARCH({1,2,3,4,5,6,7,8,9,0},E137&amp;"1234567890"))+1),10),".","/")),10),4,2)&amp;"/"&amp;LEFT((RIGHT((SUBSTITUTE(LEFT(RIGHT(E137,LEN(E137)-MIN(SEARCH({1,2,3,4,5,6,7,8,9,0},E137&amp;"1234567890"))+1),10),".","/")),10)),2)&amp;"/"&amp;RIGHT((SUBSTITUTE(LEFT(RIGHT(E137,LEN(E137)-MIN(SEARCH({1,2,3,4,5,6,7,8,9,0},E137&amp;"1234567890"))+1),10),".","/")),4))))),(AO137-A137))</f>
        <v>174</v>
      </c>
      <c r="C137" s="199"/>
      <c r="D137" s="201" t="str">
        <f t="shared" si="16"/>
        <v>FGCKW2-304/2B-1.00X760</v>
      </c>
      <c r="E137" s="201" t="s">
        <v>6632</v>
      </c>
      <c r="F137" s="201" t="s">
        <v>6633</v>
      </c>
      <c r="G137" s="201" t="s">
        <v>6634</v>
      </c>
      <c r="H137" s="201">
        <v>304</v>
      </c>
      <c r="I137" s="202" t="s">
        <v>114</v>
      </c>
      <c r="J137" s="203">
        <v>2.99</v>
      </c>
      <c r="K137" s="203">
        <v>1</v>
      </c>
      <c r="L137" s="203">
        <v>0.98</v>
      </c>
      <c r="M137" s="203">
        <v>0.99</v>
      </c>
      <c r="N137" s="204">
        <v>767</v>
      </c>
      <c r="O137" s="381">
        <v>0.35</v>
      </c>
      <c r="P137" s="413">
        <v>0.35099999999999998</v>
      </c>
      <c r="Q137" s="185">
        <v>760</v>
      </c>
      <c r="R137" s="430"/>
      <c r="S137" s="414"/>
      <c r="T137" s="371"/>
      <c r="U137" s="491" t="s">
        <v>390</v>
      </c>
      <c r="V137" s="491"/>
      <c r="W137" s="185" t="s">
        <v>114</v>
      </c>
      <c r="X137" s="492">
        <v>44780</v>
      </c>
      <c r="Y137" s="492"/>
      <c r="Z137" s="492">
        <v>44781</v>
      </c>
      <c r="AA137" s="492"/>
      <c r="AB137" s="492">
        <v>44783</v>
      </c>
      <c r="AC137" s="492"/>
      <c r="AD137" s="492"/>
      <c r="AE137" s="492"/>
      <c r="AF137" s="492"/>
      <c r="AG137" s="492"/>
      <c r="AH137" s="493" t="s">
        <v>6635</v>
      </c>
      <c r="AI137" s="494" t="s">
        <v>69</v>
      </c>
      <c r="AJ137" s="494" t="s">
        <v>142</v>
      </c>
      <c r="AK137" s="495" t="s">
        <v>1053</v>
      </c>
      <c r="AL137" s="495"/>
      <c r="AM137" s="495">
        <v>44760</v>
      </c>
      <c r="AN137" s="495"/>
      <c r="AO137" s="199">
        <f t="shared" ca="1" si="19"/>
        <v>44958</v>
      </c>
      <c r="AP137" s="494">
        <f t="shared" ca="1" si="14"/>
        <v>198</v>
      </c>
      <c r="AQ137" s="494">
        <f t="shared" ca="1" si="20"/>
        <v>175</v>
      </c>
      <c r="AR137" s="495"/>
      <c r="AS137" s="495" t="s">
        <v>6636</v>
      </c>
      <c r="AT137" s="496">
        <v>10.51</v>
      </c>
      <c r="AU137" s="496">
        <v>10.52</v>
      </c>
      <c r="AV137" s="496">
        <v>10.544999999999998</v>
      </c>
      <c r="AW137" s="496">
        <v>10.549999999999999</v>
      </c>
      <c r="AX137" s="489">
        <f t="shared" ca="1" si="18"/>
        <v>177</v>
      </c>
      <c r="AY137" s="489">
        <v>443</v>
      </c>
      <c r="BA137" s="489" t="s">
        <v>123</v>
      </c>
      <c r="BB137" s="485">
        <v>44834</v>
      </c>
      <c r="BK137" s="489">
        <v>3</v>
      </c>
      <c r="BN137" s="211"/>
    </row>
    <row r="138" spans="1:66" s="489" customFormat="1" ht="18.75" customHeight="1" x14ac:dyDescent="0.25">
      <c r="A138" s="199">
        <v>44786</v>
      </c>
      <c r="B138" s="204">
        <f ca="1">IF(A138="",(IF(ISNUMBER(SUBSTITUTE(LEFT(RIGHT(E138,LEN(E138)-MIN(SEARCH({1,2,3,4,5,6,7,8,9,0},E138&amp;"1234567890"))+1),10),".","/"))=TRUE,AO138-(SUBSTITUTE(LEFT(RIGHT(E138,LEN(E138)-MIN(SEARCH({1,2,3,4,5,6,7,8,9,0},E138&amp;"1234567890"))+1),10),".","/")),IF((SUBSTITUTE(LEFT(RIGHT(E138,LEN(E138)-MIN(SEARCH({1,2,3,4,5,6,7,8,9,0},E138&amp;"1234567890"))+1),10),".","/"))="","",(AO138)-(MID(RIGHT((SUBSTITUTE(LEFT(RIGHT(E138,LEN(E138)-MIN(SEARCH({1,2,3,4,5,6,7,8,9,0},E138&amp;"1234567890"))+1),10),".","/")),10),4,2)&amp;"/"&amp;LEFT((RIGHT((SUBSTITUTE(LEFT(RIGHT(E138,LEN(E138)-MIN(SEARCH({1,2,3,4,5,6,7,8,9,0},E138&amp;"1234567890"))+1),10),".","/")),10)),2)&amp;"/"&amp;RIGHT((SUBSTITUTE(LEFT(RIGHT(E138,LEN(E138)-MIN(SEARCH({1,2,3,4,5,6,7,8,9,0},E138&amp;"1234567890"))+1),10),".","/")),4))))),(AO138-A138))</f>
        <v>172</v>
      </c>
      <c r="C138" s="199"/>
      <c r="D138" s="201" t="str">
        <f t="shared" si="16"/>
        <v>FGCKW2-304L/2B-1.15X768</v>
      </c>
      <c r="E138" s="201" t="s">
        <v>6637</v>
      </c>
      <c r="F138" s="201" t="s">
        <v>6638</v>
      </c>
      <c r="G138" s="201" t="s">
        <v>6639</v>
      </c>
      <c r="H138" s="201" t="s">
        <v>182</v>
      </c>
      <c r="I138" s="202" t="s">
        <v>114</v>
      </c>
      <c r="J138" s="203">
        <v>2.89</v>
      </c>
      <c r="K138" s="203">
        <v>1.1499999999999999</v>
      </c>
      <c r="L138" s="203">
        <v>1.1299999999999999</v>
      </c>
      <c r="M138" s="203">
        <v>1.1399999999999999</v>
      </c>
      <c r="N138" s="204">
        <v>768</v>
      </c>
      <c r="O138" s="381">
        <v>0.505</v>
      </c>
      <c r="P138" s="413">
        <v>0.50600000000000001</v>
      </c>
      <c r="Q138" s="185">
        <v>768</v>
      </c>
      <c r="R138" s="430"/>
      <c r="S138" s="414"/>
      <c r="T138" s="371"/>
      <c r="U138" s="491" t="s">
        <v>390</v>
      </c>
      <c r="V138" s="491"/>
      <c r="W138" s="185" t="s">
        <v>114</v>
      </c>
      <c r="X138" s="492">
        <v>44783</v>
      </c>
      <c r="Y138" s="492"/>
      <c r="Z138" s="492">
        <v>44783</v>
      </c>
      <c r="AA138" s="492"/>
      <c r="AB138" s="492">
        <v>44784</v>
      </c>
      <c r="AC138" s="492"/>
      <c r="AD138" s="492"/>
      <c r="AE138" s="492"/>
      <c r="AF138" s="492"/>
      <c r="AG138" s="492"/>
      <c r="AH138" s="493" t="s">
        <v>1052</v>
      </c>
      <c r="AI138" s="494" t="s">
        <v>69</v>
      </c>
      <c r="AJ138" s="494" t="s">
        <v>142</v>
      </c>
      <c r="AK138" s="495" t="s">
        <v>1053</v>
      </c>
      <c r="AL138" s="495"/>
      <c r="AM138" s="495">
        <v>44760</v>
      </c>
      <c r="AN138" s="495"/>
      <c r="AO138" s="199">
        <f t="shared" ca="1" si="19"/>
        <v>44958</v>
      </c>
      <c r="AP138" s="494">
        <f t="shared" ca="1" si="14"/>
        <v>198</v>
      </c>
      <c r="AQ138" s="494">
        <f t="shared" ca="1" si="20"/>
        <v>174</v>
      </c>
      <c r="AR138" s="495"/>
      <c r="AS138" s="495" t="s">
        <v>6640</v>
      </c>
      <c r="AT138" s="496">
        <v>10.525</v>
      </c>
      <c r="AU138" s="496">
        <v>10.535</v>
      </c>
      <c r="AV138" s="496">
        <v>10.559999999999999</v>
      </c>
      <c r="AW138" s="496">
        <v>10.565</v>
      </c>
      <c r="AX138" s="489">
        <f t="shared" ca="1" si="18"/>
        <v>175</v>
      </c>
      <c r="AY138" s="489">
        <v>443</v>
      </c>
      <c r="BA138" s="489" t="s">
        <v>123</v>
      </c>
      <c r="BB138" s="485"/>
      <c r="BK138" s="489">
        <v>3</v>
      </c>
      <c r="BN138" s="211"/>
    </row>
    <row r="139" spans="1:66" s="489" customFormat="1" ht="18" customHeight="1" x14ac:dyDescent="0.25">
      <c r="A139" s="199">
        <v>44791</v>
      </c>
      <c r="B139" s="204">
        <f ca="1">IF(A139="",(IF(ISNUMBER(SUBSTITUTE(LEFT(RIGHT(E139,LEN(E139)-MIN(SEARCH({1,2,3,4,5,6,7,8,9,0},E139&amp;"1234567890"))+1),10),".","/"))=TRUE,AO139-(SUBSTITUTE(LEFT(RIGHT(E139,LEN(E139)-MIN(SEARCH({1,2,3,4,5,6,7,8,9,0},E139&amp;"1234567890"))+1),10),".","/")),IF((SUBSTITUTE(LEFT(RIGHT(E139,LEN(E139)-MIN(SEARCH({1,2,3,4,5,6,7,8,9,0},E139&amp;"1234567890"))+1),10),".","/"))="","",(AO139)-(MID(RIGHT((SUBSTITUTE(LEFT(RIGHT(E139,LEN(E139)-MIN(SEARCH({1,2,3,4,5,6,7,8,9,0},E139&amp;"1234567890"))+1),10),".","/")),10),4,2)&amp;"/"&amp;LEFT((RIGHT((SUBSTITUTE(LEFT(RIGHT(E139,LEN(E139)-MIN(SEARCH({1,2,3,4,5,6,7,8,9,0},E139&amp;"1234567890"))+1),10),".","/")),10)),2)&amp;"/"&amp;RIGHT((SUBSTITUTE(LEFT(RIGHT(E139,LEN(E139)-MIN(SEARCH({1,2,3,4,5,6,7,8,9,0},E139&amp;"1234567890"))+1),10),".","/")),4))))),(AO139-A139))</f>
        <v>167</v>
      </c>
      <c r="C139" s="199"/>
      <c r="D139" s="201" t="str">
        <f t="shared" si="16"/>
        <v>FGCKW2-304L/2B-1.10X760</v>
      </c>
      <c r="E139" s="201" t="s">
        <v>6641</v>
      </c>
      <c r="F139" s="201" t="s">
        <v>6642</v>
      </c>
      <c r="G139" s="201" t="s">
        <v>6643</v>
      </c>
      <c r="H139" s="201" t="s">
        <v>182</v>
      </c>
      <c r="I139" s="202" t="s">
        <v>114</v>
      </c>
      <c r="J139" s="203">
        <v>3.43</v>
      </c>
      <c r="K139" s="203">
        <v>1.1000000000000001</v>
      </c>
      <c r="L139" s="203">
        <v>1.07</v>
      </c>
      <c r="M139" s="203">
        <v>1.0900000000000001</v>
      </c>
      <c r="N139" s="204">
        <v>767</v>
      </c>
      <c r="O139" s="381">
        <v>0.315</v>
      </c>
      <c r="P139" s="413">
        <v>0.316</v>
      </c>
      <c r="Q139" s="185">
        <v>760</v>
      </c>
      <c r="R139" s="430"/>
      <c r="S139" s="414"/>
      <c r="T139" s="371"/>
      <c r="U139" s="491" t="s">
        <v>390</v>
      </c>
      <c r="V139" s="491"/>
      <c r="W139" s="185" t="s">
        <v>114</v>
      </c>
      <c r="X139" s="492">
        <v>44789</v>
      </c>
      <c r="Y139" s="492"/>
      <c r="Z139" s="492">
        <v>44789</v>
      </c>
      <c r="AA139" s="492"/>
      <c r="AB139" s="492">
        <v>44790</v>
      </c>
      <c r="AC139" s="492"/>
      <c r="AD139" s="492">
        <v>44791</v>
      </c>
      <c r="AE139" s="492"/>
      <c r="AF139" s="492"/>
      <c r="AG139" s="492"/>
      <c r="AH139" s="493" t="s">
        <v>4727</v>
      </c>
      <c r="AI139" s="494" t="s">
        <v>69</v>
      </c>
      <c r="AJ139" s="494" t="s">
        <v>142</v>
      </c>
      <c r="AK139" s="495" t="s">
        <v>1053</v>
      </c>
      <c r="AL139" s="495"/>
      <c r="AM139" s="495">
        <v>44785</v>
      </c>
      <c r="AN139" s="495"/>
      <c r="AO139" s="199">
        <f t="shared" ca="1" si="19"/>
        <v>44958</v>
      </c>
      <c r="AP139" s="494">
        <f t="shared" ca="1" si="14"/>
        <v>173</v>
      </c>
      <c r="AQ139" s="494"/>
      <c r="AR139" s="495"/>
      <c r="AS139" s="495" t="s">
        <v>6644</v>
      </c>
      <c r="AT139" s="496">
        <v>12.115</v>
      </c>
      <c r="AU139" s="496">
        <v>12.125</v>
      </c>
      <c r="AV139" s="496">
        <v>12.149999999999999</v>
      </c>
      <c r="AW139" s="496">
        <v>12.154999999999999</v>
      </c>
      <c r="AY139" s="489">
        <v>447</v>
      </c>
      <c r="BA139" s="489" t="s">
        <v>123</v>
      </c>
      <c r="BB139" s="485">
        <v>44834</v>
      </c>
      <c r="BN139" s="211"/>
    </row>
    <row r="140" spans="1:66" s="489" customFormat="1" ht="18" customHeight="1" x14ac:dyDescent="0.25">
      <c r="A140" s="199">
        <v>44791</v>
      </c>
      <c r="B140" s="204">
        <f ca="1">IF(A140="",(IF(ISNUMBER(SUBSTITUTE(LEFT(RIGHT(E140,LEN(E140)-MIN(SEARCH({1,2,3,4,5,6,7,8,9,0},E140&amp;"1234567890"))+1),10),".","/"))=TRUE,AO140-(SUBSTITUTE(LEFT(RIGHT(E140,LEN(E140)-MIN(SEARCH({1,2,3,4,5,6,7,8,9,0},E140&amp;"1234567890"))+1),10),".","/")),IF((SUBSTITUTE(LEFT(RIGHT(E140,LEN(E140)-MIN(SEARCH({1,2,3,4,5,6,7,8,9,0},E140&amp;"1234567890"))+1),10),".","/"))="","",(AO140)-(MID(RIGHT((SUBSTITUTE(LEFT(RIGHT(E140,LEN(E140)-MIN(SEARCH({1,2,3,4,5,6,7,8,9,0},E140&amp;"1234567890"))+1),10),".","/")),10),4,2)&amp;"/"&amp;LEFT((RIGHT((SUBSTITUTE(LEFT(RIGHT(E140,LEN(E140)-MIN(SEARCH({1,2,3,4,5,6,7,8,9,0},E140&amp;"1234567890"))+1),10),".","/")),10)),2)&amp;"/"&amp;RIGHT((SUBSTITUTE(LEFT(RIGHT(E140,LEN(E140)-MIN(SEARCH({1,2,3,4,5,6,7,8,9,0},E140&amp;"1234567890"))+1),10),".","/")),4))))),(AO140-A140))</f>
        <v>167</v>
      </c>
      <c r="C140" s="199"/>
      <c r="D140" s="201" t="str">
        <f t="shared" si="16"/>
        <v>FGCKW2-304L/2B-0.60X760</v>
      </c>
      <c r="E140" s="201" t="s">
        <v>6645</v>
      </c>
      <c r="F140" s="201" t="s">
        <v>6646</v>
      </c>
      <c r="G140" s="201" t="s">
        <v>6647</v>
      </c>
      <c r="H140" s="201" t="s">
        <v>182</v>
      </c>
      <c r="I140" s="202" t="s">
        <v>114</v>
      </c>
      <c r="J140" s="203">
        <v>1.3</v>
      </c>
      <c r="K140" s="203">
        <v>0.6</v>
      </c>
      <c r="L140" s="203">
        <v>0.59</v>
      </c>
      <c r="M140" s="203">
        <v>0.61</v>
      </c>
      <c r="N140" s="204">
        <v>768</v>
      </c>
      <c r="O140" s="381">
        <v>0.39</v>
      </c>
      <c r="P140" s="413">
        <v>0.39100000000000001</v>
      </c>
      <c r="Q140" s="185">
        <v>760</v>
      </c>
      <c r="R140" s="430"/>
      <c r="S140" s="414"/>
      <c r="T140" s="371"/>
      <c r="U140" s="491" t="s">
        <v>390</v>
      </c>
      <c r="V140" s="491" t="s">
        <v>6648</v>
      </c>
      <c r="W140" s="185" t="s">
        <v>114</v>
      </c>
      <c r="X140" s="492" t="s">
        <v>6649</v>
      </c>
      <c r="Y140" s="492"/>
      <c r="Z140" s="492" t="s">
        <v>6649</v>
      </c>
      <c r="AA140" s="492"/>
      <c r="AB140" s="492" t="s">
        <v>6650</v>
      </c>
      <c r="AC140" s="492"/>
      <c r="AD140" s="492"/>
      <c r="AE140" s="492"/>
      <c r="AF140" s="492"/>
      <c r="AG140" s="492"/>
      <c r="AH140" s="493" t="s">
        <v>1052</v>
      </c>
      <c r="AI140" s="494" t="s">
        <v>69</v>
      </c>
      <c r="AJ140" s="494" t="s">
        <v>142</v>
      </c>
      <c r="AK140" s="495" t="s">
        <v>1053</v>
      </c>
      <c r="AL140" s="495"/>
      <c r="AM140" s="495">
        <v>44760</v>
      </c>
      <c r="AN140" s="495"/>
      <c r="AO140" s="199">
        <f t="shared" ca="1" si="19"/>
        <v>44958</v>
      </c>
      <c r="AP140" s="494">
        <f t="shared" ca="1" si="14"/>
        <v>198</v>
      </c>
      <c r="AQ140" s="494">
        <f ca="1">IF(ISNUMBER(AB140)=TRUE,AO140-AB140,IF(AB140="","",(AO140)-(MID(RIGHT(AB140,10),4,2)&amp;"/"&amp;LEFT((RIGHT(AB140,10)),2)&amp;"/"&amp;RIGHT(AB140,4))))</f>
        <v>167</v>
      </c>
      <c r="AR140" s="495"/>
      <c r="AS140" s="495" t="s">
        <v>6631</v>
      </c>
      <c r="AT140" s="496">
        <v>10.55</v>
      </c>
      <c r="AU140" s="496">
        <v>10.56</v>
      </c>
      <c r="AV140" s="496">
        <v>10.584999999999999</v>
      </c>
      <c r="AW140" s="496">
        <v>10.59</v>
      </c>
      <c r="AX140" s="489">
        <f ca="1">IF(ISNUMBER(Z140)=TRUE,AO140-Z140,IF(Z140="","",(AO140)-(MID(RIGHT(Z140,10),4,2)&amp;"/"&amp;LEFT((RIGHT(Z140,10)),2)&amp;"/"&amp;RIGHT(Z140,4))))</f>
        <v>169</v>
      </c>
      <c r="AY140" s="489">
        <v>443</v>
      </c>
      <c r="BA140" s="489" t="s">
        <v>123</v>
      </c>
      <c r="BB140" s="485">
        <v>44834</v>
      </c>
      <c r="BN140" s="211"/>
    </row>
    <row r="141" spans="1:66" s="489" customFormat="1" ht="18.75" customHeight="1" x14ac:dyDescent="0.25">
      <c r="A141" s="199">
        <v>44797</v>
      </c>
      <c r="B141" s="204">
        <f ca="1">IF(A141="",(IF(ISNUMBER(SUBSTITUTE(LEFT(RIGHT(E141,LEN(E141)-MIN(SEARCH({1,2,3,4,5,6,7,8,9,0},E141&amp;"1234567890"))+1),10),".","/"))=TRUE,AO141-(SUBSTITUTE(LEFT(RIGHT(E141,LEN(E141)-MIN(SEARCH({1,2,3,4,5,6,7,8,9,0},E141&amp;"1234567890"))+1),10),".","/")),IF((SUBSTITUTE(LEFT(RIGHT(E141,LEN(E141)-MIN(SEARCH({1,2,3,4,5,6,7,8,9,0},E141&amp;"1234567890"))+1),10),".","/"))="","",(AO141)-(MID(RIGHT((SUBSTITUTE(LEFT(RIGHT(E141,LEN(E141)-MIN(SEARCH({1,2,3,4,5,6,7,8,9,0},E141&amp;"1234567890"))+1),10),".","/")),10),4,2)&amp;"/"&amp;LEFT((RIGHT((SUBSTITUTE(LEFT(RIGHT(E141,LEN(E141)-MIN(SEARCH({1,2,3,4,5,6,7,8,9,0},E141&amp;"1234567890"))+1),10),".","/")),10)),2)&amp;"/"&amp;RIGHT((SUBSTITUTE(LEFT(RIGHT(E141,LEN(E141)-MIN(SEARCH({1,2,3,4,5,6,7,8,9,0},E141&amp;"1234567890"))+1),10),".","/")),4))))),(AO141-A141))</f>
        <v>161</v>
      </c>
      <c r="C141" s="199"/>
      <c r="D141" s="201" t="str">
        <f t="shared" si="16"/>
        <v>FGCKW2-304L/2B-0.97X760</v>
      </c>
      <c r="E141" s="201" t="s">
        <v>6651</v>
      </c>
      <c r="F141" s="201" t="s">
        <v>6652</v>
      </c>
      <c r="G141" s="201" t="s">
        <v>6653</v>
      </c>
      <c r="H141" s="201" t="s">
        <v>182</v>
      </c>
      <c r="I141" s="202" t="s">
        <v>114</v>
      </c>
      <c r="J141" s="203">
        <v>2.9</v>
      </c>
      <c r="K141" s="203">
        <v>0.97</v>
      </c>
      <c r="L141" s="203">
        <v>0.93</v>
      </c>
      <c r="M141" s="203">
        <v>0.97</v>
      </c>
      <c r="N141" s="204">
        <v>767</v>
      </c>
      <c r="O141" s="381">
        <v>0.36499999999999999</v>
      </c>
      <c r="P141" s="413">
        <v>0.36599999999999999</v>
      </c>
      <c r="Q141" s="185">
        <v>760</v>
      </c>
      <c r="R141" s="430"/>
      <c r="S141" s="414"/>
      <c r="T141" s="371"/>
      <c r="U141" s="491" t="s">
        <v>390</v>
      </c>
      <c r="V141" s="491"/>
      <c r="W141" s="185" t="s">
        <v>114</v>
      </c>
      <c r="X141" s="492">
        <v>44794</v>
      </c>
      <c r="Y141" s="492"/>
      <c r="Z141" s="492">
        <v>44794</v>
      </c>
      <c r="AA141" s="492"/>
      <c r="AB141" s="492">
        <v>44796</v>
      </c>
      <c r="AC141" s="492"/>
      <c r="AD141" s="492"/>
      <c r="AE141" s="492"/>
      <c r="AF141" s="492"/>
      <c r="AG141" s="492"/>
      <c r="AH141" s="493" t="s">
        <v>5994</v>
      </c>
      <c r="AI141" s="494" t="s">
        <v>69</v>
      </c>
      <c r="AJ141" s="494" t="s">
        <v>142</v>
      </c>
      <c r="AK141" s="495" t="s">
        <v>1215</v>
      </c>
      <c r="AL141" s="495"/>
      <c r="AM141" s="495">
        <v>44785</v>
      </c>
      <c r="AN141" s="495"/>
      <c r="AO141" s="199">
        <f t="shared" ca="1" si="19"/>
        <v>44958</v>
      </c>
      <c r="AP141" s="494">
        <f t="shared" ca="1" si="14"/>
        <v>173</v>
      </c>
      <c r="AQ141" s="494"/>
      <c r="AR141" s="495"/>
      <c r="AS141" s="495" t="s">
        <v>6654</v>
      </c>
      <c r="AT141" s="496">
        <v>9.5299999999999994</v>
      </c>
      <c r="AU141" s="496">
        <v>9.5399999999999991</v>
      </c>
      <c r="AV141" s="496">
        <v>9.5649999999999977</v>
      </c>
      <c r="AW141" s="496">
        <v>9.5699999999999985</v>
      </c>
      <c r="AY141" s="489">
        <v>447</v>
      </c>
      <c r="BA141" s="489" t="s">
        <v>123</v>
      </c>
      <c r="BB141" s="485">
        <v>44834</v>
      </c>
      <c r="BN141" s="211"/>
    </row>
    <row r="142" spans="1:66" s="489" customFormat="1" ht="18.75" customHeight="1" x14ac:dyDescent="0.25">
      <c r="A142" s="199">
        <v>44797</v>
      </c>
      <c r="B142" s="204">
        <f ca="1">IF(A142="",(IF(ISNUMBER(SUBSTITUTE(LEFT(RIGHT(E142,LEN(E142)-MIN(SEARCH({1,2,3,4,5,6,7,8,9,0},E142&amp;"1234567890"))+1),10),".","/"))=TRUE,AO142-(SUBSTITUTE(LEFT(RIGHT(E142,LEN(E142)-MIN(SEARCH({1,2,3,4,5,6,7,8,9,0},E142&amp;"1234567890"))+1),10),".","/")),IF((SUBSTITUTE(LEFT(RIGHT(E142,LEN(E142)-MIN(SEARCH({1,2,3,4,5,6,7,8,9,0},E142&amp;"1234567890"))+1),10),".","/"))="","",(AO142)-(MID(RIGHT((SUBSTITUTE(LEFT(RIGHT(E142,LEN(E142)-MIN(SEARCH({1,2,3,4,5,6,7,8,9,0},E142&amp;"1234567890"))+1),10),".","/")),10),4,2)&amp;"/"&amp;LEFT((RIGHT((SUBSTITUTE(LEFT(RIGHT(E142,LEN(E142)-MIN(SEARCH({1,2,3,4,5,6,7,8,9,0},E142&amp;"1234567890"))+1),10),".","/")),10)),2)&amp;"/"&amp;RIGHT((SUBSTITUTE(LEFT(RIGHT(E142,LEN(E142)-MIN(SEARCH({1,2,3,4,5,6,7,8,9,0},E142&amp;"1234567890"))+1),10),".","/")),4))))),(AO142-A142))</f>
        <v>161</v>
      </c>
      <c r="C142" s="199"/>
      <c r="D142" s="201" t="str">
        <f t="shared" si="16"/>
        <v>FGCKW2-304L/2B-0.90X760</v>
      </c>
      <c r="E142" s="201" t="s">
        <v>6651</v>
      </c>
      <c r="F142" s="201" t="s">
        <v>6655</v>
      </c>
      <c r="G142" s="201" t="s">
        <v>6656</v>
      </c>
      <c r="H142" s="201" t="s">
        <v>182</v>
      </c>
      <c r="I142" s="202" t="s">
        <v>114</v>
      </c>
      <c r="J142" s="203">
        <v>2.87</v>
      </c>
      <c r="K142" s="203">
        <v>0.9</v>
      </c>
      <c r="L142" s="203">
        <v>0.89</v>
      </c>
      <c r="M142" s="203">
        <v>0.9</v>
      </c>
      <c r="N142" s="204">
        <v>768</v>
      </c>
      <c r="O142" s="381">
        <v>0.3</v>
      </c>
      <c r="P142" s="413">
        <v>0.30099999999999999</v>
      </c>
      <c r="Q142" s="185">
        <v>760</v>
      </c>
      <c r="R142" s="430"/>
      <c r="S142" s="414"/>
      <c r="T142" s="371"/>
      <c r="U142" s="491" t="s">
        <v>390</v>
      </c>
      <c r="V142" s="491"/>
      <c r="W142" s="185" t="s">
        <v>114</v>
      </c>
      <c r="X142" s="492">
        <v>44791</v>
      </c>
      <c r="Y142" s="492"/>
      <c r="Z142" s="492">
        <v>44791</v>
      </c>
      <c r="AA142" s="492"/>
      <c r="AB142" s="492">
        <v>44797</v>
      </c>
      <c r="AC142" s="492"/>
      <c r="AD142" s="492"/>
      <c r="AE142" s="492"/>
      <c r="AF142" s="492"/>
      <c r="AG142" s="492"/>
      <c r="AH142" s="493" t="s">
        <v>4727</v>
      </c>
      <c r="AI142" s="494" t="s">
        <v>69</v>
      </c>
      <c r="AJ142" s="494" t="s">
        <v>142</v>
      </c>
      <c r="AK142" s="495" t="s">
        <v>1215</v>
      </c>
      <c r="AL142" s="495"/>
      <c r="AM142" s="495">
        <v>44785</v>
      </c>
      <c r="AN142" s="495"/>
      <c r="AO142" s="199">
        <f t="shared" ca="1" si="19"/>
        <v>44958</v>
      </c>
      <c r="AP142" s="494">
        <f t="shared" ca="1" si="14"/>
        <v>173</v>
      </c>
      <c r="AQ142" s="494"/>
      <c r="AR142" s="495"/>
      <c r="AS142" s="495" t="s">
        <v>6657</v>
      </c>
      <c r="AT142" s="496">
        <v>9.15</v>
      </c>
      <c r="AU142" s="496">
        <v>9.16</v>
      </c>
      <c r="AV142" s="496">
        <v>9.1849999999999987</v>
      </c>
      <c r="AW142" s="496">
        <v>9.19</v>
      </c>
      <c r="AY142" s="489">
        <v>447</v>
      </c>
      <c r="BA142" s="489" t="s">
        <v>123</v>
      </c>
      <c r="BB142" s="485">
        <v>44834</v>
      </c>
      <c r="BN142" s="211"/>
    </row>
    <row r="143" spans="1:66" s="489" customFormat="1" ht="18" customHeight="1" x14ac:dyDescent="0.25">
      <c r="A143" s="199">
        <v>44798</v>
      </c>
      <c r="B143" s="204">
        <f ca="1">IF(A143="",(IF(ISNUMBER(SUBSTITUTE(LEFT(RIGHT(E143,LEN(E143)-MIN(SEARCH({1,2,3,4,5,6,7,8,9,0},E143&amp;"1234567890"))+1),10),".","/"))=TRUE,AO143-(SUBSTITUTE(LEFT(RIGHT(E143,LEN(E143)-MIN(SEARCH({1,2,3,4,5,6,7,8,9,0},E143&amp;"1234567890"))+1),10),".","/")),IF((SUBSTITUTE(LEFT(RIGHT(E143,LEN(E143)-MIN(SEARCH({1,2,3,4,5,6,7,8,9,0},E143&amp;"1234567890"))+1),10),".","/"))="","",(AO143)-(MID(RIGHT((SUBSTITUTE(LEFT(RIGHT(E143,LEN(E143)-MIN(SEARCH({1,2,3,4,5,6,7,8,9,0},E143&amp;"1234567890"))+1),10),".","/")),10),4,2)&amp;"/"&amp;LEFT((RIGHT((SUBSTITUTE(LEFT(RIGHT(E143,LEN(E143)-MIN(SEARCH({1,2,3,4,5,6,7,8,9,0},E143&amp;"1234567890"))+1),10),".","/")),10)),2)&amp;"/"&amp;RIGHT((SUBSTITUTE(LEFT(RIGHT(E143,LEN(E143)-MIN(SEARCH({1,2,3,4,5,6,7,8,9,0},E143&amp;"1234567890"))+1),10),".","/")),4))))),(AO143-A143))</f>
        <v>160</v>
      </c>
      <c r="C143" s="199"/>
      <c r="D143" s="201" t="str">
        <f t="shared" si="16"/>
        <v>FGCKW2-304L/2B-0.90X760</v>
      </c>
      <c r="E143" s="201" t="s">
        <v>6658</v>
      </c>
      <c r="F143" s="201" t="s">
        <v>6655</v>
      </c>
      <c r="G143" s="201" t="s">
        <v>6659</v>
      </c>
      <c r="H143" s="201" t="s">
        <v>182</v>
      </c>
      <c r="I143" s="202" t="s">
        <v>114</v>
      </c>
      <c r="J143" s="203">
        <v>2.87</v>
      </c>
      <c r="K143" s="203">
        <v>0.9</v>
      </c>
      <c r="L143" s="203">
        <v>0.89</v>
      </c>
      <c r="M143" s="203">
        <v>0.9</v>
      </c>
      <c r="N143" s="204">
        <v>768</v>
      </c>
      <c r="O143" s="381">
        <v>0.32</v>
      </c>
      <c r="P143" s="413">
        <v>0.32100000000000001</v>
      </c>
      <c r="Q143" s="185">
        <v>760</v>
      </c>
      <c r="R143" s="430"/>
      <c r="S143" s="414"/>
      <c r="T143" s="371"/>
      <c r="U143" s="491" t="s">
        <v>390</v>
      </c>
      <c r="V143" s="491"/>
      <c r="W143" s="185" t="s">
        <v>114</v>
      </c>
      <c r="X143" s="492">
        <v>44791</v>
      </c>
      <c r="Y143" s="492"/>
      <c r="Z143" s="492">
        <v>44791</v>
      </c>
      <c r="AA143" s="492"/>
      <c r="AB143" s="492">
        <v>44797</v>
      </c>
      <c r="AC143" s="492"/>
      <c r="AD143" s="492"/>
      <c r="AE143" s="492"/>
      <c r="AF143" s="492"/>
      <c r="AG143" s="492"/>
      <c r="AH143" s="493" t="s">
        <v>4727</v>
      </c>
      <c r="AI143" s="494" t="s">
        <v>69</v>
      </c>
      <c r="AJ143" s="494" t="s">
        <v>142</v>
      </c>
      <c r="AK143" s="495" t="s">
        <v>1215</v>
      </c>
      <c r="AL143" s="495"/>
      <c r="AM143" s="495">
        <v>44785</v>
      </c>
      <c r="AN143" s="495"/>
      <c r="AO143" s="199">
        <f t="shared" ca="1" si="19"/>
        <v>44958</v>
      </c>
      <c r="AP143" s="494">
        <f t="shared" ca="1" si="14"/>
        <v>173</v>
      </c>
      <c r="AQ143" s="494"/>
      <c r="AR143" s="495"/>
      <c r="AS143" s="495" t="s">
        <v>6657</v>
      </c>
      <c r="AT143" s="496">
        <v>9.15</v>
      </c>
      <c r="AU143" s="496">
        <v>9.16</v>
      </c>
      <c r="AV143" s="496">
        <v>9.1849999999999987</v>
      </c>
      <c r="AW143" s="496">
        <v>9.19</v>
      </c>
      <c r="AY143" s="489">
        <v>447</v>
      </c>
      <c r="BA143" s="489" t="s">
        <v>123</v>
      </c>
      <c r="BB143" s="485">
        <v>44834</v>
      </c>
      <c r="BN143" s="211"/>
    </row>
    <row r="144" spans="1:66" s="489" customFormat="1" ht="18.75" customHeight="1" x14ac:dyDescent="0.25">
      <c r="A144" s="199">
        <v>44801</v>
      </c>
      <c r="B144" s="204">
        <f ca="1">IF(A144="",(IF(ISNUMBER(SUBSTITUTE(LEFT(RIGHT(E144,LEN(E144)-MIN(SEARCH({1,2,3,4,5,6,7,8,9,0},E144&amp;"1234567890"))+1),10),".","/"))=TRUE,AO144-(SUBSTITUTE(LEFT(RIGHT(E144,LEN(E144)-MIN(SEARCH({1,2,3,4,5,6,7,8,9,0},E144&amp;"1234567890"))+1),10),".","/")),IF((SUBSTITUTE(LEFT(RIGHT(E144,LEN(E144)-MIN(SEARCH({1,2,3,4,5,6,7,8,9,0},E144&amp;"1234567890"))+1),10),".","/"))="","",(AO144)-(MID(RIGHT((SUBSTITUTE(LEFT(RIGHT(E144,LEN(E144)-MIN(SEARCH({1,2,3,4,5,6,7,8,9,0},E144&amp;"1234567890"))+1),10),".","/")),10),4,2)&amp;"/"&amp;LEFT((RIGHT((SUBSTITUTE(LEFT(RIGHT(E144,LEN(E144)-MIN(SEARCH({1,2,3,4,5,6,7,8,9,0},E144&amp;"1234567890"))+1),10),".","/")),10)),2)&amp;"/"&amp;RIGHT((SUBSTITUTE(LEFT(RIGHT(E144,LEN(E144)-MIN(SEARCH({1,2,3,4,5,6,7,8,9,0},E144&amp;"1234567890"))+1),10),".","/")),4))))),(AO144-A144))</f>
        <v>157</v>
      </c>
      <c r="C144" s="199"/>
      <c r="D144" s="201" t="str">
        <f t="shared" si="16"/>
        <v>FGCKW2-304L/FH-0.40X760</v>
      </c>
      <c r="E144" s="201" t="s">
        <v>6660</v>
      </c>
      <c r="F144" s="201" t="s">
        <v>6661</v>
      </c>
      <c r="G144" s="201" t="s">
        <v>6662</v>
      </c>
      <c r="H144" s="201" t="s">
        <v>182</v>
      </c>
      <c r="I144" s="202" t="s">
        <v>70</v>
      </c>
      <c r="J144" s="203">
        <v>0.78</v>
      </c>
      <c r="K144" s="203">
        <v>0.4</v>
      </c>
      <c r="L144" s="203"/>
      <c r="M144" s="203"/>
      <c r="N144" s="204">
        <v>760</v>
      </c>
      <c r="O144" s="381">
        <v>0.505</v>
      </c>
      <c r="P144" s="413">
        <v>0.50600000000000001</v>
      </c>
      <c r="Q144" s="185">
        <v>760</v>
      </c>
      <c r="R144" s="430"/>
      <c r="S144" s="414"/>
      <c r="T144" s="371"/>
      <c r="U144" s="491" t="s">
        <v>390</v>
      </c>
      <c r="V144" s="491" t="s">
        <v>6663</v>
      </c>
      <c r="W144" s="185" t="s">
        <v>114</v>
      </c>
      <c r="X144" s="492" t="s">
        <v>6664</v>
      </c>
      <c r="Y144" s="492"/>
      <c r="Z144" s="492" t="s">
        <v>6664</v>
      </c>
      <c r="AA144" s="492"/>
      <c r="AB144" s="492">
        <v>44496</v>
      </c>
      <c r="AC144" s="492"/>
      <c r="AD144" s="492" t="s">
        <v>6665</v>
      </c>
      <c r="AE144" s="492"/>
      <c r="AF144" s="492"/>
      <c r="AG144" s="492"/>
      <c r="AH144" s="493"/>
      <c r="AI144" s="494" t="s">
        <v>69</v>
      </c>
      <c r="AJ144" s="494" t="s">
        <v>142</v>
      </c>
      <c r="AK144" s="495" t="s">
        <v>6435</v>
      </c>
      <c r="AL144" s="495"/>
      <c r="AM144" s="495">
        <v>44466</v>
      </c>
      <c r="AN144" s="495"/>
      <c r="AO144" s="199">
        <f t="shared" ca="1" si="19"/>
        <v>44958</v>
      </c>
      <c r="AP144" s="494">
        <f t="shared" ca="1" si="14"/>
        <v>492</v>
      </c>
      <c r="AQ144" s="494">
        <f t="shared" ref="AQ144:AQ170" ca="1" si="21">IF(ISNUMBER(AB144)=TRUE,AO144-AB144,IF(AB144="","",(AO144)-(MID(RIGHT(AB144,10),4,2)&amp;"/"&amp;LEFT((RIGHT(AB144,10)),2)&amp;"/"&amp;RIGHT(AB144,4))))</f>
        <v>462</v>
      </c>
      <c r="AR144" s="495"/>
      <c r="AS144" s="495" t="s">
        <v>6666</v>
      </c>
      <c r="AT144" s="496">
        <v>12.154999999999999</v>
      </c>
      <c r="AU144" s="496">
        <v>12.164999999999999</v>
      </c>
      <c r="AV144" s="496">
        <v>12.189999999999998</v>
      </c>
      <c r="AW144" s="496">
        <v>12.194999999999999</v>
      </c>
      <c r="AX144" s="489">
        <f t="shared" ref="AX144:AX152" ca="1" si="22">IF(ISNUMBER(Z144)=TRUE,AO144-Z144,IF(Z144="","",(AO144)-(MID(RIGHT(Z144,10),4,2)&amp;"/"&amp;LEFT((RIGHT(Z144,10)),2)&amp;"/"&amp;RIGHT(Z144,4))))</f>
        <v>456</v>
      </c>
      <c r="AY144" s="489">
        <v>420</v>
      </c>
      <c r="BA144" s="489" t="s">
        <v>123</v>
      </c>
      <c r="BB144" s="485">
        <v>44834</v>
      </c>
      <c r="BL144" s="489" t="s">
        <v>226</v>
      </c>
      <c r="BN144" s="211"/>
    </row>
    <row r="145" spans="1:66" s="489" customFormat="1" ht="18" customHeight="1" x14ac:dyDescent="0.25">
      <c r="A145" s="199">
        <v>44803</v>
      </c>
      <c r="B145" s="204">
        <f ca="1">IF(A145="",(IF(ISNUMBER(SUBSTITUTE(LEFT(RIGHT(E145,LEN(E145)-MIN(SEARCH({1,2,3,4,5,6,7,8,9,0},E145&amp;"1234567890"))+1),10),".","/"))=TRUE,AO145-(SUBSTITUTE(LEFT(RIGHT(E145,LEN(E145)-MIN(SEARCH({1,2,3,4,5,6,7,8,9,0},E145&amp;"1234567890"))+1),10),".","/")),IF((SUBSTITUTE(LEFT(RIGHT(E145,LEN(E145)-MIN(SEARCH({1,2,3,4,5,6,7,8,9,0},E145&amp;"1234567890"))+1),10),".","/"))="","",(AO145)-(MID(RIGHT((SUBSTITUTE(LEFT(RIGHT(E145,LEN(E145)-MIN(SEARCH({1,2,3,4,5,6,7,8,9,0},E145&amp;"1234567890"))+1),10),".","/")),10),4,2)&amp;"/"&amp;LEFT((RIGHT((SUBSTITUTE(LEFT(RIGHT(E145,LEN(E145)-MIN(SEARCH({1,2,3,4,5,6,7,8,9,0},E145&amp;"1234567890"))+1),10),".","/")),10)),2)&amp;"/"&amp;RIGHT((SUBSTITUTE(LEFT(RIGHT(E145,LEN(E145)-MIN(SEARCH({1,2,3,4,5,6,7,8,9,0},E145&amp;"1234567890"))+1),10),".","/")),4))))),(AO145-A145))</f>
        <v>155</v>
      </c>
      <c r="C145" s="199"/>
      <c r="D145" s="201" t="str">
        <f t="shared" si="16"/>
        <v>FGCKW2-J3/2B-1.90X678</v>
      </c>
      <c r="E145" s="201" t="s">
        <v>6667</v>
      </c>
      <c r="F145" s="201" t="s">
        <v>1331</v>
      </c>
      <c r="G145" s="201" t="s">
        <v>6668</v>
      </c>
      <c r="H145" s="201" t="s">
        <v>34</v>
      </c>
      <c r="I145" s="202" t="s">
        <v>114</v>
      </c>
      <c r="J145" s="203">
        <v>3.5</v>
      </c>
      <c r="K145" s="203">
        <v>1.9</v>
      </c>
      <c r="L145" s="203">
        <v>1.87</v>
      </c>
      <c r="M145" s="203">
        <v>1.9</v>
      </c>
      <c r="N145" s="204">
        <v>678</v>
      </c>
      <c r="O145" s="381">
        <v>0.63</v>
      </c>
      <c r="P145" s="413">
        <v>0.63100000000000001</v>
      </c>
      <c r="Q145" s="185">
        <v>678</v>
      </c>
      <c r="R145" s="430"/>
      <c r="S145" s="414"/>
      <c r="T145" s="371"/>
      <c r="U145" s="491" t="s">
        <v>390</v>
      </c>
      <c r="V145" s="491"/>
      <c r="W145" s="185" t="s">
        <v>114</v>
      </c>
      <c r="X145" s="492">
        <v>44802</v>
      </c>
      <c r="Y145" s="492"/>
      <c r="Z145" s="492">
        <v>44803</v>
      </c>
      <c r="AA145" s="492"/>
      <c r="AB145" s="492">
        <v>44803</v>
      </c>
      <c r="AC145" s="492"/>
      <c r="AD145" s="492">
        <v>44802</v>
      </c>
      <c r="AE145" s="492"/>
      <c r="AF145" s="492"/>
      <c r="AG145" s="492"/>
      <c r="AH145" s="493"/>
      <c r="AI145" s="494" t="s">
        <v>69</v>
      </c>
      <c r="AJ145" s="494" t="s">
        <v>119</v>
      </c>
      <c r="AK145" s="495" t="s">
        <v>1333</v>
      </c>
      <c r="AL145" s="495">
        <v>44778</v>
      </c>
      <c r="AM145" s="495">
        <v>44801</v>
      </c>
      <c r="AN145" s="495"/>
      <c r="AO145" s="199">
        <f t="shared" ca="1" si="19"/>
        <v>44958</v>
      </c>
      <c r="AP145" s="494">
        <f t="shared" ca="1" si="14"/>
        <v>157</v>
      </c>
      <c r="AQ145" s="494">
        <f t="shared" ca="1" si="21"/>
        <v>155</v>
      </c>
      <c r="AR145" s="495" t="s">
        <v>1334</v>
      </c>
      <c r="AS145" s="495" t="s">
        <v>1335</v>
      </c>
      <c r="AT145" s="496">
        <v>9.93</v>
      </c>
      <c r="AU145" s="496">
        <v>9.9550000000000001</v>
      </c>
      <c r="AV145" s="496">
        <v>9.9799999999999986</v>
      </c>
      <c r="AW145" s="496">
        <v>9.9849999999999994</v>
      </c>
      <c r="AX145" s="489">
        <f t="shared" ca="1" si="22"/>
        <v>155</v>
      </c>
      <c r="AY145" s="489">
        <v>449</v>
      </c>
      <c r="BA145" s="489" t="s">
        <v>123</v>
      </c>
      <c r="BB145" s="485">
        <v>44834</v>
      </c>
      <c r="BN145" s="211"/>
    </row>
    <row r="146" spans="1:66" s="489" customFormat="1" ht="18" customHeight="1" x14ac:dyDescent="0.25">
      <c r="A146" s="199">
        <v>44805</v>
      </c>
      <c r="B146" s="204">
        <f ca="1">IF(A146="",(IF(ISNUMBER(SUBSTITUTE(LEFT(RIGHT(E146,LEN(E146)-MIN(SEARCH({1,2,3,4,5,6,7,8,9,0},E146&amp;"1234567890"))+1),10),".","/"))=TRUE,AO146-(SUBSTITUTE(LEFT(RIGHT(E146,LEN(E146)-MIN(SEARCH({1,2,3,4,5,6,7,8,9,0},E146&amp;"1234567890"))+1),10),".","/")),IF((SUBSTITUTE(LEFT(RIGHT(E146,LEN(E146)-MIN(SEARCH({1,2,3,4,5,6,7,8,9,0},E146&amp;"1234567890"))+1),10),".","/"))="","",(AO146)-(MID(RIGHT((SUBSTITUTE(LEFT(RIGHT(E146,LEN(E146)-MIN(SEARCH({1,2,3,4,5,6,7,8,9,0},E146&amp;"1234567890"))+1),10),".","/")),10),4,2)&amp;"/"&amp;LEFT((RIGHT((SUBSTITUTE(LEFT(RIGHT(E146,LEN(E146)-MIN(SEARCH({1,2,3,4,5,6,7,8,9,0},E146&amp;"1234567890"))+1),10),".","/")),10)),2)&amp;"/"&amp;RIGHT((SUBSTITUTE(LEFT(RIGHT(E146,LEN(E146)-MIN(SEARCH({1,2,3,4,5,6,7,8,9,0},E146&amp;"1234567890"))+1),10),".","/")),4))))),(AO146-A146))</f>
        <v>153</v>
      </c>
      <c r="C146" s="199"/>
      <c r="D146" s="201" t="str">
        <f t="shared" si="16"/>
        <v>FGCKW2-304L/2B-1.45X760</v>
      </c>
      <c r="E146" s="201" t="s">
        <v>6669</v>
      </c>
      <c r="F146" s="201" t="s">
        <v>6670</v>
      </c>
      <c r="G146" s="201" t="s">
        <v>6671</v>
      </c>
      <c r="H146" s="201" t="s">
        <v>182</v>
      </c>
      <c r="I146" s="202" t="s">
        <v>114</v>
      </c>
      <c r="J146" s="203">
        <v>3.81</v>
      </c>
      <c r="K146" s="203">
        <v>1.45</v>
      </c>
      <c r="L146" s="203">
        <v>1.46</v>
      </c>
      <c r="M146" s="203">
        <v>1.45</v>
      </c>
      <c r="N146" s="204">
        <v>768</v>
      </c>
      <c r="O146" s="381">
        <v>0.28000000000000003</v>
      </c>
      <c r="P146" s="413">
        <v>0.28100000000000003</v>
      </c>
      <c r="Q146" s="185">
        <v>760</v>
      </c>
      <c r="R146" s="430"/>
      <c r="S146" s="414"/>
      <c r="T146" s="371"/>
      <c r="U146" s="491" t="s">
        <v>390</v>
      </c>
      <c r="V146" s="491"/>
      <c r="W146" s="185" t="s">
        <v>114</v>
      </c>
      <c r="X146" s="492">
        <v>44802</v>
      </c>
      <c r="Y146" s="492"/>
      <c r="Z146" s="492">
        <v>44802</v>
      </c>
      <c r="AA146" s="492"/>
      <c r="AB146" s="492">
        <v>44803</v>
      </c>
      <c r="AC146" s="492"/>
      <c r="AD146" s="492"/>
      <c r="AE146" s="492"/>
      <c r="AF146" s="492"/>
      <c r="AG146" s="492"/>
      <c r="AH146" s="493" t="s">
        <v>1214</v>
      </c>
      <c r="AI146" s="494" t="s">
        <v>69</v>
      </c>
      <c r="AJ146" s="494" t="s">
        <v>142</v>
      </c>
      <c r="AK146" s="495" t="s">
        <v>1215</v>
      </c>
      <c r="AL146" s="495"/>
      <c r="AM146" s="495">
        <v>44785</v>
      </c>
      <c r="AN146" s="495"/>
      <c r="AO146" s="199">
        <f t="shared" ca="1" si="19"/>
        <v>44958</v>
      </c>
      <c r="AP146" s="494">
        <f t="shared" ca="1" si="14"/>
        <v>173</v>
      </c>
      <c r="AQ146" s="494">
        <f t="shared" ca="1" si="21"/>
        <v>155</v>
      </c>
      <c r="AR146" s="495"/>
      <c r="AS146" s="495" t="s">
        <v>4728</v>
      </c>
      <c r="AT146" s="496">
        <v>12.1</v>
      </c>
      <c r="AU146" s="496">
        <v>12.11</v>
      </c>
      <c r="AV146" s="496">
        <v>12.134999999999998</v>
      </c>
      <c r="AW146" s="496">
        <v>12.139999999999999</v>
      </c>
      <c r="AX146" s="489">
        <f t="shared" ca="1" si="22"/>
        <v>156</v>
      </c>
      <c r="AY146" s="489">
        <v>447</v>
      </c>
      <c r="BA146" s="489" t="s">
        <v>123</v>
      </c>
      <c r="BB146" s="485">
        <v>44834</v>
      </c>
      <c r="BN146" s="211"/>
    </row>
    <row r="147" spans="1:66" s="489" customFormat="1" ht="18" customHeight="1" x14ac:dyDescent="0.25">
      <c r="A147" s="199">
        <v>44805</v>
      </c>
      <c r="B147" s="204">
        <f ca="1">IF(A147="",(IF(ISNUMBER(SUBSTITUTE(LEFT(RIGHT(E147,LEN(E147)-MIN(SEARCH({1,2,3,4,5,6,7,8,9,0},E147&amp;"1234567890"))+1),10),".","/"))=TRUE,AO147-(SUBSTITUTE(LEFT(RIGHT(E147,LEN(E147)-MIN(SEARCH({1,2,3,4,5,6,7,8,9,0},E147&amp;"1234567890"))+1),10),".","/")),IF((SUBSTITUTE(LEFT(RIGHT(E147,LEN(E147)-MIN(SEARCH({1,2,3,4,5,6,7,8,9,0},E147&amp;"1234567890"))+1),10),".","/"))="","",(AO147)-(MID(RIGHT((SUBSTITUTE(LEFT(RIGHT(E147,LEN(E147)-MIN(SEARCH({1,2,3,4,5,6,7,8,9,0},E147&amp;"1234567890"))+1),10),".","/")),10),4,2)&amp;"/"&amp;LEFT((RIGHT((SUBSTITUTE(LEFT(RIGHT(E147,LEN(E147)-MIN(SEARCH({1,2,3,4,5,6,7,8,9,0},E147&amp;"1234567890"))+1),10),".","/")),10)),2)&amp;"/"&amp;RIGHT((SUBSTITUTE(LEFT(RIGHT(E147,LEN(E147)-MIN(SEARCH({1,2,3,4,5,6,7,8,9,0},E147&amp;"1234567890"))+1),10),".","/")),4))))),(AO147-A147))</f>
        <v>153</v>
      </c>
      <c r="C147" s="199"/>
      <c r="D147" s="201" t="str">
        <f t="shared" si="16"/>
        <v>FGCKW2-304L/2B-1.45X760</v>
      </c>
      <c r="E147" s="201" t="s">
        <v>6672</v>
      </c>
      <c r="F147" s="201" t="s">
        <v>6673</v>
      </c>
      <c r="G147" s="201" t="s">
        <v>6674</v>
      </c>
      <c r="H147" s="201" t="s">
        <v>182</v>
      </c>
      <c r="I147" s="202" t="s">
        <v>114</v>
      </c>
      <c r="J147" s="203">
        <v>3.8</v>
      </c>
      <c r="K147" s="203">
        <v>1.45</v>
      </c>
      <c r="L147" s="203">
        <v>1.42</v>
      </c>
      <c r="M147" s="203">
        <v>1.44</v>
      </c>
      <c r="N147" s="204">
        <v>768</v>
      </c>
      <c r="O147" s="381">
        <f>0.335</f>
        <v>0.33500000000000002</v>
      </c>
      <c r="P147" s="413">
        <v>0.33500000000000002</v>
      </c>
      <c r="Q147" s="185">
        <v>760</v>
      </c>
      <c r="R147" s="430"/>
      <c r="S147" s="414"/>
      <c r="T147" s="371"/>
      <c r="U147" s="491" t="s">
        <v>390</v>
      </c>
      <c r="V147" s="491"/>
      <c r="W147" s="185" t="s">
        <v>114</v>
      </c>
      <c r="X147" s="492">
        <v>44801</v>
      </c>
      <c r="Y147" s="492"/>
      <c r="Z147" s="492">
        <v>44802</v>
      </c>
      <c r="AA147" s="492"/>
      <c r="AB147" s="492">
        <v>44802</v>
      </c>
      <c r="AC147" s="492"/>
      <c r="AD147" s="492">
        <v>44805</v>
      </c>
      <c r="AE147" s="492"/>
      <c r="AF147" s="492"/>
      <c r="AG147" s="492"/>
      <c r="AH147" s="493" t="s">
        <v>1214</v>
      </c>
      <c r="AI147" s="494" t="s">
        <v>69</v>
      </c>
      <c r="AJ147" s="494" t="s">
        <v>142</v>
      </c>
      <c r="AK147" s="495" t="s">
        <v>1215</v>
      </c>
      <c r="AL147" s="495"/>
      <c r="AM147" s="495">
        <v>44785</v>
      </c>
      <c r="AN147" s="495"/>
      <c r="AO147" s="199">
        <f t="shared" ca="1" si="19"/>
        <v>44958</v>
      </c>
      <c r="AP147" s="494">
        <f t="shared" ca="1" si="14"/>
        <v>173</v>
      </c>
      <c r="AQ147" s="494">
        <f t="shared" ca="1" si="21"/>
        <v>156</v>
      </c>
      <c r="AR147" s="495"/>
      <c r="AS147" s="495" t="s">
        <v>6675</v>
      </c>
      <c r="AT147" s="496">
        <v>12.1</v>
      </c>
      <c r="AU147" s="496">
        <v>12.11</v>
      </c>
      <c r="AV147" s="496">
        <v>12.134999999999998</v>
      </c>
      <c r="AW147" s="496">
        <v>12.139999999999999</v>
      </c>
      <c r="AX147" s="489">
        <f t="shared" ca="1" si="22"/>
        <v>156</v>
      </c>
      <c r="AY147" s="489">
        <v>447</v>
      </c>
      <c r="BA147" s="489" t="s">
        <v>123</v>
      </c>
      <c r="BB147" s="485">
        <v>44834</v>
      </c>
      <c r="BN147" s="211"/>
    </row>
    <row r="148" spans="1:66" s="489" customFormat="1" ht="18" customHeight="1" x14ac:dyDescent="0.25">
      <c r="A148" s="199">
        <v>44805</v>
      </c>
      <c r="B148" s="204">
        <f ca="1">IF(A148="",(IF(ISNUMBER(SUBSTITUTE(LEFT(RIGHT(E148,LEN(E148)-MIN(SEARCH({1,2,3,4,5,6,7,8,9,0},E148&amp;"1234567890"))+1),10),".","/"))=TRUE,AO148-(SUBSTITUTE(LEFT(RIGHT(E148,LEN(E148)-MIN(SEARCH({1,2,3,4,5,6,7,8,9,0},E148&amp;"1234567890"))+1),10),".","/")),IF((SUBSTITUTE(LEFT(RIGHT(E148,LEN(E148)-MIN(SEARCH({1,2,3,4,5,6,7,8,9,0},E148&amp;"1234567890"))+1),10),".","/"))="","",(AO148)-(MID(RIGHT((SUBSTITUTE(LEFT(RIGHT(E148,LEN(E148)-MIN(SEARCH({1,2,3,4,5,6,7,8,9,0},E148&amp;"1234567890"))+1),10),".","/")),10),4,2)&amp;"/"&amp;LEFT((RIGHT((SUBSTITUTE(LEFT(RIGHT(E148,LEN(E148)-MIN(SEARCH({1,2,3,4,5,6,7,8,9,0},E148&amp;"1234567890"))+1),10),".","/")),10)),2)&amp;"/"&amp;RIGHT((SUBSTITUTE(LEFT(RIGHT(E148,LEN(E148)-MIN(SEARCH({1,2,3,4,5,6,7,8,9,0},E148&amp;"1234567890"))+1),10),".","/")),4))))),(AO148-A148))</f>
        <v>153</v>
      </c>
      <c r="C148" s="199"/>
      <c r="D148" s="201" t="str">
        <f t="shared" si="16"/>
        <v>FGCKW2-304L/2B-1.45X760</v>
      </c>
      <c r="E148" s="201" t="s">
        <v>6672</v>
      </c>
      <c r="F148" s="201" t="s">
        <v>6673</v>
      </c>
      <c r="G148" s="201" t="s">
        <v>6676</v>
      </c>
      <c r="H148" s="201" t="s">
        <v>182</v>
      </c>
      <c r="I148" s="202" t="s">
        <v>114</v>
      </c>
      <c r="J148" s="203">
        <v>3.8</v>
      </c>
      <c r="K148" s="203">
        <v>1.45</v>
      </c>
      <c r="L148" s="203">
        <v>1.42</v>
      </c>
      <c r="M148" s="203">
        <v>1.44</v>
      </c>
      <c r="N148" s="204">
        <v>768</v>
      </c>
      <c r="O148" s="381">
        <v>0.41499999999999998</v>
      </c>
      <c r="P148" s="413">
        <v>0.41599999999999998</v>
      </c>
      <c r="Q148" s="185">
        <v>760</v>
      </c>
      <c r="R148" s="430"/>
      <c r="S148" s="414"/>
      <c r="T148" s="371"/>
      <c r="U148" s="491" t="s">
        <v>390</v>
      </c>
      <c r="V148" s="491"/>
      <c r="W148" s="185" t="s">
        <v>114</v>
      </c>
      <c r="X148" s="492">
        <v>44801</v>
      </c>
      <c r="Y148" s="492"/>
      <c r="Z148" s="492">
        <v>44802</v>
      </c>
      <c r="AA148" s="492"/>
      <c r="AB148" s="492">
        <v>44802</v>
      </c>
      <c r="AC148" s="492"/>
      <c r="AD148" s="492">
        <v>44805</v>
      </c>
      <c r="AE148" s="492"/>
      <c r="AF148" s="492"/>
      <c r="AG148" s="492"/>
      <c r="AH148" s="493" t="s">
        <v>1214</v>
      </c>
      <c r="AI148" s="494" t="s">
        <v>69</v>
      </c>
      <c r="AJ148" s="494" t="s">
        <v>142</v>
      </c>
      <c r="AK148" s="495" t="s">
        <v>1215</v>
      </c>
      <c r="AL148" s="495"/>
      <c r="AM148" s="495">
        <v>44785</v>
      </c>
      <c r="AN148" s="495"/>
      <c r="AO148" s="199">
        <f t="shared" ca="1" si="19"/>
        <v>44958</v>
      </c>
      <c r="AP148" s="494">
        <f t="shared" ca="1" si="14"/>
        <v>173</v>
      </c>
      <c r="AQ148" s="494">
        <f t="shared" ca="1" si="21"/>
        <v>156</v>
      </c>
      <c r="AR148" s="495"/>
      <c r="AS148" s="495" t="s">
        <v>6675</v>
      </c>
      <c r="AT148" s="496">
        <v>12.1</v>
      </c>
      <c r="AU148" s="496">
        <v>12.11</v>
      </c>
      <c r="AV148" s="496">
        <v>12.134999999999998</v>
      </c>
      <c r="AW148" s="496">
        <v>12.139999999999999</v>
      </c>
      <c r="AX148" s="489">
        <f t="shared" ca="1" si="22"/>
        <v>156</v>
      </c>
      <c r="AY148" s="489">
        <v>447</v>
      </c>
      <c r="BA148" s="489" t="s">
        <v>123</v>
      </c>
      <c r="BB148" s="485">
        <v>44834</v>
      </c>
      <c r="BN148" s="211"/>
    </row>
    <row r="149" spans="1:66" s="489" customFormat="1" ht="18" customHeight="1" x14ac:dyDescent="0.25">
      <c r="A149" s="199">
        <v>44812</v>
      </c>
      <c r="B149" s="204">
        <f ca="1">IF(A149="",(IF(ISNUMBER(SUBSTITUTE(LEFT(RIGHT(E149,LEN(E149)-MIN(SEARCH({1,2,3,4,5,6,7,8,9,0},E149&amp;"1234567890"))+1),10),".","/"))=TRUE,AO149-(SUBSTITUTE(LEFT(RIGHT(E149,LEN(E149)-MIN(SEARCH({1,2,3,4,5,6,7,8,9,0},E149&amp;"1234567890"))+1),10),".","/")),IF((SUBSTITUTE(LEFT(RIGHT(E149,LEN(E149)-MIN(SEARCH({1,2,3,4,5,6,7,8,9,0},E149&amp;"1234567890"))+1),10),".","/"))="","",(AO149)-(MID(RIGHT((SUBSTITUTE(LEFT(RIGHT(E149,LEN(E149)-MIN(SEARCH({1,2,3,4,5,6,7,8,9,0},E149&amp;"1234567890"))+1),10),".","/")),10),4,2)&amp;"/"&amp;LEFT((RIGHT((SUBSTITUTE(LEFT(RIGHT(E149,LEN(E149)-MIN(SEARCH({1,2,3,4,5,6,7,8,9,0},E149&amp;"1234567890"))+1),10),".","/")),10)),2)&amp;"/"&amp;RIGHT((SUBSTITUTE(LEFT(RIGHT(E149,LEN(E149)-MIN(SEARCH({1,2,3,4,5,6,7,8,9,0},E149&amp;"1234567890"))+1),10),".","/")),4))))),(AO149-A149))</f>
        <v>146</v>
      </c>
      <c r="C149" s="199"/>
      <c r="D149" s="201" t="str">
        <f t="shared" si="16"/>
        <v>FGCKW2-304L/2B-1.20X760</v>
      </c>
      <c r="E149" s="201" t="s">
        <v>6677</v>
      </c>
      <c r="F149" s="201" t="s">
        <v>6678</v>
      </c>
      <c r="G149" s="201" t="s">
        <v>6679</v>
      </c>
      <c r="H149" s="201" t="s">
        <v>182</v>
      </c>
      <c r="I149" s="202" t="s">
        <v>114</v>
      </c>
      <c r="J149" s="203">
        <v>2.89</v>
      </c>
      <c r="K149" s="203">
        <v>1.2</v>
      </c>
      <c r="L149" s="203">
        <v>1.18</v>
      </c>
      <c r="M149" s="203">
        <v>1.2</v>
      </c>
      <c r="N149" s="204">
        <v>768</v>
      </c>
      <c r="O149" s="381">
        <v>0.33</v>
      </c>
      <c r="P149" s="413">
        <v>0.33100000000000002</v>
      </c>
      <c r="Q149" s="185">
        <v>760</v>
      </c>
      <c r="R149" s="430"/>
      <c r="S149" s="414"/>
      <c r="T149" s="371"/>
      <c r="U149" s="491" t="s">
        <v>390</v>
      </c>
      <c r="V149" s="491"/>
      <c r="W149" s="185" t="s">
        <v>114</v>
      </c>
      <c r="X149" s="492">
        <v>44809</v>
      </c>
      <c r="Y149" s="492"/>
      <c r="Z149" s="492">
        <v>44809</v>
      </c>
      <c r="AA149" s="492"/>
      <c r="AB149" s="492">
        <v>44812</v>
      </c>
      <c r="AC149" s="492"/>
      <c r="AD149" s="492"/>
      <c r="AE149" s="492"/>
      <c r="AF149" s="492"/>
      <c r="AG149" s="492"/>
      <c r="AH149" s="493" t="s">
        <v>1235</v>
      </c>
      <c r="AI149" s="494" t="s">
        <v>69</v>
      </c>
      <c r="AJ149" s="494" t="s">
        <v>142</v>
      </c>
      <c r="AK149" s="495" t="s">
        <v>1053</v>
      </c>
      <c r="AL149" s="495"/>
      <c r="AM149" s="495">
        <v>44785</v>
      </c>
      <c r="AN149" s="495"/>
      <c r="AO149" s="199">
        <f t="shared" ca="1" si="19"/>
        <v>44958</v>
      </c>
      <c r="AP149" s="494">
        <f t="shared" ca="1" si="14"/>
        <v>173</v>
      </c>
      <c r="AQ149" s="494">
        <f t="shared" ca="1" si="21"/>
        <v>146</v>
      </c>
      <c r="AR149" s="495"/>
      <c r="AS149" s="495" t="s">
        <v>6680</v>
      </c>
      <c r="AT149" s="496">
        <v>7.8949999999999996</v>
      </c>
      <c r="AU149" s="496">
        <v>7.9049999999999994</v>
      </c>
      <c r="AV149" s="496">
        <v>7.93</v>
      </c>
      <c r="AW149" s="496">
        <v>7.9349999999999996</v>
      </c>
      <c r="AX149" s="489">
        <f t="shared" ca="1" si="22"/>
        <v>149</v>
      </c>
      <c r="AY149" s="489">
        <v>447</v>
      </c>
      <c r="BA149" s="489" t="s">
        <v>123</v>
      </c>
      <c r="BB149" s="485">
        <v>44834</v>
      </c>
      <c r="BN149" s="211"/>
    </row>
    <row r="150" spans="1:66" s="489" customFormat="1" ht="18" customHeight="1" x14ac:dyDescent="0.25">
      <c r="A150" s="199">
        <v>44816</v>
      </c>
      <c r="B150" s="204">
        <f ca="1">IF(A150="",(IF(ISNUMBER(SUBSTITUTE(LEFT(RIGHT(E150,LEN(E150)-MIN(SEARCH({1,2,3,4,5,6,7,8,9,0},E150&amp;"1234567890"))+1),10),".","/"))=TRUE,AO150-(SUBSTITUTE(LEFT(RIGHT(E150,LEN(E150)-MIN(SEARCH({1,2,3,4,5,6,7,8,9,0},E150&amp;"1234567890"))+1),10),".","/")),IF((SUBSTITUTE(LEFT(RIGHT(E150,LEN(E150)-MIN(SEARCH({1,2,3,4,5,6,7,8,9,0},E150&amp;"1234567890"))+1),10),".","/"))="","",(AO150)-(MID(RIGHT((SUBSTITUTE(LEFT(RIGHT(E150,LEN(E150)-MIN(SEARCH({1,2,3,4,5,6,7,8,9,0},E150&amp;"1234567890"))+1),10),".","/")),10),4,2)&amp;"/"&amp;LEFT((RIGHT((SUBSTITUTE(LEFT(RIGHT(E150,LEN(E150)-MIN(SEARCH({1,2,3,4,5,6,7,8,9,0},E150&amp;"1234567890"))+1),10),".","/")),10)),2)&amp;"/"&amp;RIGHT((SUBSTITUTE(LEFT(RIGHT(E150,LEN(E150)-MIN(SEARCH({1,2,3,4,5,6,7,8,9,0},E150&amp;"1234567890"))+1),10),".","/")),4))))),(AO150-A150))</f>
        <v>142</v>
      </c>
      <c r="C150" s="199"/>
      <c r="D150" s="201" t="str">
        <f t="shared" si="16"/>
        <v>FGCKW2-304L/2B-0.30X760</v>
      </c>
      <c r="E150" s="201" t="s">
        <v>6681</v>
      </c>
      <c r="F150" s="201" t="s">
        <v>6682</v>
      </c>
      <c r="G150" s="201" t="s">
        <v>6683</v>
      </c>
      <c r="H150" s="201" t="s">
        <v>182</v>
      </c>
      <c r="I150" s="202" t="s">
        <v>114</v>
      </c>
      <c r="J150" s="203">
        <v>0.6</v>
      </c>
      <c r="K150" s="203">
        <v>0.3</v>
      </c>
      <c r="L150" s="203">
        <v>0.28999999999999998</v>
      </c>
      <c r="M150" s="203">
        <v>0.31</v>
      </c>
      <c r="N150" s="204">
        <v>754</v>
      </c>
      <c r="O150" s="381">
        <v>0.27500000000000002</v>
      </c>
      <c r="P150" s="413">
        <v>0.27600000000000002</v>
      </c>
      <c r="Q150" s="185">
        <v>760</v>
      </c>
      <c r="R150" s="430"/>
      <c r="S150" s="414"/>
      <c r="T150" s="371"/>
      <c r="U150" s="491" t="s">
        <v>390</v>
      </c>
      <c r="V150" s="491" t="s">
        <v>761</v>
      </c>
      <c r="W150" s="185" t="s">
        <v>114</v>
      </c>
      <c r="X150" s="492" t="s">
        <v>6684</v>
      </c>
      <c r="Y150" s="492"/>
      <c r="Z150" s="492" t="s">
        <v>6685</v>
      </c>
      <c r="AA150" s="492"/>
      <c r="AB150" s="492" t="s">
        <v>6686</v>
      </c>
      <c r="AC150" s="492"/>
      <c r="AD150" s="492" t="s">
        <v>6687</v>
      </c>
      <c r="AE150" s="492"/>
      <c r="AF150" s="492"/>
      <c r="AG150" s="492"/>
      <c r="AH150" s="493" t="s">
        <v>6688</v>
      </c>
      <c r="AI150" s="494" t="s">
        <v>69</v>
      </c>
      <c r="AJ150" s="494" t="s">
        <v>142</v>
      </c>
      <c r="AK150" s="495" t="s">
        <v>6476</v>
      </c>
      <c r="AL150" s="495"/>
      <c r="AM150" s="495">
        <v>44585</v>
      </c>
      <c r="AN150" s="495"/>
      <c r="AO150" s="199">
        <f t="shared" ca="1" si="19"/>
        <v>44958</v>
      </c>
      <c r="AP150" s="494">
        <f t="shared" ca="1" si="14"/>
        <v>373</v>
      </c>
      <c r="AQ150" s="494">
        <f t="shared" ca="1" si="21"/>
        <v>142</v>
      </c>
      <c r="AR150" s="495"/>
      <c r="AS150" s="495" t="s">
        <v>6689</v>
      </c>
      <c r="AT150" s="496">
        <v>12.145</v>
      </c>
      <c r="AU150" s="496">
        <v>12.154999999999999</v>
      </c>
      <c r="AV150" s="496">
        <v>12.179999999999998</v>
      </c>
      <c r="AW150" s="496">
        <v>12.184999999999999</v>
      </c>
      <c r="AX150" s="489">
        <f t="shared" ca="1" si="22"/>
        <v>187</v>
      </c>
      <c r="AY150" s="489">
        <v>425</v>
      </c>
      <c r="BA150" s="489" t="s">
        <v>123</v>
      </c>
      <c r="BB150" s="485">
        <v>44834</v>
      </c>
      <c r="BN150" s="211"/>
    </row>
    <row r="151" spans="1:66" s="489" customFormat="1" ht="18.600000000000001" customHeight="1" x14ac:dyDescent="0.25">
      <c r="A151" s="199">
        <v>44817</v>
      </c>
      <c r="B151" s="204">
        <f ca="1">IF(A151="",(IF(ISNUMBER(SUBSTITUTE(LEFT(RIGHT(E151,LEN(E151)-MIN(SEARCH({1,2,3,4,5,6,7,8,9,0},E151&amp;"1234567890"))+1),10),".","/"))=TRUE,AO151-(SUBSTITUTE(LEFT(RIGHT(E151,LEN(E151)-MIN(SEARCH({1,2,3,4,5,6,7,8,9,0},E151&amp;"1234567890"))+1),10),".","/")),IF((SUBSTITUTE(LEFT(RIGHT(E151,LEN(E151)-MIN(SEARCH({1,2,3,4,5,6,7,8,9,0},E151&amp;"1234567890"))+1),10),".","/"))="","",(AO151)-(MID(RIGHT((SUBSTITUTE(LEFT(RIGHT(E151,LEN(E151)-MIN(SEARCH({1,2,3,4,5,6,7,8,9,0},E151&amp;"1234567890"))+1),10),".","/")),10),4,2)&amp;"/"&amp;LEFT((RIGHT((SUBSTITUTE(LEFT(RIGHT(E151,LEN(E151)-MIN(SEARCH({1,2,3,4,5,6,7,8,9,0},E151&amp;"1234567890"))+1),10),".","/")),10)),2)&amp;"/"&amp;RIGHT((SUBSTITUTE(LEFT(RIGHT(E151,LEN(E151)-MIN(SEARCH({1,2,3,4,5,6,7,8,9,0},E151&amp;"1234567890"))+1),10),".","/")),4))))),(AO151-A151))</f>
        <v>141</v>
      </c>
      <c r="C151" s="199"/>
      <c r="D151" s="201" t="str">
        <f t="shared" si="16"/>
        <v>FGCKW2-304L/2B-1.20X760</v>
      </c>
      <c r="E151" s="201" t="s">
        <v>6690</v>
      </c>
      <c r="F151" s="201" t="s">
        <v>6691</v>
      </c>
      <c r="G151" s="201" t="s">
        <v>6692</v>
      </c>
      <c r="H151" s="201" t="s">
        <v>182</v>
      </c>
      <c r="I151" s="202" t="s">
        <v>114</v>
      </c>
      <c r="J151" s="203">
        <v>3.51</v>
      </c>
      <c r="K151" s="203">
        <v>1.2</v>
      </c>
      <c r="L151" s="203">
        <v>1.18</v>
      </c>
      <c r="M151" s="203">
        <v>1.22</v>
      </c>
      <c r="N151" s="204">
        <v>769</v>
      </c>
      <c r="O151" s="381">
        <v>0.30499999999999999</v>
      </c>
      <c r="P151" s="413">
        <v>0.30599999999999999</v>
      </c>
      <c r="Q151" s="185">
        <v>760</v>
      </c>
      <c r="R151" s="430"/>
      <c r="S151" s="414"/>
      <c r="T151" s="371"/>
      <c r="U151" s="491" t="s">
        <v>390</v>
      </c>
      <c r="V151" s="491"/>
      <c r="W151" s="185" t="s">
        <v>114</v>
      </c>
      <c r="X151" s="492">
        <v>44807</v>
      </c>
      <c r="Y151" s="492"/>
      <c r="Z151" s="492">
        <v>44808</v>
      </c>
      <c r="AA151" s="492"/>
      <c r="AB151" s="492">
        <v>44816</v>
      </c>
      <c r="AC151" s="492"/>
      <c r="AD151" s="492"/>
      <c r="AE151" s="492"/>
      <c r="AF151" s="492"/>
      <c r="AG151" s="492"/>
      <c r="AH151" s="493" t="s">
        <v>4727</v>
      </c>
      <c r="AI151" s="494" t="s">
        <v>69</v>
      </c>
      <c r="AJ151" s="494" t="s">
        <v>142</v>
      </c>
      <c r="AK151" s="495" t="s">
        <v>1053</v>
      </c>
      <c r="AL151" s="495"/>
      <c r="AM151" s="495">
        <v>44785</v>
      </c>
      <c r="AN151" s="495"/>
      <c r="AO151" s="199">
        <f t="shared" ca="1" si="19"/>
        <v>44958</v>
      </c>
      <c r="AP151" s="494">
        <f t="shared" ca="1" si="14"/>
        <v>173</v>
      </c>
      <c r="AQ151" s="494">
        <f t="shared" ca="1" si="21"/>
        <v>142</v>
      </c>
      <c r="AR151" s="495"/>
      <c r="AS151" s="495" t="s">
        <v>6693</v>
      </c>
      <c r="AT151" s="496">
        <v>10.675000000000001</v>
      </c>
      <c r="AU151" s="496">
        <v>10.685</v>
      </c>
      <c r="AV151" s="496">
        <v>10.709999999999999</v>
      </c>
      <c r="AW151" s="496">
        <v>10.715</v>
      </c>
      <c r="AX151" s="489">
        <f t="shared" ca="1" si="22"/>
        <v>150</v>
      </c>
      <c r="AY151" s="489">
        <v>447</v>
      </c>
      <c r="BA151" s="489" t="s">
        <v>123</v>
      </c>
      <c r="BB151" s="485">
        <v>44834</v>
      </c>
      <c r="BN151" s="211"/>
    </row>
    <row r="152" spans="1:66" s="489" customFormat="1" ht="18" customHeight="1" x14ac:dyDescent="0.25">
      <c r="A152" s="199">
        <v>44848</v>
      </c>
      <c r="B152" s="204">
        <f ca="1">IF(A152="",(IF(ISNUMBER(SUBSTITUTE(LEFT(RIGHT(E152,LEN(E152)-MIN(SEARCH({1,2,3,4,5,6,7,8,9,0},E152&amp;"1234567890"))+1),10),".","/"))=TRUE,AO152-(SUBSTITUTE(LEFT(RIGHT(E152,LEN(E152)-MIN(SEARCH({1,2,3,4,5,6,7,8,9,0},E152&amp;"1234567890"))+1),10),".","/")),IF((SUBSTITUTE(LEFT(RIGHT(E152,LEN(E152)-MIN(SEARCH({1,2,3,4,5,6,7,8,9,0},E152&amp;"1234567890"))+1),10),".","/"))="","",(AO152)-(MID(RIGHT((SUBSTITUTE(LEFT(RIGHT(E152,LEN(E152)-MIN(SEARCH({1,2,3,4,5,6,7,8,9,0},E152&amp;"1234567890"))+1),10),".","/")),10),4,2)&amp;"/"&amp;LEFT((RIGHT((SUBSTITUTE(LEFT(RIGHT(E152,LEN(E152)-MIN(SEARCH({1,2,3,4,5,6,7,8,9,0},E152&amp;"1234567890"))+1),10),".","/")),10)),2)&amp;"/"&amp;RIGHT((SUBSTITUTE(LEFT(RIGHT(E152,LEN(E152)-MIN(SEARCH({1,2,3,4,5,6,7,8,9,0},E152&amp;"1234567890"))+1),10),".","/")),4))))),(AO152-A152))</f>
        <v>110</v>
      </c>
      <c r="C152" s="199"/>
      <c r="D152" s="201" t="str">
        <f t="shared" si="16"/>
        <v>FGCKW2-304L/2B-2.00X760</v>
      </c>
      <c r="E152" s="201" t="s">
        <v>6694</v>
      </c>
      <c r="F152" s="201" t="s">
        <v>6695</v>
      </c>
      <c r="G152" s="201" t="s">
        <v>6696</v>
      </c>
      <c r="H152" s="201" t="s">
        <v>182</v>
      </c>
      <c r="I152" s="202" t="s">
        <v>114</v>
      </c>
      <c r="J152" s="203">
        <v>3.8</v>
      </c>
      <c r="K152" s="203">
        <v>2</v>
      </c>
      <c r="L152" s="203">
        <v>2</v>
      </c>
      <c r="M152" s="203">
        <v>2.0099999999999998</v>
      </c>
      <c r="N152" s="204">
        <v>767</v>
      </c>
      <c r="O152" s="381">
        <v>0.27500000000000002</v>
      </c>
      <c r="P152" s="413">
        <v>0.27600000000000002</v>
      </c>
      <c r="Q152" s="185">
        <v>760</v>
      </c>
      <c r="R152" s="430"/>
      <c r="S152" s="414"/>
      <c r="T152" s="371"/>
      <c r="U152" s="491" t="s">
        <v>390</v>
      </c>
      <c r="V152" s="491" t="s">
        <v>761</v>
      </c>
      <c r="W152" s="185" t="s">
        <v>114</v>
      </c>
      <c r="X152" s="492">
        <v>44818</v>
      </c>
      <c r="Y152" s="492"/>
      <c r="Z152" s="492">
        <v>44818</v>
      </c>
      <c r="AA152" s="492"/>
      <c r="AB152" s="492">
        <v>44819</v>
      </c>
      <c r="AC152" s="492"/>
      <c r="AD152" s="492"/>
      <c r="AE152" s="492"/>
      <c r="AF152" s="492"/>
      <c r="AG152" s="492"/>
      <c r="AH152" s="493" t="s">
        <v>1378</v>
      </c>
      <c r="AI152" s="494" t="s">
        <v>69</v>
      </c>
      <c r="AJ152" s="494" t="s">
        <v>142</v>
      </c>
      <c r="AK152" s="495" t="s">
        <v>1391</v>
      </c>
      <c r="AL152" s="495"/>
      <c r="AM152" s="495">
        <v>44813</v>
      </c>
      <c r="AN152" s="495"/>
      <c r="AO152" s="199">
        <f t="shared" ca="1" si="19"/>
        <v>44958</v>
      </c>
      <c r="AP152" s="494">
        <f t="shared" ca="1" si="14"/>
        <v>145</v>
      </c>
      <c r="AQ152" s="494">
        <f t="shared" ca="1" si="21"/>
        <v>139</v>
      </c>
      <c r="AR152" s="495"/>
      <c r="AS152" s="495" t="s">
        <v>6697</v>
      </c>
      <c r="AT152" s="496">
        <v>11.895</v>
      </c>
      <c r="AU152" s="496">
        <v>11.904999999999999</v>
      </c>
      <c r="AV152" s="496">
        <v>11.929999999999998</v>
      </c>
      <c r="AW152" s="496">
        <v>11.934999999999999</v>
      </c>
      <c r="AX152" s="489">
        <f t="shared" ca="1" si="22"/>
        <v>140</v>
      </c>
      <c r="AY152" s="489">
        <v>451</v>
      </c>
      <c r="BA152" s="489" t="s">
        <v>123</v>
      </c>
      <c r="BB152" s="485">
        <v>44834</v>
      </c>
      <c r="BN152" s="211"/>
    </row>
    <row r="153" spans="1:66" s="489" customFormat="1" ht="18" customHeight="1" x14ac:dyDescent="0.25">
      <c r="A153" s="199">
        <v>44827</v>
      </c>
      <c r="B153" s="204">
        <f ca="1">IF(A153="",(IF(ISNUMBER(SUBSTITUTE(LEFT(RIGHT(E153,LEN(E153)-MIN(SEARCH({1,2,3,4,5,6,7,8,9,0},E153&amp;"1234567890"))+1),10),".","/"))=TRUE,AO153-(SUBSTITUTE(LEFT(RIGHT(E153,LEN(E153)-MIN(SEARCH({1,2,3,4,5,6,7,8,9,0},E153&amp;"1234567890"))+1),10),".","/")),IF((SUBSTITUTE(LEFT(RIGHT(E153,LEN(E153)-MIN(SEARCH({1,2,3,4,5,6,7,8,9,0},E153&amp;"1234567890"))+1),10),".","/"))="","",(AO153)-(MID(RIGHT((SUBSTITUTE(LEFT(RIGHT(E153,LEN(E153)-MIN(SEARCH({1,2,3,4,5,6,7,8,9,0},E153&amp;"1234567890"))+1),10),".","/")),10),4,2)&amp;"/"&amp;LEFT((RIGHT((SUBSTITUTE(LEFT(RIGHT(E153,LEN(E153)-MIN(SEARCH({1,2,3,4,5,6,7,8,9,0},E153&amp;"1234567890"))+1),10),".","/")),10)),2)&amp;"/"&amp;RIGHT((SUBSTITUTE(LEFT(RIGHT(E153,LEN(E153)-MIN(SEARCH({1,2,3,4,5,6,7,8,9,0},E153&amp;"1234567890"))+1),10),".","/")),4))))),(AO153-A153))</f>
        <v>131</v>
      </c>
      <c r="C153" s="199"/>
      <c r="D153" s="201" t="str">
        <f t="shared" si="16"/>
        <v>FGCKW2-304L/2B-0.80X630</v>
      </c>
      <c r="E153" s="201" t="s">
        <v>6694</v>
      </c>
      <c r="F153" s="201" t="s">
        <v>1393</v>
      </c>
      <c r="G153" s="201" t="s">
        <v>6698</v>
      </c>
      <c r="H153" s="201" t="s">
        <v>182</v>
      </c>
      <c r="I153" s="202" t="s">
        <v>114</v>
      </c>
      <c r="J153" s="203">
        <v>1.24</v>
      </c>
      <c r="K153" s="203">
        <v>0.8</v>
      </c>
      <c r="L153" s="203">
        <v>0.81</v>
      </c>
      <c r="M153" s="203">
        <v>0.83</v>
      </c>
      <c r="N153" s="204">
        <v>630</v>
      </c>
      <c r="O153" s="381">
        <v>0.27500000000000002</v>
      </c>
      <c r="P153" s="413">
        <v>0.27600000000000002</v>
      </c>
      <c r="Q153" s="185">
        <v>630</v>
      </c>
      <c r="R153" s="430"/>
      <c r="S153" s="414"/>
      <c r="T153" s="371"/>
      <c r="U153" s="491" t="s">
        <v>390</v>
      </c>
      <c r="V153" s="491"/>
      <c r="W153" s="185" t="s">
        <v>114</v>
      </c>
      <c r="X153" s="492">
        <v>44820</v>
      </c>
      <c r="Y153" s="492"/>
      <c r="Z153" s="492">
        <v>44820</v>
      </c>
      <c r="AA153" s="492"/>
      <c r="AB153" s="492">
        <v>44826</v>
      </c>
      <c r="AC153" s="492"/>
      <c r="AD153" s="492">
        <v>44818</v>
      </c>
      <c r="AE153" s="492">
        <v>44818</v>
      </c>
      <c r="AF153" s="492"/>
      <c r="AG153" s="492"/>
      <c r="AH153" s="493" t="s">
        <v>1395</v>
      </c>
      <c r="AI153" s="494" t="s">
        <v>114</v>
      </c>
      <c r="AJ153" s="494" t="s">
        <v>1396</v>
      </c>
      <c r="AK153" s="495" t="s">
        <v>1397</v>
      </c>
      <c r="AL153" s="495"/>
      <c r="AM153" s="495">
        <v>44554</v>
      </c>
      <c r="AN153" s="495"/>
      <c r="AO153" s="199">
        <f t="shared" ca="1" si="19"/>
        <v>44958</v>
      </c>
      <c r="AP153" s="494">
        <f t="shared" ca="1" si="14"/>
        <v>404</v>
      </c>
      <c r="AQ153" s="494">
        <f t="shared" ca="1" si="21"/>
        <v>132</v>
      </c>
      <c r="AR153" s="495"/>
      <c r="AS153" s="495" t="s">
        <v>1398</v>
      </c>
      <c r="AT153" s="496">
        <v>20.274999999999999</v>
      </c>
      <c r="AU153" s="496">
        <v>20.378</v>
      </c>
      <c r="AV153" s="496">
        <v>20.403000000000002</v>
      </c>
      <c r="AW153" s="496">
        <v>20.408000000000001</v>
      </c>
      <c r="BA153" s="489" t="s">
        <v>123</v>
      </c>
      <c r="BB153" s="485"/>
      <c r="BN153" s="211"/>
    </row>
    <row r="154" spans="1:66" s="489" customFormat="1" ht="18" customHeight="1" x14ac:dyDescent="0.25">
      <c r="A154" s="199"/>
      <c r="B154" s="204">
        <f ca="1">IF(A154="",(IF(ISNUMBER(SUBSTITUTE(LEFT(RIGHT(E154,LEN(E154)-MIN(SEARCH({1,2,3,4,5,6,7,8,9,0},E154&amp;"1234567890"))+1),10),".","/"))=TRUE,AO154-(SUBSTITUTE(LEFT(RIGHT(E154,LEN(E154)-MIN(SEARCH({1,2,3,4,5,6,7,8,9,0},E154&amp;"1234567890"))+1),10),".","/")),IF((SUBSTITUTE(LEFT(RIGHT(E154,LEN(E154)-MIN(SEARCH({1,2,3,4,5,6,7,8,9,0},E154&amp;"1234567890"))+1),10),".","/"))="","",(AO154)-(MID(RIGHT((SUBSTITUTE(LEFT(RIGHT(E154,LEN(E154)-MIN(SEARCH({1,2,3,4,5,6,7,8,9,0},E154&amp;"1234567890"))+1),10),".","/")),10),4,2)&amp;"/"&amp;LEFT((RIGHT((SUBSTITUTE(LEFT(RIGHT(E154,LEN(E154)-MIN(SEARCH({1,2,3,4,5,6,7,8,9,0},E154&amp;"1234567890"))+1),10),".","/")),10)),2)&amp;"/"&amp;RIGHT((SUBSTITUTE(LEFT(RIGHT(E154,LEN(E154)-MIN(SEARCH({1,2,3,4,5,6,7,8,9,0},E154&amp;"1234567890"))+1),10),".","/")),4))))),(AO154-A154))</f>
        <v>125</v>
      </c>
      <c r="C154" s="199"/>
      <c r="D154" s="201" t="str">
        <f t="shared" si="16"/>
        <v>FGMKW2-304L/2B-0.50X257</v>
      </c>
      <c r="E154" s="201" t="s">
        <v>6699</v>
      </c>
      <c r="F154" s="201" t="s">
        <v>6700</v>
      </c>
      <c r="G154" s="201" t="s">
        <v>6701</v>
      </c>
      <c r="H154" s="201" t="s">
        <v>182</v>
      </c>
      <c r="I154" s="202" t="s">
        <v>114</v>
      </c>
      <c r="J154" s="203">
        <v>0.9</v>
      </c>
      <c r="K154" s="203">
        <v>0.5</v>
      </c>
      <c r="L154" s="203">
        <v>0.49</v>
      </c>
      <c r="M154" s="203">
        <v>0.5</v>
      </c>
      <c r="N154" s="204">
        <f>257</f>
        <v>257</v>
      </c>
      <c r="O154" s="381">
        <v>0.34</v>
      </c>
      <c r="P154" s="413"/>
      <c r="Q154" s="185">
        <f>257</f>
        <v>257</v>
      </c>
      <c r="R154" s="430"/>
      <c r="S154" s="414"/>
      <c r="T154" s="371"/>
      <c r="U154" s="491" t="s">
        <v>390</v>
      </c>
      <c r="V154" s="491" t="s">
        <v>6702</v>
      </c>
      <c r="W154" s="185" t="s">
        <v>114</v>
      </c>
      <c r="X154" s="492" t="s">
        <v>6703</v>
      </c>
      <c r="Y154" s="492"/>
      <c r="Z154" s="492" t="s">
        <v>6704</v>
      </c>
      <c r="AA154" s="492"/>
      <c r="AB154" s="492" t="s">
        <v>6705</v>
      </c>
      <c r="AC154" s="492"/>
      <c r="AD154" s="492" t="s">
        <v>6706</v>
      </c>
      <c r="AE154" s="492"/>
      <c r="AF154" s="492"/>
      <c r="AG154" s="492"/>
      <c r="AH154" s="493" t="s">
        <v>6622</v>
      </c>
      <c r="AI154" s="494" t="s">
        <v>69</v>
      </c>
      <c r="AJ154" s="494" t="s">
        <v>142</v>
      </c>
      <c r="AK154" s="495" t="s">
        <v>990</v>
      </c>
      <c r="AL154" s="495"/>
      <c r="AM154" s="495">
        <v>44727</v>
      </c>
      <c r="AN154" s="495"/>
      <c r="AO154" s="199">
        <f t="shared" ca="1" si="19"/>
        <v>44958</v>
      </c>
      <c r="AP154" s="494">
        <f t="shared" ca="1" si="14"/>
        <v>231</v>
      </c>
      <c r="AQ154" s="494">
        <f t="shared" ca="1" si="21"/>
        <v>167</v>
      </c>
      <c r="AR154" s="495"/>
      <c r="AS154" s="495" t="s">
        <v>6707</v>
      </c>
      <c r="AT154" s="496">
        <v>10.635</v>
      </c>
      <c r="AU154" s="496">
        <v>10.645</v>
      </c>
      <c r="AV154" s="496">
        <v>10.669999999999998</v>
      </c>
      <c r="AW154" s="496">
        <v>10.674999999999999</v>
      </c>
      <c r="AX154" s="489">
        <f ca="1">IF(ISNUMBER(Z154)=TRUE,AO154-Z154,IF(Z154="","",(AO154)-(MID(RIGHT(Z154,10),4,2)&amp;"/"&amp;LEFT((RIGHT(Z154,10)),2)&amp;"/"&amp;RIGHT(Z154,4))))</f>
        <v>169</v>
      </c>
      <c r="AY154" s="489">
        <v>441</v>
      </c>
      <c r="BA154" s="489" t="s">
        <v>123</v>
      </c>
      <c r="BB154" s="485">
        <v>3</v>
      </c>
      <c r="BN154" s="211"/>
    </row>
    <row r="155" spans="1:66" s="489" customFormat="1" ht="18" customHeight="1" x14ac:dyDescent="0.25">
      <c r="A155" s="199">
        <v>44835</v>
      </c>
      <c r="B155" s="204">
        <f ca="1">IF(A155="",(IF(ISNUMBER(SUBSTITUTE(LEFT(RIGHT(E155,LEN(E155)-MIN(SEARCH({1,2,3,4,5,6,7,8,9,0},E155&amp;"1234567890"))+1),10),".","/"))=TRUE,AO155-(SUBSTITUTE(LEFT(RIGHT(E155,LEN(E155)-MIN(SEARCH({1,2,3,4,5,6,7,8,9,0},E155&amp;"1234567890"))+1),10),".","/")),IF((SUBSTITUTE(LEFT(RIGHT(E155,LEN(E155)-MIN(SEARCH({1,2,3,4,5,6,7,8,9,0},E155&amp;"1234567890"))+1),10),".","/"))="","",(AO155)-(MID(RIGHT((SUBSTITUTE(LEFT(RIGHT(E155,LEN(E155)-MIN(SEARCH({1,2,3,4,5,6,7,8,9,0},E155&amp;"1234567890"))+1),10),".","/")),10),4,2)&amp;"/"&amp;LEFT((RIGHT((SUBSTITUTE(LEFT(RIGHT(E155,LEN(E155)-MIN(SEARCH({1,2,3,4,5,6,7,8,9,0},E155&amp;"1234567890"))+1),10),".","/")),10)),2)&amp;"/"&amp;RIGHT((SUBSTITUTE(LEFT(RIGHT(E155,LEN(E155)-MIN(SEARCH({1,2,3,4,5,6,7,8,9,0},E155&amp;"1234567890"))+1),10),".","/")),4))))),(AO155-A155))</f>
        <v>123</v>
      </c>
      <c r="C155" s="199"/>
      <c r="D155" s="201" t="str">
        <f t="shared" si="16"/>
        <v>FGCKW2-304/2B-1.15X768</v>
      </c>
      <c r="E155" s="201" t="s">
        <v>6708</v>
      </c>
      <c r="F155" s="201" t="s">
        <v>6709</v>
      </c>
      <c r="G155" s="201" t="s">
        <v>6710</v>
      </c>
      <c r="H155" s="201">
        <v>304</v>
      </c>
      <c r="I155" s="202" t="s">
        <v>114</v>
      </c>
      <c r="J155" s="203">
        <v>3.18</v>
      </c>
      <c r="K155" s="203">
        <v>1.1499999999999999</v>
      </c>
      <c r="L155" s="203">
        <v>1.1399999999999999</v>
      </c>
      <c r="M155" s="203">
        <v>1.17</v>
      </c>
      <c r="N155" s="204">
        <v>768</v>
      </c>
      <c r="O155" s="381">
        <v>0.33500000000000002</v>
      </c>
      <c r="P155" s="413">
        <v>0.33600000000000002</v>
      </c>
      <c r="Q155" s="185">
        <v>768</v>
      </c>
      <c r="R155" s="430"/>
      <c r="S155" s="414"/>
      <c r="T155" s="371"/>
      <c r="U155" s="491" t="s">
        <v>390</v>
      </c>
      <c r="V155" s="491"/>
      <c r="W155" s="185" t="s">
        <v>114</v>
      </c>
      <c r="X155" s="492">
        <v>44828</v>
      </c>
      <c r="Y155" s="492"/>
      <c r="Z155" s="492">
        <v>44828</v>
      </c>
      <c r="AA155" s="492"/>
      <c r="AB155" s="492">
        <v>44834</v>
      </c>
      <c r="AC155" s="492"/>
      <c r="AD155" s="492"/>
      <c r="AE155" s="492"/>
      <c r="AF155" s="492"/>
      <c r="AG155" s="492"/>
      <c r="AH155" s="493" t="s">
        <v>6711</v>
      </c>
      <c r="AI155" s="494" t="s">
        <v>69</v>
      </c>
      <c r="AJ155" s="494" t="s">
        <v>142</v>
      </c>
      <c r="AK155" s="495" t="s">
        <v>1391</v>
      </c>
      <c r="AL155" s="495"/>
      <c r="AM155" s="495">
        <v>44813</v>
      </c>
      <c r="AN155" s="495"/>
      <c r="AO155" s="199">
        <f t="shared" ca="1" si="19"/>
        <v>44958</v>
      </c>
      <c r="AP155" s="494">
        <f t="shared" ca="1" si="14"/>
        <v>145</v>
      </c>
      <c r="AQ155" s="494">
        <f t="shared" ca="1" si="21"/>
        <v>124</v>
      </c>
      <c r="AR155" s="495"/>
      <c r="AS155" s="495" t="s">
        <v>6712</v>
      </c>
      <c r="AT155" s="496">
        <v>10.545</v>
      </c>
      <c r="AU155" s="496">
        <v>10.555</v>
      </c>
      <c r="AV155" s="496">
        <v>10.579999999999998</v>
      </c>
      <c r="AW155" s="496">
        <v>10.584999999999999</v>
      </c>
      <c r="AX155" s="489">
        <f ca="1">IF(ISNUMBER(Z155)=TRUE,AO155-Z155,IF(Z155="","",(AO155)-(MID(RIGHT(Z155,10),4,2)&amp;"/"&amp;LEFT((RIGHT(Z155,10)),2)&amp;"/"&amp;RIGHT(Z155,4))))</f>
        <v>130</v>
      </c>
      <c r="AY155" s="489">
        <v>451</v>
      </c>
      <c r="BA155" s="489" t="s">
        <v>123</v>
      </c>
      <c r="BB155" s="485"/>
      <c r="BN155" s="211"/>
    </row>
    <row r="156" spans="1:66" s="489" customFormat="1" ht="18" customHeight="1" x14ac:dyDescent="0.25">
      <c r="A156" s="199">
        <v>44837</v>
      </c>
      <c r="B156" s="204">
        <f ca="1">IF(A156="",(IF(ISNUMBER(SUBSTITUTE(LEFT(RIGHT(E156,LEN(E156)-MIN(SEARCH({1,2,3,4,5,6,7,8,9,0},E156&amp;"1234567890"))+1),10),".","/"))=TRUE,AO156-(SUBSTITUTE(LEFT(RIGHT(E156,LEN(E156)-MIN(SEARCH({1,2,3,4,5,6,7,8,9,0},E156&amp;"1234567890"))+1),10),".","/")),IF((SUBSTITUTE(LEFT(RIGHT(E156,LEN(E156)-MIN(SEARCH({1,2,3,4,5,6,7,8,9,0},E156&amp;"1234567890"))+1),10),".","/"))="","",(AO156)-(MID(RIGHT((SUBSTITUTE(LEFT(RIGHT(E156,LEN(E156)-MIN(SEARCH({1,2,3,4,5,6,7,8,9,0},E156&amp;"1234567890"))+1),10),".","/")),10),4,2)&amp;"/"&amp;LEFT((RIGHT((SUBSTITUTE(LEFT(RIGHT(E156,LEN(E156)-MIN(SEARCH({1,2,3,4,5,6,7,8,9,0},E156&amp;"1234567890"))+1),10),".","/")),10)),2)&amp;"/"&amp;RIGHT((SUBSTITUTE(LEFT(RIGHT(E156,LEN(E156)-MIN(SEARCH({1,2,3,4,5,6,7,8,9,0},E156&amp;"1234567890"))+1),10),".","/")),4))))),(AO156-A156))</f>
        <v>121</v>
      </c>
      <c r="C156" s="199"/>
      <c r="D156" s="201" t="str">
        <f t="shared" si="16"/>
        <v>FGCKW2-316L/2B-0.50X760</v>
      </c>
      <c r="E156" s="201" t="s">
        <v>6713</v>
      </c>
      <c r="F156" s="201" t="s">
        <v>6714</v>
      </c>
      <c r="G156" s="201" t="s">
        <v>6715</v>
      </c>
      <c r="H156" s="201" t="s">
        <v>135</v>
      </c>
      <c r="I156" s="202" t="s">
        <v>114</v>
      </c>
      <c r="J156" s="203">
        <v>0.95</v>
      </c>
      <c r="K156" s="203">
        <v>0.5</v>
      </c>
      <c r="L156" s="203">
        <v>0.49</v>
      </c>
      <c r="M156" s="203">
        <v>0.5</v>
      </c>
      <c r="N156" s="204">
        <v>764</v>
      </c>
      <c r="O156" s="381">
        <v>0.63</v>
      </c>
      <c r="P156" s="413">
        <v>0.63100000000000001</v>
      </c>
      <c r="Q156" s="185">
        <v>760</v>
      </c>
      <c r="R156" s="430"/>
      <c r="S156" s="414"/>
      <c r="T156" s="371"/>
      <c r="U156" s="491" t="s">
        <v>390</v>
      </c>
      <c r="V156" s="491"/>
      <c r="W156" s="185" t="s">
        <v>114</v>
      </c>
      <c r="X156" s="492" t="s">
        <v>6716</v>
      </c>
      <c r="Y156" s="492"/>
      <c r="Z156" s="492" t="s">
        <v>6717</v>
      </c>
      <c r="AA156" s="492"/>
      <c r="AB156" s="492" t="s">
        <v>6718</v>
      </c>
      <c r="AC156" s="492"/>
      <c r="AD156" s="492">
        <v>44832</v>
      </c>
      <c r="AE156" s="492"/>
      <c r="AF156" s="492"/>
      <c r="AG156" s="492"/>
      <c r="AH156" s="493" t="s">
        <v>1390</v>
      </c>
      <c r="AI156" s="494" t="s">
        <v>69</v>
      </c>
      <c r="AJ156" s="494" t="s">
        <v>142</v>
      </c>
      <c r="AK156" s="495" t="s">
        <v>6719</v>
      </c>
      <c r="AL156" s="495"/>
      <c r="AM156" s="495">
        <v>44813</v>
      </c>
      <c r="AN156" s="495"/>
      <c r="AO156" s="199">
        <f t="shared" ca="1" si="19"/>
        <v>44958</v>
      </c>
      <c r="AP156" s="494">
        <f t="shared" ca="1" si="14"/>
        <v>145</v>
      </c>
      <c r="AQ156" s="494">
        <f t="shared" ca="1" si="21"/>
        <v>121</v>
      </c>
      <c r="AR156" s="495"/>
      <c r="AS156" s="495" t="s">
        <v>6720</v>
      </c>
      <c r="AT156" s="496">
        <v>10.645</v>
      </c>
      <c r="AU156" s="496">
        <v>10.654999999999999</v>
      </c>
      <c r="AV156" s="496">
        <v>10.679999999999998</v>
      </c>
      <c r="AW156" s="496">
        <v>10.684999999999999</v>
      </c>
      <c r="AX156" s="489">
        <f ca="1">IF(ISNUMBER(Z156)=TRUE,AO156-Z156,IF(Z156="","",(AO156)-(MID(RIGHT(Z156,10),4,2)&amp;"/"&amp;LEFT((RIGHT(Z156,10)),2)&amp;"/"&amp;RIGHT(Z156,4))))</f>
        <v>125</v>
      </c>
      <c r="AY156" s="489">
        <v>451</v>
      </c>
      <c r="BA156" s="489" t="s">
        <v>123</v>
      </c>
      <c r="BB156" s="485"/>
      <c r="BN156" s="211"/>
    </row>
    <row r="157" spans="1:66" s="489" customFormat="1" ht="18" customHeight="1" x14ac:dyDescent="0.25">
      <c r="A157" s="199">
        <v>44734</v>
      </c>
      <c r="B157" s="204">
        <f ca="1">IF(A157="",(IF(ISNUMBER(SUBSTITUTE(LEFT(RIGHT(E157,LEN(E157)-MIN(SEARCH({1,2,3,4,5,6,7,8,9,0},E157&amp;"1234567890"))+1),10),".","/"))=TRUE,AO157-(SUBSTITUTE(LEFT(RIGHT(E157,LEN(E157)-MIN(SEARCH({1,2,3,4,5,6,7,8,9,0},E157&amp;"1234567890"))+1),10),".","/")),IF((SUBSTITUTE(LEFT(RIGHT(E157,LEN(E157)-MIN(SEARCH({1,2,3,4,5,6,7,8,9,0},E157&amp;"1234567890"))+1),10),".","/"))="","",(AO157)-(MID(RIGHT((SUBSTITUTE(LEFT(RIGHT(E157,LEN(E157)-MIN(SEARCH({1,2,3,4,5,6,7,8,9,0},E157&amp;"1234567890"))+1),10),".","/")),10),4,2)&amp;"/"&amp;LEFT((RIGHT((SUBSTITUTE(LEFT(RIGHT(E157,LEN(E157)-MIN(SEARCH({1,2,3,4,5,6,7,8,9,0},E157&amp;"1234567890"))+1),10),".","/")),10)),2)&amp;"/"&amp;RIGHT((SUBSTITUTE(LEFT(RIGHT(E157,LEN(E157)-MIN(SEARCH({1,2,3,4,5,6,7,8,9,0},E157&amp;"1234567890"))+1),10),".","/")),4))))),(AO157-A157))</f>
        <v>224</v>
      </c>
      <c r="C157" s="199"/>
      <c r="D157" s="201" t="str">
        <f>IF(LEFT(U157,7)="MAT RET","R"&amp;"-"&amp;H157&amp;"/"&amp;I157&amp;"-"&amp;TEXT(K157,"0.00")&amp;"X"&amp;IF(Q157="",N157,Q157),IF(N157&lt;570,"FGMKW2","FGCKW2")&amp;"-"&amp;H157&amp;"/"&amp;I157&amp;"-"&amp;TEXT(K157,"0.00")&amp;"X"&amp;IF(Q157="",N157,Q157))</f>
        <v>FGCKW2-304L/2B-0.95X760</v>
      </c>
      <c r="E157" s="201" t="s">
        <v>6721</v>
      </c>
      <c r="F157" s="201" t="s">
        <v>6722</v>
      </c>
      <c r="G157" s="201" t="s">
        <v>6723</v>
      </c>
      <c r="H157" s="201" t="s">
        <v>182</v>
      </c>
      <c r="I157" s="202" t="s">
        <v>114</v>
      </c>
      <c r="J157" s="203">
        <v>3.43</v>
      </c>
      <c r="K157" s="203">
        <v>0.95</v>
      </c>
      <c r="L157" s="203">
        <v>0.92</v>
      </c>
      <c r="M157" s="203">
        <v>0.93</v>
      </c>
      <c r="N157" s="204">
        <v>768</v>
      </c>
      <c r="O157" s="381">
        <v>0.84</v>
      </c>
      <c r="P157" s="413">
        <v>0.84099999999999997</v>
      </c>
      <c r="Q157" s="185">
        <v>760</v>
      </c>
      <c r="R157" s="414"/>
      <c r="S157" s="414"/>
      <c r="T157" s="414"/>
      <c r="U157" s="491" t="s">
        <v>390</v>
      </c>
      <c r="V157" s="491" t="s">
        <v>761</v>
      </c>
      <c r="W157" s="185" t="s">
        <v>114</v>
      </c>
      <c r="X157" s="492">
        <v>44718</v>
      </c>
      <c r="Y157" s="492"/>
      <c r="Z157" s="492">
        <v>44719</v>
      </c>
      <c r="AA157" s="492"/>
      <c r="AB157" s="492"/>
      <c r="AC157" s="492"/>
      <c r="AD157" s="492"/>
      <c r="AE157" s="492"/>
      <c r="AF157" s="492"/>
      <c r="AG157" s="492"/>
      <c r="AH157" s="493" t="s">
        <v>6724</v>
      </c>
      <c r="AI157" s="494" t="s">
        <v>69</v>
      </c>
      <c r="AJ157" s="494" t="s">
        <v>142</v>
      </c>
      <c r="AK157" s="495" t="s">
        <v>757</v>
      </c>
      <c r="AL157" s="495"/>
      <c r="AM157" s="495">
        <v>44651</v>
      </c>
      <c r="AN157" s="495"/>
      <c r="AO157" s="199">
        <f t="shared" ca="1" si="19"/>
        <v>44958</v>
      </c>
      <c r="AP157" s="494">
        <f t="shared" ca="1" si="14"/>
        <v>307</v>
      </c>
      <c r="AQ157" s="494" t="str">
        <f t="shared" si="21"/>
        <v/>
      </c>
      <c r="AR157" s="495"/>
      <c r="AS157" s="495" t="s">
        <v>6725</v>
      </c>
      <c r="AT157" s="496">
        <v>10.565</v>
      </c>
      <c r="AU157" s="496">
        <v>10.574999999999999</v>
      </c>
      <c r="AV157" s="496">
        <v>10.599999999999998</v>
      </c>
      <c r="AW157" s="496">
        <v>10.604999999999999</v>
      </c>
      <c r="AX157" s="489">
        <f ca="1">IF(ISNUMBER(Z157)=TRUE,AO157-Z157,IF(Z157="","",(AO157)-(MID(RIGHT(Z157,10),4,2)&amp;"/"&amp;LEFT((RIGHT(Z157,10)),2)&amp;"/"&amp;RIGHT(Z157,4))))</f>
        <v>239</v>
      </c>
      <c r="BA157" s="489" t="s">
        <v>123</v>
      </c>
      <c r="BB157" s="485">
        <v>44834</v>
      </c>
      <c r="BN157" s="211"/>
    </row>
    <row r="158" spans="1:66" s="489" customFormat="1" ht="18.75" customHeight="1" x14ac:dyDescent="0.25">
      <c r="A158" s="199">
        <v>44838</v>
      </c>
      <c r="B158" s="204">
        <f ca="1">IF(A158="",(IF(ISNUMBER(SUBSTITUTE(LEFT(RIGHT(E158,LEN(E158)-MIN(SEARCH({1,2,3,4,5,6,7,8,9,0},E158&amp;"1234567890"))+1),10),".","/"))=TRUE,AO158-(SUBSTITUTE(LEFT(RIGHT(E158,LEN(E158)-MIN(SEARCH({1,2,3,4,5,6,7,8,9,0},E158&amp;"1234567890"))+1),10),".","/")),IF((SUBSTITUTE(LEFT(RIGHT(E158,LEN(E158)-MIN(SEARCH({1,2,3,4,5,6,7,8,9,0},E158&amp;"1234567890"))+1),10),".","/"))="","",(AO158)-(MID(RIGHT((SUBSTITUTE(LEFT(RIGHT(E158,LEN(E158)-MIN(SEARCH({1,2,3,4,5,6,7,8,9,0},E158&amp;"1234567890"))+1),10),".","/")),10),4,2)&amp;"/"&amp;LEFT((RIGHT((SUBSTITUTE(LEFT(RIGHT(E158,LEN(E158)-MIN(SEARCH({1,2,3,4,5,6,7,8,9,0},E158&amp;"1234567890"))+1),10),".","/")),10)),2)&amp;"/"&amp;RIGHT((SUBSTITUTE(LEFT(RIGHT(E158,LEN(E158)-MIN(SEARCH({1,2,3,4,5,6,7,8,9,0},E158&amp;"1234567890"))+1),10),".","/")),4))))),(AO158-A158))</f>
        <v>120</v>
      </c>
      <c r="C158" s="199"/>
      <c r="D158" s="201" t="str">
        <f>IF(LEFT(V158,7)="MAT RET","R"&amp;"-"&amp;H158&amp;"/"&amp;I158&amp;"-"&amp;TEXT(K158,"0.00")&amp;"X"&amp;IF(Q158="",N158,Q158),IF(N158&lt;570,"FGMKW2","FGCKW2")&amp;"-"&amp;H158&amp;"/"&amp;I158&amp;"-"&amp;TEXT(K158,"0.00")&amp;"X"&amp;IF(Q158="",N158,Q158))</f>
        <v>FGCKW2-304L/2B-2.00X760</v>
      </c>
      <c r="E158" s="201" t="s">
        <v>6726</v>
      </c>
      <c r="F158" s="201" t="s">
        <v>6727</v>
      </c>
      <c r="G158" s="201" t="s">
        <v>6728</v>
      </c>
      <c r="H158" s="201" t="s">
        <v>182</v>
      </c>
      <c r="I158" s="202" t="s">
        <v>114</v>
      </c>
      <c r="J158" s="203">
        <v>3.93</v>
      </c>
      <c r="K158" s="203">
        <v>2</v>
      </c>
      <c r="L158" s="203">
        <v>1.97</v>
      </c>
      <c r="M158" s="203">
        <v>1.98</v>
      </c>
      <c r="N158" s="204">
        <v>768</v>
      </c>
      <c r="O158" s="381">
        <v>0.77</v>
      </c>
      <c r="P158" s="413">
        <v>0.77100000000000002</v>
      </c>
      <c r="Q158" s="185">
        <v>760</v>
      </c>
      <c r="R158" s="430"/>
      <c r="S158" s="414"/>
      <c r="T158" s="371"/>
      <c r="U158" s="491" t="s">
        <v>390</v>
      </c>
      <c r="V158" s="491"/>
      <c r="W158" s="185" t="s">
        <v>114</v>
      </c>
      <c r="X158" s="492">
        <v>44827</v>
      </c>
      <c r="Y158" s="492"/>
      <c r="Z158" s="492">
        <v>44828</v>
      </c>
      <c r="AA158" s="492"/>
      <c r="AB158" s="492">
        <v>44837</v>
      </c>
      <c r="AC158" s="492"/>
      <c r="AD158" s="492"/>
      <c r="AE158" s="492"/>
      <c r="AF158" s="492"/>
      <c r="AG158" s="492"/>
      <c r="AH158" s="493" t="s">
        <v>6711</v>
      </c>
      <c r="AI158" s="494" t="s">
        <v>69</v>
      </c>
      <c r="AJ158" s="494" t="s">
        <v>142</v>
      </c>
      <c r="AK158" s="495" t="s">
        <v>6729</v>
      </c>
      <c r="AL158" s="495"/>
      <c r="AM158" s="495">
        <v>44813</v>
      </c>
      <c r="AN158" s="495"/>
      <c r="AO158" s="199">
        <f t="shared" ca="1" si="19"/>
        <v>44958</v>
      </c>
      <c r="AP158" s="494">
        <f t="shared" ca="1" si="14"/>
        <v>145</v>
      </c>
      <c r="AQ158" s="494">
        <f t="shared" ca="1" si="21"/>
        <v>121</v>
      </c>
      <c r="AR158" s="495"/>
      <c r="AS158" s="495" t="s">
        <v>6730</v>
      </c>
      <c r="AT158" s="496">
        <v>12.25</v>
      </c>
      <c r="AU158" s="496">
        <v>12.26</v>
      </c>
      <c r="AV158" s="496">
        <v>12.284999999999998</v>
      </c>
      <c r="AW158" s="496">
        <v>12.29</v>
      </c>
      <c r="AX158" s="489">
        <f ca="1">IF(ISNUMBER(Z158)=TRUE,AO158-Z158,IF(Z158="","",(AO158)-(MID(RIGHT(Z158,10),4,2)&amp;"/"&amp;LEFT((RIGHT(Z158,10)),2)&amp;"/"&amp;RIGHT(Z158,4))))</f>
        <v>130</v>
      </c>
      <c r="AY158" s="489">
        <v>451</v>
      </c>
      <c r="BA158" s="489" t="s">
        <v>123</v>
      </c>
      <c r="BN158" s="211"/>
    </row>
    <row r="159" spans="1:66" s="489" customFormat="1" ht="17.25" customHeight="1" x14ac:dyDescent="0.25">
      <c r="A159" s="199">
        <v>44852</v>
      </c>
      <c r="B159" s="204">
        <f ca="1">IF(A159="",(IF(ISNUMBER(SUBSTITUTE(LEFT(RIGHT(E159,LEN(E159)-MIN(SEARCH({1,2,3,4,5,6,7,8,9,0},E159&amp;"1234567890"))+1),10),".","/"))=TRUE,AO159-(SUBSTITUTE(LEFT(RIGHT(E159,LEN(E159)-MIN(SEARCH({1,2,3,4,5,6,7,8,9,0},E159&amp;"1234567890"))+1),10),".","/")),IF((SUBSTITUTE(LEFT(RIGHT(E159,LEN(E159)-MIN(SEARCH({1,2,3,4,5,6,7,8,9,0},E159&amp;"1234567890"))+1),10),".","/"))="","",(AO159)-(MID(RIGHT((SUBSTITUTE(LEFT(RIGHT(E159,LEN(E159)-MIN(SEARCH({1,2,3,4,5,6,7,8,9,0},E159&amp;"1234567890"))+1),10),".","/")),10),4,2)&amp;"/"&amp;LEFT((RIGHT((SUBSTITUTE(LEFT(RIGHT(E159,LEN(E159)-MIN(SEARCH({1,2,3,4,5,6,7,8,9,0},E159&amp;"1234567890"))+1),10),".","/")),10)),2)&amp;"/"&amp;RIGHT((SUBSTITUTE(LEFT(RIGHT(E159,LEN(E159)-MIN(SEARCH({1,2,3,4,5,6,7,8,9,0},E159&amp;"1234567890"))+1),10),".","/")),4))))),(AO159-A159))</f>
        <v>106</v>
      </c>
      <c r="C159" s="199"/>
      <c r="D159" s="201" t="str">
        <f>IF(LEFT(V159,7)="MAT RET","R"&amp;"-"&amp;H159&amp;"/"&amp;I159&amp;"-"&amp;TEXT(K159,"0.00")&amp;"X"&amp;IF(Q159="",N159,Q159),IF(N159&lt;570,"FGMKW2","FGCKW2")&amp;"-"&amp;H159&amp;"/"&amp;I159&amp;"-"&amp;TEXT(K159,"0.00")&amp;"X"&amp;IF(Q159="",N159,Q159))</f>
        <v>FGCKW2-304/2B-1.50X760</v>
      </c>
      <c r="E159" s="201" t="s">
        <v>6731</v>
      </c>
      <c r="F159" s="201" t="s">
        <v>6732</v>
      </c>
      <c r="G159" s="201" t="s">
        <v>6733</v>
      </c>
      <c r="H159" s="201">
        <v>304</v>
      </c>
      <c r="I159" s="202" t="s">
        <v>114</v>
      </c>
      <c r="J159" s="203">
        <v>3.8</v>
      </c>
      <c r="K159" s="203">
        <v>1.5</v>
      </c>
      <c r="L159" s="203"/>
      <c r="M159" s="203"/>
      <c r="N159" s="204">
        <v>766</v>
      </c>
      <c r="O159" s="381">
        <v>1.595</v>
      </c>
      <c r="P159" s="413">
        <v>1.5960000000000001</v>
      </c>
      <c r="Q159" s="185">
        <v>760</v>
      </c>
      <c r="R159" s="430"/>
      <c r="S159" s="414"/>
      <c r="T159" s="371"/>
      <c r="U159" s="491" t="s">
        <v>390</v>
      </c>
      <c r="V159" s="491" t="s">
        <v>6734</v>
      </c>
      <c r="W159" s="185" t="s">
        <v>114</v>
      </c>
      <c r="X159" s="492">
        <v>44850</v>
      </c>
      <c r="Y159" s="492"/>
      <c r="Z159" s="492">
        <v>44851</v>
      </c>
      <c r="AA159" s="492"/>
      <c r="AB159" s="492"/>
      <c r="AC159" s="492"/>
      <c r="AD159" s="492"/>
      <c r="AE159" s="492"/>
      <c r="AF159" s="492"/>
      <c r="AG159" s="492"/>
      <c r="AH159" s="493" t="s">
        <v>6735</v>
      </c>
      <c r="AI159" s="494" t="s">
        <v>69</v>
      </c>
      <c r="AJ159" s="494" t="s">
        <v>142</v>
      </c>
      <c r="AK159" s="495" t="s">
        <v>6719</v>
      </c>
      <c r="AL159" s="495"/>
      <c r="AM159" s="495">
        <v>44849</v>
      </c>
      <c r="AN159" s="495"/>
      <c r="AO159" s="199">
        <f t="shared" ca="1" si="19"/>
        <v>44958</v>
      </c>
      <c r="AP159" s="494">
        <f t="shared" ca="1" si="14"/>
        <v>109</v>
      </c>
      <c r="AQ159" s="494" t="str">
        <f t="shared" si="21"/>
        <v/>
      </c>
      <c r="AR159" s="495"/>
      <c r="AS159" s="495" t="s">
        <v>6736</v>
      </c>
      <c r="AT159" s="496">
        <v>10.33</v>
      </c>
      <c r="AU159" s="496">
        <v>10.34</v>
      </c>
      <c r="AV159" s="496">
        <v>10.364999999999998</v>
      </c>
      <c r="AW159" s="496">
        <v>10.37</v>
      </c>
      <c r="AY159" s="489">
        <v>456</v>
      </c>
      <c r="BA159" s="489" t="s">
        <v>123</v>
      </c>
      <c r="BN159" s="211"/>
    </row>
    <row r="160" spans="1:66" s="489" customFormat="1" ht="18" customHeight="1" x14ac:dyDescent="0.25">
      <c r="A160" s="199">
        <v>44862</v>
      </c>
      <c r="B160" s="204">
        <f ca="1">IF(A160="",(IF(ISNUMBER(SUBSTITUTE(LEFT(RIGHT(E160,LEN(E160)-MIN(SEARCH({1,2,3,4,5,6,7,8,9,0},E160&amp;"1234567890"))+1),10),".","/"))=TRUE,AO160-(SUBSTITUTE(LEFT(RIGHT(E160,LEN(E160)-MIN(SEARCH({1,2,3,4,5,6,7,8,9,0},E160&amp;"1234567890"))+1),10),".","/")),IF((SUBSTITUTE(LEFT(RIGHT(E160,LEN(E160)-MIN(SEARCH({1,2,3,4,5,6,7,8,9,0},E160&amp;"1234567890"))+1),10),".","/"))="","",(AO160)-(MID(RIGHT((SUBSTITUTE(LEFT(RIGHT(E160,LEN(E160)-MIN(SEARCH({1,2,3,4,5,6,7,8,9,0},E160&amp;"1234567890"))+1),10),".","/")),10),4,2)&amp;"/"&amp;LEFT((RIGHT((SUBSTITUTE(LEFT(RIGHT(E160,LEN(E160)-MIN(SEARCH({1,2,3,4,5,6,7,8,9,0},E160&amp;"1234567890"))+1),10),".","/")),10)),2)&amp;"/"&amp;RIGHT((SUBSTITUTE(LEFT(RIGHT(E160,LEN(E160)-MIN(SEARCH({1,2,3,4,5,6,7,8,9,0},E160&amp;"1234567890"))+1),10),".","/")),4))))),(AO160-A160))</f>
        <v>96</v>
      </c>
      <c r="C160" s="199"/>
      <c r="D160" s="201" t="str">
        <f>IF(LEFT(U160,7)="MAT RET","R"&amp;"-"&amp;H160&amp;"/"&amp;I160&amp;"-"&amp;TEXT(K160,"0.00")&amp;"X"&amp;IF(Q160="",N160,Q160),IF(N160&lt;570,"FGMKW2","FGCKW2")&amp;"-"&amp;H160&amp;"/"&amp;I160&amp;"-"&amp;TEXT(K160,"0.00")&amp;"X"&amp;IF(Q160="",N160,Q160))</f>
        <v>FGCKW2-304/304L/FH-0.30X766</v>
      </c>
      <c r="E160" s="201" t="s">
        <v>6737</v>
      </c>
      <c r="F160" s="201" t="s">
        <v>6738</v>
      </c>
      <c r="G160" s="201" t="s">
        <v>6739</v>
      </c>
      <c r="H160" s="201" t="s">
        <v>614</v>
      </c>
      <c r="I160" s="202" t="s">
        <v>70</v>
      </c>
      <c r="J160" s="203">
        <v>0.6</v>
      </c>
      <c r="K160" s="203">
        <v>0.3</v>
      </c>
      <c r="L160" s="203"/>
      <c r="M160" s="203"/>
      <c r="N160" s="204">
        <v>766</v>
      </c>
      <c r="O160" s="381">
        <v>0.34</v>
      </c>
      <c r="P160" s="413">
        <v>0.34100000000000003</v>
      </c>
      <c r="Q160" s="185">
        <v>766</v>
      </c>
      <c r="R160" s="430"/>
      <c r="S160" s="414"/>
      <c r="T160" s="371"/>
      <c r="U160" s="491" t="s">
        <v>390</v>
      </c>
      <c r="V160" s="491" t="s">
        <v>6740</v>
      </c>
      <c r="W160" s="185" t="s">
        <v>114</v>
      </c>
      <c r="X160" s="492" t="s">
        <v>6741</v>
      </c>
      <c r="Y160" s="492"/>
      <c r="Z160" s="492" t="s">
        <v>6742</v>
      </c>
      <c r="AA160" s="492"/>
      <c r="AB160" s="492" t="s">
        <v>6743</v>
      </c>
      <c r="AC160" s="492"/>
      <c r="AD160" s="492" t="s">
        <v>6744</v>
      </c>
      <c r="AE160" s="492"/>
      <c r="AF160" s="492"/>
      <c r="AG160" s="492"/>
      <c r="AH160" s="493"/>
      <c r="AI160" s="494" t="s">
        <v>69</v>
      </c>
      <c r="AJ160" s="494" t="s">
        <v>142</v>
      </c>
      <c r="AK160" s="495" t="s">
        <v>6303</v>
      </c>
      <c r="AL160" s="495"/>
      <c r="AM160" s="495">
        <v>44283</v>
      </c>
      <c r="AN160" s="495"/>
      <c r="AO160" s="199">
        <f t="shared" ca="1" si="19"/>
        <v>44958</v>
      </c>
      <c r="AP160" s="494">
        <f t="shared" ca="1" si="14"/>
        <v>675</v>
      </c>
      <c r="AQ160" s="494">
        <f t="shared" ca="1" si="21"/>
        <v>664</v>
      </c>
      <c r="AR160" s="495"/>
      <c r="AS160" s="495" t="s">
        <v>6745</v>
      </c>
      <c r="AT160" s="496">
        <v>8.6750000000000007</v>
      </c>
      <c r="AU160" s="496">
        <v>8.6950000000000003</v>
      </c>
      <c r="AV160" s="496">
        <v>8.7199999999999989</v>
      </c>
      <c r="AW160" s="496">
        <v>8.7249999999999996</v>
      </c>
      <c r="AX160" s="489">
        <f t="shared" ref="AX160:AX171" ca="1" si="23">IF(ISNUMBER(Z160)=TRUE,AO160-Z160,IF(Z160="","",(AO160)-(MID(RIGHT(Z160,10),4,2)&amp;"/"&amp;LEFT((RIGHT(Z160,10)),2)&amp;"/"&amp;RIGHT(Z160,4))))</f>
        <v>120</v>
      </c>
      <c r="AY160" s="489">
        <v>369</v>
      </c>
      <c r="BA160" s="489" t="s">
        <v>123</v>
      </c>
      <c r="BL160" s="489" t="s">
        <v>611</v>
      </c>
      <c r="BN160" s="211"/>
    </row>
    <row r="161" spans="1:69" s="489" customFormat="1" ht="18" customHeight="1" x14ac:dyDescent="0.25">
      <c r="A161" s="199">
        <v>44862</v>
      </c>
      <c r="B161" s="204">
        <f ca="1">IF(A161="",(IF(ISNUMBER(SUBSTITUTE(LEFT(RIGHT(E161,LEN(E161)-MIN(SEARCH({1,2,3,4,5,6,7,8,9,0},E161&amp;"1234567890"))+1),10),".","/"))=TRUE,AO161-(SUBSTITUTE(LEFT(RIGHT(E161,LEN(E161)-MIN(SEARCH({1,2,3,4,5,6,7,8,9,0},E161&amp;"1234567890"))+1),10),".","/")),IF((SUBSTITUTE(LEFT(RIGHT(E161,LEN(E161)-MIN(SEARCH({1,2,3,4,5,6,7,8,9,0},E161&amp;"1234567890"))+1),10),".","/"))="","",(AO161)-(MID(RIGHT((SUBSTITUTE(LEFT(RIGHT(E161,LEN(E161)-MIN(SEARCH({1,2,3,4,5,6,7,8,9,0},E161&amp;"1234567890"))+1),10),".","/")),10),4,2)&amp;"/"&amp;LEFT((RIGHT((SUBSTITUTE(LEFT(RIGHT(E161,LEN(E161)-MIN(SEARCH({1,2,3,4,5,6,7,8,9,0},E161&amp;"1234567890"))+1),10),".","/")),10)),2)&amp;"/"&amp;RIGHT((SUBSTITUTE(LEFT(RIGHT(E161,LEN(E161)-MIN(SEARCH({1,2,3,4,5,6,7,8,9,0},E161&amp;"1234567890"))+1),10),".","/")),4))))),(AO161-A161))</f>
        <v>96</v>
      </c>
      <c r="C161" s="199"/>
      <c r="D161" s="201" t="str">
        <f>IF(LEFT(V161,7)="MAT RET","R"&amp;"-"&amp;H161&amp;"/"&amp;I161&amp;"-"&amp;TEXT(K161,"0.00")&amp;"X"&amp;IF(Q161="",N161,Q161),IF(N161&lt;570,"FGMKW2","FGCKW2")&amp;"-"&amp;H161&amp;"/"&amp;I161&amp;"-"&amp;TEXT(K161,"0.00")&amp;"X"&amp;IF(Q161="",N161,Q161))</f>
        <v>FGCKW2-304/2B-0.30X760</v>
      </c>
      <c r="E161" s="201" t="s">
        <v>6746</v>
      </c>
      <c r="F161" s="201" t="s">
        <v>984</v>
      </c>
      <c r="G161" s="201" t="s">
        <v>6747</v>
      </c>
      <c r="H161" s="201">
        <v>304</v>
      </c>
      <c r="I161" s="202" t="s">
        <v>114</v>
      </c>
      <c r="J161" s="203">
        <v>0.6</v>
      </c>
      <c r="K161" s="203">
        <v>0.3</v>
      </c>
      <c r="L161" s="203">
        <v>0.3</v>
      </c>
      <c r="M161" s="203">
        <v>0.31</v>
      </c>
      <c r="N161" s="204">
        <v>761</v>
      </c>
      <c r="O161" s="381">
        <v>0.38</v>
      </c>
      <c r="P161" s="413">
        <v>0.38100000000000001</v>
      </c>
      <c r="Q161" s="185">
        <v>760</v>
      </c>
      <c r="R161" s="430"/>
      <c r="S161" s="414"/>
      <c r="T161" s="371"/>
      <c r="U161" s="491" t="s">
        <v>390</v>
      </c>
      <c r="V161" s="491" t="s">
        <v>1210</v>
      </c>
      <c r="W161" s="185" t="s">
        <v>114</v>
      </c>
      <c r="X161" s="492" t="s">
        <v>987</v>
      </c>
      <c r="Y161" s="492"/>
      <c r="Z161" s="492" t="s">
        <v>987</v>
      </c>
      <c r="AA161" s="492"/>
      <c r="AB161" s="492" t="s">
        <v>6748</v>
      </c>
      <c r="AC161" s="492"/>
      <c r="AD161" s="492" t="s">
        <v>6749</v>
      </c>
      <c r="AE161" s="492"/>
      <c r="AF161" s="492"/>
      <c r="AG161" s="492"/>
      <c r="AH161" s="493" t="s">
        <v>989</v>
      </c>
      <c r="AI161" s="494" t="s">
        <v>69</v>
      </c>
      <c r="AJ161" s="494" t="s">
        <v>142</v>
      </c>
      <c r="AK161" s="495" t="s">
        <v>990</v>
      </c>
      <c r="AL161" s="495"/>
      <c r="AM161" s="495">
        <v>44727</v>
      </c>
      <c r="AN161" s="495"/>
      <c r="AO161" s="199">
        <f t="shared" ca="1" si="19"/>
        <v>44958</v>
      </c>
      <c r="AP161" s="494">
        <f t="shared" ca="1" si="14"/>
        <v>231</v>
      </c>
      <c r="AQ161" s="494">
        <f t="shared" ca="1" si="21"/>
        <v>100</v>
      </c>
      <c r="AR161" s="495"/>
      <c r="AS161" s="495" t="s">
        <v>991</v>
      </c>
      <c r="AT161" s="496">
        <v>10.494999999999999</v>
      </c>
      <c r="AU161" s="496">
        <v>10.504999999999999</v>
      </c>
      <c r="AV161" s="496">
        <v>10.529999999999998</v>
      </c>
      <c r="AW161" s="496">
        <v>10.534999999999998</v>
      </c>
      <c r="AX161" s="489">
        <f t="shared" ca="1" si="23"/>
        <v>124</v>
      </c>
      <c r="AY161" s="489">
        <v>441</v>
      </c>
      <c r="BA161" s="489" t="s">
        <v>123</v>
      </c>
      <c r="BN161" s="211"/>
    </row>
    <row r="162" spans="1:69" s="200" customFormat="1" ht="18.75" customHeight="1" x14ac:dyDescent="0.25">
      <c r="A162" s="199">
        <v>44883</v>
      </c>
      <c r="B162" s="204">
        <f ca="1">IF(A162="",(IF(ISNUMBER(SUBSTITUTE(LEFT(RIGHT(E162,LEN(E162)-MIN(SEARCH({1,2,3,4,5,6,7,8,9,0},E162&amp;"1234567890"))+1),10),".","/"))=TRUE,AO162-(SUBSTITUTE(LEFT(RIGHT(E162,LEN(E162)-MIN(SEARCH({1,2,3,4,5,6,7,8,9,0},E162&amp;"1234567890"))+1),10),".","/")),IF((SUBSTITUTE(LEFT(RIGHT(E162,LEN(E162)-MIN(SEARCH({1,2,3,4,5,6,7,8,9,0},E162&amp;"1234567890"))+1),10),".","/"))="","",(AO162)-(MID(RIGHT((SUBSTITUTE(LEFT(RIGHT(E162,LEN(E162)-MIN(SEARCH({1,2,3,4,5,6,7,8,9,0},E162&amp;"1234567890"))+1),10),".","/")),10),4,2)&amp;"/"&amp;LEFT((RIGHT((SUBSTITUTE(LEFT(RIGHT(E162,LEN(E162)-MIN(SEARCH({1,2,3,4,5,6,7,8,9,0},E162&amp;"1234567890"))+1),10),".","/")),10)),2)&amp;"/"&amp;RIGHT((SUBSTITUTE(LEFT(RIGHT(E162,LEN(E162)-MIN(SEARCH({1,2,3,4,5,6,7,8,9,0},E162&amp;"1234567890"))+1),10),".","/")),4))))),(AO162-A162))</f>
        <v>75</v>
      </c>
      <c r="C162" s="199"/>
      <c r="D162" s="201" t="str">
        <f t="shared" ref="D162:D166" si="24">IF(LEFT(V162,7)="MAT RET","R"&amp;"-"&amp;H162&amp;"/"&amp;I162&amp;"-"&amp;TEXT(K162,"0.00")&amp;"X"&amp;IF(Q162="",N162,Q162),IF(N162&lt;570,"FGMKW2","FGCKW2")&amp;"-"&amp;H162&amp;"/"&amp;I162&amp;"-"&amp;TEXT(K162,"0.00")&amp;"X"&amp;IF(Q162="",N162,Q162))</f>
        <v>FGCKW2-304L/2B-1.00X760</v>
      </c>
      <c r="E162" s="201" t="s">
        <v>6750</v>
      </c>
      <c r="F162" s="201" t="s">
        <v>6751</v>
      </c>
      <c r="G162" s="201" t="s">
        <v>6752</v>
      </c>
      <c r="H162" s="201" t="s">
        <v>182</v>
      </c>
      <c r="I162" s="202" t="s">
        <v>114</v>
      </c>
      <c r="J162" s="203">
        <v>3.47</v>
      </c>
      <c r="K162" s="203">
        <v>1</v>
      </c>
      <c r="L162" s="203">
        <v>0.98</v>
      </c>
      <c r="M162" s="203">
        <v>1.03</v>
      </c>
      <c r="N162" s="204">
        <v>774</v>
      </c>
      <c r="O162" s="381">
        <v>0.49</v>
      </c>
      <c r="P162" s="413">
        <v>0.49099999999999999</v>
      </c>
      <c r="Q162" s="185">
        <v>760</v>
      </c>
      <c r="R162" s="430"/>
      <c r="S162" s="414"/>
      <c r="T162" s="371"/>
      <c r="U162" s="206" t="s">
        <v>390</v>
      </c>
      <c r="V162" s="206"/>
      <c r="W162" s="185" t="s">
        <v>114</v>
      </c>
      <c r="X162" s="205">
        <v>44863</v>
      </c>
      <c r="Y162" s="205"/>
      <c r="Z162" s="205">
        <v>44864</v>
      </c>
      <c r="AA162" s="205"/>
      <c r="AB162" s="205"/>
      <c r="AC162" s="205"/>
      <c r="AD162" s="205"/>
      <c r="AE162" s="205"/>
      <c r="AF162" s="205"/>
      <c r="AG162" s="205"/>
      <c r="AH162" s="207" t="s">
        <v>6735</v>
      </c>
      <c r="AI162" s="208" t="s">
        <v>69</v>
      </c>
      <c r="AJ162" s="208" t="s">
        <v>142</v>
      </c>
      <c r="AK162" s="209" t="s">
        <v>1594</v>
      </c>
      <c r="AL162" s="209"/>
      <c r="AM162" s="209">
        <v>44849</v>
      </c>
      <c r="AN162" s="209"/>
      <c r="AO162" s="199">
        <f t="shared" ca="1" si="19"/>
        <v>44958</v>
      </c>
      <c r="AP162" s="208">
        <f t="shared" ca="1" si="14"/>
        <v>109</v>
      </c>
      <c r="AQ162" s="208" t="str">
        <f t="shared" si="21"/>
        <v/>
      </c>
      <c r="AR162" s="209"/>
      <c r="AS162" s="209" t="s">
        <v>6753</v>
      </c>
      <c r="AT162" s="210">
        <v>10.615</v>
      </c>
      <c r="AU162" s="210">
        <v>10.625</v>
      </c>
      <c r="AV162" s="210">
        <v>10.649999999999999</v>
      </c>
      <c r="AW162" s="210">
        <v>10.654999999999999</v>
      </c>
      <c r="AX162" s="200">
        <f t="shared" ca="1" si="23"/>
        <v>94</v>
      </c>
      <c r="AY162" s="200">
        <v>456</v>
      </c>
      <c r="BA162" s="200" t="s">
        <v>123</v>
      </c>
      <c r="BN162" s="211"/>
    </row>
    <row r="163" spans="1:69" s="200" customFormat="1" ht="18.75" customHeight="1" x14ac:dyDescent="0.25">
      <c r="A163" s="199">
        <v>44883</v>
      </c>
      <c r="B163" s="204">
        <f ca="1">IF(A163="",(IF(ISNUMBER(SUBSTITUTE(LEFT(RIGHT(E163,LEN(E163)-MIN(SEARCH({1,2,3,4,5,6,7,8,9,0},E163&amp;"1234567890"))+1),10),".","/"))=TRUE,AO163-(SUBSTITUTE(LEFT(RIGHT(E163,LEN(E163)-MIN(SEARCH({1,2,3,4,5,6,7,8,9,0},E163&amp;"1234567890"))+1),10),".","/")),IF((SUBSTITUTE(LEFT(RIGHT(E163,LEN(E163)-MIN(SEARCH({1,2,3,4,5,6,7,8,9,0},E163&amp;"1234567890"))+1),10),".","/"))="","",(AO163)-(MID(RIGHT((SUBSTITUTE(LEFT(RIGHT(E163,LEN(E163)-MIN(SEARCH({1,2,3,4,5,6,7,8,9,0},E163&amp;"1234567890"))+1),10),".","/")),10),4,2)&amp;"/"&amp;LEFT((RIGHT((SUBSTITUTE(LEFT(RIGHT(E163,LEN(E163)-MIN(SEARCH({1,2,3,4,5,6,7,8,9,0},E163&amp;"1234567890"))+1),10),".","/")),10)),2)&amp;"/"&amp;RIGHT((SUBSTITUTE(LEFT(RIGHT(E163,LEN(E163)-MIN(SEARCH({1,2,3,4,5,6,7,8,9,0},E163&amp;"1234567890"))+1),10),".","/")),4))))),(AO163-A163))</f>
        <v>75</v>
      </c>
      <c r="C163" s="199"/>
      <c r="D163" s="201" t="str">
        <f t="shared" si="24"/>
        <v>FGCKW2-304/2B-0.50X760</v>
      </c>
      <c r="E163" s="201" t="s">
        <v>6754</v>
      </c>
      <c r="F163" s="201" t="s">
        <v>6755</v>
      </c>
      <c r="G163" s="201" t="s">
        <v>6756</v>
      </c>
      <c r="H163" s="201">
        <v>304</v>
      </c>
      <c r="I163" s="202" t="s">
        <v>114</v>
      </c>
      <c r="J163" s="203">
        <v>0.95</v>
      </c>
      <c r="K163" s="203">
        <v>0.5</v>
      </c>
      <c r="L163" s="203">
        <v>0.49</v>
      </c>
      <c r="M163" s="203">
        <v>0.51</v>
      </c>
      <c r="N163" s="204">
        <v>762</v>
      </c>
      <c r="O163" s="381">
        <v>0.29499999999999998</v>
      </c>
      <c r="P163" s="413">
        <v>0.29599999999999999</v>
      </c>
      <c r="Q163" s="185">
        <v>760</v>
      </c>
      <c r="R163" s="430"/>
      <c r="S163" s="414"/>
      <c r="T163" s="371"/>
      <c r="U163" s="206" t="s">
        <v>390</v>
      </c>
      <c r="V163" s="206" t="s">
        <v>986</v>
      </c>
      <c r="W163" s="185" t="s">
        <v>114</v>
      </c>
      <c r="X163" s="205" t="s">
        <v>6757</v>
      </c>
      <c r="Y163" s="205"/>
      <c r="Z163" s="205" t="s">
        <v>6757</v>
      </c>
      <c r="AA163" s="205"/>
      <c r="AB163" s="205" t="s">
        <v>6758</v>
      </c>
      <c r="AC163" s="205"/>
      <c r="AD163" s="205" t="s">
        <v>6758</v>
      </c>
      <c r="AE163" s="205"/>
      <c r="AF163" s="205"/>
      <c r="AG163" s="205"/>
      <c r="AH163" s="207" t="s">
        <v>1378</v>
      </c>
      <c r="AI163" s="208" t="s">
        <v>69</v>
      </c>
      <c r="AJ163" s="208" t="s">
        <v>142</v>
      </c>
      <c r="AK163" s="209" t="s">
        <v>6759</v>
      </c>
      <c r="AL163" s="209"/>
      <c r="AM163" s="209">
        <v>44813</v>
      </c>
      <c r="AN163" s="209"/>
      <c r="AO163" s="199">
        <f t="shared" ca="1" si="19"/>
        <v>44958</v>
      </c>
      <c r="AP163" s="208">
        <f t="shared" ca="1" si="14"/>
        <v>145</v>
      </c>
      <c r="AQ163" s="208">
        <f t="shared" ca="1" si="21"/>
        <v>100</v>
      </c>
      <c r="AR163" s="209"/>
      <c r="AS163" s="209" t="s">
        <v>6760</v>
      </c>
      <c r="AT163" s="210">
        <v>12.14</v>
      </c>
      <c r="AU163" s="210">
        <v>12.15</v>
      </c>
      <c r="AV163" s="210">
        <v>12.174999999999999</v>
      </c>
      <c r="AW163" s="210">
        <v>12.18</v>
      </c>
      <c r="AX163" s="200">
        <f t="shared" ca="1" si="23"/>
        <v>103</v>
      </c>
      <c r="AY163" s="200">
        <v>451</v>
      </c>
      <c r="BA163" s="200" t="s">
        <v>123</v>
      </c>
      <c r="BN163" s="211"/>
    </row>
    <row r="164" spans="1:69" s="200" customFormat="1" ht="18" customHeight="1" x14ac:dyDescent="0.25">
      <c r="A164" s="199">
        <v>44900</v>
      </c>
      <c r="B164" s="204">
        <f ca="1">IF(A164="",(IF(ISNUMBER(SUBSTITUTE(LEFT(RIGHT(E164,LEN(E164)-MIN(SEARCH({1,2,3,4,5,6,7,8,9,0},E164&amp;"1234567890"))+1),10),".","/"))=TRUE,AO164-(SUBSTITUTE(LEFT(RIGHT(E164,LEN(E164)-MIN(SEARCH({1,2,3,4,5,6,7,8,9,0},E164&amp;"1234567890"))+1),10),".","/")),IF((SUBSTITUTE(LEFT(RIGHT(E164,LEN(E164)-MIN(SEARCH({1,2,3,4,5,6,7,8,9,0},E164&amp;"1234567890"))+1),10),".","/"))="","",(AO164)-(MID(RIGHT((SUBSTITUTE(LEFT(RIGHT(E164,LEN(E164)-MIN(SEARCH({1,2,3,4,5,6,7,8,9,0},E164&amp;"1234567890"))+1),10),".","/")),10),4,2)&amp;"/"&amp;LEFT((RIGHT((SUBSTITUTE(LEFT(RIGHT(E164,LEN(E164)-MIN(SEARCH({1,2,3,4,5,6,7,8,9,0},E164&amp;"1234567890"))+1),10),".","/")),10)),2)&amp;"/"&amp;RIGHT((SUBSTITUTE(LEFT(RIGHT(E164,LEN(E164)-MIN(SEARCH({1,2,3,4,5,6,7,8,9,0},E164&amp;"1234567890"))+1),10),".","/")),4))))),(AO164-A164))</f>
        <v>58</v>
      </c>
      <c r="C164" s="199"/>
      <c r="D164" s="201" t="str">
        <f t="shared" si="24"/>
        <v>FGCKW2-316L/2B-0.90X778</v>
      </c>
      <c r="E164" s="201" t="s">
        <v>6761</v>
      </c>
      <c r="F164" s="201" t="s">
        <v>6762</v>
      </c>
      <c r="G164" s="201" t="s">
        <v>6763</v>
      </c>
      <c r="H164" s="201" t="s">
        <v>135</v>
      </c>
      <c r="I164" s="202" t="s">
        <v>114</v>
      </c>
      <c r="J164" s="203">
        <v>1.5</v>
      </c>
      <c r="K164" s="203">
        <v>0.9</v>
      </c>
      <c r="L164" s="203">
        <v>0.87</v>
      </c>
      <c r="M164" s="203">
        <v>0.92</v>
      </c>
      <c r="N164" s="204">
        <v>778</v>
      </c>
      <c r="O164" s="381">
        <v>0.81</v>
      </c>
      <c r="P164" s="413">
        <v>0.81100000000000005</v>
      </c>
      <c r="Q164" s="185">
        <v>778</v>
      </c>
      <c r="R164" s="430"/>
      <c r="S164" s="414"/>
      <c r="T164" s="371"/>
      <c r="U164" s="206" t="s">
        <v>390</v>
      </c>
      <c r="V164" s="206"/>
      <c r="W164" s="185" t="s">
        <v>114</v>
      </c>
      <c r="X164" s="205" t="s">
        <v>6764</v>
      </c>
      <c r="Y164" s="205"/>
      <c r="Z164" s="205" t="s">
        <v>6765</v>
      </c>
      <c r="AA164" s="205"/>
      <c r="AB164" s="205" t="s">
        <v>6766</v>
      </c>
      <c r="AC164" s="205"/>
      <c r="AD164" s="205">
        <v>44866</v>
      </c>
      <c r="AE164" s="205">
        <v>44858</v>
      </c>
      <c r="AF164" s="205"/>
      <c r="AG164" s="205"/>
      <c r="AH164" s="207" t="s">
        <v>1374</v>
      </c>
      <c r="AI164" s="208" t="s">
        <v>69</v>
      </c>
      <c r="AJ164" s="208" t="s">
        <v>142</v>
      </c>
      <c r="AK164" s="209" t="s">
        <v>1346</v>
      </c>
      <c r="AL164" s="209"/>
      <c r="AM164" s="209">
        <v>44813</v>
      </c>
      <c r="AN164" s="209"/>
      <c r="AO164" s="199">
        <f t="shared" ca="1" si="19"/>
        <v>44958</v>
      </c>
      <c r="AP164" s="208">
        <f t="shared" ca="1" si="14"/>
        <v>145</v>
      </c>
      <c r="AQ164" s="208">
        <f t="shared" ca="1" si="21"/>
        <v>60</v>
      </c>
      <c r="AR164" s="209"/>
      <c r="AS164" s="209" t="s">
        <v>6767</v>
      </c>
      <c r="AT164" s="210">
        <v>21.545000000000002</v>
      </c>
      <c r="AU164" s="210">
        <v>21.605</v>
      </c>
      <c r="AV164" s="210">
        <v>21.630000000000003</v>
      </c>
      <c r="AW164" s="210">
        <v>21.635000000000002</v>
      </c>
      <c r="AX164" s="200">
        <f t="shared" ca="1" si="23"/>
        <v>71</v>
      </c>
      <c r="AY164" s="200">
        <v>451</v>
      </c>
      <c r="BA164" s="200" t="s">
        <v>123</v>
      </c>
      <c r="BN164" s="211"/>
    </row>
    <row r="165" spans="1:69" s="200" customFormat="1" ht="18" customHeight="1" x14ac:dyDescent="0.25">
      <c r="A165" s="199"/>
      <c r="B165" s="204">
        <f ca="1">IF(A165="",(IF(ISNUMBER(SUBSTITUTE(LEFT(RIGHT(E165,LEN(E165)-MIN(SEARCH({1,2,3,4,5,6,7,8,9,0},E165&amp;"1234567890"))+1),10),".","/"))=TRUE,AO165-(SUBSTITUTE(LEFT(RIGHT(E165,LEN(E165)-MIN(SEARCH({1,2,3,4,5,6,7,8,9,0},E165&amp;"1234567890"))+1),10),".","/")),IF((SUBSTITUTE(LEFT(RIGHT(E165,LEN(E165)-MIN(SEARCH({1,2,3,4,5,6,7,8,9,0},E165&amp;"1234567890"))+1),10),".","/"))="","",(AO165)-(MID(RIGHT((SUBSTITUTE(LEFT(RIGHT(E165,LEN(E165)-MIN(SEARCH({1,2,3,4,5,6,7,8,9,0},E165&amp;"1234567890"))+1),10),".","/")),10),4,2)&amp;"/"&amp;LEFT((RIGHT((SUBSTITUTE(LEFT(RIGHT(E165,LEN(E165)-MIN(SEARCH({1,2,3,4,5,6,7,8,9,0},E165&amp;"1234567890"))+1),10),".","/")),10)),2)&amp;"/"&amp;RIGHT((SUBSTITUTE(LEFT(RIGHT(E165,LEN(E165)-MIN(SEARCH({1,2,3,4,5,6,7,8,9,0},E165&amp;"1234567890"))+1),10),".","/")),4))))),(AO165-A165))</f>
        <v>54</v>
      </c>
      <c r="C165" s="199"/>
      <c r="D165" s="201" t="str">
        <f t="shared" si="24"/>
        <v>FGCKW2-304/2B-2.00X768</v>
      </c>
      <c r="E165" s="201" t="s">
        <v>6768</v>
      </c>
      <c r="F165" s="201" t="s">
        <v>6769</v>
      </c>
      <c r="G165" s="201" t="s">
        <v>6770</v>
      </c>
      <c r="H165" s="201">
        <v>304</v>
      </c>
      <c r="I165" s="202" t="s">
        <v>114</v>
      </c>
      <c r="J165" s="203">
        <v>3.85</v>
      </c>
      <c r="K165" s="203">
        <v>2</v>
      </c>
      <c r="L165" s="203">
        <v>2.0099999999999998</v>
      </c>
      <c r="M165" s="203">
        <v>2.0299999999999998</v>
      </c>
      <c r="N165" s="204">
        <v>768</v>
      </c>
      <c r="O165" s="381">
        <v>0.54500000000000004</v>
      </c>
      <c r="P165" s="413"/>
      <c r="Q165" s="185">
        <v>768</v>
      </c>
      <c r="R165" s="430"/>
      <c r="S165" s="414"/>
      <c r="T165" s="371"/>
      <c r="U165" s="206" t="s">
        <v>390</v>
      </c>
      <c r="V165" s="206"/>
      <c r="W165" s="185" t="s">
        <v>114</v>
      </c>
      <c r="X165" s="205">
        <v>44894</v>
      </c>
      <c r="Y165" s="205"/>
      <c r="Z165" s="205">
        <v>44895</v>
      </c>
      <c r="AA165" s="205"/>
      <c r="AB165" s="205"/>
      <c r="AC165" s="205"/>
      <c r="AD165" s="205"/>
      <c r="AE165" s="205"/>
      <c r="AF165" s="205"/>
      <c r="AG165" s="205"/>
      <c r="AH165" s="207" t="s">
        <v>4550</v>
      </c>
      <c r="AI165" s="208" t="s">
        <v>69</v>
      </c>
      <c r="AJ165" s="208" t="s">
        <v>142</v>
      </c>
      <c r="AK165" s="209" t="s">
        <v>2283</v>
      </c>
      <c r="AL165" s="209"/>
      <c r="AM165" s="209">
        <v>44880</v>
      </c>
      <c r="AN165" s="209"/>
      <c r="AO165" s="199">
        <f t="shared" ca="1" si="19"/>
        <v>44958</v>
      </c>
      <c r="AP165" s="208">
        <f t="shared" ca="1" si="14"/>
        <v>78</v>
      </c>
      <c r="AQ165" s="208" t="str">
        <f t="shared" si="21"/>
        <v/>
      </c>
      <c r="AR165" s="209"/>
      <c r="AS165" s="209" t="s">
        <v>6771</v>
      </c>
      <c r="AT165" s="210">
        <v>10.455</v>
      </c>
      <c r="AU165" s="210">
        <v>10.465</v>
      </c>
      <c r="AV165" s="210">
        <v>10.489999999999998</v>
      </c>
      <c r="AW165" s="210">
        <v>10.494999999999999</v>
      </c>
      <c r="AX165" s="200">
        <f t="shared" ca="1" si="23"/>
        <v>63</v>
      </c>
      <c r="AY165" s="200">
        <v>459</v>
      </c>
      <c r="BA165" s="200" t="s">
        <v>123</v>
      </c>
      <c r="BN165" s="211"/>
    </row>
    <row r="166" spans="1:69" s="200" customFormat="1" ht="18.75" customHeight="1" x14ac:dyDescent="0.25">
      <c r="A166" s="199">
        <v>44918</v>
      </c>
      <c r="B166" s="204">
        <f ca="1">IF(A166="",(IF(ISNUMBER(SUBSTITUTE(LEFT(RIGHT(E166,LEN(E166)-MIN(SEARCH({1,2,3,4,5,6,7,8,9,0},E166&amp;"1234567890"))+1),10),".","/"))=TRUE,AO166-(SUBSTITUTE(LEFT(RIGHT(E166,LEN(E166)-MIN(SEARCH({1,2,3,4,5,6,7,8,9,0},E166&amp;"1234567890"))+1),10),".","/")),IF((SUBSTITUTE(LEFT(RIGHT(E166,LEN(E166)-MIN(SEARCH({1,2,3,4,5,6,7,8,9,0},E166&amp;"1234567890"))+1),10),".","/"))="","",(AO166)-(MID(RIGHT((SUBSTITUTE(LEFT(RIGHT(E166,LEN(E166)-MIN(SEARCH({1,2,3,4,5,6,7,8,9,0},E166&amp;"1234567890"))+1),10),".","/")),10),4,2)&amp;"/"&amp;LEFT((RIGHT((SUBSTITUTE(LEFT(RIGHT(E166,LEN(E166)-MIN(SEARCH({1,2,3,4,5,6,7,8,9,0},E166&amp;"1234567890"))+1),10),".","/")),10)),2)&amp;"/"&amp;RIGHT((SUBSTITUTE(LEFT(RIGHT(E166,LEN(E166)-MIN(SEARCH({1,2,3,4,5,6,7,8,9,0},E166&amp;"1234567890"))+1),10),".","/")),4))))),(AO166-A166))</f>
        <v>40</v>
      </c>
      <c r="C166" s="199"/>
      <c r="D166" s="201" t="str">
        <f t="shared" si="24"/>
        <v>FGCKW2-304L/2B-1.45X770</v>
      </c>
      <c r="E166" s="201" t="s">
        <v>6772</v>
      </c>
      <c r="F166" s="201" t="s">
        <v>6773</v>
      </c>
      <c r="G166" s="201" t="s">
        <v>6774</v>
      </c>
      <c r="H166" s="201" t="s">
        <v>182</v>
      </c>
      <c r="I166" s="202" t="s">
        <v>114</v>
      </c>
      <c r="J166" s="203">
        <v>3.78</v>
      </c>
      <c r="K166" s="203">
        <v>1.45</v>
      </c>
      <c r="L166" s="203"/>
      <c r="M166" s="203"/>
      <c r="N166" s="204">
        <v>770</v>
      </c>
      <c r="O166" s="381">
        <v>0.34</v>
      </c>
      <c r="P166" s="413">
        <v>0.34100000000000003</v>
      </c>
      <c r="Q166" s="185">
        <v>770</v>
      </c>
      <c r="R166" s="430"/>
      <c r="S166" s="414"/>
      <c r="T166" s="371"/>
      <c r="U166" s="206" t="s">
        <v>390</v>
      </c>
      <c r="V166" s="206"/>
      <c r="W166" s="185" t="s">
        <v>114</v>
      </c>
      <c r="X166" s="205">
        <v>44886</v>
      </c>
      <c r="Y166" s="205"/>
      <c r="Z166" s="205">
        <v>44887</v>
      </c>
      <c r="AA166" s="205"/>
      <c r="AB166" s="205">
        <v>44918</v>
      </c>
      <c r="AC166" s="205"/>
      <c r="AD166" s="205"/>
      <c r="AE166" s="205"/>
      <c r="AF166" s="205"/>
      <c r="AG166" s="205"/>
      <c r="AH166" s="207" t="s">
        <v>6775</v>
      </c>
      <c r="AI166" s="208" t="s">
        <v>69</v>
      </c>
      <c r="AJ166" s="208" t="s">
        <v>142</v>
      </c>
      <c r="AK166" s="209" t="s">
        <v>1653</v>
      </c>
      <c r="AL166" s="209"/>
      <c r="AM166" s="209">
        <v>44849</v>
      </c>
      <c r="AN166" s="209"/>
      <c r="AO166" s="199">
        <f t="shared" ca="1" si="19"/>
        <v>44958</v>
      </c>
      <c r="AP166" s="208">
        <f t="shared" ca="1" si="14"/>
        <v>109</v>
      </c>
      <c r="AQ166" s="208">
        <f t="shared" ca="1" si="21"/>
        <v>40</v>
      </c>
      <c r="AR166" s="209"/>
      <c r="AS166" s="209" t="s">
        <v>6776</v>
      </c>
      <c r="AT166" s="210">
        <v>11.81</v>
      </c>
      <c r="AU166" s="210">
        <v>11.82</v>
      </c>
      <c r="AV166" s="210">
        <v>11.844999999999999</v>
      </c>
      <c r="AW166" s="210">
        <v>11.85</v>
      </c>
      <c r="AX166" s="200">
        <f t="shared" ca="1" si="23"/>
        <v>71</v>
      </c>
      <c r="AY166" s="200">
        <v>456</v>
      </c>
      <c r="BA166" s="200" t="s">
        <v>123</v>
      </c>
      <c r="BN166" s="211"/>
    </row>
    <row r="167" spans="1:69" s="200" customFormat="1" ht="18.75" customHeight="1" x14ac:dyDescent="0.25">
      <c r="A167" s="199">
        <v>44943</v>
      </c>
      <c r="B167" s="204">
        <f ca="1">IF(A167="",(IF(ISNUMBER(SUBSTITUTE(LEFT(RIGHT(E167,LEN(E167)-MIN(SEARCH({1,2,3,4,5,6,7,8,9,0},E167&amp;"1234567890"))+1),10),".","/"))=TRUE,AO167-(SUBSTITUTE(LEFT(RIGHT(E167,LEN(E167)-MIN(SEARCH({1,2,3,4,5,6,7,8,9,0},E167&amp;"1234567890"))+1),10),".","/")),IF((SUBSTITUTE(LEFT(RIGHT(E167,LEN(E167)-MIN(SEARCH({1,2,3,4,5,6,7,8,9,0},E167&amp;"1234567890"))+1),10),".","/"))="","",(AO167)-(MID(RIGHT((SUBSTITUTE(LEFT(RIGHT(E167,LEN(E167)-MIN(SEARCH({1,2,3,4,5,6,7,8,9,0},E167&amp;"1234567890"))+1),10),".","/")),10),4,2)&amp;"/"&amp;LEFT((RIGHT((SUBSTITUTE(LEFT(RIGHT(E167,LEN(E167)-MIN(SEARCH({1,2,3,4,5,6,7,8,9,0},E167&amp;"1234567890"))+1),10),".","/")),10)),2)&amp;"/"&amp;RIGHT((SUBSTITUTE(LEFT(RIGHT(E167,LEN(E167)-MIN(SEARCH({1,2,3,4,5,6,7,8,9,0},E167&amp;"1234567890"))+1),10),".","/")),4))))),(AO167-A167))</f>
        <v>15</v>
      </c>
      <c r="C167" s="199"/>
      <c r="D167" s="201" t="str">
        <f>IF(Q167="MULTI","FGM","FGC")&amp;"-"&amp;H167&amp;"/"&amp;I167&amp;"-"&amp;TEXT(K167,"0.00")&amp;"X"&amp;IF(Q167="MULTI",N167,Q167)</f>
        <v>FGC-304L/2B-0.30X615</v>
      </c>
      <c r="E167" s="201" t="s">
        <v>5219</v>
      </c>
      <c r="F167" s="201" t="s">
        <v>3992</v>
      </c>
      <c r="G167" s="201" t="s">
        <v>5220</v>
      </c>
      <c r="H167" s="201" t="s">
        <v>182</v>
      </c>
      <c r="I167" s="202" t="s">
        <v>114</v>
      </c>
      <c r="J167" s="203">
        <v>0.57999999999999996</v>
      </c>
      <c r="K167" s="203">
        <v>0.3</v>
      </c>
      <c r="L167" s="203"/>
      <c r="M167" s="203"/>
      <c r="N167" s="204">
        <v>630</v>
      </c>
      <c r="O167" s="381">
        <v>0.35499999999999998</v>
      </c>
      <c r="P167" s="413">
        <v>0.35599999999999998</v>
      </c>
      <c r="Q167" s="185">
        <v>615</v>
      </c>
      <c r="R167" s="430"/>
      <c r="S167" s="414"/>
      <c r="T167" s="371"/>
      <c r="U167" s="206" t="s">
        <v>390</v>
      </c>
      <c r="V167" s="206"/>
      <c r="W167" s="185" t="s">
        <v>114</v>
      </c>
      <c r="X167" s="205" t="s">
        <v>3994</v>
      </c>
      <c r="Y167" s="205"/>
      <c r="Z167" s="205">
        <v>44936</v>
      </c>
      <c r="AA167" s="205">
        <v>44923</v>
      </c>
      <c r="AB167" s="205" t="s">
        <v>4694</v>
      </c>
      <c r="AC167" s="205"/>
      <c r="AD167" s="205" t="s">
        <v>3969</v>
      </c>
      <c r="AE167" s="205"/>
      <c r="AF167" s="205"/>
      <c r="AG167" s="205"/>
      <c r="AH167" s="207" t="s">
        <v>2479</v>
      </c>
      <c r="AI167" s="208" t="s">
        <v>69</v>
      </c>
      <c r="AJ167" s="208" t="s">
        <v>142</v>
      </c>
      <c r="AK167" s="209" t="s">
        <v>1594</v>
      </c>
      <c r="AL167" s="209"/>
      <c r="AM167" s="209">
        <v>44849</v>
      </c>
      <c r="AN167" s="209"/>
      <c r="AO167" s="199">
        <f t="shared" ca="1" si="19"/>
        <v>44958</v>
      </c>
      <c r="AP167" s="208">
        <f t="shared" ca="1" si="14"/>
        <v>109</v>
      </c>
      <c r="AQ167" s="208">
        <f t="shared" ca="1" si="21"/>
        <v>19</v>
      </c>
      <c r="AR167" s="209"/>
      <c r="AS167" s="209" t="s">
        <v>3995</v>
      </c>
      <c r="AT167" s="210">
        <v>10.705</v>
      </c>
      <c r="AU167" s="210">
        <v>10.715</v>
      </c>
      <c r="AV167" s="210">
        <v>10.739999999999998</v>
      </c>
      <c r="AW167" s="210">
        <v>10.744999999999999</v>
      </c>
      <c r="AX167" s="200">
        <f t="shared" ca="1" si="23"/>
        <v>22</v>
      </c>
      <c r="AY167" s="200">
        <v>456</v>
      </c>
      <c r="BA167" s="200" t="s">
        <v>123</v>
      </c>
      <c r="BN167" s="211"/>
    </row>
    <row r="168" spans="1:69" s="200" customFormat="1" ht="18.75" customHeight="1" x14ac:dyDescent="0.25">
      <c r="A168" s="199">
        <v>44945</v>
      </c>
      <c r="B168" s="204">
        <f ca="1">IF(A168="",(IF(ISNUMBER(SUBSTITUTE(LEFT(RIGHT(E168,LEN(E168)-MIN(SEARCH({1,2,3,4,5,6,7,8,9,0},E168&amp;"1234567890"))+1),10),".","/"))=TRUE,AO168-(SUBSTITUTE(LEFT(RIGHT(E168,LEN(E168)-MIN(SEARCH({1,2,3,4,5,6,7,8,9,0},E168&amp;"1234567890"))+1),10),".","/")),IF((SUBSTITUTE(LEFT(RIGHT(E168,LEN(E168)-MIN(SEARCH({1,2,3,4,5,6,7,8,9,0},E168&amp;"1234567890"))+1),10),".","/"))="","",(AO168)-(MID(RIGHT((SUBSTITUTE(LEFT(RIGHT(E168,LEN(E168)-MIN(SEARCH({1,2,3,4,5,6,7,8,9,0},E168&amp;"1234567890"))+1),10),".","/")),10),4,2)&amp;"/"&amp;LEFT((RIGHT((SUBSTITUTE(LEFT(RIGHT(E168,LEN(E168)-MIN(SEARCH({1,2,3,4,5,6,7,8,9,0},E168&amp;"1234567890"))+1),10),".","/")),10)),2)&amp;"/"&amp;RIGHT((SUBSTITUTE(LEFT(RIGHT(E168,LEN(E168)-MIN(SEARCH({1,2,3,4,5,6,7,8,9,0},E168&amp;"1234567890"))+1),10),".","/")),4))))),(AO168-A168))</f>
        <v>13</v>
      </c>
      <c r="C168" s="199"/>
      <c r="D168" s="201" t="str">
        <f>IF(Q168="MULTI","FGM","FGC")&amp;"-"&amp;H168&amp;"/"&amp;I168&amp;"-"&amp;TEXT(K168,"0.00")&amp;"X"&amp;IF(Q168="MULTI",N168,Q168)</f>
        <v>FGC-304L/2B-1.20X635</v>
      </c>
      <c r="E168" s="201" t="s">
        <v>5266</v>
      </c>
      <c r="F168" s="201" t="s">
        <v>4081</v>
      </c>
      <c r="G168" s="201" t="s">
        <v>5260</v>
      </c>
      <c r="H168" s="201" t="s">
        <v>182</v>
      </c>
      <c r="I168" s="202" t="s">
        <v>114</v>
      </c>
      <c r="J168" s="203">
        <v>2.87</v>
      </c>
      <c r="K168" s="203">
        <v>1.2</v>
      </c>
      <c r="L168" s="203">
        <v>1.17</v>
      </c>
      <c r="M168" s="203">
        <v>1.18</v>
      </c>
      <c r="N168" s="204">
        <v>639</v>
      </c>
      <c r="O168" s="381">
        <v>0.28499999999999998</v>
      </c>
      <c r="P168" s="413">
        <v>0.28599999999999998</v>
      </c>
      <c r="Q168" s="185">
        <v>635</v>
      </c>
      <c r="R168" s="430"/>
      <c r="S168" s="414"/>
      <c r="T168" s="371"/>
      <c r="U168" s="206" t="s">
        <v>390</v>
      </c>
      <c r="V168" s="206"/>
      <c r="W168" s="185" t="s">
        <v>114</v>
      </c>
      <c r="X168" s="205">
        <v>44940</v>
      </c>
      <c r="Y168" s="205"/>
      <c r="Z168" s="205"/>
      <c r="AA168" s="205">
        <v>44940</v>
      </c>
      <c r="AB168" s="205">
        <v>44944</v>
      </c>
      <c r="AC168" s="205"/>
      <c r="AD168" s="205" t="s">
        <v>5261</v>
      </c>
      <c r="AE168" s="205"/>
      <c r="AF168" s="205"/>
      <c r="AG168" s="205"/>
      <c r="AH168" s="207" t="s">
        <v>2479</v>
      </c>
      <c r="AI168" s="208" t="s">
        <v>69</v>
      </c>
      <c r="AJ168" s="208" t="s">
        <v>142</v>
      </c>
      <c r="AK168" s="209" t="s">
        <v>1657</v>
      </c>
      <c r="AL168" s="209"/>
      <c r="AM168" s="209">
        <v>44849</v>
      </c>
      <c r="AN168" s="209"/>
      <c r="AO168" s="199">
        <f t="shared" ca="1" si="19"/>
        <v>44958</v>
      </c>
      <c r="AP168" s="208">
        <f t="shared" ref="AP168:AP173" ca="1" si="25">IF(AM168&lt;&gt;0,AO168-AM168,0)</f>
        <v>109</v>
      </c>
      <c r="AQ168" s="208">
        <f t="shared" ca="1" si="21"/>
        <v>14</v>
      </c>
      <c r="AR168" s="209"/>
      <c r="AS168" s="209" t="s">
        <v>3939</v>
      </c>
      <c r="AT168" s="210">
        <v>10.585000000000001</v>
      </c>
      <c r="AU168" s="210">
        <v>10.595000000000001</v>
      </c>
      <c r="AV168" s="210">
        <v>10.62</v>
      </c>
      <c r="AW168" s="210">
        <v>10.625</v>
      </c>
      <c r="AX168" s="200" t="str">
        <f t="shared" si="23"/>
        <v/>
      </c>
      <c r="AY168" s="200">
        <v>456</v>
      </c>
      <c r="BA168" s="200" t="s">
        <v>123</v>
      </c>
      <c r="BN168" s="211"/>
    </row>
    <row r="169" spans="1:69" s="200" customFormat="1" ht="18.75" customHeight="1" x14ac:dyDescent="0.25">
      <c r="A169" s="199"/>
      <c r="B169" s="204"/>
      <c r="C169" s="199"/>
      <c r="D169" s="201" t="str">
        <f>IF(Q169="MULTI","FGM","FGC")&amp;"-"&amp;H169&amp;"/"&amp;I169&amp;"-"&amp;TEXT(K169,"0.00")&amp;"X"&amp;IF(Q169="MULTI",N169,Q169)</f>
        <v>FGC-304/2B-1.15X760</v>
      </c>
      <c r="E169" s="201" t="s">
        <v>5025</v>
      </c>
      <c r="F169" s="201" t="s">
        <v>3949</v>
      </c>
      <c r="G169" s="201" t="s">
        <v>5027</v>
      </c>
      <c r="H169" s="201">
        <v>304</v>
      </c>
      <c r="I169" s="202" t="s">
        <v>114</v>
      </c>
      <c r="J169" s="203">
        <v>3.51</v>
      </c>
      <c r="K169" s="203">
        <v>1.1499999999999999</v>
      </c>
      <c r="L169" s="203">
        <v>1.1299999999999999</v>
      </c>
      <c r="M169" s="203">
        <v>1.1499999999999999</v>
      </c>
      <c r="N169" s="204">
        <v>777</v>
      </c>
      <c r="O169" s="381">
        <v>0.54</v>
      </c>
      <c r="P169" s="413"/>
      <c r="Q169" s="185">
        <v>760</v>
      </c>
      <c r="R169" s="430"/>
      <c r="S169" s="414"/>
      <c r="T169" s="371"/>
      <c r="U169" s="206" t="s">
        <v>390</v>
      </c>
      <c r="V169" s="206"/>
      <c r="W169" s="185" t="s">
        <v>114</v>
      </c>
      <c r="X169" s="205">
        <v>44933</v>
      </c>
      <c r="Y169" s="205"/>
      <c r="Z169" s="205">
        <v>44933</v>
      </c>
      <c r="AA169" s="205"/>
      <c r="AB169" s="205"/>
      <c r="AC169" s="205">
        <v>44948</v>
      </c>
      <c r="AD169" s="205"/>
      <c r="AE169" s="205">
        <v>44930</v>
      </c>
      <c r="AF169" s="205"/>
      <c r="AG169" s="205"/>
      <c r="AH169" s="207" t="s">
        <v>1345</v>
      </c>
      <c r="AI169" s="208" t="s">
        <v>69</v>
      </c>
      <c r="AJ169" s="208" t="s">
        <v>142</v>
      </c>
      <c r="AK169" s="209" t="s">
        <v>1346</v>
      </c>
      <c r="AL169" s="209"/>
      <c r="AM169" s="209">
        <v>44813</v>
      </c>
      <c r="AN169" s="209"/>
      <c r="AO169" s="199">
        <f t="shared" ca="1" si="19"/>
        <v>44958</v>
      </c>
      <c r="AP169" s="208">
        <f t="shared" ca="1" si="25"/>
        <v>145</v>
      </c>
      <c r="AQ169" s="208" t="str">
        <f t="shared" si="21"/>
        <v/>
      </c>
      <c r="AR169" s="209"/>
      <c r="AS169" s="209" t="s">
        <v>3951</v>
      </c>
      <c r="AT169" s="210">
        <v>21.465</v>
      </c>
      <c r="AU169" s="210">
        <v>21.524999999999999</v>
      </c>
      <c r="AV169" s="210">
        <v>21.55</v>
      </c>
      <c r="AW169" s="210">
        <v>21.555</v>
      </c>
      <c r="AX169" s="200">
        <f t="shared" ca="1" si="23"/>
        <v>25</v>
      </c>
      <c r="AY169" s="200">
        <v>451</v>
      </c>
      <c r="BA169" s="200" t="s">
        <v>123</v>
      </c>
      <c r="BN169" s="211"/>
    </row>
    <row r="170" spans="1:69" s="200" customFormat="1" ht="18.75" customHeight="1" x14ac:dyDescent="0.25">
      <c r="A170" s="199"/>
      <c r="B170" s="204" t="e">
        <f ca="1">IF(A170="",(IF(ISNUMBER(SUBSTITUTE(LEFT(RIGHT(E170,LEN(E170)-MIN(SEARCH({1,2,3,4,5,6,7,8,9,0},E170&amp;"1234567890"))+1),10),".","/"))=TRUE,AO170-(SUBSTITUTE(LEFT(RIGHT(E170,LEN(E170)-MIN(SEARCH({1,2,3,4,5,6,7,8,9,0},E170&amp;"1234567890"))+1),10),".","/")),IF((SUBSTITUTE(LEFT(RIGHT(E170,LEN(E170)-MIN(SEARCH({1,2,3,4,5,6,7,8,9,0},E170&amp;"1234567890"))+1),10),".","/"))="","",(AO170)-(MID(RIGHT((SUBSTITUTE(LEFT(RIGHT(E170,LEN(E170)-MIN(SEARCH({1,2,3,4,5,6,7,8,9,0},E170&amp;"1234567890"))+1),10),".","/")),10),4,2)&amp;"/"&amp;LEFT((RIGHT((SUBSTITUTE(LEFT(RIGHT(E170,LEN(E170)-MIN(SEARCH({1,2,3,4,5,6,7,8,9,0},E170&amp;"1234567890"))+1),10),".","/")),10)),2)&amp;"/"&amp;RIGHT((SUBSTITUTE(LEFT(RIGHT(E170,LEN(E170)-MIN(SEARCH({1,2,3,4,5,6,7,8,9,0},E170&amp;"1234567890"))+1),10),".","/")),4))))),(AO170-A170))</f>
        <v>#VALUE!</v>
      </c>
      <c r="C170" s="199"/>
      <c r="D170" s="201" t="str">
        <f t="shared" ref="D170" si="26">IF(Q170="MULTI","FGM","FGC")&amp;"-"&amp;H170&amp;"/"&amp;I170&amp;"-"&amp;TEXT(K170,"0.00")&amp;"X"&amp;IF(Q170="MULTI",N170,Q170)</f>
        <v>FGC-304L/2B-1.50X760</v>
      </c>
      <c r="E170" s="201" t="s">
        <v>5450</v>
      </c>
      <c r="F170" s="201" t="s">
        <v>4042</v>
      </c>
      <c r="G170" s="201" t="s">
        <v>5451</v>
      </c>
      <c r="H170" s="201" t="s">
        <v>182</v>
      </c>
      <c r="I170" s="202" t="s">
        <v>114</v>
      </c>
      <c r="J170" s="203">
        <v>3.79</v>
      </c>
      <c r="K170" s="203">
        <v>1.5</v>
      </c>
      <c r="L170" s="203">
        <v>1.47</v>
      </c>
      <c r="M170" s="203">
        <v>1.49</v>
      </c>
      <c r="N170" s="204">
        <v>767</v>
      </c>
      <c r="O170" s="381">
        <v>1.105</v>
      </c>
      <c r="P170" s="413"/>
      <c r="Q170" s="185">
        <v>760</v>
      </c>
      <c r="R170" s="430"/>
      <c r="S170" s="414"/>
      <c r="T170" s="371"/>
      <c r="U170" s="206" t="s">
        <v>390</v>
      </c>
      <c r="V170" s="206" t="s">
        <v>1513</v>
      </c>
      <c r="W170" s="185" t="s">
        <v>114</v>
      </c>
      <c r="X170" s="205">
        <v>44937</v>
      </c>
      <c r="Y170" s="205"/>
      <c r="Z170" s="205">
        <v>44937</v>
      </c>
      <c r="AA170" s="205"/>
      <c r="AB170" s="205">
        <v>44950</v>
      </c>
      <c r="AC170" s="205"/>
      <c r="AD170" s="205"/>
      <c r="AE170" s="205">
        <v>44933</v>
      </c>
      <c r="AF170" s="205"/>
      <c r="AG170" s="205"/>
      <c r="AH170" s="207" t="s">
        <v>1507</v>
      </c>
      <c r="AI170" s="208" t="s">
        <v>69</v>
      </c>
      <c r="AJ170" s="208" t="s">
        <v>142</v>
      </c>
      <c r="AK170" s="209" t="s">
        <v>1508</v>
      </c>
      <c r="AL170" s="209"/>
      <c r="AM170" s="209">
        <v>44849</v>
      </c>
      <c r="AN170" s="209"/>
      <c r="AO170" s="199">
        <f t="shared" ca="1" si="19"/>
        <v>44958</v>
      </c>
      <c r="AP170" s="208">
        <f t="shared" ca="1" si="25"/>
        <v>109</v>
      </c>
      <c r="AQ170" s="208">
        <f t="shared" ca="1" si="21"/>
        <v>8</v>
      </c>
      <c r="AR170" s="209"/>
      <c r="AS170" s="209" t="s">
        <v>4044</v>
      </c>
      <c r="AT170" s="210">
        <v>24.504999999999999</v>
      </c>
      <c r="AU170" s="210">
        <v>24.565000000000001</v>
      </c>
      <c r="AV170" s="210">
        <v>24.590000000000003</v>
      </c>
      <c r="AW170" s="210">
        <v>24.595000000000002</v>
      </c>
      <c r="AX170" s="200">
        <f t="shared" ca="1" si="23"/>
        <v>21</v>
      </c>
      <c r="AY170" s="200">
        <v>456</v>
      </c>
      <c r="BA170" s="200" t="s">
        <v>123</v>
      </c>
      <c r="BN170" s="211"/>
    </row>
    <row r="171" spans="1:69" s="200" customFormat="1" ht="18.75" customHeight="1" x14ac:dyDescent="0.25">
      <c r="A171" s="199">
        <v>44956</v>
      </c>
      <c r="B171" s="204">
        <f ca="1">IF(A171="",(IF(ISNUMBER(SUBSTITUTE(LEFT(RIGHT(E171,LEN(E171)-MIN(SEARCH({1,2,3,4,5,6,7,8,9,0},E171&amp;"1234567890"))+1),10),".","/"))=TRUE,AO171-(SUBSTITUTE(LEFT(RIGHT(E171,LEN(E171)-MIN(SEARCH({1,2,3,4,5,6,7,8,9,0},E171&amp;"1234567890"))+1),10),".","/")),IF((SUBSTITUTE(LEFT(RIGHT(E171,LEN(E171)-MIN(SEARCH({1,2,3,4,5,6,7,8,9,0},E171&amp;"1234567890"))+1),10),".","/"))="","",(AO171)-(MID(RIGHT((SUBSTITUTE(LEFT(RIGHT(E171,LEN(E171)-MIN(SEARCH({1,2,3,4,5,6,7,8,9,0},E171&amp;"1234567890"))+1),10),".","/")),10),4,2)&amp;"/"&amp;LEFT((RIGHT((SUBSTITUTE(LEFT(RIGHT(E171,LEN(E171)-MIN(SEARCH({1,2,3,4,5,6,7,8,9,0},E171&amp;"1234567890"))+1),10),".","/")),10)),2)&amp;"/"&amp;RIGHT((SUBSTITUTE(LEFT(RIGHT(E171,LEN(E171)-MIN(SEARCH({1,2,3,4,5,6,7,8,9,0},E171&amp;"1234567890"))+1),10),".","/")),4))))),(AO171-A171))</f>
        <v>2</v>
      </c>
      <c r="C171" s="199"/>
      <c r="D171" s="201" t="str">
        <f>IF(Q171="MULTI","FGM","FGC")&amp;"-"&amp;H171&amp;"/"&amp;I171&amp;"-"&amp;TEXT(K171,"0.00")&amp;"X"&amp;IF(Q171="MULTI",N171,Q171)</f>
        <v>FGC-J3/2B-0.95X620</v>
      </c>
      <c r="E171" s="201" t="s">
        <v>5406</v>
      </c>
      <c r="F171" s="201" t="s">
        <v>4985</v>
      </c>
      <c r="G171" s="201" t="s">
        <v>5407</v>
      </c>
      <c r="H171" s="201" t="s">
        <v>34</v>
      </c>
      <c r="I171" s="202" t="s">
        <v>114</v>
      </c>
      <c r="J171" s="203">
        <v>2.4</v>
      </c>
      <c r="K171" s="203">
        <v>0.95</v>
      </c>
      <c r="L171" s="203">
        <v>0.94</v>
      </c>
      <c r="M171" s="203">
        <v>0.96</v>
      </c>
      <c r="N171" s="204">
        <v>620</v>
      </c>
      <c r="O171" s="381">
        <v>0.24</v>
      </c>
      <c r="P171" s="413">
        <v>0.24099999999999999</v>
      </c>
      <c r="Q171" s="204">
        <v>620</v>
      </c>
      <c r="R171" s="430"/>
      <c r="S171" s="414"/>
      <c r="T171" s="371"/>
      <c r="U171" s="206" t="s">
        <v>390</v>
      </c>
      <c r="V171" s="206"/>
      <c r="W171" s="185" t="s">
        <v>114</v>
      </c>
      <c r="X171" s="205">
        <v>44849</v>
      </c>
      <c r="Y171" s="205"/>
      <c r="Z171" s="205">
        <v>44849</v>
      </c>
      <c r="AA171" s="205"/>
      <c r="AB171" s="205"/>
      <c r="AC171" s="205">
        <v>44944</v>
      </c>
      <c r="AD171" s="205"/>
      <c r="AE171" s="205"/>
      <c r="AF171" s="205"/>
      <c r="AG171" s="205"/>
      <c r="AH171" s="207"/>
      <c r="AI171" s="208" t="s">
        <v>69</v>
      </c>
      <c r="AJ171" s="208" t="s">
        <v>248</v>
      </c>
      <c r="AK171" s="209" t="s">
        <v>1145</v>
      </c>
      <c r="AL171" s="209">
        <v>44752</v>
      </c>
      <c r="AM171" s="209">
        <v>44778</v>
      </c>
      <c r="AN171" s="209"/>
      <c r="AO171" s="199">
        <f ca="1">TODAY()</f>
        <v>44958</v>
      </c>
      <c r="AP171" s="208">
        <f ca="1">IF(AM171&lt;&gt;0,AO171-AM171,0)</f>
        <v>180</v>
      </c>
      <c r="AQ171" s="208" t="str">
        <f>IF(ISNUMBER(AB171)=TRUE,AO171-AB171,IF(AB171="","",(AO171)-(MID(RIGHT(AB171,10),4,2)&amp;"/"&amp;LEFT((RIGHT(AB171,10)),2)&amp;"/"&amp;RIGHT(AB171,4))))</f>
        <v/>
      </c>
      <c r="AR171" s="209"/>
      <c r="AS171" s="209" t="s">
        <v>4987</v>
      </c>
      <c r="AT171" s="210">
        <v>10.005000000000001</v>
      </c>
      <c r="AU171" s="210">
        <f>AT171+0.04</f>
        <v>10.045</v>
      </c>
      <c r="AV171" s="210">
        <v>10.069999999999999</v>
      </c>
      <c r="AW171" s="210">
        <v>10.074999999999999</v>
      </c>
      <c r="AX171" s="200">
        <f t="shared" ca="1" si="23"/>
        <v>109</v>
      </c>
      <c r="AY171" s="200">
        <v>445</v>
      </c>
      <c r="BA171" s="200" t="s">
        <v>123</v>
      </c>
      <c r="BN171" s="211"/>
    </row>
    <row r="172" spans="1:69" ht="16.5" customHeight="1" x14ac:dyDescent="0.25">
      <c r="O172" s="451">
        <f>SUM(O7:O171)</f>
        <v>64.527000000000015</v>
      </c>
    </row>
    <row r="173" spans="1:69" ht="16.5" customHeight="1" x14ac:dyDescent="0.25">
      <c r="O173" s="451"/>
    </row>
    <row r="174" spans="1:69" s="353" customFormat="1" ht="15.75" customHeight="1" x14ac:dyDescent="0.25">
      <c r="A174" s="336"/>
      <c r="B174" s="336"/>
      <c r="C174" s="336"/>
      <c r="D174" s="336"/>
      <c r="E174" s="336"/>
      <c r="F174" s="336"/>
      <c r="G174" s="336"/>
      <c r="H174" s="336"/>
      <c r="I174" s="336"/>
      <c r="J174" s="336"/>
      <c r="K174" s="399"/>
      <c r="L174" s="399"/>
      <c r="M174" s="399"/>
      <c r="N174" s="352"/>
      <c r="O174" s="451"/>
      <c r="T174" s="399"/>
      <c r="U174" s="351"/>
      <c r="V174" s="351"/>
      <c r="W174" s="351"/>
      <c r="X174" s="351"/>
      <c r="Y174" s="351"/>
      <c r="Z174" s="351"/>
      <c r="AA174" s="351"/>
      <c r="AB174" s="351"/>
      <c r="AC174" s="351"/>
      <c r="AD174" s="351"/>
      <c r="AE174" s="351"/>
      <c r="AF174" s="351"/>
      <c r="AG174" s="351"/>
      <c r="AH174" s="351"/>
      <c r="AI174" s="351"/>
      <c r="AJ174" s="336"/>
      <c r="AK174" s="336"/>
      <c r="AL174" s="336"/>
      <c r="AM174" s="336"/>
      <c r="AN174" s="336"/>
      <c r="AO174" s="336"/>
      <c r="AP174" s="336"/>
      <c r="AQ174" s="336"/>
      <c r="AR174" s="336"/>
      <c r="AS174" s="336"/>
      <c r="AT174" s="364"/>
      <c r="AU174" s="364"/>
      <c r="AV174" s="364"/>
      <c r="AW174" s="351"/>
      <c r="AX174" s="351"/>
      <c r="AY174" s="336"/>
      <c r="AZ174" s="336"/>
      <c r="BA174" s="336"/>
      <c r="BB174" s="336"/>
      <c r="BC174" s="336"/>
      <c r="BD174" s="336"/>
      <c r="BE174" s="336"/>
      <c r="BF174" s="336"/>
      <c r="BG174" s="336"/>
      <c r="BH174" s="336"/>
      <c r="BI174" s="336"/>
      <c r="BJ174" s="336"/>
      <c r="BK174" s="336"/>
      <c r="BL174" s="336"/>
      <c r="BM174" s="336"/>
      <c r="BN174" s="336"/>
      <c r="BO174" s="336"/>
      <c r="BP174" s="336"/>
      <c r="BQ174" s="336"/>
    </row>
    <row r="175" spans="1:69" s="353" customFormat="1" ht="15.75" customHeight="1" x14ac:dyDescent="0.25">
      <c r="A175" s="336"/>
      <c r="B175" s="336"/>
      <c r="C175" s="336"/>
      <c r="D175" s="336"/>
      <c r="E175" s="336"/>
      <c r="F175" s="336"/>
      <c r="G175" s="336"/>
      <c r="H175" s="336"/>
      <c r="I175" s="336"/>
      <c r="J175" s="336"/>
      <c r="K175" s="399"/>
      <c r="L175" s="399"/>
      <c r="M175" s="399"/>
      <c r="N175" s="352"/>
      <c r="O175" s="451"/>
      <c r="T175" s="399"/>
      <c r="U175" s="351"/>
      <c r="V175" s="351"/>
      <c r="W175" s="351"/>
      <c r="X175" s="351"/>
      <c r="Y175" s="351"/>
      <c r="Z175" s="351"/>
      <c r="AA175" s="351"/>
      <c r="AB175" s="351"/>
      <c r="AC175" s="351"/>
      <c r="AD175" s="351"/>
      <c r="AE175" s="351"/>
      <c r="AF175" s="351"/>
      <c r="AG175" s="351"/>
      <c r="AH175" s="351"/>
      <c r="AI175" s="351"/>
      <c r="AJ175" s="336"/>
      <c r="AK175" s="336"/>
      <c r="AL175" s="336"/>
      <c r="AM175" s="336"/>
      <c r="AN175" s="336"/>
      <c r="AO175" s="336"/>
      <c r="AP175" s="336"/>
      <c r="AQ175" s="336"/>
      <c r="AR175" s="336"/>
      <c r="AS175" s="336"/>
      <c r="AT175" s="364"/>
      <c r="AU175" s="364"/>
      <c r="AV175" s="364"/>
      <c r="AW175" s="351"/>
      <c r="AX175" s="351"/>
      <c r="AY175" s="336"/>
      <c r="AZ175" s="336"/>
      <c r="BA175" s="336"/>
      <c r="BB175" s="336"/>
      <c r="BC175" s="336"/>
      <c r="BD175" s="336"/>
      <c r="BE175" s="336"/>
      <c r="BF175" s="336"/>
      <c r="BG175" s="336"/>
      <c r="BH175" s="336"/>
      <c r="BI175" s="336"/>
      <c r="BJ175" s="336"/>
      <c r="BK175" s="336"/>
      <c r="BL175" s="336"/>
      <c r="BM175" s="336"/>
      <c r="BN175" s="336"/>
      <c r="BO175" s="336"/>
      <c r="BP175" s="336"/>
      <c r="BQ175" s="336"/>
    </row>
    <row r="178" spans="1:69" s="353" customFormat="1" x14ac:dyDescent="0.25">
      <c r="A178" s="336"/>
      <c r="B178" s="336"/>
      <c r="C178" s="336"/>
      <c r="D178" s="336"/>
      <c r="E178" s="336"/>
      <c r="F178" s="336"/>
      <c r="G178" s="359" t="s">
        <v>3774</v>
      </c>
      <c r="H178" s="336"/>
      <c r="I178" s="336"/>
      <c r="J178" s="336"/>
      <c r="K178" s="399"/>
      <c r="L178" s="399"/>
      <c r="M178" s="399"/>
      <c r="N178" s="352"/>
      <c r="O178" s="451">
        <f>SUBTOTAL(9,O5:O175)</f>
        <v>129.05400000000003</v>
      </c>
      <c r="T178" s="399"/>
      <c r="U178" s="351"/>
      <c r="V178" s="351"/>
      <c r="W178" s="351"/>
      <c r="X178" s="351"/>
      <c r="Y178" s="351"/>
      <c r="Z178" s="351"/>
      <c r="AA178" s="351"/>
      <c r="AB178" s="351"/>
      <c r="AC178" s="351"/>
      <c r="AD178" s="351"/>
      <c r="AE178" s="351"/>
      <c r="AF178" s="351"/>
      <c r="AG178" s="351"/>
      <c r="AH178" s="351"/>
      <c r="AI178" s="351"/>
      <c r="AJ178" s="336"/>
      <c r="AK178" s="336"/>
      <c r="AL178" s="336"/>
      <c r="AM178" s="336"/>
      <c r="AN178" s="336"/>
      <c r="AO178" s="336"/>
      <c r="AP178" s="336"/>
      <c r="AQ178" s="336"/>
      <c r="AR178" s="336"/>
      <c r="AS178" s="336"/>
      <c r="AT178" s="364"/>
      <c r="AU178" s="364"/>
      <c r="AV178" s="364"/>
      <c r="AW178" s="351"/>
      <c r="AX178" s="351"/>
      <c r="AY178" s="336"/>
      <c r="AZ178" s="336"/>
      <c r="BA178" s="336"/>
      <c r="BB178" s="336"/>
      <c r="BC178" s="336"/>
      <c r="BD178" s="336"/>
      <c r="BE178" s="336"/>
      <c r="BF178" s="336"/>
      <c r="BG178" s="336"/>
      <c r="BH178" s="336"/>
      <c r="BI178" s="336"/>
      <c r="BJ178" s="336"/>
      <c r="BK178" s="336"/>
      <c r="BL178" s="336"/>
      <c r="BM178" s="336"/>
      <c r="BN178" s="336"/>
      <c r="BO178" s="336"/>
      <c r="BP178" s="336"/>
      <c r="BQ178" s="336"/>
    </row>
    <row r="179" spans="1:69" s="353" customFormat="1" x14ac:dyDescent="0.25">
      <c r="A179" s="336"/>
      <c r="B179" s="336"/>
      <c r="C179" s="336"/>
      <c r="D179" s="336"/>
      <c r="E179" s="336"/>
      <c r="F179" s="336"/>
      <c r="G179" s="359" t="s">
        <v>23</v>
      </c>
      <c r="H179" s="336"/>
      <c r="I179" s="336"/>
      <c r="J179" s="336"/>
      <c r="K179" s="399"/>
      <c r="L179" s="399"/>
      <c r="M179" s="399"/>
      <c r="N179" s="352"/>
      <c r="O179" s="451">
        <f>O172</f>
        <v>64.527000000000015</v>
      </c>
      <c r="T179" s="399"/>
      <c r="U179" s="351"/>
      <c r="V179" s="351"/>
      <c r="W179" s="351"/>
      <c r="X179" s="351"/>
      <c r="Y179" s="351"/>
      <c r="Z179" s="351"/>
      <c r="AA179" s="351"/>
      <c r="AB179" s="351"/>
      <c r="AC179" s="351"/>
      <c r="AD179" s="351"/>
      <c r="AE179" s="351"/>
      <c r="AF179" s="351"/>
      <c r="AG179" s="351"/>
      <c r="AH179" s="351"/>
      <c r="AI179" s="351"/>
      <c r="AJ179" s="336"/>
      <c r="AK179" s="336"/>
      <c r="AL179" s="336"/>
      <c r="AM179" s="336"/>
      <c r="AN179" s="336"/>
      <c r="AO179" s="336"/>
      <c r="AP179" s="336"/>
      <c r="AQ179" s="336"/>
      <c r="AR179" s="336"/>
      <c r="AS179" s="336"/>
      <c r="AT179" s="364"/>
      <c r="AU179" s="364"/>
      <c r="AV179" s="364"/>
      <c r="AW179" s="351"/>
      <c r="AX179" s="351"/>
      <c r="AY179" s="336"/>
      <c r="AZ179" s="336"/>
      <c r="BA179" s="336"/>
      <c r="BB179" s="336"/>
      <c r="BC179" s="336"/>
      <c r="BD179" s="336"/>
      <c r="BE179" s="336"/>
      <c r="BF179" s="336"/>
      <c r="BG179" s="336"/>
      <c r="BH179" s="336"/>
      <c r="BI179" s="336"/>
      <c r="BJ179" s="336"/>
      <c r="BK179" s="336"/>
      <c r="BL179" s="336"/>
      <c r="BM179" s="336"/>
      <c r="BN179" s="336"/>
      <c r="BO179" s="336"/>
      <c r="BP179" s="336"/>
      <c r="BQ179" s="336"/>
    </row>
    <row r="187" spans="1:69" s="353" customFormat="1" x14ac:dyDescent="0.25">
      <c r="A187" s="336"/>
      <c r="B187" s="336"/>
      <c r="C187" s="336"/>
      <c r="D187" s="336"/>
      <c r="E187" s="336"/>
      <c r="F187" s="336"/>
      <c r="G187" s="336"/>
      <c r="H187" s="336"/>
      <c r="I187" s="336"/>
      <c r="J187" s="336"/>
      <c r="K187" s="417"/>
      <c r="L187" s="399"/>
      <c r="M187" s="399"/>
      <c r="N187" s="352"/>
      <c r="T187" s="399"/>
      <c r="U187" s="351"/>
      <c r="V187" s="351"/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51"/>
      <c r="AJ187" s="336"/>
      <c r="AK187" s="336"/>
      <c r="AL187" s="336"/>
      <c r="AM187" s="336"/>
      <c r="AN187" s="336"/>
      <c r="AO187" s="336"/>
      <c r="AP187" s="336"/>
      <c r="AQ187" s="336"/>
      <c r="AR187" s="336"/>
      <c r="AS187" s="336"/>
      <c r="AT187" s="364"/>
      <c r="AU187" s="364"/>
      <c r="AV187" s="364"/>
      <c r="AW187" s="351"/>
      <c r="AX187" s="351"/>
      <c r="AY187" s="336"/>
      <c r="AZ187" s="336"/>
      <c r="BA187" s="336"/>
      <c r="BB187" s="336"/>
      <c r="BC187" s="336"/>
      <c r="BD187" s="336"/>
      <c r="BE187" s="336"/>
      <c r="BF187" s="336"/>
      <c r="BG187" s="336"/>
      <c r="BH187" s="336"/>
      <c r="BI187" s="336"/>
      <c r="BJ187" s="336"/>
      <c r="BK187" s="336"/>
      <c r="BL187" s="336"/>
      <c r="BM187" s="336"/>
      <c r="BN187" s="336"/>
      <c r="BO187" s="336"/>
      <c r="BP187" s="336"/>
      <c r="BQ187" s="336"/>
    </row>
    <row r="233" spans="68:68" ht="18.75" customHeight="1" x14ac:dyDescent="0.25"/>
    <row r="237" spans="68:68" x14ac:dyDescent="0.25">
      <c r="BP237" s="489"/>
    </row>
    <row r="244" spans="1:66" s="489" customFormat="1" ht="18" customHeight="1" x14ac:dyDescent="0.25">
      <c r="A244" s="199" t="s">
        <v>6777</v>
      </c>
      <c r="B244" s="204" t="s">
        <v>6778</v>
      </c>
      <c r="C244" s="199" t="s">
        <v>6779</v>
      </c>
      <c r="D244" s="201" t="s">
        <v>6780</v>
      </c>
      <c r="E244" s="201"/>
      <c r="F244" s="201" t="s">
        <v>6781</v>
      </c>
      <c r="G244" s="173" t="s">
        <v>6782</v>
      </c>
      <c r="H244" s="201">
        <v>304</v>
      </c>
      <c r="I244" s="202" t="s">
        <v>114</v>
      </c>
      <c r="J244" s="203">
        <v>0.55000000000000004</v>
      </c>
      <c r="K244" s="203">
        <v>0.3</v>
      </c>
      <c r="L244" s="203">
        <v>0.28999999999999998</v>
      </c>
      <c r="M244" s="203">
        <v>0.3</v>
      </c>
      <c r="N244" s="204">
        <v>757</v>
      </c>
      <c r="O244" s="381">
        <v>0.66</v>
      </c>
      <c r="P244" s="413">
        <v>0.66100000000000003</v>
      </c>
      <c r="Q244" s="185">
        <v>757</v>
      </c>
      <c r="R244" s="509"/>
      <c r="S244" s="414"/>
      <c r="T244" s="371" t="s">
        <v>6783</v>
      </c>
      <c r="U244" s="491" t="s">
        <v>6784</v>
      </c>
      <c r="V244" s="491" t="s">
        <v>1555</v>
      </c>
      <c r="W244" s="185" t="s">
        <v>6060</v>
      </c>
      <c r="X244" s="492" t="s">
        <v>6785</v>
      </c>
      <c r="Y244" s="492"/>
      <c r="Z244" s="492" t="s">
        <v>6786</v>
      </c>
      <c r="AA244" s="492"/>
      <c r="AB244" s="492" t="s">
        <v>6787</v>
      </c>
      <c r="AC244" s="492"/>
      <c r="AD244" s="492">
        <v>43607</v>
      </c>
      <c r="AE244" s="492"/>
      <c r="AF244" s="492"/>
      <c r="AG244" s="492"/>
      <c r="AH244" s="493"/>
      <c r="AI244" s="494" t="s">
        <v>69</v>
      </c>
      <c r="AJ244" s="494" t="s">
        <v>190</v>
      </c>
      <c r="AK244" s="495" t="s">
        <v>6788</v>
      </c>
      <c r="AL244" s="495"/>
      <c r="AM244" s="495">
        <v>43564</v>
      </c>
      <c r="AN244" s="495"/>
      <c r="AO244" s="199">
        <f ca="1">TODAY()</f>
        <v>44958</v>
      </c>
      <c r="AP244" s="494">
        <f ca="1">IF(AM244&lt;&gt;0,AO244-AM244,0)</f>
        <v>1394</v>
      </c>
      <c r="AQ244" s="494"/>
      <c r="AR244" s="495"/>
      <c r="AS244" s="495" t="s">
        <v>6789</v>
      </c>
      <c r="AT244" s="496">
        <v>10.53</v>
      </c>
      <c r="AU244" s="496">
        <v>10.54</v>
      </c>
      <c r="AV244" s="496">
        <v>10.559999999999999</v>
      </c>
      <c r="AW244" s="496">
        <v>10.565</v>
      </c>
      <c r="BC244" s="489" t="s">
        <v>123</v>
      </c>
      <c r="BN244" s="211"/>
    </row>
    <row r="245" spans="1:66" s="142" customFormat="1" ht="20.25" customHeight="1" x14ac:dyDescent="0.25">
      <c r="A245" s="142">
        <v>231</v>
      </c>
      <c r="B245" s="510" t="s">
        <v>6790</v>
      </c>
      <c r="C245" s="511"/>
      <c r="D245" s="173" t="s">
        <v>6791</v>
      </c>
      <c r="E245" s="173" t="s">
        <v>4432</v>
      </c>
      <c r="F245" s="173" t="s">
        <v>6792</v>
      </c>
      <c r="G245" s="173" t="s">
        <v>6793</v>
      </c>
      <c r="H245" s="173">
        <v>304</v>
      </c>
      <c r="I245" s="173" t="s">
        <v>114</v>
      </c>
      <c r="J245" s="174">
        <v>0.7</v>
      </c>
      <c r="K245" s="174">
        <v>0.4</v>
      </c>
      <c r="L245" s="174">
        <v>0.38</v>
      </c>
      <c r="M245" s="174">
        <v>0.41</v>
      </c>
      <c r="N245" s="175">
        <v>760</v>
      </c>
      <c r="O245" s="512">
        <v>0.47499999999999998</v>
      </c>
      <c r="P245" s="380"/>
      <c r="Q245" s="179" t="s">
        <v>4190</v>
      </c>
      <c r="R245" s="482" t="s">
        <v>6794</v>
      </c>
      <c r="S245" s="482"/>
      <c r="T245" s="177" t="s">
        <v>6795</v>
      </c>
      <c r="U245" s="177" t="s">
        <v>6796</v>
      </c>
      <c r="V245" s="177" t="s">
        <v>6797</v>
      </c>
      <c r="W245" s="177">
        <v>43760</v>
      </c>
      <c r="X245" s="177"/>
      <c r="Y245" s="180"/>
      <c r="Z245" s="180"/>
      <c r="AA245" s="180"/>
      <c r="AB245" s="173" t="s">
        <v>69</v>
      </c>
      <c r="AC245" s="173"/>
      <c r="AD245" s="173" t="s">
        <v>190</v>
      </c>
      <c r="AE245" s="173"/>
      <c r="AF245" s="173"/>
      <c r="AG245" s="181" t="s">
        <v>6577</v>
      </c>
      <c r="AH245" s="181"/>
      <c r="AI245" s="181">
        <v>43753</v>
      </c>
      <c r="AJ245" s="181"/>
      <c r="AK245" s="181">
        <f ca="1">TODAY()</f>
        <v>44958</v>
      </c>
      <c r="AL245" s="173">
        <f ca="1">IF(AI245&lt;&gt;0,AK245-AI245,0)</f>
        <v>1205</v>
      </c>
      <c r="AM245" s="181"/>
      <c r="AN245" s="176"/>
      <c r="AO245" s="176" t="s">
        <v>6798</v>
      </c>
      <c r="AP245" s="176">
        <v>12.045</v>
      </c>
      <c r="AQ245" s="176">
        <v>12.055</v>
      </c>
      <c r="AR245" s="176">
        <v>12.084999999999999</v>
      </c>
      <c r="AS245" s="176">
        <v>12.09</v>
      </c>
      <c r="AT245" s="142">
        <f ca="1">IF(ISNUMBER(U245)=TRUE,AK245-U245,IF(U245="","",(AK245)-(MID(RIGHT(U245,10),4,2)&amp;"/"&amp;LEFT((RIGHT(U245,10)),2)&amp;"/"&amp;RIGHT(U245,4))))</f>
        <v>1197</v>
      </c>
      <c r="BC245" s="142" t="s">
        <v>123</v>
      </c>
    </row>
    <row r="246" spans="1:66" s="142" customFormat="1" ht="20.25" customHeight="1" x14ac:dyDescent="0.25">
      <c r="A246" s="142">
        <v>218</v>
      </c>
      <c r="B246" s="510" t="s">
        <v>6799</v>
      </c>
      <c r="C246" s="511"/>
      <c r="D246" s="173" t="s">
        <v>6800</v>
      </c>
      <c r="E246" s="173" t="s">
        <v>1237</v>
      </c>
      <c r="F246" s="173" t="s">
        <v>6801</v>
      </c>
      <c r="G246" s="173" t="s">
        <v>6802</v>
      </c>
      <c r="H246" s="173">
        <v>304</v>
      </c>
      <c r="I246" s="173" t="s">
        <v>114</v>
      </c>
      <c r="J246" s="174">
        <v>3.81</v>
      </c>
      <c r="K246" s="174">
        <v>1.45</v>
      </c>
      <c r="L246" s="174">
        <v>1.45</v>
      </c>
      <c r="M246" s="174">
        <v>1.47</v>
      </c>
      <c r="N246" s="175">
        <v>770</v>
      </c>
      <c r="O246" s="512">
        <v>0.505</v>
      </c>
      <c r="P246" s="380"/>
      <c r="Q246" s="179" t="s">
        <v>4190</v>
      </c>
      <c r="R246" s="482"/>
      <c r="S246" s="482"/>
      <c r="T246" s="177">
        <v>43712</v>
      </c>
      <c r="U246" s="177">
        <v>43712</v>
      </c>
      <c r="V246" s="177">
        <v>43712</v>
      </c>
      <c r="W246" s="177"/>
      <c r="X246" s="177"/>
      <c r="Y246" s="180"/>
      <c r="Z246" s="180"/>
      <c r="AA246" s="180"/>
      <c r="AB246" s="173" t="s">
        <v>69</v>
      </c>
      <c r="AC246" s="173"/>
      <c r="AD246" s="173" t="s">
        <v>190</v>
      </c>
      <c r="AE246" s="173"/>
      <c r="AF246" s="173"/>
      <c r="AG246" s="181" t="s">
        <v>6803</v>
      </c>
      <c r="AH246" s="181"/>
      <c r="AI246" s="181">
        <v>43708</v>
      </c>
      <c r="AJ246" s="181"/>
      <c r="AK246" s="181">
        <f t="shared" ref="AK246" ca="1" si="27">TODAY()</f>
        <v>44958</v>
      </c>
      <c r="AL246" s="173">
        <f t="shared" ref="AL246" ca="1" si="28">IF(AI246&lt;&gt;0,AK246-AI246,0)</f>
        <v>1250</v>
      </c>
      <c r="AM246" s="181">
        <f ca="1">IF(ISNUMBER(V246)=TRUE,AK246-V246,IF(V246="","",(AK246)-(MID(RIGHT(V246,10),4,2)&amp;"/"&amp;LEFT((RIGHT(V246,10)),2)&amp;"/"&amp;RIGHT(V246,4))))</f>
        <v>1246</v>
      </c>
      <c r="AN246" s="176"/>
      <c r="AO246" s="176" t="s">
        <v>6804</v>
      </c>
      <c r="AP246" s="176">
        <v>11.975</v>
      </c>
      <c r="AQ246" s="176">
        <v>11.984999999999999</v>
      </c>
      <c r="AR246" s="176">
        <v>12.014999999999999</v>
      </c>
      <c r="AS246" s="176">
        <v>12.02</v>
      </c>
      <c r="AT246" s="142">
        <f ca="1">IF(ISNUMBER(U246)=TRUE,AK246-U246,IF(U246="","",(AK246)-(MID(RIGHT(U246,10),4,2)&amp;"/"&amp;LEFT((RIGHT(U246,10)),2)&amp;"/"&amp;RIGHT(U246,4))))</f>
        <v>1246</v>
      </c>
      <c r="BC246" s="142" t="s">
        <v>123</v>
      </c>
    </row>
    <row r="254" spans="1:66" x14ac:dyDescent="0.25">
      <c r="G254" s="352"/>
    </row>
    <row r="377" spans="1:7" x14ac:dyDescent="0.25">
      <c r="A377" s="249" t="s">
        <v>78</v>
      </c>
      <c r="B377" s="250" t="s">
        <v>79</v>
      </c>
      <c r="C377" s="455" t="s">
        <v>3780</v>
      </c>
      <c r="D377" s="455"/>
      <c r="E377" s="455"/>
      <c r="F377" s="455"/>
      <c r="G377" s="455"/>
    </row>
    <row r="378" spans="1:7" x14ac:dyDescent="0.2">
      <c r="A378" s="257"/>
      <c r="B378" s="258" t="s">
        <v>6805</v>
      </c>
      <c r="C378" s="456" t="s">
        <v>3782</v>
      </c>
      <c r="D378" s="456" t="s">
        <v>3783</v>
      </c>
      <c r="E378" s="456" t="s">
        <v>3784</v>
      </c>
      <c r="F378" s="456" t="s">
        <v>3785</v>
      </c>
      <c r="G378" s="457" t="s">
        <v>39</v>
      </c>
    </row>
    <row r="379" spans="1:7" x14ac:dyDescent="0.25">
      <c r="A379" s="458"/>
      <c r="B379" s="459" t="s">
        <v>70</v>
      </c>
      <c r="C379" s="265">
        <f>SUMIFS($O$5:$O312,$H$5:$H312,$A$380,$I$5:$I312,$B379,$B$5:$B312,"&lt;=30")</f>
        <v>0</v>
      </c>
      <c r="D379" s="265">
        <f>SUMIFS($O$5:$O312,$H$5:$H312,$A$380,$I$5:$I312,$B379,$B$5:$B312,"&lt;=60")-C379</f>
        <v>0</v>
      </c>
      <c r="E379" s="265">
        <f>SUMIFS($O$5:$O312,$H$5:$H312,$A$380,$I$5:$I312,$B379,$B$5:$B312,"&lt;=90")-D379-C379</f>
        <v>0</v>
      </c>
      <c r="F379" s="265">
        <f>SUMIFS($O$5:$O312,$H$5:$H312,$A$380,$I$5:$I312,$B379,$B$5:$B312,"&gt;=91")</f>
        <v>0</v>
      </c>
      <c r="G379" s="266">
        <f t="shared" ref="G379:G412" si="29">SUM(C379:F379)</f>
        <v>0</v>
      </c>
    </row>
    <row r="380" spans="1:7" x14ac:dyDescent="0.25">
      <c r="A380" s="460">
        <v>201</v>
      </c>
      <c r="B380" s="461" t="s">
        <v>69</v>
      </c>
      <c r="C380" s="265">
        <f>SUMIFS($O$5:$O313,$H$5:$H313,$A$380,$I$5:$I313,$B380,$B$5:$B313,"&lt;=30")</f>
        <v>0</v>
      </c>
      <c r="D380" s="265">
        <f>SUMIFS($O$5:$O313,$H$5:$H313,$A$380,$I$5:$I313,$B380,$B$5:$B313,"&lt;=60")-C380</f>
        <v>0</v>
      </c>
      <c r="E380" s="265">
        <f>SUMIFS($O$5:$O313,$H$5:$H313,$A$380,$I$5:$I313,$B380,$B$5:$B313,"&lt;=90")-D380-C380</f>
        <v>0</v>
      </c>
      <c r="F380" s="265">
        <f>SUMIFS($O$5:$O313,$H$5:$H313,$A$380,$I$5:$I313,$B380,$B$5:$B313,"&gt;=91")</f>
        <v>0</v>
      </c>
      <c r="G380" s="266">
        <f t="shared" si="29"/>
        <v>0</v>
      </c>
    </row>
    <row r="381" spans="1:7" x14ac:dyDescent="0.25">
      <c r="A381" s="471"/>
      <c r="B381" s="462" t="s">
        <v>114</v>
      </c>
      <c r="C381" s="265">
        <f>SUMIFS($O$5:$O314,$H$5:$H314,$A$380,$I$5:$I314,$B381,$B$5:$B314,"&lt;=30")</f>
        <v>0</v>
      </c>
      <c r="D381" s="265">
        <f>SUMIFS($O$5:$O314,$H$5:$H314,$A$380,$I$5:$I314,$B381,$B$5:$B314,"&lt;=60")-C381</f>
        <v>0</v>
      </c>
      <c r="E381" s="513">
        <f>SUMIFS($O$5:$O314,$H$5:$H314,$A$380,$I$5:$I314,$B381,$B$5:$B314,"&lt;=90")-D381-C381</f>
        <v>0</v>
      </c>
      <c r="F381" s="265">
        <f>SUMIFS($O$5:$O314,$H$5:$H314,$A$380,$I$5:$I314,$B381,$B$5:$B314,"&gt;=91")</f>
        <v>0</v>
      </c>
      <c r="G381" s="266">
        <f t="shared" si="29"/>
        <v>0</v>
      </c>
    </row>
    <row r="382" spans="1:7" x14ac:dyDescent="0.25">
      <c r="A382" s="274"/>
      <c r="B382" s="459" t="s">
        <v>70</v>
      </c>
      <c r="C382" s="265">
        <f>SUMIFS($O$5:$O315,$H$5:$H315,$A$383,$I$5:$I315,$B382,$B$5:$B315,"&lt;=30")</f>
        <v>0</v>
      </c>
      <c r="D382" s="265">
        <f>SUMIFS($O$5:$O315,$H$5:$H315,$A$383,$I$5:$I315,$B382,$B$5:$B315,"&lt;=60")-C382</f>
        <v>0</v>
      </c>
      <c r="E382" s="265">
        <f>SUMIFS($O$5:$O315,$H$5:$H315,$A$383,$I$5:$I315,$B382,$B$5:$B315,"&lt;=90")-D382-C382</f>
        <v>0</v>
      </c>
      <c r="F382" s="265">
        <f>SUMIFS($O$5:$O315,$H$5:$H315,$A$383,$I$5:$I315,$B382,$B$5:$B315,"&gt;=91")</f>
        <v>0</v>
      </c>
      <c r="G382" s="266">
        <f t="shared" si="29"/>
        <v>0</v>
      </c>
    </row>
    <row r="383" spans="1:7" x14ac:dyDescent="0.25">
      <c r="A383" s="277" t="s">
        <v>32</v>
      </c>
      <c r="B383" s="461" t="s">
        <v>69</v>
      </c>
      <c r="C383" s="265">
        <f>SUMIFS($O$5:$O316,$H$5:$H316,$A$383,$I$5:$I316,$B383,$B$5:$B316,"&lt;=30")</f>
        <v>0</v>
      </c>
      <c r="D383" s="265">
        <f>SUMIFS($O$5:$O316,$H$5:$H316,$A$383,$I$5:$I316,$B383,$B$5:$B316,"&lt;=60")-C383</f>
        <v>0</v>
      </c>
      <c r="E383" s="265">
        <f>SUMIFS($O$5:$O316,$H$5:$H316,$A$383,$I$5:$I316,$B383,$B$5:$B316,"&lt;=90")-D383-C383</f>
        <v>0</v>
      </c>
      <c r="F383" s="265">
        <f>SUMIFS($O$5:$O316,$H$5:$H316,$A$383,$I$5:$I316,$B383,$B$5:$B316,"&gt;=91")</f>
        <v>0</v>
      </c>
      <c r="G383" s="266">
        <f t="shared" si="29"/>
        <v>0</v>
      </c>
    </row>
    <row r="384" spans="1:7" x14ac:dyDescent="0.25">
      <c r="A384" s="277"/>
      <c r="B384" s="462" t="s">
        <v>114</v>
      </c>
      <c r="C384" s="265">
        <f ca="1">SUMIFS($O$5:$O317,$H$5:$H317,$A$383,$I$5:$I317,$B384,$B$5:$B317,"&lt;=30")</f>
        <v>0</v>
      </c>
      <c r="D384" s="265">
        <f ca="1">SUMIFS($O$5:$O317,$H$5:$H317,$A$383,$I$5:$I317,$B384,$B$5:$B317,"&lt;=60")-C384</f>
        <v>0</v>
      </c>
      <c r="E384" s="265">
        <f ca="1">SUMIFS($O$5:$O317,$H$5:$H317,$A$383,$I$5:$I317,$B384,$B$5:$B317,"&lt;=90")-D384-C384</f>
        <v>0</v>
      </c>
      <c r="F384" s="265">
        <f ca="1">SUMIFS($O$5:$O317,$H$5:$H317,$A$383,$I$5:$I317,$B384,$B$5:$B317,"&gt;=91")</f>
        <v>5.085</v>
      </c>
      <c r="G384" s="266">
        <f t="shared" ca="1" si="29"/>
        <v>5.085</v>
      </c>
    </row>
    <row r="385" spans="1:7" x14ac:dyDescent="0.25">
      <c r="A385" s="280"/>
      <c r="B385" s="459" t="s">
        <v>70</v>
      </c>
      <c r="C385" s="265">
        <f>SUMIFS($O$5:$O318,$H$5:$H318,$A$386,$I$5:$I318,$B385,$B$5:$B318,"&lt;=30")</f>
        <v>0</v>
      </c>
      <c r="D385" s="265">
        <f>SUMIFS($O$5:$O318,$H$5:$H318,$A$386,$I$5:$I318,$B385,$B$5:$B318,"&lt;=60")-C385</f>
        <v>0</v>
      </c>
      <c r="E385" s="265">
        <f>SUMIFS($O$5:$O318,$H$5:$H318,$A$386,$I$5:$I318,$B385,$B$5:$B318,"&lt;=90")-D385-C385</f>
        <v>0</v>
      </c>
      <c r="F385" s="265">
        <f>SUMIFS($O$5:$O318,$H$5:$H318,$A$386,$I$5:$I318,$B385,$B$5:$B318,"&gt;=91")</f>
        <v>0</v>
      </c>
      <c r="G385" s="266">
        <f t="shared" si="29"/>
        <v>0</v>
      </c>
    </row>
    <row r="386" spans="1:7" x14ac:dyDescent="0.25">
      <c r="A386" s="285" t="s">
        <v>33</v>
      </c>
      <c r="B386" s="461" t="s">
        <v>69</v>
      </c>
      <c r="C386" s="265">
        <f>SUMIFS($O$5:$O319,$H$5:$H319,$A$386,$I$5:$I319,$B386,$B$5:$B319,"&lt;=30")</f>
        <v>0</v>
      </c>
      <c r="D386" s="265">
        <f>SUMIFS($O$5:$O319,$H$5:$H319,$A$386,$I$5:$I319,$B386,$B$5:$B319,"&lt;=60")-C386</f>
        <v>0</v>
      </c>
      <c r="E386" s="265">
        <f>SUMIFS($O$5:$O319,$H$5:$H319,$A$386,$I$5:$I319,$B386,$B$5:$B319,"&lt;=90")-D386-C386</f>
        <v>0</v>
      </c>
      <c r="F386" s="265">
        <f>SUMIFS($O$5:$O319,$H$5:$H319,$A$386,$I$5:$I319,$B386,$B$5:$B319,"&gt;=91")</f>
        <v>0</v>
      </c>
      <c r="G386" s="266">
        <f t="shared" si="29"/>
        <v>0</v>
      </c>
    </row>
    <row r="387" spans="1:7" x14ac:dyDescent="0.25">
      <c r="A387" s="285"/>
      <c r="B387" s="462" t="s">
        <v>114</v>
      </c>
      <c r="C387" s="265">
        <f>SUMIFS($O$5:$O320,$H$5:$H320,$A$386,$I$5:$I320,$B387,$B$5:$B320,"&lt;=30")</f>
        <v>0</v>
      </c>
      <c r="D387" s="265">
        <f>SUMIFS($O$5:$O320,$H$5:$H320,$A$386,$I$5:$I320,$B387,$B$5:$B320,"&lt;=60")-C387</f>
        <v>0</v>
      </c>
      <c r="E387" s="265">
        <f>SUMIFS($O$5:$O320,$H$5:$H320,$A$386,$I$5:$I320,$B387,$B$5:$B320,"&lt;=90")-D387-C387</f>
        <v>0</v>
      </c>
      <c r="F387" s="265">
        <f>SUMIFS($O$5:$O320,$H$5:$H320,$A$386,$I$5:$I320,$B387,$B$5:$B320,"&gt;=91")</f>
        <v>0</v>
      </c>
      <c r="G387" s="266">
        <f t="shared" si="29"/>
        <v>0</v>
      </c>
    </row>
    <row r="388" spans="1:7" x14ac:dyDescent="0.25">
      <c r="A388" s="291"/>
      <c r="B388" s="459" t="s">
        <v>70</v>
      </c>
      <c r="C388" s="265">
        <f>SUMIFS($O$5:$O321,$H$5:$H321,$A$389,$I$5:$I321,$B388,$B$5:$B321,"&lt;=30")</f>
        <v>0</v>
      </c>
      <c r="D388" s="265">
        <f>SUMIFS($O$5:$O321,$H$5:$H321,$A$389,$I$5:$I321,$B388,$B$5:$B321,"&lt;=60")-C388</f>
        <v>0</v>
      </c>
      <c r="E388" s="265">
        <f>SUMIFS($O$5:$O321,$H$5:$H321,$A$389,$I$5:$I321,$B388,$B$5:$B321,"&lt;=90")-D388-C388</f>
        <v>0</v>
      </c>
      <c r="F388" s="265">
        <f>SUMIFS($O$5:$O321,$H$5:$H321,$A$389,$I$5:$I321,$B388,$B$5:$B321,"&gt;=91")</f>
        <v>0</v>
      </c>
      <c r="G388" s="266">
        <f t="shared" si="29"/>
        <v>0</v>
      </c>
    </row>
    <row r="389" spans="1:7" x14ac:dyDescent="0.25">
      <c r="A389" s="293" t="s">
        <v>34</v>
      </c>
      <c r="B389" s="461" t="s">
        <v>69</v>
      </c>
      <c r="C389" s="265">
        <f>SUMIFS($O$5:$O322,$H$5:$H322,$A$389,$I$5:$I322,$B389,$B$5:$B322,"&lt;=30")</f>
        <v>0</v>
      </c>
      <c r="D389" s="265">
        <f>SUMIFS($O$5:$O322,$H$5:$H322,$A$389,$I$5:$I322,$B389,$B$5:$B322,"&lt;=60")-C389</f>
        <v>0</v>
      </c>
      <c r="E389" s="265">
        <f>SUMIFS($O$5:$O322,$H$5:$H322,$A$389,$I$5:$I322,$B389,$B$5:$B322,"&lt;=90")-D389-C389</f>
        <v>0</v>
      </c>
      <c r="F389" s="265">
        <f>SUMIFS($O$5:$O322,$H$5:$H322,$A$389,$I$5:$I322,$B389,$B$5:$B322,"&gt;=91")</f>
        <v>0</v>
      </c>
      <c r="G389" s="266">
        <f t="shared" si="29"/>
        <v>0</v>
      </c>
    </row>
    <row r="390" spans="1:7" x14ac:dyDescent="0.25">
      <c r="A390" s="293"/>
      <c r="B390" s="462" t="s">
        <v>114</v>
      </c>
      <c r="C390" s="265">
        <f ca="1">SUMIFS($O$5:$O323,$H$5:$H323,$A$389,$I$5:$I323,$B390,$B$5:$B323,"&lt;=30")</f>
        <v>0.24</v>
      </c>
      <c r="D390" s="265">
        <f ca="1">SUMIFS($O$5:$O323,$H$5:$H323,$A$389,$I$5:$I323,$B390,$B$5:$B323,"&lt;=60")-C390</f>
        <v>0</v>
      </c>
      <c r="E390" s="265">
        <f ca="1">SUMIFS($O$5:$O323,$H$5:$H323,$A$389,$I$5:$I323,$B390,$B$5:$B323,"&lt;=90")-D390-C390</f>
        <v>0</v>
      </c>
      <c r="F390" s="265">
        <f ca="1">SUMIFS($O$5:$O323,$H$5:$H323,$A$389,$I$5:$I323,$B390,$B$5:$B323,"&gt;=91")</f>
        <v>9.6100000000000012</v>
      </c>
      <c r="G390" s="266">
        <f t="shared" ca="1" si="29"/>
        <v>9.8500000000000014</v>
      </c>
    </row>
    <row r="391" spans="1:7" x14ac:dyDescent="0.25">
      <c r="A391" s="296"/>
      <c r="B391" s="459" t="s">
        <v>70</v>
      </c>
      <c r="C391" s="265">
        <f>SUMIFS($O$5:$O324,$H$5:$H324,$A$392,$I$5:$I324,$B391,$B$5:$B324,"&lt;=30")</f>
        <v>0</v>
      </c>
      <c r="D391" s="265">
        <f>SUMIFS($O$5:$O324,$H$5:$H324,$A$392,$I$5:$I324,$B391,$B$5:$B324,"&lt;=60")-C391</f>
        <v>0</v>
      </c>
      <c r="E391" s="265">
        <f>SUMIFS($O$5:$O324,$H$5:$H324,$A$392,$I$5:$I324,$B391,$B$5:$B324,"&lt;=90")-D391-C391</f>
        <v>0</v>
      </c>
      <c r="F391" s="265">
        <f>SUMIFS($O$5:$O324,$H$5:$H324,$A$392,$I$5:$I324,$B391,$B$5:$B324,"&gt;=91")</f>
        <v>0</v>
      </c>
      <c r="G391" s="266">
        <f t="shared" si="29"/>
        <v>0</v>
      </c>
    </row>
    <row r="392" spans="1:7" x14ac:dyDescent="0.25">
      <c r="A392" s="302" t="s">
        <v>35</v>
      </c>
      <c r="B392" s="461" t="s">
        <v>69</v>
      </c>
      <c r="C392" s="265">
        <f>SUMIFS($O$5:$O325,$H$5:$H325,$A$392,$I$5:$I325,$B392,$B$5:$B325,"&lt;=30")</f>
        <v>0</v>
      </c>
      <c r="D392" s="265">
        <f>SUMIFS($O$5:$O325,$H$5:$H325,$A$392,$I$5:$I325,$B392,$B$5:$B325,"&lt;=60")-C392</f>
        <v>0</v>
      </c>
      <c r="E392" s="265">
        <f>SUMIFS($O$5:$O325,$H$5:$H325,$A$392,$I$5:$I325,$B392,$B$5:$B325,"&lt;=90")-D392-C392</f>
        <v>0</v>
      </c>
      <c r="F392" s="265">
        <f>SUMIFS($O$5:$O325,$H$5:$H325,$A$392,$I$5:$I325,$B392,$B$5:$B325,"&gt;=91")</f>
        <v>0</v>
      </c>
      <c r="G392" s="266">
        <f t="shared" si="29"/>
        <v>0</v>
      </c>
    </row>
    <row r="393" spans="1:7" x14ac:dyDescent="0.25">
      <c r="A393" s="302"/>
      <c r="B393" s="462" t="s">
        <v>114</v>
      </c>
      <c r="C393" s="265">
        <f ca="1">SUMIFS($O$5:$O326,$H$5:$H326,$A$392,$I$5:$I326,$B393,$B$5:$B326,"&lt;=30")</f>
        <v>0</v>
      </c>
      <c r="D393" s="265">
        <f ca="1">SUMIFS($O$5:$O326,$H$5:$H326,$A$392,$I$5:$I326,$B393,$B$5:$B326,"&lt;=60")-C393</f>
        <v>0</v>
      </c>
      <c r="E393" s="265">
        <f ca="1">SUMIFS($O$5:$O326,$H$5:$H326,$A$392,$I$5:$I326,$B393,$B$5:$B326,"&lt;=90")-D393-C393</f>
        <v>0</v>
      </c>
      <c r="F393" s="265">
        <f ca="1">SUMIFS($O$5:$O326,$H$5:$H326,$A$392,$I$5:$I326,$B393,$B$5:$B326,"&gt;=91")</f>
        <v>0.70500000000000007</v>
      </c>
      <c r="G393" s="266">
        <f t="shared" ca="1" si="29"/>
        <v>0.70500000000000007</v>
      </c>
    </row>
    <row r="394" spans="1:7" x14ac:dyDescent="0.25">
      <c r="A394" s="307"/>
      <c r="B394" s="459" t="s">
        <v>70</v>
      </c>
      <c r="C394" s="265">
        <f>SUMIFS($O$5:$O327,$H$5:$H327,$A$395,$I$5:$I327,$B394,$B$5:$B327,"&lt;=30")</f>
        <v>0</v>
      </c>
      <c r="D394" s="265">
        <f>SUMIFS($O$5:$O327,$H$5:$H327,$A$395,$I$5:$I327,$B394,$B$5:$B327,"&lt;=60")-C394</f>
        <v>0</v>
      </c>
      <c r="E394" s="265">
        <f>SUMIFS($O$5:$O327,$H$5:$H327,$A$395,$I$5:$I327,$B394,$B$5:$B327,"&lt;=90")-D394-C394</f>
        <v>0</v>
      </c>
      <c r="F394" s="265">
        <f>SUMIFS($O$5:$O327,$H$5:$H327,$A$395,$I$5:$I327,$B394,$B$5:$B327,"&gt;=91")</f>
        <v>0</v>
      </c>
      <c r="G394" s="266">
        <f t="shared" si="29"/>
        <v>0</v>
      </c>
    </row>
    <row r="395" spans="1:7" x14ac:dyDescent="0.25">
      <c r="A395" s="308">
        <v>304</v>
      </c>
      <c r="B395" s="461" t="s">
        <v>69</v>
      </c>
      <c r="C395" s="265">
        <f>SUMIFS($O$5:$O328,$H$5:$H328,$A$395,$I$5:$I328,$B395,$B$5:$B328,"&lt;=30")</f>
        <v>0</v>
      </c>
      <c r="D395" s="265">
        <f>SUMIFS($O$5:$O328,$H$5:$H328,$A$395,$I$5:$I328,$B395,$B$5:$B328,"&lt;=60")-C395</f>
        <v>0</v>
      </c>
      <c r="E395" s="265">
        <f>SUMIFS($O$5:$O328,$H$5:$H328,$A$395,$I$5:$I328,$B395,$B$5:$B328,"&lt;=90")-D395-C395</f>
        <v>0</v>
      </c>
      <c r="F395" s="265">
        <f>SUMIFS($O$5:$O328,$H$5:$H328,$A$395,$I$5:$I328,$B395,$B$5:$B328,"&gt;=91")</f>
        <v>0</v>
      </c>
      <c r="G395" s="266">
        <f t="shared" si="29"/>
        <v>0</v>
      </c>
    </row>
    <row r="396" spans="1:7" x14ac:dyDescent="0.25">
      <c r="A396" s="308"/>
      <c r="B396" s="462" t="s">
        <v>114</v>
      </c>
      <c r="C396" s="265">
        <f ca="1">SUMIFS($O$5:$O329,$H$5:$H329,$A$395,$I$5:$I329,$B396,$B$5:$B329,"&lt;=30")</f>
        <v>0</v>
      </c>
      <c r="D396" s="265">
        <f ca="1">SUMIFS($O$5:$O329,$H$5:$H329,$A$395,$I$5:$I329,$B396,$B$5:$B329,"&lt;=60")-C396</f>
        <v>0.54500000000000004</v>
      </c>
      <c r="E396" s="265">
        <f ca="1">SUMIFS($O$5:$O329,$H$5:$H329,$A$395,$I$5:$I329,$B396,$B$5:$B329,"&lt;=90")-D396-C396</f>
        <v>0.29500000000000004</v>
      </c>
      <c r="F396" s="265">
        <f ca="1">SUMIFS($O$5:$O329,$H$5:$H329,$A$395,$I$5:$I329,$B396,$B$5:$B329,"&gt;=91")</f>
        <v>14.699000000000005</v>
      </c>
      <c r="G396" s="266">
        <f t="shared" ca="1" si="29"/>
        <v>15.539000000000005</v>
      </c>
    </row>
    <row r="397" spans="1:7" x14ac:dyDescent="0.25">
      <c r="A397" s="465"/>
      <c r="B397" s="459" t="s">
        <v>70</v>
      </c>
      <c r="C397" s="265">
        <f ca="1">SUMIFS($O$5:$O330,$H$5:$H330,$A$398,$I$5:$I330,$B397,$B$5:$B330,"&lt;=30")</f>
        <v>0</v>
      </c>
      <c r="D397" s="464">
        <f ca="1">SUMIFS($O$5:$O330,$H$5:$H330,$A$398,$I$5:$I330,$B397,$B$5:$B330,"&lt;=60")-C397</f>
        <v>0</v>
      </c>
      <c r="E397" s="464">
        <f ca="1">SUMIFS($O$5:$O330,$H$5:$H330,$A$398,$I$5:$I330,$B397,$B$5:$B330,"&lt;=90")-D397-C397</f>
        <v>0</v>
      </c>
      <c r="F397" s="265">
        <f ca="1">SUMIFS($O$5:$O330,$H$5:$H330,$A$398,$I$5:$I330,$B397,$B$5:$B330,"&gt;=91")</f>
        <v>0.99</v>
      </c>
      <c r="G397" s="266">
        <f t="shared" ca="1" si="29"/>
        <v>0.99</v>
      </c>
    </row>
    <row r="398" spans="1:7" x14ac:dyDescent="0.25">
      <c r="A398" s="466" t="s">
        <v>614</v>
      </c>
      <c r="B398" s="461" t="s">
        <v>69</v>
      </c>
      <c r="C398" s="265">
        <f>SUMIFS($O$5:$O331,$H$5:$H331,$A$398,$I$5:$I331,$B398,$B$5:$B331,"&lt;=30")</f>
        <v>0</v>
      </c>
      <c r="D398" s="464">
        <f>SUMIFS($O$5:$O331,$H$5:$H331,$A$398,$I$5:$I331,$B398,$B$5:$B331,"&lt;=60")-C398</f>
        <v>0</v>
      </c>
      <c r="E398" s="464">
        <f>SUMIFS($O$5:$O331,$H$5:$H331,$A$398,$I$5:$I331,$B398,$B$5:$B331,"&lt;=90")-D398-C398</f>
        <v>0</v>
      </c>
      <c r="F398" s="265">
        <f>SUMIFS($O$5:$O331,$H$5:$H331,$A$398,$I$5:$I331,$B398,$B$5:$B331,"&gt;=91")</f>
        <v>0</v>
      </c>
      <c r="G398" s="266">
        <f t="shared" si="29"/>
        <v>0</v>
      </c>
    </row>
    <row r="399" spans="1:7" x14ac:dyDescent="0.25">
      <c r="A399" s="466"/>
      <c r="B399" s="462" t="s">
        <v>114</v>
      </c>
      <c r="C399" s="265">
        <f ca="1">SUMIFS($O$5:$O332,$H$5:$H332,$A$398,$I$5:$I332,$B399,$B$5:$B332,"&lt;=30")</f>
        <v>0</v>
      </c>
      <c r="D399" s="464">
        <f ca="1">SUMIFS($O$5:$O332,$H$5:$H332,$A$398,$I$5:$I332,$B399,$B$5:$B332,"&lt;=60")-C399</f>
        <v>0</v>
      </c>
      <c r="E399" s="464">
        <f ca="1">SUMIFS($O$5:$O332,$H$5:$H332,$A$398,$I$5:$I332,$B399,$B$5:$B332,"&lt;=90")-D399-C399</f>
        <v>0</v>
      </c>
      <c r="F399" s="265">
        <f ca="1">SUMIFS($O$5:$O332,$H$5:$H332,$A$398,$I$5:$I332,$B399,$B$5:$B332,"&gt;=91")</f>
        <v>1.6249999999999996</v>
      </c>
      <c r="G399" s="266">
        <f t="shared" ca="1" si="29"/>
        <v>1.6249999999999996</v>
      </c>
    </row>
    <row r="400" spans="1:7" x14ac:dyDescent="0.25">
      <c r="A400" s="309"/>
      <c r="B400" s="459" t="s">
        <v>70</v>
      </c>
      <c r="C400" s="265">
        <f ca="1">SUMIFS($O$5:$O330,$H$5:$H330,$A$401,$I$5:$I330,$B400,$B$5:$B330,"&lt;=30")</f>
        <v>0</v>
      </c>
      <c r="D400" s="265">
        <f ca="1">SUMIFS($O$5:$O330,$H$5:$H330,$A$401,$I$5:$I330,$B400,$B$5:$B330,"&lt;=60")-C400</f>
        <v>0</v>
      </c>
      <c r="E400" s="265">
        <f ca="1">SUMIFS($O$5:$O330,$H$5:$H330,$A$401,$I$5:$I330,$B400,$B$5:$B330,"&lt;=90")-D400-C400</f>
        <v>0</v>
      </c>
      <c r="F400" s="265">
        <f ca="1">SUMIFS($O$5:$O330,$H$5:$H330,$A$401,$I$5:$I330,$B400,$B$5:$B330,"&gt;=91")</f>
        <v>0.505</v>
      </c>
      <c r="G400" s="266">
        <f t="shared" ca="1" si="29"/>
        <v>0.505</v>
      </c>
    </row>
    <row r="401" spans="1:7" x14ac:dyDescent="0.25">
      <c r="A401" s="312" t="s">
        <v>182</v>
      </c>
      <c r="B401" s="461" t="s">
        <v>69</v>
      </c>
      <c r="C401" s="265">
        <f>SUMIFS($O$5:$O331,$H$5:$H331,$A$401,$I$5:$I331,$B401,$B$5:$B331,"&lt;=30")</f>
        <v>0</v>
      </c>
      <c r="D401" s="265">
        <f>SUMIFS($O$5:$O331,$H$5:$H331,$A$401,$I$5:$I331,$B401,$B$5:$B331,"&lt;=60")-C401</f>
        <v>0</v>
      </c>
      <c r="E401" s="265">
        <f>SUMIFS($O$5:$O331,$H$5:$H331,$A$401,$I$5:$I331,$B401,$B$5:$B331,"&lt;=90")-D401-C401</f>
        <v>0</v>
      </c>
      <c r="F401" s="265">
        <f>SUMIFS($O$5:$O331,$H$5:$H331,$A$401,$I$5:$I331,$B401,$B$5:$B331,"&gt;=91")</f>
        <v>0</v>
      </c>
      <c r="G401" s="266">
        <f t="shared" si="29"/>
        <v>0</v>
      </c>
    </row>
    <row r="402" spans="1:7" x14ac:dyDescent="0.25">
      <c r="A402" s="312"/>
      <c r="B402" s="462" t="s">
        <v>114</v>
      </c>
      <c r="C402" s="265">
        <f ca="1">SUMIFS($O$5:$O332,$H$5:$H332,$A$401,$I$5:$I332,$B402,$B$5:$B332,"&lt;=30")</f>
        <v>0.6399999999999999</v>
      </c>
      <c r="D402" s="265">
        <f ca="1">SUMIFS($O$5:$O332,$H$5:$H332,$A$401,$I$5:$I332,$B402,$B$5:$B332,"&lt;=60")-C402</f>
        <v>0.34000000000000008</v>
      </c>
      <c r="E402" s="265">
        <f ca="1">SUMIFS($O$5:$O332,$H$5:$H332,$A$401,$I$5:$I332,$B402,$B$5:$B332,"&lt;=90")-D402-C402</f>
        <v>0.49</v>
      </c>
      <c r="F402" s="265">
        <f ca="1">SUMIFS($O$5:$O332,$H$5:$H332,$A$401,$I$5:$I332,$B402,$B$5:$B332,"&gt;=91")</f>
        <v>14.165000000000001</v>
      </c>
      <c r="G402" s="266">
        <f t="shared" ca="1" si="29"/>
        <v>15.635000000000002</v>
      </c>
    </row>
    <row r="403" spans="1:7" x14ac:dyDescent="0.25">
      <c r="A403" s="313"/>
      <c r="B403" s="459" t="s">
        <v>70</v>
      </c>
      <c r="C403" s="265">
        <f>SUMIFS($O$5:$O333,$H$5:$H333,$A$404,$I$5:$I333,$B403,$B$5:$B333,"&lt;=30")</f>
        <v>0</v>
      </c>
      <c r="D403" s="265">
        <f>SUMIFS($O$5:$O333,$H$5:$H333,$A$404,$I$5:$I333,$B403,$B$5:$B333,"&lt;=60")-C403</f>
        <v>0</v>
      </c>
      <c r="E403" s="265">
        <f>SUMIFS($O$5:$O333,$H$5:$H333,$A$404,$I$5:$I333,$B403,$B$5:$B333,"&lt;=90")-D403-C403</f>
        <v>0</v>
      </c>
      <c r="F403" s="265">
        <f>SUMIFS($O$5:$O333,$H$5:$H333,$A$404,$I$5:$I333,$B403,$B$5:$B333,"&gt;=91")</f>
        <v>0</v>
      </c>
      <c r="G403" s="266">
        <f t="shared" si="29"/>
        <v>0</v>
      </c>
    </row>
    <row r="404" spans="1:7" x14ac:dyDescent="0.25">
      <c r="A404" s="314" t="s">
        <v>135</v>
      </c>
      <c r="B404" s="461" t="s">
        <v>69</v>
      </c>
      <c r="C404" s="265">
        <f>SUMIFS($O$5:$O334,$H$5:$H334,$A$404,$I$5:$I334,$B404,$B$5:$B334,"&lt;=30")</f>
        <v>0</v>
      </c>
      <c r="D404" s="265">
        <f>SUMIFS($O$5:$O334,$H$5:$H334,$A$404,$I$5:$I334,$B404,$B$5:$B334,"&lt;=60")-C404</f>
        <v>0</v>
      </c>
      <c r="E404" s="265">
        <f>SUMIFS($O$5:$O334,$H$5:$H334,$A$404,$I$5:$I334,$B404,$B$5:$B334,"&lt;=90")-D404-C404</f>
        <v>0</v>
      </c>
      <c r="F404" s="265">
        <f>SUMIFS($O$5:$O334,$H$5:$H334,$A$404,$I$5:$I334,$B404,$B$5:$B334,"&gt;=91")</f>
        <v>0</v>
      </c>
      <c r="G404" s="266">
        <f t="shared" si="29"/>
        <v>0</v>
      </c>
    </row>
    <row r="405" spans="1:7" x14ac:dyDescent="0.25">
      <c r="A405" s="314"/>
      <c r="B405" s="462" t="s">
        <v>114</v>
      </c>
      <c r="C405" s="265">
        <f ca="1">SUMIFS($O$5:$O335,$H$5:$H335,$A$404,$I$5:$I335,$B405,$B$5:$B335,"&lt;=30")</f>
        <v>0</v>
      </c>
      <c r="D405" s="265">
        <f ca="1">SUMIFS($O$5:$O335,$H$5:$H335,$A$404,$I$5:$I335,$B405,$B$5:$B335,"&lt;=60")-C405</f>
        <v>0.81</v>
      </c>
      <c r="E405" s="265">
        <f ca="1">SUMIFS($O$5:$O335,$H$5:$H335,$A$404,$I$5:$I335,$B405,$B$5:$B335,"&lt;=90")-D405-C405</f>
        <v>0</v>
      </c>
      <c r="F405" s="265">
        <f ca="1">SUMIFS($O$5:$O335,$H$5:$H335,$A$404,$I$5:$I335,$B405,$B$5:$B335,"&gt;=91")</f>
        <v>1.345</v>
      </c>
      <c r="G405" s="266">
        <f t="shared" ca="1" si="29"/>
        <v>2.1550000000000002</v>
      </c>
    </row>
    <row r="406" spans="1:7" x14ac:dyDescent="0.25">
      <c r="A406" s="316"/>
      <c r="B406" s="459" t="s">
        <v>70</v>
      </c>
      <c r="C406" s="265">
        <f>SUMIFS($O$5:$O336,$H$5:$H336,$A$407,$I$5:$I336,$B406,$B$5:$B336,"&lt;=30")</f>
        <v>0</v>
      </c>
      <c r="D406" s="265">
        <f>SUMIFS($O$5:$O336,$H$5:$H336,$A$407,$I$5:$I336,$B406,$B$5:$B336,"&lt;=60")-C406</f>
        <v>0</v>
      </c>
      <c r="E406" s="265">
        <f>SUMIFS($O$5:$O336,$H$5:$H336,$A$407,$I$5:$I336,$B406,$B$5:$B336,"&lt;=90")-D406-C406</f>
        <v>0</v>
      </c>
      <c r="F406" s="265">
        <f>SUMIFS($O$5:$O336,$H$5:$H336,$A$407,$I$5:$I336,$B406,$B$5:$B336,"&gt;=91")</f>
        <v>0</v>
      </c>
      <c r="G406" s="266">
        <f t="shared" si="29"/>
        <v>0</v>
      </c>
    </row>
    <row r="407" spans="1:7" x14ac:dyDescent="0.25">
      <c r="A407" s="317">
        <v>430</v>
      </c>
      <c r="B407" s="461" t="s">
        <v>69</v>
      </c>
      <c r="C407" s="265">
        <f>SUMIFS($O$5:$O337,$H$5:$H337,$A$407,$I$5:$I337,$B407,$B$5:$B337,"&lt;=30")</f>
        <v>0</v>
      </c>
      <c r="D407" s="265">
        <f>SUMIFS($O$5:$O337,$H$5:$H337,$A$407,$I$5:$I337,$B407,$B$5:$B337,"&lt;=60")-C407</f>
        <v>0</v>
      </c>
      <c r="E407" s="265">
        <f>SUMIFS($O$5:$O337,$H$5:$H337,$A$407,$I$5:$I337,$B407,$B$5:$B337,"&lt;=90")-D407-C407</f>
        <v>0</v>
      </c>
      <c r="F407" s="265">
        <f>SUMIFS($O$5:$O337,$H$5:$H337,$A$407,$I$5:$I337,$B407,$B$5:$B337,"&gt;=91")</f>
        <v>0</v>
      </c>
      <c r="G407" s="266">
        <f t="shared" si="29"/>
        <v>0</v>
      </c>
    </row>
    <row r="408" spans="1:7" x14ac:dyDescent="0.25">
      <c r="A408" s="317"/>
      <c r="B408" s="462" t="s">
        <v>114</v>
      </c>
      <c r="C408" s="265">
        <f ca="1">SUMIFS($O$5:$O338,$H$5:$H338,$A$407,$I$5:$I338,$B408,$B$5:$B338,"&lt;=30")</f>
        <v>0</v>
      </c>
      <c r="D408" s="265">
        <f ca="1">SUMIFS($O$5:$O338,$H$5:$H338,$A$407,$I$5:$I338,$B408,$B$5:$B338,"&lt;=60")-C408</f>
        <v>0</v>
      </c>
      <c r="E408" s="265">
        <f ca="1">SUMIFS($O$5:$O338,$H$5:$H338,$A$407,$I$5:$I338,$B408,$B$5:$B338,"&lt;=90")-D408-C408</f>
        <v>0</v>
      </c>
      <c r="F408" s="265">
        <f ca="1">SUMIFS($O$5:$O338,$H$5:$H338,$A$407,$I$5:$I338,$B408,$B$5:$B338,"&gt;=91")</f>
        <v>3.4050000000000002</v>
      </c>
      <c r="G408" s="266">
        <f t="shared" ca="1" si="29"/>
        <v>3.4050000000000002</v>
      </c>
    </row>
    <row r="409" spans="1:7" x14ac:dyDescent="0.25">
      <c r="A409" s="318"/>
      <c r="B409" s="459" t="s">
        <v>70</v>
      </c>
      <c r="C409" s="265">
        <f>SUMIFS($O$5:$O339,$H$5:$H339,$A$410,$I$5:$I339,$B409,$B$5:$B339,"&lt;=30")</f>
        <v>0</v>
      </c>
      <c r="D409" s="265">
        <f>SUMIFS($O$5:$O339,$H$5:$H339,$A$410,$I$5:$I339,$B409,$B$5:$B339,"&lt;=60")-C409</f>
        <v>0</v>
      </c>
      <c r="E409" s="265">
        <f>SUMIFS($O$5:$O339,$H$5:$H339,$A$410,$I$5:$I339,$B409,$B$5:$B339,"&lt;=90")-D409-C409</f>
        <v>0</v>
      </c>
      <c r="F409" s="265">
        <f>SUMIFS($O$5:$O339,$H$5:$H339,$A$410,$I$5:$I339,$B409,$B$5:$B339,"&gt;=91")</f>
        <v>0</v>
      </c>
      <c r="G409" s="266">
        <f t="shared" si="29"/>
        <v>0</v>
      </c>
    </row>
    <row r="410" spans="1:7" x14ac:dyDescent="0.25">
      <c r="A410" s="319" t="s">
        <v>3790</v>
      </c>
      <c r="B410" s="461" t="s">
        <v>69</v>
      </c>
      <c r="C410" s="265">
        <f>SUMIFS($O$5:$O340,$H$5:$H340,$A$410,$I$5:$I340,$B410,$B$5:$B340,"&lt;=30")</f>
        <v>0</v>
      </c>
      <c r="D410" s="265">
        <f>SUMIFS($O$5:$O340,$H$5:$H340,$A$410,$I$5:$I340,$B410,$B$5:$B340,"&lt;=60")-C410</f>
        <v>0</v>
      </c>
      <c r="E410" s="265">
        <f>SUMIFS($O$5:$O340,$H$5:$H340,$A$410,$I$5:$I340,$B410,$B$5:$B340,"&lt;=90")-D410-C410</f>
        <v>0</v>
      </c>
      <c r="F410" s="265">
        <f>SUMIFS($O$5:$O340,$H$5:$H340,$A$410,$I$5:$I340,$B410,$B$5:$B340,"&gt;=91")</f>
        <v>0</v>
      </c>
      <c r="G410" s="266">
        <f t="shared" si="29"/>
        <v>0</v>
      </c>
    </row>
    <row r="411" spans="1:7" x14ac:dyDescent="0.25">
      <c r="A411" s="320"/>
      <c r="B411" s="462" t="s">
        <v>114</v>
      </c>
      <c r="C411" s="265">
        <f>SUMIFS($O$5:$O341,$H$5:$H341,$A$410,$I$5:$I341,$B411,$B$5:$B341,"&lt;=30")</f>
        <v>0</v>
      </c>
      <c r="D411" s="265">
        <f>SUMIFS($O$5:$O341,$H$5:$H341,$A$410,$I$5:$I341,$B411,$B$5:$B341,"&lt;=60")-C411</f>
        <v>0</v>
      </c>
      <c r="E411" s="265">
        <f>SUMIFS($O$5:$O341,$H$5:$H341,$A$410,$I$5:$I341,$B411,$B$5:$B341,"&lt;=90")-D411-C411</f>
        <v>0</v>
      </c>
      <c r="F411" s="265">
        <f>SUMIFS($O$5:$O341,$H$5:$H341,$A$410,$I$5:$I341,$B411,$B$5:$B341,"&gt;=91")</f>
        <v>0</v>
      </c>
      <c r="G411" s="266">
        <f t="shared" si="29"/>
        <v>0</v>
      </c>
    </row>
    <row r="412" spans="1:7" x14ac:dyDescent="0.25">
      <c r="A412" s="331" t="s">
        <v>39</v>
      </c>
      <c r="B412" s="332"/>
      <c r="C412" s="333">
        <f ca="1">SUM(C379:C411)</f>
        <v>0.87999999999999989</v>
      </c>
      <c r="D412" s="333">
        <f ca="1">SUM(D379:D411)</f>
        <v>1.6950000000000003</v>
      </c>
      <c r="E412" s="333">
        <f ca="1">SUM(E379:E411)</f>
        <v>0.78500000000000003</v>
      </c>
      <c r="F412" s="514">
        <f ca="1">SUM(F379:F411)</f>
        <v>52.134</v>
      </c>
      <c r="G412" s="515">
        <f t="shared" ca="1" si="29"/>
        <v>55.494</v>
      </c>
    </row>
    <row r="1048538" spans="1:69" s="351" customFormat="1" x14ac:dyDescent="0.25">
      <c r="A1048538" s="336"/>
      <c r="B1048538" s="336"/>
      <c r="C1048538" s="336"/>
      <c r="D1048538" s="336"/>
      <c r="E1048538" s="336"/>
      <c r="F1048538" s="336"/>
      <c r="G1048538" s="336"/>
      <c r="H1048538" s="336"/>
      <c r="I1048538" s="336"/>
      <c r="J1048538" s="336"/>
      <c r="K1048538" s="399"/>
      <c r="L1048538" s="399"/>
      <c r="M1048538" s="399"/>
      <c r="N1048538" s="352"/>
      <c r="O1048538" s="353"/>
      <c r="P1048538" s="353"/>
      <c r="Q1048538" s="353"/>
      <c r="R1048538" s="353"/>
      <c r="S1048538" s="353"/>
      <c r="T1048538" s="399"/>
      <c r="U1048538" s="491"/>
      <c r="AJ1048538" s="336"/>
      <c r="AK1048538" s="336"/>
      <c r="AL1048538" s="336"/>
      <c r="AM1048538" s="336"/>
      <c r="AN1048538" s="336"/>
      <c r="AO1048538" s="336"/>
      <c r="AP1048538" s="336"/>
      <c r="AQ1048538" s="336"/>
      <c r="AR1048538" s="336"/>
      <c r="AS1048538" s="336"/>
      <c r="AT1048538" s="364"/>
      <c r="AU1048538" s="364"/>
      <c r="AV1048538" s="364"/>
      <c r="AY1048538" s="336"/>
      <c r="AZ1048538" s="336"/>
      <c r="BA1048538" s="336"/>
      <c r="BB1048538" s="336"/>
      <c r="BC1048538" s="336"/>
      <c r="BD1048538" s="336"/>
      <c r="BE1048538" s="336"/>
      <c r="BF1048538" s="336"/>
      <c r="BG1048538" s="336"/>
      <c r="BH1048538" s="336"/>
      <c r="BI1048538" s="336"/>
      <c r="BJ1048538" s="336"/>
      <c r="BK1048538" s="336"/>
      <c r="BL1048538" s="336"/>
      <c r="BM1048538" s="336"/>
      <c r="BN1048538" s="336"/>
      <c r="BO1048538" s="336"/>
      <c r="BP1048538" s="336"/>
      <c r="BQ1048538" s="336"/>
    </row>
  </sheetData>
  <autoFilter ref="A4:BQ175" xr:uid="{A3BF1A94-E6DF-484E-86DF-699D1E1C93E9}"/>
  <mergeCells count="7">
    <mergeCell ref="A412:B412"/>
    <mergeCell ref="A1:S1"/>
    <mergeCell ref="O63:O65"/>
    <mergeCell ref="P63:P65"/>
    <mergeCell ref="P109:P110"/>
    <mergeCell ref="A377:A378"/>
    <mergeCell ref="C377:G377"/>
  </mergeCells>
  <pageMargins left="0.5" right="0.5" top="0.5" bottom="0" header="0.3" footer="0.3"/>
  <pageSetup scale="65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A5BAE-469D-4E29-BE63-BE70345744A0}">
  <sheetPr>
    <pageSetUpPr fitToPage="1"/>
  </sheetPr>
  <dimension ref="A1:BN442"/>
  <sheetViews>
    <sheetView topLeftCell="V1" zoomScale="70" zoomScaleNormal="70" workbookViewId="0">
      <pane ySplit="4" topLeftCell="A23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2" width="15.140625" style="336" customWidth="1"/>
    <col min="3" max="3" width="16.85546875" style="336" customWidth="1"/>
    <col min="4" max="4" width="29.140625" style="336" customWidth="1"/>
    <col min="5" max="5" width="26.42578125" style="336" customWidth="1"/>
    <col min="6" max="6" width="21.7109375" style="336" customWidth="1"/>
    <col min="7" max="7" width="25.140625" style="336" customWidth="1"/>
    <col min="8" max="8" width="9.7109375" style="336" customWidth="1"/>
    <col min="9" max="9" width="9.140625" style="336" customWidth="1"/>
    <col min="10" max="10" width="13.5703125" style="351" customWidth="1"/>
    <col min="11" max="11" width="11.140625" style="399" customWidth="1"/>
    <col min="12" max="12" width="10.85546875" style="399" customWidth="1"/>
    <col min="13" max="13" width="10" style="399" customWidth="1"/>
    <col min="14" max="14" width="9.7109375" style="352" customWidth="1"/>
    <col min="15" max="15" width="12.140625" style="353" customWidth="1"/>
    <col min="16" max="16" width="13" style="353" customWidth="1"/>
    <col min="17" max="17" width="11.140625" style="353" customWidth="1"/>
    <col min="18" max="18" width="12.5703125" style="353" customWidth="1"/>
    <col min="19" max="19" width="12.42578125" style="353" customWidth="1"/>
    <col min="20" max="20" width="25.140625" style="399" customWidth="1"/>
    <col min="21" max="21" width="35.140625" style="351" customWidth="1"/>
    <col min="22" max="22" width="57.5703125" style="351" customWidth="1"/>
    <col min="23" max="23" width="34.85546875" style="351" customWidth="1"/>
    <col min="24" max="24" width="13.28515625" style="351" customWidth="1"/>
    <col min="25" max="32" width="12.42578125" style="351" customWidth="1"/>
    <col min="33" max="33" width="18.85546875" style="351" customWidth="1"/>
    <col min="34" max="34" width="12.42578125" style="351" customWidth="1"/>
    <col min="35" max="35" width="36.42578125" style="336" customWidth="1"/>
    <col min="36" max="36" width="18.28515625" style="336" customWidth="1"/>
    <col min="37" max="37" width="12.85546875" style="336" customWidth="1"/>
    <col min="38" max="38" width="12.7109375" style="336" customWidth="1"/>
    <col min="39" max="42" width="13.42578125" style="336" customWidth="1"/>
    <col min="43" max="43" width="22.42578125" style="336" customWidth="1"/>
    <col min="44" max="44" width="19.85546875" style="336" customWidth="1"/>
    <col min="45" max="47" width="13.5703125" style="364" customWidth="1"/>
    <col min="48" max="49" width="12.42578125" style="351" customWidth="1"/>
    <col min="50" max="50" width="11.42578125" style="336" customWidth="1"/>
    <col min="51" max="61" width="9.140625" style="336" customWidth="1"/>
    <col min="62" max="62" width="14.140625" style="336" customWidth="1"/>
    <col min="63" max="63" width="13.5703125" style="336" customWidth="1"/>
    <col min="64" max="64" width="16.140625" style="336" customWidth="1"/>
    <col min="65" max="65" width="11.5703125" style="336" customWidth="1"/>
    <col min="66" max="66" width="10.5703125" style="336" bestFit="1" customWidth="1"/>
    <col min="67" max="16384" width="9.140625" style="336"/>
  </cols>
  <sheetData>
    <row r="1" spans="1:65" ht="31.5" customHeight="1" x14ac:dyDescent="0.25">
      <c r="A1" s="398" t="s">
        <v>5462</v>
      </c>
      <c r="B1" s="398"/>
      <c r="C1" s="398"/>
      <c r="D1" s="398"/>
      <c r="E1" s="398"/>
      <c r="F1" s="398"/>
      <c r="G1" s="398"/>
      <c r="H1" s="398"/>
      <c r="I1" s="398"/>
      <c r="J1" s="398"/>
      <c r="K1" s="398"/>
      <c r="L1" s="398"/>
      <c r="M1" s="398"/>
      <c r="N1" s="398"/>
      <c r="O1" s="398"/>
      <c r="P1" s="398"/>
      <c r="Q1" s="398"/>
      <c r="R1" s="398"/>
      <c r="S1" s="398"/>
      <c r="T1" s="398"/>
      <c r="U1" s="398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334"/>
      <c r="AK1" s="334"/>
      <c r="AL1" s="334"/>
      <c r="AM1" s="334"/>
      <c r="AN1" s="334"/>
      <c r="AO1" s="334"/>
      <c r="AP1" s="334"/>
      <c r="AQ1" s="334"/>
      <c r="AR1" s="334"/>
      <c r="AS1" s="334"/>
      <c r="AT1" s="334"/>
      <c r="AU1" s="334"/>
      <c r="AV1" s="334"/>
      <c r="AW1" s="334"/>
    </row>
    <row r="2" spans="1:65" x14ac:dyDescent="0.25">
      <c r="C2" s="4" t="s">
        <v>3793</v>
      </c>
      <c r="D2" s="361" t="str">
        <f>IF(G2="","",IF(Q2="MULTI","FGMS","FGC")&amp;"-"&amp;H2&amp;"/"&amp;I2&amp;"-"&amp;TEXT(K2,"0.00")&amp;"X"&amp;IF(Q2="MULTI",R2,Q2))</f>
        <v/>
      </c>
      <c r="BJ2" s="361"/>
      <c r="BK2" s="361"/>
      <c r="BL2" s="400"/>
      <c r="BM2" s="361"/>
    </row>
    <row r="3" spans="1:65" x14ac:dyDescent="0.25">
      <c r="G3" s="359"/>
    </row>
    <row r="4" spans="1:65" ht="49.5" x14ac:dyDescent="0.25">
      <c r="A4" s="347" t="s">
        <v>5463</v>
      </c>
      <c r="B4" s="337" t="s">
        <v>5464</v>
      </c>
      <c r="C4" s="337" t="s">
        <v>5465</v>
      </c>
      <c r="D4" s="152" t="s">
        <v>74</v>
      </c>
      <c r="E4" s="153" t="s">
        <v>5</v>
      </c>
      <c r="F4" s="337" t="s">
        <v>76</v>
      </c>
      <c r="G4" s="337" t="s">
        <v>77</v>
      </c>
      <c r="H4" s="337" t="s">
        <v>78</v>
      </c>
      <c r="I4" s="337" t="s">
        <v>79</v>
      </c>
      <c r="J4" s="338" t="s">
        <v>5466</v>
      </c>
      <c r="K4" s="338" t="s">
        <v>5467</v>
      </c>
      <c r="L4" s="339" t="s">
        <v>3797</v>
      </c>
      <c r="M4" s="339" t="s">
        <v>3798</v>
      </c>
      <c r="N4" s="340" t="s">
        <v>5468</v>
      </c>
      <c r="O4" s="378" t="s">
        <v>5469</v>
      </c>
      <c r="P4" s="401" t="s">
        <v>5470</v>
      </c>
      <c r="Q4" s="338" t="s">
        <v>6806</v>
      </c>
      <c r="R4" s="402" t="s">
        <v>5472</v>
      </c>
      <c r="S4" s="338" t="s">
        <v>5473</v>
      </c>
      <c r="T4" s="397" t="s">
        <v>5474</v>
      </c>
      <c r="U4" s="338" t="s">
        <v>88</v>
      </c>
      <c r="V4" s="338"/>
      <c r="W4" s="338" t="s">
        <v>5475</v>
      </c>
      <c r="X4" s="342" t="s">
        <v>3801</v>
      </c>
      <c r="Y4" s="343" t="s">
        <v>3802</v>
      </c>
      <c r="Z4" s="161" t="s">
        <v>3803</v>
      </c>
      <c r="AA4" s="162" t="s">
        <v>3804</v>
      </c>
      <c r="AB4" s="344" t="s">
        <v>6807</v>
      </c>
      <c r="AC4" s="345" t="s">
        <v>18</v>
      </c>
      <c r="AD4" s="346" t="s">
        <v>19</v>
      </c>
      <c r="AE4" s="167" t="s">
        <v>3809</v>
      </c>
      <c r="AF4" s="343" t="s">
        <v>21</v>
      </c>
      <c r="AG4" s="338" t="s">
        <v>91</v>
      </c>
      <c r="AH4" s="338" t="s">
        <v>92</v>
      </c>
      <c r="AI4" s="337" t="s">
        <v>93</v>
      </c>
      <c r="AJ4" s="337" t="s">
        <v>94</v>
      </c>
      <c r="AK4" s="347" t="s">
        <v>95</v>
      </c>
      <c r="AL4" s="347" t="s">
        <v>96</v>
      </c>
      <c r="AM4" s="347" t="s">
        <v>3811</v>
      </c>
      <c r="AN4" s="347" t="s">
        <v>3812</v>
      </c>
      <c r="AO4" s="347" t="s">
        <v>98</v>
      </c>
      <c r="AP4" s="347"/>
      <c r="AQ4" s="337" t="s">
        <v>100</v>
      </c>
      <c r="AR4" s="337" t="s">
        <v>101</v>
      </c>
      <c r="AS4" s="348" t="s">
        <v>3814</v>
      </c>
      <c r="AT4" s="348" t="s">
        <v>3815</v>
      </c>
      <c r="AU4" s="348" t="s">
        <v>3816</v>
      </c>
      <c r="AV4" s="338" t="s">
        <v>3817</v>
      </c>
      <c r="AW4" s="338"/>
      <c r="AX4" s="403"/>
      <c r="BF4" s="403"/>
      <c r="BG4" s="403"/>
      <c r="BJ4" s="403"/>
      <c r="BK4" s="403"/>
      <c r="BL4" s="403"/>
      <c r="BM4" s="516"/>
    </row>
    <row r="5" spans="1:65" s="406" customFormat="1" ht="19.5" customHeight="1" x14ac:dyDescent="0.25">
      <c r="A5" s="405" t="s">
        <v>6808</v>
      </c>
      <c r="G5" s="517"/>
      <c r="H5" s="517"/>
      <c r="I5" s="517"/>
      <c r="J5" s="517"/>
      <c r="K5" s="518"/>
      <c r="L5" s="518"/>
      <c r="M5" s="518"/>
      <c r="N5" s="519"/>
      <c r="O5" s="520"/>
      <c r="P5" s="520"/>
      <c r="Q5" s="520"/>
      <c r="R5" s="520"/>
      <c r="S5" s="520"/>
      <c r="T5" s="518"/>
      <c r="U5" s="521"/>
      <c r="V5" s="407"/>
      <c r="W5" s="407"/>
      <c r="X5" s="407"/>
      <c r="Y5" s="407"/>
      <c r="Z5" s="407"/>
      <c r="AA5" s="407"/>
      <c r="AB5" s="407"/>
      <c r="AC5" s="407"/>
      <c r="AD5" s="407"/>
      <c r="AE5" s="407"/>
      <c r="AF5" s="407"/>
      <c r="AG5" s="407"/>
      <c r="AH5" s="407"/>
      <c r="AS5" s="411"/>
      <c r="AT5" s="411"/>
      <c r="AU5" s="411"/>
      <c r="AV5" s="407"/>
      <c r="AW5" s="407"/>
    </row>
    <row r="6" spans="1:65" s="489" customFormat="1" ht="19.5" customHeight="1" x14ac:dyDescent="0.25">
      <c r="A6" s="199"/>
      <c r="B6" s="204" t="s">
        <v>6028</v>
      </c>
      <c r="C6" s="199"/>
      <c r="D6" s="201" t="str">
        <f t="shared" ref="D6:D20" si="0">"FGS"&amp;"-"&amp;H6&amp;"/"&amp;I6&amp;"-"&amp;IF(K6="",(TEXT(J6,"0.00")),(TEXT(K6,"0.00")))&amp;"X"&amp;N6&amp;"X"&amp;Q6</f>
        <v>FGS-430/2B-1.95X333X2440</v>
      </c>
      <c r="E6" s="201" t="s">
        <v>6809</v>
      </c>
      <c r="F6" s="201" t="s">
        <v>5690</v>
      </c>
      <c r="G6" s="201" t="s">
        <v>6810</v>
      </c>
      <c r="H6" s="201">
        <v>430</v>
      </c>
      <c r="I6" s="202" t="s">
        <v>114</v>
      </c>
      <c r="J6" s="203">
        <v>4</v>
      </c>
      <c r="K6" s="203">
        <v>1.95</v>
      </c>
      <c r="L6" s="203">
        <v>1.98</v>
      </c>
      <c r="M6" s="203">
        <v>1.99</v>
      </c>
      <c r="N6" s="204">
        <v>333</v>
      </c>
      <c r="O6" s="381">
        <v>0.19700000000000001</v>
      </c>
      <c r="P6" s="413"/>
      <c r="Q6" s="440">
        <v>2440</v>
      </c>
      <c r="R6" s="185" t="s">
        <v>5486</v>
      </c>
      <c r="S6" s="414">
        <v>16</v>
      </c>
      <c r="T6" s="371"/>
      <c r="U6" s="491" t="s">
        <v>390</v>
      </c>
      <c r="V6" s="491"/>
      <c r="W6" s="491" t="s">
        <v>176</v>
      </c>
      <c r="X6" s="492">
        <v>43446</v>
      </c>
      <c r="Y6" s="492"/>
      <c r="Z6" s="492">
        <v>43446</v>
      </c>
      <c r="AA6" s="492"/>
      <c r="AB6" s="492">
        <v>43447</v>
      </c>
      <c r="AC6" s="492">
        <v>43601</v>
      </c>
      <c r="AD6" s="492"/>
      <c r="AE6" s="492"/>
      <c r="AF6" s="492"/>
      <c r="AG6" s="493"/>
      <c r="AH6" s="494" t="s">
        <v>69</v>
      </c>
      <c r="AI6" s="494" t="s">
        <v>177</v>
      </c>
      <c r="AJ6" s="495" t="s">
        <v>178</v>
      </c>
      <c r="AK6" s="495">
        <v>43313</v>
      </c>
      <c r="AL6" s="495">
        <v>43413</v>
      </c>
      <c r="AM6" s="495"/>
      <c r="AN6" s="199">
        <f t="shared" ref="AN6:AN33" ca="1" si="1">TODAY()</f>
        <v>44958</v>
      </c>
      <c r="AO6" s="494">
        <f t="shared" ref="AO6:AO37" ca="1" si="2">IF(AL6&lt;&gt;0,AN6-AL6,0)</f>
        <v>1545</v>
      </c>
      <c r="AP6" s="494"/>
      <c r="AQ6" s="495" t="s">
        <v>179</v>
      </c>
      <c r="AR6" s="495" t="s">
        <v>5690</v>
      </c>
      <c r="AS6" s="496">
        <v>9.0540000000000003</v>
      </c>
      <c r="AT6" s="496">
        <v>9.0839999999999996</v>
      </c>
      <c r="AU6" s="496">
        <v>9.0649999999999995</v>
      </c>
      <c r="AV6" s="496">
        <v>9.07</v>
      </c>
      <c r="BA6" s="489" t="s">
        <v>123</v>
      </c>
      <c r="BC6" s="489" t="s">
        <v>622</v>
      </c>
    </row>
    <row r="7" spans="1:65" s="489" customFormat="1" ht="19.5" customHeight="1" x14ac:dyDescent="0.25">
      <c r="A7" s="199"/>
      <c r="B7" s="204">
        <f ca="1">IF(A7="",(IF(ISNUMBER(SUBSTITUTE(LEFT(RIGHT(E7,LEN(E7)-MIN(SEARCH({1,2,3,4,5,6,7,8,9,0},E7&amp;"1234567890"))+1),10),".","/"))=TRUE,AN7-(SUBSTITUTE(LEFT(RIGHT(E7,LEN(E7)-MIN(SEARCH({1,2,3,4,5,6,7,8,9,0},E7&amp;"1234567890"))+1),10),".","/")),IF((SUBSTITUTE(LEFT(RIGHT(E7,LEN(E7)-MIN(SEARCH({1,2,3,4,5,6,7,8,9,0},E7&amp;"1234567890"))+1),10),".","/"))="","",(AN7)-(MID(RIGHT((SUBSTITUTE(LEFT(RIGHT(E7,LEN(E7)-MIN(SEARCH({1,2,3,4,5,6,7,8,9,0},E7&amp;"1234567890"))+1),10),".","/")),10),4,2)&amp;"/"&amp;LEFT((RIGHT((SUBSTITUTE(LEFT(RIGHT(E7,LEN(E7)-MIN(SEARCH({1,2,3,4,5,6,7,8,9,0},E7&amp;"1234567890"))+1),10),".","/")),10)),2)&amp;"/"&amp;RIGHT((SUBSTITUTE(LEFT(RIGHT(E7,LEN(E7)-MIN(SEARCH({1,2,3,4,5,6,7,8,9,0},E7&amp;"1234567890"))+1),10),".","/")),4))))),(AN7-A7))</f>
        <v>1357</v>
      </c>
      <c r="C7" s="199"/>
      <c r="D7" s="201" t="str">
        <f t="shared" si="0"/>
        <v>FGS-430/2B-1.95X333X2440</v>
      </c>
      <c r="E7" s="201" t="s">
        <v>6809</v>
      </c>
      <c r="F7" s="201" t="s">
        <v>5690</v>
      </c>
      <c r="G7" s="201" t="s">
        <v>6811</v>
      </c>
      <c r="H7" s="201">
        <v>430</v>
      </c>
      <c r="I7" s="202" t="s">
        <v>114</v>
      </c>
      <c r="J7" s="203">
        <v>4</v>
      </c>
      <c r="K7" s="203">
        <v>1.95</v>
      </c>
      <c r="L7" s="203">
        <v>1.98</v>
      </c>
      <c r="M7" s="203">
        <v>1.99</v>
      </c>
      <c r="N7" s="204">
        <v>333</v>
      </c>
      <c r="O7" s="381">
        <v>0.222</v>
      </c>
      <c r="P7" s="413"/>
      <c r="Q7" s="440">
        <v>2440</v>
      </c>
      <c r="R7" s="185" t="s">
        <v>5486</v>
      </c>
      <c r="S7" s="414">
        <v>18</v>
      </c>
      <c r="T7" s="371"/>
      <c r="U7" s="491" t="s">
        <v>390</v>
      </c>
      <c r="V7" s="491"/>
      <c r="W7" s="491" t="s">
        <v>176</v>
      </c>
      <c r="X7" s="492">
        <v>43446</v>
      </c>
      <c r="Y7" s="492"/>
      <c r="Z7" s="492">
        <v>43446</v>
      </c>
      <c r="AA7" s="492"/>
      <c r="AB7" s="492">
        <v>43447</v>
      </c>
      <c r="AC7" s="492">
        <v>43601</v>
      </c>
      <c r="AD7" s="492"/>
      <c r="AE7" s="492"/>
      <c r="AF7" s="492"/>
      <c r="AG7" s="493"/>
      <c r="AH7" s="494" t="s">
        <v>69</v>
      </c>
      <c r="AI7" s="494" t="s">
        <v>177</v>
      </c>
      <c r="AJ7" s="495" t="s">
        <v>178</v>
      </c>
      <c r="AK7" s="495">
        <v>43313</v>
      </c>
      <c r="AL7" s="495">
        <v>43413</v>
      </c>
      <c r="AM7" s="495"/>
      <c r="AN7" s="199">
        <f t="shared" ca="1" si="1"/>
        <v>44958</v>
      </c>
      <c r="AO7" s="494">
        <f t="shared" ca="1" si="2"/>
        <v>1545</v>
      </c>
      <c r="AP7" s="494"/>
      <c r="AQ7" s="495" t="s">
        <v>179</v>
      </c>
      <c r="AR7" s="495" t="s">
        <v>5690</v>
      </c>
      <c r="AS7" s="496">
        <v>9.0540000000000003</v>
      </c>
      <c r="AT7" s="496">
        <v>9.0839999999999996</v>
      </c>
      <c r="AU7" s="496">
        <v>9.0649999999999995</v>
      </c>
      <c r="AV7" s="496">
        <v>9.07</v>
      </c>
      <c r="BA7" s="489" t="s">
        <v>123</v>
      </c>
    </row>
    <row r="8" spans="1:65" s="489" customFormat="1" ht="19.5" customHeight="1" x14ac:dyDescent="0.25">
      <c r="A8" s="199"/>
      <c r="B8" s="204">
        <f ca="1">IF(A8="",(IF(ISNUMBER(SUBSTITUTE(LEFT(RIGHT(E8,LEN(E8)-MIN(SEARCH({1,2,3,4,5,6,7,8,9,0},E8&amp;"1234567890"))+1),10),".","/"))=TRUE,AN8-(SUBSTITUTE(LEFT(RIGHT(E8,LEN(E8)-MIN(SEARCH({1,2,3,4,5,6,7,8,9,0},E8&amp;"1234567890"))+1),10),".","/")),IF((SUBSTITUTE(LEFT(RIGHT(E8,LEN(E8)-MIN(SEARCH({1,2,3,4,5,6,7,8,9,0},E8&amp;"1234567890"))+1),10),".","/"))="","",(AN8)-(MID(RIGHT((SUBSTITUTE(LEFT(RIGHT(E8,LEN(E8)-MIN(SEARCH({1,2,3,4,5,6,7,8,9,0},E8&amp;"1234567890"))+1),10),".","/")),10),4,2)&amp;"/"&amp;LEFT((RIGHT((SUBSTITUTE(LEFT(RIGHT(E8,LEN(E8)-MIN(SEARCH({1,2,3,4,5,6,7,8,9,0},E8&amp;"1234567890"))+1),10),".","/")),10)),2)&amp;"/"&amp;RIGHT((SUBSTITUTE(LEFT(RIGHT(E8,LEN(E8)-MIN(SEARCH({1,2,3,4,5,6,7,8,9,0},E8&amp;"1234567890"))+1),10),".","/")),4))))),(AN8-A8))</f>
        <v>673</v>
      </c>
      <c r="C8" s="199"/>
      <c r="D8" s="201" t="str">
        <f t="shared" si="0"/>
        <v>FGS-J1/2B-0.47X600X2438</v>
      </c>
      <c r="E8" s="201" t="s">
        <v>6812</v>
      </c>
      <c r="F8" s="201" t="s">
        <v>6256</v>
      </c>
      <c r="G8" s="201" t="s">
        <v>6813</v>
      </c>
      <c r="H8" s="201" t="s">
        <v>32</v>
      </c>
      <c r="I8" s="202" t="s">
        <v>114</v>
      </c>
      <c r="J8" s="203">
        <v>0.92</v>
      </c>
      <c r="K8" s="203">
        <v>0.47</v>
      </c>
      <c r="L8" s="203">
        <v>0.47</v>
      </c>
      <c r="M8" s="203">
        <v>0.46</v>
      </c>
      <c r="N8" s="204">
        <v>600</v>
      </c>
      <c r="O8" s="381">
        <v>0.9</v>
      </c>
      <c r="P8" s="413"/>
      <c r="Q8" s="440">
        <v>2438</v>
      </c>
      <c r="R8" s="185" t="s">
        <v>5486</v>
      </c>
      <c r="S8" s="414">
        <v>400</v>
      </c>
      <c r="T8" s="371"/>
      <c r="U8" s="491" t="s">
        <v>390</v>
      </c>
      <c r="V8" s="491" t="s">
        <v>6814</v>
      </c>
      <c r="W8" s="491"/>
      <c r="X8" s="492">
        <v>44208</v>
      </c>
      <c r="Y8" s="492"/>
      <c r="Z8" s="492">
        <v>44208</v>
      </c>
      <c r="AA8" s="492"/>
      <c r="AB8" s="492">
        <v>44209</v>
      </c>
      <c r="AC8" s="492">
        <v>44207</v>
      </c>
      <c r="AD8" s="492"/>
      <c r="AE8" s="492"/>
      <c r="AF8" s="492"/>
      <c r="AG8" s="493"/>
      <c r="AH8" s="494" t="s">
        <v>114</v>
      </c>
      <c r="AI8" s="494" t="s">
        <v>209</v>
      </c>
      <c r="AJ8" s="495" t="s">
        <v>210</v>
      </c>
      <c r="AK8" s="495"/>
      <c r="AL8" s="495">
        <v>44126</v>
      </c>
      <c r="AM8" s="495"/>
      <c r="AN8" s="199">
        <f t="shared" ca="1" si="1"/>
        <v>44958</v>
      </c>
      <c r="AO8" s="494">
        <f t="shared" ca="1" si="2"/>
        <v>832</v>
      </c>
      <c r="AP8" s="494">
        <f ca="1">IF(ISNUMBER(AB8)=TRUE,AN8-AB8,IF(AB8="","",(AN8)-(MID(RIGHT(AB8,10),4,2)&amp;"/"&amp;LEFT((RIGHT(AB8,10)),2)&amp;"/"&amp;RIGHT(AB8,4))))</f>
        <v>749</v>
      </c>
      <c r="AQ8" s="495" t="s">
        <v>6259</v>
      </c>
      <c r="AR8" s="495" t="s">
        <v>6260</v>
      </c>
      <c r="AS8" s="496">
        <v>11.269</v>
      </c>
      <c r="AT8" s="496">
        <v>11.298999999999999</v>
      </c>
      <c r="AU8" s="496">
        <v>11.323999999999998</v>
      </c>
      <c r="AV8" s="496">
        <v>11.328999999999999</v>
      </c>
      <c r="AW8" s="489">
        <f ca="1">IF(ISNUMBER(Z8)=TRUE,AN8-Z8,IF(Z8="","",(AN8)-(MID(RIGHT(Z8,10),4,2)&amp;"/"&amp;LEFT((RIGHT(Z8,10)),2)&amp;"/"&amp;RIGHT(Z8,4))))</f>
        <v>750</v>
      </c>
      <c r="AZ8" s="489" t="s">
        <v>123</v>
      </c>
    </row>
    <row r="9" spans="1:65" s="489" customFormat="1" ht="18" customHeight="1" x14ac:dyDescent="0.25">
      <c r="A9" s="199"/>
      <c r="B9" s="204"/>
      <c r="C9" s="199"/>
      <c r="D9" s="201" t="str">
        <f t="shared" si="0"/>
        <v>FGS-J3/2B-0.76X600X2438</v>
      </c>
      <c r="E9" s="201" t="s">
        <v>6815</v>
      </c>
      <c r="F9" s="201" t="s">
        <v>6816</v>
      </c>
      <c r="G9" s="201" t="s">
        <v>6817</v>
      </c>
      <c r="H9" s="201" t="s">
        <v>34</v>
      </c>
      <c r="I9" s="202" t="s">
        <v>114</v>
      </c>
      <c r="J9" s="203">
        <v>2.2000000000000002</v>
      </c>
      <c r="K9" s="203">
        <v>0.76</v>
      </c>
      <c r="L9" s="203">
        <v>0.75</v>
      </c>
      <c r="M9" s="203">
        <v>0.77</v>
      </c>
      <c r="N9" s="204">
        <v>600</v>
      </c>
      <c r="O9" s="439">
        <v>1.635</v>
      </c>
      <c r="P9" s="413"/>
      <c r="Q9" s="185">
        <v>2438</v>
      </c>
      <c r="R9" s="185" t="s">
        <v>5486</v>
      </c>
      <c r="S9" s="414">
        <v>3</v>
      </c>
      <c r="T9" s="371"/>
      <c r="U9" s="491" t="s">
        <v>390</v>
      </c>
      <c r="V9" s="491"/>
      <c r="W9" s="185" t="s">
        <v>114</v>
      </c>
      <c r="X9" s="492">
        <v>44378</v>
      </c>
      <c r="Y9" s="492"/>
      <c r="Z9" s="492">
        <v>44378</v>
      </c>
      <c r="AA9" s="492"/>
      <c r="AB9" s="492">
        <v>44379</v>
      </c>
      <c r="AC9" s="492">
        <v>44420</v>
      </c>
      <c r="AD9" s="492"/>
      <c r="AE9" s="492"/>
      <c r="AF9" s="492"/>
      <c r="AG9" s="493"/>
      <c r="AH9" s="494" t="s">
        <v>69</v>
      </c>
      <c r="AI9" s="494" t="s">
        <v>349</v>
      </c>
      <c r="AJ9" s="495"/>
      <c r="AK9" s="495"/>
      <c r="AL9" s="495">
        <v>44373</v>
      </c>
      <c r="AM9" s="495"/>
      <c r="AN9" s="199">
        <f t="shared" ca="1" si="1"/>
        <v>44958</v>
      </c>
      <c r="AO9" s="494">
        <f t="shared" ca="1" si="2"/>
        <v>585</v>
      </c>
      <c r="AP9" s="494"/>
      <c r="AQ9" s="495" t="s">
        <v>6818</v>
      </c>
      <c r="AR9" s="495" t="s">
        <v>6819</v>
      </c>
      <c r="AS9" s="496">
        <v>9.859</v>
      </c>
      <c r="AT9" s="496">
        <v>9.8989999999999991</v>
      </c>
      <c r="AU9" s="496">
        <v>9.9239999999999977</v>
      </c>
      <c r="AV9" s="496">
        <v>9.9289999999999985</v>
      </c>
      <c r="AW9" s="489">
        <f ca="1">IF(ISNUMBER(Z9)=TRUE,AN9-Z9,IF(Z9="","",(AN9)-(MID(RIGHT(Z9,10),4,2)&amp;"/"&amp;LEFT((RIGHT(Z9,10)),2)&amp;"/"&amp;RIGHT(Z9,4))))</f>
        <v>580</v>
      </c>
      <c r="AZ9" s="489" t="s">
        <v>123</v>
      </c>
    </row>
    <row r="10" spans="1:65" s="489" customFormat="1" ht="18" customHeight="1" x14ac:dyDescent="0.25">
      <c r="A10" s="199"/>
      <c r="B10" s="204"/>
      <c r="C10" s="199"/>
      <c r="D10" s="201" t="str">
        <f t="shared" si="0"/>
        <v>FGS-J3/2B-0.76X600X2438</v>
      </c>
      <c r="E10" s="201" t="s">
        <v>6815</v>
      </c>
      <c r="F10" s="201" t="s">
        <v>6816</v>
      </c>
      <c r="G10" s="201" t="s">
        <v>6820</v>
      </c>
      <c r="H10" s="201" t="s">
        <v>34</v>
      </c>
      <c r="I10" s="202" t="s">
        <v>114</v>
      </c>
      <c r="J10" s="203">
        <v>2.2000000000000002</v>
      </c>
      <c r="K10" s="203">
        <v>0.76</v>
      </c>
      <c r="L10" s="203">
        <v>0.75</v>
      </c>
      <c r="M10" s="203">
        <v>0.77</v>
      </c>
      <c r="N10" s="204">
        <v>600</v>
      </c>
      <c r="O10" s="506"/>
      <c r="P10" s="413"/>
      <c r="Q10" s="185">
        <v>2438</v>
      </c>
      <c r="R10" s="185" t="s">
        <v>5486</v>
      </c>
      <c r="S10" s="414">
        <v>9</v>
      </c>
      <c r="T10" s="371"/>
      <c r="U10" s="491" t="s">
        <v>390</v>
      </c>
      <c r="V10" s="491"/>
      <c r="W10" s="185" t="s">
        <v>114</v>
      </c>
      <c r="X10" s="492">
        <v>44378</v>
      </c>
      <c r="Y10" s="492"/>
      <c r="Z10" s="492">
        <v>44378</v>
      </c>
      <c r="AA10" s="492"/>
      <c r="AB10" s="492">
        <v>44379</v>
      </c>
      <c r="AC10" s="492">
        <v>44420</v>
      </c>
      <c r="AD10" s="492"/>
      <c r="AE10" s="492"/>
      <c r="AF10" s="492"/>
      <c r="AG10" s="493"/>
      <c r="AH10" s="494" t="s">
        <v>69</v>
      </c>
      <c r="AI10" s="494" t="s">
        <v>349</v>
      </c>
      <c r="AJ10" s="495"/>
      <c r="AK10" s="495"/>
      <c r="AL10" s="495">
        <v>44373</v>
      </c>
      <c r="AM10" s="495"/>
      <c r="AN10" s="199">
        <f t="shared" ca="1" si="1"/>
        <v>44958</v>
      </c>
      <c r="AO10" s="494">
        <f t="shared" ca="1" si="2"/>
        <v>585</v>
      </c>
      <c r="AP10" s="494"/>
      <c r="AQ10" s="495" t="s">
        <v>6818</v>
      </c>
      <c r="AR10" s="495" t="s">
        <v>6819</v>
      </c>
      <c r="AS10" s="496">
        <v>9.859</v>
      </c>
      <c r="AT10" s="496">
        <v>9.8989999999999991</v>
      </c>
      <c r="AU10" s="496">
        <v>9.9239999999999977</v>
      </c>
      <c r="AV10" s="496">
        <v>9.9289999999999985</v>
      </c>
      <c r="AW10" s="489">
        <f ca="1">IF(ISNUMBER(Z10)=TRUE,AN10-Z10,IF(Z10="","",(AN10)-(MID(RIGHT(Z10,10),4,2)&amp;"/"&amp;LEFT((RIGHT(Z10,10)),2)&amp;"/"&amp;RIGHT(Z10,4))))</f>
        <v>580</v>
      </c>
      <c r="AZ10" s="489" t="s">
        <v>123</v>
      </c>
    </row>
    <row r="11" spans="1:65" s="489" customFormat="1" ht="18" customHeight="1" x14ac:dyDescent="0.25">
      <c r="A11" s="199"/>
      <c r="B11" s="204"/>
      <c r="C11" s="199"/>
      <c r="D11" s="201" t="str">
        <f t="shared" si="0"/>
        <v>FGS-J3/2B-0.66X600X2438</v>
      </c>
      <c r="E11" s="201" t="s">
        <v>6815</v>
      </c>
      <c r="F11" s="201" t="s">
        <v>6821</v>
      </c>
      <c r="G11" s="201" t="s">
        <v>6822</v>
      </c>
      <c r="H11" s="201" t="s">
        <v>34</v>
      </c>
      <c r="I11" s="202" t="s">
        <v>114</v>
      </c>
      <c r="J11" s="203">
        <v>2.2000000000000002</v>
      </c>
      <c r="K11" s="203">
        <v>0.66</v>
      </c>
      <c r="L11" s="203">
        <v>0.65</v>
      </c>
      <c r="M11" s="203">
        <v>0.66</v>
      </c>
      <c r="N11" s="204">
        <v>600</v>
      </c>
      <c r="O11" s="506"/>
      <c r="P11" s="413"/>
      <c r="Q11" s="185">
        <v>2438</v>
      </c>
      <c r="R11" s="185" t="s">
        <v>5486</v>
      </c>
      <c r="S11" s="414">
        <v>8</v>
      </c>
      <c r="T11" s="371"/>
      <c r="U11" s="491" t="s">
        <v>390</v>
      </c>
      <c r="V11" s="491"/>
      <c r="W11" s="185" t="s">
        <v>114</v>
      </c>
      <c r="X11" s="492">
        <v>44378</v>
      </c>
      <c r="Y11" s="492"/>
      <c r="Z11" s="492">
        <v>44379</v>
      </c>
      <c r="AA11" s="492"/>
      <c r="AB11" s="492">
        <v>44379</v>
      </c>
      <c r="AC11" s="492">
        <v>44420</v>
      </c>
      <c r="AD11" s="492"/>
      <c r="AE11" s="492"/>
      <c r="AF11" s="492"/>
      <c r="AG11" s="493"/>
      <c r="AH11" s="494" t="s">
        <v>69</v>
      </c>
      <c r="AI11" s="494" t="s">
        <v>349</v>
      </c>
      <c r="AJ11" s="495"/>
      <c r="AK11" s="495"/>
      <c r="AL11" s="495">
        <v>44373</v>
      </c>
      <c r="AM11" s="495"/>
      <c r="AN11" s="199">
        <f t="shared" ca="1" si="1"/>
        <v>44958</v>
      </c>
      <c r="AO11" s="494">
        <f t="shared" ca="1" si="2"/>
        <v>585</v>
      </c>
      <c r="AP11" s="494"/>
      <c r="AQ11" s="495" t="s">
        <v>6823</v>
      </c>
      <c r="AR11" s="495" t="s">
        <v>6819</v>
      </c>
      <c r="AS11" s="496">
        <v>9.8510000000000009</v>
      </c>
      <c r="AT11" s="496">
        <v>9.891</v>
      </c>
      <c r="AU11" s="496">
        <v>9.9159999999999986</v>
      </c>
      <c r="AV11" s="496">
        <v>9.9209999999999994</v>
      </c>
      <c r="AW11" s="489">
        <f ca="1">IF(ISNUMBER(Z11)=TRUE,AN11-Z11,IF(Z11="","",(AN11)-(MID(RIGHT(Z11,10),4,2)&amp;"/"&amp;LEFT((RIGHT(Z11,10)),2)&amp;"/"&amp;RIGHT(Z11,4))))</f>
        <v>579</v>
      </c>
      <c r="AZ11" s="489" t="s">
        <v>123</v>
      </c>
    </row>
    <row r="12" spans="1:65" s="489" customFormat="1" ht="18" customHeight="1" x14ac:dyDescent="0.25">
      <c r="A12" s="199"/>
      <c r="B12" s="204"/>
      <c r="C12" s="199"/>
      <c r="D12" s="201" t="str">
        <f t="shared" si="0"/>
        <v>FGS-J3/2B-0.66X600X2438</v>
      </c>
      <c r="E12" s="201" t="s">
        <v>6815</v>
      </c>
      <c r="F12" s="201" t="s">
        <v>6821</v>
      </c>
      <c r="G12" s="201" t="s">
        <v>6824</v>
      </c>
      <c r="H12" s="201" t="s">
        <v>34</v>
      </c>
      <c r="I12" s="202" t="s">
        <v>114</v>
      </c>
      <c r="J12" s="203">
        <v>2.2000000000000002</v>
      </c>
      <c r="K12" s="203">
        <v>0.66</v>
      </c>
      <c r="L12" s="203">
        <v>0.65</v>
      </c>
      <c r="M12" s="203">
        <v>0.66</v>
      </c>
      <c r="N12" s="204">
        <v>600</v>
      </c>
      <c r="O12" s="506"/>
      <c r="P12" s="413"/>
      <c r="Q12" s="185">
        <v>2438</v>
      </c>
      <c r="R12" s="185" t="s">
        <v>5486</v>
      </c>
      <c r="S12" s="414">
        <v>9</v>
      </c>
      <c r="T12" s="371"/>
      <c r="U12" s="491" t="s">
        <v>390</v>
      </c>
      <c r="V12" s="491"/>
      <c r="W12" s="185" t="s">
        <v>114</v>
      </c>
      <c r="X12" s="492">
        <v>44378</v>
      </c>
      <c r="Y12" s="492"/>
      <c r="Z12" s="492">
        <v>44379</v>
      </c>
      <c r="AA12" s="492"/>
      <c r="AB12" s="492">
        <v>44379</v>
      </c>
      <c r="AC12" s="492">
        <v>44420</v>
      </c>
      <c r="AD12" s="492"/>
      <c r="AE12" s="492"/>
      <c r="AF12" s="492"/>
      <c r="AG12" s="493"/>
      <c r="AH12" s="494" t="s">
        <v>69</v>
      </c>
      <c r="AI12" s="494" t="s">
        <v>349</v>
      </c>
      <c r="AJ12" s="495"/>
      <c r="AK12" s="495"/>
      <c r="AL12" s="495">
        <v>44373</v>
      </c>
      <c r="AM12" s="495"/>
      <c r="AN12" s="199">
        <f t="shared" ca="1" si="1"/>
        <v>44958</v>
      </c>
      <c r="AO12" s="494">
        <f t="shared" ca="1" si="2"/>
        <v>585</v>
      </c>
      <c r="AP12" s="494"/>
      <c r="AQ12" s="495" t="s">
        <v>6823</v>
      </c>
      <c r="AR12" s="495" t="s">
        <v>6819</v>
      </c>
      <c r="AS12" s="496">
        <v>9.8510000000000009</v>
      </c>
      <c r="AT12" s="496">
        <v>9.891</v>
      </c>
      <c r="AU12" s="496">
        <v>9.9159999999999986</v>
      </c>
      <c r="AV12" s="496">
        <v>9.9209999999999994</v>
      </c>
      <c r="AW12" s="489">
        <f ca="1">IF(ISNUMBER(Z12)=TRUE,AN12-Z12,IF(Z12="","",(AN12)-(MID(RIGHT(Z12,10),4,2)&amp;"/"&amp;LEFT((RIGHT(Z12,10)),2)&amp;"/"&amp;RIGHT(Z12,4))))</f>
        <v>579</v>
      </c>
      <c r="AZ12" s="489" t="s">
        <v>123</v>
      </c>
    </row>
    <row r="13" spans="1:65" s="489" customFormat="1" ht="18" customHeight="1" x14ac:dyDescent="0.25">
      <c r="A13" s="199"/>
      <c r="B13" s="204"/>
      <c r="C13" s="199"/>
      <c r="D13" s="201" t="str">
        <f t="shared" si="0"/>
        <v>FGS-J1/2B-0.45X600X2438</v>
      </c>
      <c r="E13" s="201" t="s">
        <v>6815</v>
      </c>
      <c r="F13" s="201" t="s">
        <v>6825</v>
      </c>
      <c r="G13" s="201" t="s">
        <v>6826</v>
      </c>
      <c r="H13" s="201" t="s">
        <v>32</v>
      </c>
      <c r="I13" s="202" t="s">
        <v>114</v>
      </c>
      <c r="J13" s="203">
        <v>0.45</v>
      </c>
      <c r="K13" s="203">
        <v>0.45</v>
      </c>
      <c r="L13" s="203"/>
      <c r="M13" s="203"/>
      <c r="N13" s="204">
        <v>600</v>
      </c>
      <c r="O13" s="506"/>
      <c r="P13" s="413"/>
      <c r="Q13" s="185">
        <v>2438</v>
      </c>
      <c r="R13" s="185" t="s">
        <v>5486</v>
      </c>
      <c r="S13" s="414">
        <v>50</v>
      </c>
      <c r="T13" s="371"/>
      <c r="U13" s="491" t="s">
        <v>390</v>
      </c>
      <c r="V13" s="491"/>
      <c r="W13" s="185"/>
      <c r="X13" s="492"/>
      <c r="Y13" s="492"/>
      <c r="Z13" s="492"/>
      <c r="AA13" s="492"/>
      <c r="AB13" s="492"/>
      <c r="AC13" s="492">
        <v>44434</v>
      </c>
      <c r="AD13" s="492"/>
      <c r="AE13" s="492"/>
      <c r="AF13" s="492"/>
      <c r="AG13" s="493"/>
      <c r="AH13" s="494" t="s">
        <v>114</v>
      </c>
      <c r="AI13" s="494" t="s">
        <v>430</v>
      </c>
      <c r="AJ13" s="495" t="s">
        <v>6827</v>
      </c>
      <c r="AK13" s="495">
        <v>44399</v>
      </c>
      <c r="AL13" s="495">
        <v>44428</v>
      </c>
      <c r="AM13" s="495"/>
      <c r="AN13" s="199">
        <f t="shared" ca="1" si="1"/>
        <v>44958</v>
      </c>
      <c r="AO13" s="494">
        <f t="shared" ca="1" si="2"/>
        <v>530</v>
      </c>
      <c r="AP13" s="494"/>
      <c r="AQ13" s="495" t="s">
        <v>6828</v>
      </c>
      <c r="AR13" s="495" t="s">
        <v>6829</v>
      </c>
      <c r="AS13" s="496">
        <v>4.7990000000000004</v>
      </c>
      <c r="AT13" s="496">
        <v>4.8090000000000002</v>
      </c>
      <c r="AU13" s="496">
        <v>4.7990000000000004</v>
      </c>
      <c r="AV13" s="496">
        <v>4.8090000000000002</v>
      </c>
      <c r="AZ13" s="489" t="s">
        <v>123</v>
      </c>
    </row>
    <row r="14" spans="1:65" s="489" customFormat="1" ht="18" customHeight="1" x14ac:dyDescent="0.25">
      <c r="A14" s="199"/>
      <c r="B14" s="204"/>
      <c r="C14" s="199"/>
      <c r="D14" s="201" t="str">
        <f t="shared" si="0"/>
        <v>FGS-J1/2B-0.45X600X2438</v>
      </c>
      <c r="E14" s="201" t="s">
        <v>6815</v>
      </c>
      <c r="F14" s="201" t="s">
        <v>6830</v>
      </c>
      <c r="G14" s="201" t="s">
        <v>6831</v>
      </c>
      <c r="H14" s="201" t="s">
        <v>32</v>
      </c>
      <c r="I14" s="202" t="s">
        <v>114</v>
      </c>
      <c r="J14" s="203">
        <v>0.45</v>
      </c>
      <c r="K14" s="203">
        <v>0.45</v>
      </c>
      <c r="L14" s="203"/>
      <c r="M14" s="203"/>
      <c r="N14" s="204">
        <v>600</v>
      </c>
      <c r="O14" s="506"/>
      <c r="P14" s="413"/>
      <c r="Q14" s="185">
        <v>2438</v>
      </c>
      <c r="R14" s="185" t="s">
        <v>5486</v>
      </c>
      <c r="S14" s="414">
        <v>39</v>
      </c>
      <c r="T14" s="371"/>
      <c r="U14" s="491" t="s">
        <v>390</v>
      </c>
      <c r="V14" s="491"/>
      <c r="W14" s="185"/>
      <c r="X14" s="492"/>
      <c r="Y14" s="492"/>
      <c r="Z14" s="492"/>
      <c r="AA14" s="492"/>
      <c r="AB14" s="492"/>
      <c r="AC14" s="492">
        <v>44435</v>
      </c>
      <c r="AD14" s="492"/>
      <c r="AE14" s="492"/>
      <c r="AF14" s="492"/>
      <c r="AG14" s="493"/>
      <c r="AH14" s="494" t="s">
        <v>114</v>
      </c>
      <c r="AI14" s="494" t="s">
        <v>430</v>
      </c>
      <c r="AJ14" s="495" t="s">
        <v>6827</v>
      </c>
      <c r="AK14" s="495">
        <v>44399</v>
      </c>
      <c r="AL14" s="495">
        <v>44428</v>
      </c>
      <c r="AM14" s="495"/>
      <c r="AN14" s="199">
        <f t="shared" ca="1" si="1"/>
        <v>44958</v>
      </c>
      <c r="AO14" s="494">
        <f t="shared" ca="1" si="2"/>
        <v>530</v>
      </c>
      <c r="AP14" s="494"/>
      <c r="AQ14" s="495" t="s">
        <v>6828</v>
      </c>
      <c r="AR14" s="495" t="s">
        <v>6832</v>
      </c>
      <c r="AS14" s="496">
        <v>4.8090000000000002</v>
      </c>
      <c r="AT14" s="496">
        <v>4.819</v>
      </c>
      <c r="AU14" s="496">
        <v>4.8090000000000002</v>
      </c>
      <c r="AV14" s="496">
        <v>4.819</v>
      </c>
      <c r="AZ14" s="489" t="s">
        <v>123</v>
      </c>
    </row>
    <row r="15" spans="1:65" s="489" customFormat="1" ht="18" customHeight="1" x14ac:dyDescent="0.25">
      <c r="A15" s="199"/>
      <c r="B15" s="204"/>
      <c r="C15" s="199"/>
      <c r="D15" s="201" t="str">
        <f t="shared" si="0"/>
        <v>FGS-J1/2B-0.55X600X2438</v>
      </c>
      <c r="E15" s="201" t="s">
        <v>6815</v>
      </c>
      <c r="F15" s="201" t="s">
        <v>6833</v>
      </c>
      <c r="G15" s="201" t="s">
        <v>6834</v>
      </c>
      <c r="H15" s="201" t="s">
        <v>32</v>
      </c>
      <c r="I15" s="202" t="s">
        <v>114</v>
      </c>
      <c r="J15" s="203">
        <v>0.55000000000000004</v>
      </c>
      <c r="K15" s="203">
        <v>0.55000000000000004</v>
      </c>
      <c r="L15" s="203"/>
      <c r="M15" s="203"/>
      <c r="N15" s="204">
        <v>600</v>
      </c>
      <c r="O15" s="506"/>
      <c r="P15" s="413"/>
      <c r="Q15" s="185">
        <v>2438</v>
      </c>
      <c r="R15" s="185" t="s">
        <v>5486</v>
      </c>
      <c r="S15" s="414">
        <v>27</v>
      </c>
      <c r="T15" s="371"/>
      <c r="U15" s="491" t="s">
        <v>390</v>
      </c>
      <c r="V15" s="491"/>
      <c r="W15" s="185"/>
      <c r="X15" s="492"/>
      <c r="Y15" s="492"/>
      <c r="Z15" s="492"/>
      <c r="AA15" s="492"/>
      <c r="AB15" s="492"/>
      <c r="AC15" s="492">
        <v>44434</v>
      </c>
      <c r="AD15" s="492"/>
      <c r="AE15" s="492"/>
      <c r="AF15" s="492"/>
      <c r="AG15" s="493"/>
      <c r="AH15" s="494" t="s">
        <v>114</v>
      </c>
      <c r="AI15" s="494" t="s">
        <v>430</v>
      </c>
      <c r="AJ15" s="495" t="s">
        <v>6827</v>
      </c>
      <c r="AK15" s="495">
        <v>44399</v>
      </c>
      <c r="AL15" s="495">
        <v>44428</v>
      </c>
      <c r="AM15" s="495"/>
      <c r="AN15" s="199">
        <f t="shared" ca="1" si="1"/>
        <v>44958</v>
      </c>
      <c r="AO15" s="494">
        <f t="shared" ca="1" si="2"/>
        <v>530</v>
      </c>
      <c r="AP15" s="494"/>
      <c r="AQ15" s="495" t="s">
        <v>6835</v>
      </c>
      <c r="AR15" s="495" t="s">
        <v>6836</v>
      </c>
      <c r="AS15" s="496">
        <v>4.9610000000000003</v>
      </c>
      <c r="AT15" s="496">
        <v>4.9710000000000001</v>
      </c>
      <c r="AU15" s="496">
        <v>4.9610000000000003</v>
      </c>
      <c r="AV15" s="496">
        <v>4.9710000000000001</v>
      </c>
      <c r="AZ15" s="489" t="s">
        <v>123</v>
      </c>
    </row>
    <row r="16" spans="1:65" s="489" customFormat="1" ht="18" customHeight="1" x14ac:dyDescent="0.25">
      <c r="A16" s="199"/>
      <c r="B16" s="204"/>
      <c r="C16" s="199"/>
      <c r="D16" s="201" t="str">
        <f t="shared" si="0"/>
        <v>FGS-J1/2B-0.55X600X2438</v>
      </c>
      <c r="E16" s="201" t="s">
        <v>6815</v>
      </c>
      <c r="F16" s="201" t="s">
        <v>6837</v>
      </c>
      <c r="G16" s="201" t="s">
        <v>6838</v>
      </c>
      <c r="H16" s="201" t="s">
        <v>32</v>
      </c>
      <c r="I16" s="202" t="s">
        <v>114</v>
      </c>
      <c r="J16" s="203">
        <v>0.55000000000000004</v>
      </c>
      <c r="K16" s="203">
        <v>0.55000000000000004</v>
      </c>
      <c r="L16" s="203"/>
      <c r="M16" s="203"/>
      <c r="N16" s="204">
        <v>600</v>
      </c>
      <c r="O16" s="506"/>
      <c r="P16" s="413"/>
      <c r="Q16" s="185">
        <v>2438</v>
      </c>
      <c r="R16" s="185" t="s">
        <v>5486</v>
      </c>
      <c r="S16" s="414">
        <v>26</v>
      </c>
      <c r="T16" s="371"/>
      <c r="U16" s="491" t="s">
        <v>390</v>
      </c>
      <c r="V16" s="491"/>
      <c r="W16" s="185"/>
      <c r="X16" s="492"/>
      <c r="Y16" s="492"/>
      <c r="Z16" s="492"/>
      <c r="AA16" s="492"/>
      <c r="AB16" s="492"/>
      <c r="AC16" s="492">
        <v>44435</v>
      </c>
      <c r="AD16" s="492"/>
      <c r="AE16" s="492"/>
      <c r="AF16" s="492"/>
      <c r="AG16" s="493"/>
      <c r="AH16" s="494" t="s">
        <v>114</v>
      </c>
      <c r="AI16" s="494" t="s">
        <v>430</v>
      </c>
      <c r="AJ16" s="495" t="s">
        <v>6827</v>
      </c>
      <c r="AK16" s="495">
        <v>44399</v>
      </c>
      <c r="AL16" s="495">
        <v>44428</v>
      </c>
      <c r="AM16" s="495"/>
      <c r="AN16" s="199">
        <f t="shared" ca="1" si="1"/>
        <v>44958</v>
      </c>
      <c r="AO16" s="494">
        <f t="shared" ca="1" si="2"/>
        <v>530</v>
      </c>
      <c r="AP16" s="494"/>
      <c r="AQ16" s="495" t="s">
        <v>6828</v>
      </c>
      <c r="AR16" s="495" t="s">
        <v>6839</v>
      </c>
      <c r="AS16" s="496">
        <v>5.0730000000000004</v>
      </c>
      <c r="AT16" s="496">
        <v>5.0830000000000002</v>
      </c>
      <c r="AU16" s="496">
        <v>5.0730000000000004</v>
      </c>
      <c r="AV16" s="496">
        <v>5.0830000000000002</v>
      </c>
      <c r="AZ16" s="489" t="s">
        <v>123</v>
      </c>
    </row>
    <row r="17" spans="1:52" s="489" customFormat="1" ht="18" customHeight="1" x14ac:dyDescent="0.25">
      <c r="A17" s="199"/>
      <c r="B17" s="204"/>
      <c r="C17" s="199"/>
      <c r="D17" s="201" t="str">
        <f t="shared" si="0"/>
        <v>FGS-J1/2B-0.45X600X2438</v>
      </c>
      <c r="E17" s="201" t="s">
        <v>6815</v>
      </c>
      <c r="F17" s="201" t="s">
        <v>6840</v>
      </c>
      <c r="G17" s="201" t="s">
        <v>6841</v>
      </c>
      <c r="H17" s="201" t="s">
        <v>32</v>
      </c>
      <c r="I17" s="202" t="s">
        <v>114</v>
      </c>
      <c r="J17" s="203">
        <v>0.45</v>
      </c>
      <c r="K17" s="203">
        <v>0.45</v>
      </c>
      <c r="L17" s="203"/>
      <c r="M17" s="203"/>
      <c r="N17" s="204">
        <v>600</v>
      </c>
      <c r="O17" s="506"/>
      <c r="P17" s="413"/>
      <c r="Q17" s="185">
        <v>2438</v>
      </c>
      <c r="R17" s="185" t="s">
        <v>5486</v>
      </c>
      <c r="S17" s="414">
        <v>41</v>
      </c>
      <c r="T17" s="371"/>
      <c r="U17" s="491" t="s">
        <v>390</v>
      </c>
      <c r="V17" s="491"/>
      <c r="W17" s="185"/>
      <c r="X17" s="492"/>
      <c r="Y17" s="492"/>
      <c r="Z17" s="492"/>
      <c r="AA17" s="492"/>
      <c r="AB17" s="492"/>
      <c r="AC17" s="492">
        <v>44434</v>
      </c>
      <c r="AD17" s="492"/>
      <c r="AE17" s="492"/>
      <c r="AF17" s="492"/>
      <c r="AG17" s="493"/>
      <c r="AH17" s="494" t="s">
        <v>114</v>
      </c>
      <c r="AI17" s="494" t="s">
        <v>430</v>
      </c>
      <c r="AJ17" s="495" t="s">
        <v>6827</v>
      </c>
      <c r="AK17" s="495">
        <v>44399</v>
      </c>
      <c r="AL17" s="495">
        <v>44428</v>
      </c>
      <c r="AM17" s="495"/>
      <c r="AN17" s="199">
        <f t="shared" ca="1" si="1"/>
        <v>44958</v>
      </c>
      <c r="AO17" s="494">
        <f t="shared" ca="1" si="2"/>
        <v>530</v>
      </c>
      <c r="AP17" s="494"/>
      <c r="AQ17" s="495" t="s">
        <v>6828</v>
      </c>
      <c r="AR17" s="495" t="s">
        <v>6842</v>
      </c>
      <c r="AS17" s="496">
        <v>5.0110000000000001</v>
      </c>
      <c r="AT17" s="496">
        <v>5.0209999999999999</v>
      </c>
      <c r="AU17" s="496">
        <v>5.0110000000000001</v>
      </c>
      <c r="AV17" s="496">
        <v>5.0209999999999999</v>
      </c>
      <c r="AZ17" s="489" t="s">
        <v>123</v>
      </c>
    </row>
    <row r="18" spans="1:52" s="489" customFormat="1" ht="18" customHeight="1" x14ac:dyDescent="0.25">
      <c r="A18" s="199"/>
      <c r="B18" s="204"/>
      <c r="C18" s="199"/>
      <c r="D18" s="201" t="str">
        <f t="shared" si="0"/>
        <v>FGS-J1/2B-0.55X600X2438</v>
      </c>
      <c r="E18" s="201" t="s">
        <v>6815</v>
      </c>
      <c r="F18" s="201" t="s">
        <v>6843</v>
      </c>
      <c r="G18" s="201" t="s">
        <v>6844</v>
      </c>
      <c r="H18" s="201" t="s">
        <v>32</v>
      </c>
      <c r="I18" s="202" t="s">
        <v>114</v>
      </c>
      <c r="J18" s="203">
        <v>0.55000000000000004</v>
      </c>
      <c r="K18" s="203">
        <v>0.55000000000000004</v>
      </c>
      <c r="L18" s="203"/>
      <c r="M18" s="203"/>
      <c r="N18" s="204">
        <v>600</v>
      </c>
      <c r="O18" s="506"/>
      <c r="P18" s="413"/>
      <c r="Q18" s="185">
        <v>2438</v>
      </c>
      <c r="R18" s="185" t="s">
        <v>5486</v>
      </c>
      <c r="S18" s="414">
        <v>16</v>
      </c>
      <c r="T18" s="371"/>
      <c r="U18" s="491" t="s">
        <v>390</v>
      </c>
      <c r="V18" s="491"/>
      <c r="W18" s="185"/>
      <c r="X18" s="492"/>
      <c r="Y18" s="492"/>
      <c r="Z18" s="492"/>
      <c r="AA18" s="492"/>
      <c r="AB18" s="492"/>
      <c r="AC18" s="492">
        <v>44431</v>
      </c>
      <c r="AD18" s="492"/>
      <c r="AE18" s="492"/>
      <c r="AF18" s="492"/>
      <c r="AG18" s="493"/>
      <c r="AH18" s="494" t="s">
        <v>114</v>
      </c>
      <c r="AI18" s="494" t="s">
        <v>430</v>
      </c>
      <c r="AJ18" s="495" t="s">
        <v>6827</v>
      </c>
      <c r="AK18" s="495">
        <v>44399</v>
      </c>
      <c r="AL18" s="495">
        <v>44428</v>
      </c>
      <c r="AM18" s="495"/>
      <c r="AN18" s="199">
        <f t="shared" ca="1" si="1"/>
        <v>44958</v>
      </c>
      <c r="AO18" s="494">
        <f t="shared" ca="1" si="2"/>
        <v>530</v>
      </c>
      <c r="AP18" s="494"/>
      <c r="AQ18" s="495" t="s">
        <v>6835</v>
      </c>
      <c r="AR18" s="495" t="s">
        <v>6845</v>
      </c>
      <c r="AS18" s="496">
        <v>4.9050000000000002</v>
      </c>
      <c r="AT18" s="496">
        <v>4.915</v>
      </c>
      <c r="AU18" s="496">
        <v>4.9050000000000002</v>
      </c>
      <c r="AV18" s="496">
        <v>4.915</v>
      </c>
      <c r="AZ18" s="489" t="s">
        <v>123</v>
      </c>
    </row>
    <row r="19" spans="1:52" s="489" customFormat="1" ht="18" customHeight="1" x14ac:dyDescent="0.25">
      <c r="A19" s="199"/>
      <c r="B19" s="204"/>
      <c r="C19" s="199"/>
      <c r="D19" s="201" t="str">
        <f t="shared" si="0"/>
        <v>FGS-J1/2B-0.55X600X2438</v>
      </c>
      <c r="E19" s="201" t="s">
        <v>6815</v>
      </c>
      <c r="F19" s="201" t="s">
        <v>6846</v>
      </c>
      <c r="G19" s="201" t="s">
        <v>6847</v>
      </c>
      <c r="H19" s="201" t="s">
        <v>32</v>
      </c>
      <c r="I19" s="202" t="s">
        <v>114</v>
      </c>
      <c r="J19" s="203">
        <v>0.55000000000000004</v>
      </c>
      <c r="K19" s="203">
        <v>0.55000000000000004</v>
      </c>
      <c r="L19" s="203"/>
      <c r="M19" s="203"/>
      <c r="N19" s="204">
        <v>600</v>
      </c>
      <c r="O19" s="506"/>
      <c r="P19" s="413"/>
      <c r="Q19" s="185">
        <v>2438</v>
      </c>
      <c r="R19" s="185" t="s">
        <v>5486</v>
      </c>
      <c r="S19" s="414">
        <v>11</v>
      </c>
      <c r="T19" s="371"/>
      <c r="U19" s="491" t="s">
        <v>390</v>
      </c>
      <c r="V19" s="491"/>
      <c r="W19" s="185"/>
      <c r="X19" s="492"/>
      <c r="Y19" s="492"/>
      <c r="Z19" s="492"/>
      <c r="AA19" s="492"/>
      <c r="AB19" s="492"/>
      <c r="AC19" s="492">
        <v>44431</v>
      </c>
      <c r="AD19" s="492"/>
      <c r="AE19" s="492"/>
      <c r="AF19" s="492"/>
      <c r="AG19" s="493"/>
      <c r="AH19" s="494" t="s">
        <v>114</v>
      </c>
      <c r="AI19" s="494" t="s">
        <v>430</v>
      </c>
      <c r="AJ19" s="495" t="s">
        <v>6827</v>
      </c>
      <c r="AK19" s="495">
        <v>44399</v>
      </c>
      <c r="AL19" s="495">
        <v>44428</v>
      </c>
      <c r="AM19" s="495"/>
      <c r="AN19" s="199">
        <f t="shared" ca="1" si="1"/>
        <v>44958</v>
      </c>
      <c r="AO19" s="494">
        <f t="shared" ca="1" si="2"/>
        <v>530</v>
      </c>
      <c r="AP19" s="494"/>
      <c r="AQ19" s="495" t="s">
        <v>6835</v>
      </c>
      <c r="AR19" s="495" t="s">
        <v>6848</v>
      </c>
      <c r="AS19" s="496">
        <v>4.907</v>
      </c>
      <c r="AT19" s="496">
        <v>4.9169999999999998</v>
      </c>
      <c r="AU19" s="496">
        <v>4.907</v>
      </c>
      <c r="AV19" s="496">
        <v>4.9169999999999998</v>
      </c>
      <c r="AZ19" s="489" t="s">
        <v>123</v>
      </c>
    </row>
    <row r="20" spans="1:52" s="489" customFormat="1" ht="18" customHeight="1" x14ac:dyDescent="0.25">
      <c r="A20" s="199"/>
      <c r="B20" s="204"/>
      <c r="C20" s="199"/>
      <c r="D20" s="201" t="str">
        <f t="shared" si="0"/>
        <v>FGS-J1/2B-0.45X600X2438</v>
      </c>
      <c r="E20" s="201" t="s">
        <v>6815</v>
      </c>
      <c r="F20" s="201" t="s">
        <v>6849</v>
      </c>
      <c r="G20" s="201" t="s">
        <v>6850</v>
      </c>
      <c r="H20" s="201" t="s">
        <v>32</v>
      </c>
      <c r="I20" s="202" t="s">
        <v>114</v>
      </c>
      <c r="J20" s="203">
        <v>0.45</v>
      </c>
      <c r="K20" s="203">
        <v>0.45</v>
      </c>
      <c r="L20" s="203"/>
      <c r="M20" s="203"/>
      <c r="N20" s="204">
        <v>600</v>
      </c>
      <c r="O20" s="441"/>
      <c r="P20" s="413"/>
      <c r="Q20" s="185">
        <v>2438</v>
      </c>
      <c r="R20" s="185" t="s">
        <v>5486</v>
      </c>
      <c r="S20" s="414">
        <v>25</v>
      </c>
      <c r="T20" s="371"/>
      <c r="U20" s="491" t="s">
        <v>390</v>
      </c>
      <c r="V20" s="491"/>
      <c r="W20" s="185"/>
      <c r="X20" s="492"/>
      <c r="Y20" s="492"/>
      <c r="Z20" s="492"/>
      <c r="AA20" s="492"/>
      <c r="AB20" s="492"/>
      <c r="AC20" s="492">
        <v>44435</v>
      </c>
      <c r="AD20" s="492"/>
      <c r="AE20" s="492"/>
      <c r="AF20" s="492"/>
      <c r="AG20" s="493"/>
      <c r="AH20" s="494" t="s">
        <v>114</v>
      </c>
      <c r="AI20" s="494" t="s">
        <v>430</v>
      </c>
      <c r="AJ20" s="495" t="s">
        <v>6827</v>
      </c>
      <c r="AK20" s="495">
        <v>44399</v>
      </c>
      <c r="AL20" s="495">
        <v>44428</v>
      </c>
      <c r="AM20" s="495"/>
      <c r="AN20" s="199">
        <f t="shared" ca="1" si="1"/>
        <v>44958</v>
      </c>
      <c r="AO20" s="494">
        <f t="shared" ca="1" si="2"/>
        <v>530</v>
      </c>
      <c r="AP20" s="494"/>
      <c r="AQ20" s="495" t="s">
        <v>6828</v>
      </c>
      <c r="AR20" s="495" t="s">
        <v>6851</v>
      </c>
      <c r="AS20" s="496">
        <v>5.1349999999999998</v>
      </c>
      <c r="AT20" s="496">
        <v>5.1449999999999996</v>
      </c>
      <c r="AU20" s="496">
        <v>5.1349999999999998</v>
      </c>
      <c r="AV20" s="496">
        <v>5.1449999999999996</v>
      </c>
      <c r="AZ20" s="489" t="s">
        <v>123</v>
      </c>
    </row>
    <row r="21" spans="1:52" s="489" customFormat="1" ht="18" customHeight="1" x14ac:dyDescent="0.25">
      <c r="A21" s="199"/>
      <c r="B21" s="204"/>
      <c r="C21" s="199"/>
      <c r="D21" s="201" t="str">
        <f t="shared" ref="D21:D33" si="3">"FGS"&amp;"-"&amp;G21&amp;"/"&amp;H21&amp;"-"&amp;IF(J21="",(TEXT(I21,"0.00")),(TEXT(J21,"0.00")))&amp;"X"&amp;M21&amp;"X"&amp;O21</f>
        <v>FGS-LM410611/410-0.36XX0.057</v>
      </c>
      <c r="E21" s="201" t="s">
        <v>5558</v>
      </c>
      <c r="F21" s="201" t="s">
        <v>6852</v>
      </c>
      <c r="G21" s="201" t="s">
        <v>6853</v>
      </c>
      <c r="H21" s="201">
        <v>410</v>
      </c>
      <c r="I21" s="202" t="s">
        <v>158</v>
      </c>
      <c r="J21" s="203">
        <v>0.36</v>
      </c>
      <c r="K21" s="203">
        <v>0.36</v>
      </c>
      <c r="L21" s="203"/>
      <c r="M21" s="203"/>
      <c r="N21" s="204">
        <v>1000</v>
      </c>
      <c r="O21" s="381">
        <v>5.7000000000000002E-2</v>
      </c>
      <c r="P21" s="413"/>
      <c r="Q21" s="490">
        <v>2000</v>
      </c>
      <c r="R21" s="185" t="s">
        <v>5486</v>
      </c>
      <c r="S21" s="414">
        <v>10</v>
      </c>
      <c r="T21" s="491"/>
      <c r="U21" s="491" t="s">
        <v>390</v>
      </c>
      <c r="V21" s="491" t="s">
        <v>6854</v>
      </c>
      <c r="W21" s="491"/>
      <c r="X21" s="492"/>
      <c r="Y21" s="492"/>
      <c r="Z21" s="492"/>
      <c r="AA21" s="492"/>
      <c r="AB21" s="492"/>
      <c r="AC21" s="492"/>
      <c r="AD21" s="492"/>
      <c r="AE21" s="492"/>
      <c r="AF21" s="492"/>
      <c r="AG21" s="493"/>
      <c r="AH21" s="494" t="s">
        <v>158</v>
      </c>
      <c r="AI21" s="494" t="s">
        <v>430</v>
      </c>
      <c r="AJ21" s="495" t="s">
        <v>5561</v>
      </c>
      <c r="AK21" s="495">
        <v>44383</v>
      </c>
      <c r="AL21" s="495">
        <v>44411</v>
      </c>
      <c r="AM21" s="495"/>
      <c r="AN21" s="199">
        <f t="shared" ca="1" si="1"/>
        <v>44958</v>
      </c>
      <c r="AO21" s="494">
        <f t="shared" ca="1" si="2"/>
        <v>547</v>
      </c>
      <c r="AP21" s="494"/>
      <c r="AQ21" s="495" t="s">
        <v>5562</v>
      </c>
      <c r="AR21" s="495" t="s">
        <v>6855</v>
      </c>
      <c r="AS21" s="496">
        <v>2.0019999999999998</v>
      </c>
      <c r="AT21" s="496">
        <v>2.0339999999999998</v>
      </c>
      <c r="AU21" s="496">
        <v>2.0019999999999998</v>
      </c>
      <c r="AV21" s="496">
        <v>2.0339999999999998</v>
      </c>
    </row>
    <row r="22" spans="1:52" s="489" customFormat="1" ht="18" customHeight="1" x14ac:dyDescent="0.25">
      <c r="A22" s="199"/>
      <c r="B22" s="204"/>
      <c r="C22" s="199"/>
      <c r="D22" s="201" t="str">
        <f t="shared" si="3"/>
        <v>FGS-LM410612/410-0.36XX0.057</v>
      </c>
      <c r="E22" s="201" t="s">
        <v>5558</v>
      </c>
      <c r="F22" s="201" t="s">
        <v>6856</v>
      </c>
      <c r="G22" s="201" t="s">
        <v>6857</v>
      </c>
      <c r="H22" s="201">
        <v>410</v>
      </c>
      <c r="I22" s="202" t="s">
        <v>158</v>
      </c>
      <c r="J22" s="203">
        <v>0.36</v>
      </c>
      <c r="K22" s="203">
        <v>0.36</v>
      </c>
      <c r="L22" s="203"/>
      <c r="M22" s="203"/>
      <c r="N22" s="204">
        <v>1000</v>
      </c>
      <c r="O22" s="381">
        <v>5.7000000000000002E-2</v>
      </c>
      <c r="P22" s="413"/>
      <c r="Q22" s="490">
        <v>2000</v>
      </c>
      <c r="R22" s="185" t="s">
        <v>5486</v>
      </c>
      <c r="S22" s="414">
        <v>10</v>
      </c>
      <c r="T22" s="491"/>
      <c r="U22" s="491" t="s">
        <v>390</v>
      </c>
      <c r="V22" s="491" t="s">
        <v>6854</v>
      </c>
      <c r="W22" s="491"/>
      <c r="X22" s="492"/>
      <c r="Y22" s="492"/>
      <c r="Z22" s="492"/>
      <c r="AA22" s="492"/>
      <c r="AB22" s="492"/>
      <c r="AC22" s="492"/>
      <c r="AD22" s="492"/>
      <c r="AE22" s="492"/>
      <c r="AF22" s="492"/>
      <c r="AG22" s="493"/>
      <c r="AH22" s="494" t="s">
        <v>158</v>
      </c>
      <c r="AI22" s="494" t="s">
        <v>430</v>
      </c>
      <c r="AJ22" s="495" t="s">
        <v>5561</v>
      </c>
      <c r="AK22" s="495">
        <v>44383</v>
      </c>
      <c r="AL22" s="495">
        <v>44411</v>
      </c>
      <c r="AM22" s="495"/>
      <c r="AN22" s="199">
        <f t="shared" ca="1" si="1"/>
        <v>44958</v>
      </c>
      <c r="AO22" s="494">
        <f t="shared" ca="1" si="2"/>
        <v>547</v>
      </c>
      <c r="AP22" s="494"/>
      <c r="AQ22" s="495" t="s">
        <v>5562</v>
      </c>
      <c r="AR22" s="495" t="s">
        <v>6858</v>
      </c>
      <c r="AS22" s="496">
        <v>2.0059999999999998</v>
      </c>
      <c r="AT22" s="496">
        <v>2.0379999999999998</v>
      </c>
      <c r="AU22" s="496">
        <v>2.0059999999999998</v>
      </c>
      <c r="AV22" s="496">
        <v>2.0379999999999998</v>
      </c>
    </row>
    <row r="23" spans="1:52" s="489" customFormat="1" ht="18" customHeight="1" x14ac:dyDescent="0.25">
      <c r="A23" s="199"/>
      <c r="B23" s="204"/>
      <c r="C23" s="199"/>
      <c r="D23" s="201" t="str">
        <f t="shared" si="3"/>
        <v>FGS-LM410613/410-0.36XX0.051</v>
      </c>
      <c r="E23" s="201" t="s">
        <v>5558</v>
      </c>
      <c r="F23" s="201" t="s">
        <v>6859</v>
      </c>
      <c r="G23" s="201" t="s">
        <v>6860</v>
      </c>
      <c r="H23" s="201">
        <v>410</v>
      </c>
      <c r="I23" s="202" t="s">
        <v>158</v>
      </c>
      <c r="J23" s="203">
        <v>0.36</v>
      </c>
      <c r="K23" s="203">
        <v>0.36</v>
      </c>
      <c r="L23" s="203"/>
      <c r="M23" s="203"/>
      <c r="N23" s="204">
        <v>1000</v>
      </c>
      <c r="O23" s="381">
        <v>5.0999999999999997E-2</v>
      </c>
      <c r="P23" s="413"/>
      <c r="Q23" s="490">
        <v>2000</v>
      </c>
      <c r="R23" s="185" t="s">
        <v>5486</v>
      </c>
      <c r="S23" s="414">
        <v>9</v>
      </c>
      <c r="T23" s="491"/>
      <c r="U23" s="491" t="s">
        <v>390</v>
      </c>
      <c r="V23" s="491" t="s">
        <v>6854</v>
      </c>
      <c r="W23" s="491"/>
      <c r="X23" s="492"/>
      <c r="Y23" s="492"/>
      <c r="Z23" s="492"/>
      <c r="AA23" s="492"/>
      <c r="AB23" s="492"/>
      <c r="AC23" s="492"/>
      <c r="AD23" s="492"/>
      <c r="AE23" s="492"/>
      <c r="AF23" s="492"/>
      <c r="AG23" s="493"/>
      <c r="AH23" s="494" t="s">
        <v>158</v>
      </c>
      <c r="AI23" s="494" t="s">
        <v>430</v>
      </c>
      <c r="AJ23" s="495" t="s">
        <v>5561</v>
      </c>
      <c r="AK23" s="495">
        <v>44383</v>
      </c>
      <c r="AL23" s="495">
        <v>44411</v>
      </c>
      <c r="AM23" s="495"/>
      <c r="AN23" s="199">
        <f t="shared" ca="1" si="1"/>
        <v>44958</v>
      </c>
      <c r="AO23" s="494">
        <f t="shared" ca="1" si="2"/>
        <v>547</v>
      </c>
      <c r="AP23" s="494"/>
      <c r="AQ23" s="495" t="s">
        <v>5562</v>
      </c>
      <c r="AR23" s="495" t="s">
        <v>6861</v>
      </c>
      <c r="AS23" s="496">
        <v>1.8720000000000001</v>
      </c>
      <c r="AT23" s="496">
        <v>1.9039999999999999</v>
      </c>
      <c r="AU23" s="496">
        <v>1.8720000000000001</v>
      </c>
      <c r="AV23" s="496">
        <v>1.9039999999999999</v>
      </c>
    </row>
    <row r="24" spans="1:52" s="489" customFormat="1" ht="18" customHeight="1" x14ac:dyDescent="0.25">
      <c r="A24" s="199"/>
      <c r="B24" s="204"/>
      <c r="C24" s="199"/>
      <c r="D24" s="201" t="str">
        <f t="shared" si="3"/>
        <v>FGS-LM410604/410-0.36XX0.03988</v>
      </c>
      <c r="E24" s="201" t="s">
        <v>5558</v>
      </c>
      <c r="F24" s="201" t="s">
        <v>6862</v>
      </c>
      <c r="G24" s="201" t="s">
        <v>6863</v>
      </c>
      <c r="H24" s="201">
        <v>410</v>
      </c>
      <c r="I24" s="202" t="s">
        <v>158</v>
      </c>
      <c r="J24" s="203">
        <v>0.36</v>
      </c>
      <c r="K24" s="203">
        <v>0.36</v>
      </c>
      <c r="L24" s="203"/>
      <c r="M24" s="203"/>
      <c r="N24" s="204">
        <v>1000</v>
      </c>
      <c r="O24" s="381">
        <v>3.9880000000000006E-2</v>
      </c>
      <c r="P24" s="413"/>
      <c r="Q24" s="490">
        <v>2000</v>
      </c>
      <c r="R24" s="185" t="s">
        <v>5486</v>
      </c>
      <c r="S24" s="414">
        <v>7</v>
      </c>
      <c r="T24" s="371"/>
      <c r="U24" s="491" t="s">
        <v>390</v>
      </c>
      <c r="V24" s="491"/>
      <c r="W24" s="491"/>
      <c r="X24" s="492"/>
      <c r="Y24" s="492"/>
      <c r="Z24" s="492"/>
      <c r="AA24" s="492"/>
      <c r="AB24" s="492"/>
      <c r="AC24" s="492"/>
      <c r="AD24" s="492"/>
      <c r="AE24" s="492"/>
      <c r="AF24" s="492"/>
      <c r="AG24" s="493"/>
      <c r="AH24" s="494" t="s">
        <v>158</v>
      </c>
      <c r="AI24" s="494" t="s">
        <v>430</v>
      </c>
      <c r="AJ24" s="495" t="s">
        <v>5561</v>
      </c>
      <c r="AK24" s="495">
        <v>44383</v>
      </c>
      <c r="AL24" s="495">
        <v>44411</v>
      </c>
      <c r="AM24" s="495"/>
      <c r="AN24" s="199">
        <f t="shared" ca="1" si="1"/>
        <v>44958</v>
      </c>
      <c r="AO24" s="494">
        <f t="shared" ca="1" si="2"/>
        <v>547</v>
      </c>
      <c r="AP24" s="494"/>
      <c r="AQ24" s="495" t="s">
        <v>5562</v>
      </c>
      <c r="AR24" s="495" t="s">
        <v>6864</v>
      </c>
      <c r="AS24" s="496">
        <v>1.994</v>
      </c>
      <c r="AT24" s="496">
        <v>2.0259999999999998</v>
      </c>
      <c r="AU24" s="496">
        <v>1.994</v>
      </c>
      <c r="AV24" s="496">
        <v>2.0259999999999998</v>
      </c>
    </row>
    <row r="25" spans="1:52" s="489" customFormat="1" ht="18" customHeight="1" x14ac:dyDescent="0.25">
      <c r="A25" s="199"/>
      <c r="B25" s="204"/>
      <c r="C25" s="199"/>
      <c r="D25" s="201" t="str">
        <f t="shared" si="3"/>
        <v>FGS-LM410605/410-0.36XX0.0455771428571429</v>
      </c>
      <c r="E25" s="201" t="s">
        <v>5558</v>
      </c>
      <c r="F25" s="201" t="s">
        <v>5490</v>
      </c>
      <c r="G25" s="201" t="s">
        <v>6865</v>
      </c>
      <c r="H25" s="201">
        <v>410</v>
      </c>
      <c r="I25" s="202" t="s">
        <v>158</v>
      </c>
      <c r="J25" s="203">
        <v>0.36</v>
      </c>
      <c r="K25" s="203">
        <v>0.36</v>
      </c>
      <c r="L25" s="203"/>
      <c r="M25" s="203"/>
      <c r="N25" s="204">
        <v>1000</v>
      </c>
      <c r="O25" s="381">
        <v>4.5577142857142858E-2</v>
      </c>
      <c r="P25" s="413"/>
      <c r="Q25" s="490">
        <v>2000</v>
      </c>
      <c r="R25" s="185" t="s">
        <v>5486</v>
      </c>
      <c r="S25" s="414">
        <v>8</v>
      </c>
      <c r="T25" s="371"/>
      <c r="U25" s="491" t="s">
        <v>390</v>
      </c>
      <c r="V25" s="491"/>
      <c r="W25" s="491"/>
      <c r="X25" s="492"/>
      <c r="Y25" s="492"/>
      <c r="Z25" s="492"/>
      <c r="AA25" s="492"/>
      <c r="AB25" s="492"/>
      <c r="AC25" s="492"/>
      <c r="AD25" s="492"/>
      <c r="AE25" s="492"/>
      <c r="AF25" s="492"/>
      <c r="AG25" s="493"/>
      <c r="AH25" s="494" t="s">
        <v>158</v>
      </c>
      <c r="AI25" s="494" t="s">
        <v>430</v>
      </c>
      <c r="AJ25" s="495" t="s">
        <v>5561</v>
      </c>
      <c r="AK25" s="495">
        <v>44383</v>
      </c>
      <c r="AL25" s="495">
        <v>44411</v>
      </c>
      <c r="AM25" s="495"/>
      <c r="AN25" s="199">
        <f t="shared" ca="1" si="1"/>
        <v>44958</v>
      </c>
      <c r="AO25" s="494">
        <f t="shared" ca="1" si="2"/>
        <v>547</v>
      </c>
      <c r="AP25" s="494"/>
      <c r="AQ25" s="495" t="s">
        <v>5562</v>
      </c>
      <c r="AR25" s="495" t="s">
        <v>6866</v>
      </c>
      <c r="AS25" s="496">
        <v>1.994</v>
      </c>
      <c r="AT25" s="496">
        <v>2.0259999999999998</v>
      </c>
      <c r="AU25" s="496">
        <v>1.994</v>
      </c>
      <c r="AV25" s="496">
        <v>2.0259999999999998</v>
      </c>
    </row>
    <row r="26" spans="1:52" s="489" customFormat="1" ht="18" customHeight="1" x14ac:dyDescent="0.25">
      <c r="A26" s="199"/>
      <c r="B26" s="204"/>
      <c r="C26" s="199"/>
      <c r="D26" s="201" t="str">
        <f t="shared" si="3"/>
        <v>FGS-LM410608/410-0.36XX0.0512897727272727</v>
      </c>
      <c r="E26" s="201" t="s">
        <v>5558</v>
      </c>
      <c r="F26" s="201" t="s">
        <v>5499</v>
      </c>
      <c r="G26" s="201" t="s">
        <v>6867</v>
      </c>
      <c r="H26" s="201">
        <v>410</v>
      </c>
      <c r="I26" s="202" t="s">
        <v>158</v>
      </c>
      <c r="J26" s="203">
        <v>0.36</v>
      </c>
      <c r="K26" s="203">
        <v>0.36</v>
      </c>
      <c r="L26" s="203"/>
      <c r="M26" s="203"/>
      <c r="N26" s="204">
        <v>1000</v>
      </c>
      <c r="O26" s="381">
        <v>5.1289772727272719E-2</v>
      </c>
      <c r="P26" s="413"/>
      <c r="Q26" s="490">
        <v>2000</v>
      </c>
      <c r="R26" s="185" t="s">
        <v>5486</v>
      </c>
      <c r="S26" s="414">
        <v>9</v>
      </c>
      <c r="T26" s="371"/>
      <c r="U26" s="491" t="s">
        <v>390</v>
      </c>
      <c r="V26" s="491"/>
      <c r="W26" s="491"/>
      <c r="X26" s="492"/>
      <c r="Y26" s="492"/>
      <c r="Z26" s="492"/>
      <c r="AA26" s="492"/>
      <c r="AB26" s="492"/>
      <c r="AC26" s="492"/>
      <c r="AD26" s="492"/>
      <c r="AE26" s="492"/>
      <c r="AF26" s="492"/>
      <c r="AG26" s="493"/>
      <c r="AH26" s="494" t="s">
        <v>158</v>
      </c>
      <c r="AI26" s="494" t="s">
        <v>430</v>
      </c>
      <c r="AJ26" s="495" t="s">
        <v>5561</v>
      </c>
      <c r="AK26" s="495">
        <v>44383</v>
      </c>
      <c r="AL26" s="495">
        <v>44411</v>
      </c>
      <c r="AM26" s="495"/>
      <c r="AN26" s="199">
        <f t="shared" ca="1" si="1"/>
        <v>44958</v>
      </c>
      <c r="AO26" s="494">
        <f t="shared" ca="1" si="2"/>
        <v>547</v>
      </c>
      <c r="AP26" s="494"/>
      <c r="AQ26" s="495" t="s">
        <v>5562</v>
      </c>
      <c r="AR26" s="495" t="s">
        <v>6868</v>
      </c>
      <c r="AS26" s="496">
        <v>2.0059999999999998</v>
      </c>
      <c r="AT26" s="496">
        <v>2.0379999999999998</v>
      </c>
      <c r="AU26" s="496">
        <v>2.0059999999999998</v>
      </c>
      <c r="AV26" s="496">
        <v>2.0379999999999998</v>
      </c>
    </row>
    <row r="27" spans="1:52" s="489" customFormat="1" ht="18" customHeight="1" x14ac:dyDescent="0.25">
      <c r="A27" s="199"/>
      <c r="B27" s="204"/>
      <c r="C27" s="199"/>
      <c r="D27" s="201" t="str">
        <f t="shared" si="3"/>
        <v>FGS-LM410609/410-0.36XX0.0626875</v>
      </c>
      <c r="E27" s="201" t="s">
        <v>5558</v>
      </c>
      <c r="F27" s="201" t="s">
        <v>5503</v>
      </c>
      <c r="G27" s="201" t="s">
        <v>6869</v>
      </c>
      <c r="H27" s="201">
        <v>410</v>
      </c>
      <c r="I27" s="202" t="s">
        <v>158</v>
      </c>
      <c r="J27" s="203">
        <v>0.36</v>
      </c>
      <c r="K27" s="203">
        <v>0.36</v>
      </c>
      <c r="L27" s="203"/>
      <c r="M27" s="203"/>
      <c r="N27" s="204">
        <v>1000</v>
      </c>
      <c r="O27" s="381">
        <v>6.2687499999999993E-2</v>
      </c>
      <c r="P27" s="413"/>
      <c r="Q27" s="490">
        <v>2000</v>
      </c>
      <c r="R27" s="185" t="s">
        <v>5486</v>
      </c>
      <c r="S27" s="414">
        <v>11</v>
      </c>
      <c r="T27" s="371"/>
      <c r="U27" s="491" t="s">
        <v>390</v>
      </c>
      <c r="V27" s="491"/>
      <c r="W27" s="491"/>
      <c r="X27" s="492"/>
      <c r="Y27" s="492"/>
      <c r="Z27" s="492"/>
      <c r="AA27" s="492"/>
      <c r="AB27" s="492"/>
      <c r="AC27" s="492"/>
      <c r="AD27" s="492"/>
      <c r="AE27" s="492"/>
      <c r="AF27" s="492"/>
      <c r="AG27" s="493"/>
      <c r="AH27" s="494" t="s">
        <v>158</v>
      </c>
      <c r="AI27" s="494" t="s">
        <v>430</v>
      </c>
      <c r="AJ27" s="495" t="s">
        <v>5561</v>
      </c>
      <c r="AK27" s="495">
        <v>44383</v>
      </c>
      <c r="AL27" s="495">
        <v>44411</v>
      </c>
      <c r="AM27" s="495"/>
      <c r="AN27" s="199">
        <f t="shared" ca="1" si="1"/>
        <v>44958</v>
      </c>
      <c r="AO27" s="494">
        <f t="shared" ca="1" si="2"/>
        <v>547</v>
      </c>
      <c r="AP27" s="494"/>
      <c r="AQ27" s="495" t="s">
        <v>5562</v>
      </c>
      <c r="AR27" s="495" t="s">
        <v>6870</v>
      </c>
      <c r="AS27" s="496">
        <v>2.0059999999999998</v>
      </c>
      <c r="AT27" s="496">
        <v>2.0379999999999998</v>
      </c>
      <c r="AU27" s="496">
        <v>2.0059999999999998</v>
      </c>
      <c r="AV27" s="496">
        <v>2.0379999999999998</v>
      </c>
    </row>
    <row r="28" spans="1:52" s="489" customFormat="1" ht="18" customHeight="1" x14ac:dyDescent="0.25">
      <c r="A28" s="199"/>
      <c r="B28" s="204"/>
      <c r="C28" s="199"/>
      <c r="D28" s="201" t="str">
        <f t="shared" si="3"/>
        <v>FGS-LM410610/410-0.36XX0.0398920454545455</v>
      </c>
      <c r="E28" s="201" t="s">
        <v>5558</v>
      </c>
      <c r="F28" s="201" t="s">
        <v>5506</v>
      </c>
      <c r="G28" s="201" t="s">
        <v>6871</v>
      </c>
      <c r="H28" s="201">
        <v>410</v>
      </c>
      <c r="I28" s="202" t="s">
        <v>158</v>
      </c>
      <c r="J28" s="203">
        <v>0.36</v>
      </c>
      <c r="K28" s="203">
        <v>0.36</v>
      </c>
      <c r="L28" s="203"/>
      <c r="M28" s="203"/>
      <c r="N28" s="204">
        <v>1000</v>
      </c>
      <c r="O28" s="381">
        <v>3.9892045454545451E-2</v>
      </c>
      <c r="P28" s="413"/>
      <c r="Q28" s="490">
        <v>2000</v>
      </c>
      <c r="R28" s="185" t="s">
        <v>5486</v>
      </c>
      <c r="S28" s="414">
        <v>7</v>
      </c>
      <c r="T28" s="371"/>
      <c r="U28" s="491" t="s">
        <v>390</v>
      </c>
      <c r="V28" s="491"/>
      <c r="W28" s="491"/>
      <c r="X28" s="492"/>
      <c r="Y28" s="492"/>
      <c r="Z28" s="492"/>
      <c r="AA28" s="492"/>
      <c r="AB28" s="492"/>
      <c r="AC28" s="492"/>
      <c r="AD28" s="492"/>
      <c r="AE28" s="492"/>
      <c r="AF28" s="492"/>
      <c r="AG28" s="493"/>
      <c r="AH28" s="494" t="s">
        <v>158</v>
      </c>
      <c r="AI28" s="494" t="s">
        <v>430</v>
      </c>
      <c r="AJ28" s="495" t="s">
        <v>5561</v>
      </c>
      <c r="AK28" s="495">
        <v>44383</v>
      </c>
      <c r="AL28" s="495">
        <v>44411</v>
      </c>
      <c r="AM28" s="495"/>
      <c r="AN28" s="199">
        <f t="shared" ca="1" si="1"/>
        <v>44958</v>
      </c>
      <c r="AO28" s="494">
        <f t="shared" ca="1" si="2"/>
        <v>547</v>
      </c>
      <c r="AP28" s="494"/>
      <c r="AQ28" s="495" t="s">
        <v>5562</v>
      </c>
      <c r="AR28" s="495" t="s">
        <v>6872</v>
      </c>
      <c r="AS28" s="496">
        <v>2.0059999999999998</v>
      </c>
      <c r="AT28" s="496">
        <v>2.0379999999999998</v>
      </c>
      <c r="AU28" s="496">
        <v>2.0059999999999998</v>
      </c>
      <c r="AV28" s="496">
        <v>2.0379999999999998</v>
      </c>
    </row>
    <row r="29" spans="1:52" s="489" customFormat="1" ht="18" customHeight="1" x14ac:dyDescent="0.25">
      <c r="A29" s="199"/>
      <c r="B29" s="204">
        <f ca="1">IF(A29="",(IF(ISNUMBER(SUBSTITUTE(LEFT(RIGHT(E29,LEN(E29)-MIN(SEARCH({1,2,3,4,5,6,7,8,9,0},E29&amp;"1234567890"))+1),10),".","/"))=TRUE,AN29-(SUBSTITUTE(LEFT(RIGHT(E29,LEN(E29)-MIN(SEARCH({1,2,3,4,5,6,7,8,9,0},E29&amp;"1234567890"))+1),10),".","/")),IF((SUBSTITUTE(LEFT(RIGHT(E29,LEN(E29)-MIN(SEARCH({1,2,3,4,5,6,7,8,9,0},E29&amp;"1234567890"))+1),10),".","/"))="","",(AN29)-(MID(RIGHT((SUBSTITUTE(LEFT(RIGHT(E29,LEN(E29)-MIN(SEARCH({1,2,3,4,5,6,7,8,9,0},E29&amp;"1234567890"))+1),10),".","/")),10),4,2)&amp;"/"&amp;LEFT((RIGHT((SUBSTITUTE(LEFT(RIGHT(E29,LEN(E29)-MIN(SEARCH({1,2,3,4,5,6,7,8,9,0},E29&amp;"1234567890"))+1),10),".","/")),10)),2)&amp;"/"&amp;RIGHT((SUBSTITUTE(LEFT(RIGHT(E29,LEN(E29)-MIN(SEARCH({1,2,3,4,5,6,7,8,9,0},E29&amp;"1234567890"))+1),10),".","/")),4))))),(AN29-A29))</f>
        <v>547</v>
      </c>
      <c r="C29" s="199"/>
      <c r="D29" s="201" t="str">
        <f t="shared" si="3"/>
        <v>FGS-LM410606A/410-0.36XX0.109</v>
      </c>
      <c r="E29" s="201" t="s">
        <v>5558</v>
      </c>
      <c r="F29" s="201" t="s">
        <v>6873</v>
      </c>
      <c r="G29" s="201" t="s">
        <v>6874</v>
      </c>
      <c r="H29" s="201">
        <v>410</v>
      </c>
      <c r="I29" s="202" t="s">
        <v>158</v>
      </c>
      <c r="J29" s="203">
        <v>0.36</v>
      </c>
      <c r="K29" s="203">
        <v>0.36</v>
      </c>
      <c r="L29" s="203"/>
      <c r="M29" s="203"/>
      <c r="N29" s="204">
        <v>1000</v>
      </c>
      <c r="O29" s="381">
        <v>0.109</v>
      </c>
      <c r="P29" s="413"/>
      <c r="Q29" s="490">
        <v>2000</v>
      </c>
      <c r="R29" s="185" t="s">
        <v>5486</v>
      </c>
      <c r="S29" s="414">
        <v>19</v>
      </c>
      <c r="T29" s="371"/>
      <c r="U29" s="491" t="s">
        <v>390</v>
      </c>
      <c r="V29" s="491"/>
      <c r="W29" s="491"/>
      <c r="X29" s="492"/>
      <c r="Y29" s="492"/>
      <c r="Z29" s="492"/>
      <c r="AA29" s="492"/>
      <c r="AB29" s="492"/>
      <c r="AC29" s="492"/>
      <c r="AD29" s="492"/>
      <c r="AE29" s="492"/>
      <c r="AF29" s="492"/>
      <c r="AG29" s="493"/>
      <c r="AH29" s="494" t="s">
        <v>158</v>
      </c>
      <c r="AI29" s="494" t="s">
        <v>430</v>
      </c>
      <c r="AJ29" s="495" t="s">
        <v>5561</v>
      </c>
      <c r="AK29" s="495">
        <v>44383</v>
      </c>
      <c r="AL29" s="495">
        <v>44411</v>
      </c>
      <c r="AM29" s="495"/>
      <c r="AN29" s="199">
        <f t="shared" ca="1" si="1"/>
        <v>44958</v>
      </c>
      <c r="AO29" s="494">
        <f t="shared" ca="1" si="2"/>
        <v>547</v>
      </c>
      <c r="AP29" s="494"/>
      <c r="AQ29" s="495" t="s">
        <v>5562</v>
      </c>
      <c r="AR29" s="495" t="s">
        <v>6875</v>
      </c>
      <c r="AS29" s="496">
        <v>2.012</v>
      </c>
      <c r="AT29" s="496">
        <v>2.044</v>
      </c>
      <c r="AU29" s="496">
        <v>2.012</v>
      </c>
      <c r="AV29" s="496">
        <v>2.044</v>
      </c>
    </row>
    <row r="30" spans="1:52" s="489" customFormat="1" ht="17.25" customHeight="1" x14ac:dyDescent="0.25">
      <c r="A30" s="199"/>
      <c r="B30" s="204">
        <f ca="1">IF(A30="",(IF(ISNUMBER(SUBSTITUTE(LEFT(RIGHT(E30,LEN(E30)-MIN(SEARCH({1,2,3,4,5,6,7,8,9,0},E30&amp;"1234567890"))+1),10),".","/"))=TRUE,AN30-(SUBSTITUTE(LEFT(RIGHT(E30,LEN(E30)-MIN(SEARCH({1,2,3,4,5,6,7,8,9,0},E30&amp;"1234567890"))+1),10),".","/")),IF((SUBSTITUTE(LEFT(RIGHT(E30,LEN(E30)-MIN(SEARCH({1,2,3,4,5,6,7,8,9,0},E30&amp;"1234567890"))+1),10),".","/"))="","",(AN30)-(MID(RIGHT((SUBSTITUTE(LEFT(RIGHT(E30,LEN(E30)-MIN(SEARCH({1,2,3,4,5,6,7,8,9,0},E30&amp;"1234567890"))+1),10),".","/")),10),4,2)&amp;"/"&amp;LEFT((RIGHT((SUBSTITUTE(LEFT(RIGHT(E30,LEN(E30)-MIN(SEARCH({1,2,3,4,5,6,7,8,9,0},E30&amp;"1234567890"))+1),10),".","/")),10)),2)&amp;"/"&amp;RIGHT((SUBSTITUTE(LEFT(RIGHT(E30,LEN(E30)-MIN(SEARCH({1,2,3,4,5,6,7,8,9,0},E30&amp;"1234567890"))+1),10),".","/")),4))))),(AN30-A30))</f>
        <v>547</v>
      </c>
      <c r="C30" s="199"/>
      <c r="D30" s="201" t="str">
        <f t="shared" si="3"/>
        <v>FGS-LM410607A/410-0.36XX0.086</v>
      </c>
      <c r="E30" s="201" t="s">
        <v>5558</v>
      </c>
      <c r="F30" s="201" t="s">
        <v>5495</v>
      </c>
      <c r="G30" s="201" t="s">
        <v>6876</v>
      </c>
      <c r="H30" s="201">
        <v>410</v>
      </c>
      <c r="I30" s="202" t="s">
        <v>158</v>
      </c>
      <c r="J30" s="203">
        <v>0.36</v>
      </c>
      <c r="K30" s="203">
        <v>0.36</v>
      </c>
      <c r="L30" s="203"/>
      <c r="M30" s="203"/>
      <c r="N30" s="204">
        <v>1000</v>
      </c>
      <c r="O30" s="381">
        <v>8.5999999999999993E-2</v>
      </c>
      <c r="P30" s="413"/>
      <c r="Q30" s="490">
        <v>2000</v>
      </c>
      <c r="R30" s="185" t="s">
        <v>5486</v>
      </c>
      <c r="S30" s="414">
        <v>15</v>
      </c>
      <c r="T30" s="371"/>
      <c r="U30" s="491" t="s">
        <v>390</v>
      </c>
      <c r="V30" s="491"/>
      <c r="W30" s="491"/>
      <c r="X30" s="492"/>
      <c r="Y30" s="492"/>
      <c r="Z30" s="492"/>
      <c r="AA30" s="492"/>
      <c r="AB30" s="492"/>
      <c r="AC30" s="492"/>
      <c r="AD30" s="492"/>
      <c r="AE30" s="492"/>
      <c r="AF30" s="492"/>
      <c r="AG30" s="493"/>
      <c r="AH30" s="494" t="s">
        <v>158</v>
      </c>
      <c r="AI30" s="494" t="s">
        <v>430</v>
      </c>
      <c r="AJ30" s="495" t="s">
        <v>5561</v>
      </c>
      <c r="AK30" s="495">
        <v>44383</v>
      </c>
      <c r="AL30" s="495">
        <v>44411</v>
      </c>
      <c r="AM30" s="495"/>
      <c r="AN30" s="199">
        <f t="shared" ca="1" si="1"/>
        <v>44958</v>
      </c>
      <c r="AO30" s="494">
        <f t="shared" ca="1" si="2"/>
        <v>547</v>
      </c>
      <c r="AP30" s="494"/>
      <c r="AQ30" s="495" t="s">
        <v>5562</v>
      </c>
      <c r="AR30" s="495" t="s">
        <v>6877</v>
      </c>
      <c r="AS30" s="496">
        <v>2.0099999999999998</v>
      </c>
      <c r="AT30" s="496">
        <v>2.0419999999999998</v>
      </c>
      <c r="AU30" s="496">
        <v>2.0099999999999998</v>
      </c>
      <c r="AV30" s="496">
        <v>2.0419999999999998</v>
      </c>
    </row>
    <row r="31" spans="1:52" s="489" customFormat="1" ht="18" customHeight="1" x14ac:dyDescent="0.25">
      <c r="A31" s="199"/>
      <c r="B31" s="204">
        <f ca="1">IF(A31="",(IF(ISNUMBER(SUBSTITUTE(LEFT(RIGHT(E31,LEN(E31)-MIN(SEARCH({1,2,3,4,5,6,7,8,9,0},E31&amp;"1234567890"))+1),10),".","/"))=TRUE,AN31-(SUBSTITUTE(LEFT(RIGHT(E31,LEN(E31)-MIN(SEARCH({1,2,3,4,5,6,7,8,9,0},E31&amp;"1234567890"))+1),10),".","/")),IF((SUBSTITUTE(LEFT(RIGHT(E31,LEN(E31)-MIN(SEARCH({1,2,3,4,5,6,7,8,9,0},E31&amp;"1234567890"))+1),10),".","/"))="","",(AN31)-(MID(RIGHT((SUBSTITUTE(LEFT(RIGHT(E31,LEN(E31)-MIN(SEARCH({1,2,3,4,5,6,7,8,9,0},E31&amp;"1234567890"))+1),10),".","/")),10),4,2)&amp;"/"&amp;LEFT((RIGHT((SUBSTITUTE(LEFT(RIGHT(E31,LEN(E31)-MIN(SEARCH({1,2,3,4,5,6,7,8,9,0},E31&amp;"1234567890"))+1),10),".","/")),10)),2)&amp;"/"&amp;RIGHT((SUBSTITUTE(LEFT(RIGHT(E31,LEN(E31)-MIN(SEARCH({1,2,3,4,5,6,7,8,9,0},E31&amp;"1234567890"))+1),10),".","/")),4))))),(AN31-A31))</f>
        <v>580</v>
      </c>
      <c r="C31" s="199"/>
      <c r="D31" s="201" t="str">
        <f t="shared" si="3"/>
        <v>FGS-LM410494/410-0.73XX0.034135593220339</v>
      </c>
      <c r="E31" s="201" t="s">
        <v>5489</v>
      </c>
      <c r="F31" s="201" t="s">
        <v>6878</v>
      </c>
      <c r="G31" s="201" t="s">
        <v>6879</v>
      </c>
      <c r="H31" s="201">
        <v>410</v>
      </c>
      <c r="I31" s="202" t="s">
        <v>158</v>
      </c>
      <c r="J31" s="203">
        <v>0.73</v>
      </c>
      <c r="K31" s="203">
        <v>0.73</v>
      </c>
      <c r="L31" s="203"/>
      <c r="M31" s="203"/>
      <c r="N31" s="204">
        <v>1219</v>
      </c>
      <c r="O31" s="381">
        <f>0.0170677966101695*2</f>
        <v>3.4135593220339003E-2</v>
      </c>
      <c r="P31" s="413"/>
      <c r="Q31" s="185">
        <v>2438</v>
      </c>
      <c r="R31" s="185" t="s">
        <v>5486</v>
      </c>
      <c r="S31" s="414">
        <v>2</v>
      </c>
      <c r="T31" s="371"/>
      <c r="U31" s="491" t="s">
        <v>390</v>
      </c>
      <c r="V31" s="491"/>
      <c r="W31" s="491"/>
      <c r="X31" s="492"/>
      <c r="Y31" s="492"/>
      <c r="Z31" s="492"/>
      <c r="AA31" s="492"/>
      <c r="AB31" s="492"/>
      <c r="AC31" s="492"/>
      <c r="AD31" s="492"/>
      <c r="AE31" s="492"/>
      <c r="AF31" s="492"/>
      <c r="AG31" s="493"/>
      <c r="AH31" s="494" t="s">
        <v>158</v>
      </c>
      <c r="AI31" s="494" t="s">
        <v>430</v>
      </c>
      <c r="AJ31" s="495" t="s">
        <v>5492</v>
      </c>
      <c r="AK31" s="495">
        <v>44358</v>
      </c>
      <c r="AL31" s="495">
        <v>44378</v>
      </c>
      <c r="AM31" s="495"/>
      <c r="AN31" s="199">
        <f t="shared" ca="1" si="1"/>
        <v>44958</v>
      </c>
      <c r="AO31" s="494">
        <f t="shared" ca="1" si="2"/>
        <v>580</v>
      </c>
      <c r="AP31" s="494"/>
      <c r="AQ31" s="495" t="s">
        <v>5497</v>
      </c>
      <c r="AR31" s="495" t="s">
        <v>6880</v>
      </c>
      <c r="AS31" s="496">
        <v>2.0139999999999998</v>
      </c>
      <c r="AT31" s="496">
        <v>2.0760000000000001</v>
      </c>
      <c r="AU31" s="496">
        <v>2.0139999999999998</v>
      </c>
      <c r="AV31" s="496">
        <v>2.0760000000000001</v>
      </c>
    </row>
    <row r="32" spans="1:52" s="489" customFormat="1" ht="18" customHeight="1" x14ac:dyDescent="0.25">
      <c r="A32" s="199"/>
      <c r="B32" s="204">
        <f ca="1">IF(A32="",(IF(ISNUMBER(SUBSTITUTE(LEFT(RIGHT(E32,LEN(E32)-MIN(SEARCH({1,2,3,4,5,6,7,8,9,0},E32&amp;"1234567890"))+1),10),".","/"))=TRUE,AN32-(SUBSTITUTE(LEFT(RIGHT(E32,LEN(E32)-MIN(SEARCH({1,2,3,4,5,6,7,8,9,0},E32&amp;"1234567890"))+1),10),".","/")),IF((SUBSTITUTE(LEFT(RIGHT(E32,LEN(E32)-MIN(SEARCH({1,2,3,4,5,6,7,8,9,0},E32&amp;"1234567890"))+1),10),".","/"))="","",(AN32)-(MID(RIGHT((SUBSTITUTE(LEFT(RIGHT(E32,LEN(E32)-MIN(SEARCH({1,2,3,4,5,6,7,8,9,0},E32&amp;"1234567890"))+1),10),".","/")),10),4,2)&amp;"/"&amp;LEFT((RIGHT((SUBSTITUTE(LEFT(RIGHT(E32,LEN(E32)-MIN(SEARCH({1,2,3,4,5,6,7,8,9,0},E32&amp;"1234567890"))+1),10),".","/")),10)),2)&amp;"/"&amp;RIGHT((SUBSTITUTE(LEFT(RIGHT(E32,LEN(E32)-MIN(SEARCH({1,2,3,4,5,6,7,8,9,0},E32&amp;"1234567890"))+1),10),".","/")),4))))),(AN32-A32))</f>
        <v>580</v>
      </c>
      <c r="C32" s="199"/>
      <c r="D32" s="201" t="str">
        <f t="shared" si="3"/>
        <v>FGS-LM410495/410-0.73XX0.0170677966101695</v>
      </c>
      <c r="E32" s="201" t="s">
        <v>5489</v>
      </c>
      <c r="F32" s="201" t="s">
        <v>6881</v>
      </c>
      <c r="G32" s="201" t="s">
        <v>6882</v>
      </c>
      <c r="H32" s="201">
        <v>410</v>
      </c>
      <c r="I32" s="202" t="s">
        <v>158</v>
      </c>
      <c r="J32" s="203">
        <v>0.73</v>
      </c>
      <c r="K32" s="203">
        <v>0.73</v>
      </c>
      <c r="L32" s="203"/>
      <c r="M32" s="203"/>
      <c r="N32" s="204">
        <v>1219</v>
      </c>
      <c r="O32" s="381">
        <v>1.7067796610169491E-2</v>
      </c>
      <c r="P32" s="413"/>
      <c r="Q32" s="185">
        <v>2438</v>
      </c>
      <c r="R32" s="185" t="s">
        <v>5486</v>
      </c>
      <c r="S32" s="414">
        <v>1</v>
      </c>
      <c r="T32" s="371"/>
      <c r="U32" s="491" t="s">
        <v>390</v>
      </c>
      <c r="V32" s="491"/>
      <c r="W32" s="491"/>
      <c r="X32" s="492"/>
      <c r="Y32" s="492"/>
      <c r="Z32" s="492"/>
      <c r="AA32" s="492"/>
      <c r="AB32" s="492"/>
      <c r="AC32" s="492"/>
      <c r="AD32" s="492"/>
      <c r="AE32" s="492"/>
      <c r="AF32" s="492"/>
      <c r="AG32" s="493"/>
      <c r="AH32" s="494" t="s">
        <v>158</v>
      </c>
      <c r="AI32" s="494" t="s">
        <v>430</v>
      </c>
      <c r="AJ32" s="495" t="s">
        <v>5492</v>
      </c>
      <c r="AK32" s="495">
        <v>44358</v>
      </c>
      <c r="AL32" s="495">
        <v>44378</v>
      </c>
      <c r="AM32" s="495"/>
      <c r="AN32" s="199">
        <f t="shared" ca="1" si="1"/>
        <v>44958</v>
      </c>
      <c r="AO32" s="494">
        <f t="shared" ca="1" si="2"/>
        <v>580</v>
      </c>
      <c r="AP32" s="494"/>
      <c r="AQ32" s="495" t="s">
        <v>5497</v>
      </c>
      <c r="AR32" s="495" t="s">
        <v>6883</v>
      </c>
      <c r="AS32" s="496">
        <v>2.0139999999999998</v>
      </c>
      <c r="AT32" s="496">
        <v>2.0720000000000001</v>
      </c>
      <c r="AU32" s="496">
        <v>2.0139999999999998</v>
      </c>
      <c r="AV32" s="496">
        <v>2.0720000000000001</v>
      </c>
    </row>
    <row r="33" spans="1:65" s="489" customFormat="1" ht="18" customHeight="1" x14ac:dyDescent="0.25">
      <c r="A33" s="199"/>
      <c r="B33" s="204">
        <f ca="1">IF(A33="",(IF(ISNUMBER(SUBSTITUTE(LEFT(RIGHT(E33,LEN(E33)-MIN(SEARCH({1,2,3,4,5,6,7,8,9,0},E33&amp;"1234567890"))+1),10),".","/"))=TRUE,AN33-(SUBSTITUTE(LEFT(RIGHT(E33,LEN(E33)-MIN(SEARCH({1,2,3,4,5,6,7,8,9,0},E33&amp;"1234567890"))+1),10),".","/")),IF((SUBSTITUTE(LEFT(RIGHT(E33,LEN(E33)-MIN(SEARCH({1,2,3,4,5,6,7,8,9,0},E33&amp;"1234567890"))+1),10),".","/"))="","",(AN33)-(MID(RIGHT((SUBSTITUTE(LEFT(RIGHT(E33,LEN(E33)-MIN(SEARCH({1,2,3,4,5,6,7,8,9,0},E33&amp;"1234567890"))+1),10),".","/")),10),4,2)&amp;"/"&amp;LEFT((RIGHT((SUBSTITUTE(LEFT(RIGHT(E33,LEN(E33)-MIN(SEARCH({1,2,3,4,5,6,7,8,9,0},E33&amp;"1234567890"))+1),10),".","/")),10)),2)&amp;"/"&amp;RIGHT((SUBSTITUTE(LEFT(RIGHT(E33,LEN(E33)-MIN(SEARCH({1,2,3,4,5,6,7,8,9,0},E33&amp;"1234567890"))+1),10),".","/")),4))))),(AN33-A33))</f>
        <v>580</v>
      </c>
      <c r="C33" s="199"/>
      <c r="D33" s="201" t="str">
        <f t="shared" si="3"/>
        <v>FGS-LM410497/410-0.73XX0.0511842105263158</v>
      </c>
      <c r="E33" s="201" t="s">
        <v>5489</v>
      </c>
      <c r="F33" s="201" t="s">
        <v>6884</v>
      </c>
      <c r="G33" s="201" t="s">
        <v>6885</v>
      </c>
      <c r="H33" s="201">
        <v>410</v>
      </c>
      <c r="I33" s="202" t="s">
        <v>158</v>
      </c>
      <c r="J33" s="203">
        <v>0.73</v>
      </c>
      <c r="K33" s="203">
        <v>0.73</v>
      </c>
      <c r="L33" s="203"/>
      <c r="M33" s="203"/>
      <c r="N33" s="204">
        <v>1219</v>
      </c>
      <c r="O33" s="381">
        <v>5.118421052631579E-2</v>
      </c>
      <c r="P33" s="413"/>
      <c r="Q33" s="185">
        <v>2438</v>
      </c>
      <c r="R33" s="185" t="s">
        <v>5486</v>
      </c>
      <c r="S33" s="414">
        <v>3</v>
      </c>
      <c r="T33" s="371"/>
      <c r="U33" s="491" t="s">
        <v>390</v>
      </c>
      <c r="V33" s="491"/>
      <c r="W33" s="491"/>
      <c r="X33" s="492"/>
      <c r="Y33" s="492"/>
      <c r="Z33" s="492"/>
      <c r="AA33" s="492"/>
      <c r="AB33" s="492"/>
      <c r="AC33" s="492"/>
      <c r="AD33" s="492"/>
      <c r="AE33" s="492"/>
      <c r="AF33" s="492"/>
      <c r="AG33" s="493"/>
      <c r="AH33" s="494" t="s">
        <v>158</v>
      </c>
      <c r="AI33" s="494" t="s">
        <v>430</v>
      </c>
      <c r="AJ33" s="495" t="s">
        <v>5492</v>
      </c>
      <c r="AK33" s="495">
        <v>44358</v>
      </c>
      <c r="AL33" s="495">
        <v>44378</v>
      </c>
      <c r="AM33" s="495"/>
      <c r="AN33" s="199">
        <f t="shared" ca="1" si="1"/>
        <v>44958</v>
      </c>
      <c r="AO33" s="494">
        <f t="shared" ca="1" si="2"/>
        <v>580</v>
      </c>
      <c r="AP33" s="494"/>
      <c r="AQ33" s="495" t="s">
        <v>5497</v>
      </c>
      <c r="AR33" s="495" t="s">
        <v>6886</v>
      </c>
      <c r="AS33" s="496">
        <v>1.9450000000000001</v>
      </c>
      <c r="AT33" s="496">
        <v>2.0059999999999998</v>
      </c>
      <c r="AU33" s="496">
        <v>1.9450000000000001</v>
      </c>
      <c r="AV33" s="496">
        <v>2.0059999999999998</v>
      </c>
    </row>
    <row r="34" spans="1:65" s="489" customFormat="1" ht="18.600000000000001" customHeight="1" x14ac:dyDescent="0.25">
      <c r="A34" s="199"/>
      <c r="B34" s="204">
        <f ca="1">IF(A34="",(IF(ISNUMBER(SUBSTITUTE(LEFT(RIGHT(E34,LEN(E34)-MIN(SEARCH({1,2,3,4,5,6,7,8,9,0},E34&amp;"1234567890"))+1),10),".","/"))=TRUE,AN34-(SUBSTITUTE(LEFT(RIGHT(E34,LEN(E34)-MIN(SEARCH({1,2,3,4,5,6,7,8,9,0},E34&amp;"1234567890"))+1),10),".","/")),IF((SUBSTITUTE(LEFT(RIGHT(E34,LEN(E34)-MIN(SEARCH({1,2,3,4,5,6,7,8,9,0},E34&amp;"1234567890"))+1),10),".","/"))="","",(AN34)-(MID(RIGHT((SUBSTITUTE(LEFT(RIGHT(E34,LEN(E34)-MIN(SEARCH({1,2,3,4,5,6,7,8,9,0},E34&amp;"1234567890"))+1),10),".","/")),10),4,2)&amp;"/"&amp;LEFT((RIGHT((SUBSTITUTE(LEFT(RIGHT(E34,LEN(E34)-MIN(SEARCH({1,2,3,4,5,6,7,8,9,0},E34&amp;"1234567890"))+1),10),".","/")),10)),2)&amp;"/"&amp;RIGHT((SUBSTITUTE(LEFT(RIGHT(E34,LEN(E34)-MIN(SEARCH({1,2,3,4,5,6,7,8,9,0},E34&amp;"1234567890"))+1),10),".","/")),4))))),(AN34-A34))</f>
        <v>124</v>
      </c>
      <c r="C34" s="199"/>
      <c r="D34" s="201" t="e">
        <f>IF(#REF!="MULTI","FGM","FGC")&amp;"-"&amp;H34&amp;"/"&amp;I34&amp;"-"&amp;TEXT(K34,"0.00")&amp;"X"&amp;IF(#REF!="MULTI",N34,#REF!)</f>
        <v>#REF!</v>
      </c>
      <c r="E34" s="201" t="s">
        <v>6887</v>
      </c>
      <c r="F34" s="201" t="s">
        <v>6888</v>
      </c>
      <c r="G34" s="201" t="s">
        <v>6889</v>
      </c>
      <c r="H34" s="201">
        <v>304</v>
      </c>
      <c r="I34" s="202" t="s">
        <v>114</v>
      </c>
      <c r="J34" s="203">
        <v>1</v>
      </c>
      <c r="K34" s="203">
        <v>0.5</v>
      </c>
      <c r="L34" s="203">
        <v>0.49</v>
      </c>
      <c r="M34" s="203">
        <v>0.51</v>
      </c>
      <c r="N34" s="204">
        <v>165</v>
      </c>
      <c r="O34" s="381">
        <v>7.8E-2</v>
      </c>
      <c r="P34" s="413"/>
      <c r="Q34" s="430">
        <v>257</v>
      </c>
      <c r="R34" s="185" t="s">
        <v>5486</v>
      </c>
      <c r="S34" s="414">
        <v>430</v>
      </c>
      <c r="T34" s="371"/>
      <c r="U34" s="491" t="s">
        <v>390</v>
      </c>
      <c r="V34" s="491"/>
      <c r="W34" s="185" t="s">
        <v>114</v>
      </c>
      <c r="X34" s="492" t="s">
        <v>6890</v>
      </c>
      <c r="Y34" s="492"/>
      <c r="Z34" s="492" t="s">
        <v>6890</v>
      </c>
      <c r="AA34" s="492"/>
      <c r="AB34" s="492" t="s">
        <v>6891</v>
      </c>
      <c r="AC34" s="492" t="s">
        <v>6892</v>
      </c>
      <c r="AD34" s="492"/>
      <c r="AE34" s="492"/>
      <c r="AF34" s="492"/>
      <c r="AG34" s="493" t="s">
        <v>6724</v>
      </c>
      <c r="AH34" s="494" t="s">
        <v>69</v>
      </c>
      <c r="AI34" s="494" t="s">
        <v>142</v>
      </c>
      <c r="AJ34" s="495" t="s">
        <v>6476</v>
      </c>
      <c r="AK34" s="495"/>
      <c r="AL34" s="495">
        <v>44585</v>
      </c>
      <c r="AM34" s="495"/>
      <c r="AN34" s="199">
        <f ca="1">TODAY()</f>
        <v>44958</v>
      </c>
      <c r="AO34" s="494">
        <f t="shared" ca="1" si="2"/>
        <v>373</v>
      </c>
      <c r="AP34" s="494">
        <f ca="1">IF(ISNUMBER(AB34)=TRUE,AN34-AB34,IF(AB34="","",(AN34)-(MID(RIGHT(AB34,10),4,2)&amp;"/"&amp;LEFT((RIGHT(AB34,10)),2)&amp;"/"&amp;RIGHT(AB34,4))))</f>
        <v>167</v>
      </c>
      <c r="AQ34" s="495"/>
      <c r="AR34" s="495" t="s">
        <v>6893</v>
      </c>
      <c r="AS34" s="496">
        <v>10.52</v>
      </c>
      <c r="AT34" s="496">
        <v>10.53</v>
      </c>
      <c r="AU34" s="496">
        <v>10.554999999999998</v>
      </c>
      <c r="AV34" s="496">
        <v>10.559999999999999</v>
      </c>
      <c r="AW34" s="489">
        <f ca="1">IF(ISNUMBER(Z34)=TRUE,AN34-Z34,IF(Z34="","",(AN34)-(MID(RIGHT(Z34,10),4,2)&amp;"/"&amp;LEFT((RIGHT(Z34,10)),2)&amp;"/"&amp;RIGHT(Z34,4))))</f>
        <v>169</v>
      </c>
      <c r="AX34" s="489">
        <v>425</v>
      </c>
      <c r="AZ34" s="489" t="s">
        <v>123</v>
      </c>
      <c r="BM34" s="211"/>
    </row>
    <row r="35" spans="1:65" s="489" customFormat="1" ht="18.600000000000001" customHeight="1" x14ac:dyDescent="0.25">
      <c r="A35" s="199"/>
      <c r="B35" s="204">
        <f ca="1">IF(A35="",(IF(ISNUMBER(SUBSTITUTE(LEFT(RIGHT(E35,LEN(E35)-MIN(SEARCH({1,2,3,4,5,6,7,8,9,0},E35&amp;"1234567890"))+1),10),".","/"))=TRUE,AN35-(SUBSTITUTE(LEFT(RIGHT(E35,LEN(E35)-MIN(SEARCH({1,2,3,4,5,6,7,8,9,0},E35&amp;"1234567890"))+1),10),".","/")),IF((SUBSTITUTE(LEFT(RIGHT(E35,LEN(E35)-MIN(SEARCH({1,2,3,4,5,6,7,8,9,0},E35&amp;"1234567890"))+1),10),".","/"))="","",(AN35)-(MID(RIGHT((SUBSTITUTE(LEFT(RIGHT(E35,LEN(E35)-MIN(SEARCH({1,2,3,4,5,6,7,8,9,0},E35&amp;"1234567890"))+1),10),".","/")),10),4,2)&amp;"/"&amp;LEFT((RIGHT((SUBSTITUTE(LEFT(RIGHT(E35,LEN(E35)-MIN(SEARCH({1,2,3,4,5,6,7,8,9,0},E35&amp;"1234567890"))+1),10),".","/")),10)),2)&amp;"/"&amp;RIGHT((SUBSTITUTE(LEFT(RIGHT(E35,LEN(E35)-MIN(SEARCH({1,2,3,4,5,6,7,8,9,0},E35&amp;"1234567890"))+1),10),".","/")),4))))),(AN35-A35))</f>
        <v>124</v>
      </c>
      <c r="C35" s="199"/>
      <c r="D35" s="201" t="e">
        <f>IF(#REF!="MULTI","FGM","FGC")&amp;"-"&amp;H35&amp;"/"&amp;I35&amp;"-"&amp;TEXT(K35,"0.00")&amp;"X"&amp;IF(#REF!="MULTI",N35,#REF!)</f>
        <v>#REF!</v>
      </c>
      <c r="E35" s="201" t="s">
        <v>6887</v>
      </c>
      <c r="F35" s="201" t="s">
        <v>1048</v>
      </c>
      <c r="G35" s="201" t="s">
        <v>6894</v>
      </c>
      <c r="H35" s="201" t="s">
        <v>182</v>
      </c>
      <c r="I35" s="202" t="s">
        <v>114</v>
      </c>
      <c r="J35" s="203">
        <v>2.76</v>
      </c>
      <c r="K35" s="203">
        <v>0.5</v>
      </c>
      <c r="L35" s="203">
        <v>0.49</v>
      </c>
      <c r="M35" s="203">
        <v>0.5</v>
      </c>
      <c r="N35" s="204">
        <v>165</v>
      </c>
      <c r="O35" s="381">
        <v>0.13600000000000001</v>
      </c>
      <c r="P35" s="413"/>
      <c r="Q35" s="430">
        <v>257</v>
      </c>
      <c r="R35" s="185" t="s">
        <v>5486</v>
      </c>
      <c r="S35" s="414">
        <v>765</v>
      </c>
      <c r="T35" s="371"/>
      <c r="U35" s="491" t="s">
        <v>390</v>
      </c>
      <c r="V35" s="491"/>
      <c r="W35" s="185" t="s">
        <v>114</v>
      </c>
      <c r="X35" s="492">
        <v>44787</v>
      </c>
      <c r="Y35" s="492"/>
      <c r="Z35" s="492">
        <v>44788</v>
      </c>
      <c r="AA35" s="492"/>
      <c r="AB35" s="492">
        <v>44791</v>
      </c>
      <c r="AC35" s="492" t="s">
        <v>6895</v>
      </c>
      <c r="AD35" s="492"/>
      <c r="AE35" s="492"/>
      <c r="AF35" s="492"/>
      <c r="AG35" s="493" t="s">
        <v>1052</v>
      </c>
      <c r="AH35" s="494" t="s">
        <v>69</v>
      </c>
      <c r="AI35" s="494" t="s">
        <v>142</v>
      </c>
      <c r="AJ35" s="495" t="s">
        <v>1053</v>
      </c>
      <c r="AK35" s="495"/>
      <c r="AL35" s="495">
        <v>44760</v>
      </c>
      <c r="AM35" s="495"/>
      <c r="AN35" s="199">
        <f ca="1">TODAY()</f>
        <v>44958</v>
      </c>
      <c r="AO35" s="494">
        <f t="shared" ca="1" si="2"/>
        <v>198</v>
      </c>
      <c r="AP35" s="494">
        <f ca="1">IF(ISNUMBER(AB35)=TRUE,AN35-AB35,IF(AB35="","",(AN35)-(MID(RIGHT(AB35,10),4,2)&amp;"/"&amp;LEFT((RIGHT(AB35,10)),2)&amp;"/"&amp;RIGHT(AB35,4))))</f>
        <v>167</v>
      </c>
      <c r="AQ35" s="495"/>
      <c r="AR35" s="495" t="s">
        <v>1054</v>
      </c>
      <c r="AS35" s="496">
        <v>10.435</v>
      </c>
      <c r="AT35" s="496">
        <v>10.445</v>
      </c>
      <c r="AU35" s="496">
        <v>10.469999999999999</v>
      </c>
      <c r="AV35" s="496">
        <v>10.475</v>
      </c>
      <c r="AW35" s="489">
        <f ca="1">IF(ISNUMBER(Z35)=TRUE,AN35-Z35,IF(Z35="","",(AN35)-(MID(RIGHT(Z35,10),4,2)&amp;"/"&amp;LEFT((RIGHT(Z35,10)),2)&amp;"/"&amp;RIGHT(Z35,4))))</f>
        <v>170</v>
      </c>
      <c r="AX35" s="489">
        <v>443</v>
      </c>
      <c r="AZ35" s="489" t="s">
        <v>123</v>
      </c>
      <c r="BM35" s="211"/>
    </row>
    <row r="36" spans="1:65" s="489" customFormat="1" ht="18.600000000000001" customHeight="1" x14ac:dyDescent="0.25">
      <c r="A36" s="199"/>
      <c r="B36" s="204">
        <f ca="1">IF(A36="",(IF(ISNUMBER(SUBSTITUTE(LEFT(RIGHT(E36,LEN(E36)-MIN(SEARCH({1,2,3,4,5,6,7,8,9,0},E36&amp;"1234567890"))+1),10),".","/"))=TRUE,AN36-(SUBSTITUTE(LEFT(RIGHT(E36,LEN(E36)-MIN(SEARCH({1,2,3,4,5,6,7,8,9,0},E36&amp;"1234567890"))+1),10),".","/")),IF((SUBSTITUTE(LEFT(RIGHT(E36,LEN(E36)-MIN(SEARCH({1,2,3,4,5,6,7,8,9,0},E36&amp;"1234567890"))+1),10),".","/"))="","",(AN36)-(MID(RIGHT((SUBSTITUTE(LEFT(RIGHT(E36,LEN(E36)-MIN(SEARCH({1,2,3,4,5,6,7,8,9,0},E36&amp;"1234567890"))+1),10),".","/")),10),4,2)&amp;"/"&amp;LEFT((RIGHT((SUBSTITUTE(LEFT(RIGHT(E36,LEN(E36)-MIN(SEARCH({1,2,3,4,5,6,7,8,9,0},E36&amp;"1234567890"))+1),10),".","/")),10)),2)&amp;"/"&amp;RIGHT((SUBSTITUTE(LEFT(RIGHT(E36,LEN(E36)-MIN(SEARCH({1,2,3,4,5,6,7,8,9,0},E36&amp;"1234567890"))+1),10),".","/")),4))))),(AN36-A36))</f>
        <v>124</v>
      </c>
      <c r="C36" s="199"/>
      <c r="D36" s="201" t="e">
        <f>IF(#REF!="MULTI","FGM","FGC")&amp;"-"&amp;H36&amp;"/"&amp;I36&amp;"-"&amp;TEXT(K36,"0.00")&amp;"X"&amp;IF(#REF!="MULTI",N36,#REF!)</f>
        <v>#REF!</v>
      </c>
      <c r="E36" s="201" t="s">
        <v>6887</v>
      </c>
      <c r="F36" s="201" t="s">
        <v>6700</v>
      </c>
      <c r="G36" s="201" t="s">
        <v>6896</v>
      </c>
      <c r="H36" s="201" t="s">
        <v>182</v>
      </c>
      <c r="I36" s="202" t="s">
        <v>114</v>
      </c>
      <c r="J36" s="203">
        <v>0.9</v>
      </c>
      <c r="K36" s="203">
        <v>0.5</v>
      </c>
      <c r="L36" s="203">
        <v>0.49</v>
      </c>
      <c r="M36" s="203">
        <v>0.5</v>
      </c>
      <c r="N36" s="204">
        <v>165</v>
      </c>
      <c r="O36" s="381">
        <v>0.114</v>
      </c>
      <c r="P36" s="413"/>
      <c r="Q36" s="430">
        <v>257</v>
      </c>
      <c r="R36" s="185" t="s">
        <v>5486</v>
      </c>
      <c r="S36" s="414">
        <v>640</v>
      </c>
      <c r="T36" s="371"/>
      <c r="U36" s="491" t="s">
        <v>390</v>
      </c>
      <c r="V36" s="491"/>
      <c r="W36" s="185" t="s">
        <v>114</v>
      </c>
      <c r="X36" s="492" t="s">
        <v>6703</v>
      </c>
      <c r="Y36" s="492"/>
      <c r="Z36" s="492" t="s">
        <v>6704</v>
      </c>
      <c r="AA36" s="492"/>
      <c r="AB36" s="492" t="s">
        <v>6705</v>
      </c>
      <c r="AC36" s="492" t="s">
        <v>6706</v>
      </c>
      <c r="AD36" s="492"/>
      <c r="AE36" s="492"/>
      <c r="AF36" s="492"/>
      <c r="AG36" s="493" t="s">
        <v>6622</v>
      </c>
      <c r="AH36" s="494" t="s">
        <v>69</v>
      </c>
      <c r="AI36" s="494" t="s">
        <v>142</v>
      </c>
      <c r="AJ36" s="495" t="s">
        <v>990</v>
      </c>
      <c r="AK36" s="495"/>
      <c r="AL36" s="495">
        <v>44727</v>
      </c>
      <c r="AM36" s="495"/>
      <c r="AN36" s="199">
        <f ca="1">TODAY()</f>
        <v>44958</v>
      </c>
      <c r="AO36" s="494">
        <f t="shared" ca="1" si="2"/>
        <v>231</v>
      </c>
      <c r="AP36" s="494">
        <f ca="1">IF(ISNUMBER(AB36)=TRUE,AN36-AB36,IF(AB36="","",(AN36)-(MID(RIGHT(AB36,10),4,2)&amp;"/"&amp;LEFT((RIGHT(AB36,10)),2)&amp;"/"&amp;RIGHT(AB36,4))))</f>
        <v>167</v>
      </c>
      <c r="AQ36" s="495"/>
      <c r="AR36" s="495" t="s">
        <v>6707</v>
      </c>
      <c r="AS36" s="496">
        <v>10.635</v>
      </c>
      <c r="AT36" s="496">
        <v>10.645</v>
      </c>
      <c r="AU36" s="496">
        <v>10.669999999999998</v>
      </c>
      <c r="AV36" s="496">
        <v>10.674999999999999</v>
      </c>
      <c r="AW36" s="489">
        <f ca="1">IF(ISNUMBER(Z36)=TRUE,AN36-Z36,IF(Z36="","",(AN36)-(MID(RIGHT(Z36,10),4,2)&amp;"/"&amp;LEFT((RIGHT(Z36,10)),2)&amp;"/"&amp;RIGHT(Z36,4))))</f>
        <v>169</v>
      </c>
      <c r="AX36" s="489">
        <v>441</v>
      </c>
      <c r="AZ36" s="489" t="s">
        <v>123</v>
      </c>
      <c r="BM36" s="211"/>
    </row>
    <row r="37" spans="1:65" s="489" customFormat="1" ht="19.5" customHeight="1" x14ac:dyDescent="0.25">
      <c r="A37" s="199"/>
      <c r="B37" s="204">
        <f ca="1">IF(A37="",(IF(ISNUMBER(SUBSTITUTE(LEFT(RIGHT(E37,LEN(E37)-MIN(SEARCH({1,2,3,4,5,6,7,8,9,0},E37&amp;"1234567890"))+1),10),".","/"))=TRUE,AN37-(SUBSTITUTE(LEFT(RIGHT(E37,LEN(E37)-MIN(SEARCH({1,2,3,4,5,6,7,8,9,0},E37&amp;"1234567890"))+1),10),".","/")),IF((SUBSTITUTE(LEFT(RIGHT(E37,LEN(E37)-MIN(SEARCH({1,2,3,4,5,6,7,8,9,0},E37&amp;"1234567890"))+1),10),".","/"))="","",(AN37)-(MID(RIGHT((SUBSTITUTE(LEFT(RIGHT(E37,LEN(E37)-MIN(SEARCH({1,2,3,4,5,6,7,8,9,0},E37&amp;"1234567890"))+1),10),".","/")),10),4,2)&amp;"/"&amp;LEFT((RIGHT((SUBSTITUTE(LEFT(RIGHT(E37,LEN(E37)-MIN(SEARCH({1,2,3,4,5,6,7,8,9,0},E37&amp;"1234567890"))+1),10),".","/")),10)),2)&amp;"/"&amp;RIGHT((SUBSTITUTE(LEFT(RIGHT(E37,LEN(E37)-MIN(SEARCH({1,2,3,4,5,6,7,8,9,0},E37&amp;"1234567890"))+1),10),".","/")),4))))),(AN37-A37))</f>
        <v>1177</v>
      </c>
      <c r="C37" s="199"/>
      <c r="D37" s="201" t="str">
        <f>"FGS"&amp;"-"&amp;H37&amp;"/"&amp;I37&amp;"-"&amp;IF(K37="",(TEXT(J37,"0.00")),(TEXT(K37,"0.00")))&amp;"X"&amp;N37&amp;"X"&amp;Q37</f>
        <v>FGS-J1/2B-1.00X1219X2438</v>
      </c>
      <c r="E37" s="201" t="s">
        <v>6897</v>
      </c>
      <c r="F37" s="201" t="s">
        <v>6898</v>
      </c>
      <c r="G37" s="201" t="s">
        <v>6899</v>
      </c>
      <c r="H37" s="201" t="s">
        <v>32</v>
      </c>
      <c r="I37" s="202" t="s">
        <v>114</v>
      </c>
      <c r="J37" s="203">
        <v>1</v>
      </c>
      <c r="K37" s="203">
        <v>1</v>
      </c>
      <c r="L37" s="203"/>
      <c r="M37" s="203"/>
      <c r="N37" s="204">
        <v>1219</v>
      </c>
      <c r="O37" s="381">
        <v>2.1999999999999999E-2</v>
      </c>
      <c r="P37" s="413"/>
      <c r="Q37" s="415">
        <v>2438</v>
      </c>
      <c r="R37" s="185" t="s">
        <v>5486</v>
      </c>
      <c r="S37" s="414">
        <v>1</v>
      </c>
      <c r="T37" s="371"/>
      <c r="U37" s="491" t="s">
        <v>390</v>
      </c>
      <c r="V37" s="491"/>
      <c r="W37" s="491"/>
      <c r="X37" s="492"/>
      <c r="Y37" s="492"/>
      <c r="Z37" s="492"/>
      <c r="AA37" s="492"/>
      <c r="AB37" s="492"/>
      <c r="AC37" s="492"/>
      <c r="AD37" s="492"/>
      <c r="AE37" s="492"/>
      <c r="AF37" s="492"/>
      <c r="AG37" s="493"/>
      <c r="AH37" s="494" t="s">
        <v>114</v>
      </c>
      <c r="AI37" s="494" t="s">
        <v>6900</v>
      </c>
      <c r="AJ37" s="495" t="s">
        <v>6901</v>
      </c>
      <c r="AK37" s="495">
        <v>43748</v>
      </c>
      <c r="AL37" s="495">
        <v>43781</v>
      </c>
      <c r="AM37" s="495"/>
      <c r="AN37" s="199">
        <f t="shared" ref="AN37" ca="1" si="4">TODAY()</f>
        <v>44958</v>
      </c>
      <c r="AO37" s="494">
        <f t="shared" ca="1" si="2"/>
        <v>1177</v>
      </c>
      <c r="AP37" s="494" t="str">
        <f>IF(ISNUMBER(V37)=TRUE,AN37-V37,IF(V37="","",(AN37)-(MID(RIGHT(V37,10),4,2)&amp;"/"&amp;LEFT((RIGHT(V37,10)),2)&amp;"/"&amp;RIGHT(V37,4))))</f>
        <v/>
      </c>
      <c r="AQ37" s="495" t="s">
        <v>6902</v>
      </c>
      <c r="AR37" s="495" t="s">
        <v>6903</v>
      </c>
      <c r="AS37" s="496">
        <v>2.5421900000000002</v>
      </c>
      <c r="AT37" s="496">
        <v>2.6171899999999999</v>
      </c>
      <c r="AU37" s="496">
        <v>2.5421900000000002</v>
      </c>
      <c r="AV37" s="496">
        <v>2.6171899999999999</v>
      </c>
      <c r="AW37" s="489" t="e">
        <f ca="1">IF(ISNUMBER(U37)=TRUE,AN37-U37,IF(U37="","",(AN37)-(MID(RIGHT(U37,10),4,2)&amp;"/"&amp;LEFT((RIGHT(U37,10)),2)&amp;"/"&amp;RIGHT(U37,4))))</f>
        <v>#VALUE!</v>
      </c>
      <c r="AZ37" s="489" t="s">
        <v>6904</v>
      </c>
      <c r="BG37" s="489">
        <v>0</v>
      </c>
      <c r="BI37" s="489" t="s">
        <v>124</v>
      </c>
    </row>
    <row r="41" spans="1:65" ht="18" x14ac:dyDescent="0.25">
      <c r="G41" s="522"/>
      <c r="H41" s="522"/>
      <c r="I41" s="522"/>
      <c r="J41" s="523"/>
      <c r="K41" s="524"/>
      <c r="L41" s="524"/>
      <c r="M41" s="524"/>
      <c r="N41" s="525"/>
      <c r="O41" s="526">
        <f>SUM(O6:O38)</f>
        <v>4.0057140613957847</v>
      </c>
      <c r="P41" s="527"/>
      <c r="Q41" s="527"/>
      <c r="R41" s="527"/>
      <c r="S41" s="527"/>
      <c r="T41" s="524"/>
      <c r="U41" s="523"/>
    </row>
    <row r="42" spans="1:65" ht="18" x14ac:dyDescent="0.25">
      <c r="G42" s="522"/>
      <c r="H42" s="522"/>
      <c r="I42" s="522"/>
      <c r="J42" s="523"/>
      <c r="K42" s="524"/>
      <c r="L42" s="524"/>
      <c r="M42" s="524"/>
      <c r="N42" s="525"/>
      <c r="O42" s="527"/>
      <c r="P42" s="527"/>
      <c r="Q42" s="527"/>
      <c r="R42" s="527"/>
      <c r="S42" s="527"/>
      <c r="T42" s="524"/>
      <c r="U42" s="523"/>
    </row>
    <row r="43" spans="1:65" ht="18" x14ac:dyDescent="0.25">
      <c r="G43" s="522"/>
      <c r="H43" s="522"/>
      <c r="I43" s="522"/>
      <c r="J43" s="523"/>
      <c r="K43" s="524"/>
      <c r="L43" s="524"/>
      <c r="M43" s="524"/>
      <c r="N43" s="525"/>
      <c r="O43" s="527"/>
      <c r="P43" s="527"/>
      <c r="Q43" s="527"/>
      <c r="R43" s="527"/>
      <c r="S43" s="527"/>
      <c r="T43" s="524"/>
      <c r="U43" s="523"/>
    </row>
    <row r="47" spans="1:65" x14ac:dyDescent="0.25">
      <c r="T47" s="362"/>
    </row>
    <row r="55" spans="1:64" x14ac:dyDescent="0.25">
      <c r="T55" s="362"/>
    </row>
    <row r="58" spans="1:64" s="361" customFormat="1" ht="16.5" customHeight="1" x14ac:dyDescent="0.25">
      <c r="A58" s="454"/>
      <c r="B58" s="454"/>
      <c r="J58" s="417"/>
      <c r="K58" s="417"/>
      <c r="L58" s="417"/>
      <c r="M58" s="417"/>
      <c r="N58" s="363"/>
      <c r="O58" s="451"/>
      <c r="P58" s="419"/>
      <c r="Q58" s="362"/>
      <c r="R58" s="362"/>
      <c r="S58" s="422"/>
      <c r="T58" s="399"/>
      <c r="U58" s="214"/>
      <c r="V58" s="452"/>
      <c r="W58" s="452"/>
      <c r="X58" s="448"/>
      <c r="Y58" s="448"/>
      <c r="Z58" s="448"/>
      <c r="AA58" s="448"/>
      <c r="AB58" s="448"/>
      <c r="AC58" s="448"/>
      <c r="AD58" s="448"/>
      <c r="AE58" s="448"/>
      <c r="AF58" s="448"/>
      <c r="AG58" s="453"/>
      <c r="AK58" s="416"/>
      <c r="AL58" s="416"/>
      <c r="AM58" s="416"/>
      <c r="AN58" s="416"/>
      <c r="AO58" s="416"/>
      <c r="AP58" s="416"/>
      <c r="AS58" s="364"/>
      <c r="AT58" s="364"/>
      <c r="AU58" s="364"/>
      <c r="AV58" s="364"/>
      <c r="BK58" s="486"/>
      <c r="BL58" s="486"/>
    </row>
    <row r="64" spans="1:64" x14ac:dyDescent="0.25">
      <c r="O64" s="451"/>
    </row>
    <row r="66" spans="1:66" s="361" customFormat="1" ht="16.5" customHeight="1" x14ac:dyDescent="0.25">
      <c r="A66" s="454"/>
      <c r="B66" s="454"/>
      <c r="J66" s="417"/>
      <c r="K66" s="417"/>
      <c r="L66" s="417"/>
      <c r="M66" s="417"/>
      <c r="N66" s="363"/>
      <c r="O66" s="451"/>
      <c r="P66" s="419"/>
      <c r="Q66" s="362"/>
      <c r="R66" s="362"/>
      <c r="S66" s="422"/>
      <c r="T66" s="399"/>
      <c r="U66" s="214"/>
      <c r="V66" s="452"/>
      <c r="W66" s="452"/>
      <c r="X66" s="448"/>
      <c r="Y66" s="448"/>
      <c r="Z66" s="448"/>
      <c r="AA66" s="448"/>
      <c r="AB66" s="448"/>
      <c r="AC66" s="448"/>
      <c r="AD66" s="448"/>
      <c r="AE66" s="448"/>
      <c r="AF66" s="448"/>
      <c r="AG66" s="453"/>
      <c r="AK66" s="416"/>
      <c r="AL66" s="416"/>
      <c r="AM66" s="416"/>
      <c r="AN66" s="416"/>
      <c r="AO66" s="416"/>
      <c r="AP66" s="416"/>
      <c r="AS66" s="364"/>
      <c r="AT66" s="364"/>
      <c r="AU66" s="364"/>
      <c r="AV66" s="364"/>
      <c r="BK66" s="486"/>
      <c r="BL66" s="486"/>
    </row>
    <row r="80" spans="1:66" s="351" customFormat="1" x14ac:dyDescent="0.25">
      <c r="A80" s="336"/>
      <c r="B80" s="336"/>
      <c r="C80" s="336"/>
      <c r="D80" s="336"/>
      <c r="E80" s="336"/>
      <c r="F80" s="336"/>
      <c r="G80" s="336"/>
      <c r="H80" s="336"/>
      <c r="I80" s="336"/>
      <c r="K80" s="399"/>
      <c r="L80" s="399"/>
      <c r="M80" s="399"/>
      <c r="N80" s="352"/>
      <c r="O80" s="353"/>
      <c r="P80" s="353"/>
      <c r="Q80" s="353"/>
      <c r="R80" s="353"/>
      <c r="S80" s="353"/>
      <c r="T80" s="362"/>
      <c r="AI80" s="336"/>
      <c r="AJ80" s="336"/>
      <c r="AK80" s="336"/>
      <c r="AL80" s="336"/>
      <c r="AM80" s="336"/>
      <c r="AN80" s="336"/>
      <c r="AO80" s="336"/>
      <c r="AP80" s="336"/>
      <c r="AQ80" s="336"/>
      <c r="AR80" s="336"/>
      <c r="AS80" s="364"/>
      <c r="AT80" s="364"/>
      <c r="AU80" s="364"/>
      <c r="AX80" s="336"/>
      <c r="AY80" s="336"/>
      <c r="AZ80" s="336"/>
      <c r="BA80" s="336"/>
      <c r="BB80" s="336"/>
      <c r="BC80" s="336"/>
      <c r="BD80" s="336"/>
      <c r="BE80" s="336"/>
      <c r="BF80" s="336"/>
      <c r="BG80" s="336"/>
      <c r="BH80" s="336"/>
      <c r="BI80" s="336"/>
      <c r="BJ80" s="336"/>
      <c r="BK80" s="336"/>
      <c r="BL80" s="336"/>
      <c r="BM80" s="336"/>
      <c r="BN80" s="336"/>
    </row>
    <row r="81" spans="1:66" s="351" customFormat="1" x14ac:dyDescent="0.25">
      <c r="A81" s="336"/>
      <c r="B81" s="336"/>
      <c r="C81" s="336"/>
      <c r="D81" s="336"/>
      <c r="E81" s="336"/>
      <c r="F81" s="336"/>
      <c r="G81" s="336"/>
      <c r="H81" s="336"/>
      <c r="I81" s="336"/>
      <c r="K81" s="399"/>
      <c r="L81" s="399"/>
      <c r="M81" s="399"/>
      <c r="N81" s="352"/>
      <c r="O81" s="353"/>
      <c r="P81" s="353"/>
      <c r="Q81" s="353"/>
      <c r="R81" s="353"/>
      <c r="S81" s="353"/>
      <c r="T81" s="362"/>
      <c r="AI81" s="336"/>
      <c r="AJ81" s="336"/>
      <c r="AK81" s="336"/>
      <c r="AL81" s="336"/>
      <c r="AM81" s="336"/>
      <c r="AN81" s="336"/>
      <c r="AO81" s="336"/>
      <c r="AP81" s="336"/>
      <c r="AQ81" s="336"/>
      <c r="AR81" s="336"/>
      <c r="AS81" s="364"/>
      <c r="AT81" s="364"/>
      <c r="AU81" s="364"/>
      <c r="AX81" s="336"/>
      <c r="AY81" s="336"/>
      <c r="AZ81" s="336"/>
      <c r="BA81" s="336"/>
      <c r="BB81" s="336"/>
      <c r="BC81" s="336"/>
      <c r="BD81" s="336"/>
      <c r="BE81" s="336"/>
      <c r="BF81" s="336"/>
      <c r="BG81" s="336"/>
      <c r="BH81" s="336"/>
      <c r="BI81" s="336"/>
      <c r="BJ81" s="336"/>
      <c r="BK81" s="336"/>
      <c r="BL81" s="336"/>
      <c r="BM81" s="336"/>
      <c r="BN81" s="336"/>
    </row>
    <row r="91" spans="1:66" s="361" customFormat="1" ht="16.5" customHeight="1" x14ac:dyDescent="0.25">
      <c r="G91" s="359"/>
      <c r="J91" s="417"/>
      <c r="K91" s="417"/>
      <c r="L91" s="417"/>
      <c r="M91" s="417"/>
      <c r="N91" s="363"/>
      <c r="O91" s="356"/>
      <c r="P91" s="419"/>
      <c r="Q91" s="362"/>
      <c r="R91" s="362"/>
      <c r="S91" s="422"/>
      <c r="T91" s="399"/>
      <c r="U91" s="452"/>
      <c r="V91" s="452"/>
      <c r="W91" s="452"/>
      <c r="X91" s="448"/>
      <c r="Y91" s="448"/>
      <c r="Z91" s="448"/>
      <c r="AA91" s="448"/>
      <c r="AB91" s="448"/>
      <c r="AC91" s="448"/>
      <c r="AD91" s="448"/>
      <c r="AE91" s="448"/>
      <c r="AF91" s="448"/>
      <c r="AG91" s="453"/>
      <c r="AK91" s="416"/>
      <c r="AL91" s="416"/>
      <c r="AM91" s="416"/>
      <c r="AN91" s="416"/>
      <c r="AO91" s="416"/>
      <c r="AP91" s="416"/>
      <c r="AS91" s="364"/>
      <c r="AT91" s="364"/>
      <c r="AU91" s="364"/>
      <c r="AV91" s="364"/>
    </row>
    <row r="92" spans="1:66" s="361" customFormat="1" ht="16.5" customHeight="1" x14ac:dyDescent="0.25">
      <c r="G92" s="359"/>
      <c r="J92" s="417"/>
      <c r="K92" s="417"/>
      <c r="L92" s="417"/>
      <c r="M92" s="417"/>
      <c r="N92" s="363"/>
      <c r="O92" s="356"/>
      <c r="P92" s="419"/>
      <c r="Q92" s="362"/>
      <c r="R92" s="362"/>
      <c r="S92" s="422"/>
      <c r="T92" s="399"/>
      <c r="U92" s="452"/>
      <c r="V92" s="452"/>
      <c r="W92" s="452"/>
      <c r="X92" s="448"/>
      <c r="Y92" s="448"/>
      <c r="Z92" s="448"/>
      <c r="AA92" s="448"/>
      <c r="AB92" s="448"/>
      <c r="AC92" s="448"/>
      <c r="AD92" s="448"/>
      <c r="AE92" s="448"/>
      <c r="AF92" s="448"/>
      <c r="AG92" s="453"/>
      <c r="AK92" s="416"/>
      <c r="AL92" s="416"/>
      <c r="AM92" s="416"/>
      <c r="AN92" s="416"/>
      <c r="AO92" s="416"/>
      <c r="AP92" s="416"/>
      <c r="AS92" s="364"/>
      <c r="AT92" s="364"/>
      <c r="AU92" s="364"/>
      <c r="AV92" s="364"/>
    </row>
    <row r="93" spans="1:66" s="351" customFormat="1" x14ac:dyDescent="0.25">
      <c r="A93" s="336"/>
      <c r="B93" s="336"/>
      <c r="C93" s="336"/>
      <c r="D93" s="336"/>
      <c r="E93" s="336"/>
      <c r="F93" s="336"/>
      <c r="G93" s="336"/>
      <c r="H93" s="336"/>
      <c r="I93" s="336"/>
      <c r="K93" s="399"/>
      <c r="L93" s="399"/>
      <c r="M93" s="399"/>
      <c r="N93" s="352"/>
      <c r="O93" s="364"/>
      <c r="P93" s="353"/>
      <c r="Q93" s="353"/>
      <c r="R93" s="353"/>
      <c r="S93" s="353"/>
      <c r="T93" s="399"/>
      <c r="AI93" s="336"/>
      <c r="AJ93" s="336"/>
      <c r="AK93" s="336"/>
      <c r="AL93" s="336"/>
      <c r="AM93" s="336"/>
      <c r="AN93" s="336"/>
      <c r="AO93" s="336"/>
      <c r="AP93" s="336"/>
      <c r="AQ93" s="336"/>
      <c r="AR93" s="336"/>
      <c r="AS93" s="364"/>
      <c r="AT93" s="364"/>
      <c r="AU93" s="364"/>
      <c r="AX93" s="336"/>
      <c r="AY93" s="336"/>
      <c r="AZ93" s="336"/>
      <c r="BA93" s="336"/>
      <c r="BB93" s="336"/>
      <c r="BC93" s="336"/>
      <c r="BD93" s="336"/>
      <c r="BE93" s="336"/>
      <c r="BF93" s="336"/>
      <c r="BG93" s="336"/>
      <c r="BH93" s="336"/>
      <c r="BI93" s="336"/>
      <c r="BJ93" s="336"/>
      <c r="BK93" s="336"/>
      <c r="BL93" s="336"/>
      <c r="BM93" s="336"/>
      <c r="BN93" s="336"/>
    </row>
    <row r="95" spans="1:66" ht="16.5" customHeight="1" x14ac:dyDescent="0.25">
      <c r="A95" s="454"/>
      <c r="B95" s="454"/>
    </row>
    <row r="96" spans="1:66" ht="16.5" customHeight="1" x14ac:dyDescent="0.25">
      <c r="A96" s="249" t="s">
        <v>78</v>
      </c>
      <c r="B96" s="250" t="s">
        <v>79</v>
      </c>
      <c r="C96" s="455" t="s">
        <v>3780</v>
      </c>
      <c r="D96" s="455"/>
      <c r="E96" s="455"/>
      <c r="F96" s="455"/>
      <c r="G96" s="455"/>
    </row>
    <row r="97" spans="1:51" x14ac:dyDescent="0.2">
      <c r="A97" s="257"/>
      <c r="B97" s="258" t="s">
        <v>6805</v>
      </c>
      <c r="C97" s="456" t="s">
        <v>3782</v>
      </c>
      <c r="D97" s="456" t="s">
        <v>3783</v>
      </c>
      <c r="E97" s="456" t="s">
        <v>3784</v>
      </c>
      <c r="F97" s="456" t="s">
        <v>3785</v>
      </c>
      <c r="G97" s="457" t="s">
        <v>39</v>
      </c>
    </row>
    <row r="98" spans="1:51" x14ac:dyDescent="0.25">
      <c r="A98" s="263"/>
      <c r="B98" s="264" t="s">
        <v>70</v>
      </c>
      <c r="C98" s="265">
        <f>SUMIFS($O$5:$O5,$H$5:$H5,$A$99,$I$5:$I5,$B98,$B$5:$B5,"&lt;=30")</f>
        <v>0</v>
      </c>
      <c r="D98" s="513">
        <f>SUMIFS($O$5:$O5,$H$5:$H5,$A$99,$I$5:$I5,$B98,$B$5:$B5,"&lt;=60")-C98</f>
        <v>0</v>
      </c>
      <c r="E98" s="513">
        <f>SUMIFS($O$5:$O5,$H$5:$H5,$A$99,$I$5:$I5,$B98,$B$5:$B5,"&lt;=90")-D98-C98</f>
        <v>0</v>
      </c>
      <c r="F98" s="513">
        <f>SUMIFS($O$5:$O5,$H$5:$H5,$A$99,$I$5:$I5,$B98,$B$5:$B5,"&gt;=91")</f>
        <v>0</v>
      </c>
      <c r="G98" s="266">
        <f t="shared" ref="G98:G131" si="5">SUM(C98:F98)</f>
        <v>0</v>
      </c>
    </row>
    <row r="99" spans="1:51" x14ac:dyDescent="0.25">
      <c r="A99" s="268">
        <v>201</v>
      </c>
      <c r="B99" s="30" t="s">
        <v>69</v>
      </c>
      <c r="C99" s="265">
        <f>SUMIFS($O$5:$O5,$H$5:$H5,$A$99,$I$5:$I5,$B99,$B$5:$B5,"&lt;=30")</f>
        <v>0</v>
      </c>
      <c r="D99" s="513">
        <f>SUMIFS($O$5:$O5,$H$5:$H5,$A$99,$I$5:$I5,$B99,$B$5:$B5,"&lt;=60")-C99</f>
        <v>0</v>
      </c>
      <c r="E99" s="513">
        <f>SUMIFS($O$5:$O5,$H$5:$H5,$A$99,$I$5:$I5,$B99,$B$5:$B5,"&lt;=90")-D99-C99</f>
        <v>0</v>
      </c>
      <c r="F99" s="513">
        <f>SUMIFS($O$5:$O5,$H$5:$H5,$A$99,$I$5:$I5,$B99,$B$5:$B5,"&gt;=91")</f>
        <v>0</v>
      </c>
      <c r="G99" s="266">
        <f t="shared" si="5"/>
        <v>0</v>
      </c>
    </row>
    <row r="100" spans="1:51" x14ac:dyDescent="0.25">
      <c r="A100" s="271"/>
      <c r="B100" s="272" t="s">
        <v>114</v>
      </c>
      <c r="C100" s="265">
        <f>SUMIFS($O$5:$O5,$H$5:$H5,$A$99,$I$5:$I5,$B100,$B$5:$B5,"&lt;=30")</f>
        <v>0</v>
      </c>
      <c r="D100" s="513">
        <f>SUMIFS($O$5:$O5,$H$5:$H5,$A$99,$I$5:$I5,$B100,$B$5:$B5,"&lt;=60")-C100</f>
        <v>0</v>
      </c>
      <c r="E100" s="513">
        <f>SUMIFS($O$5:$O5,$H$5:$H5,$A$99,$I$5:$I5,$B100,$B$5:$B5,"&lt;=90")-D100-C100</f>
        <v>0</v>
      </c>
      <c r="F100" s="513">
        <f>SUMIFS($O$5:$O5,$H$5:$H5,$A$99,$I$5:$I5,$B100,$B$5:$B5,"&gt;=91")</f>
        <v>0</v>
      </c>
      <c r="G100" s="266">
        <f t="shared" si="5"/>
        <v>0</v>
      </c>
    </row>
    <row r="101" spans="1:51" s="351" customFormat="1" ht="16.5" customHeight="1" x14ac:dyDescent="0.25">
      <c r="A101" s="274"/>
      <c r="B101" s="264" t="s">
        <v>70</v>
      </c>
      <c r="C101" s="265">
        <f>SUMIFS($O$5:$O5,$H$5:$H5,$A$102,$I$5:$I5,$B101,$B$5:$B5,"&lt;=30")</f>
        <v>0</v>
      </c>
      <c r="D101" s="513">
        <f>SUMIFS($O$5:$O5,$H$5:$H5,$A$102,$I$5:$I5,$B101,$B$5:$B5,"&lt;=60")-C101</f>
        <v>0</v>
      </c>
      <c r="E101" s="513">
        <f>SUMIFS($O$5:$O5,$H$5:$H5,$A$102,$I$5:$I5,$B101,$B$5:$B5,"&lt;=90")-D101-C101</f>
        <v>0</v>
      </c>
      <c r="F101" s="513">
        <f>SUMIFS($O$5:$O5,$H$5:$H5,$A$102,$I$5:$I5,$B101,$B$5:$B5,"&gt;=91")</f>
        <v>0</v>
      </c>
      <c r="G101" s="266">
        <f t="shared" si="5"/>
        <v>0</v>
      </c>
      <c r="H101" s="336"/>
      <c r="I101" s="336"/>
      <c r="K101" s="399"/>
      <c r="L101" s="399"/>
      <c r="M101" s="399"/>
      <c r="N101" s="352"/>
      <c r="O101" s="353"/>
      <c r="P101" s="353"/>
      <c r="Q101" s="353"/>
      <c r="R101" s="353"/>
      <c r="S101" s="353"/>
      <c r="T101" s="399"/>
      <c r="Y101" s="463"/>
      <c r="Z101" s="463"/>
      <c r="AA101" s="463"/>
      <c r="AI101" s="336"/>
      <c r="AJ101" s="336"/>
      <c r="AK101" s="336"/>
      <c r="AL101" s="336"/>
      <c r="AM101" s="336"/>
      <c r="AN101" s="336"/>
      <c r="AO101" s="336"/>
      <c r="AP101" s="336"/>
      <c r="AQ101" s="336"/>
      <c r="AR101" s="336"/>
      <c r="AS101" s="364"/>
      <c r="AT101" s="364"/>
      <c r="AU101" s="364"/>
      <c r="AX101" s="336"/>
      <c r="AY101" s="336"/>
    </row>
    <row r="102" spans="1:51" x14ac:dyDescent="0.25">
      <c r="A102" s="277" t="s">
        <v>32</v>
      </c>
      <c r="B102" s="30" t="s">
        <v>69</v>
      </c>
      <c r="C102" s="265">
        <f>SUMIFS($O$5:$O5,$H$5:$H5,$A$102,$I$5:$I5,$B102,$B$5:$B5,"&lt;=30")</f>
        <v>0</v>
      </c>
      <c r="D102" s="513">
        <f>SUMIFS($O$5:$O5,$H$5:$H5,$A$102,$I$5:$I5,$B102,$B$5:$B5,"&lt;=60")-C102</f>
        <v>0</v>
      </c>
      <c r="E102" s="513">
        <f>SUMIFS($O$5:$O5,$H$5:$H5,$A$102,$I$5:$I5,$B102,$B$5:$B5,"&lt;=90")-D102-C102</f>
        <v>0</v>
      </c>
      <c r="F102" s="513">
        <f>SUMIFS($O$5:$O5,$H$5:$H5,$A$102,$I$5:$I5,$B102,$B$5:$B5,"&gt;=91")</f>
        <v>0</v>
      </c>
      <c r="G102" s="266">
        <f t="shared" si="5"/>
        <v>0</v>
      </c>
      <c r="T102" s="362"/>
    </row>
    <row r="103" spans="1:51" x14ac:dyDescent="0.25">
      <c r="A103" s="277"/>
      <c r="B103" s="272" t="s">
        <v>114</v>
      </c>
      <c r="C103" s="265">
        <f>SUMIFS($O$5:$O5,$H$5:$H5,$A$102,$I$5:$I5,$B103,$B$5:$B5,"&lt;=30")</f>
        <v>0</v>
      </c>
      <c r="D103" s="513">
        <f>SUMIFS($O$5:$O5,$H$5:$H5,$A$102,$I$5:$I5,$B103,$B$5:$B5,"&lt;=60")-C103</f>
        <v>0</v>
      </c>
      <c r="E103" s="513">
        <f>SUMIFS($O$5:$O5,$H$5:$H5,$A$102,$I$5:$I5,$B103,$B$5:$B5,"&lt;=90")-D103-C103</f>
        <v>0</v>
      </c>
      <c r="F103" s="513">
        <f>SUMIFS($O$5:$O5,$H$5:$H5,$A$102,$I$5:$I5,$B103,$B$5:$B5,"&gt;=91")</f>
        <v>0</v>
      </c>
      <c r="G103" s="266">
        <f t="shared" si="5"/>
        <v>0</v>
      </c>
      <c r="T103" s="362"/>
    </row>
    <row r="104" spans="1:51" x14ac:dyDescent="0.25">
      <c r="A104" s="280"/>
      <c r="B104" s="264" t="s">
        <v>70</v>
      </c>
      <c r="C104" s="265">
        <f>SUMIFS($O$5:$O6,$H$5:$H6,$A$105,$I$5:$I6,$B104,$B$5:$B6,"&lt;=30")</f>
        <v>0</v>
      </c>
      <c r="D104" s="513">
        <f>SUMIFS($O$5:$O6,$H$5:$H6,$A$105,$I$5:$I6,$B104,$B$5:$B6,"&lt;=60")-C104</f>
        <v>0</v>
      </c>
      <c r="E104" s="513">
        <f>SUMIFS($O$5:$O6,$H$5:$H6,$A$105,$I$5:$I6,$B104,$B$5:$B6,"&lt;=90")-D104-C104</f>
        <v>0</v>
      </c>
      <c r="F104" s="513">
        <f>SUMIFS($O$5:$O6,$H$5:$H6,$A$105,$I$5:$I6,$B104,$B$5:$B6,"&gt;=91")</f>
        <v>0</v>
      </c>
      <c r="G104" s="266">
        <f t="shared" si="5"/>
        <v>0</v>
      </c>
    </row>
    <row r="105" spans="1:51" x14ac:dyDescent="0.25">
      <c r="A105" s="285" t="s">
        <v>33</v>
      </c>
      <c r="B105" s="30" t="s">
        <v>69</v>
      </c>
      <c r="C105" s="265">
        <f>SUMIFS($O$5:$O7,$H$5:$H7,$A$105,$I$5:$I7,$B105,$B$5:$B7,"&lt;=30")</f>
        <v>0</v>
      </c>
      <c r="D105" s="513">
        <f>SUMIFS($O$5:$O7,$H$5:$H7,$A$105,$I$5:$I7,$B105,$B$5:$B7,"&lt;=60")-C105</f>
        <v>0</v>
      </c>
      <c r="E105" s="513">
        <f>SUMIFS($O$5:$O7,$H$5:$H7,$A$105,$I$5:$I7,$B105,$B$5:$B7,"&lt;=90")-D105-C105</f>
        <v>0</v>
      </c>
      <c r="F105" s="513">
        <f>SUMIFS($O$5:$O7,$H$5:$H7,$A$105,$I$5:$I7,$B105,$B$5:$B7,"&gt;=91")</f>
        <v>0</v>
      </c>
      <c r="G105" s="266">
        <f t="shared" si="5"/>
        <v>0</v>
      </c>
    </row>
    <row r="106" spans="1:51" x14ac:dyDescent="0.25">
      <c r="A106" s="285"/>
      <c r="B106" s="272" t="s">
        <v>114</v>
      </c>
      <c r="C106" s="265">
        <f>SUMIFS($O$5:$O39,$H$5:$H39,$A$105,$I$5:$I39,$B106,$B$5:$B39,"&lt;=30")</f>
        <v>0</v>
      </c>
      <c r="D106" s="513">
        <f>SUMIFS($O$5:$O39,$H$5:$H39,$A$105,$I$5:$I39,$B106,$B$5:$B39,"&lt;=60")-C106</f>
        <v>0</v>
      </c>
      <c r="E106" s="513">
        <f>SUMIFS($O$5:$O39,$H$5:$H39,$A$105,$I$5:$I39,$B106,$B$5:$B39,"&lt;=90")-D106-C106</f>
        <v>0</v>
      </c>
      <c r="F106" s="513">
        <f>SUMIFS($O$5:$O39,$H$5:$H39,$A$105,$I$5:$I39,$B106,$B$5:$B39,"&gt;=91")</f>
        <v>0</v>
      </c>
      <c r="G106" s="266">
        <f t="shared" si="5"/>
        <v>0</v>
      </c>
    </row>
    <row r="107" spans="1:51" x14ac:dyDescent="0.25">
      <c r="A107" s="291"/>
      <c r="B107" s="264" t="s">
        <v>70</v>
      </c>
      <c r="C107" s="265">
        <f>SUMIFS($O$5:$O39,$H$5:$H39,$A$108,$I$5:$I39,$B107,$B$5:$B39,"&lt;=30")</f>
        <v>0</v>
      </c>
      <c r="D107" s="513">
        <f>SUMIFS($O$5:$O39,$H$5:$H39,$A$108,$I$5:$I39,$B107,$B$5:$B39,"&lt;=60")-C107</f>
        <v>0</v>
      </c>
      <c r="E107" s="513">
        <f>SUMIFS($O$5:$O39,$H$5:$H39,$A$108,$I$5:$I39,$B107,$B$5:$B39,"&lt;=90")-D107-C107</f>
        <v>0</v>
      </c>
      <c r="F107" s="513">
        <f>SUMIFS($O$5:$O39,$H$5:$H39,$A$108,$I$5:$I39,$B107,$B$5:$B39,"&gt;=91")</f>
        <v>0</v>
      </c>
      <c r="G107" s="266">
        <f t="shared" si="5"/>
        <v>0</v>
      </c>
    </row>
    <row r="108" spans="1:51" ht="16.5" customHeight="1" x14ac:dyDescent="0.25">
      <c r="A108" s="293" t="s">
        <v>34</v>
      </c>
      <c r="B108" s="30" t="s">
        <v>69</v>
      </c>
      <c r="C108" s="265">
        <f>SUMIFS($O$5:$O40,$H$5:$H40,$A$108,$I$5:$I40,$B108,$B$5:$B40,"&lt;=30")</f>
        <v>0</v>
      </c>
      <c r="D108" s="513">
        <f>SUMIFS($O$5:$O40,$H$5:$H40,$A$108,$I$5:$I40,$B108,$B$5:$B40,"&lt;=60")-C108</f>
        <v>0</v>
      </c>
      <c r="E108" s="513">
        <f>SUMIFS($O$5:$O40,$H$5:$H40,$A$108,$I$5:$I40,$B108,$B$5:$B40,"&lt;=90")-D108-C108</f>
        <v>0</v>
      </c>
      <c r="F108" s="513">
        <f>SUMIFS($O$5:$O40,$H$5:$H40,$A$108,$I$5:$I40,$B108,$B$5:$B40,"&gt;=91")</f>
        <v>0</v>
      </c>
      <c r="G108" s="266">
        <f t="shared" si="5"/>
        <v>0</v>
      </c>
      <c r="O108" s="451"/>
      <c r="T108" s="362"/>
    </row>
    <row r="109" spans="1:51" ht="16.5" customHeight="1" x14ac:dyDescent="0.25">
      <c r="A109" s="293"/>
      <c r="B109" s="272" t="s">
        <v>114</v>
      </c>
      <c r="C109" s="265">
        <f>SUMIFS($O$5:$O41,$H$5:$H41,$A$108,$I$5:$I41,$B109,$B$5:$B41,"&lt;=30")</f>
        <v>0</v>
      </c>
      <c r="D109" s="513">
        <f>SUMIFS($O$5:$O41,$H$5:$H41,$A$108,$I$5:$I41,$B109,$B$5:$B41,"&lt;=60")-C109</f>
        <v>0</v>
      </c>
      <c r="E109" s="513">
        <f>SUMIFS($O$5:$O41,$H$5:$H41,$A$108,$I$5:$I41,$B109,$B$5:$B41,"&lt;=90")-D109-C109</f>
        <v>0</v>
      </c>
      <c r="F109" s="513">
        <f>SUMIFS($O$5:$O41,$H$5:$H41,$A$108,$I$5:$I41,$B109,$B$5:$B41,"&gt;=91")</f>
        <v>0</v>
      </c>
      <c r="G109" s="266">
        <f t="shared" si="5"/>
        <v>0</v>
      </c>
    </row>
    <row r="110" spans="1:51" s="351" customFormat="1" ht="16.5" customHeight="1" x14ac:dyDescent="0.25">
      <c r="A110" s="296"/>
      <c r="B110" s="264" t="s">
        <v>70</v>
      </c>
      <c r="C110" s="265">
        <f>SUMIFS($O$5:$O42,$H$5:$H42,$A$111,$I$5:$I42,$B110,$B$5:$B42,"&lt;=30")</f>
        <v>0</v>
      </c>
      <c r="D110" s="513">
        <f>SUMIFS($O$5:$O42,$H$5:$H42,$A$111,$I$5:$I42,$B110,$B$5:$B42,"&lt;=60")-C110</f>
        <v>0</v>
      </c>
      <c r="E110" s="513">
        <f>SUMIFS($O$5:$O42,$H$5:$H42,$A$111,$I$5:$I42,$B110,$B$5:$B42,"&lt;=90")-D110-C110</f>
        <v>0</v>
      </c>
      <c r="F110" s="513">
        <f>SUMIFS($O$5:$O42,$H$5:$H42,$A$111,$I$5:$I42,$B110,$B$5:$B42,"&gt;=91")</f>
        <v>0</v>
      </c>
      <c r="G110" s="266">
        <f t="shared" si="5"/>
        <v>0</v>
      </c>
      <c r="H110" s="336"/>
      <c r="I110" s="336"/>
      <c r="K110" s="399"/>
      <c r="L110" s="399"/>
      <c r="M110" s="399"/>
      <c r="N110" s="352"/>
      <c r="O110" s="353"/>
      <c r="P110" s="353"/>
      <c r="Q110" s="353"/>
      <c r="R110" s="353"/>
      <c r="S110" s="353"/>
      <c r="T110" s="399"/>
      <c r="Y110" s="463"/>
      <c r="Z110" s="463"/>
      <c r="AA110" s="463"/>
      <c r="AI110" s="336"/>
      <c r="AJ110" s="336"/>
      <c r="AK110" s="336"/>
      <c r="AL110" s="336"/>
      <c r="AM110" s="336"/>
      <c r="AN110" s="336"/>
      <c r="AO110" s="336"/>
      <c r="AP110" s="336"/>
      <c r="AQ110" s="336"/>
      <c r="AR110" s="336"/>
      <c r="AS110" s="364"/>
      <c r="AT110" s="364"/>
      <c r="AU110" s="364"/>
      <c r="AX110" s="336"/>
      <c r="AY110" s="336"/>
    </row>
    <row r="111" spans="1:51" x14ac:dyDescent="0.25">
      <c r="A111" s="302" t="s">
        <v>35</v>
      </c>
      <c r="B111" s="30" t="s">
        <v>69</v>
      </c>
      <c r="C111" s="265">
        <f>SUMIFS($O$5:$O43,$H$5:$H43,$A$111,$I$5:$I43,$B111,$B$5:$B43,"&lt;=30")</f>
        <v>0</v>
      </c>
      <c r="D111" s="513">
        <f>SUMIFS($O$5:$O43,$H$5:$H43,$A$111,$I$5:$I43,$B111,$B$5:$B43,"&lt;=60")-C111</f>
        <v>0</v>
      </c>
      <c r="E111" s="513">
        <f>SUMIFS($O$5:$O43,$H$5:$H43,$A$111,$I$5:$I43,$B111,$B$5:$B43,"&lt;=90")-D111-C111</f>
        <v>0</v>
      </c>
      <c r="F111" s="513">
        <f>SUMIFS($O$5:$O43,$H$5:$H43,$A$111,$I$5:$I43,$B111,$B$5:$B43,"&gt;=91")</f>
        <v>0</v>
      </c>
      <c r="G111" s="266">
        <f t="shared" si="5"/>
        <v>0</v>
      </c>
      <c r="T111" s="362"/>
    </row>
    <row r="112" spans="1:51" x14ac:dyDescent="0.25">
      <c r="A112" s="302"/>
      <c r="B112" s="272" t="s">
        <v>114</v>
      </c>
      <c r="C112" s="265">
        <f>SUMIFS($O$5:$O43,$H$5:$H43,$A$111,$I$5:$I43,$B112,$B$5:$B43,"&lt;=30")</f>
        <v>0</v>
      </c>
      <c r="D112" s="513">
        <f>SUMIFS($O$5:$O43,$H$5:$H43,$A$111,$I$5:$I43,$B112,$B$5:$B43,"&lt;=60")-C112</f>
        <v>0</v>
      </c>
      <c r="E112" s="513">
        <f>SUMIFS($O$5:$O43,$H$5:$H43,$A$111,$I$5:$I43,$B112,$B$5:$B43,"&lt;=90")-D112-C112</f>
        <v>0</v>
      </c>
      <c r="F112" s="513">
        <f>SUMIFS($O$5:$O43,$H$5:$H43,$A$111,$I$5:$I43,$B112,$B$5:$B43,"&gt;=91")</f>
        <v>0</v>
      </c>
      <c r="G112" s="266">
        <f t="shared" si="5"/>
        <v>0</v>
      </c>
    </row>
    <row r="113" spans="1:52" s="361" customFormat="1" ht="16.5" customHeight="1" x14ac:dyDescent="0.25">
      <c r="A113" s="307"/>
      <c r="B113" s="264" t="s">
        <v>70</v>
      </c>
      <c r="C113" s="265">
        <f>SUMIFS($O$5:$O44,$H$5:$H44,$A$114,$I$5:$I44,$B113,$B$5:$B44,"&lt;=30")</f>
        <v>0</v>
      </c>
      <c r="D113" s="513">
        <f>SUMIFS($O$5:$O44,$H$5:$H44,$A$114,$I$5:$I44,$B113,$B$5:$B44,"&lt;=60")-C113</f>
        <v>0</v>
      </c>
      <c r="E113" s="513">
        <f>SUMIFS($O$5:$O44,$H$5:$H44,$A$114,$I$5:$I44,$B113,$B$5:$B44,"&lt;=90")-D113-C113</f>
        <v>0</v>
      </c>
      <c r="F113" s="513">
        <f>SUMIFS($O$5:$O44,$H$5:$H44,$A$114,$I$5:$I44,$B113,$B$5:$B44,"&gt;=91")</f>
        <v>0</v>
      </c>
      <c r="G113" s="266">
        <f t="shared" si="5"/>
        <v>0</v>
      </c>
      <c r="J113" s="417"/>
      <c r="K113" s="417"/>
      <c r="L113" s="417"/>
      <c r="M113" s="417"/>
      <c r="N113" s="363"/>
      <c r="O113" s="451"/>
      <c r="P113" s="419"/>
      <c r="Q113" s="362"/>
      <c r="R113" s="362"/>
      <c r="S113" s="422"/>
      <c r="T113" s="399"/>
      <c r="U113" s="452"/>
      <c r="V113" s="452"/>
      <c r="W113" s="45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453"/>
      <c r="AK113" s="416"/>
      <c r="AL113" s="416"/>
      <c r="AM113" s="416"/>
      <c r="AN113" s="416"/>
      <c r="AO113" s="416"/>
      <c r="AP113" s="416"/>
      <c r="AS113" s="364"/>
      <c r="AT113" s="364"/>
      <c r="AU113" s="364"/>
      <c r="AV113" s="364"/>
    </row>
    <row r="114" spans="1:52" s="361" customFormat="1" ht="18" customHeight="1" x14ac:dyDescent="0.25">
      <c r="A114" s="308">
        <v>304</v>
      </c>
      <c r="B114" s="30" t="s">
        <v>69</v>
      </c>
      <c r="C114" s="265">
        <f>SUMIFS($O$5:$O45,$H$5:$H45,$A$114,$I$5:$I45,$B114,$B$5:$B45,"&lt;=30")</f>
        <v>0</v>
      </c>
      <c r="D114" s="513">
        <f>SUMIFS($O$5:$O45,$H$5:$H45,$A$114,$I$5:$I45,$B114,$B$5:$B45,"&lt;=60")-C114</f>
        <v>0</v>
      </c>
      <c r="E114" s="513">
        <f>SUMIFS($O$5:$O45,$H$5:$H45,$A$114,$I$5:$I45,$B114,$B$5:$B45,"&lt;=90")-D114-C114</f>
        <v>0</v>
      </c>
      <c r="F114" s="513">
        <f>SUMIFS($O$5:$O45,$H$5:$H45,$A$114,$I$5:$I45,$B114,$B$5:$B45,"&gt;=91")</f>
        <v>0</v>
      </c>
      <c r="G114" s="266">
        <f t="shared" si="5"/>
        <v>0</v>
      </c>
      <c r="J114" s="417"/>
      <c r="K114" s="417"/>
      <c r="L114" s="417"/>
      <c r="M114" s="417"/>
      <c r="N114" s="363"/>
      <c r="O114" s="356"/>
      <c r="P114" s="364"/>
      <c r="Q114" s="419"/>
      <c r="R114" s="419"/>
      <c r="S114" s="419"/>
      <c r="T114" s="399"/>
      <c r="U114" s="214"/>
      <c r="V114" s="446"/>
      <c r="W114" s="447"/>
      <c r="X114" s="448"/>
      <c r="Y114" s="448"/>
      <c r="Z114" s="448"/>
      <c r="AA114" s="448"/>
      <c r="AB114" s="448"/>
      <c r="AC114" s="448"/>
      <c r="AD114" s="448"/>
      <c r="AE114" s="448"/>
      <c r="AF114" s="448"/>
      <c r="AH114" s="449"/>
      <c r="AK114" s="416"/>
      <c r="AL114" s="416"/>
      <c r="AM114" s="445"/>
      <c r="AN114" s="450"/>
      <c r="AO114" s="450"/>
      <c r="AP114" s="450"/>
      <c r="AS114" s="364"/>
      <c r="AT114" s="364"/>
      <c r="AU114" s="364"/>
      <c r="AV114" s="417"/>
      <c r="AW114" s="363"/>
      <c r="AX114" s="363"/>
      <c r="AY114" s="363"/>
      <c r="AZ114" s="417"/>
    </row>
    <row r="115" spans="1:52" x14ac:dyDescent="0.25">
      <c r="A115" s="308"/>
      <c r="B115" s="272" t="s">
        <v>114</v>
      </c>
      <c r="C115" s="265">
        <f ca="1">SUMIFS($O$5:$O46,$H$5:$H46,$A$114,$I$5:$I46,$B115,$B$5:$B46,"&lt;=30")</f>
        <v>0</v>
      </c>
      <c r="D115" s="513">
        <f ca="1">SUMIFS($O$5:$O46,$H$5:$H46,$A$114,$I$5:$I46,$B115,$B$5:$B46,"&lt;=60")-C115</f>
        <v>0</v>
      </c>
      <c r="E115" s="513">
        <f ca="1">SUMIFS($O$5:$O46,$H$5:$H46,$A$114,$I$5:$I46,$B115,$B$5:$B46,"&lt;=90")-D115-C115</f>
        <v>0</v>
      </c>
      <c r="F115" s="513">
        <f ca="1">SUMIFS($O$5:$O46,$H$5:$H46,$A$114,$I$5:$I46,$B115,$B$5:$B46,"&gt;=91")</f>
        <v>7.8E-2</v>
      </c>
      <c r="G115" s="266">
        <f t="shared" ca="1" si="5"/>
        <v>7.8E-2</v>
      </c>
    </row>
    <row r="116" spans="1:52" s="361" customFormat="1" ht="16.5" customHeight="1" x14ac:dyDescent="0.25">
      <c r="A116" s="465"/>
      <c r="B116" s="264" t="s">
        <v>70</v>
      </c>
      <c r="C116" s="265">
        <f>SUMIFS($O$5:$O47,$H$5:$H47,$A$117,$I$5:$I47,$B116,$B$5:$B47,"&lt;=30")</f>
        <v>0</v>
      </c>
      <c r="D116" s="513">
        <f>SUMIFS($O$5:$O47,$H$5:$H47,$A$117,$I$5:$I47,$B116,$B$5:$B47,"&lt;=60")-C116</f>
        <v>0</v>
      </c>
      <c r="E116" s="513">
        <f>SUMIFS($O$5:$O47,$H$5:$H47,$A$117,$I$5:$I47,$B116,$B$5:$B47,"&lt;=90")-D116-C116</f>
        <v>0</v>
      </c>
      <c r="F116" s="513">
        <f>SUMIFS($O$5:$O47,$H$5:$H47,$A$117,$I$5:$I47,$B116,$B$5:$B47,"&gt;=91")</f>
        <v>0</v>
      </c>
      <c r="G116" s="266">
        <f t="shared" si="5"/>
        <v>0</v>
      </c>
      <c r="J116" s="417"/>
      <c r="K116" s="417"/>
      <c r="L116" s="417"/>
      <c r="M116" s="417"/>
      <c r="N116" s="363"/>
      <c r="O116" s="451"/>
      <c r="P116" s="419"/>
      <c r="Q116" s="362"/>
      <c r="R116" s="362"/>
      <c r="S116" s="422"/>
      <c r="T116" s="399"/>
      <c r="U116" s="452"/>
      <c r="V116" s="452"/>
      <c r="W116" s="45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453"/>
      <c r="AK116" s="416"/>
      <c r="AL116" s="416"/>
      <c r="AM116" s="416"/>
      <c r="AN116" s="416"/>
      <c r="AO116" s="416"/>
      <c r="AP116" s="416"/>
      <c r="AS116" s="364"/>
      <c r="AT116" s="364"/>
      <c r="AU116" s="364"/>
      <c r="AV116" s="364"/>
    </row>
    <row r="117" spans="1:52" s="361" customFormat="1" ht="18" customHeight="1" x14ac:dyDescent="0.25">
      <c r="A117" s="466" t="s">
        <v>614</v>
      </c>
      <c r="B117" s="30" t="s">
        <v>69</v>
      </c>
      <c r="C117" s="265">
        <f>SUMIFS($O$5:$O48,$H$5:$H48,$A$117,$I$5:$I48,$B117,$B$5:$B48,"&lt;=30")</f>
        <v>0</v>
      </c>
      <c r="D117" s="513">
        <f>SUMIFS($O$5:$O48,$H$5:$H48,$A$117,$I$5:$I48,$B117,$B$5:$B48,"&lt;=60")-C117</f>
        <v>0</v>
      </c>
      <c r="E117" s="513">
        <f>SUMIFS($O$5:$O48,$H$5:$H48,$A$117,$I$5:$I48,$B117,$B$5:$B48,"&lt;=90")-D117-C117</f>
        <v>0</v>
      </c>
      <c r="F117" s="513">
        <f>SUMIFS($O$5:$O48,$H$5:$H48,$A$117,$I$5:$I48,$B117,$B$5:$B48,"&gt;=91")</f>
        <v>0</v>
      </c>
      <c r="G117" s="266">
        <f t="shared" si="5"/>
        <v>0</v>
      </c>
      <c r="J117" s="417"/>
      <c r="K117" s="417"/>
      <c r="L117" s="417"/>
      <c r="M117" s="417"/>
      <c r="N117" s="363"/>
      <c r="O117" s="356"/>
      <c r="P117" s="364"/>
      <c r="Q117" s="419"/>
      <c r="R117" s="419"/>
      <c r="S117" s="419"/>
      <c r="T117" s="399"/>
      <c r="U117" s="214"/>
      <c r="V117" s="446"/>
      <c r="W117" s="447"/>
      <c r="X117" s="448"/>
      <c r="Y117" s="448"/>
      <c r="Z117" s="448"/>
      <c r="AA117" s="448"/>
      <c r="AB117" s="448"/>
      <c r="AC117" s="448"/>
      <c r="AD117" s="448"/>
      <c r="AE117" s="448"/>
      <c r="AF117" s="448"/>
      <c r="AH117" s="449"/>
      <c r="AK117" s="416"/>
      <c r="AL117" s="416"/>
      <c r="AM117" s="445"/>
      <c r="AN117" s="450"/>
      <c r="AO117" s="450"/>
      <c r="AP117" s="450"/>
      <c r="AS117" s="364"/>
      <c r="AT117" s="364"/>
      <c r="AU117" s="364"/>
      <c r="AV117" s="417"/>
      <c r="AW117" s="363"/>
      <c r="AX117" s="363"/>
      <c r="AY117" s="363"/>
      <c r="AZ117" s="417"/>
    </row>
    <row r="118" spans="1:52" x14ac:dyDescent="0.25">
      <c r="A118" s="466"/>
      <c r="B118" s="272" t="s">
        <v>114</v>
      </c>
      <c r="C118" s="265">
        <f>SUMIFS($O$5:$O49,$H$5:$H49,$A$117,$I$5:$I49,$B118,$B$5:$B49,"&lt;=30")</f>
        <v>0</v>
      </c>
      <c r="D118" s="513">
        <f>SUMIFS($O$5:$O49,$H$5:$H49,$A$117,$I$5:$I49,$B118,$B$5:$B49,"&lt;=60")-C118</f>
        <v>0</v>
      </c>
      <c r="E118" s="513">
        <f>SUMIFS($O$5:$O49,$H$5:$H49,$A$117,$I$5:$I49,$B118,$B$5:$B49,"&lt;=90")-D118-C118</f>
        <v>0</v>
      </c>
      <c r="F118" s="513">
        <f>SUMIFS($O$5:$O49,$H$5:$H49,$A$117,$I$5:$I49,$B118,$B$5:$B49,"&gt;=91")</f>
        <v>0</v>
      </c>
      <c r="G118" s="266">
        <f t="shared" si="5"/>
        <v>0</v>
      </c>
    </row>
    <row r="119" spans="1:52" x14ac:dyDescent="0.25">
      <c r="A119" s="309"/>
      <c r="B119" s="264" t="s">
        <v>70</v>
      </c>
      <c r="C119" s="265">
        <f>SUMIFS($O$5:$O47,$H$5:$H47,$A$120,$I$5:$I47,$B119,$B$5:$B47,"&lt;=30")</f>
        <v>0</v>
      </c>
      <c r="D119" s="513">
        <f>SUMIFS($O$5:$O47,$H$5:$H47,$A$120,$I$5:$I47,$B119,$B$5:$B47,"&lt;=60")-C119</f>
        <v>0</v>
      </c>
      <c r="E119" s="513">
        <f>SUMIFS($O$5:$O47,$H$5:$H47,$A$120,$I$5:$I47,$B119,$B$5:$B47,"&lt;=90")-D119-C119</f>
        <v>0</v>
      </c>
      <c r="F119" s="513">
        <f>SUMIFS($O$5:$O47,$H$5:$H47,$A$120,$I$5:$I47,$B119,$B$5:$B47,"&gt;=91")</f>
        <v>0</v>
      </c>
      <c r="G119" s="266">
        <f t="shared" si="5"/>
        <v>0</v>
      </c>
    </row>
    <row r="120" spans="1:52" x14ac:dyDescent="0.25">
      <c r="A120" s="312" t="s">
        <v>182</v>
      </c>
      <c r="B120" s="30" t="s">
        <v>69</v>
      </c>
      <c r="C120" s="265">
        <f>SUMIFS($O$5:$O48,$H$5:$H48,$A$120,$I$5:$I48,$B120,$B$5:$B48,"&lt;=30")</f>
        <v>0</v>
      </c>
      <c r="D120" s="513">
        <f>SUMIFS($O$5:$O48,$H$5:$H48,$A$120,$I$5:$I48,$B120,$B$5:$B48,"&lt;=60")-C120</f>
        <v>0</v>
      </c>
      <c r="E120" s="513">
        <f>SUMIFS($O$5:$O48,$H$5:$H48,$A$120,$I$5:$I48,$B120,$B$5:$B48,"&lt;=90")-D120-C120</f>
        <v>0</v>
      </c>
      <c r="F120" s="513">
        <f>SUMIFS($O$5:$O48,$H$5:$H48,$A$120,$I$5:$I48,$B120,$B$5:$B48,"&gt;=91")</f>
        <v>0</v>
      </c>
      <c r="G120" s="266">
        <f t="shared" si="5"/>
        <v>0</v>
      </c>
    </row>
    <row r="121" spans="1:52" x14ac:dyDescent="0.25">
      <c r="A121" s="312"/>
      <c r="B121" s="272" t="s">
        <v>114</v>
      </c>
      <c r="C121" s="265">
        <f ca="1">SUMIFS($O$5:$O49,$H$5:$H49,$A$120,$I$5:$I49,$B121,$B$5:$B49,"&lt;=30")</f>
        <v>0</v>
      </c>
      <c r="D121" s="513">
        <f ca="1">SUMIFS($O$5:$O49,$H$5:$H49,$A$120,$I$5:$I49,$B121,$B$5:$B49,"&lt;=60")-C121</f>
        <v>0</v>
      </c>
      <c r="E121" s="513">
        <f ca="1">SUMIFS($O$5:$O49,$H$5:$H49,$A$120,$I$5:$I49,$B121,$B$5:$B49,"&lt;=90")-D121-C121</f>
        <v>0</v>
      </c>
      <c r="F121" s="513">
        <f ca="1">SUMIFS($O$5:$O49,$H$5:$H49,$A$120,$I$5:$I49,$B121,$B$5:$B49,"&gt;=91")</f>
        <v>0.25</v>
      </c>
      <c r="G121" s="266">
        <f t="shared" ca="1" si="5"/>
        <v>0.25</v>
      </c>
    </row>
    <row r="122" spans="1:52" s="361" customFormat="1" ht="16.5" customHeight="1" x14ac:dyDescent="0.25">
      <c r="A122" s="313"/>
      <c r="B122" s="264" t="s">
        <v>70</v>
      </c>
      <c r="C122" s="265">
        <f>SUMIFS($O$5:$O50,$H$5:$H50,$A$123,$I$5:$I50,$B122,$B$5:$B50,"&lt;=30")</f>
        <v>0</v>
      </c>
      <c r="D122" s="513">
        <f>SUMIFS($O$5:$O50,$H$5:$H50,$A$123,$I$5:$I50,$B122,$B$5:$B50,"&lt;=60")-C122</f>
        <v>0</v>
      </c>
      <c r="E122" s="513">
        <f>SUMIFS($O$5:$O50,$H$5:$H50,$A$123,$I$5:$I50,$B122,$B$5:$B50,"&lt;=90")-D122-C122</f>
        <v>0</v>
      </c>
      <c r="F122" s="513">
        <f>SUMIFS($O$5:$O50,$H$5:$H50,$A$123,$I$5:$I50,$B122,$B$5:$B50,"&gt;=91")</f>
        <v>0</v>
      </c>
      <c r="G122" s="266">
        <f t="shared" si="5"/>
        <v>0</v>
      </c>
      <c r="J122" s="417"/>
      <c r="K122" s="417"/>
      <c r="L122" s="417"/>
      <c r="M122" s="417"/>
      <c r="N122" s="363"/>
      <c r="O122" s="451"/>
      <c r="P122" s="419"/>
      <c r="Q122" s="362"/>
      <c r="R122" s="362"/>
      <c r="S122" s="422"/>
      <c r="T122" s="399"/>
      <c r="U122" s="452"/>
      <c r="V122" s="452"/>
      <c r="W122" s="45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453"/>
      <c r="AK122" s="416"/>
      <c r="AL122" s="416"/>
      <c r="AM122" s="416"/>
      <c r="AN122" s="416"/>
      <c r="AO122" s="416"/>
      <c r="AP122" s="416"/>
      <c r="AS122" s="364"/>
      <c r="AT122" s="364"/>
      <c r="AU122" s="364"/>
      <c r="AV122" s="364"/>
    </row>
    <row r="123" spans="1:52" x14ac:dyDescent="0.25">
      <c r="A123" s="314" t="s">
        <v>135</v>
      </c>
      <c r="B123" s="30" t="s">
        <v>69</v>
      </c>
      <c r="C123" s="265">
        <f>SUMIFS($O$5:$O51,$H$5:$H51,$A$123,$I$5:$I51,$B123,$B$5:$B51,"&lt;=30")</f>
        <v>0</v>
      </c>
      <c r="D123" s="513">
        <f>SUMIFS($O$5:$O51,$H$5:$H51,$A$123,$I$5:$I51,$B123,$B$5:$B51,"&lt;=60")-C123</f>
        <v>0</v>
      </c>
      <c r="E123" s="513">
        <f>SUMIFS($O$5:$O51,$H$5:$H51,$A$123,$I$5:$I51,$B123,$B$5:$B51,"&lt;=90")-D123-C123</f>
        <v>0</v>
      </c>
      <c r="F123" s="513">
        <f>SUMIFS($O$5:$O51,$H$5:$H51,$A$123,$I$5:$I51,$B123,$B$5:$B51,"&gt;=91")</f>
        <v>0</v>
      </c>
      <c r="G123" s="266">
        <f t="shared" si="5"/>
        <v>0</v>
      </c>
    </row>
    <row r="124" spans="1:52" x14ac:dyDescent="0.25">
      <c r="A124" s="314"/>
      <c r="B124" s="272" t="s">
        <v>114</v>
      </c>
      <c r="C124" s="265">
        <f>SUMIFS($O$5:$O52,$H$5:$H52,$A$123,$I$5:$I52,$B124,$B$5:$B52,"&lt;=30")</f>
        <v>0</v>
      </c>
      <c r="D124" s="513">
        <f>SUMIFS($O$5:$O52,$H$5:$H52,$A$123,$I$5:$I52,$B124,$B$5:$B52,"&lt;=60")-C124</f>
        <v>0</v>
      </c>
      <c r="E124" s="513">
        <f>SUMIFS($O$5:$O52,$H$5:$H52,$A$123,$I$5:$I52,$B124,$B$5:$B52,"&lt;=90")-D124-C124</f>
        <v>0</v>
      </c>
      <c r="F124" s="513">
        <f>SUMIFS($O$5:$O52,$H$5:$H52,$A$123,$I$5:$I52,$B124,$B$5:$B52,"&gt;=91")</f>
        <v>0</v>
      </c>
      <c r="G124" s="266">
        <f t="shared" si="5"/>
        <v>0</v>
      </c>
      <c r="O124" s="364"/>
    </row>
    <row r="125" spans="1:52" s="361" customFormat="1" ht="16.5" customHeight="1" x14ac:dyDescent="0.25">
      <c r="A125" s="316"/>
      <c r="B125" s="264" t="s">
        <v>70</v>
      </c>
      <c r="C125" s="265">
        <f>SUMIFS($O$5:$O53,$H$5:$H53,$A$126,$I$5:$I53,$B125,$B$5:$B53,"&lt;=30")</f>
        <v>0</v>
      </c>
      <c r="D125" s="513">
        <f>SUMIFS($O$5:$O53,$H$5:$H53,$A$126,$I$5:$I53,$B125,$B$5:$B53,"&lt;=60")-C125</f>
        <v>0</v>
      </c>
      <c r="E125" s="513">
        <f>SUMIFS($O$5:$O53,$H$5:$H53,$A$126,$I$5:$I53,$B125,$B$5:$B53,"&lt;=90")-D125-C125</f>
        <v>0</v>
      </c>
      <c r="F125" s="513">
        <f>SUMIFS($O$5:$O53,$H$5:$H53,$A$126,$I$5:$I53,$B125,$B$5:$B53,"&gt;=91")</f>
        <v>0</v>
      </c>
      <c r="G125" s="266">
        <f t="shared" si="5"/>
        <v>0</v>
      </c>
      <c r="J125" s="417"/>
      <c r="K125" s="417"/>
      <c r="L125" s="417"/>
      <c r="M125" s="417"/>
      <c r="N125" s="363"/>
      <c r="O125" s="356"/>
      <c r="P125" s="419"/>
      <c r="Q125" s="362"/>
      <c r="R125" s="362"/>
      <c r="S125" s="422"/>
      <c r="T125" s="399"/>
      <c r="U125" s="452"/>
      <c r="V125" s="452"/>
      <c r="W125" s="45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453"/>
      <c r="AK125" s="416"/>
      <c r="AL125" s="416"/>
      <c r="AM125" s="416"/>
      <c r="AN125" s="416"/>
      <c r="AO125" s="416"/>
      <c r="AP125" s="416"/>
      <c r="AS125" s="364"/>
      <c r="AT125" s="364"/>
      <c r="AU125" s="364"/>
      <c r="AV125" s="364"/>
    </row>
    <row r="126" spans="1:52" x14ac:dyDescent="0.25">
      <c r="A126" s="317">
        <v>430</v>
      </c>
      <c r="B126" s="30" t="s">
        <v>69</v>
      </c>
      <c r="C126" s="265">
        <f>SUMIFS($O$5:$O54,$H$5:$H54,$A$126,$I$5:$I54,$B126,$B$5:$B54,"&lt;=30")</f>
        <v>0</v>
      </c>
      <c r="D126" s="513">
        <f>SUMIFS($O$5:$O54,$H$5:$H54,$A$126,$I$5:$I54,$B126,$B$5:$B54,"&lt;=60")-C126</f>
        <v>0</v>
      </c>
      <c r="E126" s="513">
        <f>SUMIFS($O$5:$O54,$H$5:$H54,$A$126,$I$5:$I54,$B126,$B$5:$B54,"&lt;=90")-D126-C126</f>
        <v>0</v>
      </c>
      <c r="F126" s="513">
        <f>SUMIFS($O$5:$O54,$H$5:$H54,$A$126,$I$5:$I54,$B126,$B$5:$B54,"&gt;=91")</f>
        <v>0</v>
      </c>
      <c r="G126" s="266">
        <f t="shared" si="5"/>
        <v>0</v>
      </c>
    </row>
    <row r="127" spans="1:52" x14ac:dyDescent="0.25">
      <c r="A127" s="317"/>
      <c r="B127" s="272" t="s">
        <v>114</v>
      </c>
      <c r="C127" s="265">
        <f ca="1">SUMIFS($O$5:$O55,$H$5:$H55,$A$126,$I$5:$I55,$B127,$B$5:$B55,"&lt;=30")</f>
        <v>0</v>
      </c>
      <c r="D127" s="513">
        <f ca="1">SUMIFS($O$5:$O55,$H$5:$H55,$A$126,$I$5:$I55,$B127,$B$5:$B55,"&lt;=60")-C127</f>
        <v>0</v>
      </c>
      <c r="E127" s="513">
        <f ca="1">SUMIFS($O$5:$O55,$H$5:$H55,$A$126,$I$5:$I55,$B127,$B$5:$B55,"&lt;=90")-D127-C127</f>
        <v>0</v>
      </c>
      <c r="F127" s="513">
        <f ca="1">SUMIFS($O$5:$O55,$H$5:$H55,$A$126,$I$5:$I55,$B127,$B$5:$B55,"&gt;=91")</f>
        <v>0.222</v>
      </c>
      <c r="G127" s="266">
        <f t="shared" ca="1" si="5"/>
        <v>0.222</v>
      </c>
    </row>
    <row r="128" spans="1:52" ht="16.5" customHeight="1" x14ac:dyDescent="0.25">
      <c r="A128" s="318"/>
      <c r="B128" s="264" t="s">
        <v>70</v>
      </c>
      <c r="C128" s="265">
        <f>SUMIFS($O$5:$O56,$H$5:$H56,$A$129,$I$5:$I56,$B128,$B$5:$B56,"&lt;=30")</f>
        <v>0</v>
      </c>
      <c r="D128" s="513">
        <f>SUMIFS($O$5:$O56,$H$5:$H56,$A$129,$I$5:$I56,$B128,$B$5:$B56,"&lt;=60")-C128</f>
        <v>0</v>
      </c>
      <c r="E128" s="513">
        <f>SUMIFS($O$5:$O56,$H$5:$H56,$A$129,$I$5:$I56,$B128,$B$5:$B56,"&lt;=90")-D128-C128</f>
        <v>0</v>
      </c>
      <c r="F128" s="513">
        <f>SUMIFS($O$5:$O56,$H$5:$H56,$A$129,$I$5:$I56,$B128,$B$5:$B56,"&gt;=91")</f>
        <v>0</v>
      </c>
      <c r="G128" s="266">
        <f t="shared" si="5"/>
        <v>0</v>
      </c>
    </row>
    <row r="129" spans="1:66" s="351" customFormat="1" ht="16.5" customHeight="1" x14ac:dyDescent="0.25">
      <c r="A129" s="319" t="s">
        <v>3790</v>
      </c>
      <c r="B129" s="30" t="s">
        <v>69</v>
      </c>
      <c r="C129" s="265">
        <f>SUMIFS($O$5:$O57,$H$5:$H57,$A$129,$I$5:$I57,$B129,$B$5:$B57,"&lt;=30")</f>
        <v>0</v>
      </c>
      <c r="D129" s="513">
        <f>SUMIFS($O$5:$O57,$H$5:$H57,$A$129,$I$5:$I57,$B129,$B$5:$B57,"&lt;=60")-C129</f>
        <v>0</v>
      </c>
      <c r="E129" s="513">
        <f>SUMIFS($O$5:$O57,$H$5:$H57,$A$129,$I$5:$I57,$B129,$B$5:$B57,"&lt;=90")-D129-C129</f>
        <v>0</v>
      </c>
      <c r="F129" s="513">
        <f>SUMIFS($O$5:$O57,$H$5:$H57,$A$129,$I$5:$I57,$B129,$B$5:$B57,"&gt;=91")</f>
        <v>0</v>
      </c>
      <c r="G129" s="266">
        <f t="shared" si="5"/>
        <v>0</v>
      </c>
      <c r="H129" s="336"/>
      <c r="I129" s="336"/>
      <c r="K129" s="399"/>
      <c r="L129" s="399"/>
      <c r="M129" s="399"/>
      <c r="N129" s="352"/>
      <c r="O129" s="353"/>
      <c r="P129" s="353"/>
      <c r="Q129" s="353"/>
      <c r="R129" s="353"/>
      <c r="S129" s="353"/>
      <c r="T129" s="399"/>
      <c r="Y129" s="463"/>
      <c r="Z129" s="463"/>
      <c r="AA129" s="463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336"/>
      <c r="AS129" s="364"/>
      <c r="AT129" s="364"/>
      <c r="AU129" s="364"/>
      <c r="AX129" s="336"/>
      <c r="AY129" s="336"/>
    </row>
    <row r="130" spans="1:66" x14ac:dyDescent="0.25">
      <c r="A130" s="320"/>
      <c r="B130" s="272" t="s">
        <v>114</v>
      </c>
      <c r="C130" s="265">
        <f>SUMIFS($O$5:$O58,$H$5:$H58,$A$129,$I$5:$I58,$B130,$B$5:$B58,"&lt;=30")</f>
        <v>0</v>
      </c>
      <c r="D130" s="513">
        <f>SUMIFS($O$5:$O58,$H$5:$H58,$A$129,$I$5:$I58,$B130,$B$5:$B58,"&lt;=60")-C130</f>
        <v>0</v>
      </c>
      <c r="E130" s="513">
        <f>SUMIFS($O$5:$O58,$H$5:$H58,$A$129,$I$5:$I58,$B130,$B$5:$B58,"&lt;=90")-D130-C130</f>
        <v>0</v>
      </c>
      <c r="F130" s="513">
        <f>SUMIFS($O$5:$O58,$H$5:$H58,$A$129,$I$5:$I58,$B130,$B$5:$B58,"&gt;=91")</f>
        <v>0</v>
      </c>
      <c r="G130" s="266">
        <f t="shared" si="5"/>
        <v>0</v>
      </c>
    </row>
    <row r="131" spans="1:66" x14ac:dyDescent="0.25">
      <c r="A131" s="331" t="s">
        <v>39</v>
      </c>
      <c r="B131" s="332"/>
      <c r="C131" s="333">
        <f ca="1">SUM(C98:C130)</f>
        <v>0</v>
      </c>
      <c r="D131" s="333">
        <f ca="1">SUM(D98:D130)</f>
        <v>0</v>
      </c>
      <c r="E131" s="333">
        <f ca="1">SUM(E98:E130)</f>
        <v>0</v>
      </c>
      <c r="F131" s="333">
        <f ca="1">SUM(F98:F130)</f>
        <v>0.55000000000000004</v>
      </c>
      <c r="G131" s="266">
        <f t="shared" ca="1" si="5"/>
        <v>0.55000000000000004</v>
      </c>
    </row>
    <row r="132" spans="1:66" x14ac:dyDescent="0.25">
      <c r="O132" s="451"/>
    </row>
    <row r="133" spans="1:66" s="351" customFormat="1" ht="16.5" customHeight="1" x14ac:dyDescent="0.25">
      <c r="A133" s="336"/>
      <c r="B133" s="336"/>
      <c r="C133" s="336"/>
      <c r="D133" s="336"/>
      <c r="E133" s="336"/>
      <c r="F133" s="336"/>
      <c r="G133" s="336"/>
      <c r="H133" s="336"/>
      <c r="I133" s="336"/>
      <c r="K133" s="399"/>
      <c r="L133" s="399"/>
      <c r="M133" s="399"/>
      <c r="N133" s="352"/>
      <c r="O133" s="353"/>
      <c r="P133" s="353"/>
      <c r="Q133" s="353"/>
      <c r="R133" s="353"/>
      <c r="S133" s="353"/>
      <c r="T133" s="399"/>
      <c r="Y133" s="463"/>
      <c r="Z133" s="463"/>
      <c r="AA133" s="463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64"/>
      <c r="AT133" s="364"/>
      <c r="AU133" s="364"/>
      <c r="AX133" s="336"/>
      <c r="AY133" s="336"/>
    </row>
    <row r="134" spans="1:66" s="351" customFormat="1" ht="16.5" customHeight="1" x14ac:dyDescent="0.25">
      <c r="A134" s="454"/>
      <c r="B134" s="454"/>
      <c r="C134" s="336"/>
      <c r="D134" s="336"/>
      <c r="E134" s="336"/>
      <c r="F134" s="336"/>
      <c r="G134" s="336"/>
      <c r="H134" s="336"/>
      <c r="I134" s="336"/>
      <c r="K134" s="399"/>
      <c r="L134" s="399"/>
      <c r="M134" s="399"/>
      <c r="N134" s="352"/>
      <c r="O134" s="353"/>
      <c r="P134" s="353"/>
      <c r="Q134" s="353"/>
      <c r="R134" s="353"/>
      <c r="S134" s="353"/>
      <c r="T134" s="399"/>
      <c r="Y134" s="463"/>
      <c r="Z134" s="463"/>
      <c r="AA134" s="463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64"/>
      <c r="AT134" s="364"/>
      <c r="AU134" s="364"/>
      <c r="AX134" s="336"/>
      <c r="AY134" s="336"/>
    </row>
    <row r="135" spans="1:66" s="353" customFormat="1" ht="16.5" customHeight="1" x14ac:dyDescent="0.25">
      <c r="A135" s="336"/>
      <c r="B135" s="336"/>
      <c r="C135" s="336"/>
      <c r="D135" s="336"/>
      <c r="E135" s="336"/>
      <c r="F135" s="336"/>
      <c r="G135" s="336"/>
      <c r="H135" s="336"/>
      <c r="I135" s="336"/>
      <c r="J135" s="351"/>
      <c r="K135" s="399"/>
      <c r="L135" s="399"/>
      <c r="M135" s="399"/>
      <c r="N135" s="352"/>
      <c r="O135" s="451"/>
      <c r="T135" s="399"/>
      <c r="U135" s="351"/>
      <c r="V135" s="351"/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351"/>
      <c r="AH135" s="351"/>
      <c r="AI135" s="336"/>
      <c r="AJ135" s="336"/>
      <c r="AK135" s="336"/>
      <c r="AL135" s="336"/>
      <c r="AM135" s="336"/>
      <c r="AN135" s="336"/>
      <c r="AO135" s="336"/>
      <c r="AP135" s="336"/>
      <c r="AQ135" s="336"/>
      <c r="AR135" s="336"/>
      <c r="AS135" s="364"/>
      <c r="AT135" s="364"/>
      <c r="AU135" s="364"/>
      <c r="AV135" s="351"/>
      <c r="AW135" s="351"/>
      <c r="AX135" s="336"/>
      <c r="AY135" s="336"/>
      <c r="AZ135" s="336"/>
      <c r="BA135" s="336"/>
      <c r="BB135" s="336"/>
      <c r="BC135" s="336"/>
      <c r="BD135" s="336"/>
      <c r="BE135" s="336"/>
      <c r="BF135" s="336"/>
      <c r="BG135" s="336"/>
      <c r="BH135" s="336"/>
      <c r="BI135" s="336"/>
      <c r="BJ135" s="336"/>
      <c r="BK135" s="336"/>
      <c r="BL135" s="336"/>
      <c r="BM135" s="336"/>
      <c r="BN135" s="336"/>
    </row>
    <row r="136" spans="1:66" x14ac:dyDescent="0.25">
      <c r="D136" s="475" t="s">
        <v>6021</v>
      </c>
      <c r="E136" s="475">
        <f ca="1">SUMIFS(O:O,B:B,"&gt;=60")</f>
        <v>1.7693876003568247</v>
      </c>
    </row>
    <row r="168" spans="1:66" s="351" customFormat="1" x14ac:dyDescent="0.25">
      <c r="A168" s="336"/>
      <c r="B168" s="336"/>
      <c r="C168" s="336"/>
      <c r="D168" s="336"/>
      <c r="E168" s="336"/>
      <c r="F168" s="336"/>
      <c r="G168" s="336"/>
      <c r="H168" s="336"/>
      <c r="I168" s="336"/>
      <c r="K168" s="399"/>
      <c r="L168" s="399"/>
      <c r="M168" s="399"/>
      <c r="N168" s="352"/>
      <c r="O168" s="353"/>
      <c r="P168" s="353"/>
      <c r="Q168" s="353"/>
      <c r="R168" s="353"/>
      <c r="S168" s="353"/>
      <c r="T168" s="362"/>
      <c r="AI168" s="336"/>
      <c r="AJ168" s="336"/>
      <c r="AK168" s="336"/>
      <c r="AL168" s="336"/>
      <c r="AM168" s="336"/>
      <c r="AN168" s="336"/>
      <c r="AO168" s="336"/>
      <c r="AP168" s="336"/>
      <c r="AQ168" s="336"/>
      <c r="AR168" s="336"/>
      <c r="AS168" s="364"/>
      <c r="AT168" s="364"/>
      <c r="AU168" s="364"/>
      <c r="AX168" s="336"/>
      <c r="AY168" s="336"/>
      <c r="AZ168" s="336"/>
      <c r="BA168" s="336"/>
      <c r="BB168" s="336"/>
      <c r="BC168" s="336"/>
      <c r="BD168" s="336"/>
      <c r="BE168" s="336"/>
      <c r="BF168" s="336"/>
      <c r="BG168" s="336"/>
      <c r="BH168" s="336"/>
      <c r="BI168" s="336"/>
      <c r="BJ168" s="336"/>
      <c r="BK168" s="336"/>
      <c r="BL168" s="336"/>
      <c r="BM168" s="336"/>
      <c r="BN168" s="336"/>
    </row>
    <row r="171" spans="1:66" s="351" customFormat="1" x14ac:dyDescent="0.25">
      <c r="A171" s="336"/>
      <c r="B171" s="336"/>
      <c r="C171" s="336"/>
      <c r="D171" s="336"/>
      <c r="E171" s="336"/>
      <c r="F171" s="336"/>
      <c r="G171" s="336"/>
      <c r="H171" s="336"/>
      <c r="I171" s="336"/>
      <c r="K171" s="399"/>
      <c r="L171" s="399"/>
      <c r="M171" s="399"/>
      <c r="N171" s="352"/>
      <c r="O171" s="353"/>
      <c r="P171" s="353"/>
      <c r="Q171" s="353"/>
      <c r="R171" s="353"/>
      <c r="S171" s="353"/>
      <c r="T171" s="362"/>
      <c r="AI171" s="336"/>
      <c r="AJ171" s="336"/>
      <c r="AK171" s="336"/>
      <c r="AL171" s="336"/>
      <c r="AM171" s="336"/>
      <c r="AN171" s="336"/>
      <c r="AO171" s="336"/>
      <c r="AP171" s="336"/>
      <c r="AQ171" s="336"/>
      <c r="AR171" s="336"/>
      <c r="AS171" s="364"/>
      <c r="AT171" s="364"/>
      <c r="AU171" s="364"/>
      <c r="AX171" s="336"/>
      <c r="AY171" s="336"/>
      <c r="AZ171" s="336"/>
      <c r="BA171" s="336"/>
      <c r="BB171" s="336"/>
      <c r="BC171" s="336"/>
      <c r="BD171" s="336"/>
      <c r="BE171" s="336"/>
      <c r="BF171" s="336"/>
      <c r="BG171" s="336"/>
      <c r="BH171" s="336"/>
      <c r="BI171" s="336"/>
      <c r="BJ171" s="336"/>
      <c r="BK171" s="336"/>
      <c r="BL171" s="336"/>
      <c r="BM171" s="336"/>
      <c r="BN171" s="336"/>
    </row>
    <row r="172" spans="1:66" s="351" customFormat="1" x14ac:dyDescent="0.25">
      <c r="A172" s="336"/>
      <c r="B172" s="336"/>
      <c r="C172" s="336"/>
      <c r="D172" s="336"/>
      <c r="E172" s="336"/>
      <c r="F172" s="336"/>
      <c r="G172" s="336"/>
      <c r="H172" s="336"/>
      <c r="I172" s="336"/>
      <c r="K172" s="399"/>
      <c r="L172" s="399"/>
      <c r="M172" s="399"/>
      <c r="N172" s="352"/>
      <c r="O172" s="353"/>
      <c r="P172" s="353"/>
      <c r="Q172" s="353"/>
      <c r="R172" s="353"/>
      <c r="S172" s="353"/>
      <c r="T172" s="362"/>
      <c r="AI172" s="336"/>
      <c r="AJ172" s="336"/>
      <c r="AK172" s="336"/>
      <c r="AL172" s="336"/>
      <c r="AM172" s="336"/>
      <c r="AN172" s="336"/>
      <c r="AO172" s="336"/>
      <c r="AP172" s="336"/>
      <c r="AQ172" s="336"/>
      <c r="AR172" s="336"/>
      <c r="AS172" s="364"/>
      <c r="AT172" s="364"/>
      <c r="AU172" s="364"/>
      <c r="AX172" s="336"/>
      <c r="AY172" s="336"/>
      <c r="AZ172" s="336"/>
      <c r="BA172" s="336"/>
      <c r="BB172" s="336"/>
      <c r="BC172" s="336"/>
      <c r="BD172" s="336"/>
      <c r="BE172" s="336"/>
      <c r="BF172" s="336"/>
      <c r="BG172" s="336"/>
      <c r="BH172" s="336"/>
      <c r="BI172" s="336"/>
      <c r="BJ172" s="336"/>
      <c r="BK172" s="336"/>
      <c r="BL172" s="336"/>
      <c r="BM172" s="336"/>
      <c r="BN172" s="336"/>
    </row>
    <row r="173" spans="1:66" s="351" customFormat="1" x14ac:dyDescent="0.25">
      <c r="A173" s="336"/>
      <c r="B173" s="336"/>
      <c r="C173" s="336"/>
      <c r="D173" s="336"/>
      <c r="E173" s="336"/>
      <c r="F173" s="336"/>
      <c r="G173" s="336"/>
      <c r="H173" s="336"/>
      <c r="I173" s="336"/>
      <c r="K173" s="399"/>
      <c r="L173" s="399"/>
      <c r="M173" s="399"/>
      <c r="N173" s="352"/>
      <c r="O173" s="353"/>
      <c r="P173" s="353"/>
      <c r="Q173" s="353"/>
      <c r="R173" s="353"/>
      <c r="S173" s="353"/>
      <c r="T173" s="362"/>
      <c r="AI173" s="336"/>
      <c r="AJ173" s="336"/>
      <c r="AK173" s="336"/>
      <c r="AL173" s="336"/>
      <c r="AM173" s="336"/>
      <c r="AN173" s="336"/>
      <c r="AO173" s="336"/>
      <c r="AP173" s="336"/>
      <c r="AQ173" s="336"/>
      <c r="AR173" s="336"/>
      <c r="AS173" s="364"/>
      <c r="AT173" s="364"/>
      <c r="AU173" s="364"/>
      <c r="AX173" s="336"/>
      <c r="AY173" s="336"/>
      <c r="AZ173" s="336"/>
      <c r="BA173" s="336"/>
      <c r="BB173" s="336"/>
      <c r="BC173" s="336"/>
      <c r="BD173" s="336"/>
      <c r="BE173" s="336"/>
      <c r="BF173" s="336"/>
      <c r="BG173" s="336"/>
      <c r="BH173" s="336"/>
      <c r="BI173" s="336"/>
      <c r="BJ173" s="336"/>
      <c r="BK173" s="336"/>
      <c r="BL173" s="336"/>
      <c r="BM173" s="336"/>
      <c r="BN173" s="336"/>
    </row>
    <row r="174" spans="1:66" s="351" customFormat="1" x14ac:dyDescent="0.25">
      <c r="A174" s="336"/>
      <c r="B174" s="336"/>
      <c r="C174" s="336"/>
      <c r="D174" s="336"/>
      <c r="E174" s="336"/>
      <c r="F174" s="336"/>
      <c r="G174" s="336"/>
      <c r="H174" s="336"/>
      <c r="I174" s="336"/>
      <c r="K174" s="399"/>
      <c r="L174" s="399"/>
      <c r="M174" s="399"/>
      <c r="N174" s="352"/>
      <c r="O174" s="353"/>
      <c r="P174" s="353"/>
      <c r="Q174" s="353"/>
      <c r="R174" s="353"/>
      <c r="S174" s="353"/>
      <c r="T174" s="362"/>
      <c r="AI174" s="336"/>
      <c r="AJ174" s="336"/>
      <c r="AK174" s="336"/>
      <c r="AL174" s="336"/>
      <c r="AM174" s="336"/>
      <c r="AN174" s="336"/>
      <c r="AO174" s="336"/>
      <c r="AP174" s="336"/>
      <c r="AQ174" s="336"/>
      <c r="AR174" s="336"/>
      <c r="AS174" s="364"/>
      <c r="AT174" s="364"/>
      <c r="AU174" s="364"/>
      <c r="AX174" s="336"/>
      <c r="AY174" s="336"/>
      <c r="AZ174" s="336"/>
      <c r="BA174" s="336"/>
      <c r="BB174" s="336"/>
      <c r="BC174" s="336"/>
      <c r="BD174" s="336"/>
      <c r="BE174" s="336"/>
      <c r="BF174" s="336"/>
      <c r="BG174" s="336"/>
      <c r="BH174" s="336"/>
      <c r="BI174" s="336"/>
      <c r="BJ174" s="336"/>
      <c r="BK174" s="336"/>
      <c r="BL174" s="336"/>
      <c r="BM174" s="336"/>
      <c r="BN174" s="336"/>
    </row>
    <row r="175" spans="1:66" s="351" customFormat="1" x14ac:dyDescent="0.25">
      <c r="A175" s="336"/>
      <c r="B175" s="336"/>
      <c r="C175" s="336"/>
      <c r="D175" s="336"/>
      <c r="E175" s="336"/>
      <c r="F175" s="336"/>
      <c r="G175" s="336"/>
      <c r="H175" s="336"/>
      <c r="I175" s="336"/>
      <c r="K175" s="399"/>
      <c r="L175" s="399"/>
      <c r="M175" s="399"/>
      <c r="N175" s="352"/>
      <c r="O175" s="353"/>
      <c r="P175" s="353"/>
      <c r="Q175" s="353"/>
      <c r="R175" s="353"/>
      <c r="S175" s="353"/>
      <c r="T175" s="362"/>
      <c r="AI175" s="336"/>
      <c r="AJ175" s="336"/>
      <c r="AK175" s="336"/>
      <c r="AL175" s="336"/>
      <c r="AM175" s="336"/>
      <c r="AN175" s="336"/>
      <c r="AO175" s="336"/>
      <c r="AP175" s="336"/>
      <c r="AQ175" s="336"/>
      <c r="AR175" s="336"/>
      <c r="AS175" s="364"/>
      <c r="AT175" s="364"/>
      <c r="AU175" s="364"/>
      <c r="AX175" s="336"/>
      <c r="AY175" s="336"/>
      <c r="AZ175" s="336"/>
      <c r="BA175" s="336"/>
      <c r="BB175" s="336"/>
      <c r="BC175" s="336"/>
      <c r="BD175" s="336"/>
      <c r="BE175" s="336"/>
      <c r="BF175" s="336"/>
      <c r="BG175" s="336"/>
      <c r="BH175" s="336"/>
      <c r="BI175" s="336"/>
      <c r="BJ175" s="336"/>
      <c r="BK175" s="336"/>
      <c r="BL175" s="336"/>
      <c r="BM175" s="336"/>
      <c r="BN175" s="336"/>
    </row>
    <row r="179" spans="1:66" s="361" customFormat="1" ht="16.5" customHeight="1" x14ac:dyDescent="0.25">
      <c r="G179" s="359"/>
      <c r="J179" s="417"/>
      <c r="K179" s="417"/>
      <c r="L179" s="417"/>
      <c r="M179" s="417"/>
      <c r="N179" s="363"/>
      <c r="O179" s="356"/>
      <c r="P179" s="419"/>
      <c r="Q179" s="362"/>
      <c r="R179" s="362"/>
      <c r="S179" s="422"/>
      <c r="T179" s="399"/>
      <c r="U179" s="452"/>
      <c r="V179" s="452"/>
      <c r="W179" s="45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453"/>
      <c r="AK179" s="416"/>
      <c r="AL179" s="416"/>
      <c r="AM179" s="416"/>
      <c r="AN179" s="416"/>
      <c r="AO179" s="416"/>
      <c r="AP179" s="416"/>
      <c r="AS179" s="364"/>
      <c r="AT179" s="364"/>
      <c r="AU179" s="364"/>
      <c r="AV179" s="364"/>
    </row>
    <row r="182" spans="1:66" s="361" customFormat="1" ht="16.5" customHeight="1" x14ac:dyDescent="0.25">
      <c r="G182" s="359"/>
      <c r="J182" s="417"/>
      <c r="K182" s="417"/>
      <c r="L182" s="417"/>
      <c r="M182" s="417"/>
      <c r="N182" s="363"/>
      <c r="O182" s="356"/>
      <c r="P182" s="419"/>
      <c r="Q182" s="362"/>
      <c r="R182" s="362"/>
      <c r="S182" s="422"/>
      <c r="T182" s="362"/>
      <c r="U182" s="452"/>
      <c r="V182" s="452"/>
      <c r="W182" s="45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453"/>
      <c r="AK182" s="416"/>
      <c r="AL182" s="416"/>
      <c r="AM182" s="416"/>
      <c r="AN182" s="416"/>
      <c r="AO182" s="416"/>
      <c r="AP182" s="416"/>
      <c r="AS182" s="364"/>
      <c r="AT182" s="364"/>
      <c r="AU182" s="364"/>
      <c r="AV182" s="364"/>
    </row>
    <row r="183" spans="1:66" s="361" customFormat="1" ht="16.5" customHeight="1" x14ac:dyDescent="0.25">
      <c r="G183" s="359"/>
      <c r="J183" s="417"/>
      <c r="K183" s="417"/>
      <c r="L183" s="417"/>
      <c r="M183" s="417"/>
      <c r="N183" s="363"/>
      <c r="O183" s="356"/>
      <c r="P183" s="419"/>
      <c r="Q183" s="362"/>
      <c r="R183" s="362"/>
      <c r="S183" s="422"/>
      <c r="T183" s="362"/>
      <c r="U183" s="452"/>
      <c r="V183" s="452"/>
      <c r="W183" s="45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453"/>
      <c r="AK183" s="416"/>
      <c r="AL183" s="416"/>
      <c r="AM183" s="416"/>
      <c r="AN183" s="416"/>
      <c r="AO183" s="416"/>
      <c r="AP183" s="416"/>
      <c r="AS183" s="364"/>
      <c r="AT183" s="364"/>
      <c r="AU183" s="364"/>
      <c r="AV183" s="364"/>
    </row>
    <row r="184" spans="1:66" s="361" customFormat="1" ht="16.5" customHeight="1" x14ac:dyDescent="0.25">
      <c r="J184" s="417"/>
      <c r="K184" s="417"/>
      <c r="L184" s="417"/>
      <c r="M184" s="417"/>
      <c r="N184" s="363"/>
      <c r="O184" s="364"/>
      <c r="P184" s="419"/>
      <c r="Q184" s="362"/>
      <c r="R184" s="362"/>
      <c r="S184" s="422"/>
      <c r="T184" s="362"/>
      <c r="U184" s="452"/>
      <c r="V184" s="452"/>
      <c r="W184" s="45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453"/>
      <c r="AK184" s="416"/>
      <c r="AL184" s="416"/>
      <c r="AM184" s="416"/>
      <c r="AN184" s="416"/>
      <c r="AO184" s="416"/>
      <c r="AP184" s="416"/>
      <c r="AS184" s="364"/>
      <c r="AT184" s="364"/>
      <c r="AU184" s="364"/>
      <c r="AV184" s="364"/>
    </row>
    <row r="185" spans="1:66" s="361" customFormat="1" ht="16.5" customHeight="1" x14ac:dyDescent="0.25">
      <c r="J185" s="417"/>
      <c r="K185" s="417"/>
      <c r="L185" s="417"/>
      <c r="M185" s="417"/>
      <c r="N185" s="363"/>
      <c r="O185" s="364"/>
      <c r="P185" s="419"/>
      <c r="Q185" s="362"/>
      <c r="R185" s="362"/>
      <c r="S185" s="422"/>
      <c r="T185" s="362"/>
      <c r="U185" s="452"/>
      <c r="V185" s="452"/>
      <c r="W185" s="45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453"/>
      <c r="AK185" s="416"/>
      <c r="AL185" s="416"/>
      <c r="AM185" s="416"/>
      <c r="AN185" s="416"/>
      <c r="AO185" s="416"/>
      <c r="AP185" s="416"/>
      <c r="AS185" s="364"/>
      <c r="AT185" s="364"/>
      <c r="AU185" s="364"/>
      <c r="AV185" s="364"/>
    </row>
    <row r="186" spans="1:66" s="361" customFormat="1" ht="16.5" customHeight="1" x14ac:dyDescent="0.25">
      <c r="J186" s="417"/>
      <c r="K186" s="417"/>
      <c r="L186" s="417"/>
      <c r="M186" s="417"/>
      <c r="N186" s="363"/>
      <c r="O186" s="364"/>
      <c r="P186" s="419"/>
      <c r="Q186" s="362"/>
      <c r="R186" s="362"/>
      <c r="S186" s="422"/>
      <c r="T186" s="362"/>
      <c r="U186" s="452"/>
      <c r="V186" s="452"/>
      <c r="W186" s="45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453"/>
      <c r="AK186" s="416"/>
      <c r="AL186" s="416"/>
      <c r="AM186" s="416"/>
      <c r="AN186" s="416"/>
      <c r="AO186" s="416"/>
      <c r="AP186" s="416"/>
      <c r="AS186" s="364"/>
      <c r="AT186" s="364"/>
      <c r="AU186" s="364"/>
      <c r="AV186" s="364"/>
    </row>
    <row r="187" spans="1:66" x14ac:dyDescent="0.25">
      <c r="T187" s="362"/>
    </row>
    <row r="190" spans="1:66" s="351" customFormat="1" ht="30" customHeight="1" x14ac:dyDescent="0.25">
      <c r="A190" s="476" t="s">
        <v>6022</v>
      </c>
      <c r="B190" s="476"/>
      <c r="C190" s="477"/>
      <c r="D190" s="477"/>
      <c r="E190" s="477"/>
      <c r="F190" s="336"/>
      <c r="G190" s="336"/>
      <c r="H190" s="336"/>
      <c r="I190" s="336"/>
      <c r="K190" s="399"/>
      <c r="L190" s="399"/>
      <c r="M190" s="399"/>
      <c r="N190" s="352"/>
      <c r="O190" s="353"/>
      <c r="P190" s="353"/>
      <c r="Q190" s="353"/>
      <c r="R190" s="353"/>
      <c r="S190" s="353"/>
      <c r="T190" s="399"/>
      <c r="AI190" s="336"/>
      <c r="AJ190" s="336"/>
      <c r="AK190" s="336"/>
      <c r="AL190" s="336"/>
      <c r="AM190" s="336"/>
      <c r="AN190" s="336"/>
      <c r="AO190" s="336"/>
      <c r="AP190" s="336"/>
      <c r="AQ190" s="336"/>
      <c r="AR190" s="336"/>
      <c r="AS190" s="364"/>
      <c r="AT190" s="364"/>
      <c r="AU190" s="364"/>
      <c r="AX190" s="336"/>
      <c r="AY190" s="336"/>
      <c r="AZ190" s="336"/>
      <c r="BA190" s="336"/>
      <c r="BB190" s="336"/>
      <c r="BC190" s="336"/>
      <c r="BD190" s="336"/>
      <c r="BE190" s="336"/>
      <c r="BF190" s="336"/>
      <c r="BG190" s="336"/>
      <c r="BH190" s="336"/>
      <c r="BI190" s="336"/>
      <c r="BJ190" s="336"/>
      <c r="BK190" s="336"/>
      <c r="BL190" s="336"/>
      <c r="BM190" s="336"/>
      <c r="BN190" s="336"/>
    </row>
    <row r="193" spans="1:66" s="361" customFormat="1" ht="16.5" customHeight="1" x14ac:dyDescent="0.25">
      <c r="J193" s="417"/>
      <c r="K193" s="417"/>
      <c r="L193" s="417"/>
      <c r="M193" s="417"/>
      <c r="N193" s="363"/>
      <c r="O193" s="364"/>
      <c r="P193" s="419"/>
      <c r="Q193" s="362"/>
      <c r="R193" s="362"/>
      <c r="S193" s="422"/>
      <c r="T193" s="399"/>
      <c r="U193" s="452"/>
      <c r="V193" s="452"/>
      <c r="W193" s="45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453"/>
      <c r="AK193" s="416"/>
      <c r="AL193" s="416"/>
      <c r="AM193" s="416"/>
      <c r="AN193" s="416"/>
      <c r="AO193" s="416"/>
      <c r="AP193" s="416"/>
      <c r="AS193" s="364"/>
      <c r="AT193" s="364"/>
      <c r="AU193" s="364"/>
      <c r="AV193" s="364"/>
    </row>
    <row r="194" spans="1:66" s="361" customFormat="1" ht="16.5" customHeight="1" x14ac:dyDescent="0.25">
      <c r="J194" s="417"/>
      <c r="K194" s="417"/>
      <c r="L194" s="417"/>
      <c r="M194" s="417"/>
      <c r="N194" s="363"/>
      <c r="O194" s="364"/>
      <c r="P194" s="419"/>
      <c r="Q194" s="362"/>
      <c r="R194" s="362"/>
      <c r="S194" s="422"/>
      <c r="T194" s="399"/>
      <c r="U194" s="452"/>
      <c r="V194" s="452"/>
      <c r="W194" s="45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453"/>
      <c r="AK194" s="416"/>
      <c r="AL194" s="416"/>
      <c r="AM194" s="416"/>
      <c r="AN194" s="416"/>
      <c r="AO194" s="416"/>
      <c r="AP194" s="416"/>
      <c r="AS194" s="364"/>
      <c r="AT194" s="364"/>
      <c r="AU194" s="364"/>
      <c r="AV194" s="364"/>
    </row>
    <row r="195" spans="1:66" s="361" customFormat="1" ht="16.5" customHeight="1" x14ac:dyDescent="0.25">
      <c r="J195" s="417"/>
      <c r="K195" s="417"/>
      <c r="L195" s="417"/>
      <c r="M195" s="417"/>
      <c r="N195" s="363"/>
      <c r="O195" s="364"/>
      <c r="P195" s="419"/>
      <c r="Q195" s="362"/>
      <c r="R195" s="362"/>
      <c r="S195" s="422"/>
      <c r="T195" s="399"/>
      <c r="U195" s="452"/>
      <c r="V195" s="452"/>
      <c r="W195" s="45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453"/>
      <c r="AK195" s="416"/>
      <c r="AL195" s="416"/>
      <c r="AM195" s="416"/>
      <c r="AN195" s="416"/>
      <c r="AO195" s="416"/>
      <c r="AP195" s="416"/>
      <c r="AS195" s="364"/>
      <c r="AT195" s="364"/>
      <c r="AU195" s="364"/>
      <c r="AV195" s="364"/>
    </row>
    <row r="196" spans="1:66" s="361" customFormat="1" ht="16.5" customHeight="1" x14ac:dyDescent="0.25">
      <c r="J196" s="417"/>
      <c r="K196" s="417"/>
      <c r="L196" s="417"/>
      <c r="M196" s="417"/>
      <c r="N196" s="363"/>
      <c r="O196" s="364"/>
      <c r="P196" s="419"/>
      <c r="Q196" s="362"/>
      <c r="R196" s="362"/>
      <c r="S196" s="422"/>
      <c r="T196" s="399"/>
      <c r="U196" s="452"/>
      <c r="V196" s="452"/>
      <c r="W196" s="45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453"/>
      <c r="AK196" s="416"/>
      <c r="AL196" s="416"/>
      <c r="AM196" s="416"/>
      <c r="AN196" s="416"/>
      <c r="AO196" s="416"/>
      <c r="AP196" s="416"/>
      <c r="AS196" s="364"/>
      <c r="AT196" s="364"/>
      <c r="AU196" s="364"/>
      <c r="AV196" s="364"/>
    </row>
    <row r="197" spans="1:66" s="361" customFormat="1" ht="16.5" customHeight="1" x14ac:dyDescent="0.25">
      <c r="J197" s="417"/>
      <c r="K197" s="417"/>
      <c r="L197" s="417"/>
      <c r="M197" s="417"/>
      <c r="N197" s="363"/>
      <c r="O197" s="364"/>
      <c r="P197" s="419"/>
      <c r="Q197" s="362"/>
      <c r="R197" s="362"/>
      <c r="S197" s="422"/>
      <c r="T197" s="399"/>
      <c r="U197" s="452"/>
      <c r="V197" s="452"/>
      <c r="W197" s="45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453"/>
      <c r="AK197" s="416"/>
      <c r="AL197" s="416"/>
      <c r="AM197" s="416"/>
      <c r="AN197" s="416"/>
      <c r="AO197" s="416"/>
      <c r="AP197" s="416"/>
      <c r="AS197" s="364"/>
      <c r="AT197" s="364"/>
      <c r="AU197" s="364"/>
      <c r="AV197" s="364"/>
    </row>
    <row r="198" spans="1:66" s="361" customFormat="1" ht="16.5" customHeight="1" x14ac:dyDescent="0.25">
      <c r="J198" s="417"/>
      <c r="K198" s="417"/>
      <c r="L198" s="417"/>
      <c r="M198" s="417"/>
      <c r="N198" s="363"/>
      <c r="O198" s="364"/>
      <c r="P198" s="419"/>
      <c r="Q198" s="419"/>
      <c r="R198" s="419"/>
      <c r="S198" s="422"/>
      <c r="T198" s="399"/>
      <c r="U198" s="452"/>
      <c r="V198" s="452"/>
      <c r="W198" s="448"/>
      <c r="X198" s="448"/>
      <c r="Y198" s="448"/>
      <c r="Z198" s="448"/>
      <c r="AA198" s="448"/>
      <c r="AB198" s="448"/>
      <c r="AC198" s="448"/>
      <c r="AD198" s="448"/>
      <c r="AE198" s="448"/>
      <c r="AF198" s="453"/>
      <c r="AJ198" s="416"/>
      <c r="AK198" s="416"/>
      <c r="AL198" s="416"/>
      <c r="AM198" s="416"/>
      <c r="AN198" s="416"/>
      <c r="AO198" s="416"/>
      <c r="AP198" s="416"/>
      <c r="AR198" s="364"/>
      <c r="AS198" s="364"/>
      <c r="AT198" s="364"/>
      <c r="AU198" s="364"/>
      <c r="AV198" s="364"/>
    </row>
    <row r="203" spans="1:66" x14ac:dyDescent="0.25">
      <c r="T203" s="362"/>
    </row>
    <row r="204" spans="1:66" s="351" customFormat="1" x14ac:dyDescent="0.25">
      <c r="A204" s="336"/>
      <c r="B204" s="336"/>
      <c r="C204" s="336"/>
      <c r="D204" s="336"/>
      <c r="E204" s="336"/>
      <c r="F204" s="336"/>
      <c r="G204" s="336"/>
      <c r="H204" s="336"/>
      <c r="I204" s="336"/>
      <c r="K204" s="399"/>
      <c r="L204" s="399"/>
      <c r="M204" s="399"/>
      <c r="N204" s="352"/>
      <c r="O204" s="451"/>
      <c r="P204" s="353"/>
      <c r="Q204" s="353"/>
      <c r="R204" s="353"/>
      <c r="S204" s="353"/>
      <c r="T204" s="362"/>
      <c r="AI204" s="336"/>
      <c r="AJ204" s="336"/>
      <c r="AK204" s="336"/>
      <c r="AL204" s="336"/>
      <c r="AM204" s="336"/>
      <c r="AN204" s="336"/>
      <c r="AO204" s="336"/>
      <c r="AP204" s="336"/>
      <c r="AQ204" s="336"/>
      <c r="AR204" s="336"/>
      <c r="AS204" s="364"/>
      <c r="AT204" s="364"/>
      <c r="AU204" s="364"/>
      <c r="AX204" s="336"/>
      <c r="AY204" s="336"/>
      <c r="AZ204" s="336"/>
      <c r="BA204" s="336"/>
      <c r="BB204" s="336"/>
      <c r="BC204" s="336"/>
      <c r="BD204" s="336"/>
      <c r="BE204" s="336"/>
      <c r="BF204" s="336"/>
      <c r="BG204" s="336"/>
      <c r="BH204" s="336"/>
      <c r="BI204" s="336"/>
      <c r="BJ204" s="336"/>
      <c r="BK204" s="336"/>
      <c r="BL204" s="336"/>
      <c r="BM204" s="336"/>
      <c r="BN204" s="336"/>
    </row>
    <row r="205" spans="1:66" x14ac:dyDescent="0.25">
      <c r="T205" s="362"/>
    </row>
    <row r="206" spans="1:66" x14ac:dyDescent="0.25">
      <c r="T206" s="362"/>
    </row>
    <row r="207" spans="1:66" x14ac:dyDescent="0.25">
      <c r="T207" s="362"/>
    </row>
    <row r="208" spans="1:66" s="351" customFormat="1" x14ac:dyDescent="0.25">
      <c r="A208" s="336"/>
      <c r="B208" s="336"/>
      <c r="C208" s="336"/>
      <c r="D208" s="336"/>
      <c r="E208" s="336"/>
      <c r="F208" s="336"/>
      <c r="G208" s="336"/>
      <c r="H208" s="336"/>
      <c r="I208" s="336"/>
      <c r="K208" s="399"/>
      <c r="L208" s="399"/>
      <c r="M208" s="399"/>
      <c r="N208" s="352"/>
      <c r="O208" s="353"/>
      <c r="P208" s="353"/>
      <c r="Q208" s="353"/>
      <c r="R208" s="353"/>
      <c r="S208" s="353"/>
      <c r="T208" s="362"/>
      <c r="AI208" s="336"/>
      <c r="AJ208" s="336"/>
      <c r="AK208" s="336"/>
      <c r="AL208" s="336"/>
      <c r="AM208" s="336"/>
      <c r="AN208" s="336"/>
      <c r="AO208" s="336"/>
      <c r="AP208" s="336"/>
      <c r="AQ208" s="336"/>
      <c r="AR208" s="336"/>
      <c r="AS208" s="364"/>
      <c r="AT208" s="364"/>
      <c r="AU208" s="364"/>
      <c r="AX208" s="336"/>
      <c r="AY208" s="336"/>
      <c r="AZ208" s="336"/>
      <c r="BA208" s="336"/>
      <c r="BB208" s="336"/>
      <c r="BC208" s="336"/>
      <c r="BD208" s="336"/>
      <c r="BE208" s="336"/>
      <c r="BF208" s="336"/>
      <c r="BG208" s="336"/>
      <c r="BH208" s="336"/>
      <c r="BI208" s="336"/>
      <c r="BJ208" s="336"/>
      <c r="BK208" s="336"/>
      <c r="BL208" s="336"/>
      <c r="BM208" s="336"/>
      <c r="BN208" s="336"/>
    </row>
    <row r="209" spans="1:66" s="351" customFormat="1" x14ac:dyDescent="0.25">
      <c r="A209" s="336"/>
      <c r="B209" s="336"/>
      <c r="C209" s="336"/>
      <c r="D209" s="336"/>
      <c r="E209" s="336"/>
      <c r="F209" s="336"/>
      <c r="G209" s="336"/>
      <c r="H209" s="336"/>
      <c r="I209" s="336"/>
      <c r="K209" s="399"/>
      <c r="L209" s="399"/>
      <c r="M209" s="399"/>
      <c r="N209" s="352"/>
      <c r="O209" s="353"/>
      <c r="P209" s="353"/>
      <c r="Q209" s="353"/>
      <c r="R209" s="353"/>
      <c r="S209" s="353"/>
      <c r="T209" s="362"/>
      <c r="AI209" s="336"/>
      <c r="AJ209" s="336"/>
      <c r="AK209" s="336"/>
      <c r="AL209" s="336"/>
      <c r="AM209" s="336"/>
      <c r="AN209" s="336"/>
      <c r="AO209" s="336"/>
      <c r="AP209" s="336"/>
      <c r="AQ209" s="336"/>
      <c r="AR209" s="336"/>
      <c r="AS209" s="364"/>
      <c r="AT209" s="364"/>
      <c r="AU209" s="364"/>
      <c r="AX209" s="336"/>
      <c r="AY209" s="336"/>
      <c r="AZ209" s="336"/>
      <c r="BA209" s="336"/>
      <c r="BB209" s="336"/>
      <c r="BC209" s="336"/>
      <c r="BD209" s="336"/>
      <c r="BE209" s="336"/>
      <c r="BF209" s="336"/>
      <c r="BG209" s="336"/>
      <c r="BH209" s="336"/>
      <c r="BI209" s="336"/>
      <c r="BJ209" s="336"/>
      <c r="BK209" s="336"/>
      <c r="BL209" s="336"/>
      <c r="BM209" s="336"/>
      <c r="BN209" s="336"/>
    </row>
    <row r="210" spans="1:66" s="351" customFormat="1" x14ac:dyDescent="0.25">
      <c r="A210" s="336"/>
      <c r="B210" s="336"/>
      <c r="C210" s="336"/>
      <c r="D210" s="336"/>
      <c r="E210" s="336"/>
      <c r="F210" s="336"/>
      <c r="G210" s="336"/>
      <c r="H210" s="336"/>
      <c r="I210" s="336"/>
      <c r="K210" s="399"/>
      <c r="L210" s="399"/>
      <c r="M210" s="399"/>
      <c r="N210" s="352"/>
      <c r="O210" s="353"/>
      <c r="P210" s="353"/>
      <c r="Q210" s="353"/>
      <c r="R210" s="353"/>
      <c r="S210" s="353"/>
      <c r="T210" s="362"/>
      <c r="AI210" s="336"/>
      <c r="AJ210" s="336"/>
      <c r="AK210" s="336"/>
      <c r="AL210" s="336"/>
      <c r="AM210" s="336"/>
      <c r="AN210" s="336"/>
      <c r="AO210" s="336"/>
      <c r="AP210" s="336"/>
      <c r="AQ210" s="336"/>
      <c r="AR210" s="336"/>
      <c r="AS210" s="364"/>
      <c r="AT210" s="364"/>
      <c r="AU210" s="364"/>
      <c r="AX210" s="336"/>
      <c r="AY210" s="336"/>
      <c r="AZ210" s="336"/>
      <c r="BA210" s="336"/>
      <c r="BB210" s="336"/>
      <c r="BC210" s="336"/>
      <c r="BD210" s="336"/>
      <c r="BE210" s="336"/>
      <c r="BF210" s="336"/>
      <c r="BG210" s="336"/>
      <c r="BH210" s="336"/>
      <c r="BI210" s="336"/>
      <c r="BJ210" s="336"/>
      <c r="BK210" s="336"/>
      <c r="BL210" s="336"/>
      <c r="BM210" s="336"/>
      <c r="BN210" s="336"/>
    </row>
    <row r="211" spans="1:66" s="351" customFormat="1" x14ac:dyDescent="0.25">
      <c r="A211" s="336"/>
      <c r="B211" s="336"/>
      <c r="C211" s="336"/>
      <c r="D211" s="336"/>
      <c r="E211" s="336"/>
      <c r="F211" s="336"/>
      <c r="G211" s="336"/>
      <c r="H211" s="336"/>
      <c r="I211" s="336"/>
      <c r="K211" s="399"/>
      <c r="L211" s="399"/>
      <c r="M211" s="399"/>
      <c r="N211" s="352"/>
      <c r="O211" s="353"/>
      <c r="P211" s="353"/>
      <c r="Q211" s="353"/>
      <c r="R211" s="353"/>
      <c r="S211" s="353"/>
      <c r="T211" s="362"/>
      <c r="AI211" s="336"/>
      <c r="AJ211" s="336"/>
      <c r="AK211" s="336"/>
      <c r="AL211" s="336"/>
      <c r="AM211" s="336"/>
      <c r="AN211" s="336"/>
      <c r="AO211" s="336"/>
      <c r="AP211" s="336"/>
      <c r="AQ211" s="336"/>
      <c r="AR211" s="336"/>
      <c r="AS211" s="364"/>
      <c r="AT211" s="364"/>
      <c r="AU211" s="364"/>
      <c r="AX211" s="336"/>
      <c r="AY211" s="336"/>
      <c r="AZ211" s="336"/>
      <c r="BA211" s="336"/>
      <c r="BB211" s="336"/>
      <c r="BC211" s="336"/>
      <c r="BD211" s="336"/>
      <c r="BE211" s="336"/>
      <c r="BF211" s="336"/>
      <c r="BG211" s="336"/>
      <c r="BH211" s="336"/>
      <c r="BI211" s="336"/>
      <c r="BJ211" s="336"/>
      <c r="BK211" s="336"/>
      <c r="BL211" s="336"/>
      <c r="BM211" s="336"/>
      <c r="BN211" s="336"/>
    </row>
    <row r="212" spans="1:66" s="351" customFormat="1" x14ac:dyDescent="0.25">
      <c r="A212" s="336"/>
      <c r="B212" s="336"/>
      <c r="C212" s="336"/>
      <c r="D212" s="336"/>
      <c r="E212" s="336"/>
      <c r="F212" s="336"/>
      <c r="G212" s="336"/>
      <c r="H212" s="336"/>
      <c r="I212" s="336"/>
      <c r="K212" s="399"/>
      <c r="L212" s="399"/>
      <c r="M212" s="399"/>
      <c r="N212" s="352"/>
      <c r="O212" s="353"/>
      <c r="P212" s="353"/>
      <c r="Q212" s="353"/>
      <c r="R212" s="353"/>
      <c r="S212" s="353"/>
      <c r="T212" s="362"/>
      <c r="AI212" s="336"/>
      <c r="AJ212" s="336"/>
      <c r="AK212" s="336"/>
      <c r="AL212" s="336"/>
      <c r="AM212" s="336"/>
      <c r="AN212" s="336"/>
      <c r="AO212" s="336"/>
      <c r="AP212" s="336"/>
      <c r="AQ212" s="336"/>
      <c r="AR212" s="336"/>
      <c r="AS212" s="364"/>
      <c r="AT212" s="364"/>
      <c r="AU212" s="364"/>
      <c r="AX212" s="336"/>
      <c r="AY212" s="336"/>
      <c r="AZ212" s="336"/>
      <c r="BA212" s="336"/>
      <c r="BB212" s="336"/>
      <c r="BC212" s="336"/>
      <c r="BD212" s="336"/>
      <c r="BE212" s="336"/>
      <c r="BF212" s="336"/>
      <c r="BG212" s="336"/>
      <c r="BH212" s="336"/>
      <c r="BI212" s="336"/>
      <c r="BJ212" s="336"/>
      <c r="BK212" s="336"/>
      <c r="BL212" s="336"/>
      <c r="BM212" s="336"/>
      <c r="BN212" s="336"/>
    </row>
    <row r="213" spans="1:66" s="351" customFormat="1" x14ac:dyDescent="0.25">
      <c r="A213" s="336"/>
      <c r="B213" s="336"/>
      <c r="C213" s="336"/>
      <c r="D213" s="336"/>
      <c r="E213" s="336"/>
      <c r="F213" s="336"/>
      <c r="G213" s="336"/>
      <c r="H213" s="336"/>
      <c r="I213" s="336"/>
      <c r="K213" s="399"/>
      <c r="L213" s="399"/>
      <c r="M213" s="399"/>
      <c r="N213" s="352"/>
      <c r="O213" s="353"/>
      <c r="P213" s="353"/>
      <c r="Q213" s="353"/>
      <c r="R213" s="353"/>
      <c r="S213" s="353"/>
      <c r="T213" s="362"/>
      <c r="AI213" s="336"/>
      <c r="AJ213" s="336"/>
      <c r="AK213" s="336"/>
      <c r="AL213" s="336"/>
      <c r="AM213" s="336"/>
      <c r="AN213" s="336"/>
      <c r="AO213" s="336"/>
      <c r="AP213" s="336"/>
      <c r="AQ213" s="336"/>
      <c r="AR213" s="336"/>
      <c r="AS213" s="364"/>
      <c r="AT213" s="364"/>
      <c r="AU213" s="364"/>
      <c r="AX213" s="336"/>
      <c r="AY213" s="336"/>
      <c r="AZ213" s="336"/>
      <c r="BA213" s="336"/>
      <c r="BB213" s="336"/>
      <c r="BC213" s="336"/>
      <c r="BD213" s="336"/>
      <c r="BE213" s="336"/>
      <c r="BF213" s="336"/>
      <c r="BG213" s="336"/>
      <c r="BH213" s="336"/>
      <c r="BI213" s="336"/>
      <c r="BJ213" s="336"/>
      <c r="BK213" s="336"/>
      <c r="BL213" s="336"/>
      <c r="BM213" s="336"/>
      <c r="BN213" s="336"/>
    </row>
    <row r="214" spans="1:66" s="361" customFormat="1" ht="16.5" customHeight="1" x14ac:dyDescent="0.25">
      <c r="J214" s="417"/>
      <c r="K214" s="417"/>
      <c r="L214" s="417"/>
      <c r="M214" s="417"/>
      <c r="N214" s="363"/>
      <c r="O214" s="364"/>
      <c r="P214" s="419"/>
      <c r="Q214" s="362"/>
      <c r="R214" s="362"/>
      <c r="S214" s="422"/>
      <c r="T214" s="362"/>
      <c r="U214" s="452"/>
      <c r="V214" s="452"/>
      <c r="W214" s="45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453"/>
      <c r="AK214" s="416"/>
      <c r="AL214" s="416"/>
      <c r="AM214" s="416"/>
      <c r="AN214" s="416"/>
      <c r="AO214" s="416"/>
      <c r="AP214" s="416"/>
      <c r="AS214" s="364"/>
      <c r="AT214" s="364"/>
      <c r="AU214" s="364"/>
      <c r="AV214" s="364"/>
    </row>
    <row r="215" spans="1:66" s="361" customFormat="1" ht="16.5" customHeight="1" x14ac:dyDescent="0.25">
      <c r="J215" s="417"/>
      <c r="K215" s="417"/>
      <c r="L215" s="417"/>
      <c r="M215" s="417"/>
      <c r="N215" s="363"/>
      <c r="O215" s="364"/>
      <c r="P215" s="419"/>
      <c r="Q215" s="362"/>
      <c r="R215" s="362"/>
      <c r="S215" s="422"/>
      <c r="T215" s="362"/>
      <c r="U215" s="452"/>
      <c r="V215" s="452"/>
      <c r="W215" s="45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453"/>
      <c r="AK215" s="416"/>
      <c r="AL215" s="416"/>
      <c r="AM215" s="416"/>
      <c r="AN215" s="416"/>
      <c r="AO215" s="416"/>
      <c r="AP215" s="416"/>
      <c r="AS215" s="364"/>
      <c r="AT215" s="364"/>
      <c r="AU215" s="364"/>
      <c r="AV215" s="364"/>
    </row>
    <row r="216" spans="1:66" s="361" customFormat="1" ht="16.5" customHeight="1" x14ac:dyDescent="0.25">
      <c r="J216" s="417"/>
      <c r="K216" s="417"/>
      <c r="L216" s="417"/>
      <c r="M216" s="417"/>
      <c r="N216" s="363"/>
      <c r="O216" s="364"/>
      <c r="P216" s="419"/>
      <c r="Q216" s="362"/>
      <c r="R216" s="362"/>
      <c r="S216" s="422"/>
      <c r="T216" s="362"/>
      <c r="U216" s="452"/>
      <c r="V216" s="452"/>
      <c r="W216" s="45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453"/>
      <c r="AK216" s="416"/>
      <c r="AL216" s="416"/>
      <c r="AM216" s="416"/>
      <c r="AN216" s="416"/>
      <c r="AO216" s="416"/>
      <c r="AP216" s="416"/>
      <c r="AS216" s="364"/>
      <c r="AT216" s="364"/>
      <c r="AU216" s="364"/>
      <c r="AV216" s="364"/>
    </row>
    <row r="217" spans="1:66" s="361" customFormat="1" ht="16.5" customHeight="1" x14ac:dyDescent="0.25">
      <c r="J217" s="417"/>
      <c r="K217" s="417"/>
      <c r="L217" s="417"/>
      <c r="M217" s="417"/>
      <c r="N217" s="363"/>
      <c r="O217" s="364"/>
      <c r="P217" s="419"/>
      <c r="Q217" s="362"/>
      <c r="R217" s="362"/>
      <c r="S217" s="422"/>
      <c r="T217" s="362"/>
      <c r="U217" s="452"/>
      <c r="V217" s="452"/>
      <c r="W217" s="45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453"/>
      <c r="AK217" s="416"/>
      <c r="AL217" s="416"/>
      <c r="AM217" s="416"/>
      <c r="AN217" s="416"/>
      <c r="AO217" s="416"/>
      <c r="AP217" s="416"/>
      <c r="AS217" s="364"/>
      <c r="AT217" s="364"/>
      <c r="AU217" s="364"/>
      <c r="AV217" s="364"/>
    </row>
    <row r="218" spans="1:66" s="361" customFormat="1" ht="16.5" customHeight="1" x14ac:dyDescent="0.25">
      <c r="J218" s="417"/>
      <c r="K218" s="417"/>
      <c r="L218" s="417"/>
      <c r="M218" s="417"/>
      <c r="N218" s="363"/>
      <c r="O218" s="364"/>
      <c r="P218" s="419"/>
      <c r="Q218" s="362"/>
      <c r="R218" s="362"/>
      <c r="S218" s="422"/>
      <c r="T218" s="362"/>
      <c r="U218" s="452"/>
      <c r="V218" s="452"/>
      <c r="W218" s="45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453"/>
      <c r="AK218" s="416"/>
      <c r="AL218" s="416"/>
      <c r="AM218" s="416"/>
      <c r="AN218" s="416"/>
      <c r="AO218" s="416"/>
      <c r="AP218" s="416"/>
      <c r="AS218" s="364"/>
      <c r="AT218" s="364"/>
      <c r="AU218" s="364"/>
      <c r="AV218" s="364"/>
    </row>
    <row r="219" spans="1:66" s="361" customFormat="1" ht="16.5" customHeight="1" x14ac:dyDescent="0.25">
      <c r="J219" s="417"/>
      <c r="K219" s="417"/>
      <c r="L219" s="417"/>
      <c r="M219" s="417"/>
      <c r="N219" s="363"/>
      <c r="O219" s="364"/>
      <c r="P219" s="419"/>
      <c r="Q219" s="362"/>
      <c r="R219" s="362"/>
      <c r="S219" s="422"/>
      <c r="T219" s="362"/>
      <c r="U219" s="452"/>
      <c r="V219" s="452"/>
      <c r="W219" s="45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453"/>
      <c r="AK219" s="416"/>
      <c r="AL219" s="416"/>
      <c r="AM219" s="416"/>
      <c r="AN219" s="416"/>
      <c r="AO219" s="416"/>
      <c r="AP219" s="416"/>
      <c r="AS219" s="364"/>
      <c r="AT219" s="364"/>
      <c r="AU219" s="364"/>
      <c r="AV219" s="364"/>
    </row>
    <row r="220" spans="1:66" s="361" customFormat="1" ht="16.5" customHeight="1" x14ac:dyDescent="0.25">
      <c r="J220" s="417"/>
      <c r="K220" s="417"/>
      <c r="L220" s="417"/>
      <c r="M220" s="417"/>
      <c r="N220" s="363"/>
      <c r="O220" s="364"/>
      <c r="P220" s="419"/>
      <c r="Q220" s="362"/>
      <c r="R220" s="362"/>
      <c r="S220" s="422"/>
      <c r="T220" s="362"/>
      <c r="U220" s="452"/>
      <c r="V220" s="452"/>
      <c r="W220" s="45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453"/>
      <c r="AK220" s="416"/>
      <c r="AL220" s="416"/>
      <c r="AM220" s="416"/>
      <c r="AN220" s="416"/>
      <c r="AO220" s="416"/>
      <c r="AP220" s="416"/>
      <c r="AS220" s="364"/>
      <c r="AT220" s="364"/>
      <c r="AU220" s="364"/>
      <c r="AV220" s="364"/>
    </row>
    <row r="221" spans="1:66" s="361" customFormat="1" ht="16.5" customHeight="1" x14ac:dyDescent="0.25">
      <c r="J221" s="417"/>
      <c r="K221" s="417"/>
      <c r="L221" s="417"/>
      <c r="M221" s="417"/>
      <c r="N221" s="363"/>
      <c r="O221" s="364"/>
      <c r="P221" s="419"/>
      <c r="Q221" s="362"/>
      <c r="R221" s="362"/>
      <c r="S221" s="422"/>
      <c r="T221" s="362"/>
      <c r="U221" s="452"/>
      <c r="V221" s="452"/>
      <c r="W221" s="45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453"/>
      <c r="AK221" s="416"/>
      <c r="AL221" s="416"/>
      <c r="AM221" s="416"/>
      <c r="AN221" s="416"/>
      <c r="AO221" s="416"/>
      <c r="AP221" s="416"/>
      <c r="AS221" s="364"/>
      <c r="AT221" s="364"/>
      <c r="AU221" s="364"/>
      <c r="AV221" s="364"/>
    </row>
    <row r="222" spans="1:66" s="361" customFormat="1" ht="16.5" customHeight="1" x14ac:dyDescent="0.25">
      <c r="J222" s="417"/>
      <c r="K222" s="417"/>
      <c r="L222" s="417"/>
      <c r="M222" s="417"/>
      <c r="N222" s="363"/>
      <c r="O222" s="364"/>
      <c r="P222" s="419"/>
      <c r="Q222" s="362"/>
      <c r="R222" s="362"/>
      <c r="S222" s="422"/>
      <c r="T222" s="362"/>
      <c r="U222" s="452"/>
      <c r="V222" s="452"/>
      <c r="W222" s="45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453"/>
      <c r="AK222" s="416"/>
      <c r="AL222" s="416"/>
      <c r="AM222" s="416"/>
      <c r="AN222" s="416"/>
      <c r="AO222" s="416"/>
      <c r="AP222" s="416"/>
      <c r="AS222" s="364"/>
      <c r="AT222" s="364"/>
      <c r="AU222" s="364"/>
      <c r="AV222" s="364"/>
    </row>
    <row r="223" spans="1:66" s="361" customFormat="1" ht="16.5" customHeight="1" x14ac:dyDescent="0.25">
      <c r="J223" s="417"/>
      <c r="K223" s="417"/>
      <c r="L223" s="417"/>
      <c r="M223" s="417"/>
      <c r="N223" s="363"/>
      <c r="O223" s="364"/>
      <c r="P223" s="419"/>
      <c r="Q223" s="362"/>
      <c r="R223" s="362"/>
      <c r="S223" s="422"/>
      <c r="T223" s="362"/>
      <c r="U223" s="452"/>
      <c r="V223" s="452"/>
      <c r="W223" s="45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453"/>
      <c r="AK223" s="416"/>
      <c r="AL223" s="416"/>
      <c r="AM223" s="416"/>
      <c r="AN223" s="416"/>
      <c r="AO223" s="416"/>
      <c r="AP223" s="416"/>
      <c r="AS223" s="364"/>
      <c r="AT223" s="364"/>
      <c r="AU223" s="364"/>
      <c r="AV223" s="364"/>
    </row>
    <row r="224" spans="1:66" s="361" customFormat="1" ht="16.5" customHeight="1" x14ac:dyDescent="0.25">
      <c r="J224" s="417"/>
      <c r="K224" s="417"/>
      <c r="L224" s="417"/>
      <c r="M224" s="417"/>
      <c r="N224" s="363"/>
      <c r="O224" s="364"/>
      <c r="P224" s="419"/>
      <c r="Q224" s="362"/>
      <c r="R224" s="362"/>
      <c r="S224" s="422"/>
      <c r="T224" s="362"/>
      <c r="U224" s="452"/>
      <c r="V224" s="452"/>
      <c r="W224" s="45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453"/>
      <c r="AK224" s="416"/>
      <c r="AL224" s="416"/>
      <c r="AM224" s="416"/>
      <c r="AN224" s="416"/>
      <c r="AO224" s="416"/>
      <c r="AP224" s="416"/>
      <c r="AS224" s="364"/>
      <c r="AT224" s="364"/>
      <c r="AU224" s="364"/>
      <c r="AV224" s="364"/>
    </row>
    <row r="225" spans="7:48" s="361" customFormat="1" ht="16.5" customHeight="1" x14ac:dyDescent="0.25">
      <c r="J225" s="417"/>
      <c r="K225" s="417"/>
      <c r="L225" s="417"/>
      <c r="M225" s="417"/>
      <c r="N225" s="363"/>
      <c r="O225" s="364"/>
      <c r="P225" s="419"/>
      <c r="Q225" s="362"/>
      <c r="R225" s="362"/>
      <c r="S225" s="422"/>
      <c r="T225" s="362"/>
      <c r="U225" s="452"/>
      <c r="V225" s="452"/>
      <c r="W225" s="45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453"/>
      <c r="AK225" s="416"/>
      <c r="AL225" s="416"/>
      <c r="AM225" s="416"/>
      <c r="AN225" s="416"/>
      <c r="AO225" s="416"/>
      <c r="AP225" s="416"/>
      <c r="AS225" s="364"/>
      <c r="AT225" s="364"/>
      <c r="AU225" s="364"/>
      <c r="AV225" s="364"/>
    </row>
    <row r="226" spans="7:48" s="361" customFormat="1" ht="16.5" customHeight="1" x14ac:dyDescent="0.25">
      <c r="J226" s="417"/>
      <c r="K226" s="417"/>
      <c r="L226" s="417"/>
      <c r="M226" s="417"/>
      <c r="N226" s="363"/>
      <c r="O226" s="364"/>
      <c r="P226" s="419"/>
      <c r="Q226" s="362"/>
      <c r="R226" s="362"/>
      <c r="S226" s="422"/>
      <c r="T226" s="362"/>
      <c r="U226" s="452"/>
      <c r="V226" s="452"/>
      <c r="W226" s="45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453"/>
      <c r="AK226" s="416"/>
      <c r="AL226" s="416"/>
      <c r="AM226" s="416"/>
      <c r="AN226" s="416"/>
      <c r="AO226" s="416"/>
      <c r="AP226" s="416"/>
      <c r="AS226" s="364"/>
      <c r="AT226" s="364"/>
      <c r="AU226" s="364"/>
      <c r="AV226" s="364"/>
    </row>
    <row r="227" spans="7:48" s="361" customFormat="1" ht="16.5" customHeight="1" x14ac:dyDescent="0.25">
      <c r="J227" s="417"/>
      <c r="K227" s="417"/>
      <c r="L227" s="417"/>
      <c r="M227" s="417"/>
      <c r="N227" s="363"/>
      <c r="O227" s="364"/>
      <c r="P227" s="419"/>
      <c r="Q227" s="362"/>
      <c r="R227" s="362"/>
      <c r="S227" s="422"/>
      <c r="T227" s="362"/>
      <c r="U227" s="452"/>
      <c r="V227" s="452"/>
      <c r="W227" s="45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453"/>
      <c r="AK227" s="416"/>
      <c r="AL227" s="416"/>
      <c r="AM227" s="416"/>
      <c r="AN227" s="416"/>
      <c r="AO227" s="416"/>
      <c r="AP227" s="416"/>
      <c r="AS227" s="364"/>
      <c r="AT227" s="364"/>
      <c r="AU227" s="364"/>
      <c r="AV227" s="364"/>
    </row>
    <row r="228" spans="7:48" s="361" customFormat="1" ht="16.5" customHeight="1" x14ac:dyDescent="0.25">
      <c r="J228" s="417"/>
      <c r="K228" s="417"/>
      <c r="L228" s="417"/>
      <c r="M228" s="417"/>
      <c r="N228" s="363"/>
      <c r="O228" s="364"/>
      <c r="P228" s="419"/>
      <c r="Q228" s="362"/>
      <c r="R228" s="362"/>
      <c r="S228" s="422"/>
      <c r="T228" s="362"/>
      <c r="U228" s="452"/>
      <c r="V228" s="452"/>
      <c r="W228" s="45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53"/>
      <c r="AK228" s="416"/>
      <c r="AL228" s="416"/>
      <c r="AM228" s="416"/>
      <c r="AN228" s="416"/>
      <c r="AO228" s="416"/>
      <c r="AP228" s="416"/>
      <c r="AS228" s="364"/>
      <c r="AT228" s="364"/>
      <c r="AU228" s="364"/>
      <c r="AV228" s="364"/>
    </row>
    <row r="229" spans="7:48" s="361" customFormat="1" ht="16.5" customHeight="1" x14ac:dyDescent="0.25">
      <c r="J229" s="417"/>
      <c r="K229" s="417"/>
      <c r="L229" s="417"/>
      <c r="M229" s="417"/>
      <c r="N229" s="363"/>
      <c r="O229" s="364"/>
      <c r="P229" s="419"/>
      <c r="Q229" s="362"/>
      <c r="R229" s="362"/>
      <c r="S229" s="422"/>
      <c r="T229" s="362"/>
      <c r="U229" s="452"/>
      <c r="V229" s="452"/>
      <c r="W229" s="45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453"/>
      <c r="AK229" s="416"/>
      <c r="AL229" s="416"/>
      <c r="AM229" s="416"/>
      <c r="AN229" s="416"/>
      <c r="AO229" s="416"/>
      <c r="AP229" s="416"/>
      <c r="AS229" s="364"/>
      <c r="AT229" s="364"/>
      <c r="AU229" s="364"/>
      <c r="AV229" s="364"/>
    </row>
    <row r="230" spans="7:48" s="361" customFormat="1" ht="16.5" customHeight="1" x14ac:dyDescent="0.25">
      <c r="J230" s="417"/>
      <c r="K230" s="417"/>
      <c r="L230" s="417"/>
      <c r="M230" s="417"/>
      <c r="N230" s="363"/>
      <c r="O230" s="364"/>
      <c r="P230" s="419"/>
      <c r="Q230" s="362"/>
      <c r="R230" s="362"/>
      <c r="S230" s="422"/>
      <c r="T230" s="362"/>
      <c r="U230" s="452"/>
      <c r="V230" s="452"/>
      <c r="W230" s="45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453"/>
      <c r="AK230" s="416"/>
      <c r="AL230" s="416"/>
      <c r="AM230" s="416"/>
      <c r="AN230" s="416"/>
      <c r="AO230" s="416"/>
      <c r="AP230" s="416"/>
      <c r="AS230" s="364"/>
      <c r="AT230" s="364"/>
      <c r="AU230" s="364"/>
      <c r="AV230" s="364"/>
    </row>
    <row r="231" spans="7:48" s="361" customFormat="1" ht="16.5" customHeight="1" x14ac:dyDescent="0.25">
      <c r="J231" s="417"/>
      <c r="K231" s="417"/>
      <c r="L231" s="417"/>
      <c r="M231" s="417"/>
      <c r="N231" s="363"/>
      <c r="O231" s="364"/>
      <c r="P231" s="419"/>
      <c r="Q231" s="362"/>
      <c r="R231" s="362"/>
      <c r="S231" s="422"/>
      <c r="T231" s="362"/>
      <c r="U231" s="452"/>
      <c r="V231" s="452"/>
      <c r="W231" s="45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453"/>
      <c r="AK231" s="416"/>
      <c r="AL231" s="416"/>
      <c r="AM231" s="416"/>
      <c r="AN231" s="416"/>
      <c r="AO231" s="416"/>
      <c r="AP231" s="416"/>
      <c r="AS231" s="364"/>
      <c r="AT231" s="364"/>
      <c r="AU231" s="364"/>
      <c r="AV231" s="364"/>
    </row>
    <row r="232" spans="7:48" s="361" customFormat="1" ht="16.5" customHeight="1" x14ac:dyDescent="0.25">
      <c r="J232" s="417"/>
      <c r="K232" s="417"/>
      <c r="L232" s="417"/>
      <c r="M232" s="417"/>
      <c r="N232" s="363"/>
      <c r="O232" s="364"/>
      <c r="P232" s="419"/>
      <c r="Q232" s="362"/>
      <c r="R232" s="362"/>
      <c r="S232" s="422"/>
      <c r="T232" s="362"/>
      <c r="U232" s="452"/>
      <c r="V232" s="452"/>
      <c r="W232" s="45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453"/>
      <c r="AK232" s="416"/>
      <c r="AL232" s="416"/>
      <c r="AM232" s="416"/>
      <c r="AN232" s="416"/>
      <c r="AO232" s="416"/>
      <c r="AP232" s="416"/>
      <c r="AS232" s="364"/>
      <c r="AT232" s="364"/>
      <c r="AU232" s="364"/>
      <c r="AV232" s="364"/>
    </row>
    <row r="233" spans="7:48" s="361" customFormat="1" ht="16.5" customHeight="1" x14ac:dyDescent="0.25">
      <c r="J233" s="417"/>
      <c r="K233" s="417"/>
      <c r="L233" s="417"/>
      <c r="M233" s="417"/>
      <c r="N233" s="363"/>
      <c r="O233" s="364"/>
      <c r="P233" s="419"/>
      <c r="Q233" s="362"/>
      <c r="R233" s="362"/>
      <c r="S233" s="422"/>
      <c r="T233" s="362"/>
      <c r="U233" s="452"/>
      <c r="V233" s="452"/>
      <c r="W233" s="45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453"/>
      <c r="AK233" s="416"/>
      <c r="AL233" s="416"/>
      <c r="AM233" s="416"/>
      <c r="AN233" s="416"/>
      <c r="AO233" s="416"/>
      <c r="AP233" s="416"/>
      <c r="AS233" s="364"/>
      <c r="AT233" s="364"/>
      <c r="AU233" s="364"/>
      <c r="AV233" s="364"/>
    </row>
    <row r="234" spans="7:48" s="361" customFormat="1" ht="16.5" customHeight="1" x14ac:dyDescent="0.25">
      <c r="G234" s="365"/>
      <c r="J234" s="417"/>
      <c r="K234" s="417"/>
      <c r="L234" s="417"/>
      <c r="M234" s="417"/>
      <c r="N234" s="363"/>
      <c r="O234" s="364"/>
      <c r="P234" s="419"/>
      <c r="Q234" s="362"/>
      <c r="R234" s="362"/>
      <c r="S234" s="422"/>
      <c r="T234" s="362"/>
      <c r="U234" s="452"/>
      <c r="V234" s="452"/>
      <c r="W234" s="45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453"/>
      <c r="AK234" s="416"/>
      <c r="AL234" s="416"/>
      <c r="AM234" s="416"/>
      <c r="AN234" s="416"/>
      <c r="AO234" s="416"/>
      <c r="AP234" s="416"/>
      <c r="AS234" s="364"/>
      <c r="AT234" s="364"/>
      <c r="AU234" s="364"/>
      <c r="AV234" s="364"/>
    </row>
    <row r="235" spans="7:48" s="361" customFormat="1" ht="16.5" customHeight="1" x14ac:dyDescent="0.25">
      <c r="G235" s="365"/>
      <c r="J235" s="417"/>
      <c r="K235" s="417"/>
      <c r="L235" s="417"/>
      <c r="M235" s="417"/>
      <c r="N235" s="363"/>
      <c r="O235" s="364"/>
      <c r="P235" s="419"/>
      <c r="Q235" s="362"/>
      <c r="R235" s="362"/>
      <c r="S235" s="422"/>
      <c r="T235" s="362"/>
      <c r="U235" s="452"/>
      <c r="V235" s="452"/>
      <c r="W235" s="45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453"/>
      <c r="AK235" s="416"/>
      <c r="AL235" s="416"/>
      <c r="AM235" s="416"/>
      <c r="AN235" s="416"/>
      <c r="AO235" s="416"/>
      <c r="AP235" s="416"/>
      <c r="AS235" s="364"/>
      <c r="AT235" s="364"/>
      <c r="AU235" s="364"/>
      <c r="AV235" s="364"/>
    </row>
    <row r="236" spans="7:48" s="361" customFormat="1" ht="16.5" customHeight="1" x14ac:dyDescent="0.25">
      <c r="G236" s="365"/>
      <c r="J236" s="417"/>
      <c r="K236" s="417"/>
      <c r="L236" s="417"/>
      <c r="M236" s="417"/>
      <c r="N236" s="363"/>
      <c r="O236" s="364"/>
      <c r="P236" s="419"/>
      <c r="Q236" s="362"/>
      <c r="R236" s="362"/>
      <c r="S236" s="422"/>
      <c r="T236" s="362"/>
      <c r="U236" s="452"/>
      <c r="V236" s="452"/>
      <c r="W236" s="45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453"/>
      <c r="AK236" s="416"/>
      <c r="AL236" s="416"/>
      <c r="AM236" s="416"/>
      <c r="AN236" s="416"/>
      <c r="AO236" s="416"/>
      <c r="AP236" s="416"/>
      <c r="AS236" s="364"/>
      <c r="AT236" s="364"/>
      <c r="AU236" s="364"/>
      <c r="AV236" s="364"/>
    </row>
    <row r="237" spans="7:48" s="361" customFormat="1" ht="16.5" customHeight="1" x14ac:dyDescent="0.25">
      <c r="G237" s="365"/>
      <c r="J237" s="417"/>
      <c r="K237" s="417"/>
      <c r="L237" s="417"/>
      <c r="M237" s="417"/>
      <c r="N237" s="363"/>
      <c r="O237" s="364"/>
      <c r="P237" s="419"/>
      <c r="Q237" s="362"/>
      <c r="R237" s="362"/>
      <c r="S237" s="422"/>
      <c r="T237" s="362"/>
      <c r="U237" s="452"/>
      <c r="V237" s="452"/>
      <c r="W237" s="45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453"/>
      <c r="AK237" s="416"/>
      <c r="AL237" s="416"/>
      <c r="AM237" s="416"/>
      <c r="AN237" s="416"/>
      <c r="AO237" s="416"/>
      <c r="AP237" s="416"/>
      <c r="AS237" s="364"/>
      <c r="AT237" s="364"/>
      <c r="AU237" s="364"/>
      <c r="AV237" s="364"/>
    </row>
    <row r="238" spans="7:48" s="361" customFormat="1" ht="16.5" customHeight="1" x14ac:dyDescent="0.25">
      <c r="J238" s="417"/>
      <c r="K238" s="417"/>
      <c r="L238" s="417"/>
      <c r="M238" s="417"/>
      <c r="N238" s="363"/>
      <c r="O238" s="364"/>
      <c r="P238" s="419"/>
      <c r="Q238" s="362"/>
      <c r="R238" s="362"/>
      <c r="S238" s="422"/>
      <c r="T238" s="362"/>
      <c r="U238" s="452"/>
      <c r="V238" s="452"/>
      <c r="W238" s="45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453"/>
      <c r="AK238" s="416"/>
      <c r="AL238" s="416"/>
      <c r="AM238" s="416"/>
      <c r="AN238" s="416"/>
      <c r="AO238" s="416"/>
      <c r="AP238" s="416"/>
      <c r="AS238" s="364"/>
      <c r="AT238" s="364"/>
      <c r="AU238" s="364"/>
      <c r="AV238" s="364"/>
    </row>
    <row r="239" spans="7:48" s="361" customFormat="1" ht="16.5" customHeight="1" x14ac:dyDescent="0.25">
      <c r="J239" s="417"/>
      <c r="K239" s="417"/>
      <c r="L239" s="417"/>
      <c r="M239" s="417"/>
      <c r="N239" s="363"/>
      <c r="O239" s="364"/>
      <c r="P239" s="419"/>
      <c r="Q239" s="362"/>
      <c r="R239" s="362"/>
      <c r="S239" s="422"/>
      <c r="T239" s="399"/>
      <c r="U239" s="452"/>
      <c r="V239" s="452"/>
      <c r="W239" s="45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453"/>
      <c r="AK239" s="416"/>
      <c r="AL239" s="416"/>
      <c r="AM239" s="416"/>
      <c r="AN239" s="416"/>
      <c r="AO239" s="416"/>
      <c r="AP239" s="416"/>
      <c r="AS239" s="364"/>
      <c r="AT239" s="364"/>
      <c r="AU239" s="364"/>
      <c r="AV239" s="364"/>
    </row>
    <row r="240" spans="7:48" s="361" customFormat="1" ht="16.5" customHeight="1" x14ac:dyDescent="0.25">
      <c r="J240" s="417"/>
      <c r="K240" s="417"/>
      <c r="L240" s="417"/>
      <c r="M240" s="417"/>
      <c r="N240" s="363"/>
      <c r="O240" s="364"/>
      <c r="P240" s="419"/>
      <c r="Q240" s="362"/>
      <c r="R240" s="362"/>
      <c r="S240" s="422"/>
      <c r="T240" s="399"/>
      <c r="U240" s="452"/>
      <c r="V240" s="452"/>
      <c r="W240" s="45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453"/>
      <c r="AK240" s="416"/>
      <c r="AL240" s="416"/>
      <c r="AM240" s="416"/>
      <c r="AN240" s="416"/>
      <c r="AO240" s="416"/>
      <c r="AP240" s="416"/>
      <c r="AS240" s="364"/>
      <c r="AT240" s="364"/>
      <c r="AU240" s="364"/>
      <c r="AV240" s="364"/>
    </row>
    <row r="241" spans="10:48" s="361" customFormat="1" ht="16.5" customHeight="1" x14ac:dyDescent="0.25">
      <c r="J241" s="417"/>
      <c r="K241" s="417"/>
      <c r="L241" s="417"/>
      <c r="M241" s="417"/>
      <c r="N241" s="363"/>
      <c r="O241" s="364"/>
      <c r="P241" s="419"/>
      <c r="Q241" s="362"/>
      <c r="R241" s="362"/>
      <c r="S241" s="422"/>
      <c r="T241" s="399"/>
      <c r="U241" s="452"/>
      <c r="V241" s="452"/>
      <c r="W241" s="45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453"/>
      <c r="AK241" s="416"/>
      <c r="AL241" s="416"/>
      <c r="AM241" s="416"/>
      <c r="AN241" s="416"/>
      <c r="AO241" s="416"/>
      <c r="AP241" s="416"/>
      <c r="AS241" s="364"/>
      <c r="AT241" s="364"/>
      <c r="AU241" s="364"/>
      <c r="AV241" s="364"/>
    </row>
    <row r="242" spans="10:48" s="361" customFormat="1" ht="16.5" customHeight="1" x14ac:dyDescent="0.25">
      <c r="J242" s="417"/>
      <c r="K242" s="417"/>
      <c r="L242" s="417"/>
      <c r="M242" s="417"/>
      <c r="N242" s="363"/>
      <c r="O242" s="364"/>
      <c r="P242" s="419"/>
      <c r="Q242" s="362"/>
      <c r="R242" s="362"/>
      <c r="S242" s="422"/>
      <c r="T242" s="399"/>
      <c r="U242" s="452"/>
      <c r="V242" s="452"/>
      <c r="W242" s="45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453"/>
      <c r="AK242" s="416"/>
      <c r="AL242" s="416"/>
      <c r="AM242" s="416"/>
      <c r="AN242" s="416"/>
      <c r="AO242" s="416"/>
      <c r="AP242" s="416"/>
      <c r="AS242" s="364"/>
      <c r="AT242" s="364"/>
      <c r="AU242" s="364"/>
      <c r="AV242" s="364"/>
    </row>
    <row r="243" spans="10:48" s="361" customFormat="1" ht="16.5" customHeight="1" x14ac:dyDescent="0.25">
      <c r="J243" s="417"/>
      <c r="K243" s="417"/>
      <c r="L243" s="417"/>
      <c r="M243" s="417"/>
      <c r="N243" s="363"/>
      <c r="O243" s="364"/>
      <c r="P243" s="419"/>
      <c r="Q243" s="362"/>
      <c r="R243" s="362"/>
      <c r="S243" s="422"/>
      <c r="T243" s="399"/>
      <c r="U243" s="452"/>
      <c r="V243" s="452"/>
      <c r="W243" s="45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453"/>
      <c r="AK243" s="416"/>
      <c r="AL243" s="416"/>
      <c r="AM243" s="416"/>
      <c r="AN243" s="416"/>
      <c r="AO243" s="416"/>
      <c r="AP243" s="416"/>
      <c r="AS243" s="364"/>
      <c r="AT243" s="364"/>
      <c r="AU243" s="364"/>
      <c r="AV243" s="364"/>
    </row>
    <row r="244" spans="10:48" s="361" customFormat="1" ht="16.5" customHeight="1" x14ac:dyDescent="0.25">
      <c r="J244" s="417"/>
      <c r="K244" s="417"/>
      <c r="L244" s="417"/>
      <c r="M244" s="417"/>
      <c r="N244" s="363"/>
      <c r="O244" s="364"/>
      <c r="P244" s="419"/>
      <c r="Q244" s="362"/>
      <c r="R244" s="362"/>
      <c r="S244" s="422"/>
      <c r="T244" s="399"/>
      <c r="U244" s="452"/>
      <c r="V244" s="452"/>
      <c r="W244" s="45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453"/>
      <c r="AK244" s="416"/>
      <c r="AL244" s="416"/>
      <c r="AM244" s="416"/>
      <c r="AN244" s="416"/>
      <c r="AO244" s="416"/>
      <c r="AP244" s="416"/>
      <c r="AS244" s="364"/>
      <c r="AT244" s="364"/>
      <c r="AU244" s="364"/>
      <c r="AV244" s="364"/>
    </row>
    <row r="245" spans="10:48" s="361" customFormat="1" ht="16.5" customHeight="1" x14ac:dyDescent="0.25">
      <c r="J245" s="417"/>
      <c r="K245" s="417"/>
      <c r="L245" s="417"/>
      <c r="M245" s="417"/>
      <c r="N245" s="363"/>
      <c r="O245" s="364"/>
      <c r="P245" s="419"/>
      <c r="Q245" s="362"/>
      <c r="R245" s="362"/>
      <c r="S245" s="422"/>
      <c r="T245" s="399"/>
      <c r="U245" s="452"/>
      <c r="V245" s="452"/>
      <c r="W245" s="45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453"/>
      <c r="AK245" s="416"/>
      <c r="AL245" s="416"/>
      <c r="AM245" s="416"/>
      <c r="AN245" s="416"/>
      <c r="AO245" s="416"/>
      <c r="AP245" s="416"/>
      <c r="AS245" s="364"/>
      <c r="AT245" s="364"/>
      <c r="AU245" s="364"/>
      <c r="AV245" s="364"/>
    </row>
    <row r="246" spans="10:48" s="361" customFormat="1" ht="16.5" customHeight="1" x14ac:dyDescent="0.25">
      <c r="J246" s="417"/>
      <c r="K246" s="417"/>
      <c r="L246" s="417"/>
      <c r="M246" s="417"/>
      <c r="N246" s="363"/>
      <c r="O246" s="364"/>
      <c r="P246" s="419"/>
      <c r="Q246" s="362"/>
      <c r="R246" s="362"/>
      <c r="S246" s="422"/>
      <c r="T246" s="399"/>
      <c r="U246" s="452"/>
      <c r="V246" s="452"/>
      <c r="W246" s="45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453"/>
      <c r="AK246" s="416"/>
      <c r="AL246" s="416"/>
      <c r="AM246" s="416"/>
      <c r="AN246" s="416"/>
      <c r="AO246" s="416"/>
      <c r="AP246" s="416"/>
      <c r="AS246" s="364"/>
      <c r="AT246" s="364"/>
      <c r="AU246" s="364"/>
      <c r="AV246" s="364"/>
    </row>
    <row r="247" spans="10:48" s="361" customFormat="1" ht="16.5" customHeight="1" x14ac:dyDescent="0.25">
      <c r="J247" s="417"/>
      <c r="K247" s="417"/>
      <c r="L247" s="417"/>
      <c r="M247" s="417"/>
      <c r="N247" s="363"/>
      <c r="O247" s="364"/>
      <c r="P247" s="419"/>
      <c r="Q247" s="362"/>
      <c r="R247" s="362"/>
      <c r="S247" s="422"/>
      <c r="T247" s="399"/>
      <c r="U247" s="452"/>
      <c r="V247" s="452"/>
      <c r="W247" s="45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453"/>
      <c r="AK247" s="416"/>
      <c r="AL247" s="416"/>
      <c r="AM247" s="416"/>
      <c r="AN247" s="416"/>
      <c r="AO247" s="416"/>
      <c r="AP247" s="416"/>
      <c r="AS247" s="364"/>
      <c r="AT247" s="364"/>
      <c r="AU247" s="364"/>
      <c r="AV247" s="364"/>
    </row>
    <row r="248" spans="10:48" s="361" customFormat="1" ht="16.5" customHeight="1" x14ac:dyDescent="0.25">
      <c r="J248" s="417"/>
      <c r="K248" s="417"/>
      <c r="L248" s="417"/>
      <c r="M248" s="417"/>
      <c r="N248" s="363"/>
      <c r="O248" s="364"/>
      <c r="P248" s="419"/>
      <c r="Q248" s="362"/>
      <c r="R248" s="362"/>
      <c r="S248" s="422"/>
      <c r="T248" s="399"/>
      <c r="U248" s="452"/>
      <c r="V248" s="452"/>
      <c r="W248" s="45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453"/>
      <c r="AK248" s="416"/>
      <c r="AL248" s="416"/>
      <c r="AM248" s="416"/>
      <c r="AN248" s="416"/>
      <c r="AO248" s="416"/>
      <c r="AP248" s="416"/>
      <c r="AS248" s="364"/>
      <c r="AT248" s="364"/>
      <c r="AU248" s="364"/>
      <c r="AV248" s="364"/>
    </row>
    <row r="249" spans="10:48" s="361" customFormat="1" ht="16.5" customHeight="1" x14ac:dyDescent="0.25">
      <c r="J249" s="417"/>
      <c r="K249" s="417"/>
      <c r="L249" s="417"/>
      <c r="M249" s="417"/>
      <c r="N249" s="363"/>
      <c r="O249" s="364"/>
      <c r="P249" s="419"/>
      <c r="Q249" s="362"/>
      <c r="R249" s="362"/>
      <c r="S249" s="422"/>
      <c r="T249" s="399"/>
      <c r="U249" s="452"/>
      <c r="V249" s="452"/>
      <c r="W249" s="45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453"/>
      <c r="AK249" s="416"/>
      <c r="AL249" s="416"/>
      <c r="AM249" s="416"/>
      <c r="AN249" s="416"/>
      <c r="AO249" s="416"/>
      <c r="AP249" s="416"/>
      <c r="AS249" s="364"/>
      <c r="AT249" s="364"/>
      <c r="AU249" s="364"/>
      <c r="AV249" s="364"/>
    </row>
    <row r="410" spans="1:7" x14ac:dyDescent="0.25">
      <c r="A410" s="249" t="s">
        <v>78</v>
      </c>
      <c r="B410" s="250" t="s">
        <v>79</v>
      </c>
      <c r="C410" s="455" t="s">
        <v>3780</v>
      </c>
      <c r="D410" s="455"/>
      <c r="E410" s="455"/>
      <c r="F410" s="455"/>
      <c r="G410" s="455"/>
    </row>
    <row r="411" spans="1:7" x14ac:dyDescent="0.2">
      <c r="A411" s="257"/>
      <c r="B411" s="258" t="s">
        <v>6805</v>
      </c>
      <c r="C411" s="456" t="s">
        <v>3782</v>
      </c>
      <c r="D411" s="456" t="s">
        <v>3783</v>
      </c>
      <c r="E411" s="456" t="s">
        <v>3784</v>
      </c>
      <c r="F411" s="456" t="s">
        <v>3785</v>
      </c>
      <c r="G411" s="457" t="s">
        <v>39</v>
      </c>
    </row>
    <row r="412" spans="1:7" x14ac:dyDescent="0.25">
      <c r="A412" s="263"/>
      <c r="B412" s="264" t="s">
        <v>70</v>
      </c>
      <c r="C412" s="265">
        <f>SUMIFS($O$5:$O343,$H$5:$H343,$A$413,$I$5:$I343,$B412,$B$5:$B343,"&lt;=30")</f>
        <v>0</v>
      </c>
      <c r="D412" s="265">
        <f>SUMIFS($O$5:$O343,$H$5:$H343,$A$413,$I$5:$I343,$B412,$B$5:$B343,"&lt;=60")-C412</f>
        <v>0</v>
      </c>
      <c r="E412" s="265">
        <f>SUMIFS($O$5:$O343,$H$5:$H343,$A$413,$I$5:$I343,$B412,$B$5:$B343,"&lt;=90")-D412-C412</f>
        <v>0</v>
      </c>
      <c r="F412" s="265">
        <f>SUMIFS($O$5:$O343,$H$5:$H343,$A$413,$I$5:$I343,$B412,$B$5:$B343,"&gt;=91")</f>
        <v>0</v>
      </c>
      <c r="G412" s="266">
        <f t="shared" ref="G412:G442" si="6">SUM(C412:F412)</f>
        <v>0</v>
      </c>
    </row>
    <row r="413" spans="1:7" x14ac:dyDescent="0.25">
      <c r="A413" s="268">
        <v>201</v>
      </c>
      <c r="B413" s="30" t="s">
        <v>69</v>
      </c>
      <c r="C413" s="265">
        <f>SUMIFS($O$5:$O344,$H$5:$H344,$A$413,$I$5:$I344,$B413,$B$5:$B344,"&lt;=30")</f>
        <v>0</v>
      </c>
      <c r="D413" s="265">
        <f>SUMIFS($O$5:$O344,$H$5:$H344,$A$413,$I$5:$I344,$B413,$B$5:$B344,"&lt;=60")-C413</f>
        <v>0</v>
      </c>
      <c r="E413" s="265">
        <f>SUMIFS($O$5:$O344,$H$5:$H344,$A$413,$I$5:$I344,$B413,$B$5:$B344,"&lt;=90")-D413-C413</f>
        <v>0</v>
      </c>
      <c r="F413" s="265">
        <f>SUMIFS($O$5:$O344,$H$5:$H344,$A$413,$I$5:$I344,$B413,$B$5:$B344,"&gt;=91")</f>
        <v>0</v>
      </c>
      <c r="G413" s="266">
        <f t="shared" si="6"/>
        <v>0</v>
      </c>
    </row>
    <row r="414" spans="1:7" x14ac:dyDescent="0.25">
      <c r="A414" s="271"/>
      <c r="B414" s="272" t="s">
        <v>114</v>
      </c>
      <c r="C414" s="265">
        <f>SUMIFS($O$5:$O345,$H$5:$H345,$A$413,$I$5:$I345,$B414,$B$5:$B345,"&lt;=30")</f>
        <v>0</v>
      </c>
      <c r="D414" s="265">
        <f>SUMIFS($O$5:$O345,$H$5:$H345,$A$413,$I$5:$I345,$B414,$B$5:$B345,"&lt;=60")-C414</f>
        <v>0</v>
      </c>
      <c r="E414" s="265">
        <f>SUMIFS($O$5:$O345,$H$5:$H345,$A$413,$I$5:$I345,$B414,$B$5:$B345,"&lt;=90")-D414-C414</f>
        <v>0</v>
      </c>
      <c r="F414" s="265">
        <f>SUMIFS($O$5:$O345,$H$5:$H345,$A$413,$I$5:$I345,$B414,$B$5:$B345,"&gt;=91")</f>
        <v>0</v>
      </c>
      <c r="G414" s="266">
        <f t="shared" si="6"/>
        <v>0</v>
      </c>
    </row>
    <row r="415" spans="1:7" x14ac:dyDescent="0.25">
      <c r="A415" s="274"/>
      <c r="B415" s="264" t="s">
        <v>70</v>
      </c>
      <c r="C415" s="265">
        <f>SUMIFS($O$5:$O346,$H$5:$H346,$A$416,$I$5:$I346,$B415,$B$5:$B346,"&lt;=30")</f>
        <v>0</v>
      </c>
      <c r="D415" s="265">
        <f>SUMIFS($O$5:$O346,$H$5:$H346,$A$416,$I$5:$I346,$B415,$B$5:$B346,"&lt;=60")-C415</f>
        <v>0</v>
      </c>
      <c r="E415" s="265">
        <f>SUMIFS($O$5:$O346,$H$5:$H346,$A$416,$I$5:$I346,$B415,$B$5:$B346,"&lt;=90")-D415-C415</f>
        <v>0</v>
      </c>
      <c r="F415" s="265">
        <f>SUMIFS($O$5:$O346,$H$5:$H346,$A$416,$I$5:$I346,$B415,$B$5:$B346,"&gt;=91")</f>
        <v>0</v>
      </c>
      <c r="G415" s="266">
        <f t="shared" si="6"/>
        <v>0</v>
      </c>
    </row>
    <row r="416" spans="1:7" x14ac:dyDescent="0.25">
      <c r="A416" s="277" t="s">
        <v>32</v>
      </c>
      <c r="B416" s="30" t="s">
        <v>69</v>
      </c>
      <c r="C416" s="265">
        <f>SUMIFS($O$5:$O347,$H$5:$H347,$A$416,$I$5:$I347,$B416,$B$5:$B347,"&lt;=30")</f>
        <v>0</v>
      </c>
      <c r="D416" s="265">
        <f>SUMIFS($O$5:$O347,$H$5:$H347,$A$416,$I$5:$I347,$B416,$B$5:$B347,"&lt;=60")-C416</f>
        <v>0</v>
      </c>
      <c r="E416" s="265">
        <f>SUMIFS($O$5:$O347,$H$5:$H347,$A$416,$I$5:$I347,$B416,$B$5:$B347,"&lt;=90")-D416-C416</f>
        <v>0</v>
      </c>
      <c r="F416" s="265">
        <f>SUMIFS($O$5:$O347,$H$5:$H347,$A$416,$I$5:$I347,$B416,$B$5:$B347,"&gt;=91")</f>
        <v>0</v>
      </c>
      <c r="G416" s="266">
        <f t="shared" si="6"/>
        <v>0</v>
      </c>
    </row>
    <row r="417" spans="1:7" x14ac:dyDescent="0.25">
      <c r="A417" s="277"/>
      <c r="B417" s="272" t="s">
        <v>114</v>
      </c>
      <c r="C417" s="265">
        <f ca="1">SUMIFS($O$5:$O348,$H$5:$H348,$A$416,$I$5:$I348,$B417,$B$5:$B348,"&lt;=30")</f>
        <v>0</v>
      </c>
      <c r="D417" s="265">
        <f ca="1">SUMIFS($O$5:$O348,$H$5:$H348,$A$416,$I$5:$I348,$B417,$B$5:$B348,"&lt;=60")-C417</f>
        <v>0</v>
      </c>
      <c r="E417" s="265">
        <f ca="1">SUMIFS($O$5:$O348,$H$5:$H348,$A$416,$I$5:$I348,$B417,$B$5:$B348,"&lt;=90")-D417-C417</f>
        <v>0</v>
      </c>
      <c r="F417" s="265">
        <f ca="1">SUMIFS($O$5:$O348,$H$5:$H348,$A$416,$I$5:$I348,$B417,$B$5:$B348,"&gt;=91")</f>
        <v>0.92200000000000004</v>
      </c>
      <c r="G417" s="266">
        <f t="shared" ca="1" si="6"/>
        <v>0.92200000000000004</v>
      </c>
    </row>
    <row r="418" spans="1:7" x14ac:dyDescent="0.25">
      <c r="A418" s="280"/>
      <c r="B418" s="264" t="s">
        <v>70</v>
      </c>
      <c r="C418" s="265">
        <f>SUMIFS($O$5:$O349,$H$5:$H349,$A$419,$I$5:$I349,$B418,$B$5:$B349,"&lt;=30")</f>
        <v>0</v>
      </c>
      <c r="D418" s="265">
        <f>SUMIFS($O$5:$O349,$H$5:$H349,$A$419,$I$5:$I349,$B418,$B$5:$B349,"&lt;=60")-C418</f>
        <v>0</v>
      </c>
      <c r="E418" s="265">
        <f>SUMIFS($O$5:$O349,$H$5:$H349,$A$419,$I$5:$I349,$B418,$B$5:$B349,"&lt;=90")-D418-C418</f>
        <v>0</v>
      </c>
      <c r="F418" s="265">
        <f>SUMIFS($O$5:$O349,$H$5:$H349,$A$419,$I$5:$I349,$B418,$B$5:$B349,"&gt;=91")</f>
        <v>0</v>
      </c>
      <c r="G418" s="266">
        <f t="shared" si="6"/>
        <v>0</v>
      </c>
    </row>
    <row r="419" spans="1:7" x14ac:dyDescent="0.25">
      <c r="A419" s="285" t="s">
        <v>33</v>
      </c>
      <c r="B419" s="30" t="s">
        <v>69</v>
      </c>
      <c r="C419" s="265">
        <f>SUMIFS($O$5:$O350,$H$5:$H350,$A$419,$I$5:$I350,$B419,$B$5:$B350,"&lt;=30")</f>
        <v>0</v>
      </c>
      <c r="D419" s="265">
        <f>SUMIFS($O$5:$O350,$H$5:$H350,$A$419,$I$5:$I350,$B419,$B$5:$B350,"&lt;=60")-C419</f>
        <v>0</v>
      </c>
      <c r="E419" s="265">
        <f>SUMIFS($O$5:$O350,$H$5:$H350,$A$419,$I$5:$I350,$B419,$B$5:$B350,"&lt;=90")-D419-C419</f>
        <v>0</v>
      </c>
      <c r="F419" s="265">
        <f>SUMIFS($O$5:$O350,$H$5:$H350,$A$419,$I$5:$I350,$B419,$B$5:$B350,"&gt;=91")</f>
        <v>0</v>
      </c>
      <c r="G419" s="266">
        <f t="shared" si="6"/>
        <v>0</v>
      </c>
    </row>
    <row r="420" spans="1:7" x14ac:dyDescent="0.25">
      <c r="A420" s="285"/>
      <c r="B420" s="272" t="s">
        <v>114</v>
      </c>
      <c r="C420" s="265">
        <f>SUMIFS($O$5:$O351,$H$5:$H351,$A$419,$I$5:$I351,$B420,$B$5:$B351,"&lt;=30")</f>
        <v>0</v>
      </c>
      <c r="D420" s="265">
        <f>SUMIFS($O$5:$O351,$H$5:$H351,$A$419,$I$5:$I351,$B420,$B$5:$B351,"&lt;=60")-C420</f>
        <v>0</v>
      </c>
      <c r="E420" s="265">
        <f>SUMIFS($O$5:$O351,$H$5:$H351,$A$419,$I$5:$I351,$B420,$B$5:$B351,"&lt;=90")-D420-C420</f>
        <v>0</v>
      </c>
      <c r="F420" s="265">
        <f>SUMIFS($O$5:$O351,$H$5:$H351,$A$419,$I$5:$I351,$B420,$B$5:$B351,"&gt;=91")</f>
        <v>0</v>
      </c>
      <c r="G420" s="266">
        <f t="shared" si="6"/>
        <v>0</v>
      </c>
    </row>
    <row r="421" spans="1:7" x14ac:dyDescent="0.25">
      <c r="A421" s="291"/>
      <c r="B421" s="264" t="s">
        <v>70</v>
      </c>
      <c r="C421" s="265">
        <f>SUMIFS($O$5:$O352,$H$5:$H352,$A$422,$I$5:$I352,$B421,$B$5:$B352,"&lt;=30")</f>
        <v>0</v>
      </c>
      <c r="D421" s="265">
        <f>SUMIFS($O$5:$O352,$H$5:$H352,$A$422,$I$5:$I352,$B421,$B$5:$B352,"&lt;=60")-C421</f>
        <v>0</v>
      </c>
      <c r="E421" s="265">
        <f>SUMIFS($O$5:$O352,$H$5:$H352,$A$422,$I$5:$I352,$B421,$B$5:$B352,"&lt;=90")-D421-C421</f>
        <v>0</v>
      </c>
      <c r="F421" s="265">
        <f>SUMIFS($O$5:$O352,$H$5:$H352,$A$422,$I$5:$I352,$B421,$B$5:$B352,"&gt;=91")</f>
        <v>0</v>
      </c>
      <c r="G421" s="266">
        <f t="shared" si="6"/>
        <v>0</v>
      </c>
    </row>
    <row r="422" spans="1:7" x14ac:dyDescent="0.25">
      <c r="A422" s="293" t="s">
        <v>34</v>
      </c>
      <c r="B422" s="30" t="s">
        <v>69</v>
      </c>
      <c r="C422" s="265">
        <f>SUMIFS($O$5:$O353,$H$5:$H353,$A$422,$I$5:$I353,$B422,$B$5:$B353,"&lt;=30")</f>
        <v>0</v>
      </c>
      <c r="D422" s="265">
        <f>SUMIFS($O$5:$O353,$H$5:$H353,$A$422,$I$5:$I353,$B422,$B$5:$B353,"&lt;=60")-C422</f>
        <v>0</v>
      </c>
      <c r="E422" s="265">
        <f>SUMIFS($O$5:$O353,$H$5:$H353,$A$422,$I$5:$I353,$B422,$B$5:$B353,"&lt;=90")-D422-C422</f>
        <v>0</v>
      </c>
      <c r="F422" s="265">
        <f>SUMIFS($O$5:$O353,$H$5:$H353,$A$422,$I$5:$I353,$B422,$B$5:$B353,"&gt;=91")</f>
        <v>0</v>
      </c>
      <c r="G422" s="266">
        <f t="shared" si="6"/>
        <v>0</v>
      </c>
    </row>
    <row r="423" spans="1:7" x14ac:dyDescent="0.25">
      <c r="A423" s="293"/>
      <c r="B423" s="272" t="s">
        <v>114</v>
      </c>
      <c r="C423" s="265">
        <f>SUMIFS($O$5:$O354,$H$5:$H354,$A$422,$I$5:$I354,$B423,$B$5:$B354,"&lt;=30")</f>
        <v>0</v>
      </c>
      <c r="D423" s="265">
        <f>SUMIFS($O$5:$O354,$H$5:$H354,$A$422,$I$5:$I354,$B423,$B$5:$B354,"&lt;=60")-C423</f>
        <v>0</v>
      </c>
      <c r="E423" s="265">
        <f>SUMIFS($O$5:$O354,$H$5:$H354,$A$422,$I$5:$I354,$B423,$B$5:$B354,"&lt;=90")-D423-C423</f>
        <v>0</v>
      </c>
      <c r="F423" s="265">
        <f>SUMIFS($O$5:$O354,$H$5:$H354,$A$422,$I$5:$I354,$B423,$B$5:$B354,"&gt;=91")</f>
        <v>0</v>
      </c>
      <c r="G423" s="266">
        <f t="shared" si="6"/>
        <v>0</v>
      </c>
    </row>
    <row r="424" spans="1:7" x14ac:dyDescent="0.25">
      <c r="A424" s="296"/>
      <c r="B424" s="264" t="s">
        <v>70</v>
      </c>
      <c r="C424" s="265">
        <f>SUMIFS($O$5:$O355,$H$5:$H355,$A$425,$I$5:$I355,$B424,$B$5:$B355,"&lt;=30")</f>
        <v>0</v>
      </c>
      <c r="D424" s="265">
        <f>SUMIFS($O$5:$O355,$H$5:$H355,$A$425,$I$5:$I355,$B424,$B$5:$B355,"&lt;=60")-C424</f>
        <v>0</v>
      </c>
      <c r="E424" s="265">
        <f>SUMIFS($O$5:$O355,$H$5:$H355,$A$425,$I$5:$I355,$B424,$B$5:$B355,"&lt;=90")-D424-C424</f>
        <v>0</v>
      </c>
      <c r="F424" s="265">
        <f>SUMIFS($O$5:$O355,$H$5:$H355,$A$425,$I$5:$I355,$B424,$B$5:$B355,"&gt;=91")</f>
        <v>0</v>
      </c>
      <c r="G424" s="266">
        <f t="shared" si="6"/>
        <v>0</v>
      </c>
    </row>
    <row r="425" spans="1:7" x14ac:dyDescent="0.25">
      <c r="A425" s="302" t="s">
        <v>35</v>
      </c>
      <c r="B425" s="30" t="s">
        <v>69</v>
      </c>
      <c r="C425" s="265">
        <f>SUMIFS($O$5:$O356,$H$5:$H356,$A$425,$I$5:$I356,$B425,$B$5:$B356,"&lt;=30")</f>
        <v>0</v>
      </c>
      <c r="D425" s="265">
        <f>SUMIFS($O$5:$O356,$H$5:$H356,$A$425,$I$5:$I356,$B425,$B$5:$B356,"&lt;=60")-C425</f>
        <v>0</v>
      </c>
      <c r="E425" s="265">
        <f>SUMIFS($O$5:$O356,$H$5:$H356,$A$425,$I$5:$I356,$B425,$B$5:$B356,"&lt;=90")-D425-C425</f>
        <v>0</v>
      </c>
      <c r="F425" s="265">
        <f>SUMIFS($O$5:$O356,$H$5:$H356,$A$425,$I$5:$I356,$B425,$B$5:$B356,"&gt;=91")</f>
        <v>0</v>
      </c>
      <c r="G425" s="266">
        <f t="shared" si="6"/>
        <v>0</v>
      </c>
    </row>
    <row r="426" spans="1:7" x14ac:dyDescent="0.25">
      <c r="A426" s="302"/>
      <c r="B426" s="272" t="s">
        <v>114</v>
      </c>
      <c r="C426" s="265">
        <f>SUMIFS($O$5:$O357,$H$5:$H357,$A$425,$I$5:$I357,$B426,$B$5:$B357,"&lt;=30")</f>
        <v>0</v>
      </c>
      <c r="D426" s="265">
        <f>SUMIFS($O$5:$O357,$H$5:$H357,$A$425,$I$5:$I357,$B426,$B$5:$B357,"&lt;=60")-C426</f>
        <v>0</v>
      </c>
      <c r="E426" s="265">
        <f>SUMIFS($O$5:$O357,$H$5:$H357,$A$425,$I$5:$I357,$B426,$B$5:$B357,"&lt;=90")-D426-C426</f>
        <v>0</v>
      </c>
      <c r="F426" s="265">
        <f>SUMIFS($O$5:$O357,$H$5:$H357,$A$425,$I$5:$I357,$B426,$B$5:$B357,"&gt;=91")</f>
        <v>0</v>
      </c>
      <c r="G426" s="266">
        <f t="shared" si="6"/>
        <v>0</v>
      </c>
    </row>
    <row r="427" spans="1:7" x14ac:dyDescent="0.25">
      <c r="A427" s="307"/>
      <c r="B427" s="264" t="s">
        <v>70</v>
      </c>
      <c r="C427" s="265">
        <f>SUMIFS($O$5:$O358,$H$5:$H358,$A$428,$I$5:$I358,$B427,$B$5:$B358,"&lt;=30")</f>
        <v>0</v>
      </c>
      <c r="D427" s="265">
        <f>SUMIFS($O$5:$O358,$H$5:$H358,$A$428,$I$5:$I358,$B427,$B$5:$B358,"&lt;=60")-C427</f>
        <v>0</v>
      </c>
      <c r="E427" s="265">
        <f>SUMIFS($O$5:$O358,$H$5:$H358,$A$428,$I$5:$I358,$B427,$B$5:$B358,"&lt;=90")-D427-C427</f>
        <v>0</v>
      </c>
      <c r="F427" s="265">
        <f>SUMIFS($O$5:$O358,$H$5:$H358,$A$428,$I$5:$I358,$B427,$B$5:$B358,"&gt;=91")</f>
        <v>0</v>
      </c>
      <c r="G427" s="266">
        <f t="shared" si="6"/>
        <v>0</v>
      </c>
    </row>
    <row r="428" spans="1:7" x14ac:dyDescent="0.25">
      <c r="A428" s="308">
        <v>304</v>
      </c>
      <c r="B428" s="30" t="s">
        <v>69</v>
      </c>
      <c r="C428" s="265">
        <f>SUMIFS($O$5:$O359,$H$5:$H359,$A$428,$I$5:$I359,$B428,$B$5:$B359,"&lt;=30")</f>
        <v>0</v>
      </c>
      <c r="D428" s="265">
        <f>SUMIFS($O$5:$O359,$H$5:$H359,$A$428,$I$5:$I359,$B428,$B$5:$B359,"&lt;=60")-C428</f>
        <v>0</v>
      </c>
      <c r="E428" s="265">
        <f>SUMIFS($O$5:$O359,$H$5:$H359,$A$428,$I$5:$I359,$B428,$B$5:$B359,"&lt;=90")-D428-C428</f>
        <v>0</v>
      </c>
      <c r="F428" s="265">
        <f>SUMIFS($O$5:$O359,$H$5:$H359,$A$428,$I$5:$I359,$B428,$B$5:$B359,"&gt;=91")</f>
        <v>0</v>
      </c>
      <c r="G428" s="266">
        <f t="shared" si="6"/>
        <v>0</v>
      </c>
    </row>
    <row r="429" spans="1:7" x14ac:dyDescent="0.25">
      <c r="A429" s="308"/>
      <c r="B429" s="272" t="s">
        <v>114</v>
      </c>
      <c r="C429" s="265">
        <f ca="1">SUMIFS($O$5:$O360,$H$5:$H360,$A$428,$I$5:$I360,$B429,$B$5:$B360,"&lt;=30")</f>
        <v>0</v>
      </c>
      <c r="D429" s="265">
        <f ca="1">SUMIFS($O$5:$O360,$H$5:$H360,$A$428,$I$5:$I360,$B429,$B$5:$B360,"&lt;=60")-C429</f>
        <v>0</v>
      </c>
      <c r="E429" s="265">
        <f ca="1">SUMIFS($O$5:$O360,$H$5:$H360,$A$428,$I$5:$I360,$B429,$B$5:$B360,"&lt;=90")-D429-C429</f>
        <v>0</v>
      </c>
      <c r="F429" s="265">
        <f ca="1">SUMIFS($O$5:$O360,$H$5:$H360,$A$428,$I$5:$I360,$B429,$B$5:$B360,"&gt;=91")</f>
        <v>7.8E-2</v>
      </c>
      <c r="G429" s="266">
        <f t="shared" ca="1" si="6"/>
        <v>7.8E-2</v>
      </c>
    </row>
    <row r="430" spans="1:7" x14ac:dyDescent="0.25">
      <c r="A430" s="309"/>
      <c r="B430" s="264" t="s">
        <v>70</v>
      </c>
      <c r="C430" s="265">
        <f>SUMIFS($O$5:$O361,$H$5:$H361,$A$431,$I$5:$I361,$B430,$B$5:$B361,"&lt;=30")</f>
        <v>0</v>
      </c>
      <c r="D430" s="265">
        <f>SUMIFS($O$5:$O361,$H$5:$H361,$A$431,$I$5:$I361,$B430,$B$5:$B361,"&lt;=60")-C430</f>
        <v>0</v>
      </c>
      <c r="E430" s="265">
        <f>SUMIFS($O$5:$O361,$H$5:$H361,$A$431,$I$5:$I361,$B430,$B$5:$B361,"&lt;=90")-D430-C430</f>
        <v>0</v>
      </c>
      <c r="F430" s="265">
        <f>SUMIFS($O$5:$O361,$H$5:$H361,$A$431,$I$5:$I361,$B430,$B$5:$B361,"&gt;=91")</f>
        <v>0</v>
      </c>
      <c r="G430" s="266">
        <f t="shared" si="6"/>
        <v>0</v>
      </c>
    </row>
    <row r="431" spans="1:7" x14ac:dyDescent="0.25">
      <c r="A431" s="312" t="s">
        <v>182</v>
      </c>
      <c r="B431" s="30" t="s">
        <v>69</v>
      </c>
      <c r="C431" s="265">
        <f>SUMIFS($O$5:$O362,$H$5:$H362,$A$431,$I$5:$I362,$B431,$B$5:$B362,"&lt;=30")</f>
        <v>0</v>
      </c>
      <c r="D431" s="265">
        <f>SUMIFS($O$5:$O362,$H$5:$H362,$A$431,$I$5:$I362,$B431,$B$5:$B362,"&lt;=60")-C431</f>
        <v>0</v>
      </c>
      <c r="E431" s="265">
        <f>SUMIFS($O$5:$O362,$H$5:$H362,$A$431,$I$5:$I362,$B431,$B$5:$B362,"&lt;=90")-D431-C431</f>
        <v>0</v>
      </c>
      <c r="F431" s="265">
        <f>SUMIFS($O$5:$O362,$H$5:$H362,$A$431,$I$5:$I362,$B431,$B$5:$B362,"&gt;=91")</f>
        <v>0</v>
      </c>
      <c r="G431" s="266">
        <f t="shared" si="6"/>
        <v>0</v>
      </c>
    </row>
    <row r="432" spans="1:7" x14ac:dyDescent="0.25">
      <c r="A432" s="312"/>
      <c r="B432" s="272" t="s">
        <v>114</v>
      </c>
      <c r="C432" s="265">
        <f ca="1">SUMIFS($O$5:$O363,$H$5:$H363,$A$431,$I$5:$I363,$B432,$B$5:$B363,"&lt;=30")</f>
        <v>0</v>
      </c>
      <c r="D432" s="265">
        <f ca="1">SUMIFS($O$5:$O363,$H$5:$H363,$A$431,$I$5:$I363,$B432,$B$5:$B363,"&lt;=60")-C432</f>
        <v>0</v>
      </c>
      <c r="E432" s="265">
        <f ca="1">SUMIFS($O$5:$O363,$H$5:$H363,$A$431,$I$5:$I363,$B432,$B$5:$B363,"&lt;=90")-D432-C432</f>
        <v>0</v>
      </c>
      <c r="F432" s="265">
        <f ca="1">SUMIFS($O$5:$O363,$H$5:$H363,$A$431,$I$5:$I363,$B432,$B$5:$B363,"&gt;=91")</f>
        <v>0.25</v>
      </c>
      <c r="G432" s="266">
        <f t="shared" ca="1" si="6"/>
        <v>0.25</v>
      </c>
    </row>
    <row r="433" spans="1:7" x14ac:dyDescent="0.25">
      <c r="A433" s="313"/>
      <c r="B433" s="264" t="s">
        <v>70</v>
      </c>
      <c r="C433" s="265">
        <f>SUMIFS($O$5:$O364,$H$5:$H364,$A$434,$I$5:$I364,$B433,$B$5:$B364,"&lt;=30")</f>
        <v>0</v>
      </c>
      <c r="D433" s="265">
        <f>SUMIFS($O$5:$O364,$H$5:$H364,$A$434,$I$5:$I364,$B433,$B$5:$B364,"&lt;=60")-C433</f>
        <v>0</v>
      </c>
      <c r="E433" s="265">
        <f>SUMIFS($O$5:$O364,$H$5:$H364,$A$434,$I$5:$I364,$B433,$B$5:$B364,"&lt;=90")-D433-C433</f>
        <v>0</v>
      </c>
      <c r="F433" s="265">
        <f>SUMIFS($O$5:$O364,$H$5:$H364,$A$434,$I$5:$I364,$B433,$B$5:$B364,"&gt;=91")</f>
        <v>0</v>
      </c>
      <c r="G433" s="266">
        <f t="shared" si="6"/>
        <v>0</v>
      </c>
    </row>
    <row r="434" spans="1:7" x14ac:dyDescent="0.25">
      <c r="A434" s="314" t="s">
        <v>135</v>
      </c>
      <c r="B434" s="30" t="s">
        <v>69</v>
      </c>
      <c r="C434" s="265">
        <f>SUMIFS($O$5:$O365,$H$5:$H365,$A$434,$I$5:$I365,$B434,$B$5:$B365,"&lt;=30")</f>
        <v>0</v>
      </c>
      <c r="D434" s="265">
        <f>SUMIFS($O$5:$O365,$H$5:$H365,$A$434,$I$5:$I365,$B434,$B$5:$B365,"&lt;=60")-C434</f>
        <v>0</v>
      </c>
      <c r="E434" s="265">
        <f>SUMIFS($O$5:$O365,$H$5:$H365,$A$434,$I$5:$I365,$B434,$B$5:$B365,"&lt;=90")-D434-C434</f>
        <v>0</v>
      </c>
      <c r="F434" s="265">
        <f>SUMIFS($O$5:$O365,$H$5:$H365,$A$434,$I$5:$I365,$B434,$B$5:$B365,"&gt;=91")</f>
        <v>0</v>
      </c>
      <c r="G434" s="266">
        <f t="shared" si="6"/>
        <v>0</v>
      </c>
    </row>
    <row r="435" spans="1:7" x14ac:dyDescent="0.25">
      <c r="A435" s="314"/>
      <c r="B435" s="272" t="s">
        <v>114</v>
      </c>
      <c r="C435" s="265">
        <f>SUMIFS($O$5:$O366,$H$5:$H366,$A$434,$I$5:$I366,$B435,$B$5:$B366,"&lt;=30")</f>
        <v>0</v>
      </c>
      <c r="D435" s="265">
        <f>SUMIFS($O$5:$O366,$H$5:$H366,$A$434,$I$5:$I366,$B435,$B$5:$B366,"&lt;=60")-C435</f>
        <v>0</v>
      </c>
      <c r="E435" s="265">
        <f>SUMIFS($O$5:$O366,$H$5:$H366,$A$434,$I$5:$I366,$B435,$B$5:$B366,"&lt;=90")-D435-C435</f>
        <v>0</v>
      </c>
      <c r="F435" s="265">
        <f>SUMIFS($O$5:$O366,$H$5:$H366,$A$434,$I$5:$I366,$B435,$B$5:$B366,"&gt;=91")</f>
        <v>0</v>
      </c>
      <c r="G435" s="266">
        <f t="shared" si="6"/>
        <v>0</v>
      </c>
    </row>
    <row r="436" spans="1:7" x14ac:dyDescent="0.25">
      <c r="A436" s="316"/>
      <c r="B436" s="264" t="s">
        <v>70</v>
      </c>
      <c r="C436" s="265">
        <f>SUMIFS($O$5:$O367,$H$5:$H367,$A$437,$I$5:$I367,$B436,$B$5:$B367,"&lt;=30")</f>
        <v>0</v>
      </c>
      <c r="D436" s="265">
        <f>SUMIFS($O$5:$O367,$H$5:$H367,$A$437,$I$5:$I367,$B436,$B$5:$B367,"&lt;=60")-C436</f>
        <v>0</v>
      </c>
      <c r="E436" s="265">
        <f>SUMIFS($O$5:$O367,$H$5:$H367,$A$437,$I$5:$I367,$B436,$B$5:$B367,"&lt;=90")-D436-C436</f>
        <v>0</v>
      </c>
      <c r="F436" s="265">
        <f>SUMIFS($O$5:$O367,$H$5:$H367,$A$437,$I$5:$I367,$B436,$B$5:$B367,"&gt;=91")</f>
        <v>0</v>
      </c>
      <c r="G436" s="266">
        <f t="shared" si="6"/>
        <v>0</v>
      </c>
    </row>
    <row r="437" spans="1:7" x14ac:dyDescent="0.25">
      <c r="A437" s="317">
        <v>430</v>
      </c>
      <c r="B437" s="30" t="s">
        <v>69</v>
      </c>
      <c r="C437" s="265">
        <f>SUMIFS($O$5:$O368,$H$5:$H368,$A$437,$I$5:$I368,$B437,$B$5:$B368,"&lt;=30")</f>
        <v>0</v>
      </c>
      <c r="D437" s="265">
        <f>SUMIFS($O$5:$O368,$H$5:$H368,$A$437,$I$5:$I368,$B437,$B$5:$B368,"&lt;=60")-C437</f>
        <v>0</v>
      </c>
      <c r="E437" s="265">
        <f>SUMIFS($O$5:$O368,$H$5:$H368,$A$437,$I$5:$I368,$B437,$B$5:$B368,"&lt;=90")-D437-C437</f>
        <v>0</v>
      </c>
      <c r="F437" s="265">
        <f>SUMIFS($O$5:$O368,$H$5:$H368,$A$437,$I$5:$I368,$B437,$B$5:$B368,"&gt;=91")</f>
        <v>0</v>
      </c>
      <c r="G437" s="266">
        <f t="shared" si="6"/>
        <v>0</v>
      </c>
    </row>
    <row r="438" spans="1:7" x14ac:dyDescent="0.25">
      <c r="A438" s="317"/>
      <c r="B438" s="272" t="s">
        <v>114</v>
      </c>
      <c r="C438" s="265">
        <f ca="1">SUMIFS($O$5:$O369,$H$5:$H369,$A$437,$I$5:$I369,$B438,$B$5:$B369,"&lt;=30")</f>
        <v>0</v>
      </c>
      <c r="D438" s="265">
        <f ca="1">SUMIFS($O$5:$O369,$H$5:$H369,$A$437,$I$5:$I369,$B438,$B$5:$B369,"&lt;=60")-C438</f>
        <v>0</v>
      </c>
      <c r="E438" s="265">
        <f ca="1">SUMIFS($O$5:$O369,$H$5:$H369,$A$437,$I$5:$I369,$B438,$B$5:$B369,"&lt;=90")-D438-C438</f>
        <v>0</v>
      </c>
      <c r="F438" s="265">
        <f ca="1">SUMIFS($O$5:$O369,$H$5:$H369,$A$437,$I$5:$I369,$B438,$B$5:$B369,"&gt;=91")</f>
        <v>0.222</v>
      </c>
      <c r="G438" s="266">
        <f t="shared" ca="1" si="6"/>
        <v>0.222</v>
      </c>
    </row>
    <row r="439" spans="1:7" x14ac:dyDescent="0.25">
      <c r="A439" s="318"/>
      <c r="B439" s="264" t="s">
        <v>70</v>
      </c>
      <c r="C439" s="265">
        <f>SUMIFS($O$5:$O370,$H$5:$H370,$A$440,$I$5:$I370,$B439,$B$5:$B370,"&lt;=30")</f>
        <v>0</v>
      </c>
      <c r="D439" s="265">
        <f>SUMIFS($O$5:$O370,$H$5:$H370,$A$440,$I$5:$I370,$B439,$B$5:$B370,"&lt;=60")-C439</f>
        <v>0</v>
      </c>
      <c r="E439" s="265">
        <f>SUMIFS($O$5:$O370,$H$5:$H370,$A$440,$I$5:$I370,$B439,$B$5:$B370,"&lt;=90")-D439-C439</f>
        <v>0</v>
      </c>
      <c r="F439" s="265">
        <f>SUMIFS($O$5:$O370,$H$5:$H370,$A$440,$I$5:$I370,$B439,$B$5:$B370,"&gt;=91")</f>
        <v>0</v>
      </c>
      <c r="G439" s="266">
        <f t="shared" si="6"/>
        <v>0</v>
      </c>
    </row>
    <row r="440" spans="1:7" x14ac:dyDescent="0.25">
      <c r="A440" s="319" t="s">
        <v>3790</v>
      </c>
      <c r="B440" s="30" t="s">
        <v>69</v>
      </c>
      <c r="C440" s="265">
        <f>SUMIFS($O$5:$O371,$H$5:$H371,$A$440,$I$5:$I371,$B440,$B$5:$B371,"&lt;=30")</f>
        <v>0</v>
      </c>
      <c r="D440" s="265">
        <f>SUMIFS($O$5:$O371,$H$5:$H371,$A$440,$I$5:$I371,$B440,$B$5:$B371,"&lt;=60")-C440</f>
        <v>0</v>
      </c>
      <c r="E440" s="265">
        <f>SUMIFS($O$5:$O371,$H$5:$H371,$A$440,$I$5:$I371,$B440,$B$5:$B371,"&lt;=90")-D440-C440</f>
        <v>0</v>
      </c>
      <c r="F440" s="265">
        <f>SUMIFS($O$5:$O371,$H$5:$H371,$A$440,$I$5:$I371,$B440,$B$5:$B371,"&gt;=91")</f>
        <v>0</v>
      </c>
      <c r="G440" s="266">
        <f t="shared" si="6"/>
        <v>0</v>
      </c>
    </row>
    <row r="441" spans="1:7" x14ac:dyDescent="0.25">
      <c r="A441" s="320"/>
      <c r="B441" s="272" t="s">
        <v>114</v>
      </c>
      <c r="C441" s="265">
        <f>SUMIFS($O$5:$O372,$H$5:$H372,$A$440,$I$5:$I372,$B441,$B$5:$B372,"&lt;=30")</f>
        <v>0</v>
      </c>
      <c r="D441" s="265">
        <f>SUMIFS($O$5:$O372,$H$5:$H372,$A$440,$I$5:$I372,$B441,$B$5:$B372,"&lt;=60")-C441</f>
        <v>0</v>
      </c>
      <c r="E441" s="265">
        <f>SUMIFS($O$5:$O372,$H$5:$H372,$A$440,$I$5:$I372,$B441,$B$5:$B372,"&lt;=90")-D441-C441</f>
        <v>0</v>
      </c>
      <c r="F441" s="265">
        <f>SUMIFS($O$5:$O372,$H$5:$H372,$A$440,$I$5:$I372,$B441,$B$5:$B372,"&gt;=91")</f>
        <v>0</v>
      </c>
      <c r="G441" s="266">
        <f t="shared" si="6"/>
        <v>0</v>
      </c>
    </row>
    <row r="442" spans="1:7" x14ac:dyDescent="0.25">
      <c r="A442" s="331" t="s">
        <v>39</v>
      </c>
      <c r="B442" s="332"/>
      <c r="C442" s="333">
        <f ca="1">SUM(C412:C441)</f>
        <v>0</v>
      </c>
      <c r="D442" s="333">
        <f ca="1">SUM(D412:D441)</f>
        <v>0</v>
      </c>
      <c r="E442" s="333">
        <f ca="1">SUM(E412:E441)</f>
        <v>0</v>
      </c>
      <c r="F442" s="333">
        <f ca="1">SUM(F412:F441)</f>
        <v>1.472</v>
      </c>
      <c r="G442" s="266">
        <f t="shared" ca="1" si="6"/>
        <v>1.472</v>
      </c>
    </row>
  </sheetData>
  <autoFilter ref="A4:BN33" xr:uid="{00000000-0009-0000-0000-000009000000}"/>
  <mergeCells count="8">
    <mergeCell ref="A442:B442"/>
    <mergeCell ref="A1:U1"/>
    <mergeCell ref="O9:O20"/>
    <mergeCell ref="A96:A97"/>
    <mergeCell ref="C96:G96"/>
    <mergeCell ref="A131:B131"/>
    <mergeCell ref="A410:A411"/>
    <mergeCell ref="C410:G410"/>
  </mergeCells>
  <pageMargins left="0.5" right="0.5" top="0.5" bottom="0.75" header="0.3" footer="0.3"/>
  <pageSetup scale="5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C97A-593D-4708-8C91-7EB6E1DB0446}">
  <sheetPr>
    <pageSetUpPr fitToPage="1"/>
  </sheetPr>
  <dimension ref="B1:BI190"/>
  <sheetViews>
    <sheetView zoomScale="70" zoomScaleNormal="70" zoomScaleSheetLayoutView="70" workbookViewId="0">
      <pane ySplit="4" topLeftCell="A120" activePane="bottomLeft" state="frozen"/>
      <selection activeCell="O519" sqref="O519:O537"/>
      <selection pane="bottomLeft" activeCell="O519" sqref="O519:O537"/>
    </sheetView>
  </sheetViews>
  <sheetFormatPr defaultColWidth="9.140625" defaultRowHeight="16.5" x14ac:dyDescent="0.25"/>
  <cols>
    <col min="1" max="1" width="9.140625" style="196"/>
    <col min="2" max="2" width="22.28515625" style="196" customWidth="1"/>
    <col min="3" max="3" width="24.42578125" style="533" customWidth="1"/>
    <col min="4" max="5" width="26.42578125" style="196" customWidth="1"/>
    <col min="6" max="6" width="22.140625" style="196" customWidth="1"/>
    <col min="7" max="7" width="27.140625" style="196" customWidth="1"/>
    <col min="8" max="8" width="9.7109375" style="196" customWidth="1"/>
    <col min="9" max="9" width="9.140625" style="196" customWidth="1"/>
    <col min="10" max="10" width="13.5703125" style="529" customWidth="1"/>
    <col min="11" max="11" width="11.140625" style="530" customWidth="1"/>
    <col min="12" max="13" width="10" style="530" customWidth="1"/>
    <col min="14" max="14" width="9.7109375" style="213" customWidth="1"/>
    <col min="15" max="15" width="13.5703125" style="189" customWidth="1"/>
    <col min="16" max="16" width="16.140625" style="189" customWidth="1"/>
    <col min="17" max="17" width="26.42578125" style="529" customWidth="1"/>
    <col min="18" max="18" width="23.42578125" style="529" customWidth="1"/>
    <col min="19" max="19" width="34.85546875" style="529" customWidth="1"/>
    <col min="20" max="20" width="13.28515625" style="529" customWidth="1"/>
    <col min="21" max="29" width="12.42578125" style="529" customWidth="1"/>
    <col min="30" max="30" width="18.85546875" style="529" customWidth="1"/>
    <col min="31" max="31" width="12.42578125" style="529" customWidth="1"/>
    <col min="32" max="32" width="36.42578125" style="196" customWidth="1"/>
    <col min="33" max="33" width="18.28515625" style="196" customWidth="1"/>
    <col min="34" max="34" width="12.85546875" style="196" customWidth="1"/>
    <col min="35" max="35" width="12.7109375" style="196" customWidth="1"/>
    <col min="36" max="39" width="13.42578125" style="196" customWidth="1"/>
    <col min="40" max="40" width="22.42578125" style="196" customWidth="1"/>
    <col min="41" max="41" width="15" style="196" customWidth="1"/>
    <col min="42" max="43" width="13.5703125" style="531" customWidth="1"/>
    <col min="44" max="45" width="12.42578125" style="529" customWidth="1"/>
    <col min="46" max="57" width="9.140625" style="196" customWidth="1"/>
    <col min="58" max="58" width="14.140625" style="196" customWidth="1"/>
    <col min="59" max="59" width="13.5703125" style="196" customWidth="1"/>
    <col min="60" max="60" width="16.140625" style="196" customWidth="1"/>
    <col min="61" max="61" width="11.5703125" style="196" customWidth="1"/>
    <col min="62" max="62" width="10.5703125" style="196" bestFit="1" customWidth="1"/>
    <col min="63" max="16384" width="9.140625" style="196"/>
  </cols>
  <sheetData>
    <row r="1" spans="2:61" ht="20.25" x14ac:dyDescent="0.25">
      <c r="B1" s="528" t="s">
        <v>6905</v>
      </c>
      <c r="C1" s="528"/>
      <c r="D1" s="528"/>
      <c r="E1" s="528"/>
      <c r="F1" s="528"/>
      <c r="G1" s="528"/>
      <c r="H1" s="528"/>
      <c r="I1" s="528"/>
      <c r="J1" s="528"/>
      <c r="K1" s="528"/>
      <c r="L1" s="528"/>
      <c r="M1" s="528"/>
      <c r="N1" s="528"/>
      <c r="O1" s="528"/>
      <c r="P1" s="528"/>
      <c r="Q1" s="528"/>
      <c r="R1" s="528"/>
      <c r="S1" s="528"/>
      <c r="T1" s="528"/>
      <c r="U1" s="528"/>
      <c r="V1" s="528"/>
      <c r="W1" s="528"/>
      <c r="X1" s="528"/>
      <c r="Y1" s="528"/>
      <c r="Z1" s="528"/>
      <c r="AA1" s="528"/>
      <c r="AB1" s="528"/>
      <c r="AC1" s="528"/>
      <c r="AD1" s="528"/>
      <c r="AE1" s="528"/>
      <c r="AF1" s="528"/>
      <c r="AG1" s="528"/>
      <c r="AH1" s="528"/>
      <c r="AI1" s="528"/>
      <c r="AJ1" s="528"/>
      <c r="AK1" s="528"/>
      <c r="AL1" s="528"/>
      <c r="AM1" s="528"/>
      <c r="AN1" s="528"/>
      <c r="AO1" s="528"/>
      <c r="AP1" s="528"/>
      <c r="AQ1" s="528"/>
      <c r="AR1" s="528"/>
      <c r="AS1" s="528"/>
    </row>
    <row r="2" spans="2:61" x14ac:dyDescent="0.25">
      <c r="C2" s="4" t="s">
        <v>3793</v>
      </c>
      <c r="BF2" s="387" t="str">
        <f>MID(D2,5,5)&amp;".2016"</f>
        <v>.2016</v>
      </c>
      <c r="BG2" s="387" t="str">
        <f>LEFT(BF2,2)&amp;"/"&amp;MID(BF2,4,2)&amp;"/"&amp;RIGHT(BF2,4)</f>
        <v>.2/16/2016</v>
      </c>
      <c r="BH2" s="532" t="e">
        <f>BG2+7</f>
        <v>#VALUE!</v>
      </c>
      <c r="BI2" s="387" t="e">
        <f ca="1">TODAY()-BH2</f>
        <v>#VALUE!</v>
      </c>
    </row>
    <row r="3" spans="2:61" x14ac:dyDescent="0.25">
      <c r="G3" s="534"/>
    </row>
    <row r="4" spans="2:61" ht="49.5" x14ac:dyDescent="0.25">
      <c r="B4" s="535" t="s">
        <v>6906</v>
      </c>
      <c r="C4" s="536"/>
      <c r="D4" s="153" t="s">
        <v>5</v>
      </c>
      <c r="E4" s="154" t="s">
        <v>75</v>
      </c>
      <c r="F4" s="537" t="s">
        <v>76</v>
      </c>
      <c r="G4" s="537" t="s">
        <v>77</v>
      </c>
      <c r="H4" s="537" t="s">
        <v>78</v>
      </c>
      <c r="I4" s="537" t="s">
        <v>79</v>
      </c>
      <c r="J4" s="538" t="s">
        <v>5118</v>
      </c>
      <c r="K4" s="538" t="s">
        <v>81</v>
      </c>
      <c r="L4" s="339" t="s">
        <v>6907</v>
      </c>
      <c r="M4" s="339"/>
      <c r="N4" s="539" t="s">
        <v>84</v>
      </c>
      <c r="O4" s="540" t="s">
        <v>5469</v>
      </c>
      <c r="P4" s="541"/>
      <c r="Q4" s="538" t="s">
        <v>88</v>
      </c>
      <c r="R4" s="538"/>
      <c r="S4" s="538" t="s">
        <v>90</v>
      </c>
      <c r="T4" s="542" t="s">
        <v>11</v>
      </c>
      <c r="U4" s="343" t="s">
        <v>3802</v>
      </c>
      <c r="V4" s="161" t="s">
        <v>3803</v>
      </c>
      <c r="W4" s="162" t="s">
        <v>3804</v>
      </c>
      <c r="X4" s="543" t="s">
        <v>6908</v>
      </c>
      <c r="Y4" s="164" t="s">
        <v>3806</v>
      </c>
      <c r="Z4" s="345" t="s">
        <v>3807</v>
      </c>
      <c r="AA4" s="346" t="s">
        <v>3808</v>
      </c>
      <c r="AB4" s="167" t="s">
        <v>3809</v>
      </c>
      <c r="AC4" s="343" t="s">
        <v>3810</v>
      </c>
      <c r="AD4" s="538" t="s">
        <v>91</v>
      </c>
      <c r="AE4" s="538" t="s">
        <v>92</v>
      </c>
      <c r="AF4" s="537" t="s">
        <v>93</v>
      </c>
      <c r="AG4" s="537" t="s">
        <v>94</v>
      </c>
      <c r="AH4" s="535" t="s">
        <v>95</v>
      </c>
      <c r="AI4" s="535" t="s">
        <v>96</v>
      </c>
      <c r="AJ4" s="535" t="s">
        <v>3811</v>
      </c>
      <c r="AK4" s="535" t="s">
        <v>3812</v>
      </c>
      <c r="AL4" s="535" t="s">
        <v>3813</v>
      </c>
      <c r="AM4" s="535" t="s">
        <v>98</v>
      </c>
      <c r="AN4" s="537" t="s">
        <v>100</v>
      </c>
      <c r="AO4" s="537" t="s">
        <v>101</v>
      </c>
      <c r="AP4" s="544" t="s">
        <v>3814</v>
      </c>
      <c r="AQ4" s="544" t="s">
        <v>3815</v>
      </c>
      <c r="AR4" s="538" t="s">
        <v>6909</v>
      </c>
      <c r="AS4" s="538" t="s">
        <v>6910</v>
      </c>
      <c r="AU4" s="545" t="s">
        <v>6024</v>
      </c>
      <c r="BB4" s="545"/>
      <c r="BC4" s="545"/>
      <c r="BF4" s="545"/>
      <c r="BG4" s="545" t="s">
        <v>6911</v>
      </c>
      <c r="BH4" s="545" t="s">
        <v>6912</v>
      </c>
      <c r="BI4" s="546" t="s">
        <v>5464</v>
      </c>
    </row>
    <row r="5" spans="2:61" s="549" customFormat="1" ht="19.5" customHeight="1" x14ac:dyDescent="0.25">
      <c r="B5" s="547" t="s">
        <v>4190</v>
      </c>
      <c r="C5" s="548"/>
      <c r="J5" s="550"/>
      <c r="K5" s="551"/>
      <c r="L5" s="551"/>
      <c r="M5" s="551"/>
      <c r="N5" s="552"/>
      <c r="O5" s="553"/>
      <c r="P5" s="553"/>
      <c r="Q5" s="550"/>
      <c r="R5" s="550"/>
      <c r="S5" s="550"/>
      <c r="T5" s="550"/>
      <c r="U5" s="550"/>
      <c r="V5" s="550"/>
      <c r="W5" s="550"/>
      <c r="X5" s="550"/>
      <c r="Y5" s="550"/>
      <c r="Z5" s="550"/>
      <c r="AA5" s="550"/>
      <c r="AB5" s="550"/>
      <c r="AC5" s="550"/>
      <c r="AD5" s="550"/>
      <c r="AE5" s="550"/>
      <c r="AP5" s="554"/>
      <c r="AQ5" s="554"/>
      <c r="AR5" s="550"/>
      <c r="AS5" s="550"/>
    </row>
    <row r="6" spans="2:61" s="142" customFormat="1" ht="21.75" customHeight="1" x14ac:dyDescent="0.25">
      <c r="B6" s="510" t="s">
        <v>6913</v>
      </c>
      <c r="C6" s="511" t="s">
        <v>6914</v>
      </c>
      <c r="D6" s="201" t="s">
        <v>5122</v>
      </c>
      <c r="E6" s="173" t="s">
        <v>6915</v>
      </c>
      <c r="F6" s="173" t="s">
        <v>4463</v>
      </c>
      <c r="G6" s="201" t="s">
        <v>6916</v>
      </c>
      <c r="H6" s="173" t="s">
        <v>34</v>
      </c>
      <c r="I6" s="173" t="s">
        <v>114</v>
      </c>
      <c r="J6" s="174">
        <v>2.4</v>
      </c>
      <c r="K6" s="174">
        <v>1.07</v>
      </c>
      <c r="L6" s="174">
        <v>1.04</v>
      </c>
      <c r="M6" s="173">
        <v>1.06</v>
      </c>
      <c r="N6" s="175">
        <v>620</v>
      </c>
      <c r="O6" s="512">
        <v>6.5000000000000002E-2</v>
      </c>
      <c r="P6" s="173"/>
      <c r="Q6" s="179" t="s">
        <v>1555</v>
      </c>
      <c r="R6" s="491"/>
      <c r="S6" s="178"/>
      <c r="T6" s="177">
        <v>44925</v>
      </c>
      <c r="U6" s="177"/>
      <c r="V6" s="177">
        <v>44925</v>
      </c>
      <c r="W6" s="177"/>
      <c r="X6" s="177">
        <v>44927</v>
      </c>
      <c r="Y6" s="177"/>
      <c r="Z6" s="177"/>
      <c r="AA6" s="177"/>
      <c r="AB6" s="177"/>
      <c r="AC6" s="177"/>
      <c r="AD6" s="181"/>
      <c r="AE6" s="181" t="s">
        <v>69</v>
      </c>
      <c r="AF6" s="181" t="s">
        <v>248</v>
      </c>
      <c r="AG6" s="181" t="s">
        <v>1145</v>
      </c>
      <c r="AH6" s="181">
        <v>44752</v>
      </c>
      <c r="AI6" s="181">
        <v>44778</v>
      </c>
      <c r="AJ6" s="181"/>
      <c r="AK6" s="181">
        <f t="shared" ref="AK6:AK19" ca="1" si="0">TODAY()</f>
        <v>44958</v>
      </c>
      <c r="AL6" s="175">
        <f t="shared" ref="AL6:AL19" ca="1" si="1">IF(AI6&lt;&gt;0,AK6-AI6,0)</f>
        <v>180</v>
      </c>
      <c r="AM6" s="175">
        <f t="shared" ref="AM6:AM69" ca="1" si="2">IF(ISNUMBER(X6)=TRUE,AK6-X6,IF(X6="","",(AK6)-(MID(RIGHT(X6,10),4,2)&amp;"/"&amp;LEFT((RIGHT(X6,10)),2)&amp;"/"&amp;RIGHT(X6,4))))</f>
        <v>31</v>
      </c>
      <c r="AN6" s="372"/>
      <c r="AO6" s="176" t="s">
        <v>1132</v>
      </c>
      <c r="AP6" s="176">
        <v>4.96</v>
      </c>
      <c r="AQ6" s="173">
        <f>AP6+0.04</f>
        <v>5</v>
      </c>
      <c r="AR6" s="142">
        <v>5.0250000000000004</v>
      </c>
      <c r="AS6" s="142">
        <v>5.03</v>
      </c>
      <c r="AT6" s="142" t="str">
        <f>IF(ISNUMBER(U6)=TRUE,AK6-U6,IF(U6="","",(AK6)-(MID(RIGHT(U6,10),4,2)&amp;"/"&amp;LEFT((RIGHT(U6,10)),2)&amp;"/"&amp;RIGHT(U6,4))))</f>
        <v/>
      </c>
      <c r="AU6" s="142">
        <v>445</v>
      </c>
      <c r="AW6" s="142" t="s">
        <v>123</v>
      </c>
    </row>
    <row r="7" spans="2:61" s="142" customFormat="1" ht="21.75" customHeight="1" x14ac:dyDescent="0.25">
      <c r="B7" s="510" t="s">
        <v>6913</v>
      </c>
      <c r="C7" s="511"/>
      <c r="D7" s="201" t="s">
        <v>5122</v>
      </c>
      <c r="E7" s="173" t="s">
        <v>6915</v>
      </c>
      <c r="F7" s="173" t="s">
        <v>4455</v>
      </c>
      <c r="G7" s="201" t="s">
        <v>6917</v>
      </c>
      <c r="H7" s="173" t="s">
        <v>34</v>
      </c>
      <c r="I7" s="173" t="s">
        <v>114</v>
      </c>
      <c r="J7" s="174">
        <v>2.2000000000000002</v>
      </c>
      <c r="K7" s="174">
        <v>1.07</v>
      </c>
      <c r="L7" s="174">
        <v>1.07</v>
      </c>
      <c r="M7" s="173">
        <v>1.0900000000000001</v>
      </c>
      <c r="N7" s="175">
        <v>615</v>
      </c>
      <c r="O7" s="512">
        <v>0.05</v>
      </c>
      <c r="P7" s="173"/>
      <c r="Q7" s="179" t="s">
        <v>1555</v>
      </c>
      <c r="R7" s="491"/>
      <c r="S7" s="178"/>
      <c r="T7" s="177">
        <v>44925</v>
      </c>
      <c r="U7" s="177"/>
      <c r="V7" s="177">
        <v>44925</v>
      </c>
      <c r="W7" s="177"/>
      <c r="X7" s="177">
        <v>44927</v>
      </c>
      <c r="Y7" s="177"/>
      <c r="Z7" s="177"/>
      <c r="AA7" s="177"/>
      <c r="AB7" s="177"/>
      <c r="AC7" s="177"/>
      <c r="AD7" s="181"/>
      <c r="AE7" s="181" t="s">
        <v>69</v>
      </c>
      <c r="AF7" s="181" t="s">
        <v>1065</v>
      </c>
      <c r="AG7" s="181" t="s">
        <v>1066</v>
      </c>
      <c r="AH7" s="181">
        <v>44729</v>
      </c>
      <c r="AI7" s="181">
        <v>44767</v>
      </c>
      <c r="AJ7" s="181"/>
      <c r="AK7" s="181">
        <f t="shared" ca="1" si="0"/>
        <v>44958</v>
      </c>
      <c r="AL7" s="175">
        <f t="shared" ca="1" si="1"/>
        <v>191</v>
      </c>
      <c r="AM7" s="175">
        <f t="shared" ca="1" si="2"/>
        <v>31</v>
      </c>
      <c r="AN7" s="372"/>
      <c r="AO7" s="176" t="s">
        <v>1125</v>
      </c>
      <c r="AP7" s="176">
        <v>5.0519999999999996</v>
      </c>
      <c r="AQ7" s="173">
        <v>5.0919999999999996</v>
      </c>
      <c r="AR7" s="142">
        <v>5.117</v>
      </c>
      <c r="AS7" s="142">
        <v>5.1219999999999999</v>
      </c>
      <c r="AT7" s="142" t="str">
        <f>IF(ISNUMBER(U7)=TRUE,AK7-U7,IF(U7="","",(AK7)-(MID(RIGHT(U7,10),4,2)&amp;"/"&amp;LEFT((RIGHT(U7,10)),2)&amp;"/"&amp;RIGHT(U7,4))))</f>
        <v/>
      </c>
      <c r="AU7" s="142">
        <v>444</v>
      </c>
      <c r="AW7" s="142" t="s">
        <v>123</v>
      </c>
    </row>
    <row r="8" spans="2:61" s="142" customFormat="1" ht="21.75" customHeight="1" x14ac:dyDescent="0.25">
      <c r="B8" s="510" t="s">
        <v>6913</v>
      </c>
      <c r="C8" s="511" t="s">
        <v>6918</v>
      </c>
      <c r="D8" s="201" t="s">
        <v>5130</v>
      </c>
      <c r="E8" s="173" t="s">
        <v>6915</v>
      </c>
      <c r="F8" s="173" t="s">
        <v>4480</v>
      </c>
      <c r="G8" s="201" t="s">
        <v>6919</v>
      </c>
      <c r="H8" s="173">
        <v>304</v>
      </c>
      <c r="I8" s="173" t="s">
        <v>114</v>
      </c>
      <c r="J8" s="174">
        <v>3.85</v>
      </c>
      <c r="K8" s="174">
        <v>1.5</v>
      </c>
      <c r="L8" s="174">
        <v>1.5</v>
      </c>
      <c r="M8" s="173">
        <v>1.51</v>
      </c>
      <c r="N8" s="175">
        <v>768</v>
      </c>
      <c r="O8" s="512">
        <v>0.115</v>
      </c>
      <c r="P8" s="173"/>
      <c r="Q8" s="179" t="s">
        <v>1555</v>
      </c>
      <c r="R8" s="491"/>
      <c r="S8" s="178"/>
      <c r="T8" s="177">
        <v>44904</v>
      </c>
      <c r="U8" s="177"/>
      <c r="V8" s="177">
        <v>44904</v>
      </c>
      <c r="W8" s="177"/>
      <c r="X8" s="177">
        <v>44928</v>
      </c>
      <c r="Y8" s="177"/>
      <c r="Z8" s="177"/>
      <c r="AA8" s="177"/>
      <c r="AB8" s="177"/>
      <c r="AC8" s="177"/>
      <c r="AD8" s="181" t="s">
        <v>4482</v>
      </c>
      <c r="AE8" s="181" t="s">
        <v>69</v>
      </c>
      <c r="AF8" s="181" t="s">
        <v>142</v>
      </c>
      <c r="AG8" s="181" t="s">
        <v>2283</v>
      </c>
      <c r="AH8" s="181"/>
      <c r="AI8" s="181">
        <v>44880</v>
      </c>
      <c r="AJ8" s="181"/>
      <c r="AK8" s="181">
        <f t="shared" ca="1" si="0"/>
        <v>44958</v>
      </c>
      <c r="AL8" s="175">
        <f t="shared" ca="1" si="1"/>
        <v>78</v>
      </c>
      <c r="AM8" s="175">
        <f t="shared" ca="1" si="2"/>
        <v>30</v>
      </c>
      <c r="AN8" s="372"/>
      <c r="AO8" s="176" t="s">
        <v>4483</v>
      </c>
      <c r="AP8" s="176">
        <v>10.48</v>
      </c>
      <c r="AQ8" s="173">
        <v>10.49</v>
      </c>
      <c r="AR8" s="142">
        <v>10.514999999999999</v>
      </c>
      <c r="AS8" s="142">
        <v>10.52</v>
      </c>
      <c r="AT8" s="142" t="str">
        <f>IF(ISNUMBER(U8)=TRUE,AK8-U8,IF(U8="","",(AK8)-(MID(RIGHT(U8,10),4,2)&amp;"/"&amp;LEFT((RIGHT(U8,10)),2)&amp;"/"&amp;RIGHT(U8,4))))</f>
        <v/>
      </c>
      <c r="AU8" s="142">
        <v>459</v>
      </c>
      <c r="AW8" s="142" t="s">
        <v>123</v>
      </c>
    </row>
    <row r="9" spans="2:61" s="142" customFormat="1" ht="21.75" customHeight="1" x14ac:dyDescent="0.25">
      <c r="B9" s="510" t="s">
        <v>6913</v>
      </c>
      <c r="C9" s="511"/>
      <c r="D9" s="201" t="s">
        <v>5130</v>
      </c>
      <c r="E9" s="173" t="s">
        <v>6915</v>
      </c>
      <c r="F9" s="173" t="s">
        <v>4488</v>
      </c>
      <c r="G9" s="201" t="s">
        <v>6920</v>
      </c>
      <c r="H9" s="173" t="s">
        <v>182</v>
      </c>
      <c r="I9" s="173" t="s">
        <v>114</v>
      </c>
      <c r="J9" s="174">
        <v>3.61</v>
      </c>
      <c r="K9" s="174">
        <v>1.2</v>
      </c>
      <c r="L9" s="174">
        <v>1.18</v>
      </c>
      <c r="M9" s="173">
        <v>1.2</v>
      </c>
      <c r="N9" s="175">
        <v>765</v>
      </c>
      <c r="O9" s="512">
        <v>3.5000000000000003E-2</v>
      </c>
      <c r="P9" s="173"/>
      <c r="Q9" s="179" t="s">
        <v>1555</v>
      </c>
      <c r="R9" s="491"/>
      <c r="S9" s="178"/>
      <c r="T9" s="177">
        <v>44904</v>
      </c>
      <c r="U9" s="177"/>
      <c r="V9" s="177">
        <v>44904</v>
      </c>
      <c r="W9" s="177"/>
      <c r="X9" s="177">
        <v>44928</v>
      </c>
      <c r="Y9" s="177"/>
      <c r="Z9" s="177"/>
      <c r="AA9" s="177"/>
      <c r="AB9" s="177"/>
      <c r="AC9" s="177"/>
      <c r="AD9" s="181" t="s">
        <v>1609</v>
      </c>
      <c r="AE9" s="181" t="s">
        <v>69</v>
      </c>
      <c r="AF9" s="181" t="s">
        <v>142</v>
      </c>
      <c r="AG9" s="181" t="s">
        <v>1653</v>
      </c>
      <c r="AH9" s="181"/>
      <c r="AI9" s="181">
        <v>44880</v>
      </c>
      <c r="AJ9" s="181"/>
      <c r="AK9" s="181">
        <f ca="1">TODAY()</f>
        <v>44958</v>
      </c>
      <c r="AL9" s="175">
        <f t="shared" ca="1" si="1"/>
        <v>78</v>
      </c>
      <c r="AM9" s="175">
        <f t="shared" ca="1" si="2"/>
        <v>30</v>
      </c>
      <c r="AN9" s="372"/>
      <c r="AO9" s="176" t="s">
        <v>4491</v>
      </c>
      <c r="AP9" s="176">
        <v>11.805</v>
      </c>
      <c r="AQ9" s="173">
        <v>11.815</v>
      </c>
      <c r="AR9" s="142">
        <v>11.839999999999998</v>
      </c>
      <c r="AS9" s="142">
        <v>11.844999999999999</v>
      </c>
      <c r="AT9" s="142" t="str">
        <f>IF(ISNUMBER(U9)=TRUE,AK9-U9,IF(U9="","",(AK9)-(MID(RIGHT(U9,10),4,2)&amp;"/"&amp;LEFT((RIGHT(U9,10)),2)&amp;"/"&amp;RIGHT(U9,4))))</f>
        <v/>
      </c>
      <c r="AU9" s="142">
        <v>459</v>
      </c>
      <c r="AW9" s="142" t="s">
        <v>123</v>
      </c>
    </row>
    <row r="10" spans="2:61" s="142" customFormat="1" ht="21.75" customHeight="1" x14ac:dyDescent="0.25">
      <c r="B10" s="510" t="s">
        <v>6913</v>
      </c>
      <c r="C10" s="511" t="s">
        <v>6921</v>
      </c>
      <c r="D10" s="201" t="s">
        <v>5130</v>
      </c>
      <c r="E10" s="173" t="s">
        <v>6915</v>
      </c>
      <c r="F10" s="173" t="s">
        <v>4458</v>
      </c>
      <c r="G10" s="201" t="s">
        <v>6922</v>
      </c>
      <c r="H10" s="173" t="s">
        <v>34</v>
      </c>
      <c r="I10" s="173" t="s">
        <v>114</v>
      </c>
      <c r="J10" s="174">
        <v>2.2000000000000002</v>
      </c>
      <c r="K10" s="174">
        <v>0.72</v>
      </c>
      <c r="L10" s="174">
        <v>0.73</v>
      </c>
      <c r="M10" s="173">
        <v>0.75</v>
      </c>
      <c r="N10" s="175">
        <v>620</v>
      </c>
      <c r="O10" s="512">
        <v>6.5000000000000002E-2</v>
      </c>
      <c r="P10" s="173"/>
      <c r="Q10" s="179" t="s">
        <v>1555</v>
      </c>
      <c r="R10" s="491"/>
      <c r="S10" s="178"/>
      <c r="T10" s="177">
        <v>44924</v>
      </c>
      <c r="U10" s="177"/>
      <c r="V10" s="177">
        <v>44925</v>
      </c>
      <c r="W10" s="177"/>
      <c r="X10" s="177">
        <v>44927</v>
      </c>
      <c r="Y10" s="177"/>
      <c r="Z10" s="177"/>
      <c r="AA10" s="177"/>
      <c r="AB10" s="177"/>
      <c r="AC10" s="177"/>
      <c r="AD10" s="181"/>
      <c r="AE10" s="181" t="s">
        <v>69</v>
      </c>
      <c r="AF10" s="181" t="s">
        <v>248</v>
      </c>
      <c r="AG10" s="181" t="s">
        <v>2781</v>
      </c>
      <c r="AH10" s="181">
        <v>44902</v>
      </c>
      <c r="AI10" s="181">
        <v>44922</v>
      </c>
      <c r="AJ10" s="181"/>
      <c r="AK10" s="181">
        <f t="shared" ca="1" si="0"/>
        <v>44958</v>
      </c>
      <c r="AL10" s="175">
        <f t="shared" ca="1" si="1"/>
        <v>36</v>
      </c>
      <c r="AM10" s="175">
        <f t="shared" ca="1" si="2"/>
        <v>31</v>
      </c>
      <c r="AN10" s="372" t="s">
        <v>2782</v>
      </c>
      <c r="AO10" s="176" t="s">
        <v>2810</v>
      </c>
      <c r="AP10" s="176">
        <v>9.9949999999999992</v>
      </c>
      <c r="AQ10" s="173">
        <v>10.034999999999998</v>
      </c>
      <c r="AR10" s="142">
        <v>9.98</v>
      </c>
      <c r="AS10" s="142">
        <v>9.98</v>
      </c>
      <c r="AU10" s="142">
        <v>463</v>
      </c>
      <c r="AW10" s="142" t="s">
        <v>123</v>
      </c>
    </row>
    <row r="11" spans="2:61" s="142" customFormat="1" ht="21.75" customHeight="1" x14ac:dyDescent="0.25">
      <c r="B11" s="510" t="s">
        <v>6913</v>
      </c>
      <c r="C11" s="511" t="s">
        <v>6923</v>
      </c>
      <c r="D11" s="201" t="s">
        <v>5136</v>
      </c>
      <c r="E11" s="173" t="s">
        <v>6915</v>
      </c>
      <c r="F11" s="173" t="s">
        <v>4496</v>
      </c>
      <c r="G11" s="201" t="s">
        <v>6924</v>
      </c>
      <c r="H11" s="173" t="s">
        <v>182</v>
      </c>
      <c r="I11" s="173" t="s">
        <v>114</v>
      </c>
      <c r="J11" s="174">
        <v>3.57</v>
      </c>
      <c r="K11" s="174">
        <v>1.2</v>
      </c>
      <c r="L11" s="174">
        <v>1.17</v>
      </c>
      <c r="M11" s="173">
        <v>1.2</v>
      </c>
      <c r="N11" s="175">
        <v>772</v>
      </c>
      <c r="O11" s="512">
        <v>4.4999999999999998E-2</v>
      </c>
      <c r="P11" s="173"/>
      <c r="Q11" s="179" t="s">
        <v>1555</v>
      </c>
      <c r="R11" s="491"/>
      <c r="S11" s="178"/>
      <c r="T11" s="177">
        <v>44906</v>
      </c>
      <c r="U11" s="177"/>
      <c r="V11" s="177">
        <v>44906</v>
      </c>
      <c r="W11" s="177"/>
      <c r="X11" s="177">
        <v>44929</v>
      </c>
      <c r="Y11" s="177"/>
      <c r="Z11" s="177"/>
      <c r="AA11" s="177"/>
      <c r="AB11" s="177"/>
      <c r="AC11" s="177"/>
      <c r="AD11" s="181" t="s">
        <v>1609</v>
      </c>
      <c r="AE11" s="181" t="s">
        <v>69</v>
      </c>
      <c r="AF11" s="181" t="s">
        <v>142</v>
      </c>
      <c r="AG11" s="181" t="s">
        <v>2283</v>
      </c>
      <c r="AH11" s="181"/>
      <c r="AI11" s="181">
        <v>44880</v>
      </c>
      <c r="AJ11" s="181"/>
      <c r="AK11" s="181">
        <f t="shared" ca="1" si="0"/>
        <v>44958</v>
      </c>
      <c r="AL11" s="175">
        <f t="shared" ca="1" si="1"/>
        <v>78</v>
      </c>
      <c r="AM11" s="175">
        <f t="shared" ca="1" si="2"/>
        <v>29</v>
      </c>
      <c r="AN11" s="372"/>
      <c r="AO11" s="176" t="s">
        <v>4498</v>
      </c>
      <c r="AP11" s="176">
        <v>11.765000000000001</v>
      </c>
      <c r="AQ11" s="173">
        <v>11.775</v>
      </c>
      <c r="AR11" s="142">
        <v>11.799999999999999</v>
      </c>
      <c r="AS11" s="142">
        <v>11.805</v>
      </c>
      <c r="AT11" s="142" t="str">
        <f t="shared" ref="AT11:AT74" si="3">IF(ISNUMBER(U11)=TRUE,AK11-U11,IF(U11="","",(AK11)-(MID(RIGHT(U11,10),4,2)&amp;"/"&amp;LEFT((RIGHT(U11,10)),2)&amp;"/"&amp;RIGHT(U11,4))))</f>
        <v/>
      </c>
      <c r="AU11" s="142">
        <v>459</v>
      </c>
      <c r="AW11" s="142" t="s">
        <v>123</v>
      </c>
    </row>
    <row r="12" spans="2:61" s="142" customFormat="1" ht="21.75" customHeight="1" x14ac:dyDescent="0.25">
      <c r="B12" s="510" t="s">
        <v>6913</v>
      </c>
      <c r="C12" s="511" t="s">
        <v>6921</v>
      </c>
      <c r="D12" s="201" t="s">
        <v>5140</v>
      </c>
      <c r="E12" s="173" t="s">
        <v>6915</v>
      </c>
      <c r="F12" s="173" t="s">
        <v>5141</v>
      </c>
      <c r="G12" s="201" t="s">
        <v>6925</v>
      </c>
      <c r="H12" s="173" t="s">
        <v>34</v>
      </c>
      <c r="I12" s="173" t="s">
        <v>114</v>
      </c>
      <c r="J12" s="174">
        <v>2.2000000000000002</v>
      </c>
      <c r="K12" s="174">
        <v>0.75</v>
      </c>
      <c r="L12" s="174">
        <v>0.75</v>
      </c>
      <c r="M12" s="173">
        <v>0.77</v>
      </c>
      <c r="N12" s="175">
        <v>620</v>
      </c>
      <c r="O12" s="512">
        <v>0.03</v>
      </c>
      <c r="P12" s="173"/>
      <c r="Q12" s="179" t="s">
        <v>1555</v>
      </c>
      <c r="R12" s="491"/>
      <c r="S12" s="178"/>
      <c r="T12" s="177">
        <v>44758</v>
      </c>
      <c r="U12" s="177"/>
      <c r="V12" s="177">
        <v>44758</v>
      </c>
      <c r="W12" s="177"/>
      <c r="X12" s="177">
        <v>44667</v>
      </c>
      <c r="Y12" s="177"/>
      <c r="Z12" s="177"/>
      <c r="AA12" s="177"/>
      <c r="AB12" s="177"/>
      <c r="AC12" s="177"/>
      <c r="AD12" s="181"/>
      <c r="AE12" s="181" t="s">
        <v>69</v>
      </c>
      <c r="AF12" s="181" t="s">
        <v>248</v>
      </c>
      <c r="AG12" s="181" t="s">
        <v>924</v>
      </c>
      <c r="AH12" s="181">
        <v>44697</v>
      </c>
      <c r="AI12" s="181">
        <v>44721</v>
      </c>
      <c r="AJ12" s="181"/>
      <c r="AK12" s="181">
        <f t="shared" ca="1" si="0"/>
        <v>44958</v>
      </c>
      <c r="AL12" s="175">
        <f t="shared" ca="1" si="1"/>
        <v>237</v>
      </c>
      <c r="AM12" s="175">
        <f t="shared" ca="1" si="2"/>
        <v>291</v>
      </c>
      <c r="AN12" s="372" t="s">
        <v>948</v>
      </c>
      <c r="AO12" s="176" t="s">
        <v>949</v>
      </c>
      <c r="AP12" s="176">
        <v>5.0670000000000002</v>
      </c>
      <c r="AQ12" s="173">
        <v>5.1070000000000002</v>
      </c>
      <c r="AR12" s="142">
        <v>5.1320000000000006</v>
      </c>
      <c r="AS12" s="142">
        <v>5.1370000000000005</v>
      </c>
      <c r="AT12" s="142" t="str">
        <f t="shared" si="3"/>
        <v/>
      </c>
      <c r="AU12" s="142">
        <v>440</v>
      </c>
      <c r="AW12" s="142" t="s">
        <v>123</v>
      </c>
    </row>
    <row r="13" spans="2:61" s="142" customFormat="1" ht="21.75" customHeight="1" x14ac:dyDescent="0.25">
      <c r="B13" s="510" t="s">
        <v>6913</v>
      </c>
      <c r="C13" s="511"/>
      <c r="D13" s="201" t="s">
        <v>5144</v>
      </c>
      <c r="E13" s="173" t="s">
        <v>6915</v>
      </c>
      <c r="F13" s="173" t="s">
        <v>4581</v>
      </c>
      <c r="G13" s="201" t="s">
        <v>6926</v>
      </c>
      <c r="H13" s="173">
        <v>304</v>
      </c>
      <c r="I13" s="173" t="s">
        <v>114</v>
      </c>
      <c r="J13" s="174">
        <v>3.85</v>
      </c>
      <c r="K13" s="174">
        <v>1.5</v>
      </c>
      <c r="L13" s="174">
        <v>1.48</v>
      </c>
      <c r="M13" s="173">
        <v>1.51</v>
      </c>
      <c r="N13" s="175">
        <v>768</v>
      </c>
      <c r="O13" s="512">
        <v>0.115</v>
      </c>
      <c r="P13" s="173"/>
      <c r="Q13" s="179" t="s">
        <v>1555</v>
      </c>
      <c r="R13" s="491"/>
      <c r="S13" s="178"/>
      <c r="T13" s="177">
        <v>44906</v>
      </c>
      <c r="U13" s="177"/>
      <c r="V13" s="177">
        <v>44907</v>
      </c>
      <c r="W13" s="177"/>
      <c r="X13" s="177">
        <v>44932</v>
      </c>
      <c r="Y13" s="177"/>
      <c r="Z13" s="177"/>
      <c r="AA13" s="177"/>
      <c r="AB13" s="177"/>
      <c r="AC13" s="177"/>
      <c r="AD13" s="181" t="s">
        <v>4482</v>
      </c>
      <c r="AE13" s="181" t="s">
        <v>69</v>
      </c>
      <c r="AF13" s="181" t="s">
        <v>142</v>
      </c>
      <c r="AG13" s="181" t="s">
        <v>1653</v>
      </c>
      <c r="AH13" s="181"/>
      <c r="AI13" s="181">
        <v>44880</v>
      </c>
      <c r="AJ13" s="181"/>
      <c r="AK13" s="181">
        <f t="shared" ca="1" si="0"/>
        <v>44958</v>
      </c>
      <c r="AL13" s="175">
        <f t="shared" ca="1" si="1"/>
        <v>78</v>
      </c>
      <c r="AM13" s="175">
        <f t="shared" ca="1" si="2"/>
        <v>26</v>
      </c>
      <c r="AN13" s="372"/>
      <c r="AO13" s="176" t="s">
        <v>4563</v>
      </c>
      <c r="AP13" s="176">
        <v>10.51</v>
      </c>
      <c r="AQ13" s="173">
        <v>10.52</v>
      </c>
      <c r="AR13" s="142">
        <v>10.544999999999998</v>
      </c>
      <c r="AS13" s="142">
        <v>10.549999999999999</v>
      </c>
      <c r="AT13" s="142" t="str">
        <f t="shared" si="3"/>
        <v/>
      </c>
      <c r="AU13" s="142">
        <v>459</v>
      </c>
      <c r="AW13" s="142" t="s">
        <v>123</v>
      </c>
    </row>
    <row r="14" spans="2:61" s="142" customFormat="1" ht="21.75" customHeight="1" x14ac:dyDescent="0.25">
      <c r="B14" s="510" t="s">
        <v>6913</v>
      </c>
      <c r="C14" s="511"/>
      <c r="D14" s="201" t="s">
        <v>4595</v>
      </c>
      <c r="E14" s="173" t="s">
        <v>6915</v>
      </c>
      <c r="F14" s="173" t="s">
        <v>3839</v>
      </c>
      <c r="G14" s="201" t="s">
        <v>6927</v>
      </c>
      <c r="H14" s="173" t="s">
        <v>135</v>
      </c>
      <c r="I14" s="173" t="s">
        <v>114</v>
      </c>
      <c r="J14" s="174">
        <v>3.92</v>
      </c>
      <c r="K14" s="174">
        <v>2</v>
      </c>
      <c r="L14" s="174">
        <v>1.99</v>
      </c>
      <c r="M14" s="173">
        <v>2.02</v>
      </c>
      <c r="N14" s="175">
        <v>777</v>
      </c>
      <c r="O14" s="512">
        <v>7.0000000000000007E-2</v>
      </c>
      <c r="P14" s="173"/>
      <c r="Q14" s="179" t="s">
        <v>1555</v>
      </c>
      <c r="R14" s="491"/>
      <c r="S14" s="178"/>
      <c r="T14" s="177">
        <v>44926</v>
      </c>
      <c r="U14" s="177"/>
      <c r="V14" s="177">
        <v>44928</v>
      </c>
      <c r="W14" s="177"/>
      <c r="X14" s="177"/>
      <c r="Y14" s="177"/>
      <c r="Z14" s="177"/>
      <c r="AA14" s="177"/>
      <c r="AB14" s="177"/>
      <c r="AC14" s="177">
        <v>44911</v>
      </c>
      <c r="AD14" s="181" t="s">
        <v>2374</v>
      </c>
      <c r="AE14" s="181" t="s">
        <v>69</v>
      </c>
      <c r="AF14" s="181" t="s">
        <v>142</v>
      </c>
      <c r="AG14" s="181" t="s">
        <v>1887</v>
      </c>
      <c r="AH14" s="181"/>
      <c r="AI14" s="181">
        <v>44880</v>
      </c>
      <c r="AJ14" s="181"/>
      <c r="AK14" s="181">
        <f t="shared" ca="1" si="0"/>
        <v>44958</v>
      </c>
      <c r="AL14" s="175">
        <f t="shared" ca="1" si="1"/>
        <v>78</v>
      </c>
      <c r="AM14" s="175" t="str">
        <f t="shared" si="2"/>
        <v/>
      </c>
      <c r="AN14" s="372"/>
      <c r="AO14" s="176" t="s">
        <v>3841</v>
      </c>
      <c r="AP14" s="176">
        <v>21.62</v>
      </c>
      <c r="AQ14" s="173">
        <v>21.68</v>
      </c>
      <c r="AR14" s="142">
        <v>21.705000000000002</v>
      </c>
      <c r="AS14" s="142">
        <v>21.71</v>
      </c>
      <c r="AT14" s="142" t="str">
        <f t="shared" si="3"/>
        <v/>
      </c>
      <c r="AU14" s="142">
        <v>460</v>
      </c>
      <c r="AW14" s="142" t="s">
        <v>123</v>
      </c>
    </row>
    <row r="15" spans="2:61" s="142" customFormat="1" ht="21.75" customHeight="1" x14ac:dyDescent="0.25">
      <c r="B15" s="510" t="s">
        <v>6913</v>
      </c>
      <c r="C15" s="511"/>
      <c r="D15" s="201" t="s">
        <v>5174</v>
      </c>
      <c r="E15" s="173" t="s">
        <v>6915</v>
      </c>
      <c r="F15" s="173" t="s">
        <v>3863</v>
      </c>
      <c r="G15" s="201" t="s">
        <v>6928</v>
      </c>
      <c r="H15" s="173">
        <v>304</v>
      </c>
      <c r="I15" s="173" t="s">
        <v>114</v>
      </c>
      <c r="J15" s="174">
        <v>3.79</v>
      </c>
      <c r="K15" s="174">
        <v>1.5</v>
      </c>
      <c r="L15" s="174">
        <v>1.5</v>
      </c>
      <c r="M15" s="173">
        <v>1.52</v>
      </c>
      <c r="N15" s="175">
        <v>770</v>
      </c>
      <c r="O15" s="512">
        <v>0.11</v>
      </c>
      <c r="P15" s="173"/>
      <c r="Q15" s="179" t="s">
        <v>1555</v>
      </c>
      <c r="R15" s="491" t="s">
        <v>1344</v>
      </c>
      <c r="S15" s="178" t="s">
        <v>4636</v>
      </c>
      <c r="T15" s="177">
        <v>44929</v>
      </c>
      <c r="U15" s="177"/>
      <c r="V15" s="177">
        <v>44929</v>
      </c>
      <c r="W15" s="177"/>
      <c r="X15" s="177">
        <v>44935</v>
      </c>
      <c r="Y15" s="177"/>
      <c r="Z15" s="177"/>
      <c r="AA15" s="177"/>
      <c r="AB15" s="177"/>
      <c r="AC15" s="177"/>
      <c r="AD15" s="181" t="s">
        <v>1345</v>
      </c>
      <c r="AE15" s="181" t="s">
        <v>69</v>
      </c>
      <c r="AF15" s="181" t="s">
        <v>142</v>
      </c>
      <c r="AG15" s="181" t="s">
        <v>2283</v>
      </c>
      <c r="AH15" s="181"/>
      <c r="AI15" s="181">
        <v>44880</v>
      </c>
      <c r="AJ15" s="181"/>
      <c r="AK15" s="181">
        <f t="shared" ca="1" si="0"/>
        <v>44958</v>
      </c>
      <c r="AL15" s="175">
        <f t="shared" ca="1" si="1"/>
        <v>78</v>
      </c>
      <c r="AM15" s="175">
        <f t="shared" ca="1" si="2"/>
        <v>23</v>
      </c>
      <c r="AN15" s="372"/>
      <c r="AO15" s="176" t="s">
        <v>3865</v>
      </c>
      <c r="AP15" s="176">
        <v>10.52</v>
      </c>
      <c r="AQ15" s="173">
        <v>10.53</v>
      </c>
      <c r="AR15" s="142">
        <v>10.554999999999998</v>
      </c>
      <c r="AS15" s="142">
        <v>10.559999999999999</v>
      </c>
      <c r="AT15" s="142" t="str">
        <f t="shared" si="3"/>
        <v/>
      </c>
      <c r="AU15" s="142">
        <v>459</v>
      </c>
      <c r="AW15" s="142" t="s">
        <v>123</v>
      </c>
    </row>
    <row r="16" spans="2:61" s="142" customFormat="1" ht="21.75" customHeight="1" x14ac:dyDescent="0.25">
      <c r="B16" s="510" t="s">
        <v>6913</v>
      </c>
      <c r="C16" s="511"/>
      <c r="D16" s="201" t="s">
        <v>5176</v>
      </c>
      <c r="E16" s="173" t="s">
        <v>6915</v>
      </c>
      <c r="F16" s="173" t="s">
        <v>4632</v>
      </c>
      <c r="G16" s="201" t="s">
        <v>6929</v>
      </c>
      <c r="H16" s="173">
        <v>304</v>
      </c>
      <c r="I16" s="173" t="s">
        <v>114</v>
      </c>
      <c r="J16" s="174">
        <v>4.38</v>
      </c>
      <c r="K16" s="174">
        <v>2</v>
      </c>
      <c r="L16" s="174">
        <v>1.97</v>
      </c>
      <c r="M16" s="173">
        <v>2</v>
      </c>
      <c r="N16" s="175">
        <v>773</v>
      </c>
      <c r="O16" s="512">
        <v>0.09</v>
      </c>
      <c r="P16" s="173"/>
      <c r="Q16" s="179" t="s">
        <v>1555</v>
      </c>
      <c r="R16" s="491"/>
      <c r="S16" s="178"/>
      <c r="T16" s="177">
        <v>44914</v>
      </c>
      <c r="U16" s="177"/>
      <c r="V16" s="177">
        <v>44916</v>
      </c>
      <c r="W16" s="177"/>
      <c r="X16" s="177">
        <v>44935</v>
      </c>
      <c r="Y16" s="177"/>
      <c r="Z16" s="177"/>
      <c r="AA16" s="177">
        <v>44936</v>
      </c>
      <c r="AB16" s="177"/>
      <c r="AC16" s="177"/>
      <c r="AD16" s="181" t="s">
        <v>1619</v>
      </c>
      <c r="AE16" s="181" t="s">
        <v>69</v>
      </c>
      <c r="AF16" s="181" t="s">
        <v>142</v>
      </c>
      <c r="AG16" s="181" t="s">
        <v>1887</v>
      </c>
      <c r="AH16" s="181"/>
      <c r="AI16" s="181">
        <v>44880</v>
      </c>
      <c r="AJ16" s="181"/>
      <c r="AK16" s="181">
        <f t="shared" ca="1" si="0"/>
        <v>44958</v>
      </c>
      <c r="AL16" s="175">
        <f t="shared" ca="1" si="1"/>
        <v>78</v>
      </c>
      <c r="AM16" s="175">
        <f t="shared" ca="1" si="2"/>
        <v>23</v>
      </c>
      <c r="AN16" s="372"/>
      <c r="AO16" s="176" t="s">
        <v>4634</v>
      </c>
      <c r="AP16" s="176">
        <v>10.55</v>
      </c>
      <c r="AQ16" s="173">
        <v>10.56</v>
      </c>
      <c r="AR16" s="142">
        <v>10.584999999999999</v>
      </c>
      <c r="AS16" s="142">
        <v>10.59</v>
      </c>
      <c r="AT16" s="142" t="str">
        <f t="shared" si="3"/>
        <v/>
      </c>
      <c r="AU16" s="142">
        <v>459</v>
      </c>
      <c r="AW16" s="142" t="s">
        <v>123</v>
      </c>
    </row>
    <row r="17" spans="2:49" s="142" customFormat="1" ht="21.75" customHeight="1" x14ac:dyDescent="0.25">
      <c r="B17" s="510" t="s">
        <v>6913</v>
      </c>
      <c r="C17" s="511" t="s">
        <v>6930</v>
      </c>
      <c r="D17" s="201" t="s">
        <v>5174</v>
      </c>
      <c r="E17" s="173" t="s">
        <v>6915</v>
      </c>
      <c r="F17" s="173" t="s">
        <v>3866</v>
      </c>
      <c r="G17" s="201" t="s">
        <v>6931</v>
      </c>
      <c r="H17" s="173">
        <v>304</v>
      </c>
      <c r="I17" s="173" t="s">
        <v>114</v>
      </c>
      <c r="J17" s="174">
        <v>2.88</v>
      </c>
      <c r="K17" s="174">
        <v>0.95</v>
      </c>
      <c r="L17" s="174">
        <v>0.94</v>
      </c>
      <c r="M17" s="173">
        <v>0.97</v>
      </c>
      <c r="N17" s="175">
        <v>770</v>
      </c>
      <c r="O17" s="512">
        <v>0.04</v>
      </c>
      <c r="P17" s="173"/>
      <c r="Q17" s="179" t="s">
        <v>1555</v>
      </c>
      <c r="R17" s="491"/>
      <c r="S17" s="178"/>
      <c r="T17" s="177">
        <v>44929</v>
      </c>
      <c r="U17" s="177"/>
      <c r="V17" s="177">
        <v>44929</v>
      </c>
      <c r="W17" s="177"/>
      <c r="X17" s="177">
        <v>44936</v>
      </c>
      <c r="Y17" s="177"/>
      <c r="Z17" s="177"/>
      <c r="AA17" s="177"/>
      <c r="AB17" s="177"/>
      <c r="AC17" s="177"/>
      <c r="AD17" s="181" t="s">
        <v>2479</v>
      </c>
      <c r="AE17" s="181" t="s">
        <v>69</v>
      </c>
      <c r="AF17" s="181" t="s">
        <v>142</v>
      </c>
      <c r="AG17" s="181" t="s">
        <v>1584</v>
      </c>
      <c r="AH17" s="181"/>
      <c r="AI17" s="181">
        <v>44914</v>
      </c>
      <c r="AJ17" s="181"/>
      <c r="AK17" s="181">
        <f t="shared" ca="1" si="0"/>
        <v>44958</v>
      </c>
      <c r="AL17" s="175">
        <f t="shared" ca="1" si="1"/>
        <v>44</v>
      </c>
      <c r="AM17" s="175">
        <f t="shared" ca="1" si="2"/>
        <v>22</v>
      </c>
      <c r="AN17" s="372"/>
      <c r="AO17" s="176" t="s">
        <v>3868</v>
      </c>
      <c r="AP17" s="176">
        <v>10.55</v>
      </c>
      <c r="AQ17" s="173">
        <v>10.56</v>
      </c>
      <c r="AR17" s="142">
        <v>10.584999999999999</v>
      </c>
      <c r="AS17" s="142">
        <v>10.59</v>
      </c>
      <c r="AT17" s="142" t="str">
        <f t="shared" si="3"/>
        <v/>
      </c>
      <c r="AU17" s="142">
        <v>462</v>
      </c>
      <c r="AW17" s="142" t="s">
        <v>123</v>
      </c>
    </row>
    <row r="18" spans="2:49" s="142" customFormat="1" ht="21.75" customHeight="1" x14ac:dyDescent="0.25">
      <c r="B18" s="510" t="s">
        <v>6913</v>
      </c>
      <c r="C18" s="511"/>
      <c r="D18" s="201" t="s">
        <v>5174</v>
      </c>
      <c r="E18" s="173" t="s">
        <v>6915</v>
      </c>
      <c r="F18" s="173" t="s">
        <v>3933</v>
      </c>
      <c r="G18" s="201" t="s">
        <v>6932</v>
      </c>
      <c r="H18" s="173">
        <v>304</v>
      </c>
      <c r="I18" s="173" t="s">
        <v>114</v>
      </c>
      <c r="J18" s="174">
        <v>2.48</v>
      </c>
      <c r="K18" s="174">
        <v>0.5</v>
      </c>
      <c r="L18" s="174">
        <v>0.47</v>
      </c>
      <c r="M18" s="173">
        <v>0.51</v>
      </c>
      <c r="N18" s="175">
        <v>641</v>
      </c>
      <c r="O18" s="512">
        <v>7.0000000000000007E-2</v>
      </c>
      <c r="P18" s="173"/>
      <c r="Q18" s="179" t="s">
        <v>1555</v>
      </c>
      <c r="R18" s="491"/>
      <c r="S18" s="178"/>
      <c r="T18" s="177">
        <v>44932</v>
      </c>
      <c r="U18" s="177"/>
      <c r="V18" s="177">
        <v>44932</v>
      </c>
      <c r="W18" s="177"/>
      <c r="X18" s="177">
        <v>44936</v>
      </c>
      <c r="Y18" s="177"/>
      <c r="Z18" s="177"/>
      <c r="AA18" s="177"/>
      <c r="AB18" s="177"/>
      <c r="AC18" s="177"/>
      <c r="AD18" s="181" t="s">
        <v>2479</v>
      </c>
      <c r="AE18" s="181" t="s">
        <v>69</v>
      </c>
      <c r="AF18" s="181" t="s">
        <v>142</v>
      </c>
      <c r="AG18" s="181" t="s">
        <v>1594</v>
      </c>
      <c r="AH18" s="181"/>
      <c r="AI18" s="181">
        <v>44849</v>
      </c>
      <c r="AJ18" s="181"/>
      <c r="AK18" s="181">
        <f t="shared" ca="1" si="0"/>
        <v>44958</v>
      </c>
      <c r="AL18" s="175">
        <f t="shared" ca="1" si="1"/>
        <v>109</v>
      </c>
      <c r="AM18" s="175">
        <f t="shared" ca="1" si="2"/>
        <v>22</v>
      </c>
      <c r="AN18" s="372"/>
      <c r="AO18" s="176" t="s">
        <v>3935</v>
      </c>
      <c r="AP18" s="176">
        <v>10.135</v>
      </c>
      <c r="AQ18" s="173">
        <v>10.145</v>
      </c>
      <c r="AR18" s="142">
        <v>10.169999999999998</v>
      </c>
      <c r="AS18" s="142">
        <v>10.174999999999999</v>
      </c>
      <c r="AT18" s="142" t="str">
        <f t="shared" si="3"/>
        <v/>
      </c>
      <c r="AU18" s="142">
        <v>456</v>
      </c>
      <c r="AW18" s="142" t="s">
        <v>123</v>
      </c>
    </row>
    <row r="19" spans="2:49" s="142" customFormat="1" ht="21.75" customHeight="1" x14ac:dyDescent="0.25">
      <c r="B19" s="510" t="s">
        <v>6913</v>
      </c>
      <c r="C19" s="511" t="s">
        <v>6921</v>
      </c>
      <c r="D19" s="201" t="s">
        <v>5178</v>
      </c>
      <c r="E19" s="173" t="s">
        <v>6915</v>
      </c>
      <c r="F19" s="173" t="s">
        <v>3918</v>
      </c>
      <c r="G19" s="201" t="s">
        <v>6933</v>
      </c>
      <c r="H19" s="173" t="s">
        <v>182</v>
      </c>
      <c r="I19" s="173" t="s">
        <v>114</v>
      </c>
      <c r="J19" s="174">
        <v>2.81</v>
      </c>
      <c r="K19" s="174">
        <v>1</v>
      </c>
      <c r="L19" s="174">
        <v>0.98</v>
      </c>
      <c r="M19" s="173">
        <v>1.02</v>
      </c>
      <c r="N19" s="175">
        <v>644</v>
      </c>
      <c r="O19" s="512">
        <v>0.06</v>
      </c>
      <c r="P19" s="173"/>
      <c r="Q19" s="179" t="s">
        <v>1555</v>
      </c>
      <c r="R19" s="491" t="s">
        <v>294</v>
      </c>
      <c r="S19" s="178"/>
      <c r="T19" s="177">
        <v>44931</v>
      </c>
      <c r="U19" s="177"/>
      <c r="V19" s="177"/>
      <c r="W19" s="177">
        <v>44932</v>
      </c>
      <c r="X19" s="177">
        <v>44932</v>
      </c>
      <c r="Y19" s="177"/>
      <c r="Z19" s="177"/>
      <c r="AA19" s="177" t="s">
        <v>5172</v>
      </c>
      <c r="AB19" s="177"/>
      <c r="AC19" s="177"/>
      <c r="AD19" s="181" t="s">
        <v>2479</v>
      </c>
      <c r="AE19" s="181" t="s">
        <v>69</v>
      </c>
      <c r="AF19" s="181" t="s">
        <v>142</v>
      </c>
      <c r="AG19" s="181" t="s">
        <v>1653</v>
      </c>
      <c r="AH19" s="181"/>
      <c r="AI19" s="181">
        <v>44880</v>
      </c>
      <c r="AJ19" s="181"/>
      <c r="AK19" s="181">
        <f t="shared" ca="1" si="0"/>
        <v>44958</v>
      </c>
      <c r="AL19" s="175">
        <f t="shared" ca="1" si="1"/>
        <v>78</v>
      </c>
      <c r="AM19" s="175">
        <f t="shared" ca="1" si="2"/>
        <v>26</v>
      </c>
      <c r="AN19" s="372"/>
      <c r="AO19" s="176" t="s">
        <v>1939</v>
      </c>
      <c r="AP19" s="176">
        <v>10.654999999999999</v>
      </c>
      <c r="AQ19" s="173">
        <v>10.664999999999999</v>
      </c>
      <c r="AR19" s="142">
        <v>10.689999999999998</v>
      </c>
      <c r="AS19" s="142">
        <v>10.694999999999999</v>
      </c>
      <c r="AT19" s="142" t="str">
        <f t="shared" si="3"/>
        <v/>
      </c>
      <c r="AU19" s="142">
        <v>459</v>
      </c>
      <c r="AW19" s="142" t="s">
        <v>123</v>
      </c>
    </row>
    <row r="20" spans="2:49" s="142" customFormat="1" ht="21.75" customHeight="1" x14ac:dyDescent="0.25">
      <c r="B20" s="510" t="s">
        <v>6913</v>
      </c>
      <c r="C20" s="511"/>
      <c r="D20" s="201" t="s">
        <v>5187</v>
      </c>
      <c r="E20" s="173" t="s">
        <v>4432</v>
      </c>
      <c r="F20" s="173" t="s">
        <v>3918</v>
      </c>
      <c r="G20" s="201" t="s">
        <v>6934</v>
      </c>
      <c r="H20" s="173" t="s">
        <v>182</v>
      </c>
      <c r="I20" s="173" t="s">
        <v>114</v>
      </c>
      <c r="J20" s="174">
        <v>2.81</v>
      </c>
      <c r="K20" s="174">
        <v>1</v>
      </c>
      <c r="L20" s="174">
        <v>0.98</v>
      </c>
      <c r="M20" s="173">
        <v>1.02</v>
      </c>
      <c r="N20" s="175">
        <v>644</v>
      </c>
      <c r="O20" s="512">
        <v>4.4999999999999998E-2</v>
      </c>
      <c r="P20" s="173"/>
      <c r="Q20" s="179" t="s">
        <v>1555</v>
      </c>
      <c r="R20" s="491" t="s">
        <v>294</v>
      </c>
      <c r="S20" s="178"/>
      <c r="T20" s="177">
        <v>44931</v>
      </c>
      <c r="U20" s="177"/>
      <c r="V20" s="177"/>
      <c r="W20" s="177">
        <v>44932</v>
      </c>
      <c r="X20" s="177">
        <v>44932</v>
      </c>
      <c r="Y20" s="177"/>
      <c r="Z20" s="177"/>
      <c r="AA20" s="177" t="s">
        <v>5172</v>
      </c>
      <c r="AB20" s="177"/>
      <c r="AC20" s="177"/>
      <c r="AD20" s="181" t="s">
        <v>2479</v>
      </c>
      <c r="AE20" s="181" t="s">
        <v>69</v>
      </c>
      <c r="AF20" s="181" t="s">
        <v>142</v>
      </c>
      <c r="AG20" s="181" t="s">
        <v>1653</v>
      </c>
      <c r="AH20" s="181"/>
      <c r="AI20" s="181">
        <v>44880</v>
      </c>
      <c r="AJ20" s="181"/>
      <c r="AK20" s="181">
        <f ca="1">TODAY()</f>
        <v>44958</v>
      </c>
      <c r="AL20" s="175">
        <f ca="1">IF(AI20&lt;&gt;0,AK20-AI20,0)</f>
        <v>78</v>
      </c>
      <c r="AM20" s="175">
        <f t="shared" ca="1" si="2"/>
        <v>26</v>
      </c>
      <c r="AN20" s="372"/>
      <c r="AO20" s="176" t="s">
        <v>1939</v>
      </c>
      <c r="AP20" s="176">
        <v>10.654999999999999</v>
      </c>
      <c r="AQ20" s="173">
        <v>10.664999999999999</v>
      </c>
      <c r="AR20" s="142">
        <v>10.689999999999998</v>
      </c>
      <c r="AS20" s="142">
        <v>10.694999999999999</v>
      </c>
      <c r="AT20" s="142" t="str">
        <f t="shared" si="3"/>
        <v/>
      </c>
      <c r="AU20" s="142">
        <v>459</v>
      </c>
      <c r="AW20" s="142" t="s">
        <v>123</v>
      </c>
    </row>
    <row r="21" spans="2:49" s="142" customFormat="1" ht="21.75" customHeight="1" x14ac:dyDescent="0.25">
      <c r="B21" s="510" t="s">
        <v>6913</v>
      </c>
      <c r="C21" s="511"/>
      <c r="D21" s="201" t="s">
        <v>5187</v>
      </c>
      <c r="E21" s="173" t="s">
        <v>4432</v>
      </c>
      <c r="F21" s="173" t="s">
        <v>4650</v>
      </c>
      <c r="G21" s="201" t="s">
        <v>6935</v>
      </c>
      <c r="H21" s="173">
        <v>304</v>
      </c>
      <c r="I21" s="173" t="s">
        <v>114</v>
      </c>
      <c r="J21" s="174">
        <v>3.78</v>
      </c>
      <c r="K21" s="174">
        <v>1.2</v>
      </c>
      <c r="L21" s="174">
        <v>1.2</v>
      </c>
      <c r="M21" s="173">
        <v>1.22</v>
      </c>
      <c r="N21" s="175">
        <v>773</v>
      </c>
      <c r="O21" s="512">
        <v>5.5E-2</v>
      </c>
      <c r="P21" s="173"/>
      <c r="Q21" s="179" t="s">
        <v>1555</v>
      </c>
      <c r="R21" s="491"/>
      <c r="S21" s="178"/>
      <c r="T21" s="177">
        <v>44923</v>
      </c>
      <c r="U21" s="177"/>
      <c r="V21" s="177">
        <v>44923</v>
      </c>
      <c r="W21" s="177"/>
      <c r="X21" s="177">
        <v>44936</v>
      </c>
      <c r="Y21" s="177"/>
      <c r="Z21" s="177"/>
      <c r="AA21" s="177">
        <v>44937</v>
      </c>
      <c r="AB21" s="177"/>
      <c r="AC21" s="177"/>
      <c r="AD21" s="181" t="s">
        <v>2479</v>
      </c>
      <c r="AE21" s="181" t="s">
        <v>69</v>
      </c>
      <c r="AF21" s="181" t="s">
        <v>142</v>
      </c>
      <c r="AG21" s="181" t="s">
        <v>2283</v>
      </c>
      <c r="AH21" s="181"/>
      <c r="AI21" s="181">
        <v>44880</v>
      </c>
      <c r="AJ21" s="181"/>
      <c r="AK21" s="181">
        <f ca="1">TODAY()</f>
        <v>44958</v>
      </c>
      <c r="AL21" s="175">
        <f ca="1">IF(AI21&lt;&gt;0,AK21-AI21,0)</f>
        <v>78</v>
      </c>
      <c r="AM21" s="175">
        <f t="shared" ca="1" si="2"/>
        <v>22</v>
      </c>
      <c r="AN21" s="372"/>
      <c r="AO21" s="176" t="s">
        <v>4652</v>
      </c>
      <c r="AP21" s="176">
        <v>10.52</v>
      </c>
      <c r="AQ21" s="173">
        <v>10.53</v>
      </c>
      <c r="AR21" s="142">
        <v>10.554999999999998</v>
      </c>
      <c r="AS21" s="142">
        <v>10.559999999999999</v>
      </c>
      <c r="AT21" s="142" t="str">
        <f t="shared" si="3"/>
        <v/>
      </c>
      <c r="AU21" s="142">
        <v>459</v>
      </c>
      <c r="AW21" s="142" t="s">
        <v>123</v>
      </c>
    </row>
    <row r="22" spans="2:49" s="142" customFormat="1" ht="21.75" customHeight="1" x14ac:dyDescent="0.25">
      <c r="B22" s="510" t="s">
        <v>6913</v>
      </c>
      <c r="C22" s="511"/>
      <c r="D22" s="201" t="s">
        <v>5194</v>
      </c>
      <c r="E22" s="173" t="s">
        <v>16</v>
      </c>
      <c r="F22" s="173" t="s">
        <v>4674</v>
      </c>
      <c r="G22" s="201" t="s">
        <v>6936</v>
      </c>
      <c r="H22" s="173" t="s">
        <v>34</v>
      </c>
      <c r="I22" s="173" t="s">
        <v>70</v>
      </c>
      <c r="J22" s="174">
        <v>2.4</v>
      </c>
      <c r="K22" s="174">
        <v>1.1200000000000001</v>
      </c>
      <c r="L22" s="174"/>
      <c r="M22" s="173"/>
      <c r="N22" s="175">
        <v>620</v>
      </c>
      <c r="O22" s="512">
        <v>0.26</v>
      </c>
      <c r="P22" s="173"/>
      <c r="Q22" s="179" t="s">
        <v>1555</v>
      </c>
      <c r="R22" s="491" t="s">
        <v>5129</v>
      </c>
      <c r="S22" s="178"/>
      <c r="T22" s="177">
        <v>44904</v>
      </c>
      <c r="U22" s="177"/>
      <c r="V22" s="177"/>
      <c r="W22" s="177">
        <v>44908</v>
      </c>
      <c r="X22" s="177"/>
      <c r="Y22" s="177"/>
      <c r="Z22" s="177"/>
      <c r="AA22" s="177"/>
      <c r="AB22" s="177"/>
      <c r="AC22" s="177"/>
      <c r="AD22" s="181"/>
      <c r="AE22" s="181" t="s">
        <v>69</v>
      </c>
      <c r="AF22" s="181" t="s">
        <v>119</v>
      </c>
      <c r="AG22" s="181" t="s">
        <v>2387</v>
      </c>
      <c r="AH22" s="181">
        <v>44848</v>
      </c>
      <c r="AI22" s="181">
        <v>44880</v>
      </c>
      <c r="AJ22" s="181"/>
      <c r="AK22" s="181">
        <f t="shared" ref="AK22" ca="1" si="4">TODAY()</f>
        <v>44958</v>
      </c>
      <c r="AL22" s="175">
        <f t="shared" ref="AL22" ca="1" si="5">IF(AI22&lt;&gt;0,AK22-AI22,0)</f>
        <v>78</v>
      </c>
      <c r="AM22" s="175" t="str">
        <f t="shared" si="2"/>
        <v/>
      </c>
      <c r="AN22" s="372" t="s">
        <v>2395</v>
      </c>
      <c r="AO22" s="176" t="s">
        <v>2416</v>
      </c>
      <c r="AP22" s="176">
        <v>10.055</v>
      </c>
      <c r="AQ22" s="173">
        <v>10.074999999999999</v>
      </c>
      <c r="AR22" s="142">
        <v>10.099999999999998</v>
      </c>
      <c r="AS22" s="142">
        <v>10.104999999999999</v>
      </c>
      <c r="AT22" s="142" t="str">
        <f t="shared" si="3"/>
        <v/>
      </c>
      <c r="AU22" s="142">
        <v>461</v>
      </c>
      <c r="AW22" s="142" t="s">
        <v>123</v>
      </c>
    </row>
    <row r="23" spans="2:49" s="142" customFormat="1" ht="21.75" customHeight="1" x14ac:dyDescent="0.25">
      <c r="B23" s="510" t="s">
        <v>6913</v>
      </c>
      <c r="C23" s="511"/>
      <c r="D23" s="201" t="s">
        <v>5189</v>
      </c>
      <c r="E23" s="173" t="s">
        <v>4432</v>
      </c>
      <c r="F23" s="173" t="s">
        <v>4664</v>
      </c>
      <c r="G23" s="201" t="s">
        <v>6937</v>
      </c>
      <c r="H23" s="173" t="s">
        <v>34</v>
      </c>
      <c r="I23" s="173" t="s">
        <v>114</v>
      </c>
      <c r="J23" s="174">
        <v>0.75</v>
      </c>
      <c r="K23" s="174">
        <v>0.45</v>
      </c>
      <c r="L23" s="174">
        <v>0.43</v>
      </c>
      <c r="M23" s="173">
        <v>0.45</v>
      </c>
      <c r="N23" s="175">
        <v>615</v>
      </c>
      <c r="O23" s="512">
        <v>0.03</v>
      </c>
      <c r="P23" s="173"/>
      <c r="Q23" s="179" t="s">
        <v>1555</v>
      </c>
      <c r="R23" s="491" t="s">
        <v>295</v>
      </c>
      <c r="S23" s="178"/>
      <c r="T23" s="177" t="s">
        <v>4666</v>
      </c>
      <c r="U23" s="177"/>
      <c r="V23" s="177">
        <v>44747</v>
      </c>
      <c r="W23" s="177">
        <v>44910</v>
      </c>
      <c r="X23" s="177" t="s">
        <v>4667</v>
      </c>
      <c r="Y23" s="177"/>
      <c r="Z23" s="177"/>
      <c r="AA23" s="177">
        <v>44904</v>
      </c>
      <c r="AB23" s="177"/>
      <c r="AC23" s="177"/>
      <c r="AD23" s="181"/>
      <c r="AE23" s="181" t="s">
        <v>69</v>
      </c>
      <c r="AF23" s="181" t="s">
        <v>248</v>
      </c>
      <c r="AG23" s="181" t="s">
        <v>924</v>
      </c>
      <c r="AH23" s="181">
        <v>44697</v>
      </c>
      <c r="AI23" s="181">
        <v>44721</v>
      </c>
      <c r="AJ23" s="181"/>
      <c r="AK23" s="181">
        <f ca="1">TODAY()</f>
        <v>44958</v>
      </c>
      <c r="AL23" s="175">
        <f ca="1">IF(AI23&lt;&gt;0,AK23-AI23,0)</f>
        <v>237</v>
      </c>
      <c r="AM23" s="175">
        <f t="shared" ca="1" si="2"/>
        <v>21</v>
      </c>
      <c r="AN23" s="372" t="s">
        <v>4668</v>
      </c>
      <c r="AO23" s="176" t="s">
        <v>4669</v>
      </c>
      <c r="AP23" s="176">
        <v>10.002000000000001</v>
      </c>
      <c r="AQ23" s="173">
        <v>10.042</v>
      </c>
      <c r="AR23" s="142">
        <v>10.066999999999998</v>
      </c>
      <c r="AS23" s="142">
        <v>10.071999999999999</v>
      </c>
      <c r="AT23" s="142" t="str">
        <f t="shared" si="3"/>
        <v/>
      </c>
      <c r="AU23" s="142">
        <v>440</v>
      </c>
      <c r="AW23" s="142" t="s">
        <v>123</v>
      </c>
    </row>
    <row r="24" spans="2:49" s="142" customFormat="1" ht="21.75" customHeight="1" x14ac:dyDescent="0.25">
      <c r="B24" s="510" t="s">
        <v>6913</v>
      </c>
      <c r="C24" s="511"/>
      <c r="D24" s="201" t="s">
        <v>5189</v>
      </c>
      <c r="E24" s="173" t="s">
        <v>4432</v>
      </c>
      <c r="F24" s="173" t="s">
        <v>4664</v>
      </c>
      <c r="G24" s="201" t="s">
        <v>6938</v>
      </c>
      <c r="H24" s="173" t="s">
        <v>34</v>
      </c>
      <c r="I24" s="173" t="s">
        <v>114</v>
      </c>
      <c r="J24" s="174">
        <v>0.75</v>
      </c>
      <c r="K24" s="174">
        <v>0.45</v>
      </c>
      <c r="L24" s="174">
        <v>0.43</v>
      </c>
      <c r="M24" s="173">
        <v>0.45</v>
      </c>
      <c r="N24" s="175">
        <v>615</v>
      </c>
      <c r="O24" s="512">
        <v>5.5E-2</v>
      </c>
      <c r="P24" s="173"/>
      <c r="Q24" s="179" t="s">
        <v>1555</v>
      </c>
      <c r="R24" s="491" t="s">
        <v>295</v>
      </c>
      <c r="S24" s="178"/>
      <c r="T24" s="177" t="s">
        <v>4666</v>
      </c>
      <c r="U24" s="177"/>
      <c r="V24" s="177">
        <v>44747</v>
      </c>
      <c r="W24" s="177">
        <v>44910</v>
      </c>
      <c r="X24" s="177" t="s">
        <v>4667</v>
      </c>
      <c r="Y24" s="177"/>
      <c r="Z24" s="177"/>
      <c r="AA24" s="177">
        <v>44904</v>
      </c>
      <c r="AB24" s="177"/>
      <c r="AC24" s="177"/>
      <c r="AD24" s="181"/>
      <c r="AE24" s="181" t="s">
        <v>69</v>
      </c>
      <c r="AF24" s="181" t="s">
        <v>248</v>
      </c>
      <c r="AG24" s="181" t="s">
        <v>924</v>
      </c>
      <c r="AH24" s="181">
        <v>44697</v>
      </c>
      <c r="AI24" s="181">
        <v>44721</v>
      </c>
      <c r="AJ24" s="181"/>
      <c r="AK24" s="181">
        <f ca="1">TODAY()</f>
        <v>44958</v>
      </c>
      <c r="AL24" s="175">
        <f ca="1">IF(AI24&lt;&gt;0,AK24-AI24,0)</f>
        <v>237</v>
      </c>
      <c r="AM24" s="175">
        <f t="shared" ca="1" si="2"/>
        <v>21</v>
      </c>
      <c r="AN24" s="372" t="s">
        <v>4668</v>
      </c>
      <c r="AO24" s="176" t="s">
        <v>4669</v>
      </c>
      <c r="AP24" s="176">
        <v>10.002000000000001</v>
      </c>
      <c r="AQ24" s="173">
        <v>10.042</v>
      </c>
      <c r="AR24" s="142">
        <v>10.066999999999998</v>
      </c>
      <c r="AS24" s="142">
        <v>10.071999999999999</v>
      </c>
      <c r="AT24" s="142" t="str">
        <f t="shared" si="3"/>
        <v/>
      </c>
      <c r="AU24" s="142">
        <v>440</v>
      </c>
      <c r="AW24" s="142" t="s">
        <v>123</v>
      </c>
    </row>
    <row r="25" spans="2:49" s="142" customFormat="1" ht="21.75" customHeight="1" x14ac:dyDescent="0.25">
      <c r="B25" s="510" t="s">
        <v>6913</v>
      </c>
      <c r="C25" s="511" t="s">
        <v>6939</v>
      </c>
      <c r="D25" s="201" t="s">
        <v>5189</v>
      </c>
      <c r="E25" s="173" t="s">
        <v>4432</v>
      </c>
      <c r="F25" s="173" t="s">
        <v>4671</v>
      </c>
      <c r="G25" s="201" t="s">
        <v>6940</v>
      </c>
      <c r="H25" s="173" t="s">
        <v>34</v>
      </c>
      <c r="I25" s="173" t="s">
        <v>114</v>
      </c>
      <c r="J25" s="174">
        <v>2.2000000000000002</v>
      </c>
      <c r="K25" s="174">
        <v>0.73</v>
      </c>
      <c r="L25" s="174">
        <v>0.7</v>
      </c>
      <c r="M25" s="173">
        <v>0.74</v>
      </c>
      <c r="N25" s="175">
        <v>620</v>
      </c>
      <c r="O25" s="512">
        <v>5.5E-2</v>
      </c>
      <c r="P25" s="173"/>
      <c r="Q25" s="179" t="s">
        <v>1555</v>
      </c>
      <c r="R25" s="491"/>
      <c r="S25" s="178"/>
      <c r="T25" s="177">
        <v>44784</v>
      </c>
      <c r="U25" s="177"/>
      <c r="V25" s="177">
        <v>44785</v>
      </c>
      <c r="W25" s="177"/>
      <c r="X25" s="177">
        <v>44937</v>
      </c>
      <c r="Y25" s="177"/>
      <c r="Z25" s="177"/>
      <c r="AA25" s="177"/>
      <c r="AB25" s="177"/>
      <c r="AC25" s="177"/>
      <c r="AD25" s="181"/>
      <c r="AE25" s="181" t="s">
        <v>69</v>
      </c>
      <c r="AF25" s="181" t="s">
        <v>119</v>
      </c>
      <c r="AG25" s="181" t="s">
        <v>994</v>
      </c>
      <c r="AH25" s="181">
        <v>44713</v>
      </c>
      <c r="AI25" s="181">
        <v>44747</v>
      </c>
      <c r="AJ25" s="181"/>
      <c r="AK25" s="181">
        <f ca="1">TODAY()</f>
        <v>44958</v>
      </c>
      <c r="AL25" s="175">
        <f ca="1">IF(AI25&lt;&gt;0,AK25-AI25,0)</f>
        <v>211</v>
      </c>
      <c r="AM25" s="175">
        <f t="shared" ca="1" si="2"/>
        <v>21</v>
      </c>
      <c r="AN25" s="372" t="s">
        <v>1010</v>
      </c>
      <c r="AO25" s="176" t="s">
        <v>4673</v>
      </c>
      <c r="AP25" s="176">
        <v>10.023</v>
      </c>
      <c r="AQ25" s="173">
        <v>10.042999999999999</v>
      </c>
      <c r="AR25" s="142">
        <v>10.067999999999998</v>
      </c>
      <c r="AS25" s="142">
        <v>10.072999999999999</v>
      </c>
      <c r="AT25" s="142" t="str">
        <f t="shared" si="3"/>
        <v/>
      </c>
      <c r="AU25" s="142">
        <v>442</v>
      </c>
      <c r="AW25" s="142" t="s">
        <v>123</v>
      </c>
    </row>
    <row r="26" spans="2:49" s="142" customFormat="1" ht="21.75" customHeight="1" x14ac:dyDescent="0.25">
      <c r="B26" s="510" t="s">
        <v>6913</v>
      </c>
      <c r="C26" s="511"/>
      <c r="D26" s="201" t="s">
        <v>4684</v>
      </c>
      <c r="E26" s="173" t="s">
        <v>836</v>
      </c>
      <c r="F26" s="173" t="s">
        <v>1621</v>
      </c>
      <c r="G26" s="201" t="s">
        <v>3990</v>
      </c>
      <c r="H26" s="173">
        <v>304</v>
      </c>
      <c r="I26" s="173" t="s">
        <v>114</v>
      </c>
      <c r="J26" s="174">
        <v>2.4900000000000002</v>
      </c>
      <c r="K26" s="174">
        <v>0.4</v>
      </c>
      <c r="L26" s="174">
        <v>0.41</v>
      </c>
      <c r="M26" s="173">
        <v>0.42</v>
      </c>
      <c r="N26" s="175">
        <v>642</v>
      </c>
      <c r="O26" s="512">
        <v>0.26500000000000001</v>
      </c>
      <c r="P26" s="173"/>
      <c r="Q26" s="179" t="s">
        <v>1555</v>
      </c>
      <c r="R26" s="491" t="s">
        <v>1344</v>
      </c>
      <c r="S26" s="178"/>
      <c r="T26" s="177">
        <v>44933</v>
      </c>
      <c r="U26" s="177"/>
      <c r="V26" s="177">
        <v>44934</v>
      </c>
      <c r="W26" s="177"/>
      <c r="X26" s="177">
        <v>44938</v>
      </c>
      <c r="Y26" s="177"/>
      <c r="Z26" s="177"/>
      <c r="AA26" s="177"/>
      <c r="AB26" s="177"/>
      <c r="AC26" s="177"/>
      <c r="AD26" s="181" t="s">
        <v>1619</v>
      </c>
      <c r="AE26" s="181" t="s">
        <v>69</v>
      </c>
      <c r="AF26" s="181" t="s">
        <v>142</v>
      </c>
      <c r="AG26" s="181" t="s">
        <v>1594</v>
      </c>
      <c r="AH26" s="181"/>
      <c r="AI26" s="181">
        <v>44849</v>
      </c>
      <c r="AJ26" s="181"/>
      <c r="AK26" s="181">
        <f t="shared" ref="AK26:AK56" ca="1" si="6">TODAY()</f>
        <v>44958</v>
      </c>
      <c r="AL26" s="175">
        <f t="shared" ref="AL26:AL56" ca="1" si="7">IF(AI26&lt;&gt;0,AK26-AI26,0)</f>
        <v>109</v>
      </c>
      <c r="AM26" s="175">
        <f t="shared" ca="1" si="2"/>
        <v>20</v>
      </c>
      <c r="AN26" s="372"/>
      <c r="AO26" s="176" t="s">
        <v>1620</v>
      </c>
      <c r="AP26" s="176">
        <v>10.68</v>
      </c>
      <c r="AQ26" s="173">
        <v>10.69</v>
      </c>
      <c r="AR26" s="142">
        <v>10.714999999999998</v>
      </c>
      <c r="AS26" s="142">
        <v>10.719999999999999</v>
      </c>
      <c r="AT26" s="142" t="str">
        <f t="shared" si="3"/>
        <v/>
      </c>
      <c r="AU26" s="142">
        <v>456</v>
      </c>
      <c r="AW26" s="142" t="s">
        <v>123</v>
      </c>
    </row>
    <row r="27" spans="2:49" s="142" customFormat="1" ht="21.75" customHeight="1" x14ac:dyDescent="0.25">
      <c r="B27" s="510" t="s">
        <v>6913</v>
      </c>
      <c r="C27" s="511"/>
      <c r="D27" s="201" t="s">
        <v>5199</v>
      </c>
      <c r="E27" s="173" t="s">
        <v>4432</v>
      </c>
      <c r="F27" s="173" t="s">
        <v>4674</v>
      </c>
      <c r="G27" s="201" t="s">
        <v>6941</v>
      </c>
      <c r="H27" s="173" t="s">
        <v>34</v>
      </c>
      <c r="I27" s="173" t="s">
        <v>114</v>
      </c>
      <c r="J27" s="174">
        <v>2.4</v>
      </c>
      <c r="K27" s="174">
        <v>1.1200000000000001</v>
      </c>
      <c r="L27" s="174">
        <v>1.1000000000000001</v>
      </c>
      <c r="M27" s="173">
        <v>1.1100000000000001</v>
      </c>
      <c r="N27" s="175">
        <v>620</v>
      </c>
      <c r="O27" s="512">
        <v>7.4999999999999997E-2</v>
      </c>
      <c r="P27" s="173"/>
      <c r="Q27" s="179" t="s">
        <v>1555</v>
      </c>
      <c r="R27" s="491" t="s">
        <v>361</v>
      </c>
      <c r="S27" s="178"/>
      <c r="T27" s="177">
        <v>44904</v>
      </c>
      <c r="U27" s="177"/>
      <c r="V27" s="177"/>
      <c r="W27" s="177">
        <v>44908</v>
      </c>
      <c r="X27" s="177">
        <v>44937</v>
      </c>
      <c r="Y27" s="177"/>
      <c r="Z27" s="177"/>
      <c r="AA27" s="177">
        <v>44937</v>
      </c>
      <c r="AB27" s="177"/>
      <c r="AC27" s="177"/>
      <c r="AD27" s="181"/>
      <c r="AE27" s="181" t="s">
        <v>69</v>
      </c>
      <c r="AF27" s="181" t="s">
        <v>119</v>
      </c>
      <c r="AG27" s="181" t="s">
        <v>2387</v>
      </c>
      <c r="AH27" s="181">
        <v>44848</v>
      </c>
      <c r="AI27" s="181">
        <v>44880</v>
      </c>
      <c r="AJ27" s="181"/>
      <c r="AK27" s="181">
        <f t="shared" ca="1" si="6"/>
        <v>44958</v>
      </c>
      <c r="AL27" s="175">
        <f t="shared" ca="1" si="7"/>
        <v>78</v>
      </c>
      <c r="AM27" s="175">
        <f t="shared" ca="1" si="2"/>
        <v>21</v>
      </c>
      <c r="AN27" s="372" t="s">
        <v>2395</v>
      </c>
      <c r="AO27" s="176" t="s">
        <v>2416</v>
      </c>
      <c r="AP27" s="176">
        <v>10.055</v>
      </c>
      <c r="AQ27" s="173">
        <v>10.074999999999999</v>
      </c>
      <c r="AR27" s="142">
        <v>10.099999999999998</v>
      </c>
      <c r="AS27" s="142">
        <v>10.104999999999999</v>
      </c>
      <c r="AT27" s="142" t="str">
        <f t="shared" si="3"/>
        <v/>
      </c>
      <c r="AU27" s="142">
        <v>461</v>
      </c>
      <c r="AW27" s="142" t="s">
        <v>123</v>
      </c>
    </row>
    <row r="28" spans="2:49" s="142" customFormat="1" ht="21.75" customHeight="1" x14ac:dyDescent="0.25">
      <c r="B28" s="510" t="s">
        <v>6913</v>
      </c>
      <c r="C28" s="511"/>
      <c r="D28" s="201" t="s">
        <v>5199</v>
      </c>
      <c r="E28" s="173" t="s">
        <v>4432</v>
      </c>
      <c r="F28" s="173" t="s">
        <v>3997</v>
      </c>
      <c r="G28" s="201" t="s">
        <v>6942</v>
      </c>
      <c r="H28" s="173" t="s">
        <v>182</v>
      </c>
      <c r="I28" s="173" t="s">
        <v>114</v>
      </c>
      <c r="J28" s="174">
        <v>2.8</v>
      </c>
      <c r="K28" s="174">
        <v>0.95</v>
      </c>
      <c r="L28" s="174">
        <v>0.95</v>
      </c>
      <c r="M28" s="173">
        <v>0.96</v>
      </c>
      <c r="N28" s="175">
        <v>771</v>
      </c>
      <c r="O28" s="512">
        <v>7.4999999999999997E-2</v>
      </c>
      <c r="P28" s="173"/>
      <c r="Q28" s="179" t="s">
        <v>1555</v>
      </c>
      <c r="R28" s="491" t="s">
        <v>361</v>
      </c>
      <c r="S28" s="178"/>
      <c r="T28" s="177">
        <v>44935</v>
      </c>
      <c r="U28" s="177"/>
      <c r="V28" s="177">
        <v>44935</v>
      </c>
      <c r="W28" s="177"/>
      <c r="X28" s="177">
        <v>44937</v>
      </c>
      <c r="Y28" s="177"/>
      <c r="Z28" s="177"/>
      <c r="AA28" s="177"/>
      <c r="AB28" s="177"/>
      <c r="AC28" s="177"/>
      <c r="AD28" s="181" t="s">
        <v>1507</v>
      </c>
      <c r="AE28" s="181" t="s">
        <v>69</v>
      </c>
      <c r="AF28" s="181" t="s">
        <v>142</v>
      </c>
      <c r="AG28" s="181" t="s">
        <v>1584</v>
      </c>
      <c r="AH28" s="181"/>
      <c r="AI28" s="181">
        <v>44914</v>
      </c>
      <c r="AJ28" s="181"/>
      <c r="AK28" s="181">
        <f t="shared" ca="1" si="6"/>
        <v>44958</v>
      </c>
      <c r="AL28" s="175">
        <f t="shared" ca="1" si="7"/>
        <v>44</v>
      </c>
      <c r="AM28" s="175">
        <f t="shared" ca="1" si="2"/>
        <v>21</v>
      </c>
      <c r="AN28" s="372"/>
      <c r="AO28" s="176" t="s">
        <v>2723</v>
      </c>
      <c r="AP28" s="176">
        <v>10.55</v>
      </c>
      <c r="AQ28" s="173">
        <v>10.56</v>
      </c>
      <c r="AR28" s="142">
        <v>10.584999999999999</v>
      </c>
      <c r="AS28" s="142">
        <v>10.59</v>
      </c>
      <c r="AT28" s="142" t="str">
        <f t="shared" si="3"/>
        <v/>
      </c>
      <c r="AU28" s="142">
        <v>462</v>
      </c>
      <c r="AW28" s="142" t="s">
        <v>123</v>
      </c>
    </row>
    <row r="29" spans="2:49" s="142" customFormat="1" ht="21.75" customHeight="1" x14ac:dyDescent="0.25">
      <c r="B29" s="510" t="s">
        <v>6913</v>
      </c>
      <c r="C29" s="511"/>
      <c r="D29" s="201" t="s">
        <v>5203</v>
      </c>
      <c r="E29" s="173" t="s">
        <v>4432</v>
      </c>
      <c r="F29" s="173" t="s">
        <v>4664</v>
      </c>
      <c r="G29" s="201" t="s">
        <v>6943</v>
      </c>
      <c r="H29" s="173" t="s">
        <v>34</v>
      </c>
      <c r="I29" s="173" t="s">
        <v>114</v>
      </c>
      <c r="J29" s="174">
        <v>0.75</v>
      </c>
      <c r="K29" s="174">
        <v>0.45</v>
      </c>
      <c r="L29" s="174">
        <v>0.43</v>
      </c>
      <c r="M29" s="173">
        <v>0.45</v>
      </c>
      <c r="N29" s="175">
        <v>88.5</v>
      </c>
      <c r="O29" s="512">
        <v>3.5000000000000003E-2</v>
      </c>
      <c r="P29" s="173"/>
      <c r="Q29" s="179" t="s">
        <v>1555</v>
      </c>
      <c r="R29" s="491" t="s">
        <v>361</v>
      </c>
      <c r="S29" s="178"/>
      <c r="T29" s="177" t="s">
        <v>4666</v>
      </c>
      <c r="U29" s="177"/>
      <c r="V29" s="177">
        <v>44747</v>
      </c>
      <c r="W29" s="177">
        <v>44910</v>
      </c>
      <c r="X29" s="177" t="s">
        <v>4667</v>
      </c>
      <c r="Y29" s="177"/>
      <c r="Z29" s="177"/>
      <c r="AA29" s="177">
        <v>44904</v>
      </c>
      <c r="AB29" s="177"/>
      <c r="AC29" s="177"/>
      <c r="AD29" s="181"/>
      <c r="AE29" s="181" t="s">
        <v>69</v>
      </c>
      <c r="AF29" s="181" t="s">
        <v>248</v>
      </c>
      <c r="AG29" s="181" t="s">
        <v>924</v>
      </c>
      <c r="AH29" s="181">
        <v>44697</v>
      </c>
      <c r="AI29" s="181">
        <v>44721</v>
      </c>
      <c r="AJ29" s="181"/>
      <c r="AK29" s="181">
        <f t="shared" ca="1" si="6"/>
        <v>44958</v>
      </c>
      <c r="AL29" s="175">
        <f t="shared" ca="1" si="7"/>
        <v>237</v>
      </c>
      <c r="AM29" s="175">
        <f t="shared" ca="1" si="2"/>
        <v>21</v>
      </c>
      <c r="AN29" s="372" t="s">
        <v>4668</v>
      </c>
      <c r="AO29" s="176" t="s">
        <v>4669</v>
      </c>
      <c r="AP29" s="176">
        <v>10.002000000000001</v>
      </c>
      <c r="AQ29" s="173">
        <v>10.042</v>
      </c>
      <c r="AR29" s="142">
        <v>10.066999999999998</v>
      </c>
      <c r="AS29" s="142">
        <v>10.071999999999999</v>
      </c>
      <c r="AT29" s="142" t="str">
        <f t="shared" si="3"/>
        <v/>
      </c>
      <c r="AU29" s="142">
        <v>440</v>
      </c>
      <c r="AW29" s="142" t="s">
        <v>123</v>
      </c>
    </row>
    <row r="30" spans="2:49" s="142" customFormat="1" ht="21.75" customHeight="1" x14ac:dyDescent="0.25">
      <c r="B30" s="510" t="s">
        <v>6913</v>
      </c>
      <c r="C30" s="511"/>
      <c r="D30" s="201" t="s">
        <v>5199</v>
      </c>
      <c r="E30" s="173" t="s">
        <v>4432</v>
      </c>
      <c r="F30" s="173" t="s">
        <v>3921</v>
      </c>
      <c r="G30" s="201" t="s">
        <v>6944</v>
      </c>
      <c r="H30" s="173" t="s">
        <v>182</v>
      </c>
      <c r="I30" s="173" t="s">
        <v>114</v>
      </c>
      <c r="J30" s="174">
        <v>2.4900000000000002</v>
      </c>
      <c r="K30" s="174">
        <v>0.5</v>
      </c>
      <c r="L30" s="174">
        <v>0.5</v>
      </c>
      <c r="M30" s="173">
        <v>0.53</v>
      </c>
      <c r="N30" s="175">
        <v>642</v>
      </c>
      <c r="O30" s="512">
        <v>0.05</v>
      </c>
      <c r="P30" s="173"/>
      <c r="Q30" s="179" t="s">
        <v>1555</v>
      </c>
      <c r="R30" s="491" t="s">
        <v>1344</v>
      </c>
      <c r="S30" s="178" t="s">
        <v>5206</v>
      </c>
      <c r="T30" s="177">
        <v>44931</v>
      </c>
      <c r="U30" s="177"/>
      <c r="V30" s="177">
        <v>44932</v>
      </c>
      <c r="W30" s="177"/>
      <c r="X30" s="177">
        <v>44937</v>
      </c>
      <c r="Y30" s="177"/>
      <c r="Z30" s="177"/>
      <c r="AA30" s="177"/>
      <c r="AB30" s="177"/>
      <c r="AC30" s="177"/>
      <c r="AD30" s="181" t="s">
        <v>2479</v>
      </c>
      <c r="AE30" s="181" t="s">
        <v>69</v>
      </c>
      <c r="AF30" s="181" t="s">
        <v>142</v>
      </c>
      <c r="AG30" s="181" t="s">
        <v>1657</v>
      </c>
      <c r="AH30" s="181"/>
      <c r="AI30" s="181">
        <v>44849</v>
      </c>
      <c r="AJ30" s="181"/>
      <c r="AK30" s="181">
        <f t="shared" ca="1" si="6"/>
        <v>44958</v>
      </c>
      <c r="AL30" s="175">
        <f t="shared" ca="1" si="7"/>
        <v>109</v>
      </c>
      <c r="AM30" s="175">
        <f t="shared" ca="1" si="2"/>
        <v>21</v>
      </c>
      <c r="AN30" s="372"/>
      <c r="AO30" s="176" t="s">
        <v>3923</v>
      </c>
      <c r="AP30" s="176">
        <v>10.62</v>
      </c>
      <c r="AQ30" s="173">
        <v>10.63</v>
      </c>
      <c r="AR30" s="142">
        <v>10.654999999999999</v>
      </c>
      <c r="AS30" s="142">
        <v>10.66</v>
      </c>
      <c r="AT30" s="142" t="str">
        <f t="shared" si="3"/>
        <v/>
      </c>
      <c r="AU30" s="142">
        <v>456</v>
      </c>
      <c r="AW30" s="142" t="s">
        <v>123</v>
      </c>
    </row>
    <row r="31" spans="2:49" s="142" customFormat="1" ht="21.75" customHeight="1" x14ac:dyDescent="0.25">
      <c r="B31" s="510" t="s">
        <v>6913</v>
      </c>
      <c r="C31" s="511"/>
      <c r="D31" s="201" t="s">
        <v>5211</v>
      </c>
      <c r="E31" s="173" t="s">
        <v>4432</v>
      </c>
      <c r="F31" s="173" t="s">
        <v>3966</v>
      </c>
      <c r="G31" s="201" t="s">
        <v>6945</v>
      </c>
      <c r="H31" s="173" t="s">
        <v>182</v>
      </c>
      <c r="I31" s="173" t="s">
        <v>114</v>
      </c>
      <c r="J31" s="174">
        <v>0.57999999999999996</v>
      </c>
      <c r="K31" s="174">
        <v>0.3</v>
      </c>
      <c r="L31" s="174">
        <v>0.28999999999999998</v>
      </c>
      <c r="M31" s="173">
        <v>0.3</v>
      </c>
      <c r="N31" s="175">
        <v>630</v>
      </c>
      <c r="O31" s="512">
        <v>0.115</v>
      </c>
      <c r="P31" s="173"/>
      <c r="Q31" s="179" t="s">
        <v>1555</v>
      </c>
      <c r="R31" s="491"/>
      <c r="S31" s="178" t="s">
        <v>230</v>
      </c>
      <c r="T31" s="177" t="s">
        <v>3968</v>
      </c>
      <c r="U31" s="177"/>
      <c r="V31" s="177">
        <v>44936</v>
      </c>
      <c r="W31" s="177">
        <v>44922</v>
      </c>
      <c r="X31" s="177" t="s">
        <v>4685</v>
      </c>
      <c r="Y31" s="177"/>
      <c r="Z31" s="177"/>
      <c r="AA31" s="177" t="s">
        <v>3969</v>
      </c>
      <c r="AB31" s="177"/>
      <c r="AC31" s="177"/>
      <c r="AD31" s="181" t="s">
        <v>2479</v>
      </c>
      <c r="AE31" s="181" t="s">
        <v>69</v>
      </c>
      <c r="AF31" s="181" t="s">
        <v>142</v>
      </c>
      <c r="AG31" s="181" t="s">
        <v>1594</v>
      </c>
      <c r="AH31" s="181"/>
      <c r="AI31" s="181">
        <v>44849</v>
      </c>
      <c r="AJ31" s="181"/>
      <c r="AK31" s="181">
        <f t="shared" ca="1" si="6"/>
        <v>44958</v>
      </c>
      <c r="AL31" s="175">
        <f t="shared" ca="1" si="7"/>
        <v>109</v>
      </c>
      <c r="AM31" s="175">
        <f t="shared" ca="1" si="2"/>
        <v>20</v>
      </c>
      <c r="AN31" s="372"/>
      <c r="AO31" s="176" t="s">
        <v>3970</v>
      </c>
      <c r="AP31" s="176">
        <v>10.715</v>
      </c>
      <c r="AQ31" s="173">
        <v>10.725</v>
      </c>
      <c r="AR31" s="142">
        <v>10.749999999999998</v>
      </c>
      <c r="AS31" s="142">
        <v>10.754999999999999</v>
      </c>
      <c r="AT31" s="142" t="str">
        <f t="shared" si="3"/>
        <v/>
      </c>
      <c r="AU31" s="142">
        <v>456</v>
      </c>
      <c r="AW31" s="142" t="s">
        <v>123</v>
      </c>
    </row>
    <row r="32" spans="2:49" s="142" customFormat="1" ht="21.75" customHeight="1" x14ac:dyDescent="0.25">
      <c r="B32" s="510" t="s">
        <v>6913</v>
      </c>
      <c r="C32" s="511"/>
      <c r="D32" s="201" t="s">
        <v>5214</v>
      </c>
      <c r="E32" s="173" t="s">
        <v>836</v>
      </c>
      <c r="F32" s="173" t="s">
        <v>3992</v>
      </c>
      <c r="G32" s="201" t="s">
        <v>6946</v>
      </c>
      <c r="H32" s="173" t="s">
        <v>182</v>
      </c>
      <c r="I32" s="173" t="s">
        <v>114</v>
      </c>
      <c r="J32" s="174">
        <v>0.57999999999999996</v>
      </c>
      <c r="K32" s="174">
        <v>0.3</v>
      </c>
      <c r="L32" s="174"/>
      <c r="M32" s="173"/>
      <c r="N32" s="175">
        <v>630</v>
      </c>
      <c r="O32" s="512">
        <v>0.02</v>
      </c>
      <c r="P32" s="173"/>
      <c r="Q32" s="179" t="s">
        <v>1555</v>
      </c>
      <c r="R32" s="491"/>
      <c r="S32" s="178" t="s">
        <v>230</v>
      </c>
      <c r="T32" s="177" t="s">
        <v>3994</v>
      </c>
      <c r="U32" s="177"/>
      <c r="V32" s="177">
        <v>44936</v>
      </c>
      <c r="W32" s="177">
        <v>44923</v>
      </c>
      <c r="X32" s="177" t="s">
        <v>4694</v>
      </c>
      <c r="Y32" s="177"/>
      <c r="Z32" s="177"/>
      <c r="AA32" s="177" t="s">
        <v>5217</v>
      </c>
      <c r="AB32" s="177"/>
      <c r="AC32" s="177"/>
      <c r="AD32" s="181" t="s">
        <v>2479</v>
      </c>
      <c r="AE32" s="181" t="s">
        <v>69</v>
      </c>
      <c r="AF32" s="181" t="s">
        <v>142</v>
      </c>
      <c r="AG32" s="181" t="s">
        <v>1594</v>
      </c>
      <c r="AH32" s="181"/>
      <c r="AI32" s="181">
        <v>44849</v>
      </c>
      <c r="AJ32" s="181"/>
      <c r="AK32" s="181">
        <f t="shared" ca="1" si="6"/>
        <v>44958</v>
      </c>
      <c r="AL32" s="175">
        <f t="shared" ca="1" si="7"/>
        <v>109</v>
      </c>
      <c r="AM32" s="175">
        <f t="shared" ca="1" si="2"/>
        <v>19</v>
      </c>
      <c r="AN32" s="372"/>
      <c r="AO32" s="176" t="s">
        <v>3995</v>
      </c>
      <c r="AP32" s="176">
        <v>10.705</v>
      </c>
      <c r="AQ32" s="173">
        <v>10.715</v>
      </c>
      <c r="AR32" s="142">
        <v>10.739999999999998</v>
      </c>
      <c r="AS32" s="142">
        <v>10.744999999999999</v>
      </c>
      <c r="AT32" s="142" t="str">
        <f t="shared" si="3"/>
        <v/>
      </c>
      <c r="AU32" s="142">
        <v>456</v>
      </c>
      <c r="AW32" s="142" t="s">
        <v>123</v>
      </c>
    </row>
    <row r="33" spans="2:49" s="142" customFormat="1" ht="21.75" customHeight="1" x14ac:dyDescent="0.25">
      <c r="B33" s="510" t="s">
        <v>6913</v>
      </c>
      <c r="C33" s="511"/>
      <c r="D33" s="201" t="s">
        <v>5221</v>
      </c>
      <c r="E33" s="173" t="s">
        <v>4432</v>
      </c>
      <c r="F33" s="173" t="s">
        <v>3992</v>
      </c>
      <c r="G33" s="201" t="s">
        <v>6947</v>
      </c>
      <c r="H33" s="173" t="s">
        <v>182</v>
      </c>
      <c r="I33" s="173" t="s">
        <v>114</v>
      </c>
      <c r="J33" s="174">
        <v>0.57999999999999996</v>
      </c>
      <c r="K33" s="174">
        <v>0.3</v>
      </c>
      <c r="L33" s="174"/>
      <c r="M33" s="173"/>
      <c r="N33" s="175">
        <v>630</v>
      </c>
      <c r="O33" s="512">
        <v>4.4999999999999998E-2</v>
      </c>
      <c r="P33" s="173"/>
      <c r="Q33" s="179" t="s">
        <v>1555</v>
      </c>
      <c r="R33" s="491"/>
      <c r="S33" s="178" t="s">
        <v>230</v>
      </c>
      <c r="T33" s="177" t="s">
        <v>3994</v>
      </c>
      <c r="U33" s="177"/>
      <c r="V33" s="177">
        <v>44936</v>
      </c>
      <c r="W33" s="177">
        <v>44923</v>
      </c>
      <c r="X33" s="177" t="s">
        <v>4694</v>
      </c>
      <c r="Y33" s="177"/>
      <c r="Z33" s="177"/>
      <c r="AA33" s="177" t="s">
        <v>5217</v>
      </c>
      <c r="AB33" s="177"/>
      <c r="AC33" s="177"/>
      <c r="AD33" s="181" t="s">
        <v>2479</v>
      </c>
      <c r="AE33" s="181" t="s">
        <v>69</v>
      </c>
      <c r="AF33" s="181" t="s">
        <v>142</v>
      </c>
      <c r="AG33" s="181" t="s">
        <v>1594</v>
      </c>
      <c r="AH33" s="181"/>
      <c r="AI33" s="181">
        <v>44849</v>
      </c>
      <c r="AJ33" s="181"/>
      <c r="AK33" s="181">
        <f t="shared" ca="1" si="6"/>
        <v>44958</v>
      </c>
      <c r="AL33" s="175">
        <f t="shared" ca="1" si="7"/>
        <v>109</v>
      </c>
      <c r="AM33" s="175">
        <f t="shared" ca="1" si="2"/>
        <v>19</v>
      </c>
      <c r="AN33" s="372"/>
      <c r="AO33" s="176" t="s">
        <v>3995</v>
      </c>
      <c r="AP33" s="176">
        <v>10.705</v>
      </c>
      <c r="AQ33" s="173">
        <v>10.715</v>
      </c>
      <c r="AR33" s="142">
        <v>10.739999999999998</v>
      </c>
      <c r="AS33" s="142">
        <v>10.744999999999999</v>
      </c>
      <c r="AT33" s="142" t="str">
        <f t="shared" si="3"/>
        <v/>
      </c>
      <c r="AU33" s="142">
        <v>456</v>
      </c>
      <c r="AW33" s="142" t="s">
        <v>123</v>
      </c>
    </row>
    <row r="34" spans="2:49" s="142" customFormat="1" ht="21.75" customHeight="1" x14ac:dyDescent="0.25">
      <c r="B34" s="510" t="s">
        <v>6913</v>
      </c>
      <c r="C34" s="511"/>
      <c r="D34" s="201" t="s">
        <v>5228</v>
      </c>
      <c r="E34" s="173" t="s">
        <v>4432</v>
      </c>
      <c r="F34" s="173" t="s">
        <v>4722</v>
      </c>
      <c r="G34" s="201" t="s">
        <v>6948</v>
      </c>
      <c r="H34" s="173" t="s">
        <v>182</v>
      </c>
      <c r="I34" s="173" t="s">
        <v>114</v>
      </c>
      <c r="J34" s="174">
        <v>1.45</v>
      </c>
      <c r="K34" s="174">
        <v>0.8</v>
      </c>
      <c r="L34" s="174">
        <v>0.8</v>
      </c>
      <c r="M34" s="173">
        <v>0.82</v>
      </c>
      <c r="N34" s="175">
        <v>770</v>
      </c>
      <c r="O34" s="512">
        <v>4.4999999999999998E-2</v>
      </c>
      <c r="P34" s="173"/>
      <c r="Q34" s="179" t="s">
        <v>1555</v>
      </c>
      <c r="R34" s="491" t="s">
        <v>644</v>
      </c>
      <c r="S34" s="178" t="s">
        <v>1224</v>
      </c>
      <c r="T34" s="177" t="s">
        <v>4725</v>
      </c>
      <c r="U34" s="177"/>
      <c r="V34" s="177" t="s">
        <v>4726</v>
      </c>
      <c r="W34" s="177"/>
      <c r="X34" s="177" t="s">
        <v>4730</v>
      </c>
      <c r="Y34" s="177"/>
      <c r="Z34" s="177"/>
      <c r="AA34" s="177">
        <v>44788</v>
      </c>
      <c r="AB34" s="177"/>
      <c r="AC34" s="177"/>
      <c r="AD34" s="181" t="s">
        <v>4727</v>
      </c>
      <c r="AE34" s="181" t="s">
        <v>69</v>
      </c>
      <c r="AF34" s="181" t="s">
        <v>142</v>
      </c>
      <c r="AG34" s="181" t="s">
        <v>1215</v>
      </c>
      <c r="AH34" s="181"/>
      <c r="AI34" s="181">
        <v>44785</v>
      </c>
      <c r="AJ34" s="181"/>
      <c r="AK34" s="181">
        <f t="shared" ca="1" si="6"/>
        <v>44958</v>
      </c>
      <c r="AL34" s="175">
        <f t="shared" ca="1" si="7"/>
        <v>173</v>
      </c>
      <c r="AM34" s="175">
        <f t="shared" ca="1" si="2"/>
        <v>18</v>
      </c>
      <c r="AN34" s="372"/>
      <c r="AO34" s="176" t="s">
        <v>4728</v>
      </c>
      <c r="AP34" s="176">
        <v>12.01</v>
      </c>
      <c r="AQ34" s="173">
        <v>12.02</v>
      </c>
      <c r="AR34" s="142">
        <v>12.044999999999998</v>
      </c>
      <c r="AS34" s="142">
        <v>12.049999999999999</v>
      </c>
      <c r="AT34" s="142" t="str">
        <f t="shared" si="3"/>
        <v/>
      </c>
      <c r="AU34" s="142">
        <v>447</v>
      </c>
      <c r="AW34" s="142" t="s">
        <v>123</v>
      </c>
    </row>
    <row r="35" spans="2:49" s="142" customFormat="1" ht="21.75" customHeight="1" x14ac:dyDescent="0.25">
      <c r="B35" s="510" t="s">
        <v>6913</v>
      </c>
      <c r="C35" s="511" t="s">
        <v>6949</v>
      </c>
      <c r="D35" s="201" t="s">
        <v>5232</v>
      </c>
      <c r="E35" s="173" t="s">
        <v>4432</v>
      </c>
      <c r="F35" s="173" t="s">
        <v>3937</v>
      </c>
      <c r="G35" s="201" t="s">
        <v>6950</v>
      </c>
      <c r="H35" s="173" t="s">
        <v>182</v>
      </c>
      <c r="I35" s="173" t="s">
        <v>114</v>
      </c>
      <c r="J35" s="174">
        <v>2.87</v>
      </c>
      <c r="K35" s="174">
        <v>1.2</v>
      </c>
      <c r="L35" s="174">
        <v>1.1499999999999999</v>
      </c>
      <c r="M35" s="173">
        <v>1.18</v>
      </c>
      <c r="N35" s="175">
        <v>639</v>
      </c>
      <c r="O35" s="512">
        <v>0.08</v>
      </c>
      <c r="P35" s="173"/>
      <c r="Q35" s="179" t="s">
        <v>1555</v>
      </c>
      <c r="R35" s="491"/>
      <c r="S35" s="178"/>
      <c r="T35" s="177">
        <v>44932</v>
      </c>
      <c r="U35" s="177"/>
      <c r="V35" s="177"/>
      <c r="W35" s="177">
        <v>44936</v>
      </c>
      <c r="X35" s="177">
        <v>44942</v>
      </c>
      <c r="Y35" s="177"/>
      <c r="Z35" s="177"/>
      <c r="AA35" s="177">
        <v>44941</v>
      </c>
      <c r="AB35" s="177"/>
      <c r="AC35" s="177"/>
      <c r="AD35" s="181" t="s">
        <v>2479</v>
      </c>
      <c r="AE35" s="181" t="s">
        <v>69</v>
      </c>
      <c r="AF35" s="181" t="s">
        <v>142</v>
      </c>
      <c r="AG35" s="181" t="s">
        <v>1657</v>
      </c>
      <c r="AH35" s="181"/>
      <c r="AI35" s="181">
        <v>44849</v>
      </c>
      <c r="AJ35" s="181"/>
      <c r="AK35" s="181">
        <f t="shared" ca="1" si="6"/>
        <v>44958</v>
      </c>
      <c r="AL35" s="175">
        <f t="shared" ca="1" si="7"/>
        <v>109</v>
      </c>
      <c r="AM35" s="175">
        <f t="shared" ca="1" si="2"/>
        <v>16</v>
      </c>
      <c r="AN35" s="372"/>
      <c r="AO35" s="176" t="s">
        <v>3939</v>
      </c>
      <c r="AP35" s="176">
        <v>10.58</v>
      </c>
      <c r="AQ35" s="173">
        <v>10.59</v>
      </c>
      <c r="AR35" s="142">
        <v>10.614999999999998</v>
      </c>
      <c r="AS35" s="142">
        <v>10.62</v>
      </c>
      <c r="AT35" s="142" t="str">
        <f t="shared" si="3"/>
        <v/>
      </c>
      <c r="AU35" s="142">
        <v>456</v>
      </c>
      <c r="AW35" s="142" t="s">
        <v>123</v>
      </c>
    </row>
    <row r="36" spans="2:49" s="142" customFormat="1" ht="21.75" customHeight="1" x14ac:dyDescent="0.25">
      <c r="B36" s="510" t="s">
        <v>6913</v>
      </c>
      <c r="C36" s="511" t="s">
        <v>6951</v>
      </c>
      <c r="D36" s="201" t="s">
        <v>5232</v>
      </c>
      <c r="E36" s="173" t="s">
        <v>4432</v>
      </c>
      <c r="F36" s="173" t="s">
        <v>4014</v>
      </c>
      <c r="G36" s="201" t="s">
        <v>6952</v>
      </c>
      <c r="H36" s="173" t="s">
        <v>182</v>
      </c>
      <c r="I36" s="173" t="s">
        <v>114</v>
      </c>
      <c r="J36" s="174">
        <v>2.89</v>
      </c>
      <c r="K36" s="174">
        <v>1.2</v>
      </c>
      <c r="L36" s="174">
        <v>1.17</v>
      </c>
      <c r="M36" s="173">
        <v>1.18</v>
      </c>
      <c r="N36" s="175">
        <v>639</v>
      </c>
      <c r="O36" s="512">
        <v>0.04</v>
      </c>
      <c r="P36" s="173"/>
      <c r="Q36" s="179" t="s">
        <v>1555</v>
      </c>
      <c r="R36" s="491"/>
      <c r="S36" s="178"/>
      <c r="T36" s="177">
        <v>44936</v>
      </c>
      <c r="U36" s="177"/>
      <c r="V36" s="177"/>
      <c r="W36" s="177">
        <v>44936</v>
      </c>
      <c r="X36" s="177">
        <v>44942</v>
      </c>
      <c r="Y36" s="177"/>
      <c r="Z36" s="177"/>
      <c r="AA36" s="177">
        <v>44941</v>
      </c>
      <c r="AB36" s="177"/>
      <c r="AC36" s="177"/>
      <c r="AD36" s="181" t="s">
        <v>2479</v>
      </c>
      <c r="AE36" s="181" t="s">
        <v>69</v>
      </c>
      <c r="AF36" s="181" t="s">
        <v>142</v>
      </c>
      <c r="AG36" s="181" t="s">
        <v>1657</v>
      </c>
      <c r="AH36" s="181"/>
      <c r="AI36" s="181">
        <v>44849</v>
      </c>
      <c r="AJ36" s="181"/>
      <c r="AK36" s="181">
        <f t="shared" ca="1" si="6"/>
        <v>44958</v>
      </c>
      <c r="AL36" s="175">
        <f t="shared" ca="1" si="7"/>
        <v>109</v>
      </c>
      <c r="AM36" s="175">
        <f t="shared" ca="1" si="2"/>
        <v>16</v>
      </c>
      <c r="AN36" s="372"/>
      <c r="AO36" s="176" t="s">
        <v>4016</v>
      </c>
      <c r="AP36" s="176">
        <v>10.215</v>
      </c>
      <c r="AQ36" s="173">
        <v>10.225</v>
      </c>
      <c r="AR36" s="142">
        <v>10.249999999999998</v>
      </c>
      <c r="AS36" s="142">
        <v>10.254999999999999</v>
      </c>
      <c r="AT36" s="142" t="str">
        <f t="shared" si="3"/>
        <v/>
      </c>
      <c r="AU36" s="142">
        <v>456</v>
      </c>
      <c r="AW36" s="142" t="s">
        <v>123</v>
      </c>
    </row>
    <row r="37" spans="2:49" s="142" customFormat="1" ht="21.75" customHeight="1" x14ac:dyDescent="0.25">
      <c r="B37" s="510" t="s">
        <v>6913</v>
      </c>
      <c r="C37" s="511"/>
      <c r="D37" s="201" t="s">
        <v>5232</v>
      </c>
      <c r="E37" s="173" t="s">
        <v>4432</v>
      </c>
      <c r="F37" s="173" t="s">
        <v>5240</v>
      </c>
      <c r="G37" s="201" t="s">
        <v>6953</v>
      </c>
      <c r="H37" s="173">
        <v>304</v>
      </c>
      <c r="I37" s="173" t="s">
        <v>114</v>
      </c>
      <c r="J37" s="174">
        <v>4.38</v>
      </c>
      <c r="K37" s="174">
        <v>1.95</v>
      </c>
      <c r="L37" s="174">
        <v>1.94</v>
      </c>
      <c r="M37" s="173">
        <v>1.95</v>
      </c>
      <c r="N37" s="175">
        <v>765</v>
      </c>
      <c r="O37" s="512">
        <v>0.16500000000000001</v>
      </c>
      <c r="P37" s="173"/>
      <c r="Q37" s="179" t="s">
        <v>1555</v>
      </c>
      <c r="R37" s="491"/>
      <c r="S37" s="178"/>
      <c r="T37" s="177">
        <v>44911</v>
      </c>
      <c r="U37" s="177"/>
      <c r="V37" s="177">
        <v>44911</v>
      </c>
      <c r="W37" s="177"/>
      <c r="X37" s="177">
        <v>44913</v>
      </c>
      <c r="Y37" s="177"/>
      <c r="Z37" s="177"/>
      <c r="AA37" s="177"/>
      <c r="AB37" s="177"/>
      <c r="AC37" s="177"/>
      <c r="AD37" s="181" t="s">
        <v>1619</v>
      </c>
      <c r="AE37" s="181" t="s">
        <v>69</v>
      </c>
      <c r="AF37" s="181" t="s">
        <v>142</v>
      </c>
      <c r="AG37" s="181" t="s">
        <v>1887</v>
      </c>
      <c r="AH37" s="181"/>
      <c r="AI37" s="181">
        <v>44880</v>
      </c>
      <c r="AJ37" s="181"/>
      <c r="AK37" s="181">
        <f t="shared" ca="1" si="6"/>
        <v>44958</v>
      </c>
      <c r="AL37" s="175">
        <f t="shared" ca="1" si="7"/>
        <v>78</v>
      </c>
      <c r="AM37" s="175">
        <f t="shared" ca="1" si="2"/>
        <v>45</v>
      </c>
      <c r="AN37" s="372"/>
      <c r="AO37" s="176" t="s">
        <v>4634</v>
      </c>
      <c r="AP37" s="176">
        <v>10.46</v>
      </c>
      <c r="AQ37" s="173">
        <v>10.47</v>
      </c>
      <c r="AR37" s="142">
        <v>10.494999999999999</v>
      </c>
      <c r="AS37" s="142">
        <v>10.5</v>
      </c>
      <c r="AT37" s="142" t="str">
        <f t="shared" si="3"/>
        <v/>
      </c>
      <c r="AU37" s="142">
        <v>459</v>
      </c>
      <c r="AW37" s="142" t="s">
        <v>123</v>
      </c>
    </row>
    <row r="38" spans="2:49" s="142" customFormat="1" ht="21.75" customHeight="1" x14ac:dyDescent="0.25">
      <c r="B38" s="510" t="s">
        <v>6913</v>
      </c>
      <c r="C38" s="511"/>
      <c r="D38" s="201" t="s">
        <v>5232</v>
      </c>
      <c r="E38" s="173" t="s">
        <v>4432</v>
      </c>
      <c r="F38" s="173" t="s">
        <v>4765</v>
      </c>
      <c r="G38" s="201" t="s">
        <v>6954</v>
      </c>
      <c r="H38" s="173" t="s">
        <v>182</v>
      </c>
      <c r="I38" s="173" t="s">
        <v>114</v>
      </c>
      <c r="J38" s="174">
        <v>2.4900000000000002</v>
      </c>
      <c r="K38" s="174">
        <v>0.4</v>
      </c>
      <c r="L38" s="174">
        <v>0.4</v>
      </c>
      <c r="M38" s="173">
        <v>0.42</v>
      </c>
      <c r="N38" s="175">
        <v>643</v>
      </c>
      <c r="O38" s="512">
        <v>0.14000000000000001</v>
      </c>
      <c r="P38" s="173"/>
      <c r="Q38" s="179" t="s">
        <v>1555</v>
      </c>
      <c r="R38" s="491"/>
      <c r="S38" s="178"/>
      <c r="T38" s="177" t="s">
        <v>4767</v>
      </c>
      <c r="U38" s="177"/>
      <c r="V38" s="177">
        <v>44915</v>
      </c>
      <c r="W38" s="177"/>
      <c r="X38" s="177">
        <v>44942</v>
      </c>
      <c r="Y38" s="177"/>
      <c r="Z38" s="177"/>
      <c r="AA38" s="177"/>
      <c r="AB38" s="177"/>
      <c r="AC38" s="177"/>
      <c r="AD38" s="181" t="s">
        <v>1619</v>
      </c>
      <c r="AE38" s="181" t="s">
        <v>69</v>
      </c>
      <c r="AF38" s="181" t="s">
        <v>142</v>
      </c>
      <c r="AG38" s="181" t="s">
        <v>1657</v>
      </c>
      <c r="AH38" s="181"/>
      <c r="AI38" s="181">
        <v>44849</v>
      </c>
      <c r="AJ38" s="181"/>
      <c r="AK38" s="181">
        <f t="shared" ca="1" si="6"/>
        <v>44958</v>
      </c>
      <c r="AL38" s="175">
        <f t="shared" ca="1" si="7"/>
        <v>109</v>
      </c>
      <c r="AM38" s="175">
        <f t="shared" ca="1" si="2"/>
        <v>16</v>
      </c>
      <c r="AN38" s="372"/>
      <c r="AO38" s="176" t="s">
        <v>3923</v>
      </c>
      <c r="AP38" s="176">
        <v>10.66</v>
      </c>
      <c r="AQ38" s="173">
        <v>10.67</v>
      </c>
      <c r="AR38" s="142">
        <v>10.694999999999999</v>
      </c>
      <c r="AS38" s="142">
        <v>10.7</v>
      </c>
      <c r="AT38" s="142" t="str">
        <f t="shared" si="3"/>
        <v/>
      </c>
      <c r="AU38" s="142">
        <v>456</v>
      </c>
      <c r="AW38" s="142" t="s">
        <v>123</v>
      </c>
    </row>
    <row r="39" spans="2:49" s="142" customFormat="1" ht="21.75" customHeight="1" x14ac:dyDescent="0.25">
      <c r="B39" s="510" t="s">
        <v>6913</v>
      </c>
      <c r="C39" s="511"/>
      <c r="D39" s="201" t="s">
        <v>5232</v>
      </c>
      <c r="E39" s="173" t="s">
        <v>4432</v>
      </c>
      <c r="F39" s="173" t="s">
        <v>4765</v>
      </c>
      <c r="G39" s="201" t="s">
        <v>6955</v>
      </c>
      <c r="H39" s="173" t="s">
        <v>182</v>
      </c>
      <c r="I39" s="173" t="s">
        <v>114</v>
      </c>
      <c r="J39" s="174">
        <v>2.4900000000000002</v>
      </c>
      <c r="K39" s="174">
        <v>0.4</v>
      </c>
      <c r="L39" s="174">
        <v>0.4</v>
      </c>
      <c r="M39" s="173">
        <v>0.42</v>
      </c>
      <c r="N39" s="175">
        <v>643</v>
      </c>
      <c r="O39" s="512">
        <v>3.5000000000000003E-2</v>
      </c>
      <c r="P39" s="173"/>
      <c r="Q39" s="179" t="s">
        <v>1555</v>
      </c>
      <c r="R39" s="491"/>
      <c r="S39" s="178"/>
      <c r="T39" s="177" t="s">
        <v>4767</v>
      </c>
      <c r="U39" s="177"/>
      <c r="V39" s="177">
        <v>44915</v>
      </c>
      <c r="W39" s="177"/>
      <c r="X39" s="177">
        <v>44942</v>
      </c>
      <c r="Y39" s="177"/>
      <c r="Z39" s="177"/>
      <c r="AA39" s="177"/>
      <c r="AB39" s="177"/>
      <c r="AC39" s="177"/>
      <c r="AD39" s="181" t="s">
        <v>1619</v>
      </c>
      <c r="AE39" s="181" t="s">
        <v>69</v>
      </c>
      <c r="AF39" s="181" t="s">
        <v>142</v>
      </c>
      <c r="AG39" s="181" t="s">
        <v>1657</v>
      </c>
      <c r="AH39" s="181"/>
      <c r="AI39" s="181">
        <v>44849</v>
      </c>
      <c r="AJ39" s="181"/>
      <c r="AK39" s="181">
        <f t="shared" ca="1" si="6"/>
        <v>44958</v>
      </c>
      <c r="AL39" s="175">
        <f t="shared" ca="1" si="7"/>
        <v>109</v>
      </c>
      <c r="AM39" s="175">
        <f t="shared" ca="1" si="2"/>
        <v>16</v>
      </c>
      <c r="AN39" s="372"/>
      <c r="AO39" s="176" t="s">
        <v>3923</v>
      </c>
      <c r="AP39" s="176">
        <v>10.66</v>
      </c>
      <c r="AQ39" s="173">
        <v>10.67</v>
      </c>
      <c r="AR39" s="142">
        <v>10.694999999999999</v>
      </c>
      <c r="AS39" s="142">
        <v>10.7</v>
      </c>
      <c r="AT39" s="142" t="str">
        <f t="shared" si="3"/>
        <v/>
      </c>
      <c r="AU39" s="142">
        <v>456</v>
      </c>
      <c r="AW39" s="142" t="s">
        <v>123</v>
      </c>
    </row>
    <row r="40" spans="2:49" s="142" customFormat="1" ht="21.75" customHeight="1" x14ac:dyDescent="0.25">
      <c r="B40" s="510" t="s">
        <v>6913</v>
      </c>
      <c r="C40" s="511"/>
      <c r="D40" s="201" t="s">
        <v>5244</v>
      </c>
      <c r="E40" s="173" t="s">
        <v>4432</v>
      </c>
      <c r="F40" s="173" t="s">
        <v>1686</v>
      </c>
      <c r="G40" s="201" t="s">
        <v>6956</v>
      </c>
      <c r="H40" s="173" t="s">
        <v>182</v>
      </c>
      <c r="I40" s="173" t="s">
        <v>114</v>
      </c>
      <c r="J40" s="174">
        <v>2.79</v>
      </c>
      <c r="K40" s="174">
        <v>1</v>
      </c>
      <c r="L40" s="174">
        <v>0.99</v>
      </c>
      <c r="M40" s="173">
        <v>1.01</v>
      </c>
      <c r="N40" s="175">
        <v>644</v>
      </c>
      <c r="O40" s="512">
        <v>0.04</v>
      </c>
      <c r="P40" s="173"/>
      <c r="Q40" s="179" t="s">
        <v>1555</v>
      </c>
      <c r="R40" s="491"/>
      <c r="S40" s="178"/>
      <c r="T40" s="177">
        <v>44933</v>
      </c>
      <c r="U40" s="177"/>
      <c r="V40" s="177"/>
      <c r="W40" s="177">
        <v>44935</v>
      </c>
      <c r="X40" s="177">
        <v>44942</v>
      </c>
      <c r="Y40" s="177"/>
      <c r="Z40" s="177"/>
      <c r="AA40" s="177">
        <v>44942</v>
      </c>
      <c r="AB40" s="177"/>
      <c r="AC40" s="177"/>
      <c r="AD40" s="181" t="s">
        <v>1619</v>
      </c>
      <c r="AE40" s="181" t="s">
        <v>69</v>
      </c>
      <c r="AF40" s="181" t="s">
        <v>142</v>
      </c>
      <c r="AG40" s="181" t="s">
        <v>1657</v>
      </c>
      <c r="AH40" s="181"/>
      <c r="AI40" s="181">
        <v>44849</v>
      </c>
      <c r="AJ40" s="181"/>
      <c r="AK40" s="181">
        <f t="shared" ca="1" si="6"/>
        <v>44958</v>
      </c>
      <c r="AL40" s="175">
        <f t="shared" ca="1" si="7"/>
        <v>109</v>
      </c>
      <c r="AM40" s="175">
        <f t="shared" ca="1" si="2"/>
        <v>16</v>
      </c>
      <c r="AN40" s="372"/>
      <c r="AO40" s="176" t="s">
        <v>1689</v>
      </c>
      <c r="AP40" s="176">
        <v>10.725</v>
      </c>
      <c r="AQ40" s="173">
        <v>10.734999999999999</v>
      </c>
      <c r="AR40" s="142">
        <v>10.759999999999998</v>
      </c>
      <c r="AS40" s="142">
        <v>10.764999999999999</v>
      </c>
      <c r="AT40" s="142" t="str">
        <f t="shared" si="3"/>
        <v/>
      </c>
      <c r="AU40" s="142">
        <v>456</v>
      </c>
      <c r="AW40" s="142" t="s">
        <v>123</v>
      </c>
    </row>
    <row r="41" spans="2:49" s="142" customFormat="1" ht="21.75" customHeight="1" x14ac:dyDescent="0.25">
      <c r="B41" s="510" t="s">
        <v>6913</v>
      </c>
      <c r="C41" s="511"/>
      <c r="D41" s="201" t="s">
        <v>5244</v>
      </c>
      <c r="E41" s="173" t="s">
        <v>4432</v>
      </c>
      <c r="F41" s="173" t="s">
        <v>4411</v>
      </c>
      <c r="G41" s="201" t="s">
        <v>6957</v>
      </c>
      <c r="H41" s="173" t="s">
        <v>182</v>
      </c>
      <c r="I41" s="173" t="s">
        <v>114</v>
      </c>
      <c r="J41" s="174">
        <v>2.5</v>
      </c>
      <c r="K41" s="174">
        <v>0.5</v>
      </c>
      <c r="L41" s="174">
        <v>0.48</v>
      </c>
      <c r="M41" s="173">
        <v>0.5</v>
      </c>
      <c r="N41" s="175">
        <v>642</v>
      </c>
      <c r="O41" s="512">
        <v>0.06</v>
      </c>
      <c r="P41" s="173"/>
      <c r="Q41" s="179" t="s">
        <v>1555</v>
      </c>
      <c r="R41" s="491"/>
      <c r="S41" s="178"/>
      <c r="T41" s="177">
        <v>44914</v>
      </c>
      <c r="U41" s="177"/>
      <c r="V41" s="177"/>
      <c r="W41" s="177">
        <v>44942</v>
      </c>
      <c r="X41" s="177">
        <v>44943</v>
      </c>
      <c r="Y41" s="177"/>
      <c r="Z41" s="177"/>
      <c r="AA41" s="177">
        <v>44942</v>
      </c>
      <c r="AB41" s="177"/>
      <c r="AC41" s="177"/>
      <c r="AD41" s="181" t="s">
        <v>1619</v>
      </c>
      <c r="AE41" s="181" t="s">
        <v>69</v>
      </c>
      <c r="AF41" s="181" t="s">
        <v>142</v>
      </c>
      <c r="AG41" s="181" t="s">
        <v>1594</v>
      </c>
      <c r="AH41" s="181"/>
      <c r="AI41" s="181">
        <v>44849</v>
      </c>
      <c r="AJ41" s="181"/>
      <c r="AK41" s="181">
        <f t="shared" ca="1" si="6"/>
        <v>44958</v>
      </c>
      <c r="AL41" s="175">
        <f t="shared" ca="1" si="7"/>
        <v>109</v>
      </c>
      <c r="AM41" s="175">
        <f t="shared" ca="1" si="2"/>
        <v>15</v>
      </c>
      <c r="AN41" s="372"/>
      <c r="AO41" s="176" t="s">
        <v>4410</v>
      </c>
      <c r="AP41" s="176">
        <v>10.545</v>
      </c>
      <c r="AQ41" s="173">
        <v>10.555</v>
      </c>
      <c r="AR41" s="142">
        <v>10.579999999999998</v>
      </c>
      <c r="AS41" s="142">
        <v>10.584999999999999</v>
      </c>
      <c r="AT41" s="142" t="str">
        <f t="shared" si="3"/>
        <v/>
      </c>
      <c r="AU41" s="142">
        <v>456</v>
      </c>
      <c r="AW41" s="142" t="s">
        <v>123</v>
      </c>
    </row>
    <row r="42" spans="2:49" s="142" customFormat="1" ht="21.75" customHeight="1" x14ac:dyDescent="0.25">
      <c r="B42" s="510" t="s">
        <v>6913</v>
      </c>
      <c r="C42" s="511"/>
      <c r="D42" s="201" t="s">
        <v>5244</v>
      </c>
      <c r="E42" s="173" t="s">
        <v>4432</v>
      </c>
      <c r="F42" s="173" t="s">
        <v>4411</v>
      </c>
      <c r="G42" s="201" t="s">
        <v>6958</v>
      </c>
      <c r="H42" s="173" t="s">
        <v>182</v>
      </c>
      <c r="I42" s="173" t="s">
        <v>114</v>
      </c>
      <c r="J42" s="174">
        <v>2.5</v>
      </c>
      <c r="K42" s="174">
        <v>0.5</v>
      </c>
      <c r="L42" s="174">
        <v>0.48</v>
      </c>
      <c r="M42" s="173">
        <v>0.5</v>
      </c>
      <c r="N42" s="175">
        <v>642</v>
      </c>
      <c r="O42" s="512">
        <v>0.05</v>
      </c>
      <c r="P42" s="173"/>
      <c r="Q42" s="179" t="s">
        <v>1555</v>
      </c>
      <c r="R42" s="491"/>
      <c r="S42" s="178"/>
      <c r="T42" s="177">
        <v>44914</v>
      </c>
      <c r="U42" s="177"/>
      <c r="V42" s="177"/>
      <c r="W42" s="177">
        <v>44942</v>
      </c>
      <c r="X42" s="177">
        <v>44943</v>
      </c>
      <c r="Y42" s="177"/>
      <c r="Z42" s="177"/>
      <c r="AA42" s="177">
        <v>44942</v>
      </c>
      <c r="AB42" s="177"/>
      <c r="AC42" s="177"/>
      <c r="AD42" s="181" t="s">
        <v>1619</v>
      </c>
      <c r="AE42" s="181" t="s">
        <v>69</v>
      </c>
      <c r="AF42" s="181" t="s">
        <v>142</v>
      </c>
      <c r="AG42" s="181" t="s">
        <v>1594</v>
      </c>
      <c r="AH42" s="181"/>
      <c r="AI42" s="181">
        <v>44849</v>
      </c>
      <c r="AJ42" s="181"/>
      <c r="AK42" s="181">
        <f t="shared" ca="1" si="6"/>
        <v>44958</v>
      </c>
      <c r="AL42" s="175">
        <f t="shared" ca="1" si="7"/>
        <v>109</v>
      </c>
      <c r="AM42" s="175">
        <f t="shared" ca="1" si="2"/>
        <v>15</v>
      </c>
      <c r="AN42" s="372"/>
      <c r="AO42" s="176" t="s">
        <v>4410</v>
      </c>
      <c r="AP42" s="176">
        <v>10.545</v>
      </c>
      <c r="AQ42" s="173">
        <v>10.555</v>
      </c>
      <c r="AR42" s="142">
        <v>10.579999999999998</v>
      </c>
      <c r="AS42" s="142">
        <v>10.584999999999999</v>
      </c>
      <c r="AT42" s="142" t="str">
        <f t="shared" si="3"/>
        <v/>
      </c>
      <c r="AU42" s="142">
        <v>456</v>
      </c>
      <c r="AW42" s="142" t="s">
        <v>123</v>
      </c>
    </row>
    <row r="43" spans="2:49" s="142" customFormat="1" ht="21.75" customHeight="1" x14ac:dyDescent="0.25">
      <c r="B43" s="510" t="s">
        <v>6913</v>
      </c>
      <c r="C43" s="511"/>
      <c r="D43" s="201" t="s">
        <v>5244</v>
      </c>
      <c r="E43" s="173" t="s">
        <v>4432</v>
      </c>
      <c r="F43" s="173" t="s">
        <v>4408</v>
      </c>
      <c r="G43" s="201" t="s">
        <v>6959</v>
      </c>
      <c r="H43" s="173" t="s">
        <v>182</v>
      </c>
      <c r="I43" s="173" t="s">
        <v>114</v>
      </c>
      <c r="J43" s="174">
        <v>2.5</v>
      </c>
      <c r="K43" s="174">
        <v>0.5</v>
      </c>
      <c r="L43" s="174">
        <v>0.48</v>
      </c>
      <c r="M43" s="173">
        <v>0.5</v>
      </c>
      <c r="N43" s="175">
        <v>642</v>
      </c>
      <c r="O43" s="512">
        <v>0.12</v>
      </c>
      <c r="P43" s="173"/>
      <c r="Q43" s="179" t="s">
        <v>1555</v>
      </c>
      <c r="R43" s="491"/>
      <c r="S43" s="178"/>
      <c r="T43" s="177">
        <v>44913</v>
      </c>
      <c r="U43" s="177"/>
      <c r="V43" s="177"/>
      <c r="W43" s="177">
        <v>44942</v>
      </c>
      <c r="X43" s="177">
        <v>44943</v>
      </c>
      <c r="Y43" s="177"/>
      <c r="Z43" s="177"/>
      <c r="AA43" s="177">
        <v>44942</v>
      </c>
      <c r="AB43" s="177"/>
      <c r="AC43" s="177"/>
      <c r="AD43" s="181" t="s">
        <v>1619</v>
      </c>
      <c r="AE43" s="181" t="s">
        <v>69</v>
      </c>
      <c r="AF43" s="181" t="s">
        <v>142</v>
      </c>
      <c r="AG43" s="181" t="s">
        <v>1594</v>
      </c>
      <c r="AH43" s="181"/>
      <c r="AI43" s="181">
        <v>44849</v>
      </c>
      <c r="AJ43" s="181"/>
      <c r="AK43" s="181">
        <f t="shared" ca="1" si="6"/>
        <v>44958</v>
      </c>
      <c r="AL43" s="175">
        <f t="shared" ca="1" si="7"/>
        <v>109</v>
      </c>
      <c r="AM43" s="175">
        <f t="shared" ca="1" si="2"/>
        <v>15</v>
      </c>
      <c r="AN43" s="372"/>
      <c r="AO43" s="176" t="s">
        <v>4410</v>
      </c>
      <c r="AP43" s="176">
        <v>10.545</v>
      </c>
      <c r="AQ43" s="173">
        <v>10.555</v>
      </c>
      <c r="AR43" s="142">
        <v>10.579999999999998</v>
      </c>
      <c r="AS43" s="142">
        <v>10.584999999999999</v>
      </c>
      <c r="AT43" s="142" t="str">
        <f t="shared" si="3"/>
        <v/>
      </c>
      <c r="AU43" s="142">
        <v>456</v>
      </c>
      <c r="AW43" s="142" t="s">
        <v>123</v>
      </c>
    </row>
    <row r="44" spans="2:49" s="142" customFormat="1" ht="21.75" customHeight="1" x14ac:dyDescent="0.25">
      <c r="B44" s="510" t="s">
        <v>6913</v>
      </c>
      <c r="C44" s="511"/>
      <c r="D44" s="201" t="s">
        <v>5244</v>
      </c>
      <c r="E44" s="173" t="s">
        <v>4432</v>
      </c>
      <c r="F44" s="173" t="s">
        <v>4408</v>
      </c>
      <c r="G44" s="201" t="s">
        <v>6960</v>
      </c>
      <c r="H44" s="173" t="s">
        <v>182</v>
      </c>
      <c r="I44" s="173" t="s">
        <v>114</v>
      </c>
      <c r="J44" s="174">
        <v>2.5</v>
      </c>
      <c r="K44" s="174">
        <v>0.5</v>
      </c>
      <c r="L44" s="174">
        <v>0.48</v>
      </c>
      <c r="M44" s="173">
        <v>0.5</v>
      </c>
      <c r="N44" s="175">
        <v>642</v>
      </c>
      <c r="O44" s="512">
        <v>0.14000000000000001</v>
      </c>
      <c r="P44" s="173"/>
      <c r="Q44" s="179" t="s">
        <v>1555</v>
      </c>
      <c r="R44" s="491"/>
      <c r="S44" s="178"/>
      <c r="T44" s="177">
        <v>44913</v>
      </c>
      <c r="U44" s="177"/>
      <c r="V44" s="177"/>
      <c r="W44" s="177">
        <v>44942</v>
      </c>
      <c r="X44" s="177">
        <v>44943</v>
      </c>
      <c r="Y44" s="177"/>
      <c r="Z44" s="177"/>
      <c r="AA44" s="177">
        <v>44942</v>
      </c>
      <c r="AB44" s="177"/>
      <c r="AC44" s="177"/>
      <c r="AD44" s="181" t="s">
        <v>1619</v>
      </c>
      <c r="AE44" s="181" t="s">
        <v>69</v>
      </c>
      <c r="AF44" s="181" t="s">
        <v>142</v>
      </c>
      <c r="AG44" s="181" t="s">
        <v>1594</v>
      </c>
      <c r="AH44" s="181"/>
      <c r="AI44" s="181">
        <v>44849</v>
      </c>
      <c r="AJ44" s="181"/>
      <c r="AK44" s="181">
        <f t="shared" ca="1" si="6"/>
        <v>44958</v>
      </c>
      <c r="AL44" s="175">
        <f t="shared" ca="1" si="7"/>
        <v>109</v>
      </c>
      <c r="AM44" s="175">
        <f t="shared" ca="1" si="2"/>
        <v>15</v>
      </c>
      <c r="AN44" s="372"/>
      <c r="AO44" s="176" t="s">
        <v>4410</v>
      </c>
      <c r="AP44" s="176">
        <v>10.545</v>
      </c>
      <c r="AQ44" s="173">
        <v>10.555</v>
      </c>
      <c r="AR44" s="142">
        <v>10.579999999999998</v>
      </c>
      <c r="AS44" s="142">
        <v>10.584999999999999</v>
      </c>
      <c r="AT44" s="142" t="str">
        <f t="shared" si="3"/>
        <v/>
      </c>
      <c r="AU44" s="142">
        <v>456</v>
      </c>
      <c r="AW44" s="142" t="s">
        <v>123</v>
      </c>
    </row>
    <row r="45" spans="2:49" s="142" customFormat="1" ht="21.75" customHeight="1" x14ac:dyDescent="0.25">
      <c r="B45" s="510" t="s">
        <v>6913</v>
      </c>
      <c r="C45" s="511"/>
      <c r="D45" s="201" t="s">
        <v>5251</v>
      </c>
      <c r="E45" s="173" t="s">
        <v>836</v>
      </c>
      <c r="F45" s="173" t="s">
        <v>1772</v>
      </c>
      <c r="G45" s="201" t="s">
        <v>6961</v>
      </c>
      <c r="H45" s="173" t="s">
        <v>182</v>
      </c>
      <c r="I45" s="173" t="s">
        <v>114</v>
      </c>
      <c r="J45" s="174">
        <v>2.4900000000000002</v>
      </c>
      <c r="K45" s="174">
        <v>0.4</v>
      </c>
      <c r="L45" s="174">
        <v>0.37</v>
      </c>
      <c r="M45" s="173">
        <v>0.39</v>
      </c>
      <c r="N45" s="175">
        <v>644</v>
      </c>
      <c r="O45" s="512">
        <v>7.4999999999999997E-2</v>
      </c>
      <c r="P45" s="173"/>
      <c r="Q45" s="179" t="s">
        <v>1555</v>
      </c>
      <c r="R45" s="491"/>
      <c r="S45" s="178"/>
      <c r="T45" s="177">
        <v>44915</v>
      </c>
      <c r="U45" s="177"/>
      <c r="V45" s="177"/>
      <c r="W45" s="177">
        <v>44942</v>
      </c>
      <c r="X45" s="177">
        <v>44943</v>
      </c>
      <c r="Y45" s="177"/>
      <c r="Z45" s="177"/>
      <c r="AA45" s="177" t="s">
        <v>1774</v>
      </c>
      <c r="AB45" s="177"/>
      <c r="AC45" s="177"/>
      <c r="AD45" s="181" t="s">
        <v>1619</v>
      </c>
      <c r="AE45" s="181" t="s">
        <v>69</v>
      </c>
      <c r="AF45" s="181" t="s">
        <v>142</v>
      </c>
      <c r="AG45" s="181" t="s">
        <v>1657</v>
      </c>
      <c r="AH45" s="181"/>
      <c r="AI45" s="181">
        <v>44849</v>
      </c>
      <c r="AJ45" s="181"/>
      <c r="AK45" s="181">
        <f t="shared" ca="1" si="6"/>
        <v>44958</v>
      </c>
      <c r="AL45" s="175">
        <f t="shared" ca="1" si="7"/>
        <v>109</v>
      </c>
      <c r="AM45" s="175">
        <f t="shared" ca="1" si="2"/>
        <v>15</v>
      </c>
      <c r="AN45" s="372"/>
      <c r="AO45" s="176" t="s">
        <v>1775</v>
      </c>
      <c r="AP45" s="176">
        <v>10.64</v>
      </c>
      <c r="AQ45" s="173">
        <v>10.65</v>
      </c>
      <c r="AR45" s="142">
        <v>10.674999999999999</v>
      </c>
      <c r="AS45" s="142">
        <v>10.68</v>
      </c>
      <c r="AT45" s="142" t="str">
        <f t="shared" si="3"/>
        <v/>
      </c>
      <c r="AU45" s="142">
        <v>456</v>
      </c>
      <c r="AW45" s="142" t="s">
        <v>123</v>
      </c>
    </row>
    <row r="46" spans="2:49" s="142" customFormat="1" ht="21.75" customHeight="1" x14ac:dyDescent="0.25">
      <c r="B46" s="510" t="s">
        <v>6913</v>
      </c>
      <c r="C46" s="511"/>
      <c r="D46" s="201" t="s">
        <v>5254</v>
      </c>
      <c r="E46" s="173" t="s">
        <v>4432</v>
      </c>
      <c r="F46" s="173" t="s">
        <v>1772</v>
      </c>
      <c r="G46" s="201" t="s">
        <v>6962</v>
      </c>
      <c r="H46" s="173" t="s">
        <v>182</v>
      </c>
      <c r="I46" s="173" t="s">
        <v>114</v>
      </c>
      <c r="J46" s="174">
        <v>2.4900000000000002</v>
      </c>
      <c r="K46" s="174">
        <v>0.4</v>
      </c>
      <c r="L46" s="174">
        <v>0.37</v>
      </c>
      <c r="M46" s="173">
        <v>0.39</v>
      </c>
      <c r="N46" s="175">
        <v>644</v>
      </c>
      <c r="O46" s="512">
        <v>0.04</v>
      </c>
      <c r="P46" s="173"/>
      <c r="Q46" s="179" t="s">
        <v>1555</v>
      </c>
      <c r="R46" s="491"/>
      <c r="S46" s="178"/>
      <c r="T46" s="177">
        <v>44915</v>
      </c>
      <c r="U46" s="177"/>
      <c r="V46" s="177"/>
      <c r="W46" s="177">
        <v>44942</v>
      </c>
      <c r="X46" s="177">
        <v>44943</v>
      </c>
      <c r="Y46" s="177"/>
      <c r="Z46" s="177"/>
      <c r="AA46" s="177" t="s">
        <v>1774</v>
      </c>
      <c r="AB46" s="177"/>
      <c r="AC46" s="177"/>
      <c r="AD46" s="181" t="s">
        <v>1619</v>
      </c>
      <c r="AE46" s="181" t="s">
        <v>69</v>
      </c>
      <c r="AF46" s="181" t="s">
        <v>142</v>
      </c>
      <c r="AG46" s="181" t="s">
        <v>1657</v>
      </c>
      <c r="AH46" s="181"/>
      <c r="AI46" s="181">
        <v>44849</v>
      </c>
      <c r="AJ46" s="181"/>
      <c r="AK46" s="181">
        <f t="shared" ca="1" si="6"/>
        <v>44958</v>
      </c>
      <c r="AL46" s="175">
        <f t="shared" ca="1" si="7"/>
        <v>109</v>
      </c>
      <c r="AM46" s="175">
        <f t="shared" ca="1" si="2"/>
        <v>15</v>
      </c>
      <c r="AN46" s="372"/>
      <c r="AO46" s="176" t="s">
        <v>1775</v>
      </c>
      <c r="AP46" s="176">
        <v>10.64</v>
      </c>
      <c r="AQ46" s="173">
        <v>10.65</v>
      </c>
      <c r="AR46" s="142">
        <v>10.674999999999999</v>
      </c>
      <c r="AS46" s="142">
        <v>10.68</v>
      </c>
      <c r="AT46" s="142" t="str">
        <f t="shared" si="3"/>
        <v/>
      </c>
      <c r="AU46" s="142">
        <v>456</v>
      </c>
      <c r="AW46" s="142" t="s">
        <v>123</v>
      </c>
    </row>
    <row r="47" spans="2:49" s="142" customFormat="1" ht="21.75" customHeight="1" x14ac:dyDescent="0.25">
      <c r="B47" s="510" t="s">
        <v>6913</v>
      </c>
      <c r="C47" s="511"/>
      <c r="D47" s="201" t="s">
        <v>5258</v>
      </c>
      <c r="E47" s="173" t="s">
        <v>4432</v>
      </c>
      <c r="F47" s="173" t="s">
        <v>4019</v>
      </c>
      <c r="G47" s="201" t="s">
        <v>6963</v>
      </c>
      <c r="H47" s="173" t="s">
        <v>182</v>
      </c>
      <c r="I47" s="173" t="s">
        <v>114</v>
      </c>
      <c r="J47" s="174">
        <v>2.89</v>
      </c>
      <c r="K47" s="174">
        <v>1.2</v>
      </c>
      <c r="L47" s="174">
        <v>1.18</v>
      </c>
      <c r="M47" s="173">
        <v>1.2</v>
      </c>
      <c r="N47" s="175">
        <v>638</v>
      </c>
      <c r="O47" s="512">
        <v>0.04</v>
      </c>
      <c r="P47" s="173"/>
      <c r="Q47" s="179" t="s">
        <v>1555</v>
      </c>
      <c r="R47" s="491"/>
      <c r="S47" s="178"/>
      <c r="T47" s="177">
        <v>44936</v>
      </c>
      <c r="U47" s="177"/>
      <c r="V47" s="177"/>
      <c r="W47" s="177">
        <v>44936</v>
      </c>
      <c r="X47" s="177">
        <v>44944</v>
      </c>
      <c r="Y47" s="177"/>
      <c r="Z47" s="177"/>
      <c r="AA47" s="177">
        <v>44943</v>
      </c>
      <c r="AB47" s="177"/>
      <c r="AC47" s="177"/>
      <c r="AD47" s="181" t="s">
        <v>2479</v>
      </c>
      <c r="AE47" s="181" t="s">
        <v>69</v>
      </c>
      <c r="AF47" s="181" t="s">
        <v>142</v>
      </c>
      <c r="AG47" s="181" t="s">
        <v>1594</v>
      </c>
      <c r="AH47" s="181"/>
      <c r="AI47" s="181">
        <v>44849</v>
      </c>
      <c r="AJ47" s="181"/>
      <c r="AK47" s="181">
        <f t="shared" ca="1" si="6"/>
        <v>44958</v>
      </c>
      <c r="AL47" s="175">
        <f t="shared" ca="1" si="7"/>
        <v>109</v>
      </c>
      <c r="AM47" s="175">
        <f t="shared" ca="1" si="2"/>
        <v>14</v>
      </c>
      <c r="AN47" s="372"/>
      <c r="AO47" s="176" t="s">
        <v>4013</v>
      </c>
      <c r="AP47" s="176">
        <v>9.9949999999999992</v>
      </c>
      <c r="AQ47" s="173">
        <v>10.005000000000001</v>
      </c>
      <c r="AR47" s="142">
        <v>10.029999999999999</v>
      </c>
      <c r="AS47" s="142">
        <v>10.035</v>
      </c>
      <c r="AT47" s="142" t="str">
        <f t="shared" si="3"/>
        <v/>
      </c>
      <c r="AU47" s="142">
        <v>456</v>
      </c>
      <c r="AW47" s="142" t="s">
        <v>123</v>
      </c>
    </row>
    <row r="48" spans="2:49" s="142" customFormat="1" ht="21.75" customHeight="1" x14ac:dyDescent="0.25">
      <c r="B48" s="510" t="s">
        <v>6913</v>
      </c>
      <c r="C48" s="511"/>
      <c r="D48" s="201" t="s">
        <v>5263</v>
      </c>
      <c r="E48" s="173" t="s">
        <v>4432</v>
      </c>
      <c r="F48" s="173" t="s">
        <v>4011</v>
      </c>
      <c r="G48" s="201" t="s">
        <v>6964</v>
      </c>
      <c r="H48" s="173" t="s">
        <v>182</v>
      </c>
      <c r="I48" s="173" t="s">
        <v>114</v>
      </c>
      <c r="J48" s="174">
        <v>2.9</v>
      </c>
      <c r="K48" s="174">
        <v>1.2</v>
      </c>
      <c r="L48" s="174">
        <v>1.1599999999999999</v>
      </c>
      <c r="M48" s="173">
        <v>1.18</v>
      </c>
      <c r="N48" s="175">
        <v>637</v>
      </c>
      <c r="O48" s="512">
        <v>0.05</v>
      </c>
      <c r="P48" s="173"/>
      <c r="Q48" s="179" t="s">
        <v>1555</v>
      </c>
      <c r="R48" s="491"/>
      <c r="S48" s="178"/>
      <c r="T48" s="177">
        <v>44936</v>
      </c>
      <c r="U48" s="177"/>
      <c r="V48" s="177"/>
      <c r="W48" s="177">
        <v>44936</v>
      </c>
      <c r="X48" s="177">
        <v>44944</v>
      </c>
      <c r="Y48" s="177"/>
      <c r="Z48" s="177"/>
      <c r="AA48" s="177"/>
      <c r="AB48" s="177"/>
      <c r="AC48" s="177"/>
      <c r="AD48" s="181" t="s">
        <v>2479</v>
      </c>
      <c r="AE48" s="181" t="s">
        <v>69</v>
      </c>
      <c r="AF48" s="181" t="s">
        <v>142</v>
      </c>
      <c r="AG48" s="181" t="s">
        <v>1594</v>
      </c>
      <c r="AH48" s="181"/>
      <c r="AI48" s="181">
        <v>44849</v>
      </c>
      <c r="AJ48" s="181"/>
      <c r="AK48" s="181">
        <f t="shared" ca="1" si="6"/>
        <v>44958</v>
      </c>
      <c r="AL48" s="175">
        <f t="shared" ca="1" si="7"/>
        <v>109</v>
      </c>
      <c r="AM48" s="175">
        <f t="shared" ca="1" si="2"/>
        <v>14</v>
      </c>
      <c r="AN48" s="372"/>
      <c r="AO48" s="176" t="s">
        <v>4013</v>
      </c>
      <c r="AP48" s="176">
        <v>10.455</v>
      </c>
      <c r="AQ48" s="173">
        <v>10.465</v>
      </c>
      <c r="AR48" s="142">
        <v>10.489999999999998</v>
      </c>
      <c r="AS48" s="142">
        <v>10.494999999999999</v>
      </c>
      <c r="AT48" s="142" t="str">
        <f t="shared" si="3"/>
        <v/>
      </c>
      <c r="AU48" s="142">
        <v>456</v>
      </c>
      <c r="AW48" s="142" t="s">
        <v>123</v>
      </c>
    </row>
    <row r="49" spans="2:49" s="142" customFormat="1" ht="21.75" customHeight="1" x14ac:dyDescent="0.25">
      <c r="B49" s="510" t="s">
        <v>6913</v>
      </c>
      <c r="C49" s="511" t="s">
        <v>6951</v>
      </c>
      <c r="D49" s="201" t="s">
        <v>5263</v>
      </c>
      <c r="E49" s="173" t="s">
        <v>4432</v>
      </c>
      <c r="F49" s="173" t="s">
        <v>4097</v>
      </c>
      <c r="G49" s="201" t="s">
        <v>6965</v>
      </c>
      <c r="H49" s="173" t="s">
        <v>182</v>
      </c>
      <c r="I49" s="173" t="s">
        <v>114</v>
      </c>
      <c r="J49" s="174">
        <v>2.89</v>
      </c>
      <c r="K49" s="174">
        <v>1.2</v>
      </c>
      <c r="L49" s="174">
        <v>1.18</v>
      </c>
      <c r="M49" s="173">
        <v>1.2</v>
      </c>
      <c r="N49" s="175">
        <v>637</v>
      </c>
      <c r="O49" s="512">
        <v>9.5000000000000001E-2</v>
      </c>
      <c r="P49" s="173"/>
      <c r="Q49" s="179" t="s">
        <v>1555</v>
      </c>
      <c r="R49" s="491"/>
      <c r="S49" s="178"/>
      <c r="T49" s="177">
        <v>44940</v>
      </c>
      <c r="U49" s="177"/>
      <c r="V49" s="177"/>
      <c r="W49" s="177">
        <v>44941</v>
      </c>
      <c r="X49" s="177">
        <v>44944</v>
      </c>
      <c r="Y49" s="177"/>
      <c r="Z49" s="177"/>
      <c r="AA49" s="177">
        <v>44942</v>
      </c>
      <c r="AB49" s="177"/>
      <c r="AC49" s="177"/>
      <c r="AD49" s="181" t="s">
        <v>2479</v>
      </c>
      <c r="AE49" s="181" t="s">
        <v>69</v>
      </c>
      <c r="AF49" s="181" t="s">
        <v>142</v>
      </c>
      <c r="AG49" s="181" t="s">
        <v>1657</v>
      </c>
      <c r="AH49" s="181"/>
      <c r="AI49" s="181">
        <v>44849</v>
      </c>
      <c r="AJ49" s="181"/>
      <c r="AK49" s="181">
        <f t="shared" ca="1" si="6"/>
        <v>44958</v>
      </c>
      <c r="AL49" s="175">
        <f t="shared" ca="1" si="7"/>
        <v>109</v>
      </c>
      <c r="AM49" s="175">
        <f t="shared" ca="1" si="2"/>
        <v>14</v>
      </c>
      <c r="AN49" s="372"/>
      <c r="AO49" s="176" t="s">
        <v>4016</v>
      </c>
      <c r="AP49" s="176">
        <v>10.185</v>
      </c>
      <c r="AQ49" s="173">
        <v>10.195</v>
      </c>
      <c r="AR49" s="142">
        <v>10.219999999999999</v>
      </c>
      <c r="AS49" s="142">
        <v>10.225</v>
      </c>
      <c r="AT49" s="142" t="str">
        <f t="shared" si="3"/>
        <v/>
      </c>
      <c r="AU49" s="142">
        <v>456</v>
      </c>
      <c r="AW49" s="142" t="s">
        <v>123</v>
      </c>
    </row>
    <row r="50" spans="2:49" s="142" customFormat="1" ht="21.75" customHeight="1" x14ac:dyDescent="0.25">
      <c r="B50" s="510" t="s">
        <v>6913</v>
      </c>
      <c r="C50" s="511"/>
      <c r="D50" s="201" t="s">
        <v>5267</v>
      </c>
      <c r="E50" s="173" t="s">
        <v>4432</v>
      </c>
      <c r="F50" s="173" t="s">
        <v>4081</v>
      </c>
      <c r="G50" s="201" t="s">
        <v>6966</v>
      </c>
      <c r="H50" s="173" t="s">
        <v>182</v>
      </c>
      <c r="I50" s="173" t="s">
        <v>114</v>
      </c>
      <c r="J50" s="174">
        <v>2.87</v>
      </c>
      <c r="K50" s="174">
        <v>1.2</v>
      </c>
      <c r="L50" s="174">
        <v>1.17</v>
      </c>
      <c r="M50" s="173">
        <v>1.18</v>
      </c>
      <c r="N50" s="175">
        <v>639</v>
      </c>
      <c r="O50" s="512">
        <v>3.5000000000000003E-2</v>
      </c>
      <c r="P50" s="173"/>
      <c r="Q50" s="179" t="s">
        <v>1555</v>
      </c>
      <c r="R50" s="491"/>
      <c r="S50" s="178"/>
      <c r="T50" s="177">
        <v>44940</v>
      </c>
      <c r="U50" s="177"/>
      <c r="V50" s="177"/>
      <c r="W50" s="177">
        <v>44940</v>
      </c>
      <c r="X50" s="177">
        <v>44944</v>
      </c>
      <c r="Y50" s="177"/>
      <c r="Z50" s="177"/>
      <c r="AA50" s="177" t="s">
        <v>5261</v>
      </c>
      <c r="AB50" s="177"/>
      <c r="AC50" s="177"/>
      <c r="AD50" s="181" t="s">
        <v>2479</v>
      </c>
      <c r="AE50" s="181" t="s">
        <v>69</v>
      </c>
      <c r="AF50" s="181" t="s">
        <v>142</v>
      </c>
      <c r="AG50" s="181" t="s">
        <v>1657</v>
      </c>
      <c r="AH50" s="181"/>
      <c r="AI50" s="181">
        <v>44849</v>
      </c>
      <c r="AJ50" s="181"/>
      <c r="AK50" s="181">
        <f t="shared" ca="1" si="6"/>
        <v>44958</v>
      </c>
      <c r="AL50" s="175">
        <f t="shared" ca="1" si="7"/>
        <v>109</v>
      </c>
      <c r="AM50" s="175">
        <f t="shared" ca="1" si="2"/>
        <v>14</v>
      </c>
      <c r="AN50" s="372"/>
      <c r="AO50" s="176" t="s">
        <v>3939</v>
      </c>
      <c r="AP50" s="176">
        <v>10.585000000000001</v>
      </c>
      <c r="AQ50" s="173">
        <v>10.595000000000001</v>
      </c>
      <c r="AR50" s="142">
        <v>10.62</v>
      </c>
      <c r="AS50" s="142">
        <v>10.625</v>
      </c>
      <c r="AT50" s="142" t="str">
        <f t="shared" si="3"/>
        <v/>
      </c>
      <c r="AU50" s="142">
        <v>456</v>
      </c>
      <c r="AW50" s="142" t="s">
        <v>123</v>
      </c>
    </row>
    <row r="51" spans="2:49" s="142" customFormat="1" ht="21.75" customHeight="1" x14ac:dyDescent="0.25">
      <c r="B51" s="510" t="s">
        <v>6913</v>
      </c>
      <c r="C51" s="511"/>
      <c r="D51" s="201" t="s">
        <v>5263</v>
      </c>
      <c r="E51" s="173" t="s">
        <v>4432</v>
      </c>
      <c r="F51" s="173" t="s">
        <v>4045</v>
      </c>
      <c r="G51" s="201" t="s">
        <v>6967</v>
      </c>
      <c r="H51" s="173" t="s">
        <v>182</v>
      </c>
      <c r="I51" s="173" t="s">
        <v>114</v>
      </c>
      <c r="J51" s="174">
        <v>2.95</v>
      </c>
      <c r="K51" s="174">
        <v>1.2</v>
      </c>
      <c r="L51" s="174">
        <v>1.18</v>
      </c>
      <c r="M51" s="173">
        <v>1.19</v>
      </c>
      <c r="N51" s="175">
        <v>642</v>
      </c>
      <c r="O51" s="512">
        <v>6.5000000000000002E-2</v>
      </c>
      <c r="P51" s="173"/>
      <c r="Q51" s="179" t="s">
        <v>1555</v>
      </c>
      <c r="R51" s="491"/>
      <c r="S51" s="178"/>
      <c r="T51" s="177">
        <v>44937</v>
      </c>
      <c r="U51" s="177"/>
      <c r="V51" s="177"/>
      <c r="W51" s="177">
        <v>44938</v>
      </c>
      <c r="X51" s="177">
        <v>44945</v>
      </c>
      <c r="Y51" s="177"/>
      <c r="Z51" s="177"/>
      <c r="AA51" s="177">
        <v>44941</v>
      </c>
      <c r="AB51" s="177"/>
      <c r="AC51" s="177"/>
      <c r="AD51" s="181" t="s">
        <v>1619</v>
      </c>
      <c r="AE51" s="181" t="s">
        <v>69</v>
      </c>
      <c r="AF51" s="181" t="s">
        <v>142</v>
      </c>
      <c r="AG51" s="181" t="s">
        <v>1657</v>
      </c>
      <c r="AH51" s="181"/>
      <c r="AI51" s="181">
        <v>44849</v>
      </c>
      <c r="AJ51" s="181"/>
      <c r="AK51" s="181">
        <f t="shared" ca="1" si="6"/>
        <v>44958</v>
      </c>
      <c r="AL51" s="175">
        <f t="shared" ca="1" si="7"/>
        <v>109</v>
      </c>
      <c r="AM51" s="175">
        <f t="shared" ca="1" si="2"/>
        <v>13</v>
      </c>
      <c r="AN51" s="372"/>
      <c r="AO51" s="176" t="s">
        <v>1737</v>
      </c>
      <c r="AP51" s="176">
        <v>10.035</v>
      </c>
      <c r="AQ51" s="173">
        <v>10.045</v>
      </c>
      <c r="AR51" s="142">
        <v>10.069999999999999</v>
      </c>
      <c r="AS51" s="142">
        <v>10.074999999999999</v>
      </c>
      <c r="AT51" s="142" t="str">
        <f t="shared" si="3"/>
        <v/>
      </c>
      <c r="AU51" s="142">
        <v>456</v>
      </c>
      <c r="AW51" s="142" t="s">
        <v>123</v>
      </c>
    </row>
    <row r="52" spans="2:49" s="142" customFormat="1" ht="21.75" customHeight="1" x14ac:dyDescent="0.25">
      <c r="B52" s="510" t="s">
        <v>6913</v>
      </c>
      <c r="C52" s="511"/>
      <c r="D52" s="201" t="s">
        <v>5263</v>
      </c>
      <c r="E52" s="173" t="s">
        <v>4432</v>
      </c>
      <c r="F52" s="173" t="s">
        <v>4030</v>
      </c>
      <c r="G52" s="201" t="s">
        <v>6968</v>
      </c>
      <c r="H52" s="173">
        <v>304</v>
      </c>
      <c r="I52" s="173" t="s">
        <v>114</v>
      </c>
      <c r="J52" s="174">
        <v>2.93</v>
      </c>
      <c r="K52" s="174">
        <v>1.2</v>
      </c>
      <c r="L52" s="174">
        <v>1.17</v>
      </c>
      <c r="M52" s="173">
        <v>1.19</v>
      </c>
      <c r="N52" s="175">
        <v>642</v>
      </c>
      <c r="O52" s="512">
        <v>8.5000000000000006E-2</v>
      </c>
      <c r="P52" s="173"/>
      <c r="Q52" s="179" t="s">
        <v>1555</v>
      </c>
      <c r="R52" s="491"/>
      <c r="S52" s="178"/>
      <c r="T52" s="177">
        <v>44937</v>
      </c>
      <c r="U52" s="177"/>
      <c r="V52" s="177"/>
      <c r="W52" s="177">
        <v>44937</v>
      </c>
      <c r="X52" s="177"/>
      <c r="Y52" s="177"/>
      <c r="Z52" s="177">
        <v>44945</v>
      </c>
      <c r="AA52" s="177"/>
      <c r="AB52" s="177"/>
      <c r="AC52" s="177"/>
      <c r="AD52" s="181" t="s">
        <v>1619</v>
      </c>
      <c r="AE52" s="181" t="s">
        <v>69</v>
      </c>
      <c r="AF52" s="181" t="s">
        <v>142</v>
      </c>
      <c r="AG52" s="181" t="s">
        <v>1594</v>
      </c>
      <c r="AH52" s="181"/>
      <c r="AI52" s="181">
        <v>44849</v>
      </c>
      <c r="AJ52" s="181"/>
      <c r="AK52" s="181">
        <f t="shared" ca="1" si="6"/>
        <v>44958</v>
      </c>
      <c r="AL52" s="175">
        <f t="shared" ca="1" si="7"/>
        <v>109</v>
      </c>
      <c r="AM52" s="175" t="str">
        <f t="shared" si="2"/>
        <v/>
      </c>
      <c r="AN52" s="372"/>
      <c r="AO52" s="176" t="s">
        <v>4032</v>
      </c>
      <c r="AP52" s="176">
        <v>10.58</v>
      </c>
      <c r="AQ52" s="173">
        <v>10.59</v>
      </c>
      <c r="AR52" s="142">
        <v>10.614999999999998</v>
      </c>
      <c r="AS52" s="142">
        <v>10.62</v>
      </c>
      <c r="AT52" s="142" t="str">
        <f t="shared" si="3"/>
        <v/>
      </c>
      <c r="AU52" s="142">
        <v>456</v>
      </c>
      <c r="AW52" s="142" t="s">
        <v>123</v>
      </c>
    </row>
    <row r="53" spans="2:49" s="142" customFormat="1" ht="21.75" customHeight="1" x14ac:dyDescent="0.25">
      <c r="B53" s="510" t="s">
        <v>6913</v>
      </c>
      <c r="C53" s="511"/>
      <c r="D53" s="201" t="s">
        <v>5263</v>
      </c>
      <c r="E53" s="173" t="s">
        <v>4432</v>
      </c>
      <c r="F53" s="173" t="s">
        <v>4059</v>
      </c>
      <c r="G53" s="201" t="s">
        <v>6969</v>
      </c>
      <c r="H53" s="173">
        <v>304</v>
      </c>
      <c r="I53" s="173" t="s">
        <v>114</v>
      </c>
      <c r="J53" s="174">
        <v>2.99</v>
      </c>
      <c r="K53" s="174">
        <v>1.2</v>
      </c>
      <c r="L53" s="174">
        <v>1.17</v>
      </c>
      <c r="M53" s="173">
        <v>1.2</v>
      </c>
      <c r="N53" s="175">
        <v>642</v>
      </c>
      <c r="O53" s="512">
        <v>5.5E-2</v>
      </c>
      <c r="P53" s="173"/>
      <c r="Q53" s="179" t="s">
        <v>1555</v>
      </c>
      <c r="R53" s="491"/>
      <c r="S53" s="178"/>
      <c r="T53" s="177">
        <v>44938</v>
      </c>
      <c r="U53" s="177"/>
      <c r="V53" s="177"/>
      <c r="W53" s="177">
        <v>44939</v>
      </c>
      <c r="X53" s="177"/>
      <c r="Y53" s="177"/>
      <c r="Z53" s="177">
        <v>44945</v>
      </c>
      <c r="AA53" s="177">
        <v>44944</v>
      </c>
      <c r="AB53" s="177"/>
      <c r="AC53" s="177"/>
      <c r="AD53" s="181" t="s">
        <v>2479</v>
      </c>
      <c r="AE53" s="181" t="s">
        <v>69</v>
      </c>
      <c r="AF53" s="181" t="s">
        <v>142</v>
      </c>
      <c r="AG53" s="181" t="s">
        <v>1657</v>
      </c>
      <c r="AH53" s="181"/>
      <c r="AI53" s="181">
        <v>44849</v>
      </c>
      <c r="AJ53" s="181"/>
      <c r="AK53" s="181">
        <f t="shared" ca="1" si="6"/>
        <v>44958</v>
      </c>
      <c r="AL53" s="175">
        <f t="shared" ca="1" si="7"/>
        <v>109</v>
      </c>
      <c r="AM53" s="175" t="str">
        <f t="shared" si="2"/>
        <v/>
      </c>
      <c r="AN53" s="372"/>
      <c r="AO53" s="176" t="s">
        <v>4061</v>
      </c>
      <c r="AP53" s="176">
        <v>10.635</v>
      </c>
      <c r="AQ53" s="173">
        <v>10.645</v>
      </c>
      <c r="AR53" s="142">
        <v>10.669999999999998</v>
      </c>
      <c r="AS53" s="142">
        <v>10.674999999999999</v>
      </c>
      <c r="AT53" s="142" t="str">
        <f t="shared" si="3"/>
        <v/>
      </c>
      <c r="AU53" s="142">
        <v>456</v>
      </c>
      <c r="AW53" s="142" t="s">
        <v>123</v>
      </c>
    </row>
    <row r="54" spans="2:49" s="142" customFormat="1" ht="21.75" customHeight="1" x14ac:dyDescent="0.25">
      <c r="B54" s="510" t="s">
        <v>6913</v>
      </c>
      <c r="C54" s="511"/>
      <c r="D54" s="201" t="s">
        <v>5263</v>
      </c>
      <c r="E54" s="173" t="s">
        <v>4432</v>
      </c>
      <c r="F54" s="173" t="s">
        <v>4091</v>
      </c>
      <c r="G54" s="201" t="s">
        <v>6970</v>
      </c>
      <c r="H54" s="173" t="s">
        <v>182</v>
      </c>
      <c r="I54" s="173" t="s">
        <v>114</v>
      </c>
      <c r="J54" s="174">
        <v>2.89</v>
      </c>
      <c r="K54" s="174">
        <v>1.2</v>
      </c>
      <c r="L54" s="174">
        <v>1.18</v>
      </c>
      <c r="M54" s="173">
        <v>1.2</v>
      </c>
      <c r="N54" s="175">
        <v>641</v>
      </c>
      <c r="O54" s="512">
        <v>4.4999999999999998E-2</v>
      </c>
      <c r="P54" s="173"/>
      <c r="Q54" s="179" t="s">
        <v>1555</v>
      </c>
      <c r="R54" s="491"/>
      <c r="S54" s="178"/>
      <c r="T54" s="177">
        <v>44940</v>
      </c>
      <c r="U54" s="177"/>
      <c r="V54" s="177"/>
      <c r="W54" s="177">
        <v>44940</v>
      </c>
      <c r="X54" s="177">
        <v>44945</v>
      </c>
      <c r="Y54" s="177"/>
      <c r="Z54" s="177"/>
      <c r="AA54" s="177">
        <v>44943</v>
      </c>
      <c r="AB54" s="177"/>
      <c r="AC54" s="177"/>
      <c r="AD54" s="181" t="s">
        <v>2479</v>
      </c>
      <c r="AE54" s="181" t="s">
        <v>69</v>
      </c>
      <c r="AF54" s="181" t="s">
        <v>142</v>
      </c>
      <c r="AG54" s="181" t="s">
        <v>1594</v>
      </c>
      <c r="AH54" s="181"/>
      <c r="AI54" s="181">
        <v>44849</v>
      </c>
      <c r="AJ54" s="181"/>
      <c r="AK54" s="181">
        <f t="shared" ca="1" si="6"/>
        <v>44958</v>
      </c>
      <c r="AL54" s="175">
        <f t="shared" ca="1" si="7"/>
        <v>109</v>
      </c>
      <c r="AM54" s="175">
        <f t="shared" ca="1" si="2"/>
        <v>13</v>
      </c>
      <c r="AN54" s="372"/>
      <c r="AO54" s="176" t="s">
        <v>3970</v>
      </c>
      <c r="AP54" s="176">
        <v>10.734999999999999</v>
      </c>
      <c r="AQ54" s="173">
        <v>10.744999999999999</v>
      </c>
      <c r="AR54" s="142">
        <v>10.769999999999998</v>
      </c>
      <c r="AS54" s="142">
        <v>10.774999999999999</v>
      </c>
      <c r="AT54" s="142" t="str">
        <f t="shared" si="3"/>
        <v/>
      </c>
      <c r="AU54" s="142">
        <v>456</v>
      </c>
      <c r="AW54" s="142" t="s">
        <v>123</v>
      </c>
    </row>
    <row r="55" spans="2:49" s="142" customFormat="1" ht="21.75" customHeight="1" x14ac:dyDescent="0.25">
      <c r="B55" s="510" t="s">
        <v>6913</v>
      </c>
      <c r="C55" s="511"/>
      <c r="D55" s="201" t="s">
        <v>5263</v>
      </c>
      <c r="E55" s="173" t="s">
        <v>4432</v>
      </c>
      <c r="F55" s="173" t="s">
        <v>4035</v>
      </c>
      <c r="G55" s="201" t="s">
        <v>6971</v>
      </c>
      <c r="H55" s="173" t="s">
        <v>182</v>
      </c>
      <c r="I55" s="173" t="s">
        <v>114</v>
      </c>
      <c r="J55" s="174">
        <v>2.88</v>
      </c>
      <c r="K55" s="174">
        <v>1.2</v>
      </c>
      <c r="L55" s="174">
        <v>1.2</v>
      </c>
      <c r="M55" s="173">
        <v>1.22</v>
      </c>
      <c r="N55" s="175">
        <v>642</v>
      </c>
      <c r="O55" s="512">
        <v>4.4999999999999998E-2</v>
      </c>
      <c r="P55" s="173"/>
      <c r="Q55" s="179" t="s">
        <v>1555</v>
      </c>
      <c r="R55" s="491"/>
      <c r="S55" s="178"/>
      <c r="T55" s="177">
        <v>44937</v>
      </c>
      <c r="U55" s="177"/>
      <c r="V55" s="177"/>
      <c r="W55" s="177">
        <v>44937</v>
      </c>
      <c r="X55" s="177">
        <v>44945</v>
      </c>
      <c r="Y55" s="177"/>
      <c r="Z55" s="177"/>
      <c r="AA55" s="177">
        <v>44938</v>
      </c>
      <c r="AB55" s="177"/>
      <c r="AC55" s="177"/>
      <c r="AD55" s="181" t="s">
        <v>2479</v>
      </c>
      <c r="AE55" s="181" t="s">
        <v>69</v>
      </c>
      <c r="AF55" s="181" t="s">
        <v>142</v>
      </c>
      <c r="AG55" s="181" t="s">
        <v>1657</v>
      </c>
      <c r="AH55" s="181"/>
      <c r="AI55" s="181">
        <v>44849</v>
      </c>
      <c r="AJ55" s="181"/>
      <c r="AK55" s="181">
        <f t="shared" ca="1" si="6"/>
        <v>44958</v>
      </c>
      <c r="AL55" s="175">
        <f t="shared" ca="1" si="7"/>
        <v>109</v>
      </c>
      <c r="AM55" s="175">
        <f t="shared" ca="1" si="2"/>
        <v>13</v>
      </c>
      <c r="AN55" s="372"/>
      <c r="AO55" s="176" t="s">
        <v>4037</v>
      </c>
      <c r="AP55" s="176">
        <v>8.81</v>
      </c>
      <c r="AQ55" s="173">
        <v>8.82</v>
      </c>
      <c r="AR55" s="142">
        <v>8.8449999999999989</v>
      </c>
      <c r="AS55" s="142">
        <v>8.85</v>
      </c>
      <c r="AT55" s="142" t="str">
        <f t="shared" si="3"/>
        <v/>
      </c>
      <c r="AU55" s="142">
        <v>456</v>
      </c>
      <c r="AW55" s="142" t="s">
        <v>123</v>
      </c>
    </row>
    <row r="56" spans="2:49" s="142" customFormat="1" ht="21.75" customHeight="1" x14ac:dyDescent="0.25">
      <c r="B56" s="510" t="s">
        <v>6913</v>
      </c>
      <c r="C56" s="511"/>
      <c r="D56" s="201" t="s">
        <v>5263</v>
      </c>
      <c r="E56" s="173" t="s">
        <v>4432</v>
      </c>
      <c r="F56" s="173" t="s">
        <v>4070</v>
      </c>
      <c r="G56" s="201" t="s">
        <v>6972</v>
      </c>
      <c r="H56" s="173" t="s">
        <v>182</v>
      </c>
      <c r="I56" s="173" t="s">
        <v>114</v>
      </c>
      <c r="J56" s="174">
        <v>2.98</v>
      </c>
      <c r="K56" s="174">
        <v>1.2</v>
      </c>
      <c r="L56" s="174">
        <v>1.18</v>
      </c>
      <c r="M56" s="173">
        <v>1.19</v>
      </c>
      <c r="N56" s="175">
        <v>640</v>
      </c>
      <c r="O56" s="512">
        <v>0.04</v>
      </c>
      <c r="P56" s="173"/>
      <c r="Q56" s="179" t="s">
        <v>1555</v>
      </c>
      <c r="R56" s="491"/>
      <c r="S56" s="178"/>
      <c r="T56" s="177">
        <v>44939</v>
      </c>
      <c r="U56" s="177"/>
      <c r="V56" s="177"/>
      <c r="W56" s="177">
        <v>44939</v>
      </c>
      <c r="X56" s="177">
        <v>44946</v>
      </c>
      <c r="Y56" s="177"/>
      <c r="Z56" s="177"/>
      <c r="AA56" s="177"/>
      <c r="AB56" s="177"/>
      <c r="AC56" s="177"/>
      <c r="AD56" s="181" t="s">
        <v>2479</v>
      </c>
      <c r="AE56" s="181" t="s">
        <v>69</v>
      </c>
      <c r="AF56" s="181" t="s">
        <v>142</v>
      </c>
      <c r="AG56" s="181" t="s">
        <v>1887</v>
      </c>
      <c r="AH56" s="181"/>
      <c r="AI56" s="181">
        <v>44880</v>
      </c>
      <c r="AJ56" s="181"/>
      <c r="AK56" s="181">
        <f t="shared" ca="1" si="6"/>
        <v>44958</v>
      </c>
      <c r="AL56" s="175">
        <f t="shared" ca="1" si="7"/>
        <v>78</v>
      </c>
      <c r="AM56" s="175">
        <f t="shared" ca="1" si="2"/>
        <v>12</v>
      </c>
      <c r="AN56" s="372"/>
      <c r="AO56" s="176" t="s">
        <v>2302</v>
      </c>
      <c r="AP56" s="176">
        <v>10.385</v>
      </c>
      <c r="AQ56" s="173">
        <v>10.395</v>
      </c>
      <c r="AR56" s="142">
        <v>10.419999999999998</v>
      </c>
      <c r="AS56" s="142">
        <v>10.424999999999999</v>
      </c>
      <c r="AT56" s="142" t="str">
        <f t="shared" si="3"/>
        <v/>
      </c>
      <c r="AU56" s="142">
        <v>459</v>
      </c>
      <c r="AW56" s="142" t="s">
        <v>123</v>
      </c>
    </row>
    <row r="57" spans="2:49" s="142" customFormat="1" ht="21.75" customHeight="1" x14ac:dyDescent="0.25">
      <c r="B57" s="510" t="s">
        <v>6913</v>
      </c>
      <c r="C57" s="511"/>
      <c r="D57" s="201" t="s">
        <v>4996</v>
      </c>
      <c r="E57" s="173" t="s">
        <v>4432</v>
      </c>
      <c r="F57" s="173" t="s">
        <v>5002</v>
      </c>
      <c r="G57" s="201" t="s">
        <v>5003</v>
      </c>
      <c r="H57" s="173" t="s">
        <v>182</v>
      </c>
      <c r="I57" s="173" t="s">
        <v>114</v>
      </c>
      <c r="J57" s="174">
        <v>3.48</v>
      </c>
      <c r="K57" s="174">
        <v>1.1499999999999999</v>
      </c>
      <c r="L57" s="174"/>
      <c r="M57" s="173"/>
      <c r="N57" s="175">
        <v>770</v>
      </c>
      <c r="O57" s="512">
        <v>0.3</v>
      </c>
      <c r="P57" s="173"/>
      <c r="Q57" s="179" t="s">
        <v>1555</v>
      </c>
      <c r="R57" s="491"/>
      <c r="S57" s="178"/>
      <c r="T57" s="177">
        <v>44921</v>
      </c>
      <c r="U57" s="177"/>
      <c r="V57" s="177">
        <v>44922</v>
      </c>
      <c r="W57" s="177"/>
      <c r="X57" s="177"/>
      <c r="Y57" s="177"/>
      <c r="Z57" s="177">
        <v>44946</v>
      </c>
      <c r="AA57" s="177"/>
      <c r="AB57" s="177"/>
      <c r="AC57" s="177"/>
      <c r="AD57" s="181" t="s">
        <v>2479</v>
      </c>
      <c r="AE57" s="181" t="s">
        <v>69</v>
      </c>
      <c r="AF57" s="181" t="s">
        <v>142</v>
      </c>
      <c r="AG57" s="181" t="s">
        <v>1584</v>
      </c>
      <c r="AH57" s="181"/>
      <c r="AI57" s="181">
        <v>44914</v>
      </c>
      <c r="AJ57" s="181"/>
      <c r="AK57" s="181">
        <f ca="1">TODAY()</f>
        <v>44958</v>
      </c>
      <c r="AL57" s="175">
        <f ca="1">IF(AI57&lt;&gt;0,AK57-AI57,0)</f>
        <v>44</v>
      </c>
      <c r="AM57" s="175" t="str">
        <f t="shared" si="2"/>
        <v/>
      </c>
      <c r="AN57" s="372"/>
      <c r="AO57" s="176" t="s">
        <v>2534</v>
      </c>
      <c r="AP57" s="176">
        <v>10.475</v>
      </c>
      <c r="AQ57" s="173">
        <v>10.484999999999999</v>
      </c>
      <c r="AR57" s="142">
        <v>10.509999999999998</v>
      </c>
      <c r="AS57" s="142">
        <v>10.514999999999999</v>
      </c>
      <c r="AT57" s="142" t="str">
        <f t="shared" si="3"/>
        <v/>
      </c>
      <c r="AU57" s="142">
        <v>462</v>
      </c>
      <c r="AW57" s="142" t="s">
        <v>123</v>
      </c>
    </row>
    <row r="58" spans="2:49" s="142" customFormat="1" ht="21.75" customHeight="1" x14ac:dyDescent="0.25">
      <c r="B58" s="510" t="s">
        <v>6913</v>
      </c>
      <c r="C58" s="511"/>
      <c r="D58" s="201" t="s">
        <v>4996</v>
      </c>
      <c r="E58" s="173" t="s">
        <v>4432</v>
      </c>
      <c r="F58" s="173" t="s">
        <v>2531</v>
      </c>
      <c r="G58" s="201" t="s">
        <v>5004</v>
      </c>
      <c r="H58" s="173" t="s">
        <v>182</v>
      </c>
      <c r="I58" s="173" t="s">
        <v>114</v>
      </c>
      <c r="J58" s="174">
        <v>3.47</v>
      </c>
      <c r="K58" s="174">
        <v>1.1499999999999999</v>
      </c>
      <c r="L58" s="174"/>
      <c r="M58" s="173"/>
      <c r="N58" s="175">
        <v>772</v>
      </c>
      <c r="O58" s="512">
        <v>0.28000000000000003</v>
      </c>
      <c r="P58" s="173"/>
      <c r="Q58" s="179" t="s">
        <v>1555</v>
      </c>
      <c r="R58" s="491"/>
      <c r="S58" s="178"/>
      <c r="T58" s="177">
        <v>44921</v>
      </c>
      <c r="U58" s="177"/>
      <c r="V58" s="177">
        <v>44921</v>
      </c>
      <c r="W58" s="177"/>
      <c r="X58" s="177"/>
      <c r="Y58" s="177"/>
      <c r="Z58" s="177">
        <v>44946</v>
      </c>
      <c r="AA58" s="177"/>
      <c r="AB58" s="177"/>
      <c r="AC58" s="177"/>
      <c r="AD58" s="181" t="s">
        <v>2479</v>
      </c>
      <c r="AE58" s="181" t="s">
        <v>69</v>
      </c>
      <c r="AF58" s="181" t="s">
        <v>142</v>
      </c>
      <c r="AG58" s="181" t="s">
        <v>1584</v>
      </c>
      <c r="AH58" s="181"/>
      <c r="AI58" s="181">
        <v>44914</v>
      </c>
      <c r="AJ58" s="181"/>
      <c r="AK58" s="181">
        <f ca="1">TODAY()</f>
        <v>44958</v>
      </c>
      <c r="AL58" s="175">
        <f ca="1">IF(AI58&lt;&gt;0,AK58-AI58,0)</f>
        <v>44</v>
      </c>
      <c r="AM58" s="175" t="str">
        <f t="shared" si="2"/>
        <v/>
      </c>
      <c r="AN58" s="372"/>
      <c r="AO58" s="176" t="s">
        <v>2534</v>
      </c>
      <c r="AP58" s="176">
        <v>10.5</v>
      </c>
      <c r="AQ58" s="173">
        <v>10.51</v>
      </c>
      <c r="AR58" s="142">
        <v>10.534999999999998</v>
      </c>
      <c r="AS58" s="142">
        <v>10.54</v>
      </c>
      <c r="AT58" s="142" t="str">
        <f t="shared" si="3"/>
        <v/>
      </c>
      <c r="AU58" s="142">
        <v>462</v>
      </c>
      <c r="AW58" s="142" t="s">
        <v>123</v>
      </c>
    </row>
    <row r="59" spans="2:49" s="142" customFormat="1" ht="21.75" customHeight="1" x14ac:dyDescent="0.25">
      <c r="B59" s="510" t="s">
        <v>6913</v>
      </c>
      <c r="C59" s="511"/>
      <c r="D59" s="201" t="s">
        <v>5278</v>
      </c>
      <c r="E59" s="173" t="s">
        <v>4432</v>
      </c>
      <c r="F59" s="173" t="s">
        <v>4108</v>
      </c>
      <c r="G59" s="201" t="s">
        <v>6973</v>
      </c>
      <c r="H59" s="173" t="s">
        <v>182</v>
      </c>
      <c r="I59" s="173" t="s">
        <v>114</v>
      </c>
      <c r="J59" s="174">
        <v>2.89</v>
      </c>
      <c r="K59" s="174">
        <v>1.2</v>
      </c>
      <c r="L59" s="174">
        <v>1.18</v>
      </c>
      <c r="M59" s="173">
        <v>1.2</v>
      </c>
      <c r="N59" s="175">
        <v>641</v>
      </c>
      <c r="O59" s="512">
        <v>6.5000000000000002E-2</v>
      </c>
      <c r="P59" s="173"/>
      <c r="Q59" s="179" t="s">
        <v>1555</v>
      </c>
      <c r="R59" s="491"/>
      <c r="S59" s="178"/>
      <c r="T59" s="177">
        <v>44941</v>
      </c>
      <c r="U59" s="177"/>
      <c r="V59" s="177">
        <v>44942</v>
      </c>
      <c r="W59" s="177"/>
      <c r="X59" s="177">
        <v>44945</v>
      </c>
      <c r="Y59" s="177"/>
      <c r="Z59" s="177"/>
      <c r="AA59" s="177">
        <v>44943</v>
      </c>
      <c r="AB59" s="177"/>
      <c r="AC59" s="177"/>
      <c r="AD59" s="181" t="s">
        <v>2479</v>
      </c>
      <c r="AE59" s="181" t="s">
        <v>69</v>
      </c>
      <c r="AF59" s="181" t="s">
        <v>142</v>
      </c>
      <c r="AG59" s="181" t="s">
        <v>1594</v>
      </c>
      <c r="AH59" s="181"/>
      <c r="AI59" s="181">
        <v>44849</v>
      </c>
      <c r="AJ59" s="181"/>
      <c r="AK59" s="181">
        <f ca="1">TODAY()</f>
        <v>44958</v>
      </c>
      <c r="AL59" s="175">
        <f ca="1">IF(AI59&lt;&gt;0,AK59-AI59,0)</f>
        <v>109</v>
      </c>
      <c r="AM59" s="175">
        <f t="shared" ca="1" si="2"/>
        <v>13</v>
      </c>
      <c r="AN59" s="372"/>
      <c r="AO59" s="176" t="s">
        <v>3995</v>
      </c>
      <c r="AP59" s="176">
        <v>10.695</v>
      </c>
      <c r="AQ59" s="173">
        <v>10.705</v>
      </c>
      <c r="AR59" s="142">
        <v>10.729999999999999</v>
      </c>
      <c r="AS59" s="142">
        <v>10.734999999999999</v>
      </c>
      <c r="AT59" s="142" t="str">
        <f t="shared" si="3"/>
        <v/>
      </c>
      <c r="AU59" s="142">
        <v>456</v>
      </c>
      <c r="AW59" s="142" t="s">
        <v>123</v>
      </c>
    </row>
    <row r="60" spans="2:49" s="142" customFormat="1" ht="21.75" customHeight="1" x14ac:dyDescent="0.25">
      <c r="B60" s="510" t="s">
        <v>6913</v>
      </c>
      <c r="C60" s="511"/>
      <c r="D60" s="201" t="s">
        <v>5278</v>
      </c>
      <c r="E60" s="173" t="s">
        <v>4432</v>
      </c>
      <c r="F60" s="173" t="s">
        <v>4142</v>
      </c>
      <c r="G60" s="201" t="s">
        <v>6974</v>
      </c>
      <c r="H60" s="173" t="s">
        <v>182</v>
      </c>
      <c r="I60" s="173" t="s">
        <v>114</v>
      </c>
      <c r="J60" s="174">
        <v>0.6</v>
      </c>
      <c r="K60" s="174">
        <v>0.3</v>
      </c>
      <c r="L60" s="174"/>
      <c r="M60" s="173"/>
      <c r="N60" s="175">
        <v>631</v>
      </c>
      <c r="O60" s="512">
        <v>8.5000000000000006E-2</v>
      </c>
      <c r="P60" s="173"/>
      <c r="Q60" s="179" t="s">
        <v>1555</v>
      </c>
      <c r="R60" s="491"/>
      <c r="S60" s="178" t="s">
        <v>230</v>
      </c>
      <c r="T60" s="177" t="s">
        <v>4144</v>
      </c>
      <c r="U60" s="177"/>
      <c r="V60" s="177">
        <v>44918</v>
      </c>
      <c r="W60" s="177">
        <v>44944</v>
      </c>
      <c r="X60" s="177" t="s">
        <v>4822</v>
      </c>
      <c r="Y60" s="177"/>
      <c r="Z60" s="177"/>
      <c r="AA60" s="177">
        <v>44939</v>
      </c>
      <c r="AB60" s="177"/>
      <c r="AC60" s="177"/>
      <c r="AD60" s="181" t="s">
        <v>1619</v>
      </c>
      <c r="AE60" s="181" t="s">
        <v>69</v>
      </c>
      <c r="AF60" s="181" t="s">
        <v>142</v>
      </c>
      <c r="AG60" s="181" t="s">
        <v>1657</v>
      </c>
      <c r="AH60" s="181"/>
      <c r="AI60" s="181">
        <v>44849</v>
      </c>
      <c r="AJ60" s="181"/>
      <c r="AK60" s="181">
        <f ca="1">TODAY()</f>
        <v>44958</v>
      </c>
      <c r="AL60" s="175">
        <f ca="1">IF(AI60&lt;&gt;0,AK60-AI60,0)</f>
        <v>109</v>
      </c>
      <c r="AM60" s="175">
        <f t="shared" ca="1" si="2"/>
        <v>12</v>
      </c>
      <c r="AN60" s="372"/>
      <c r="AO60" s="176" t="s">
        <v>1689</v>
      </c>
      <c r="AP60" s="176">
        <v>10.695</v>
      </c>
      <c r="AQ60" s="173">
        <v>10.705</v>
      </c>
      <c r="AR60" s="142">
        <v>10.729999999999999</v>
      </c>
      <c r="AS60" s="142">
        <v>10.734999999999999</v>
      </c>
      <c r="AT60" s="142" t="str">
        <f t="shared" si="3"/>
        <v/>
      </c>
      <c r="AU60" s="142">
        <v>456</v>
      </c>
      <c r="AW60" s="142" t="s">
        <v>123</v>
      </c>
    </row>
    <row r="61" spans="2:49" s="142" customFormat="1" ht="21.75" customHeight="1" x14ac:dyDescent="0.25">
      <c r="B61" s="510" t="s">
        <v>6913</v>
      </c>
      <c r="C61" s="511"/>
      <c r="D61" s="201" t="s">
        <v>5278</v>
      </c>
      <c r="E61" s="173" t="s">
        <v>4432</v>
      </c>
      <c r="F61" s="173" t="s">
        <v>4142</v>
      </c>
      <c r="G61" s="201" t="s">
        <v>6975</v>
      </c>
      <c r="H61" s="173" t="s">
        <v>182</v>
      </c>
      <c r="I61" s="173" t="s">
        <v>114</v>
      </c>
      <c r="J61" s="174">
        <v>0.6</v>
      </c>
      <c r="K61" s="174">
        <v>0.3</v>
      </c>
      <c r="L61" s="174"/>
      <c r="M61" s="173"/>
      <c r="N61" s="175">
        <v>631</v>
      </c>
      <c r="O61" s="512">
        <v>5.5E-2</v>
      </c>
      <c r="P61" s="173"/>
      <c r="Q61" s="179" t="s">
        <v>1555</v>
      </c>
      <c r="R61" s="491"/>
      <c r="S61" s="178" t="s">
        <v>230</v>
      </c>
      <c r="T61" s="177" t="s">
        <v>4144</v>
      </c>
      <c r="U61" s="177"/>
      <c r="V61" s="177">
        <v>44918</v>
      </c>
      <c r="W61" s="177">
        <v>44944</v>
      </c>
      <c r="X61" s="177" t="s">
        <v>4822</v>
      </c>
      <c r="Y61" s="177"/>
      <c r="Z61" s="177"/>
      <c r="AA61" s="177">
        <v>44939</v>
      </c>
      <c r="AB61" s="177"/>
      <c r="AC61" s="177"/>
      <c r="AD61" s="181" t="s">
        <v>1619</v>
      </c>
      <c r="AE61" s="181" t="s">
        <v>69</v>
      </c>
      <c r="AF61" s="181" t="s">
        <v>142</v>
      </c>
      <c r="AG61" s="181" t="s">
        <v>1657</v>
      </c>
      <c r="AH61" s="181"/>
      <c r="AI61" s="181">
        <v>44849</v>
      </c>
      <c r="AJ61" s="181"/>
      <c r="AK61" s="181">
        <f t="shared" ref="AK61:AK124" ca="1" si="8">TODAY()</f>
        <v>44958</v>
      </c>
      <c r="AL61" s="175">
        <f t="shared" ref="AL61:AL124" ca="1" si="9">IF(AI61&lt;&gt;0,AK61-AI61,0)</f>
        <v>109</v>
      </c>
      <c r="AM61" s="175">
        <f t="shared" ca="1" si="2"/>
        <v>12</v>
      </c>
      <c r="AN61" s="372"/>
      <c r="AO61" s="176" t="s">
        <v>1689</v>
      </c>
      <c r="AP61" s="176">
        <v>10.695</v>
      </c>
      <c r="AQ61" s="173">
        <v>10.705</v>
      </c>
      <c r="AR61" s="142">
        <v>10.729999999999999</v>
      </c>
      <c r="AS61" s="142">
        <v>10.734999999999999</v>
      </c>
      <c r="AT61" s="142" t="str">
        <f t="shared" si="3"/>
        <v/>
      </c>
      <c r="AU61" s="142">
        <v>456</v>
      </c>
      <c r="AW61" s="142" t="s">
        <v>123</v>
      </c>
    </row>
    <row r="62" spans="2:49" s="142" customFormat="1" ht="21.75" customHeight="1" x14ac:dyDescent="0.25">
      <c r="B62" s="510" t="s">
        <v>6913</v>
      </c>
      <c r="C62" s="511"/>
      <c r="D62" s="201" t="s">
        <v>5278</v>
      </c>
      <c r="E62" s="173" t="s">
        <v>4432</v>
      </c>
      <c r="F62" s="173" t="s">
        <v>4142</v>
      </c>
      <c r="G62" s="201" t="s">
        <v>6976</v>
      </c>
      <c r="H62" s="173" t="s">
        <v>182</v>
      </c>
      <c r="I62" s="173" t="s">
        <v>114</v>
      </c>
      <c r="J62" s="174">
        <v>0.6</v>
      </c>
      <c r="K62" s="174">
        <v>0.3</v>
      </c>
      <c r="L62" s="174"/>
      <c r="M62" s="173"/>
      <c r="N62" s="175">
        <v>631</v>
      </c>
      <c r="O62" s="512">
        <v>0.15</v>
      </c>
      <c r="P62" s="173"/>
      <c r="Q62" s="179" t="s">
        <v>1555</v>
      </c>
      <c r="R62" s="491"/>
      <c r="S62" s="178" t="s">
        <v>230</v>
      </c>
      <c r="T62" s="177" t="s">
        <v>4144</v>
      </c>
      <c r="U62" s="177"/>
      <c r="V62" s="177">
        <v>44918</v>
      </c>
      <c r="W62" s="177">
        <v>44944</v>
      </c>
      <c r="X62" s="177" t="s">
        <v>4822</v>
      </c>
      <c r="Y62" s="177"/>
      <c r="Z62" s="177"/>
      <c r="AA62" s="177">
        <v>44939</v>
      </c>
      <c r="AB62" s="177"/>
      <c r="AC62" s="177"/>
      <c r="AD62" s="181" t="s">
        <v>1619</v>
      </c>
      <c r="AE62" s="181" t="s">
        <v>69</v>
      </c>
      <c r="AF62" s="181" t="s">
        <v>142</v>
      </c>
      <c r="AG62" s="181" t="s">
        <v>1657</v>
      </c>
      <c r="AH62" s="181"/>
      <c r="AI62" s="181">
        <v>44849</v>
      </c>
      <c r="AJ62" s="181"/>
      <c r="AK62" s="181">
        <f t="shared" ca="1" si="8"/>
        <v>44958</v>
      </c>
      <c r="AL62" s="175">
        <f t="shared" ca="1" si="9"/>
        <v>109</v>
      </c>
      <c r="AM62" s="175">
        <f t="shared" ca="1" si="2"/>
        <v>12</v>
      </c>
      <c r="AN62" s="372"/>
      <c r="AO62" s="176" t="s">
        <v>1689</v>
      </c>
      <c r="AP62" s="176">
        <v>10.695</v>
      </c>
      <c r="AQ62" s="173">
        <v>10.705</v>
      </c>
      <c r="AR62" s="142">
        <v>10.729999999999999</v>
      </c>
      <c r="AS62" s="142">
        <v>10.734999999999999</v>
      </c>
      <c r="AT62" s="142" t="str">
        <f t="shared" si="3"/>
        <v/>
      </c>
      <c r="AU62" s="142">
        <v>456</v>
      </c>
      <c r="AW62" s="142" t="s">
        <v>123</v>
      </c>
    </row>
    <row r="63" spans="2:49" s="142" customFormat="1" ht="21.75" customHeight="1" x14ac:dyDescent="0.25">
      <c r="B63" s="510" t="s">
        <v>6913</v>
      </c>
      <c r="C63" s="511"/>
      <c r="D63" s="201" t="s">
        <v>5278</v>
      </c>
      <c r="E63" s="173" t="s">
        <v>4432</v>
      </c>
      <c r="F63" s="173" t="s">
        <v>4155</v>
      </c>
      <c r="G63" s="201" t="s">
        <v>6977</v>
      </c>
      <c r="H63" s="173">
        <v>304</v>
      </c>
      <c r="I63" s="173" t="s">
        <v>114</v>
      </c>
      <c r="J63" s="174">
        <v>0.6</v>
      </c>
      <c r="K63" s="174">
        <v>0.3</v>
      </c>
      <c r="L63" s="174"/>
      <c r="M63" s="173"/>
      <c r="N63" s="175">
        <v>631</v>
      </c>
      <c r="O63" s="512">
        <v>5.5E-2</v>
      </c>
      <c r="P63" s="173"/>
      <c r="Q63" s="179" t="s">
        <v>1555</v>
      </c>
      <c r="R63" s="491"/>
      <c r="S63" s="178" t="s">
        <v>230</v>
      </c>
      <c r="T63" s="177" t="s">
        <v>4157</v>
      </c>
      <c r="U63" s="177"/>
      <c r="V63" s="177"/>
      <c r="W63" s="177" t="s">
        <v>4419</v>
      </c>
      <c r="X63" s="177" t="s">
        <v>4823</v>
      </c>
      <c r="Y63" s="177"/>
      <c r="Z63" s="177"/>
      <c r="AA63" s="177" t="s">
        <v>4158</v>
      </c>
      <c r="AB63" s="177"/>
      <c r="AC63" s="177"/>
      <c r="AD63" s="181" t="s">
        <v>1619</v>
      </c>
      <c r="AE63" s="181" t="s">
        <v>69</v>
      </c>
      <c r="AF63" s="181" t="s">
        <v>142</v>
      </c>
      <c r="AG63" s="181" t="s">
        <v>1657</v>
      </c>
      <c r="AH63" s="181"/>
      <c r="AI63" s="181">
        <v>44849</v>
      </c>
      <c r="AJ63" s="181"/>
      <c r="AK63" s="181">
        <f t="shared" ca="1" si="8"/>
        <v>44958</v>
      </c>
      <c r="AL63" s="175">
        <f t="shared" ca="1" si="9"/>
        <v>109</v>
      </c>
      <c r="AM63" s="175">
        <f t="shared" ca="1" si="2"/>
        <v>12</v>
      </c>
      <c r="AN63" s="372"/>
      <c r="AO63" s="176" t="s">
        <v>4121</v>
      </c>
      <c r="AP63" s="176">
        <v>10.525</v>
      </c>
      <c r="AQ63" s="173">
        <v>10.535</v>
      </c>
      <c r="AR63" s="142">
        <v>10.559999999999999</v>
      </c>
      <c r="AS63" s="142">
        <v>10.565</v>
      </c>
      <c r="AT63" s="142" t="str">
        <f t="shared" si="3"/>
        <v/>
      </c>
      <c r="AU63" s="142">
        <v>456</v>
      </c>
      <c r="AW63" s="142" t="s">
        <v>123</v>
      </c>
    </row>
    <row r="64" spans="2:49" s="142" customFormat="1" ht="21.75" customHeight="1" x14ac:dyDescent="0.25">
      <c r="B64" s="510" t="s">
        <v>6913</v>
      </c>
      <c r="C64" s="511"/>
      <c r="D64" s="201" t="s">
        <v>5278</v>
      </c>
      <c r="E64" s="173" t="s">
        <v>4432</v>
      </c>
      <c r="F64" s="173" t="s">
        <v>4155</v>
      </c>
      <c r="G64" s="201" t="s">
        <v>6978</v>
      </c>
      <c r="H64" s="173">
        <v>304</v>
      </c>
      <c r="I64" s="173" t="s">
        <v>114</v>
      </c>
      <c r="J64" s="174">
        <v>0.6</v>
      </c>
      <c r="K64" s="174">
        <v>0.3</v>
      </c>
      <c r="L64" s="174"/>
      <c r="M64" s="173"/>
      <c r="N64" s="175">
        <v>631</v>
      </c>
      <c r="O64" s="512">
        <v>0.11</v>
      </c>
      <c r="P64" s="173"/>
      <c r="Q64" s="179" t="s">
        <v>1555</v>
      </c>
      <c r="R64" s="491"/>
      <c r="S64" s="178" t="s">
        <v>230</v>
      </c>
      <c r="T64" s="177" t="s">
        <v>4157</v>
      </c>
      <c r="U64" s="177"/>
      <c r="V64" s="177"/>
      <c r="W64" s="177" t="s">
        <v>4419</v>
      </c>
      <c r="X64" s="177" t="s">
        <v>4823</v>
      </c>
      <c r="Y64" s="177"/>
      <c r="Z64" s="177"/>
      <c r="AA64" s="177" t="s">
        <v>4158</v>
      </c>
      <c r="AB64" s="177"/>
      <c r="AC64" s="177"/>
      <c r="AD64" s="181" t="s">
        <v>1619</v>
      </c>
      <c r="AE64" s="181" t="s">
        <v>69</v>
      </c>
      <c r="AF64" s="181" t="s">
        <v>142</v>
      </c>
      <c r="AG64" s="181" t="s">
        <v>1657</v>
      </c>
      <c r="AH64" s="181"/>
      <c r="AI64" s="181">
        <v>44849</v>
      </c>
      <c r="AJ64" s="181"/>
      <c r="AK64" s="181">
        <f t="shared" ca="1" si="8"/>
        <v>44958</v>
      </c>
      <c r="AL64" s="175">
        <f t="shared" ca="1" si="9"/>
        <v>109</v>
      </c>
      <c r="AM64" s="175">
        <f t="shared" ca="1" si="2"/>
        <v>12</v>
      </c>
      <c r="AN64" s="372"/>
      <c r="AO64" s="176" t="s">
        <v>4121</v>
      </c>
      <c r="AP64" s="176">
        <v>10.525</v>
      </c>
      <c r="AQ64" s="173">
        <v>10.535</v>
      </c>
      <c r="AR64" s="142">
        <v>10.559999999999999</v>
      </c>
      <c r="AS64" s="142">
        <v>10.565</v>
      </c>
      <c r="AT64" s="142" t="str">
        <f t="shared" si="3"/>
        <v/>
      </c>
      <c r="AU64" s="142">
        <v>456</v>
      </c>
      <c r="AW64" s="142" t="s">
        <v>123</v>
      </c>
    </row>
    <row r="65" spans="2:49" s="142" customFormat="1" ht="21.75" customHeight="1" x14ac:dyDescent="0.25">
      <c r="B65" s="510" t="s">
        <v>6913</v>
      </c>
      <c r="C65" s="511"/>
      <c r="D65" s="201" t="s">
        <v>5278</v>
      </c>
      <c r="E65" s="173" t="s">
        <v>4432</v>
      </c>
      <c r="F65" s="173" t="s">
        <v>4155</v>
      </c>
      <c r="G65" s="201" t="s">
        <v>6979</v>
      </c>
      <c r="H65" s="173">
        <v>304</v>
      </c>
      <c r="I65" s="173" t="s">
        <v>114</v>
      </c>
      <c r="J65" s="174">
        <v>0.6</v>
      </c>
      <c r="K65" s="174">
        <v>0.3</v>
      </c>
      <c r="L65" s="174"/>
      <c r="M65" s="173"/>
      <c r="N65" s="175">
        <v>631</v>
      </c>
      <c r="O65" s="512">
        <v>0.2</v>
      </c>
      <c r="P65" s="173"/>
      <c r="Q65" s="179" t="s">
        <v>1555</v>
      </c>
      <c r="R65" s="491"/>
      <c r="S65" s="178" t="s">
        <v>230</v>
      </c>
      <c r="T65" s="177" t="s">
        <v>4157</v>
      </c>
      <c r="U65" s="177"/>
      <c r="V65" s="177"/>
      <c r="W65" s="177" t="s">
        <v>4419</v>
      </c>
      <c r="X65" s="177" t="s">
        <v>4823</v>
      </c>
      <c r="Y65" s="177"/>
      <c r="Z65" s="177"/>
      <c r="AA65" s="177" t="s">
        <v>4158</v>
      </c>
      <c r="AB65" s="177"/>
      <c r="AC65" s="177"/>
      <c r="AD65" s="181" t="s">
        <v>1619</v>
      </c>
      <c r="AE65" s="181" t="s">
        <v>69</v>
      </c>
      <c r="AF65" s="181" t="s">
        <v>142</v>
      </c>
      <c r="AG65" s="181" t="s">
        <v>1657</v>
      </c>
      <c r="AH65" s="181"/>
      <c r="AI65" s="181">
        <v>44849</v>
      </c>
      <c r="AJ65" s="181"/>
      <c r="AK65" s="181">
        <f t="shared" ca="1" si="8"/>
        <v>44958</v>
      </c>
      <c r="AL65" s="175">
        <f t="shared" ca="1" si="9"/>
        <v>109</v>
      </c>
      <c r="AM65" s="175">
        <f t="shared" ca="1" si="2"/>
        <v>12</v>
      </c>
      <c r="AN65" s="372"/>
      <c r="AO65" s="176" t="s">
        <v>4121</v>
      </c>
      <c r="AP65" s="176">
        <v>10.525</v>
      </c>
      <c r="AQ65" s="173">
        <v>10.535</v>
      </c>
      <c r="AR65" s="142">
        <v>10.559999999999999</v>
      </c>
      <c r="AS65" s="142">
        <v>10.565</v>
      </c>
      <c r="AT65" s="142" t="str">
        <f t="shared" si="3"/>
        <v/>
      </c>
      <c r="AU65" s="142">
        <v>456</v>
      </c>
      <c r="AW65" s="142" t="s">
        <v>123</v>
      </c>
    </row>
    <row r="66" spans="2:49" s="142" customFormat="1" ht="21.75" customHeight="1" x14ac:dyDescent="0.25">
      <c r="B66" s="510" t="s">
        <v>6913</v>
      </c>
      <c r="C66" s="511"/>
      <c r="D66" s="201" t="s">
        <v>5286</v>
      </c>
      <c r="E66" s="173" t="s">
        <v>4432</v>
      </c>
      <c r="F66" s="173" t="s">
        <v>4994</v>
      </c>
      <c r="G66" s="201" t="s">
        <v>6980</v>
      </c>
      <c r="H66" s="173" t="s">
        <v>34</v>
      </c>
      <c r="I66" s="173" t="s">
        <v>114</v>
      </c>
      <c r="J66" s="174">
        <v>2.2000000000000002</v>
      </c>
      <c r="K66" s="174">
        <v>0.73</v>
      </c>
      <c r="L66" s="174">
        <v>0.71</v>
      </c>
      <c r="M66" s="173">
        <v>0.73</v>
      </c>
      <c r="N66" s="175">
        <v>620</v>
      </c>
      <c r="O66" s="512">
        <v>0.12</v>
      </c>
      <c r="P66" s="173"/>
      <c r="Q66" s="179" t="s">
        <v>1555</v>
      </c>
      <c r="R66" s="491"/>
      <c r="S66" s="178"/>
      <c r="T66" s="177">
        <v>44829</v>
      </c>
      <c r="U66" s="177"/>
      <c r="V66" s="177">
        <v>44829</v>
      </c>
      <c r="W66" s="177"/>
      <c r="X66" s="177"/>
      <c r="Y66" s="177"/>
      <c r="Z66" s="177">
        <v>44945</v>
      </c>
      <c r="AA66" s="177"/>
      <c r="AB66" s="177"/>
      <c r="AC66" s="177"/>
      <c r="AD66" s="181"/>
      <c r="AE66" s="181" t="s">
        <v>69</v>
      </c>
      <c r="AF66" s="181" t="s">
        <v>119</v>
      </c>
      <c r="AG66" s="181" t="s">
        <v>994</v>
      </c>
      <c r="AH66" s="181">
        <v>44713</v>
      </c>
      <c r="AI66" s="181">
        <v>44747</v>
      </c>
      <c r="AJ66" s="181"/>
      <c r="AK66" s="181">
        <f t="shared" ca="1" si="8"/>
        <v>44958</v>
      </c>
      <c r="AL66" s="175">
        <f t="shared" ca="1" si="9"/>
        <v>211</v>
      </c>
      <c r="AM66" s="175" t="str">
        <f t="shared" si="2"/>
        <v/>
      </c>
      <c r="AN66" s="372" t="s">
        <v>1003</v>
      </c>
      <c r="AO66" s="176" t="s">
        <v>1020</v>
      </c>
      <c r="AP66" s="176">
        <v>9.98</v>
      </c>
      <c r="AQ66" s="173">
        <v>10</v>
      </c>
      <c r="AR66" s="142">
        <v>10.024999999999999</v>
      </c>
      <c r="AS66" s="142">
        <v>10.029999999999999</v>
      </c>
      <c r="AT66" s="142" t="str">
        <f t="shared" si="3"/>
        <v/>
      </c>
      <c r="AU66" s="142">
        <v>442</v>
      </c>
      <c r="AW66" s="142" t="s">
        <v>123</v>
      </c>
    </row>
    <row r="67" spans="2:49" s="142" customFormat="1" ht="21.75" customHeight="1" x14ac:dyDescent="0.25">
      <c r="B67" s="510" t="s">
        <v>6913</v>
      </c>
      <c r="C67" s="511"/>
      <c r="D67" s="201" t="s">
        <v>5286</v>
      </c>
      <c r="E67" s="173" t="s">
        <v>4432</v>
      </c>
      <c r="F67" s="173" t="s">
        <v>4989</v>
      </c>
      <c r="G67" s="201" t="s">
        <v>6981</v>
      </c>
      <c r="H67" s="173" t="s">
        <v>34</v>
      </c>
      <c r="I67" s="173" t="s">
        <v>114</v>
      </c>
      <c r="J67" s="174">
        <v>2.2000000000000002</v>
      </c>
      <c r="K67" s="174">
        <v>0.73</v>
      </c>
      <c r="L67" s="174"/>
      <c r="M67" s="173"/>
      <c r="N67" s="175">
        <v>620</v>
      </c>
      <c r="O67" s="512">
        <v>0.13</v>
      </c>
      <c r="P67" s="173"/>
      <c r="Q67" s="179" t="s">
        <v>1555</v>
      </c>
      <c r="R67" s="491"/>
      <c r="S67" s="178"/>
      <c r="T67" s="177">
        <v>44829</v>
      </c>
      <c r="U67" s="177"/>
      <c r="V67" s="177">
        <v>44829</v>
      </c>
      <c r="W67" s="177"/>
      <c r="X67" s="177"/>
      <c r="Y67" s="177"/>
      <c r="Z67" s="177">
        <v>44945</v>
      </c>
      <c r="AA67" s="177"/>
      <c r="AB67" s="177"/>
      <c r="AC67" s="177"/>
      <c r="AD67" s="181"/>
      <c r="AE67" s="181" t="s">
        <v>69</v>
      </c>
      <c r="AF67" s="181" t="s">
        <v>119</v>
      </c>
      <c r="AG67" s="181" t="s">
        <v>994</v>
      </c>
      <c r="AH67" s="181">
        <v>44713</v>
      </c>
      <c r="AI67" s="181">
        <v>44747</v>
      </c>
      <c r="AJ67" s="181"/>
      <c r="AK67" s="181">
        <f t="shared" ca="1" si="8"/>
        <v>44958</v>
      </c>
      <c r="AL67" s="175">
        <f t="shared" ca="1" si="9"/>
        <v>211</v>
      </c>
      <c r="AM67" s="175" t="str">
        <f t="shared" si="2"/>
        <v/>
      </c>
      <c r="AN67" s="372" t="s">
        <v>1030</v>
      </c>
      <c r="AO67" s="176" t="s">
        <v>4673</v>
      </c>
      <c r="AP67" s="176">
        <v>10.057</v>
      </c>
      <c r="AQ67" s="173">
        <v>10.077</v>
      </c>
      <c r="AR67" s="142">
        <v>10.101999999999999</v>
      </c>
      <c r="AS67" s="142">
        <v>10.106999999999999</v>
      </c>
      <c r="AT67" s="142" t="str">
        <f t="shared" si="3"/>
        <v/>
      </c>
      <c r="AU67" s="142">
        <v>442</v>
      </c>
      <c r="AW67" s="142" t="s">
        <v>123</v>
      </c>
    </row>
    <row r="68" spans="2:49" s="142" customFormat="1" ht="21.75" customHeight="1" x14ac:dyDescent="0.25">
      <c r="B68" s="510" t="s">
        <v>6913</v>
      </c>
      <c r="C68" s="511"/>
      <c r="D68" s="201" t="s">
        <v>5286</v>
      </c>
      <c r="E68" s="173" t="s">
        <v>4432</v>
      </c>
      <c r="F68" s="173" t="s">
        <v>4991</v>
      </c>
      <c r="G68" s="201" t="s">
        <v>6982</v>
      </c>
      <c r="H68" s="173" t="s">
        <v>34</v>
      </c>
      <c r="I68" s="173" t="s">
        <v>114</v>
      </c>
      <c r="J68" s="174">
        <v>2.4</v>
      </c>
      <c r="K68" s="174">
        <v>0.91</v>
      </c>
      <c r="L68" s="174">
        <v>0.89</v>
      </c>
      <c r="M68" s="173">
        <v>0.9</v>
      </c>
      <c r="N68" s="175">
        <v>620</v>
      </c>
      <c r="O68" s="512">
        <v>0.06</v>
      </c>
      <c r="P68" s="173"/>
      <c r="Q68" s="179" t="s">
        <v>1555</v>
      </c>
      <c r="R68" s="491"/>
      <c r="S68" s="178"/>
      <c r="T68" s="177">
        <v>44784</v>
      </c>
      <c r="U68" s="177"/>
      <c r="V68" s="177">
        <v>44784</v>
      </c>
      <c r="W68" s="177"/>
      <c r="X68" s="177"/>
      <c r="Y68" s="177"/>
      <c r="Z68" s="177">
        <v>44945</v>
      </c>
      <c r="AA68" s="177"/>
      <c r="AB68" s="177"/>
      <c r="AC68" s="177"/>
      <c r="AD68" s="181"/>
      <c r="AE68" s="181" t="s">
        <v>69</v>
      </c>
      <c r="AF68" s="181" t="s">
        <v>119</v>
      </c>
      <c r="AG68" s="181" t="s">
        <v>994</v>
      </c>
      <c r="AH68" s="181">
        <v>44713</v>
      </c>
      <c r="AI68" s="181">
        <v>44747</v>
      </c>
      <c r="AJ68" s="181"/>
      <c r="AK68" s="181">
        <f t="shared" ca="1" si="8"/>
        <v>44958</v>
      </c>
      <c r="AL68" s="175">
        <f t="shared" ca="1" si="9"/>
        <v>211</v>
      </c>
      <c r="AM68" s="175" t="str">
        <f t="shared" si="2"/>
        <v/>
      </c>
      <c r="AN68" s="372" t="s">
        <v>4993</v>
      </c>
      <c r="AO68" s="176" t="s">
        <v>974</v>
      </c>
      <c r="AP68" s="176">
        <v>9.9139999999999997</v>
      </c>
      <c r="AQ68" s="173">
        <v>9.9339999999999993</v>
      </c>
      <c r="AR68" s="142">
        <v>9.9589999999999979</v>
      </c>
      <c r="AS68" s="142">
        <v>9.9639999999999986</v>
      </c>
      <c r="AT68" s="142" t="str">
        <f t="shared" si="3"/>
        <v/>
      </c>
      <c r="AU68" s="142">
        <v>442</v>
      </c>
      <c r="AW68" s="142" t="s">
        <v>123</v>
      </c>
    </row>
    <row r="69" spans="2:49" s="142" customFormat="1" ht="21.75" customHeight="1" x14ac:dyDescent="0.25">
      <c r="B69" s="510" t="s">
        <v>6913</v>
      </c>
      <c r="C69" s="511"/>
      <c r="D69" s="201" t="s">
        <v>5297</v>
      </c>
      <c r="E69" s="173" t="s">
        <v>836</v>
      </c>
      <c r="F69" s="173" t="s">
        <v>3914</v>
      </c>
      <c r="G69" s="201" t="s">
        <v>6983</v>
      </c>
      <c r="H69" s="173">
        <v>304</v>
      </c>
      <c r="I69" s="173" t="s">
        <v>114</v>
      </c>
      <c r="J69" s="174">
        <v>2.96</v>
      </c>
      <c r="K69" s="174">
        <v>1</v>
      </c>
      <c r="L69" s="174"/>
      <c r="M69" s="173"/>
      <c r="N69" s="175">
        <v>777</v>
      </c>
      <c r="O69" s="512">
        <v>0.08</v>
      </c>
      <c r="P69" s="173"/>
      <c r="Q69" s="179" t="s">
        <v>1555</v>
      </c>
      <c r="R69" s="491"/>
      <c r="S69" s="178"/>
      <c r="T69" s="177">
        <v>44931</v>
      </c>
      <c r="U69" s="177"/>
      <c r="V69" s="177">
        <v>44931</v>
      </c>
      <c r="W69" s="177"/>
      <c r="X69" s="177"/>
      <c r="Y69" s="177"/>
      <c r="Z69" s="177">
        <v>44948</v>
      </c>
      <c r="AA69" s="177">
        <v>44949</v>
      </c>
      <c r="AB69" s="177"/>
      <c r="AC69" s="177">
        <v>44928</v>
      </c>
      <c r="AD69" s="181" t="s">
        <v>1345</v>
      </c>
      <c r="AE69" s="181" t="s">
        <v>69</v>
      </c>
      <c r="AF69" s="181" t="s">
        <v>142</v>
      </c>
      <c r="AG69" s="181" t="s">
        <v>1346</v>
      </c>
      <c r="AH69" s="181"/>
      <c r="AI69" s="181">
        <v>44813</v>
      </c>
      <c r="AJ69" s="181"/>
      <c r="AK69" s="181">
        <f t="shared" ca="1" si="8"/>
        <v>44958</v>
      </c>
      <c r="AL69" s="175">
        <f t="shared" ca="1" si="9"/>
        <v>145</v>
      </c>
      <c r="AM69" s="175" t="str">
        <f t="shared" si="2"/>
        <v/>
      </c>
      <c r="AN69" s="372"/>
      <c r="AO69" s="176" t="s">
        <v>3916</v>
      </c>
      <c r="AP69" s="176">
        <v>21.39</v>
      </c>
      <c r="AQ69" s="173">
        <v>21.45</v>
      </c>
      <c r="AR69" s="142">
        <v>21.475000000000001</v>
      </c>
      <c r="AS69" s="142">
        <v>21.48</v>
      </c>
      <c r="AT69" s="142" t="str">
        <f t="shared" si="3"/>
        <v/>
      </c>
      <c r="AU69" s="142">
        <v>451</v>
      </c>
      <c r="AW69" s="142" t="s">
        <v>123</v>
      </c>
    </row>
    <row r="70" spans="2:49" s="142" customFormat="1" ht="21.75" customHeight="1" x14ac:dyDescent="0.25">
      <c r="B70" s="510" t="s">
        <v>6913</v>
      </c>
      <c r="C70" s="511"/>
      <c r="D70" s="201" t="s">
        <v>5294</v>
      </c>
      <c r="E70" s="173" t="s">
        <v>4432</v>
      </c>
      <c r="F70" s="173" t="s">
        <v>3949</v>
      </c>
      <c r="G70" s="201" t="s">
        <v>6984</v>
      </c>
      <c r="H70" s="173">
        <v>304</v>
      </c>
      <c r="I70" s="173" t="s">
        <v>114</v>
      </c>
      <c r="J70" s="174">
        <v>3.51</v>
      </c>
      <c r="K70" s="174">
        <v>1.1499999999999999</v>
      </c>
      <c r="L70" s="174">
        <v>1.1299999999999999</v>
      </c>
      <c r="M70" s="173">
        <v>1.1499999999999999</v>
      </c>
      <c r="N70" s="175">
        <v>777</v>
      </c>
      <c r="O70" s="512">
        <v>7.4999999999999997E-2</v>
      </c>
      <c r="P70" s="173"/>
      <c r="Q70" s="179" t="s">
        <v>1555</v>
      </c>
      <c r="R70" s="491"/>
      <c r="S70" s="178"/>
      <c r="T70" s="177">
        <v>44933</v>
      </c>
      <c r="U70" s="177"/>
      <c r="V70" s="177">
        <v>44933</v>
      </c>
      <c r="W70" s="177"/>
      <c r="X70" s="177"/>
      <c r="Y70" s="177"/>
      <c r="Z70" s="177">
        <v>44948</v>
      </c>
      <c r="AA70" s="177"/>
      <c r="AB70" s="177"/>
      <c r="AC70" s="177">
        <v>44930</v>
      </c>
      <c r="AD70" s="181" t="s">
        <v>1345</v>
      </c>
      <c r="AE70" s="181" t="s">
        <v>69</v>
      </c>
      <c r="AF70" s="181" t="s">
        <v>142</v>
      </c>
      <c r="AG70" s="181" t="s">
        <v>1346</v>
      </c>
      <c r="AH70" s="181"/>
      <c r="AI70" s="181">
        <v>44813</v>
      </c>
      <c r="AJ70" s="181"/>
      <c r="AK70" s="181">
        <f t="shared" ca="1" si="8"/>
        <v>44958</v>
      </c>
      <c r="AL70" s="175">
        <f t="shared" ca="1" si="9"/>
        <v>145</v>
      </c>
      <c r="AM70" s="175" t="str">
        <f t="shared" ref="AM70:AM131" si="10">IF(ISNUMBER(X70)=TRUE,AK70-X70,IF(X70="","",(AK70)-(MID(RIGHT(X70,10),4,2)&amp;"/"&amp;LEFT((RIGHT(X70,10)),2)&amp;"/"&amp;RIGHT(X70,4))))</f>
        <v/>
      </c>
      <c r="AN70" s="372"/>
      <c r="AO70" s="176" t="s">
        <v>3951</v>
      </c>
      <c r="AP70" s="176">
        <v>21.465</v>
      </c>
      <c r="AQ70" s="173">
        <v>21.524999999999999</v>
      </c>
      <c r="AR70" s="142">
        <v>21.55</v>
      </c>
      <c r="AS70" s="142">
        <v>21.555</v>
      </c>
      <c r="AT70" s="142" t="str">
        <f t="shared" si="3"/>
        <v/>
      </c>
      <c r="AU70" s="142">
        <v>451</v>
      </c>
      <c r="AW70" s="142" t="s">
        <v>123</v>
      </c>
    </row>
    <row r="71" spans="2:49" s="142" customFormat="1" ht="21.75" customHeight="1" x14ac:dyDescent="0.25">
      <c r="B71" s="510" t="s">
        <v>6913</v>
      </c>
      <c r="C71" s="511"/>
      <c r="D71" s="201" t="s">
        <v>5294</v>
      </c>
      <c r="E71" s="173" t="s">
        <v>4432</v>
      </c>
      <c r="F71" s="173" t="s">
        <v>5012</v>
      </c>
      <c r="G71" s="201" t="s">
        <v>6985</v>
      </c>
      <c r="H71" s="173" t="s">
        <v>182</v>
      </c>
      <c r="I71" s="173" t="s">
        <v>114</v>
      </c>
      <c r="J71" s="174">
        <v>3.49</v>
      </c>
      <c r="K71" s="174">
        <v>1.2</v>
      </c>
      <c r="L71" s="174"/>
      <c r="M71" s="173"/>
      <c r="N71" s="175">
        <v>770</v>
      </c>
      <c r="O71" s="512">
        <v>7.0000000000000007E-2</v>
      </c>
      <c r="P71" s="173"/>
      <c r="Q71" s="179" t="s">
        <v>1555</v>
      </c>
      <c r="R71" s="491"/>
      <c r="S71" s="178"/>
      <c r="T71" s="177">
        <v>44922</v>
      </c>
      <c r="U71" s="177"/>
      <c r="V71" s="177">
        <v>44922</v>
      </c>
      <c r="W71" s="177"/>
      <c r="X71" s="177"/>
      <c r="Y71" s="177"/>
      <c r="Z71" s="177">
        <v>44947</v>
      </c>
      <c r="AA71" s="177"/>
      <c r="AB71" s="177"/>
      <c r="AC71" s="177"/>
      <c r="AD71" s="181" t="s">
        <v>2470</v>
      </c>
      <c r="AE71" s="181" t="s">
        <v>69</v>
      </c>
      <c r="AF71" s="181" t="s">
        <v>142</v>
      </c>
      <c r="AG71" s="181" t="s">
        <v>1584</v>
      </c>
      <c r="AH71" s="181"/>
      <c r="AI71" s="181">
        <v>44914</v>
      </c>
      <c r="AJ71" s="181"/>
      <c r="AK71" s="181">
        <f t="shared" ca="1" si="8"/>
        <v>44958</v>
      </c>
      <c r="AL71" s="175">
        <f t="shared" ca="1" si="9"/>
        <v>44</v>
      </c>
      <c r="AM71" s="175" t="str">
        <f t="shared" si="10"/>
        <v/>
      </c>
      <c r="AN71" s="372"/>
      <c r="AO71" s="176" t="s">
        <v>2577</v>
      </c>
      <c r="AP71" s="176">
        <v>10.52</v>
      </c>
      <c r="AQ71" s="173">
        <v>10.53</v>
      </c>
      <c r="AR71" s="142">
        <v>10.554999999999998</v>
      </c>
      <c r="AS71" s="142">
        <v>10.559999999999999</v>
      </c>
      <c r="AT71" s="142" t="str">
        <f t="shared" si="3"/>
        <v/>
      </c>
      <c r="AU71" s="142">
        <v>462</v>
      </c>
      <c r="AW71" s="142" t="s">
        <v>123</v>
      </c>
    </row>
    <row r="72" spans="2:49" s="142" customFormat="1" ht="21.75" customHeight="1" x14ac:dyDescent="0.25">
      <c r="B72" s="510" t="s">
        <v>6913</v>
      </c>
      <c r="C72" s="511"/>
      <c r="D72" s="201" t="s">
        <v>5301</v>
      </c>
      <c r="E72" s="173" t="s">
        <v>4432</v>
      </c>
      <c r="F72" s="173" t="s">
        <v>3914</v>
      </c>
      <c r="G72" s="201" t="s">
        <v>6986</v>
      </c>
      <c r="H72" s="173">
        <v>304</v>
      </c>
      <c r="I72" s="173" t="s">
        <v>114</v>
      </c>
      <c r="J72" s="174">
        <v>2.96</v>
      </c>
      <c r="K72" s="174">
        <v>1</v>
      </c>
      <c r="L72" s="174"/>
      <c r="M72" s="173"/>
      <c r="N72" s="175">
        <v>777</v>
      </c>
      <c r="O72" s="512">
        <v>0.05</v>
      </c>
      <c r="P72" s="173"/>
      <c r="Q72" s="179" t="s">
        <v>1555</v>
      </c>
      <c r="R72" s="491"/>
      <c r="S72" s="178"/>
      <c r="T72" s="177">
        <v>44931</v>
      </c>
      <c r="U72" s="177"/>
      <c r="V72" s="177">
        <v>44931</v>
      </c>
      <c r="W72" s="177"/>
      <c r="X72" s="177"/>
      <c r="Y72" s="177"/>
      <c r="Z72" s="177">
        <v>44948</v>
      </c>
      <c r="AA72" s="177">
        <v>44949</v>
      </c>
      <c r="AB72" s="177"/>
      <c r="AC72" s="177">
        <v>44928</v>
      </c>
      <c r="AD72" s="181" t="s">
        <v>1345</v>
      </c>
      <c r="AE72" s="181" t="s">
        <v>69</v>
      </c>
      <c r="AF72" s="181" t="s">
        <v>142</v>
      </c>
      <c r="AG72" s="181" t="s">
        <v>1346</v>
      </c>
      <c r="AH72" s="181"/>
      <c r="AI72" s="181">
        <v>44813</v>
      </c>
      <c r="AJ72" s="181"/>
      <c r="AK72" s="181">
        <f t="shared" ca="1" si="8"/>
        <v>44958</v>
      </c>
      <c r="AL72" s="175">
        <f t="shared" ca="1" si="9"/>
        <v>145</v>
      </c>
      <c r="AM72" s="175" t="str">
        <f t="shared" si="10"/>
        <v/>
      </c>
      <c r="AN72" s="372"/>
      <c r="AO72" s="176" t="s">
        <v>3916</v>
      </c>
      <c r="AP72" s="176">
        <v>21.39</v>
      </c>
      <c r="AQ72" s="173">
        <v>21.45</v>
      </c>
      <c r="AR72" s="142">
        <v>21.475000000000001</v>
      </c>
      <c r="AS72" s="142">
        <v>21.48</v>
      </c>
      <c r="AT72" s="142" t="str">
        <f t="shared" si="3"/>
        <v/>
      </c>
      <c r="AU72" s="142">
        <v>451</v>
      </c>
      <c r="AW72" s="142" t="s">
        <v>123</v>
      </c>
    </row>
    <row r="73" spans="2:49" s="142" customFormat="1" ht="21.75" customHeight="1" x14ac:dyDescent="0.25">
      <c r="B73" s="510" t="s">
        <v>6913</v>
      </c>
      <c r="C73" s="511"/>
      <c r="D73" s="201" t="s">
        <v>5294</v>
      </c>
      <c r="E73" s="173" t="s">
        <v>4432</v>
      </c>
      <c r="F73" s="173" t="s">
        <v>2468</v>
      </c>
      <c r="G73" s="201" t="s">
        <v>6987</v>
      </c>
      <c r="H73" s="173" t="s">
        <v>182</v>
      </c>
      <c r="I73" s="173" t="s">
        <v>114</v>
      </c>
      <c r="J73" s="174">
        <v>3.58</v>
      </c>
      <c r="K73" s="174">
        <v>1.2</v>
      </c>
      <c r="L73" s="174">
        <v>1.18</v>
      </c>
      <c r="M73" s="173">
        <v>1.2</v>
      </c>
      <c r="N73" s="175">
        <v>767</v>
      </c>
      <c r="O73" s="512">
        <v>0.06</v>
      </c>
      <c r="P73" s="173"/>
      <c r="Q73" s="179" t="s">
        <v>1555</v>
      </c>
      <c r="R73" s="491"/>
      <c r="S73" s="178"/>
      <c r="T73" s="177">
        <v>44923</v>
      </c>
      <c r="U73" s="177"/>
      <c r="V73" s="177">
        <v>44924</v>
      </c>
      <c r="W73" s="177"/>
      <c r="X73" s="177"/>
      <c r="Y73" s="177"/>
      <c r="Z73" s="177">
        <v>44948</v>
      </c>
      <c r="AA73" s="177">
        <v>44949</v>
      </c>
      <c r="AB73" s="177"/>
      <c r="AC73" s="177"/>
      <c r="AD73" s="181" t="s">
        <v>2470</v>
      </c>
      <c r="AE73" s="181" t="s">
        <v>69</v>
      </c>
      <c r="AF73" s="181" t="s">
        <v>142</v>
      </c>
      <c r="AG73" s="181" t="s">
        <v>1584</v>
      </c>
      <c r="AH73" s="181"/>
      <c r="AI73" s="181">
        <v>44914</v>
      </c>
      <c r="AJ73" s="181"/>
      <c r="AK73" s="181">
        <f t="shared" ca="1" si="8"/>
        <v>44958</v>
      </c>
      <c r="AL73" s="175">
        <f t="shared" ca="1" si="9"/>
        <v>44</v>
      </c>
      <c r="AM73" s="175" t="str">
        <f t="shared" si="10"/>
        <v/>
      </c>
      <c r="AN73" s="372"/>
      <c r="AO73" s="176" t="s">
        <v>2471</v>
      </c>
      <c r="AP73" s="176">
        <v>10.305</v>
      </c>
      <c r="AQ73" s="173">
        <v>10.315</v>
      </c>
      <c r="AR73" s="142">
        <v>10.339999999999998</v>
      </c>
      <c r="AS73" s="142">
        <v>10.344999999999999</v>
      </c>
      <c r="AT73" s="142" t="str">
        <f t="shared" si="3"/>
        <v/>
      </c>
      <c r="AU73" s="142">
        <v>462</v>
      </c>
      <c r="AW73" s="142" t="s">
        <v>123</v>
      </c>
    </row>
    <row r="74" spans="2:49" s="142" customFormat="1" ht="21.75" customHeight="1" x14ac:dyDescent="0.25">
      <c r="B74" s="510" t="s">
        <v>6913</v>
      </c>
      <c r="C74" s="511"/>
      <c r="D74" s="201" t="s">
        <v>5301</v>
      </c>
      <c r="E74" s="173" t="s">
        <v>4432</v>
      </c>
      <c r="F74" s="173" t="s">
        <v>3940</v>
      </c>
      <c r="G74" s="201" t="s">
        <v>6988</v>
      </c>
      <c r="H74" s="173">
        <v>304</v>
      </c>
      <c r="I74" s="173" t="s">
        <v>114</v>
      </c>
      <c r="J74" s="174">
        <v>3.77</v>
      </c>
      <c r="K74" s="174">
        <v>1.45</v>
      </c>
      <c r="L74" s="174">
        <v>1.47</v>
      </c>
      <c r="M74" s="173">
        <v>1.46</v>
      </c>
      <c r="N74" s="175">
        <v>773</v>
      </c>
      <c r="O74" s="512">
        <v>7.4999999999999997E-2</v>
      </c>
      <c r="P74" s="173"/>
      <c r="Q74" s="179" t="s">
        <v>1555</v>
      </c>
      <c r="R74" s="491"/>
      <c r="S74" s="178"/>
      <c r="T74" s="177">
        <v>44932</v>
      </c>
      <c r="U74" s="177"/>
      <c r="V74" s="177">
        <v>44932</v>
      </c>
      <c r="W74" s="177"/>
      <c r="X74" s="177">
        <v>44948</v>
      </c>
      <c r="Y74" s="177"/>
      <c r="Z74" s="177"/>
      <c r="AA74" s="177">
        <v>44949</v>
      </c>
      <c r="AB74" s="177"/>
      <c r="AC74" s="177"/>
      <c r="AD74" s="181" t="s">
        <v>1345</v>
      </c>
      <c r="AE74" s="181" t="s">
        <v>69</v>
      </c>
      <c r="AF74" s="181" t="s">
        <v>142</v>
      </c>
      <c r="AG74" s="181" t="s">
        <v>2283</v>
      </c>
      <c r="AH74" s="181"/>
      <c r="AI74" s="181">
        <v>44880</v>
      </c>
      <c r="AJ74" s="181"/>
      <c r="AK74" s="181">
        <f t="shared" ca="1" si="8"/>
        <v>44958</v>
      </c>
      <c r="AL74" s="175">
        <f t="shared" ca="1" si="9"/>
        <v>78</v>
      </c>
      <c r="AM74" s="175">
        <f t="shared" ca="1" si="10"/>
        <v>10</v>
      </c>
      <c r="AN74" s="372"/>
      <c r="AO74" s="176" t="s">
        <v>3942</v>
      </c>
      <c r="AP74" s="176">
        <v>10.574999999999999</v>
      </c>
      <c r="AQ74" s="173">
        <v>10.584999999999999</v>
      </c>
      <c r="AR74" s="142">
        <v>10.609999999999998</v>
      </c>
      <c r="AS74" s="142">
        <v>10.614999999999998</v>
      </c>
      <c r="AT74" s="142" t="str">
        <f t="shared" si="3"/>
        <v/>
      </c>
      <c r="AU74" s="142">
        <v>459</v>
      </c>
      <c r="AW74" s="142" t="s">
        <v>123</v>
      </c>
    </row>
    <row r="75" spans="2:49" s="142" customFormat="1" ht="21.75" customHeight="1" x14ac:dyDescent="0.25">
      <c r="B75" s="510" t="s">
        <v>6913</v>
      </c>
      <c r="C75" s="511"/>
      <c r="D75" s="201" t="s">
        <v>5294</v>
      </c>
      <c r="E75" s="173" t="s">
        <v>4432</v>
      </c>
      <c r="F75" s="173" t="s">
        <v>3949</v>
      </c>
      <c r="G75" s="201" t="s">
        <v>6989</v>
      </c>
      <c r="H75" s="173">
        <v>304</v>
      </c>
      <c r="I75" s="173" t="s">
        <v>114</v>
      </c>
      <c r="J75" s="174">
        <v>3.51</v>
      </c>
      <c r="K75" s="174">
        <v>1.1499999999999999</v>
      </c>
      <c r="L75" s="174">
        <v>1.1299999999999999</v>
      </c>
      <c r="M75" s="173">
        <v>1.1499999999999999</v>
      </c>
      <c r="N75" s="175">
        <v>777</v>
      </c>
      <c r="O75" s="512">
        <v>0.05</v>
      </c>
      <c r="P75" s="173"/>
      <c r="Q75" s="179" t="s">
        <v>1555</v>
      </c>
      <c r="R75" s="491"/>
      <c r="S75" s="178"/>
      <c r="T75" s="177">
        <v>44933</v>
      </c>
      <c r="U75" s="177"/>
      <c r="V75" s="177">
        <v>44933</v>
      </c>
      <c r="W75" s="177"/>
      <c r="X75" s="177"/>
      <c r="Y75" s="177"/>
      <c r="Z75" s="177">
        <v>44948</v>
      </c>
      <c r="AA75" s="177"/>
      <c r="AB75" s="177"/>
      <c r="AC75" s="177">
        <v>44930</v>
      </c>
      <c r="AD75" s="181" t="s">
        <v>1345</v>
      </c>
      <c r="AE75" s="181" t="s">
        <v>69</v>
      </c>
      <c r="AF75" s="181" t="s">
        <v>142</v>
      </c>
      <c r="AG75" s="181" t="s">
        <v>1346</v>
      </c>
      <c r="AH75" s="181"/>
      <c r="AI75" s="181">
        <v>44813</v>
      </c>
      <c r="AJ75" s="181"/>
      <c r="AK75" s="181">
        <f t="shared" ca="1" si="8"/>
        <v>44958</v>
      </c>
      <c r="AL75" s="175">
        <f t="shared" ca="1" si="9"/>
        <v>145</v>
      </c>
      <c r="AM75" s="175" t="str">
        <f t="shared" si="10"/>
        <v/>
      </c>
      <c r="AN75" s="372"/>
      <c r="AO75" s="176" t="s">
        <v>3951</v>
      </c>
      <c r="AP75" s="176">
        <v>21.465</v>
      </c>
      <c r="AQ75" s="173">
        <v>21.524999999999999</v>
      </c>
      <c r="AR75" s="142">
        <v>21.55</v>
      </c>
      <c r="AS75" s="142">
        <v>21.555</v>
      </c>
      <c r="AT75" s="142" t="str">
        <f t="shared" ref="AT75:AT131" si="11">IF(ISNUMBER(U75)=TRUE,AK75-U75,IF(U75="","",(AK75)-(MID(RIGHT(U75,10),4,2)&amp;"/"&amp;LEFT((RIGHT(U75,10)),2)&amp;"/"&amp;RIGHT(U75,4))))</f>
        <v/>
      </c>
      <c r="AU75" s="142">
        <v>451</v>
      </c>
      <c r="AW75" s="142" t="s">
        <v>123</v>
      </c>
    </row>
    <row r="76" spans="2:49" s="142" customFormat="1" ht="21.75" customHeight="1" x14ac:dyDescent="0.25">
      <c r="B76" s="510" t="s">
        <v>6913</v>
      </c>
      <c r="C76" s="511"/>
      <c r="D76" s="201" t="s">
        <v>5294</v>
      </c>
      <c r="E76" s="173" t="s">
        <v>4432</v>
      </c>
      <c r="F76" s="173" t="s">
        <v>3949</v>
      </c>
      <c r="G76" s="201" t="s">
        <v>6990</v>
      </c>
      <c r="H76" s="173">
        <v>304</v>
      </c>
      <c r="I76" s="173" t="s">
        <v>114</v>
      </c>
      <c r="J76" s="174">
        <v>3.51</v>
      </c>
      <c r="K76" s="174">
        <v>1.1499999999999999</v>
      </c>
      <c r="L76" s="174">
        <v>1.1299999999999999</v>
      </c>
      <c r="M76" s="173">
        <v>1.1499999999999999</v>
      </c>
      <c r="N76" s="175">
        <v>777</v>
      </c>
      <c r="O76" s="512">
        <v>7.0000000000000007E-2</v>
      </c>
      <c r="P76" s="173"/>
      <c r="Q76" s="179" t="s">
        <v>1555</v>
      </c>
      <c r="R76" s="491"/>
      <c r="S76" s="178"/>
      <c r="T76" s="177">
        <v>44933</v>
      </c>
      <c r="U76" s="177"/>
      <c r="V76" s="177">
        <v>44933</v>
      </c>
      <c r="W76" s="177"/>
      <c r="X76" s="177"/>
      <c r="Y76" s="177"/>
      <c r="Z76" s="177">
        <v>44948</v>
      </c>
      <c r="AA76" s="177"/>
      <c r="AB76" s="177"/>
      <c r="AC76" s="177">
        <v>44930</v>
      </c>
      <c r="AD76" s="181" t="s">
        <v>1345</v>
      </c>
      <c r="AE76" s="181" t="s">
        <v>69</v>
      </c>
      <c r="AF76" s="181" t="s">
        <v>142</v>
      </c>
      <c r="AG76" s="181" t="s">
        <v>1346</v>
      </c>
      <c r="AH76" s="181"/>
      <c r="AI76" s="181">
        <v>44813</v>
      </c>
      <c r="AJ76" s="181"/>
      <c r="AK76" s="181">
        <f t="shared" ca="1" si="8"/>
        <v>44958</v>
      </c>
      <c r="AL76" s="175">
        <f t="shared" ca="1" si="9"/>
        <v>145</v>
      </c>
      <c r="AM76" s="175" t="str">
        <f t="shared" si="10"/>
        <v/>
      </c>
      <c r="AN76" s="372"/>
      <c r="AO76" s="176" t="s">
        <v>3951</v>
      </c>
      <c r="AP76" s="176">
        <v>21.465</v>
      </c>
      <c r="AQ76" s="173">
        <v>21.524999999999999</v>
      </c>
      <c r="AR76" s="142">
        <v>21.55</v>
      </c>
      <c r="AS76" s="142">
        <v>21.555</v>
      </c>
      <c r="AT76" s="142" t="str">
        <f t="shared" si="11"/>
        <v/>
      </c>
      <c r="AU76" s="142">
        <v>451</v>
      </c>
      <c r="AW76" s="142" t="s">
        <v>123</v>
      </c>
    </row>
    <row r="77" spans="2:49" s="142" customFormat="1" ht="21.75" customHeight="1" x14ac:dyDescent="0.25">
      <c r="B77" s="510" t="s">
        <v>6913</v>
      </c>
      <c r="C77" s="511"/>
      <c r="D77" s="201" t="s">
        <v>5294</v>
      </c>
      <c r="E77" s="173" t="s">
        <v>4432</v>
      </c>
      <c r="F77" s="173" t="s">
        <v>3987</v>
      </c>
      <c r="G77" s="201" t="s">
        <v>6991</v>
      </c>
      <c r="H77" s="173">
        <v>304</v>
      </c>
      <c r="I77" s="173" t="s">
        <v>114</v>
      </c>
      <c r="J77" s="174">
        <v>2.84</v>
      </c>
      <c r="K77" s="174">
        <v>0.9</v>
      </c>
      <c r="L77" s="174">
        <v>0.88</v>
      </c>
      <c r="M77" s="173">
        <v>0.9</v>
      </c>
      <c r="N77" s="175">
        <v>773</v>
      </c>
      <c r="O77" s="512">
        <v>4.4999999999999998E-2</v>
      </c>
      <c r="P77" s="173"/>
      <c r="Q77" s="179" t="s">
        <v>1555</v>
      </c>
      <c r="R77" s="491"/>
      <c r="S77" s="178"/>
      <c r="T77" s="177">
        <v>44935</v>
      </c>
      <c r="U77" s="177"/>
      <c r="V77" s="177">
        <v>44935</v>
      </c>
      <c r="W77" s="177"/>
      <c r="X77" s="177"/>
      <c r="Y77" s="177"/>
      <c r="Z77" s="177">
        <v>44949</v>
      </c>
      <c r="AA77" s="177"/>
      <c r="AB77" s="177"/>
      <c r="AC77" s="177"/>
      <c r="AD77" s="181" t="s">
        <v>1507</v>
      </c>
      <c r="AE77" s="181" t="s">
        <v>69</v>
      </c>
      <c r="AF77" s="181" t="s">
        <v>142</v>
      </c>
      <c r="AG77" s="181" t="s">
        <v>1584</v>
      </c>
      <c r="AH77" s="181"/>
      <c r="AI77" s="181">
        <v>44914</v>
      </c>
      <c r="AJ77" s="181"/>
      <c r="AK77" s="181">
        <f t="shared" ca="1" si="8"/>
        <v>44958</v>
      </c>
      <c r="AL77" s="175">
        <f t="shared" ca="1" si="9"/>
        <v>44</v>
      </c>
      <c r="AM77" s="175" t="str">
        <f t="shared" si="10"/>
        <v/>
      </c>
      <c r="AN77" s="372"/>
      <c r="AO77" s="176" t="s">
        <v>3989</v>
      </c>
      <c r="AP77" s="176">
        <v>9.8249999999999993</v>
      </c>
      <c r="AQ77" s="173">
        <v>9.8350000000000009</v>
      </c>
      <c r="AR77" s="142">
        <v>9.86</v>
      </c>
      <c r="AS77" s="142">
        <v>9.8650000000000002</v>
      </c>
      <c r="AT77" s="142" t="str">
        <f t="shared" si="11"/>
        <v/>
      </c>
      <c r="AU77" s="142">
        <v>462</v>
      </c>
      <c r="AW77" s="142" t="s">
        <v>123</v>
      </c>
    </row>
    <row r="78" spans="2:49" s="142" customFormat="1" ht="21.75" customHeight="1" x14ac:dyDescent="0.25">
      <c r="B78" s="510" t="s">
        <v>6913</v>
      </c>
      <c r="C78" s="511"/>
      <c r="D78" s="201" t="s">
        <v>5294</v>
      </c>
      <c r="E78" s="173" t="s">
        <v>4432</v>
      </c>
      <c r="F78" s="173" t="s">
        <v>5020</v>
      </c>
      <c r="G78" s="201" t="s">
        <v>6992</v>
      </c>
      <c r="H78" s="173">
        <v>304</v>
      </c>
      <c r="I78" s="173" t="s">
        <v>114</v>
      </c>
      <c r="J78" s="174">
        <v>3.47</v>
      </c>
      <c r="K78" s="174">
        <v>1.2</v>
      </c>
      <c r="L78" s="174">
        <v>1.1599999999999999</v>
      </c>
      <c r="M78" s="173">
        <v>1.17</v>
      </c>
      <c r="N78" s="175">
        <v>767</v>
      </c>
      <c r="O78" s="512">
        <v>0.125</v>
      </c>
      <c r="P78" s="173"/>
      <c r="Q78" s="179" t="s">
        <v>1555</v>
      </c>
      <c r="R78" s="491"/>
      <c r="S78" s="178"/>
      <c r="T78" s="177">
        <v>44923</v>
      </c>
      <c r="U78" s="177"/>
      <c r="V78" s="177">
        <v>44924</v>
      </c>
      <c r="W78" s="177"/>
      <c r="X78" s="177"/>
      <c r="Y78" s="177"/>
      <c r="Z78" s="177">
        <v>44948</v>
      </c>
      <c r="AA78" s="177"/>
      <c r="AB78" s="177"/>
      <c r="AC78" s="177"/>
      <c r="AD78" s="181" t="s">
        <v>2479</v>
      </c>
      <c r="AE78" s="181" t="s">
        <v>69</v>
      </c>
      <c r="AF78" s="181" t="s">
        <v>142</v>
      </c>
      <c r="AG78" s="181" t="s">
        <v>1584</v>
      </c>
      <c r="AH78" s="181"/>
      <c r="AI78" s="181">
        <v>44914</v>
      </c>
      <c r="AJ78" s="181"/>
      <c r="AK78" s="181">
        <f t="shared" ca="1" si="8"/>
        <v>44958</v>
      </c>
      <c r="AL78" s="175">
        <f t="shared" ca="1" si="9"/>
        <v>44</v>
      </c>
      <c r="AM78" s="175" t="str">
        <f t="shared" si="10"/>
        <v/>
      </c>
      <c r="AN78" s="372"/>
      <c r="AO78" s="176" t="s">
        <v>4050</v>
      </c>
      <c r="AP78" s="176">
        <v>7.5049999999999999</v>
      </c>
      <c r="AQ78" s="173">
        <v>7.5149999999999997</v>
      </c>
      <c r="AR78" s="142">
        <v>7.54</v>
      </c>
      <c r="AS78" s="142">
        <v>7.5449999999999999</v>
      </c>
      <c r="AT78" s="142" t="str">
        <f t="shared" si="11"/>
        <v/>
      </c>
      <c r="AU78" s="142">
        <v>462</v>
      </c>
      <c r="AW78" s="142" t="s">
        <v>123</v>
      </c>
    </row>
    <row r="79" spans="2:49" s="142" customFormat="1" ht="21.75" customHeight="1" x14ac:dyDescent="0.25">
      <c r="B79" s="510" t="s">
        <v>6913</v>
      </c>
      <c r="C79" s="511"/>
      <c r="D79" s="201" t="s">
        <v>5294</v>
      </c>
      <c r="E79" s="173" t="s">
        <v>4432</v>
      </c>
      <c r="F79" s="173" t="s">
        <v>5012</v>
      </c>
      <c r="G79" s="201" t="s">
        <v>6993</v>
      </c>
      <c r="H79" s="173" t="s">
        <v>182</v>
      </c>
      <c r="I79" s="173" t="s">
        <v>114</v>
      </c>
      <c r="J79" s="174">
        <v>3.49</v>
      </c>
      <c r="K79" s="174">
        <v>1.2</v>
      </c>
      <c r="L79" s="174"/>
      <c r="M79" s="173"/>
      <c r="N79" s="175">
        <v>770</v>
      </c>
      <c r="O79" s="512">
        <v>5.5E-2</v>
      </c>
      <c r="P79" s="173"/>
      <c r="Q79" s="179" t="s">
        <v>1555</v>
      </c>
      <c r="R79" s="491"/>
      <c r="S79" s="178"/>
      <c r="T79" s="177">
        <v>44922</v>
      </c>
      <c r="U79" s="177"/>
      <c r="V79" s="177">
        <v>44922</v>
      </c>
      <c r="W79" s="177"/>
      <c r="X79" s="177"/>
      <c r="Y79" s="177"/>
      <c r="Z79" s="177">
        <v>44947</v>
      </c>
      <c r="AA79" s="177"/>
      <c r="AB79" s="177"/>
      <c r="AC79" s="177"/>
      <c r="AD79" s="181" t="s">
        <v>2470</v>
      </c>
      <c r="AE79" s="181" t="s">
        <v>69</v>
      </c>
      <c r="AF79" s="181" t="s">
        <v>142</v>
      </c>
      <c r="AG79" s="181" t="s">
        <v>1584</v>
      </c>
      <c r="AH79" s="181"/>
      <c r="AI79" s="181">
        <v>44914</v>
      </c>
      <c r="AJ79" s="181"/>
      <c r="AK79" s="181">
        <f t="shared" ca="1" si="8"/>
        <v>44958</v>
      </c>
      <c r="AL79" s="175">
        <f t="shared" ca="1" si="9"/>
        <v>44</v>
      </c>
      <c r="AM79" s="175" t="str">
        <f t="shared" si="10"/>
        <v/>
      </c>
      <c r="AN79" s="372"/>
      <c r="AO79" s="176" t="s">
        <v>2577</v>
      </c>
      <c r="AP79" s="176">
        <v>10.52</v>
      </c>
      <c r="AQ79" s="173">
        <v>10.53</v>
      </c>
      <c r="AR79" s="142">
        <v>10.554999999999998</v>
      </c>
      <c r="AS79" s="142">
        <v>10.559999999999999</v>
      </c>
      <c r="AT79" s="142" t="str">
        <f t="shared" si="11"/>
        <v/>
      </c>
      <c r="AU79" s="142">
        <v>462</v>
      </c>
      <c r="AW79" s="142" t="s">
        <v>123</v>
      </c>
    </row>
    <row r="80" spans="2:49" s="142" customFormat="1" ht="21.75" customHeight="1" x14ac:dyDescent="0.25">
      <c r="B80" s="510" t="s">
        <v>6913</v>
      </c>
      <c r="C80" s="511"/>
      <c r="D80" s="201" t="s">
        <v>5050</v>
      </c>
      <c r="E80" s="173" t="s">
        <v>836</v>
      </c>
      <c r="F80" s="173" t="s">
        <v>5061</v>
      </c>
      <c r="G80" s="201" t="s">
        <v>6994</v>
      </c>
      <c r="H80" s="173" t="s">
        <v>34</v>
      </c>
      <c r="I80" s="173" t="s">
        <v>114</v>
      </c>
      <c r="J80" s="174">
        <v>2.4</v>
      </c>
      <c r="K80" s="174">
        <v>0.91</v>
      </c>
      <c r="L80" s="174">
        <v>0.89</v>
      </c>
      <c r="M80" s="173">
        <v>0.91</v>
      </c>
      <c r="N80" s="175">
        <v>620</v>
      </c>
      <c r="O80" s="512">
        <v>6.5000000000000002E-2</v>
      </c>
      <c r="P80" s="173"/>
      <c r="Q80" s="179" t="s">
        <v>1555</v>
      </c>
      <c r="R80" s="491"/>
      <c r="S80" s="178"/>
      <c r="T80" s="177">
        <v>44830</v>
      </c>
      <c r="U80" s="177"/>
      <c r="V80" s="177">
        <v>44830</v>
      </c>
      <c r="W80" s="177"/>
      <c r="X80" s="177"/>
      <c r="Y80" s="177"/>
      <c r="Z80" s="177">
        <v>44950</v>
      </c>
      <c r="AA80" s="177"/>
      <c r="AB80" s="177"/>
      <c r="AC80" s="177"/>
      <c r="AD80" s="181"/>
      <c r="AE80" s="181" t="s">
        <v>69</v>
      </c>
      <c r="AF80" s="181" t="s">
        <v>248</v>
      </c>
      <c r="AG80" s="181" t="s">
        <v>1145</v>
      </c>
      <c r="AH80" s="181">
        <v>44752</v>
      </c>
      <c r="AI80" s="181">
        <v>44778</v>
      </c>
      <c r="AJ80" s="181"/>
      <c r="AK80" s="181">
        <f t="shared" ca="1" si="8"/>
        <v>44958</v>
      </c>
      <c r="AL80" s="175">
        <f t="shared" ca="1" si="9"/>
        <v>180</v>
      </c>
      <c r="AM80" s="175" t="str">
        <f t="shared" si="10"/>
        <v/>
      </c>
      <c r="AN80" s="372"/>
      <c r="AO80" s="176" t="s">
        <v>1165</v>
      </c>
      <c r="AP80" s="176">
        <v>9.9489999999999998</v>
      </c>
      <c r="AQ80" s="173">
        <f>AP80+0.04</f>
        <v>9.988999999999999</v>
      </c>
      <c r="AR80" s="142">
        <v>10.013999999999998</v>
      </c>
      <c r="AS80" s="142">
        <v>10.018999999999998</v>
      </c>
      <c r="AT80" s="142" t="str">
        <f t="shared" si="11"/>
        <v/>
      </c>
      <c r="AU80" s="142">
        <v>445</v>
      </c>
      <c r="AW80" s="142" t="s">
        <v>123</v>
      </c>
    </row>
    <row r="81" spans="2:49" s="142" customFormat="1" ht="21.75" customHeight="1" x14ac:dyDescent="0.25">
      <c r="B81" s="510" t="s">
        <v>6913</v>
      </c>
      <c r="C81" s="511"/>
      <c r="D81" s="201" t="s">
        <v>5306</v>
      </c>
      <c r="E81" s="173" t="s">
        <v>4432</v>
      </c>
      <c r="F81" s="173" t="s">
        <v>5000</v>
      </c>
      <c r="G81" s="201" t="s">
        <v>6995</v>
      </c>
      <c r="H81" s="173" t="s">
        <v>34</v>
      </c>
      <c r="I81" s="173" t="s">
        <v>114</v>
      </c>
      <c r="J81" s="174">
        <v>2.2000000000000002</v>
      </c>
      <c r="K81" s="174">
        <v>0.73</v>
      </c>
      <c r="L81" s="174"/>
      <c r="M81" s="173"/>
      <c r="N81" s="175">
        <v>620</v>
      </c>
      <c r="O81" s="512">
        <v>4.4999999999999998E-2</v>
      </c>
      <c r="P81" s="173"/>
      <c r="Q81" s="179" t="s">
        <v>1555</v>
      </c>
      <c r="R81" s="491"/>
      <c r="S81" s="178"/>
      <c r="T81" s="177">
        <v>44783</v>
      </c>
      <c r="U81" s="177"/>
      <c r="V81" s="177">
        <v>44784</v>
      </c>
      <c r="W81" s="177"/>
      <c r="X81" s="177"/>
      <c r="Y81" s="177"/>
      <c r="Z81" s="177">
        <v>44946</v>
      </c>
      <c r="AA81" s="177"/>
      <c r="AB81" s="177"/>
      <c r="AC81" s="177"/>
      <c r="AD81" s="181"/>
      <c r="AE81" s="181" t="s">
        <v>69</v>
      </c>
      <c r="AF81" s="181" t="s">
        <v>119</v>
      </c>
      <c r="AG81" s="181" t="s">
        <v>994</v>
      </c>
      <c r="AH81" s="181">
        <v>44713</v>
      </c>
      <c r="AI81" s="181">
        <v>44747</v>
      </c>
      <c r="AJ81" s="181"/>
      <c r="AK81" s="181">
        <f t="shared" ca="1" si="8"/>
        <v>44958</v>
      </c>
      <c r="AL81" s="175">
        <f t="shared" ca="1" si="9"/>
        <v>211</v>
      </c>
      <c r="AM81" s="175" t="str">
        <f t="shared" si="10"/>
        <v/>
      </c>
      <c r="AN81" s="372" t="s">
        <v>4912</v>
      </c>
      <c r="AO81" s="176" t="s">
        <v>1044</v>
      </c>
      <c r="AP81" s="176">
        <v>9.9670000000000005</v>
      </c>
      <c r="AQ81" s="173">
        <v>9.9870000000000001</v>
      </c>
      <c r="AR81" s="142">
        <v>10.011999999999999</v>
      </c>
      <c r="AS81" s="142">
        <v>10.016999999999999</v>
      </c>
      <c r="AT81" s="142" t="str">
        <f t="shared" si="11"/>
        <v/>
      </c>
      <c r="AU81" s="142">
        <v>442</v>
      </c>
      <c r="AW81" s="142" t="s">
        <v>123</v>
      </c>
    </row>
    <row r="82" spans="2:49" s="142" customFormat="1" ht="21.75" customHeight="1" x14ac:dyDescent="0.25">
      <c r="B82" s="510" t="s">
        <v>6913</v>
      </c>
      <c r="C82" s="511"/>
      <c r="D82" s="201" t="s">
        <v>5306</v>
      </c>
      <c r="E82" s="173" t="s">
        <v>4432</v>
      </c>
      <c r="F82" s="173" t="s">
        <v>4064</v>
      </c>
      <c r="G82" s="201" t="s">
        <v>6996</v>
      </c>
      <c r="H82" s="173">
        <v>304</v>
      </c>
      <c r="I82" s="173" t="s">
        <v>114</v>
      </c>
      <c r="J82" s="174">
        <v>2.91</v>
      </c>
      <c r="K82" s="174">
        <v>1.2</v>
      </c>
      <c r="L82" s="174">
        <v>1.17</v>
      </c>
      <c r="M82" s="173">
        <v>1.18</v>
      </c>
      <c r="N82" s="175">
        <v>642</v>
      </c>
      <c r="O82" s="512">
        <v>0.155</v>
      </c>
      <c r="P82" s="173"/>
      <c r="Q82" s="179" t="s">
        <v>1555</v>
      </c>
      <c r="R82" s="491"/>
      <c r="S82" s="178"/>
      <c r="T82" s="177">
        <v>44938</v>
      </c>
      <c r="U82" s="177"/>
      <c r="V82" s="177"/>
      <c r="W82" s="177">
        <v>44939</v>
      </c>
      <c r="X82" s="177">
        <v>44949</v>
      </c>
      <c r="Y82" s="177"/>
      <c r="Z82" s="177"/>
      <c r="AA82" s="177"/>
      <c r="AB82" s="177"/>
      <c r="AC82" s="177"/>
      <c r="AD82" s="181" t="s">
        <v>2479</v>
      </c>
      <c r="AE82" s="181" t="s">
        <v>69</v>
      </c>
      <c r="AF82" s="181" t="s">
        <v>142</v>
      </c>
      <c r="AG82" s="181" t="s">
        <v>1657</v>
      </c>
      <c r="AH82" s="181"/>
      <c r="AI82" s="181">
        <v>44849</v>
      </c>
      <c r="AJ82" s="181"/>
      <c r="AK82" s="181">
        <f t="shared" ca="1" si="8"/>
        <v>44958</v>
      </c>
      <c r="AL82" s="175">
        <f t="shared" ca="1" si="9"/>
        <v>109</v>
      </c>
      <c r="AM82" s="175">
        <f t="shared" ca="1" si="10"/>
        <v>9</v>
      </c>
      <c r="AN82" s="372"/>
      <c r="AO82" s="176" t="s">
        <v>4066</v>
      </c>
      <c r="AP82" s="176">
        <v>8.5950000000000006</v>
      </c>
      <c r="AQ82" s="173">
        <v>8.6050000000000004</v>
      </c>
      <c r="AR82" s="142">
        <v>8.629999999999999</v>
      </c>
      <c r="AS82" s="142">
        <v>8.6349999999999998</v>
      </c>
      <c r="AT82" s="142" t="str">
        <f t="shared" si="11"/>
        <v/>
      </c>
      <c r="AU82" s="142">
        <v>456</v>
      </c>
      <c r="AW82" s="142" t="s">
        <v>123</v>
      </c>
    </row>
    <row r="83" spans="2:49" s="142" customFormat="1" ht="21.75" customHeight="1" x14ac:dyDescent="0.25">
      <c r="B83" s="510" t="s">
        <v>6913</v>
      </c>
      <c r="C83" s="511"/>
      <c r="D83" s="201" t="s">
        <v>5314</v>
      </c>
      <c r="E83" s="173" t="s">
        <v>4432</v>
      </c>
      <c r="F83" s="173" t="s">
        <v>3884</v>
      </c>
      <c r="G83" s="201" t="s">
        <v>6997</v>
      </c>
      <c r="H83" s="173">
        <v>304</v>
      </c>
      <c r="I83" s="173" t="s">
        <v>114</v>
      </c>
      <c r="J83" s="174">
        <v>3.18</v>
      </c>
      <c r="K83" s="174">
        <v>0.9</v>
      </c>
      <c r="L83" s="174">
        <v>0.88</v>
      </c>
      <c r="M83" s="173">
        <v>0.9</v>
      </c>
      <c r="N83" s="175">
        <v>777</v>
      </c>
      <c r="O83" s="512">
        <v>0.09</v>
      </c>
      <c r="P83" s="173"/>
      <c r="Q83" s="179" t="s">
        <v>1555</v>
      </c>
      <c r="R83" s="491"/>
      <c r="S83" s="178" t="s">
        <v>4867</v>
      </c>
      <c r="T83" s="177">
        <v>44930</v>
      </c>
      <c r="U83" s="177"/>
      <c r="V83" s="177">
        <v>44931</v>
      </c>
      <c r="W83" s="177"/>
      <c r="X83" s="177">
        <v>44948</v>
      </c>
      <c r="Y83" s="177"/>
      <c r="Z83" s="177"/>
      <c r="AA83" s="177"/>
      <c r="AB83" s="177"/>
      <c r="AC83" s="177">
        <v>44928</v>
      </c>
      <c r="AD83" s="181" t="s">
        <v>1345</v>
      </c>
      <c r="AE83" s="181" t="s">
        <v>69</v>
      </c>
      <c r="AF83" s="181" t="s">
        <v>142</v>
      </c>
      <c r="AG83" s="181" t="s">
        <v>1346</v>
      </c>
      <c r="AH83" s="181"/>
      <c r="AI83" s="181">
        <v>44813</v>
      </c>
      <c r="AJ83" s="181"/>
      <c r="AK83" s="181">
        <f t="shared" ca="1" si="8"/>
        <v>44958</v>
      </c>
      <c r="AL83" s="175">
        <f t="shared" ca="1" si="9"/>
        <v>145</v>
      </c>
      <c r="AM83" s="175">
        <f t="shared" ca="1" si="10"/>
        <v>10</v>
      </c>
      <c r="AN83" s="372"/>
      <c r="AO83" s="176" t="s">
        <v>3886</v>
      </c>
      <c r="AP83" s="176">
        <v>21.445</v>
      </c>
      <c r="AQ83" s="173">
        <v>21.504999999999999</v>
      </c>
      <c r="AR83" s="142">
        <v>21.53</v>
      </c>
      <c r="AS83" s="142">
        <v>21.535</v>
      </c>
      <c r="AT83" s="142" t="str">
        <f t="shared" si="11"/>
        <v/>
      </c>
      <c r="AU83" s="142">
        <v>451</v>
      </c>
      <c r="AW83" s="142" t="s">
        <v>123</v>
      </c>
    </row>
    <row r="84" spans="2:49" s="142" customFormat="1" ht="21.75" customHeight="1" x14ac:dyDescent="0.25">
      <c r="B84" s="510" t="s">
        <v>6913</v>
      </c>
      <c r="C84" s="511"/>
      <c r="D84" s="201" t="s">
        <v>5306</v>
      </c>
      <c r="E84" s="173" t="s">
        <v>4432</v>
      </c>
      <c r="F84" s="173" t="s">
        <v>4180</v>
      </c>
      <c r="G84" s="201" t="s">
        <v>6998</v>
      </c>
      <c r="H84" s="173" t="s">
        <v>182</v>
      </c>
      <c r="I84" s="173" t="s">
        <v>114</v>
      </c>
      <c r="J84" s="174">
        <v>2.82</v>
      </c>
      <c r="K84" s="174">
        <v>1</v>
      </c>
      <c r="L84" s="174">
        <v>0.99</v>
      </c>
      <c r="M84" s="173">
        <v>1</v>
      </c>
      <c r="N84" s="175">
        <v>779</v>
      </c>
      <c r="O84" s="512">
        <v>5.5E-2</v>
      </c>
      <c r="P84" s="173"/>
      <c r="Q84" s="179" t="s">
        <v>1555</v>
      </c>
      <c r="R84" s="491"/>
      <c r="S84" s="178"/>
      <c r="T84" s="177">
        <v>44946</v>
      </c>
      <c r="U84" s="177"/>
      <c r="V84" s="177">
        <v>44947</v>
      </c>
      <c r="W84" s="177"/>
      <c r="X84" s="177"/>
      <c r="Y84" s="177"/>
      <c r="Z84" s="177">
        <v>44949</v>
      </c>
      <c r="AA84" s="177"/>
      <c r="AB84" s="177"/>
      <c r="AC84" s="177">
        <v>44950</v>
      </c>
      <c r="AD84" s="181" t="s">
        <v>1605</v>
      </c>
      <c r="AE84" s="181" t="s">
        <v>69</v>
      </c>
      <c r="AF84" s="181" t="s">
        <v>142</v>
      </c>
      <c r="AG84" s="181" t="s">
        <v>1584</v>
      </c>
      <c r="AH84" s="181"/>
      <c r="AI84" s="181">
        <v>44914</v>
      </c>
      <c r="AJ84" s="181"/>
      <c r="AK84" s="181">
        <f t="shared" ca="1" si="8"/>
        <v>44958</v>
      </c>
      <c r="AL84" s="175">
        <f t="shared" ca="1" si="9"/>
        <v>44</v>
      </c>
      <c r="AM84" s="175" t="str">
        <f t="shared" si="10"/>
        <v/>
      </c>
      <c r="AN84" s="372"/>
      <c r="AO84" s="176" t="s">
        <v>4107</v>
      </c>
      <c r="AP84" s="176">
        <v>9</v>
      </c>
      <c r="AQ84" s="173">
        <v>9.01</v>
      </c>
      <c r="AR84" s="142">
        <v>9.0349999999999984</v>
      </c>
      <c r="AS84" s="142">
        <v>9.0399999999999991</v>
      </c>
      <c r="AT84" s="142" t="str">
        <f t="shared" si="11"/>
        <v/>
      </c>
      <c r="AU84" s="142">
        <v>462</v>
      </c>
      <c r="AW84" s="142" t="s">
        <v>123</v>
      </c>
    </row>
    <row r="85" spans="2:49" s="142" customFormat="1" ht="21.75" customHeight="1" x14ac:dyDescent="0.25">
      <c r="B85" s="510" t="s">
        <v>6913</v>
      </c>
      <c r="C85" s="511"/>
      <c r="D85" s="201" t="s">
        <v>5306</v>
      </c>
      <c r="E85" s="173" t="s">
        <v>4432</v>
      </c>
      <c r="F85" s="173" t="s">
        <v>1576</v>
      </c>
      <c r="G85" s="201" t="s">
        <v>6999</v>
      </c>
      <c r="H85" s="173" t="s">
        <v>182</v>
      </c>
      <c r="I85" s="173" t="s">
        <v>114</v>
      </c>
      <c r="J85" s="174">
        <v>3.79666666666667</v>
      </c>
      <c r="K85" s="174">
        <v>1.2</v>
      </c>
      <c r="L85" s="174">
        <v>1.21</v>
      </c>
      <c r="M85" s="173">
        <v>1.23</v>
      </c>
      <c r="N85" s="175">
        <v>765</v>
      </c>
      <c r="O85" s="512">
        <v>0.1</v>
      </c>
      <c r="P85" s="173"/>
      <c r="Q85" s="179" t="s">
        <v>1555</v>
      </c>
      <c r="R85" s="491"/>
      <c r="S85" s="178"/>
      <c r="T85" s="177">
        <v>44937</v>
      </c>
      <c r="U85" s="177"/>
      <c r="V85" s="177">
        <v>44937</v>
      </c>
      <c r="W85" s="177"/>
      <c r="X85" s="177">
        <v>44950</v>
      </c>
      <c r="Y85" s="177"/>
      <c r="Z85" s="177"/>
      <c r="AA85" s="177"/>
      <c r="AB85" s="177"/>
      <c r="AC85" s="177">
        <v>44935</v>
      </c>
      <c r="AD85" s="181" t="s">
        <v>1507</v>
      </c>
      <c r="AE85" s="181" t="s">
        <v>69</v>
      </c>
      <c r="AF85" s="181" t="s">
        <v>142</v>
      </c>
      <c r="AG85" s="181" t="s">
        <v>1508</v>
      </c>
      <c r="AH85" s="181"/>
      <c r="AI85" s="181">
        <v>44849</v>
      </c>
      <c r="AJ85" s="181"/>
      <c r="AK85" s="181">
        <f t="shared" ca="1" si="8"/>
        <v>44958</v>
      </c>
      <c r="AL85" s="175">
        <f t="shared" ca="1" si="9"/>
        <v>109</v>
      </c>
      <c r="AM85" s="175">
        <f t="shared" ca="1" si="10"/>
        <v>8</v>
      </c>
      <c r="AN85" s="372"/>
      <c r="AO85" s="176" t="s">
        <v>1578</v>
      </c>
      <c r="AP85" s="176">
        <v>20.625</v>
      </c>
      <c r="AQ85" s="173">
        <v>20.684999999999999</v>
      </c>
      <c r="AR85" s="142">
        <v>20.71</v>
      </c>
      <c r="AS85" s="142">
        <v>20.715</v>
      </c>
      <c r="AT85" s="142" t="str">
        <f t="shared" si="11"/>
        <v/>
      </c>
      <c r="AU85" s="142">
        <v>456</v>
      </c>
      <c r="AW85" s="142" t="s">
        <v>123</v>
      </c>
    </row>
    <row r="86" spans="2:49" s="142" customFormat="1" ht="21.75" customHeight="1" x14ac:dyDescent="0.25">
      <c r="B86" s="510" t="s">
        <v>6913</v>
      </c>
      <c r="C86" s="511"/>
      <c r="D86" s="201" t="s">
        <v>5306</v>
      </c>
      <c r="E86" s="173" t="s">
        <v>4432</v>
      </c>
      <c r="F86" s="173" t="s">
        <v>2531</v>
      </c>
      <c r="G86" s="201" t="s">
        <v>7000</v>
      </c>
      <c r="H86" s="173" t="s">
        <v>182</v>
      </c>
      <c r="I86" s="173" t="s">
        <v>114</v>
      </c>
      <c r="J86" s="174">
        <v>3.47</v>
      </c>
      <c r="K86" s="174">
        <v>1.1499999999999999</v>
      </c>
      <c r="L86" s="174"/>
      <c r="M86" s="173"/>
      <c r="N86" s="175">
        <v>772</v>
      </c>
      <c r="O86" s="512">
        <v>7.0000000000000007E-2</v>
      </c>
      <c r="P86" s="173"/>
      <c r="Q86" s="179" t="s">
        <v>1555</v>
      </c>
      <c r="R86" s="491"/>
      <c r="S86" s="178"/>
      <c r="T86" s="177">
        <v>44921</v>
      </c>
      <c r="U86" s="177"/>
      <c r="V86" s="177">
        <v>44921</v>
      </c>
      <c r="W86" s="177"/>
      <c r="X86" s="177"/>
      <c r="Y86" s="177"/>
      <c r="Z86" s="177">
        <v>44946</v>
      </c>
      <c r="AA86" s="177"/>
      <c r="AB86" s="177"/>
      <c r="AC86" s="177"/>
      <c r="AD86" s="181" t="s">
        <v>2479</v>
      </c>
      <c r="AE86" s="181" t="s">
        <v>69</v>
      </c>
      <c r="AF86" s="181" t="s">
        <v>142</v>
      </c>
      <c r="AG86" s="181" t="s">
        <v>1584</v>
      </c>
      <c r="AH86" s="181"/>
      <c r="AI86" s="181">
        <v>44914</v>
      </c>
      <c r="AJ86" s="181"/>
      <c r="AK86" s="181">
        <f t="shared" ca="1" si="8"/>
        <v>44958</v>
      </c>
      <c r="AL86" s="175">
        <f t="shared" ca="1" si="9"/>
        <v>44</v>
      </c>
      <c r="AM86" s="175" t="str">
        <f t="shared" si="10"/>
        <v/>
      </c>
      <c r="AN86" s="372"/>
      <c r="AO86" s="176" t="s">
        <v>2534</v>
      </c>
      <c r="AP86" s="176">
        <v>10.5</v>
      </c>
      <c r="AQ86" s="173">
        <v>10.51</v>
      </c>
      <c r="AR86" s="142">
        <v>10.534999999999998</v>
      </c>
      <c r="AS86" s="142">
        <v>10.54</v>
      </c>
      <c r="AT86" s="142" t="str">
        <f t="shared" si="11"/>
        <v/>
      </c>
      <c r="AU86" s="142">
        <v>462</v>
      </c>
      <c r="AW86" s="142" t="s">
        <v>123</v>
      </c>
    </row>
    <row r="87" spans="2:49" s="142" customFormat="1" ht="21.75" customHeight="1" x14ac:dyDescent="0.25">
      <c r="B87" s="510" t="s">
        <v>6913</v>
      </c>
      <c r="C87" s="511"/>
      <c r="D87" s="201" t="s">
        <v>5321</v>
      </c>
      <c r="E87" s="173" t="s">
        <v>4432</v>
      </c>
      <c r="F87" s="173" t="s">
        <v>5002</v>
      </c>
      <c r="G87" s="201" t="s">
        <v>7001</v>
      </c>
      <c r="H87" s="173" t="s">
        <v>182</v>
      </c>
      <c r="I87" s="173" t="s">
        <v>114</v>
      </c>
      <c r="J87" s="174">
        <v>3.48</v>
      </c>
      <c r="K87" s="174">
        <v>1.1499999999999999</v>
      </c>
      <c r="L87" s="174"/>
      <c r="M87" s="173"/>
      <c r="N87" s="175">
        <v>770</v>
      </c>
      <c r="O87" s="512">
        <v>0.08</v>
      </c>
      <c r="P87" s="173"/>
      <c r="Q87" s="179" t="s">
        <v>1555</v>
      </c>
      <c r="R87" s="491"/>
      <c r="S87" s="178"/>
      <c r="T87" s="177">
        <v>44921</v>
      </c>
      <c r="U87" s="177"/>
      <c r="V87" s="177">
        <v>44922</v>
      </c>
      <c r="W87" s="177"/>
      <c r="X87" s="177"/>
      <c r="Y87" s="177"/>
      <c r="Z87" s="177">
        <v>44946</v>
      </c>
      <c r="AA87" s="177"/>
      <c r="AB87" s="177"/>
      <c r="AC87" s="177"/>
      <c r="AD87" s="181" t="s">
        <v>2479</v>
      </c>
      <c r="AE87" s="181" t="s">
        <v>69</v>
      </c>
      <c r="AF87" s="181" t="s">
        <v>142</v>
      </c>
      <c r="AG87" s="181" t="s">
        <v>1584</v>
      </c>
      <c r="AH87" s="181"/>
      <c r="AI87" s="181">
        <v>44914</v>
      </c>
      <c r="AJ87" s="181"/>
      <c r="AK87" s="181">
        <f t="shared" ca="1" si="8"/>
        <v>44958</v>
      </c>
      <c r="AL87" s="175">
        <f t="shared" ca="1" si="9"/>
        <v>44</v>
      </c>
      <c r="AM87" s="175" t="str">
        <f t="shared" si="10"/>
        <v/>
      </c>
      <c r="AN87" s="372"/>
      <c r="AO87" s="176" t="s">
        <v>2534</v>
      </c>
      <c r="AP87" s="176">
        <v>10.475</v>
      </c>
      <c r="AQ87" s="173">
        <v>10.484999999999999</v>
      </c>
      <c r="AR87" s="142">
        <v>10.509999999999998</v>
      </c>
      <c r="AS87" s="142">
        <v>10.514999999999999</v>
      </c>
      <c r="AT87" s="142" t="str">
        <f t="shared" si="11"/>
        <v/>
      </c>
      <c r="AU87" s="142">
        <v>462</v>
      </c>
      <c r="AW87" s="142" t="s">
        <v>123</v>
      </c>
    </row>
    <row r="88" spans="2:49" s="142" customFormat="1" ht="21.75" customHeight="1" x14ac:dyDescent="0.25">
      <c r="B88" s="510" t="s">
        <v>6913</v>
      </c>
      <c r="C88" s="511"/>
      <c r="D88" s="201" t="s">
        <v>5321</v>
      </c>
      <c r="E88" s="173" t="s">
        <v>4432</v>
      </c>
      <c r="F88" s="173" t="s">
        <v>3911</v>
      </c>
      <c r="G88" s="201" t="s">
        <v>7002</v>
      </c>
      <c r="H88" s="173">
        <v>304</v>
      </c>
      <c r="I88" s="173" t="s">
        <v>114</v>
      </c>
      <c r="J88" s="174">
        <v>2.9</v>
      </c>
      <c r="K88" s="174">
        <v>1</v>
      </c>
      <c r="L88" s="174"/>
      <c r="M88" s="173"/>
      <c r="N88" s="175">
        <v>778</v>
      </c>
      <c r="O88" s="512">
        <v>0.105</v>
      </c>
      <c r="P88" s="173"/>
      <c r="Q88" s="179" t="s">
        <v>1555</v>
      </c>
      <c r="R88" s="491"/>
      <c r="S88" s="178"/>
      <c r="T88" s="177">
        <v>44931</v>
      </c>
      <c r="U88" s="177"/>
      <c r="V88" s="177">
        <v>44932</v>
      </c>
      <c r="W88" s="177"/>
      <c r="X88" s="177"/>
      <c r="Y88" s="177"/>
      <c r="Z88" s="177">
        <v>44947</v>
      </c>
      <c r="AA88" s="177"/>
      <c r="AB88" s="177"/>
      <c r="AC88" s="177">
        <v>44926</v>
      </c>
      <c r="AD88" s="181" t="s">
        <v>1345</v>
      </c>
      <c r="AE88" s="181" t="s">
        <v>69</v>
      </c>
      <c r="AF88" s="181" t="s">
        <v>142</v>
      </c>
      <c r="AG88" s="181" t="s">
        <v>1346</v>
      </c>
      <c r="AH88" s="181"/>
      <c r="AI88" s="181">
        <v>44813</v>
      </c>
      <c r="AJ88" s="181"/>
      <c r="AK88" s="181">
        <f t="shared" ca="1" si="8"/>
        <v>44958</v>
      </c>
      <c r="AL88" s="175">
        <f t="shared" ca="1" si="9"/>
        <v>145</v>
      </c>
      <c r="AM88" s="175" t="str">
        <f t="shared" si="10"/>
        <v/>
      </c>
      <c r="AN88" s="372"/>
      <c r="AO88" s="176" t="s">
        <v>3913</v>
      </c>
      <c r="AP88" s="176">
        <v>20.73</v>
      </c>
      <c r="AQ88" s="173">
        <v>20.79</v>
      </c>
      <c r="AR88" s="142">
        <v>20.815000000000001</v>
      </c>
      <c r="AS88" s="142">
        <v>20.82</v>
      </c>
      <c r="AT88" s="142" t="str">
        <f t="shared" si="11"/>
        <v/>
      </c>
      <c r="AU88" s="142">
        <v>451</v>
      </c>
      <c r="AW88" s="142" t="s">
        <v>123</v>
      </c>
    </row>
    <row r="89" spans="2:49" s="142" customFormat="1" ht="21.75" customHeight="1" x14ac:dyDescent="0.25">
      <c r="B89" s="510" t="s">
        <v>6913</v>
      </c>
      <c r="C89" s="511"/>
      <c r="D89" s="201" t="s">
        <v>5321</v>
      </c>
      <c r="E89" s="173" t="s">
        <v>4432</v>
      </c>
      <c r="F89" s="173" t="s">
        <v>3895</v>
      </c>
      <c r="G89" s="201" t="s">
        <v>7003</v>
      </c>
      <c r="H89" s="173">
        <v>304</v>
      </c>
      <c r="I89" s="173" t="s">
        <v>114</v>
      </c>
      <c r="J89" s="174">
        <v>2.89</v>
      </c>
      <c r="K89" s="174">
        <v>0.9</v>
      </c>
      <c r="L89" s="174"/>
      <c r="M89" s="173"/>
      <c r="N89" s="175">
        <v>765</v>
      </c>
      <c r="O89" s="512">
        <v>0.05</v>
      </c>
      <c r="P89" s="173"/>
      <c r="Q89" s="179" t="s">
        <v>1555</v>
      </c>
      <c r="R89" s="491"/>
      <c r="S89" s="178"/>
      <c r="T89" s="177">
        <v>44930</v>
      </c>
      <c r="U89" s="177"/>
      <c r="V89" s="177">
        <v>44930</v>
      </c>
      <c r="W89" s="177"/>
      <c r="X89" s="177">
        <v>44946</v>
      </c>
      <c r="Y89" s="177"/>
      <c r="Z89" s="177"/>
      <c r="AA89" s="177"/>
      <c r="AB89" s="177"/>
      <c r="AC89" s="177">
        <v>44926</v>
      </c>
      <c r="AD89" s="181" t="s">
        <v>1345</v>
      </c>
      <c r="AE89" s="181" t="s">
        <v>69</v>
      </c>
      <c r="AF89" s="181" t="s">
        <v>142</v>
      </c>
      <c r="AG89" s="181" t="s">
        <v>1508</v>
      </c>
      <c r="AH89" s="181"/>
      <c r="AI89" s="181">
        <v>44849</v>
      </c>
      <c r="AJ89" s="181"/>
      <c r="AK89" s="181">
        <f t="shared" ca="1" si="8"/>
        <v>44958</v>
      </c>
      <c r="AL89" s="175">
        <f t="shared" ca="1" si="9"/>
        <v>109</v>
      </c>
      <c r="AM89" s="175">
        <f t="shared" ca="1" si="10"/>
        <v>12</v>
      </c>
      <c r="AN89" s="372"/>
      <c r="AO89" s="176" t="s">
        <v>3897</v>
      </c>
      <c r="AP89" s="176">
        <v>20.984999999999999</v>
      </c>
      <c r="AQ89" s="173">
        <v>21.045000000000002</v>
      </c>
      <c r="AR89" s="142">
        <v>21.070000000000004</v>
      </c>
      <c r="AS89" s="142">
        <v>21.075000000000003</v>
      </c>
      <c r="AT89" s="142" t="str">
        <f t="shared" si="11"/>
        <v/>
      </c>
      <c r="AU89" s="142">
        <v>456</v>
      </c>
      <c r="AW89" s="142" t="s">
        <v>123</v>
      </c>
    </row>
    <row r="90" spans="2:49" s="142" customFormat="1" ht="21.75" customHeight="1" x14ac:dyDescent="0.25">
      <c r="B90" s="510" t="s">
        <v>6913</v>
      </c>
      <c r="C90" s="511"/>
      <c r="D90" s="201" t="s">
        <v>5327</v>
      </c>
      <c r="E90" s="173" t="s">
        <v>4432</v>
      </c>
      <c r="F90" s="173" t="s">
        <v>3895</v>
      </c>
      <c r="G90" s="201" t="s">
        <v>7004</v>
      </c>
      <c r="H90" s="173">
        <v>304</v>
      </c>
      <c r="I90" s="173" t="s">
        <v>114</v>
      </c>
      <c r="J90" s="174">
        <v>2.89</v>
      </c>
      <c r="K90" s="174">
        <v>0.9</v>
      </c>
      <c r="L90" s="174"/>
      <c r="M90" s="173"/>
      <c r="N90" s="175">
        <v>769</v>
      </c>
      <c r="O90" s="512">
        <v>0.155</v>
      </c>
      <c r="P90" s="173"/>
      <c r="Q90" s="179" t="s">
        <v>1555</v>
      </c>
      <c r="R90" s="491"/>
      <c r="S90" s="178"/>
      <c r="T90" s="177">
        <v>44930</v>
      </c>
      <c r="U90" s="177"/>
      <c r="V90" s="177">
        <v>44931</v>
      </c>
      <c r="W90" s="177"/>
      <c r="X90" s="177"/>
      <c r="Y90" s="177"/>
      <c r="Z90" s="177">
        <v>44947</v>
      </c>
      <c r="AA90" s="177"/>
      <c r="AB90" s="177"/>
      <c r="AC90" s="177" t="s">
        <v>5329</v>
      </c>
      <c r="AD90" s="181" t="s">
        <v>1345</v>
      </c>
      <c r="AE90" s="181" t="s">
        <v>69</v>
      </c>
      <c r="AF90" s="181" t="s">
        <v>142</v>
      </c>
      <c r="AG90" s="181" t="s">
        <v>1508</v>
      </c>
      <c r="AH90" s="181"/>
      <c r="AI90" s="181">
        <v>44849</v>
      </c>
      <c r="AJ90" s="181"/>
      <c r="AK90" s="181">
        <f t="shared" ca="1" si="8"/>
        <v>44958</v>
      </c>
      <c r="AL90" s="175">
        <f t="shared" ca="1" si="9"/>
        <v>109</v>
      </c>
      <c r="AM90" s="175" t="str">
        <f t="shared" si="10"/>
        <v/>
      </c>
      <c r="AN90" s="372"/>
      <c r="AO90" s="176" t="s">
        <v>3897</v>
      </c>
      <c r="AP90" s="176">
        <v>20.984999999999999</v>
      </c>
      <c r="AQ90" s="173">
        <v>21.045000000000002</v>
      </c>
      <c r="AR90" s="142">
        <v>21.070000000000004</v>
      </c>
      <c r="AS90" s="142">
        <v>21.075000000000003</v>
      </c>
      <c r="AT90" s="142" t="str">
        <f t="shared" si="11"/>
        <v/>
      </c>
      <c r="AU90" s="142">
        <v>456</v>
      </c>
      <c r="AW90" s="142" t="s">
        <v>123</v>
      </c>
    </row>
    <row r="91" spans="2:49" s="142" customFormat="1" ht="21.75" customHeight="1" x14ac:dyDescent="0.25">
      <c r="B91" s="510" t="s">
        <v>6913</v>
      </c>
      <c r="C91" s="511"/>
      <c r="D91" s="201" t="s">
        <v>5332</v>
      </c>
      <c r="E91" s="173" t="s">
        <v>836</v>
      </c>
      <c r="F91" s="173" t="s">
        <v>3902</v>
      </c>
      <c r="G91" s="201" t="s">
        <v>7005</v>
      </c>
      <c r="H91" s="173">
        <v>304</v>
      </c>
      <c r="I91" s="173" t="s">
        <v>114</v>
      </c>
      <c r="J91" s="174">
        <v>2.92</v>
      </c>
      <c r="K91" s="174">
        <v>0.9</v>
      </c>
      <c r="L91" s="174">
        <v>0.9</v>
      </c>
      <c r="M91" s="173">
        <v>0.92</v>
      </c>
      <c r="N91" s="175">
        <v>780</v>
      </c>
      <c r="O91" s="512">
        <v>0.08</v>
      </c>
      <c r="P91" s="173"/>
      <c r="Q91" s="179" t="s">
        <v>1555</v>
      </c>
      <c r="R91" s="491"/>
      <c r="S91" s="178"/>
      <c r="T91" s="177">
        <v>44934</v>
      </c>
      <c r="U91" s="177"/>
      <c r="V91" s="177">
        <v>44935</v>
      </c>
      <c r="W91" s="177"/>
      <c r="X91" s="177"/>
      <c r="Y91" s="177"/>
      <c r="Z91" s="177">
        <v>44950</v>
      </c>
      <c r="AA91" s="177">
        <v>44952</v>
      </c>
      <c r="AB91" s="177"/>
      <c r="AC91" s="177">
        <v>44929</v>
      </c>
      <c r="AD91" s="181" t="s">
        <v>1345</v>
      </c>
      <c r="AE91" s="181" t="s">
        <v>69</v>
      </c>
      <c r="AF91" s="181" t="s">
        <v>142</v>
      </c>
      <c r="AG91" s="181" t="s">
        <v>1346</v>
      </c>
      <c r="AH91" s="181"/>
      <c r="AI91" s="181">
        <v>44813</v>
      </c>
      <c r="AJ91" s="181"/>
      <c r="AK91" s="181">
        <f t="shared" ca="1" si="8"/>
        <v>44958</v>
      </c>
      <c r="AL91" s="175">
        <f t="shared" ca="1" si="9"/>
        <v>145</v>
      </c>
      <c r="AM91" s="175" t="str">
        <f t="shared" si="10"/>
        <v/>
      </c>
      <c r="AN91" s="372"/>
      <c r="AO91" s="176" t="s">
        <v>3904</v>
      </c>
      <c r="AP91" s="176">
        <v>21.43</v>
      </c>
      <c r="AQ91" s="173">
        <v>21.49</v>
      </c>
      <c r="AR91" s="142">
        <v>21.515000000000001</v>
      </c>
      <c r="AS91" s="142">
        <v>21.52</v>
      </c>
      <c r="AT91" s="142" t="str">
        <f t="shared" si="11"/>
        <v/>
      </c>
      <c r="AU91" s="142">
        <v>451</v>
      </c>
      <c r="AW91" s="142" t="s">
        <v>123</v>
      </c>
    </row>
    <row r="92" spans="2:49" s="142" customFormat="1" ht="21.75" customHeight="1" x14ac:dyDescent="0.25">
      <c r="B92" s="510" t="s">
        <v>6913</v>
      </c>
      <c r="C92" s="511"/>
      <c r="D92" s="201" t="s">
        <v>5333</v>
      </c>
      <c r="E92" s="173" t="s">
        <v>4432</v>
      </c>
      <c r="F92" s="173" t="s">
        <v>3902</v>
      </c>
      <c r="G92" s="201" t="s">
        <v>7006</v>
      </c>
      <c r="H92" s="173">
        <v>304</v>
      </c>
      <c r="I92" s="173" t="s">
        <v>114</v>
      </c>
      <c r="J92" s="174">
        <v>2.92</v>
      </c>
      <c r="K92" s="174">
        <v>0.9</v>
      </c>
      <c r="L92" s="174">
        <v>0.9</v>
      </c>
      <c r="M92" s="173">
        <v>0.92</v>
      </c>
      <c r="N92" s="175">
        <v>780</v>
      </c>
      <c r="O92" s="512">
        <v>4.4999999999999998E-2</v>
      </c>
      <c r="P92" s="173"/>
      <c r="Q92" s="179" t="s">
        <v>1555</v>
      </c>
      <c r="R92" s="491"/>
      <c r="S92" s="178"/>
      <c r="T92" s="177">
        <v>44934</v>
      </c>
      <c r="U92" s="177"/>
      <c r="V92" s="177">
        <v>44935</v>
      </c>
      <c r="W92" s="177"/>
      <c r="X92" s="177"/>
      <c r="Y92" s="177"/>
      <c r="Z92" s="177">
        <v>44950</v>
      </c>
      <c r="AA92" s="177"/>
      <c r="AB92" s="177"/>
      <c r="AC92" s="177">
        <v>44929</v>
      </c>
      <c r="AD92" s="181" t="s">
        <v>1345</v>
      </c>
      <c r="AE92" s="181" t="s">
        <v>69</v>
      </c>
      <c r="AF92" s="181" t="s">
        <v>142</v>
      </c>
      <c r="AG92" s="181" t="s">
        <v>1346</v>
      </c>
      <c r="AH92" s="181"/>
      <c r="AI92" s="181">
        <v>44813</v>
      </c>
      <c r="AJ92" s="181"/>
      <c r="AK92" s="181">
        <f t="shared" ca="1" si="8"/>
        <v>44958</v>
      </c>
      <c r="AL92" s="175">
        <f t="shared" ca="1" si="9"/>
        <v>145</v>
      </c>
      <c r="AM92" s="175" t="str">
        <f t="shared" si="10"/>
        <v/>
      </c>
      <c r="AN92" s="372"/>
      <c r="AO92" s="176" t="s">
        <v>3904</v>
      </c>
      <c r="AP92" s="176">
        <v>21.43</v>
      </c>
      <c r="AQ92" s="173">
        <v>21.49</v>
      </c>
      <c r="AR92" s="142">
        <v>21.515000000000001</v>
      </c>
      <c r="AS92" s="142">
        <v>21.52</v>
      </c>
      <c r="AT92" s="142" t="str">
        <f t="shared" si="11"/>
        <v/>
      </c>
      <c r="AU92" s="142">
        <v>451</v>
      </c>
      <c r="AW92" s="142" t="s">
        <v>123</v>
      </c>
    </row>
    <row r="93" spans="2:49" s="142" customFormat="1" ht="21.75" customHeight="1" x14ac:dyDescent="0.25">
      <c r="B93" s="510" t="s">
        <v>6913</v>
      </c>
      <c r="C93" s="511"/>
      <c r="D93" s="201" t="s">
        <v>5333</v>
      </c>
      <c r="E93" s="173" t="s">
        <v>4432</v>
      </c>
      <c r="F93" s="173" t="s">
        <v>3914</v>
      </c>
      <c r="G93" s="201" t="s">
        <v>7007</v>
      </c>
      <c r="H93" s="173">
        <v>304</v>
      </c>
      <c r="I93" s="173" t="s">
        <v>114</v>
      </c>
      <c r="J93" s="174">
        <v>2.96</v>
      </c>
      <c r="K93" s="174">
        <v>1.1499999999999999</v>
      </c>
      <c r="L93" s="174">
        <v>1.1299999999999999</v>
      </c>
      <c r="M93" s="173">
        <v>1.1499999999999999</v>
      </c>
      <c r="N93" s="175">
        <v>777</v>
      </c>
      <c r="O93" s="512">
        <v>0.115</v>
      </c>
      <c r="P93" s="173"/>
      <c r="Q93" s="179" t="s">
        <v>1555</v>
      </c>
      <c r="R93" s="491"/>
      <c r="S93" s="178"/>
      <c r="T93" s="177">
        <v>44931</v>
      </c>
      <c r="U93" s="177"/>
      <c r="V93" s="177">
        <v>44932</v>
      </c>
      <c r="W93" s="177"/>
      <c r="X93" s="177"/>
      <c r="Y93" s="177"/>
      <c r="Z93" s="177">
        <v>44948</v>
      </c>
      <c r="AA93" s="177"/>
      <c r="AB93" s="177"/>
      <c r="AC93" s="177">
        <v>44928</v>
      </c>
      <c r="AD93" s="181" t="s">
        <v>1345</v>
      </c>
      <c r="AE93" s="181" t="s">
        <v>69</v>
      </c>
      <c r="AF93" s="181" t="s">
        <v>142</v>
      </c>
      <c r="AG93" s="181" t="s">
        <v>1346</v>
      </c>
      <c r="AH93" s="181"/>
      <c r="AI93" s="181">
        <v>44813</v>
      </c>
      <c r="AJ93" s="181"/>
      <c r="AK93" s="181">
        <f t="shared" ca="1" si="8"/>
        <v>44958</v>
      </c>
      <c r="AL93" s="175">
        <f t="shared" ca="1" si="9"/>
        <v>145</v>
      </c>
      <c r="AM93" s="175" t="str">
        <f t="shared" si="10"/>
        <v/>
      </c>
      <c r="AN93" s="372"/>
      <c r="AO93" s="176" t="s">
        <v>3916</v>
      </c>
      <c r="AP93" s="176">
        <v>21.39</v>
      </c>
      <c r="AQ93" s="173">
        <v>21.45</v>
      </c>
      <c r="AR93" s="142">
        <v>21.475000000000001</v>
      </c>
      <c r="AS93" s="142">
        <v>21.48</v>
      </c>
      <c r="AT93" s="142" t="str">
        <f t="shared" si="11"/>
        <v/>
      </c>
      <c r="AU93" s="142">
        <v>451</v>
      </c>
      <c r="AW93" s="142" t="s">
        <v>123</v>
      </c>
    </row>
    <row r="94" spans="2:49" s="142" customFormat="1" ht="21.75" customHeight="1" x14ac:dyDescent="0.25">
      <c r="B94" s="510" t="s">
        <v>6913</v>
      </c>
      <c r="C94" s="511"/>
      <c r="D94" s="201" t="s">
        <v>5333</v>
      </c>
      <c r="E94" s="173" t="s">
        <v>4432</v>
      </c>
      <c r="F94" s="173" t="s">
        <v>4910</v>
      </c>
      <c r="G94" s="201" t="s">
        <v>7008</v>
      </c>
      <c r="H94" s="173" t="s">
        <v>34</v>
      </c>
      <c r="I94" s="173" t="s">
        <v>114</v>
      </c>
      <c r="J94" s="174">
        <v>2.2000000000000002</v>
      </c>
      <c r="K94" s="174">
        <v>0.73</v>
      </c>
      <c r="L94" s="174">
        <v>0.68</v>
      </c>
      <c r="M94" s="173">
        <v>0.71</v>
      </c>
      <c r="N94" s="175">
        <v>620</v>
      </c>
      <c r="O94" s="512">
        <v>2.5000000000000001E-2</v>
      </c>
      <c r="P94" s="173"/>
      <c r="Q94" s="179" t="s">
        <v>1555</v>
      </c>
      <c r="R94" s="491"/>
      <c r="S94" s="178"/>
      <c r="T94" s="177">
        <v>44785</v>
      </c>
      <c r="U94" s="177"/>
      <c r="V94" s="177">
        <v>44830</v>
      </c>
      <c r="W94" s="177"/>
      <c r="X94" s="177">
        <v>44951</v>
      </c>
      <c r="Y94" s="177"/>
      <c r="Z94" s="177"/>
      <c r="AA94" s="177"/>
      <c r="AB94" s="177"/>
      <c r="AC94" s="177"/>
      <c r="AD94" s="181"/>
      <c r="AE94" s="181" t="s">
        <v>69</v>
      </c>
      <c r="AF94" s="181" t="s">
        <v>119</v>
      </c>
      <c r="AG94" s="181" t="s">
        <v>994</v>
      </c>
      <c r="AH94" s="181">
        <v>44713</v>
      </c>
      <c r="AI94" s="181">
        <v>44747</v>
      </c>
      <c r="AJ94" s="181"/>
      <c r="AK94" s="181">
        <f t="shared" ca="1" si="8"/>
        <v>44958</v>
      </c>
      <c r="AL94" s="175">
        <f t="shared" ca="1" si="9"/>
        <v>211</v>
      </c>
      <c r="AM94" s="175">
        <f t="shared" ca="1" si="10"/>
        <v>7</v>
      </c>
      <c r="AN94" s="372" t="s">
        <v>4912</v>
      </c>
      <c r="AO94" s="176" t="s">
        <v>1044</v>
      </c>
      <c r="AP94" s="176">
        <v>9.9779999999999998</v>
      </c>
      <c r="AQ94" s="173">
        <v>9.9979999999999993</v>
      </c>
      <c r="AR94" s="142">
        <v>10.022999999999998</v>
      </c>
      <c r="AS94" s="142">
        <v>10.027999999999999</v>
      </c>
      <c r="AT94" s="142" t="str">
        <f t="shared" si="11"/>
        <v/>
      </c>
      <c r="AU94" s="142">
        <v>442</v>
      </c>
      <c r="AW94" s="142" t="s">
        <v>123</v>
      </c>
    </row>
    <row r="95" spans="2:49" s="142" customFormat="1" ht="21.75" customHeight="1" x14ac:dyDescent="0.25">
      <c r="B95" s="510" t="s">
        <v>6913</v>
      </c>
      <c r="C95" s="511"/>
      <c r="D95" s="201" t="s">
        <v>5333</v>
      </c>
      <c r="E95" s="173" t="s">
        <v>4432</v>
      </c>
      <c r="F95" s="173" t="s">
        <v>5061</v>
      </c>
      <c r="G95" s="201" t="s">
        <v>7009</v>
      </c>
      <c r="H95" s="173" t="s">
        <v>34</v>
      </c>
      <c r="I95" s="173" t="s">
        <v>114</v>
      </c>
      <c r="J95" s="174">
        <v>2.4</v>
      </c>
      <c r="K95" s="174">
        <v>0.91</v>
      </c>
      <c r="L95" s="174">
        <v>0.89</v>
      </c>
      <c r="M95" s="173">
        <v>0.91</v>
      </c>
      <c r="N95" s="175">
        <v>620</v>
      </c>
      <c r="O95" s="512">
        <v>5.5E-2</v>
      </c>
      <c r="P95" s="173"/>
      <c r="Q95" s="179" t="s">
        <v>1555</v>
      </c>
      <c r="R95" s="491"/>
      <c r="S95" s="178"/>
      <c r="T95" s="177">
        <v>44830</v>
      </c>
      <c r="U95" s="177"/>
      <c r="V95" s="177">
        <v>44830</v>
      </c>
      <c r="W95" s="177"/>
      <c r="X95" s="177"/>
      <c r="Y95" s="177"/>
      <c r="Z95" s="177">
        <v>44950</v>
      </c>
      <c r="AA95" s="177"/>
      <c r="AB95" s="177"/>
      <c r="AC95" s="177"/>
      <c r="AD95" s="181"/>
      <c r="AE95" s="181" t="s">
        <v>69</v>
      </c>
      <c r="AF95" s="181" t="s">
        <v>248</v>
      </c>
      <c r="AG95" s="181" t="s">
        <v>1145</v>
      </c>
      <c r="AH95" s="181">
        <v>44752</v>
      </c>
      <c r="AI95" s="181">
        <v>44778</v>
      </c>
      <c r="AJ95" s="181"/>
      <c r="AK95" s="181">
        <f t="shared" ca="1" si="8"/>
        <v>44958</v>
      </c>
      <c r="AL95" s="175">
        <f t="shared" ca="1" si="9"/>
        <v>180</v>
      </c>
      <c r="AM95" s="175" t="str">
        <f t="shared" si="10"/>
        <v/>
      </c>
      <c r="AN95" s="372"/>
      <c r="AO95" s="176" t="s">
        <v>1165</v>
      </c>
      <c r="AP95" s="176">
        <v>9.9489999999999998</v>
      </c>
      <c r="AQ95" s="173">
        <f>AP95+0.04</f>
        <v>9.988999999999999</v>
      </c>
      <c r="AR95" s="142">
        <v>10.013999999999998</v>
      </c>
      <c r="AS95" s="142">
        <v>10.018999999999998</v>
      </c>
      <c r="AT95" s="142" t="str">
        <f t="shared" si="11"/>
        <v/>
      </c>
      <c r="AU95" s="142">
        <v>445</v>
      </c>
      <c r="AW95" s="142" t="s">
        <v>123</v>
      </c>
    </row>
    <row r="96" spans="2:49" s="142" customFormat="1" ht="21.75" customHeight="1" x14ac:dyDescent="0.25">
      <c r="B96" s="510" t="s">
        <v>6913</v>
      </c>
      <c r="C96" s="511" t="s">
        <v>7010</v>
      </c>
      <c r="D96" s="201" t="s">
        <v>5335</v>
      </c>
      <c r="E96" s="173" t="s">
        <v>4432</v>
      </c>
      <c r="F96" s="173" t="s">
        <v>1174</v>
      </c>
      <c r="G96" s="201" t="s">
        <v>7011</v>
      </c>
      <c r="H96" s="173" t="s">
        <v>34</v>
      </c>
      <c r="I96" s="173" t="s">
        <v>114</v>
      </c>
      <c r="J96" s="174">
        <v>2.2000000000000002</v>
      </c>
      <c r="K96" s="174">
        <v>0.89</v>
      </c>
      <c r="L96" s="174">
        <v>0.88</v>
      </c>
      <c r="M96" s="173">
        <v>0.9</v>
      </c>
      <c r="N96" s="175">
        <v>620</v>
      </c>
      <c r="O96" s="512">
        <v>5.5E-2</v>
      </c>
      <c r="P96" s="173"/>
      <c r="Q96" s="179" t="s">
        <v>1555</v>
      </c>
      <c r="R96" s="491"/>
      <c r="S96" s="178" t="s">
        <v>1176</v>
      </c>
      <c r="T96" s="177">
        <v>44893</v>
      </c>
      <c r="U96" s="177"/>
      <c r="V96" s="177"/>
      <c r="W96" s="177">
        <v>44902</v>
      </c>
      <c r="X96" s="177">
        <v>44905</v>
      </c>
      <c r="Y96" s="177"/>
      <c r="Z96" s="177"/>
      <c r="AA96" s="177">
        <v>44943</v>
      </c>
      <c r="AB96" s="177"/>
      <c r="AC96" s="177"/>
      <c r="AD96" s="181"/>
      <c r="AE96" s="181" t="s">
        <v>69</v>
      </c>
      <c r="AF96" s="181" t="s">
        <v>248</v>
      </c>
      <c r="AG96" s="181" t="s">
        <v>1145</v>
      </c>
      <c r="AH96" s="181">
        <v>44752</v>
      </c>
      <c r="AI96" s="181">
        <v>44778</v>
      </c>
      <c r="AJ96" s="181"/>
      <c r="AK96" s="181">
        <f t="shared" ca="1" si="8"/>
        <v>44958</v>
      </c>
      <c r="AL96" s="175">
        <f t="shared" ca="1" si="9"/>
        <v>180</v>
      </c>
      <c r="AM96" s="175">
        <f t="shared" ca="1" si="10"/>
        <v>53</v>
      </c>
      <c r="AN96" s="372"/>
      <c r="AO96" s="176" t="s">
        <v>1173</v>
      </c>
      <c r="AP96" s="176">
        <v>9.56</v>
      </c>
      <c r="AQ96" s="173">
        <f>AP96+0.04</f>
        <v>9.6</v>
      </c>
      <c r="AR96" s="142">
        <v>9.6249999999999982</v>
      </c>
      <c r="AS96" s="142">
        <v>9.629999999999999</v>
      </c>
      <c r="AT96" s="142" t="str">
        <f t="shared" si="11"/>
        <v/>
      </c>
      <c r="AU96" s="142">
        <v>445</v>
      </c>
      <c r="AW96" s="142" t="s">
        <v>123</v>
      </c>
    </row>
    <row r="97" spans="2:49" s="142" customFormat="1" ht="21.75" customHeight="1" x14ac:dyDescent="0.25">
      <c r="B97" s="510" t="s">
        <v>6913</v>
      </c>
      <c r="C97" s="511"/>
      <c r="D97" s="201" t="s">
        <v>5333</v>
      </c>
      <c r="E97" s="173" t="s">
        <v>4432</v>
      </c>
      <c r="F97" s="173" t="s">
        <v>3975</v>
      </c>
      <c r="G97" s="201" t="s">
        <v>5351</v>
      </c>
      <c r="H97" s="173" t="s">
        <v>182</v>
      </c>
      <c r="I97" s="173" t="s">
        <v>114</v>
      </c>
      <c r="J97" s="174">
        <v>3.8</v>
      </c>
      <c r="K97" s="174">
        <v>1.45</v>
      </c>
      <c r="L97" s="174">
        <v>1.4</v>
      </c>
      <c r="M97" s="173">
        <v>1.45</v>
      </c>
      <c r="N97" s="175">
        <v>770</v>
      </c>
      <c r="O97" s="512">
        <v>7.4999999999999997E-2</v>
      </c>
      <c r="P97" s="173"/>
      <c r="Q97" s="179" t="s">
        <v>1555</v>
      </c>
      <c r="R97" s="491"/>
      <c r="S97" s="178"/>
      <c r="T97" s="177">
        <v>44936</v>
      </c>
      <c r="U97" s="177"/>
      <c r="V97" s="177">
        <v>44936</v>
      </c>
      <c r="W97" s="177"/>
      <c r="X97" s="177"/>
      <c r="Y97" s="177"/>
      <c r="Z97" s="177">
        <v>44952</v>
      </c>
      <c r="AA97" s="177"/>
      <c r="AB97" s="177"/>
      <c r="AC97" s="177">
        <v>44933</v>
      </c>
      <c r="AD97" s="181" t="s">
        <v>1507</v>
      </c>
      <c r="AE97" s="181" t="s">
        <v>69</v>
      </c>
      <c r="AF97" s="181" t="s">
        <v>142</v>
      </c>
      <c r="AG97" s="181" t="s">
        <v>1508</v>
      </c>
      <c r="AH97" s="181"/>
      <c r="AI97" s="181">
        <v>44849</v>
      </c>
      <c r="AJ97" s="181"/>
      <c r="AK97" s="181">
        <f t="shared" ca="1" si="8"/>
        <v>44958</v>
      </c>
      <c r="AL97" s="175">
        <f t="shared" ca="1" si="9"/>
        <v>109</v>
      </c>
      <c r="AM97" s="175" t="str">
        <f t="shared" si="10"/>
        <v/>
      </c>
      <c r="AN97" s="372"/>
      <c r="AO97" s="176" t="s">
        <v>3977</v>
      </c>
      <c r="AP97" s="176">
        <v>24.56</v>
      </c>
      <c r="AQ97" s="173">
        <v>24.62</v>
      </c>
      <c r="AR97" s="142">
        <v>24.645000000000003</v>
      </c>
      <c r="AS97" s="142">
        <v>24.650000000000002</v>
      </c>
      <c r="AT97" s="142" t="str">
        <f t="shared" si="11"/>
        <v/>
      </c>
      <c r="AU97" s="142">
        <v>456</v>
      </c>
      <c r="AW97" s="142" t="s">
        <v>123</v>
      </c>
    </row>
    <row r="98" spans="2:49" s="142" customFormat="1" ht="21.75" customHeight="1" x14ac:dyDescent="0.25">
      <c r="B98" s="510" t="s">
        <v>6913</v>
      </c>
      <c r="C98" s="511" t="s">
        <v>7012</v>
      </c>
      <c r="D98" s="201" t="s">
        <v>5333</v>
      </c>
      <c r="E98" s="173" t="s">
        <v>4432</v>
      </c>
      <c r="F98" s="173" t="s">
        <v>4904</v>
      </c>
      <c r="G98" s="201" t="s">
        <v>7013</v>
      </c>
      <c r="H98" s="173" t="s">
        <v>34</v>
      </c>
      <c r="I98" s="173" t="s">
        <v>114</v>
      </c>
      <c r="J98" s="174">
        <v>2.4</v>
      </c>
      <c r="K98" s="174">
        <v>0.91</v>
      </c>
      <c r="L98" s="174">
        <v>0.89</v>
      </c>
      <c r="M98" s="173">
        <v>0.91</v>
      </c>
      <c r="N98" s="175">
        <v>620</v>
      </c>
      <c r="O98" s="512">
        <v>7.0000000000000007E-2</v>
      </c>
      <c r="P98" s="173"/>
      <c r="Q98" s="179" t="s">
        <v>1555</v>
      </c>
      <c r="R98" s="491"/>
      <c r="S98" s="178"/>
      <c r="T98" s="177">
        <v>44888</v>
      </c>
      <c r="U98" s="177"/>
      <c r="V98" s="177"/>
      <c r="W98" s="177">
        <v>44888</v>
      </c>
      <c r="X98" s="177">
        <v>44951</v>
      </c>
      <c r="Y98" s="177"/>
      <c r="Z98" s="177"/>
      <c r="AA98" s="177"/>
      <c r="AB98" s="177"/>
      <c r="AC98" s="177"/>
      <c r="AD98" s="181"/>
      <c r="AE98" s="181" t="s">
        <v>69</v>
      </c>
      <c r="AF98" s="181" t="s">
        <v>119</v>
      </c>
      <c r="AG98" s="181" t="s">
        <v>891</v>
      </c>
      <c r="AH98" s="181">
        <v>44667</v>
      </c>
      <c r="AI98" s="181">
        <v>44706</v>
      </c>
      <c r="AJ98" s="181"/>
      <c r="AK98" s="181">
        <f t="shared" ca="1" si="8"/>
        <v>44958</v>
      </c>
      <c r="AL98" s="175">
        <f t="shared" ca="1" si="9"/>
        <v>252</v>
      </c>
      <c r="AM98" s="175">
        <f t="shared" ca="1" si="10"/>
        <v>7</v>
      </c>
      <c r="AN98" s="372" t="s">
        <v>898</v>
      </c>
      <c r="AO98" s="176" t="s">
        <v>916</v>
      </c>
      <c r="AP98" s="176">
        <v>10.018000000000001</v>
      </c>
      <c r="AQ98" s="173">
        <v>10.038</v>
      </c>
      <c r="AR98" s="142">
        <v>10.062999999999999</v>
      </c>
      <c r="AS98" s="142">
        <v>10.068</v>
      </c>
      <c r="AT98" s="142" t="str">
        <f t="shared" si="11"/>
        <v/>
      </c>
      <c r="AU98" s="142">
        <v>437</v>
      </c>
      <c r="AW98" s="142" t="s">
        <v>123</v>
      </c>
    </row>
    <row r="99" spans="2:49" s="142" customFormat="1" ht="21.75" customHeight="1" x14ac:dyDescent="0.25">
      <c r="B99" s="510" t="s">
        <v>6913</v>
      </c>
      <c r="C99" s="511" t="s">
        <v>7014</v>
      </c>
      <c r="D99" s="201" t="s">
        <v>5441</v>
      </c>
      <c r="E99" s="173" t="s">
        <v>4432</v>
      </c>
      <c r="F99" s="173" t="s">
        <v>4138</v>
      </c>
      <c r="G99" s="201" t="s">
        <v>7015</v>
      </c>
      <c r="H99" s="173">
        <v>304</v>
      </c>
      <c r="I99" s="173" t="s">
        <v>114</v>
      </c>
      <c r="J99" s="174">
        <v>2.9</v>
      </c>
      <c r="K99" s="174">
        <v>1</v>
      </c>
      <c r="L99" s="174">
        <v>0.97</v>
      </c>
      <c r="M99" s="173">
        <v>0.98</v>
      </c>
      <c r="N99" s="175">
        <v>769</v>
      </c>
      <c r="O99" s="512">
        <v>7.0000000000000007E-2</v>
      </c>
      <c r="P99" s="173"/>
      <c r="Q99" s="179" t="s">
        <v>1555</v>
      </c>
      <c r="R99" s="491"/>
      <c r="S99" s="178"/>
      <c r="T99" s="177">
        <v>44944</v>
      </c>
      <c r="U99" s="177"/>
      <c r="V99" s="177">
        <v>44944</v>
      </c>
      <c r="W99" s="177"/>
      <c r="X99" s="177"/>
      <c r="Y99" s="177"/>
      <c r="Z99" s="177">
        <v>44949</v>
      </c>
      <c r="AA99" s="177"/>
      <c r="AB99" s="177"/>
      <c r="AC99" s="177"/>
      <c r="AD99" s="181" t="s">
        <v>2448</v>
      </c>
      <c r="AE99" s="181" t="s">
        <v>69</v>
      </c>
      <c r="AF99" s="181" t="s">
        <v>142</v>
      </c>
      <c r="AG99" s="181" t="s">
        <v>1584</v>
      </c>
      <c r="AH99" s="181"/>
      <c r="AI99" s="181">
        <v>44914</v>
      </c>
      <c r="AJ99" s="181"/>
      <c r="AK99" s="181">
        <f t="shared" ca="1" si="8"/>
        <v>44958</v>
      </c>
      <c r="AL99" s="175">
        <f t="shared" ca="1" si="9"/>
        <v>44</v>
      </c>
      <c r="AM99" s="175" t="str">
        <f t="shared" si="10"/>
        <v/>
      </c>
      <c r="AN99" s="372"/>
      <c r="AO99" s="176" t="s">
        <v>4140</v>
      </c>
      <c r="AP99" s="176">
        <v>10.545</v>
      </c>
      <c r="AQ99" s="173">
        <v>10.555</v>
      </c>
      <c r="AR99" s="142">
        <v>10.579999999999998</v>
      </c>
      <c r="AS99" s="142">
        <v>10.584999999999999</v>
      </c>
      <c r="AT99" s="142" t="str">
        <f t="shared" si="11"/>
        <v/>
      </c>
      <c r="AU99" s="142">
        <v>462</v>
      </c>
      <c r="AW99" s="142" t="s">
        <v>123</v>
      </c>
    </row>
    <row r="100" spans="2:49" s="142" customFormat="1" ht="21.75" customHeight="1" x14ac:dyDescent="0.25">
      <c r="B100" s="510" t="s">
        <v>6913</v>
      </c>
      <c r="C100" s="511"/>
      <c r="D100" s="201" t="s">
        <v>5446</v>
      </c>
      <c r="E100" s="173" t="s">
        <v>4432</v>
      </c>
      <c r="F100" s="173" t="s">
        <v>4168</v>
      </c>
      <c r="G100" s="201" t="s">
        <v>7016</v>
      </c>
      <c r="H100" s="173" t="s">
        <v>182</v>
      </c>
      <c r="I100" s="173" t="s">
        <v>114</v>
      </c>
      <c r="J100" s="174">
        <v>2.8</v>
      </c>
      <c r="K100" s="174">
        <v>0.8</v>
      </c>
      <c r="L100" s="174">
        <v>0.75</v>
      </c>
      <c r="M100" s="173">
        <v>0.78</v>
      </c>
      <c r="N100" s="175">
        <v>770</v>
      </c>
      <c r="O100" s="512">
        <v>0.04</v>
      </c>
      <c r="P100" s="173"/>
      <c r="Q100" s="179" t="s">
        <v>1555</v>
      </c>
      <c r="R100" s="491"/>
      <c r="S100" s="178"/>
      <c r="T100" s="177">
        <v>44945</v>
      </c>
      <c r="U100" s="177"/>
      <c r="V100" s="177">
        <v>44946</v>
      </c>
      <c r="W100" s="177"/>
      <c r="X100" s="177"/>
      <c r="Y100" s="177"/>
      <c r="Z100" s="177">
        <v>44949</v>
      </c>
      <c r="AA100" s="177"/>
      <c r="AB100" s="177"/>
      <c r="AC100" s="177"/>
      <c r="AD100" s="181" t="s">
        <v>1507</v>
      </c>
      <c r="AE100" s="181" t="s">
        <v>69</v>
      </c>
      <c r="AF100" s="181" t="s">
        <v>142</v>
      </c>
      <c r="AG100" s="181" t="s">
        <v>1584</v>
      </c>
      <c r="AH100" s="181"/>
      <c r="AI100" s="181">
        <v>44914</v>
      </c>
      <c r="AJ100" s="181"/>
      <c r="AK100" s="181">
        <f t="shared" ca="1" si="8"/>
        <v>44958</v>
      </c>
      <c r="AL100" s="175">
        <f t="shared" ca="1" si="9"/>
        <v>44</v>
      </c>
      <c r="AM100" s="175" t="str">
        <f t="shared" si="10"/>
        <v/>
      </c>
      <c r="AN100" s="372"/>
      <c r="AO100" s="176" t="s">
        <v>4001</v>
      </c>
      <c r="AP100" s="176">
        <v>10.535</v>
      </c>
      <c r="AQ100" s="173">
        <v>10.545</v>
      </c>
      <c r="AR100" s="142">
        <v>10.569999999999999</v>
      </c>
      <c r="AS100" s="142">
        <v>10.574999999999999</v>
      </c>
      <c r="AT100" s="142" t="str">
        <f t="shared" si="11"/>
        <v/>
      </c>
      <c r="AU100" s="142">
        <v>462</v>
      </c>
      <c r="AW100" s="142" t="s">
        <v>123</v>
      </c>
    </row>
    <row r="101" spans="2:49" s="142" customFormat="1" ht="21.75" customHeight="1" x14ac:dyDescent="0.25">
      <c r="B101" s="510" t="s">
        <v>6913</v>
      </c>
      <c r="C101" s="511"/>
      <c r="D101" s="201" t="s">
        <v>5349</v>
      </c>
      <c r="E101" s="173" t="s">
        <v>4432</v>
      </c>
      <c r="F101" s="173" t="s">
        <v>5064</v>
      </c>
      <c r="G101" s="201" t="s">
        <v>7017</v>
      </c>
      <c r="H101" s="173" t="s">
        <v>34</v>
      </c>
      <c r="I101" s="173" t="s">
        <v>114</v>
      </c>
      <c r="J101" s="174">
        <v>2.4</v>
      </c>
      <c r="K101" s="174">
        <v>0.91</v>
      </c>
      <c r="L101" s="174">
        <v>0.89</v>
      </c>
      <c r="M101" s="173">
        <v>0.91</v>
      </c>
      <c r="N101" s="175">
        <v>620</v>
      </c>
      <c r="O101" s="512">
        <v>7.4999999999999997E-2</v>
      </c>
      <c r="P101" s="173"/>
      <c r="Q101" s="179" t="s">
        <v>1555</v>
      </c>
      <c r="R101" s="491"/>
      <c r="S101" s="178"/>
      <c r="T101" s="177">
        <v>44829</v>
      </c>
      <c r="U101" s="177"/>
      <c r="V101" s="177">
        <v>44829</v>
      </c>
      <c r="W101" s="177"/>
      <c r="X101" s="177"/>
      <c r="Y101" s="177"/>
      <c r="Z101" s="177">
        <v>44951</v>
      </c>
      <c r="AA101" s="177"/>
      <c r="AB101" s="177"/>
      <c r="AC101" s="177"/>
      <c r="AD101" s="181"/>
      <c r="AE101" s="181" t="s">
        <v>69</v>
      </c>
      <c r="AF101" s="181" t="s">
        <v>119</v>
      </c>
      <c r="AG101" s="181" t="s">
        <v>994</v>
      </c>
      <c r="AH101" s="181">
        <v>44713</v>
      </c>
      <c r="AI101" s="181">
        <v>44747</v>
      </c>
      <c r="AJ101" s="181"/>
      <c r="AK101" s="181">
        <f t="shared" ca="1" si="8"/>
        <v>44958</v>
      </c>
      <c r="AL101" s="175">
        <f t="shared" ca="1" si="9"/>
        <v>211</v>
      </c>
      <c r="AM101" s="175" t="str">
        <f t="shared" si="10"/>
        <v/>
      </c>
      <c r="AN101" s="372" t="s">
        <v>5066</v>
      </c>
      <c r="AO101" s="176" t="s">
        <v>974</v>
      </c>
      <c r="AP101" s="176">
        <v>9.9860000000000007</v>
      </c>
      <c r="AQ101" s="173">
        <v>10.006</v>
      </c>
      <c r="AR101" s="142">
        <v>10.030999999999999</v>
      </c>
      <c r="AS101" s="142">
        <v>10.036</v>
      </c>
      <c r="AT101" s="142" t="str">
        <f t="shared" si="11"/>
        <v/>
      </c>
      <c r="AU101" s="142">
        <v>442</v>
      </c>
      <c r="AW101" s="142" t="s">
        <v>123</v>
      </c>
    </row>
    <row r="102" spans="2:49" s="142" customFormat="1" ht="21.75" customHeight="1" x14ac:dyDescent="0.25">
      <c r="B102" s="510" t="s">
        <v>6913</v>
      </c>
      <c r="C102" s="511"/>
      <c r="D102" s="201" t="s">
        <v>5349</v>
      </c>
      <c r="E102" s="173" t="s">
        <v>4432</v>
      </c>
      <c r="F102" s="173" t="s">
        <v>3975</v>
      </c>
      <c r="G102" s="201" t="s">
        <v>7018</v>
      </c>
      <c r="H102" s="173" t="s">
        <v>182</v>
      </c>
      <c r="I102" s="173" t="s">
        <v>114</v>
      </c>
      <c r="J102" s="174">
        <v>3.8</v>
      </c>
      <c r="K102" s="174">
        <v>1.45</v>
      </c>
      <c r="L102" s="174"/>
      <c r="M102" s="173"/>
      <c r="N102" s="175">
        <v>767</v>
      </c>
      <c r="O102" s="512">
        <v>0.09</v>
      </c>
      <c r="P102" s="173"/>
      <c r="Q102" s="179" t="s">
        <v>1555</v>
      </c>
      <c r="R102" s="491"/>
      <c r="S102" s="178"/>
      <c r="T102" s="177">
        <v>44934</v>
      </c>
      <c r="U102" s="177"/>
      <c r="V102" s="177">
        <v>44935</v>
      </c>
      <c r="W102" s="177"/>
      <c r="X102" s="177"/>
      <c r="Y102" s="177"/>
      <c r="Z102" s="177">
        <v>44953</v>
      </c>
      <c r="AA102" s="177"/>
      <c r="AB102" s="177"/>
      <c r="AC102" s="177">
        <v>44933</v>
      </c>
      <c r="AD102" s="181" t="s">
        <v>1507</v>
      </c>
      <c r="AE102" s="181" t="s">
        <v>69</v>
      </c>
      <c r="AF102" s="181" t="s">
        <v>142</v>
      </c>
      <c r="AG102" s="181" t="s">
        <v>1508</v>
      </c>
      <c r="AH102" s="181"/>
      <c r="AI102" s="181">
        <v>44849</v>
      </c>
      <c r="AJ102" s="181"/>
      <c r="AK102" s="181">
        <f t="shared" ca="1" si="8"/>
        <v>44958</v>
      </c>
      <c r="AL102" s="175">
        <f t="shared" ca="1" si="9"/>
        <v>109</v>
      </c>
      <c r="AM102" s="175" t="str">
        <f t="shared" si="10"/>
        <v/>
      </c>
      <c r="AN102" s="372"/>
      <c r="AO102" s="176" t="s">
        <v>3977</v>
      </c>
      <c r="AP102" s="176">
        <v>24.56</v>
      </c>
      <c r="AQ102" s="173">
        <v>24.62</v>
      </c>
      <c r="AR102" s="142">
        <v>24.645000000000003</v>
      </c>
      <c r="AS102" s="142">
        <v>24.650000000000002</v>
      </c>
      <c r="AT102" s="142" t="str">
        <f t="shared" si="11"/>
        <v/>
      </c>
      <c r="AU102" s="142">
        <v>456</v>
      </c>
      <c r="AW102" s="142" t="s">
        <v>123</v>
      </c>
    </row>
    <row r="103" spans="2:49" s="142" customFormat="1" ht="21.75" customHeight="1" x14ac:dyDescent="0.25">
      <c r="B103" s="510" t="s">
        <v>6913</v>
      </c>
      <c r="C103" s="511" t="s">
        <v>7019</v>
      </c>
      <c r="D103" s="201" t="s">
        <v>5357</v>
      </c>
      <c r="E103" s="173" t="s">
        <v>4432</v>
      </c>
      <c r="F103" s="173" t="s">
        <v>4242</v>
      </c>
      <c r="G103" s="201" t="s">
        <v>7020</v>
      </c>
      <c r="H103" s="173">
        <v>304</v>
      </c>
      <c r="I103" s="173" t="s">
        <v>114</v>
      </c>
      <c r="J103" s="174">
        <v>3.01</v>
      </c>
      <c r="K103" s="174">
        <v>1.1499999999999999</v>
      </c>
      <c r="L103" s="174">
        <v>1.1599999999999999</v>
      </c>
      <c r="M103" s="173">
        <v>1.17</v>
      </c>
      <c r="N103" s="175">
        <v>642</v>
      </c>
      <c r="O103" s="512">
        <v>0.05</v>
      </c>
      <c r="P103" s="173"/>
      <c r="Q103" s="179" t="s">
        <v>1555</v>
      </c>
      <c r="R103" s="491"/>
      <c r="S103" s="178"/>
      <c r="T103" s="177">
        <v>44951</v>
      </c>
      <c r="U103" s="177"/>
      <c r="V103" s="177">
        <v>44952</v>
      </c>
      <c r="W103" s="177"/>
      <c r="X103" s="177">
        <v>44952</v>
      </c>
      <c r="Y103" s="177"/>
      <c r="Z103" s="177"/>
      <c r="AA103" s="177"/>
      <c r="AB103" s="177"/>
      <c r="AC103" s="177"/>
      <c r="AD103" s="181" t="s">
        <v>1643</v>
      </c>
      <c r="AE103" s="181" t="s">
        <v>69</v>
      </c>
      <c r="AF103" s="181" t="s">
        <v>142</v>
      </c>
      <c r="AG103" s="181" t="s">
        <v>1657</v>
      </c>
      <c r="AH103" s="181"/>
      <c r="AI103" s="181">
        <v>44849</v>
      </c>
      <c r="AJ103" s="181"/>
      <c r="AK103" s="181">
        <f t="shared" ca="1" si="8"/>
        <v>44958</v>
      </c>
      <c r="AL103" s="175">
        <f t="shared" ca="1" si="9"/>
        <v>109</v>
      </c>
      <c r="AM103" s="175">
        <f t="shared" ca="1" si="10"/>
        <v>6</v>
      </c>
      <c r="AN103" s="372"/>
      <c r="AO103" s="176" t="s">
        <v>4244</v>
      </c>
      <c r="AP103" s="176">
        <v>10.66</v>
      </c>
      <c r="AQ103" s="173">
        <v>10.67</v>
      </c>
      <c r="AR103" s="142">
        <v>10.694999999999999</v>
      </c>
      <c r="AS103" s="142">
        <v>10.7</v>
      </c>
      <c r="AT103" s="142" t="str">
        <f t="shared" si="11"/>
        <v/>
      </c>
      <c r="AU103" s="142">
        <v>456</v>
      </c>
      <c r="AW103" s="142" t="s">
        <v>123</v>
      </c>
    </row>
    <row r="104" spans="2:49" s="142" customFormat="1" ht="21.75" customHeight="1" x14ac:dyDescent="0.25">
      <c r="B104" s="510" t="s">
        <v>6913</v>
      </c>
      <c r="C104" s="511"/>
      <c r="D104" s="201" t="s">
        <v>5349</v>
      </c>
      <c r="E104" s="173" t="s">
        <v>4432</v>
      </c>
      <c r="F104" s="173" t="s">
        <v>1569</v>
      </c>
      <c r="G104" s="201" t="s">
        <v>7021</v>
      </c>
      <c r="H104" s="173" t="s">
        <v>182</v>
      </c>
      <c r="I104" s="173" t="s">
        <v>114</v>
      </c>
      <c r="J104" s="174">
        <v>3.81</v>
      </c>
      <c r="K104" s="174">
        <v>1.5</v>
      </c>
      <c r="L104" s="174"/>
      <c r="M104" s="173"/>
      <c r="N104" s="175">
        <v>768</v>
      </c>
      <c r="O104" s="512">
        <v>9.5000000000000001E-2</v>
      </c>
      <c r="P104" s="173"/>
      <c r="Q104" s="179" t="s">
        <v>1555</v>
      </c>
      <c r="R104" s="491"/>
      <c r="S104" s="178"/>
      <c r="T104" s="177">
        <v>44941</v>
      </c>
      <c r="U104" s="177"/>
      <c r="V104" s="177">
        <v>44941</v>
      </c>
      <c r="W104" s="177"/>
      <c r="X104" s="177"/>
      <c r="Y104" s="177"/>
      <c r="Z104" s="177">
        <v>44953</v>
      </c>
      <c r="AA104" s="177"/>
      <c r="AB104" s="177"/>
      <c r="AC104" s="177">
        <v>44934</v>
      </c>
      <c r="AD104" s="181" t="s">
        <v>1507</v>
      </c>
      <c r="AE104" s="181" t="s">
        <v>69</v>
      </c>
      <c r="AF104" s="181" t="s">
        <v>142</v>
      </c>
      <c r="AG104" s="181" t="s">
        <v>1508</v>
      </c>
      <c r="AH104" s="181"/>
      <c r="AI104" s="181">
        <v>44849</v>
      </c>
      <c r="AJ104" s="181"/>
      <c r="AK104" s="181">
        <f t="shared" ca="1" si="8"/>
        <v>44958</v>
      </c>
      <c r="AL104" s="175">
        <f t="shared" ca="1" si="9"/>
        <v>109</v>
      </c>
      <c r="AM104" s="175" t="str">
        <f t="shared" si="10"/>
        <v/>
      </c>
      <c r="AN104" s="372"/>
      <c r="AO104" s="176" t="s">
        <v>1572</v>
      </c>
      <c r="AP104" s="176">
        <v>24.53</v>
      </c>
      <c r="AQ104" s="173">
        <v>24.59</v>
      </c>
      <c r="AR104" s="142">
        <v>24.615000000000002</v>
      </c>
      <c r="AS104" s="142">
        <v>24.62</v>
      </c>
      <c r="AT104" s="142" t="str">
        <f t="shared" si="11"/>
        <v/>
      </c>
      <c r="AU104" s="142">
        <v>456</v>
      </c>
      <c r="AW104" s="142" t="s">
        <v>123</v>
      </c>
    </row>
    <row r="105" spans="2:49" s="142" customFormat="1" ht="21.75" customHeight="1" x14ac:dyDescent="0.25">
      <c r="B105" s="510" t="s">
        <v>6913</v>
      </c>
      <c r="C105" s="511"/>
      <c r="D105" s="201" t="s">
        <v>5349</v>
      </c>
      <c r="E105" s="173" t="s">
        <v>4432</v>
      </c>
      <c r="F105" s="173" t="s">
        <v>4163</v>
      </c>
      <c r="G105" s="201" t="s">
        <v>7022</v>
      </c>
      <c r="H105" s="173" t="s">
        <v>182</v>
      </c>
      <c r="I105" s="173" t="s">
        <v>114</v>
      </c>
      <c r="J105" s="174">
        <v>3.1</v>
      </c>
      <c r="K105" s="174">
        <v>1.1499999999999999</v>
      </c>
      <c r="L105" s="174">
        <v>1.1599999999999999</v>
      </c>
      <c r="M105" s="173">
        <v>1.17</v>
      </c>
      <c r="N105" s="175">
        <v>642</v>
      </c>
      <c r="O105" s="512">
        <v>0.05</v>
      </c>
      <c r="P105" s="173"/>
      <c r="Q105" s="179" t="s">
        <v>1555</v>
      </c>
      <c r="R105" s="491" t="s">
        <v>1592</v>
      </c>
      <c r="S105" s="178"/>
      <c r="T105" s="177">
        <v>44945</v>
      </c>
      <c r="U105" s="177">
        <v>44945</v>
      </c>
      <c r="V105" s="177"/>
      <c r="W105" s="177">
        <v>44945</v>
      </c>
      <c r="X105" s="177">
        <v>44952</v>
      </c>
      <c r="Y105" s="177"/>
      <c r="Z105" s="177"/>
      <c r="AA105" s="177"/>
      <c r="AB105" s="177"/>
      <c r="AC105" s="177"/>
      <c r="AD105" s="181" t="s">
        <v>1605</v>
      </c>
      <c r="AE105" s="181" t="s">
        <v>69</v>
      </c>
      <c r="AF105" s="181" t="s">
        <v>142</v>
      </c>
      <c r="AG105" s="181" t="s">
        <v>1657</v>
      </c>
      <c r="AH105" s="181"/>
      <c r="AI105" s="181">
        <v>44849</v>
      </c>
      <c r="AJ105" s="181"/>
      <c r="AK105" s="181">
        <f t="shared" ca="1" si="8"/>
        <v>44958</v>
      </c>
      <c r="AL105" s="175">
        <f t="shared" ca="1" si="9"/>
        <v>109</v>
      </c>
      <c r="AM105" s="175">
        <f t="shared" ca="1" si="10"/>
        <v>6</v>
      </c>
      <c r="AN105" s="372"/>
      <c r="AO105" s="176" t="s">
        <v>1670</v>
      </c>
      <c r="AP105" s="176">
        <v>10.64</v>
      </c>
      <c r="AQ105" s="173">
        <v>10.65</v>
      </c>
      <c r="AR105" s="142">
        <v>10.674999999999999</v>
      </c>
      <c r="AS105" s="142">
        <v>10.68</v>
      </c>
      <c r="AT105" s="142">
        <f t="shared" ca="1" si="11"/>
        <v>13</v>
      </c>
      <c r="AU105" s="142">
        <v>456</v>
      </c>
      <c r="AW105" s="142" t="s">
        <v>123</v>
      </c>
    </row>
    <row r="106" spans="2:49" s="142" customFormat="1" ht="21.75" customHeight="1" x14ac:dyDescent="0.25">
      <c r="B106" s="510" t="s">
        <v>6913</v>
      </c>
      <c r="C106" s="511"/>
      <c r="D106" s="201" t="s">
        <v>5362</v>
      </c>
      <c r="E106" s="173" t="s">
        <v>4432</v>
      </c>
      <c r="F106" s="173" t="s">
        <v>4118</v>
      </c>
      <c r="G106" s="201" t="s">
        <v>7023</v>
      </c>
      <c r="H106" s="173">
        <v>304</v>
      </c>
      <c r="I106" s="173" t="s">
        <v>114</v>
      </c>
      <c r="J106" s="174">
        <v>2.75</v>
      </c>
      <c r="K106" s="174">
        <v>0.9</v>
      </c>
      <c r="L106" s="174">
        <v>0.88</v>
      </c>
      <c r="M106" s="173">
        <v>0.9</v>
      </c>
      <c r="N106" s="175">
        <v>641</v>
      </c>
      <c r="O106" s="512">
        <v>0.05</v>
      </c>
      <c r="P106" s="173"/>
      <c r="Q106" s="179" t="s">
        <v>1555</v>
      </c>
      <c r="R106" s="491" t="s">
        <v>1592</v>
      </c>
      <c r="S106" s="178"/>
      <c r="T106" s="177">
        <v>44942</v>
      </c>
      <c r="U106" s="177">
        <v>44942</v>
      </c>
      <c r="V106" s="177"/>
      <c r="W106" s="177">
        <v>44943</v>
      </c>
      <c r="X106" s="177">
        <v>44951</v>
      </c>
      <c r="Y106" s="177"/>
      <c r="Z106" s="177"/>
      <c r="AA106" s="177"/>
      <c r="AB106" s="177"/>
      <c r="AC106" s="177"/>
      <c r="AD106" s="181" t="s">
        <v>1619</v>
      </c>
      <c r="AE106" s="181" t="s">
        <v>69</v>
      </c>
      <c r="AF106" s="181" t="s">
        <v>142</v>
      </c>
      <c r="AG106" s="181" t="s">
        <v>1657</v>
      </c>
      <c r="AH106" s="181"/>
      <c r="AI106" s="181">
        <v>44849</v>
      </c>
      <c r="AJ106" s="181"/>
      <c r="AK106" s="181">
        <f t="shared" ca="1" si="8"/>
        <v>44958</v>
      </c>
      <c r="AL106" s="175">
        <f t="shared" ca="1" si="9"/>
        <v>109</v>
      </c>
      <c r="AM106" s="175">
        <f t="shared" ca="1" si="10"/>
        <v>7</v>
      </c>
      <c r="AN106" s="372"/>
      <c r="AO106" s="176" t="s">
        <v>4121</v>
      </c>
      <c r="AP106" s="176">
        <v>10.565</v>
      </c>
      <c r="AQ106" s="173">
        <v>10.574999999999999</v>
      </c>
      <c r="AR106" s="142">
        <v>10.599999999999998</v>
      </c>
      <c r="AS106" s="142">
        <v>10.604999999999999</v>
      </c>
      <c r="AT106" s="142">
        <f t="shared" ca="1" si="11"/>
        <v>16</v>
      </c>
      <c r="AU106" s="142">
        <v>456</v>
      </c>
      <c r="AW106" s="142" t="s">
        <v>123</v>
      </c>
    </row>
    <row r="107" spans="2:49" s="142" customFormat="1" ht="21.75" customHeight="1" x14ac:dyDescent="0.25">
      <c r="B107" s="510" t="s">
        <v>6913</v>
      </c>
      <c r="C107" s="511"/>
      <c r="D107" s="201" t="s">
        <v>5362</v>
      </c>
      <c r="E107" s="173" t="s">
        <v>4432</v>
      </c>
      <c r="F107" s="173" t="s">
        <v>4202</v>
      </c>
      <c r="G107" s="201" t="s">
        <v>7024</v>
      </c>
      <c r="H107" s="173" t="s">
        <v>182</v>
      </c>
      <c r="I107" s="173" t="s">
        <v>114</v>
      </c>
      <c r="J107" s="174">
        <v>3.89</v>
      </c>
      <c r="K107" s="174">
        <v>1.45</v>
      </c>
      <c r="L107" s="174">
        <v>1.44</v>
      </c>
      <c r="M107" s="173">
        <v>1.47</v>
      </c>
      <c r="N107" s="175">
        <v>637</v>
      </c>
      <c r="O107" s="512">
        <v>0.105</v>
      </c>
      <c r="P107" s="173"/>
      <c r="Q107" s="179" t="s">
        <v>1555</v>
      </c>
      <c r="R107" s="491" t="s">
        <v>1592</v>
      </c>
      <c r="S107" s="178"/>
      <c r="T107" s="177">
        <v>44948</v>
      </c>
      <c r="U107" s="177"/>
      <c r="V107" s="177"/>
      <c r="W107" s="177">
        <v>44950</v>
      </c>
      <c r="X107" s="177">
        <v>44952</v>
      </c>
      <c r="Y107" s="177"/>
      <c r="Z107" s="177"/>
      <c r="AA107" s="177"/>
      <c r="AB107" s="177"/>
      <c r="AC107" s="177"/>
      <c r="AD107" s="181" t="s">
        <v>1605</v>
      </c>
      <c r="AE107" s="181" t="s">
        <v>69</v>
      </c>
      <c r="AF107" s="181" t="s">
        <v>142</v>
      </c>
      <c r="AG107" s="181" t="s">
        <v>1657</v>
      </c>
      <c r="AH107" s="181"/>
      <c r="AI107" s="181">
        <v>44849</v>
      </c>
      <c r="AJ107" s="181"/>
      <c r="AK107" s="181">
        <f t="shared" ca="1" si="8"/>
        <v>44958</v>
      </c>
      <c r="AL107" s="175">
        <f t="shared" ca="1" si="9"/>
        <v>109</v>
      </c>
      <c r="AM107" s="175">
        <f t="shared" ca="1" si="10"/>
        <v>6</v>
      </c>
      <c r="AN107" s="372"/>
      <c r="AO107" s="176" t="s">
        <v>4204</v>
      </c>
      <c r="AP107" s="176">
        <v>10.33</v>
      </c>
      <c r="AQ107" s="173">
        <v>10.34</v>
      </c>
      <c r="AR107" s="142">
        <v>10.364999999999998</v>
      </c>
      <c r="AS107" s="142">
        <v>10.37</v>
      </c>
      <c r="AT107" s="142" t="str">
        <f t="shared" si="11"/>
        <v/>
      </c>
      <c r="AU107" s="142">
        <v>456</v>
      </c>
      <c r="AW107" s="142" t="s">
        <v>123</v>
      </c>
    </row>
    <row r="108" spans="2:49" s="142" customFormat="1" ht="21.75" customHeight="1" x14ac:dyDescent="0.25">
      <c r="B108" s="510" t="s">
        <v>6913</v>
      </c>
      <c r="C108" s="511"/>
      <c r="D108" s="201" t="s">
        <v>5362</v>
      </c>
      <c r="E108" s="173" t="s">
        <v>4432</v>
      </c>
      <c r="F108" s="173" t="s">
        <v>4319</v>
      </c>
      <c r="G108" s="201" t="s">
        <v>7025</v>
      </c>
      <c r="H108" s="173" t="s">
        <v>182</v>
      </c>
      <c r="I108" s="173" t="s">
        <v>114</v>
      </c>
      <c r="J108" s="174">
        <v>2.89</v>
      </c>
      <c r="K108" s="174">
        <v>0.9</v>
      </c>
      <c r="L108" s="174"/>
      <c r="M108" s="173"/>
      <c r="N108" s="175">
        <v>643</v>
      </c>
      <c r="O108" s="512">
        <v>0.05</v>
      </c>
      <c r="P108" s="173"/>
      <c r="Q108" s="179" t="s">
        <v>1555</v>
      </c>
      <c r="R108" s="491" t="s">
        <v>1592</v>
      </c>
      <c r="S108" s="178"/>
      <c r="T108" s="177"/>
      <c r="U108" s="177" t="s">
        <v>4325</v>
      </c>
      <c r="V108" s="177"/>
      <c r="W108" s="177">
        <v>44943</v>
      </c>
      <c r="X108" s="177">
        <v>44954</v>
      </c>
      <c r="Y108" s="177"/>
      <c r="Z108" s="177"/>
      <c r="AA108" s="177"/>
      <c r="AB108" s="177"/>
      <c r="AC108" s="177"/>
      <c r="AD108" s="181" t="s">
        <v>2479</v>
      </c>
      <c r="AE108" s="181" t="s">
        <v>69</v>
      </c>
      <c r="AF108" s="181" t="s">
        <v>142</v>
      </c>
      <c r="AG108" s="181" t="s">
        <v>1594</v>
      </c>
      <c r="AH108" s="181"/>
      <c r="AI108" s="181">
        <v>44849</v>
      </c>
      <c r="AJ108" s="181"/>
      <c r="AK108" s="181">
        <f t="shared" ca="1" si="8"/>
        <v>44958</v>
      </c>
      <c r="AL108" s="175">
        <f t="shared" ca="1" si="9"/>
        <v>109</v>
      </c>
      <c r="AM108" s="175">
        <f t="shared" ca="1" si="10"/>
        <v>4</v>
      </c>
      <c r="AN108" s="372"/>
      <c r="AO108" s="176" t="s">
        <v>4321</v>
      </c>
      <c r="AP108" s="176">
        <v>10.775</v>
      </c>
      <c r="AQ108" s="173">
        <v>10.785</v>
      </c>
      <c r="AR108" s="142">
        <v>10.809999999999999</v>
      </c>
      <c r="AS108" s="142">
        <v>10.815</v>
      </c>
      <c r="AT108" s="142">
        <f t="shared" ca="1" si="11"/>
        <v>378</v>
      </c>
      <c r="AU108" s="142">
        <v>456</v>
      </c>
      <c r="AW108" s="142" t="s">
        <v>123</v>
      </c>
    </row>
    <row r="109" spans="2:49" s="142" customFormat="1" ht="21.75" customHeight="1" x14ac:dyDescent="0.25">
      <c r="B109" s="510" t="s">
        <v>6913</v>
      </c>
      <c r="C109" s="511"/>
      <c r="D109" s="201" t="s">
        <v>5372</v>
      </c>
      <c r="E109" s="173" t="s">
        <v>4432</v>
      </c>
      <c r="F109" s="173" t="s">
        <v>4042</v>
      </c>
      <c r="G109" s="201" t="s">
        <v>7026</v>
      </c>
      <c r="H109" s="173" t="s">
        <v>182</v>
      </c>
      <c r="I109" s="173" t="s">
        <v>114</v>
      </c>
      <c r="J109" s="174">
        <v>3.79</v>
      </c>
      <c r="K109" s="174">
        <v>1.5</v>
      </c>
      <c r="L109" s="174">
        <v>1.47</v>
      </c>
      <c r="M109" s="173">
        <v>1.5</v>
      </c>
      <c r="N109" s="175">
        <v>770</v>
      </c>
      <c r="O109" s="512">
        <v>0.16500000000000001</v>
      </c>
      <c r="P109" s="173"/>
      <c r="Q109" s="179" t="s">
        <v>1555</v>
      </c>
      <c r="R109" s="491" t="s">
        <v>1513</v>
      </c>
      <c r="S109" s="178"/>
      <c r="T109" s="177">
        <v>44940</v>
      </c>
      <c r="U109" s="177"/>
      <c r="V109" s="177">
        <v>44940</v>
      </c>
      <c r="W109" s="177"/>
      <c r="X109" s="177">
        <v>44951</v>
      </c>
      <c r="Y109" s="177"/>
      <c r="Z109" s="177"/>
      <c r="AA109" s="177"/>
      <c r="AB109" s="177"/>
      <c r="AC109" s="177">
        <v>44933</v>
      </c>
      <c r="AD109" s="181" t="s">
        <v>1507</v>
      </c>
      <c r="AE109" s="181" t="s">
        <v>69</v>
      </c>
      <c r="AF109" s="181" t="s">
        <v>142</v>
      </c>
      <c r="AG109" s="181" t="s">
        <v>1508</v>
      </c>
      <c r="AH109" s="181"/>
      <c r="AI109" s="181">
        <v>44849</v>
      </c>
      <c r="AJ109" s="181"/>
      <c r="AK109" s="181">
        <f t="shared" ca="1" si="8"/>
        <v>44958</v>
      </c>
      <c r="AL109" s="175">
        <f t="shared" ca="1" si="9"/>
        <v>109</v>
      </c>
      <c r="AM109" s="175">
        <f t="shared" ca="1" si="10"/>
        <v>7</v>
      </c>
      <c r="AN109" s="372"/>
      <c r="AO109" s="176" t="s">
        <v>4044</v>
      </c>
      <c r="AP109" s="176">
        <v>24.504999999999999</v>
      </c>
      <c r="AQ109" s="173">
        <v>24.565000000000001</v>
      </c>
      <c r="AR109" s="142">
        <v>24.590000000000003</v>
      </c>
      <c r="AS109" s="142">
        <v>24.595000000000002</v>
      </c>
      <c r="AT109" s="142" t="str">
        <f t="shared" si="11"/>
        <v/>
      </c>
      <c r="AU109" s="142">
        <v>456</v>
      </c>
      <c r="AW109" s="142" t="s">
        <v>123</v>
      </c>
    </row>
    <row r="110" spans="2:49" s="142" customFormat="1" ht="21.75" customHeight="1" x14ac:dyDescent="0.25">
      <c r="B110" s="510" t="s">
        <v>6913</v>
      </c>
      <c r="C110" s="511"/>
      <c r="D110" s="201" t="s">
        <v>5362</v>
      </c>
      <c r="E110" s="173" t="s">
        <v>4432</v>
      </c>
      <c r="F110" s="173" t="s">
        <v>1558</v>
      </c>
      <c r="G110" s="201" t="s">
        <v>7027</v>
      </c>
      <c r="H110" s="173" t="s">
        <v>182</v>
      </c>
      <c r="I110" s="173" t="s">
        <v>114</v>
      </c>
      <c r="J110" s="174">
        <v>3.78</v>
      </c>
      <c r="K110" s="174">
        <v>1.2</v>
      </c>
      <c r="L110" s="174">
        <v>1.18</v>
      </c>
      <c r="M110" s="173">
        <v>1.2</v>
      </c>
      <c r="N110" s="175">
        <v>768</v>
      </c>
      <c r="O110" s="512">
        <v>0.11</v>
      </c>
      <c r="P110" s="173"/>
      <c r="Q110" s="179" t="s">
        <v>1555</v>
      </c>
      <c r="R110" s="491" t="s">
        <v>1386</v>
      </c>
      <c r="S110" s="178"/>
      <c r="T110" s="177">
        <v>44940</v>
      </c>
      <c r="U110" s="177"/>
      <c r="V110" s="177">
        <v>44940</v>
      </c>
      <c r="W110" s="177"/>
      <c r="X110" s="177"/>
      <c r="Y110" s="177"/>
      <c r="Z110" s="177">
        <v>44950</v>
      </c>
      <c r="AA110" s="177">
        <v>44940</v>
      </c>
      <c r="AB110" s="177"/>
      <c r="AC110" s="177">
        <v>44934</v>
      </c>
      <c r="AD110" s="181" t="s">
        <v>1507</v>
      </c>
      <c r="AE110" s="181" t="s">
        <v>69</v>
      </c>
      <c r="AF110" s="181" t="s">
        <v>142</v>
      </c>
      <c r="AG110" s="181" t="s">
        <v>1508</v>
      </c>
      <c r="AH110" s="181"/>
      <c r="AI110" s="181">
        <v>44849</v>
      </c>
      <c r="AJ110" s="181"/>
      <c r="AK110" s="181">
        <f t="shared" ca="1" si="8"/>
        <v>44958</v>
      </c>
      <c r="AL110" s="175">
        <f t="shared" ca="1" si="9"/>
        <v>109</v>
      </c>
      <c r="AM110" s="175" t="str">
        <f t="shared" si="10"/>
        <v/>
      </c>
      <c r="AN110" s="372"/>
      <c r="AO110" s="176" t="s">
        <v>1560</v>
      </c>
      <c r="AP110" s="176">
        <v>24.535</v>
      </c>
      <c r="AQ110" s="173">
        <v>24.594999999999999</v>
      </c>
      <c r="AR110" s="142">
        <v>24.62</v>
      </c>
      <c r="AS110" s="142">
        <v>24.625</v>
      </c>
      <c r="AT110" s="142" t="str">
        <f t="shared" si="11"/>
        <v/>
      </c>
      <c r="AU110" s="142">
        <v>456</v>
      </c>
      <c r="AW110" s="142" t="s">
        <v>123</v>
      </c>
    </row>
    <row r="111" spans="2:49" s="142" customFormat="1" ht="21.75" customHeight="1" x14ac:dyDescent="0.25">
      <c r="B111" s="510" t="s">
        <v>6913</v>
      </c>
      <c r="C111" s="511"/>
      <c r="D111" s="201" t="s">
        <v>5362</v>
      </c>
      <c r="E111" s="173" t="s">
        <v>4432</v>
      </c>
      <c r="F111" s="173" t="s">
        <v>4048</v>
      </c>
      <c r="G111" s="201" t="s">
        <v>7028</v>
      </c>
      <c r="H111" s="173">
        <v>304</v>
      </c>
      <c r="I111" s="173" t="s">
        <v>114</v>
      </c>
      <c r="J111" s="174">
        <v>3.46</v>
      </c>
      <c r="K111" s="174">
        <v>0.95</v>
      </c>
      <c r="L111" s="174">
        <v>0.92</v>
      </c>
      <c r="M111" s="173">
        <v>0.93</v>
      </c>
      <c r="N111" s="175">
        <v>770</v>
      </c>
      <c r="O111" s="512">
        <v>0.16</v>
      </c>
      <c r="P111" s="173"/>
      <c r="Q111" s="179" t="s">
        <v>1555</v>
      </c>
      <c r="R111" s="491"/>
      <c r="S111" s="178"/>
      <c r="T111" s="177">
        <v>44937</v>
      </c>
      <c r="U111" s="177"/>
      <c r="V111" s="177"/>
      <c r="W111" s="177">
        <v>44938</v>
      </c>
      <c r="X111" s="177"/>
      <c r="Y111" s="177"/>
      <c r="Z111" s="177">
        <v>44950</v>
      </c>
      <c r="AA111" s="177">
        <v>44940</v>
      </c>
      <c r="AB111" s="177"/>
      <c r="AC111" s="177"/>
      <c r="AD111" s="181" t="s">
        <v>1507</v>
      </c>
      <c r="AE111" s="181" t="s">
        <v>69</v>
      </c>
      <c r="AF111" s="181" t="s">
        <v>142</v>
      </c>
      <c r="AG111" s="181" t="s">
        <v>1584</v>
      </c>
      <c r="AH111" s="181"/>
      <c r="AI111" s="181">
        <v>44914</v>
      </c>
      <c r="AJ111" s="181"/>
      <c r="AK111" s="181">
        <f t="shared" ca="1" si="8"/>
        <v>44958</v>
      </c>
      <c r="AL111" s="175">
        <f t="shared" ca="1" si="9"/>
        <v>44</v>
      </c>
      <c r="AM111" s="175" t="str">
        <f t="shared" si="10"/>
        <v/>
      </c>
      <c r="AN111" s="372"/>
      <c r="AO111" s="176" t="s">
        <v>4050</v>
      </c>
      <c r="AP111" s="176">
        <v>7.53</v>
      </c>
      <c r="AQ111" s="173">
        <v>7.54</v>
      </c>
      <c r="AR111" s="142">
        <v>7.5650000000000004</v>
      </c>
      <c r="AS111" s="142">
        <v>7.57</v>
      </c>
      <c r="AT111" s="142" t="str">
        <f t="shared" si="11"/>
        <v/>
      </c>
      <c r="AU111" s="142">
        <v>462</v>
      </c>
      <c r="AW111" s="142" t="s">
        <v>123</v>
      </c>
    </row>
    <row r="112" spans="2:49" s="142" customFormat="1" ht="21.75" customHeight="1" x14ac:dyDescent="0.25">
      <c r="B112" s="510" t="s">
        <v>6913</v>
      </c>
      <c r="C112" s="511"/>
      <c r="D112" s="201" t="s">
        <v>5362</v>
      </c>
      <c r="E112" s="173" t="s">
        <v>4432</v>
      </c>
      <c r="F112" s="173" t="s">
        <v>1573</v>
      </c>
      <c r="G112" s="201" t="s">
        <v>7029</v>
      </c>
      <c r="H112" s="173" t="s">
        <v>182</v>
      </c>
      <c r="I112" s="173" t="s">
        <v>114</v>
      </c>
      <c r="J112" s="174">
        <v>3.79</v>
      </c>
      <c r="K112" s="174">
        <v>1.2</v>
      </c>
      <c r="L112" s="174">
        <v>1.18</v>
      </c>
      <c r="M112" s="173">
        <v>1.19</v>
      </c>
      <c r="N112" s="175">
        <v>768</v>
      </c>
      <c r="O112" s="512">
        <v>7.0000000000000007E-2</v>
      </c>
      <c r="P112" s="173"/>
      <c r="Q112" s="179" t="s">
        <v>1555</v>
      </c>
      <c r="R112" s="491" t="s">
        <v>1386</v>
      </c>
      <c r="S112" s="178"/>
      <c r="T112" s="177">
        <v>44939</v>
      </c>
      <c r="U112" s="177"/>
      <c r="V112" s="177">
        <v>44939</v>
      </c>
      <c r="W112" s="177"/>
      <c r="X112" s="177"/>
      <c r="Y112" s="177"/>
      <c r="Z112" s="177">
        <v>44950</v>
      </c>
      <c r="AA112" s="177"/>
      <c r="AB112" s="177"/>
      <c r="AC112" s="177">
        <v>44934</v>
      </c>
      <c r="AD112" s="181" t="s">
        <v>1507</v>
      </c>
      <c r="AE112" s="181" t="s">
        <v>69</v>
      </c>
      <c r="AF112" s="181" t="s">
        <v>142</v>
      </c>
      <c r="AG112" s="181" t="s">
        <v>1508</v>
      </c>
      <c r="AH112" s="181"/>
      <c r="AI112" s="181">
        <v>44849</v>
      </c>
      <c r="AJ112" s="181"/>
      <c r="AK112" s="181">
        <f t="shared" ca="1" si="8"/>
        <v>44958</v>
      </c>
      <c r="AL112" s="175">
        <f t="shared" ca="1" si="9"/>
        <v>109</v>
      </c>
      <c r="AM112" s="175" t="str">
        <f t="shared" si="10"/>
        <v/>
      </c>
      <c r="AN112" s="372"/>
      <c r="AO112" s="176" t="s">
        <v>1575</v>
      </c>
      <c r="AP112" s="176">
        <v>24.63</v>
      </c>
      <c r="AQ112" s="173">
        <v>24.69</v>
      </c>
      <c r="AR112" s="142">
        <v>24.715000000000003</v>
      </c>
      <c r="AS112" s="142">
        <v>24.720000000000002</v>
      </c>
      <c r="AT112" s="142" t="str">
        <f t="shared" si="11"/>
        <v/>
      </c>
      <c r="AU112" s="142">
        <v>456</v>
      </c>
      <c r="AW112" s="142" t="s">
        <v>123</v>
      </c>
    </row>
    <row r="113" spans="2:49" s="142" customFormat="1" ht="21.75" customHeight="1" x14ac:dyDescent="0.25">
      <c r="B113" s="510" t="s">
        <v>6913</v>
      </c>
      <c r="C113" s="511"/>
      <c r="D113" s="201" t="s">
        <v>5362</v>
      </c>
      <c r="E113" s="173" t="s">
        <v>4432</v>
      </c>
      <c r="F113" s="173" t="s">
        <v>1573</v>
      </c>
      <c r="G113" s="201" t="s">
        <v>7030</v>
      </c>
      <c r="H113" s="173" t="s">
        <v>182</v>
      </c>
      <c r="I113" s="173" t="s">
        <v>114</v>
      </c>
      <c r="J113" s="174">
        <v>3.79</v>
      </c>
      <c r="K113" s="174">
        <v>1.2</v>
      </c>
      <c r="L113" s="174">
        <v>1.18</v>
      </c>
      <c r="M113" s="173">
        <v>1.19</v>
      </c>
      <c r="N113" s="175">
        <v>768</v>
      </c>
      <c r="O113" s="512">
        <v>7.4999999999999997E-2</v>
      </c>
      <c r="P113" s="173"/>
      <c r="Q113" s="179" t="s">
        <v>1555</v>
      </c>
      <c r="R113" s="491" t="s">
        <v>1386</v>
      </c>
      <c r="S113" s="178"/>
      <c r="T113" s="177">
        <v>44939</v>
      </c>
      <c r="U113" s="177"/>
      <c r="V113" s="177">
        <v>44939</v>
      </c>
      <c r="W113" s="177"/>
      <c r="X113" s="177"/>
      <c r="Y113" s="177"/>
      <c r="Z113" s="177">
        <v>44950</v>
      </c>
      <c r="AA113" s="177"/>
      <c r="AB113" s="177"/>
      <c r="AC113" s="177">
        <v>44934</v>
      </c>
      <c r="AD113" s="181" t="s">
        <v>1507</v>
      </c>
      <c r="AE113" s="181" t="s">
        <v>69</v>
      </c>
      <c r="AF113" s="181" t="s">
        <v>142</v>
      </c>
      <c r="AG113" s="181" t="s">
        <v>1508</v>
      </c>
      <c r="AH113" s="181"/>
      <c r="AI113" s="181">
        <v>44849</v>
      </c>
      <c r="AJ113" s="181"/>
      <c r="AK113" s="181">
        <f t="shared" ca="1" si="8"/>
        <v>44958</v>
      </c>
      <c r="AL113" s="175">
        <f t="shared" ca="1" si="9"/>
        <v>109</v>
      </c>
      <c r="AM113" s="175" t="str">
        <f t="shared" si="10"/>
        <v/>
      </c>
      <c r="AN113" s="372"/>
      <c r="AO113" s="176" t="s">
        <v>1575</v>
      </c>
      <c r="AP113" s="176">
        <v>24.63</v>
      </c>
      <c r="AQ113" s="173">
        <v>24.69</v>
      </c>
      <c r="AR113" s="142">
        <v>24.715000000000003</v>
      </c>
      <c r="AS113" s="142">
        <v>24.720000000000002</v>
      </c>
      <c r="AT113" s="142" t="str">
        <f t="shared" si="11"/>
        <v/>
      </c>
      <c r="AU113" s="142">
        <v>456</v>
      </c>
      <c r="AW113" s="142" t="s">
        <v>123</v>
      </c>
    </row>
    <row r="114" spans="2:49" s="142" customFormat="1" ht="21.75" customHeight="1" x14ac:dyDescent="0.25">
      <c r="B114" s="510" t="s">
        <v>6913</v>
      </c>
      <c r="C114" s="511" t="s">
        <v>7031</v>
      </c>
      <c r="D114" s="201" t="s">
        <v>5362</v>
      </c>
      <c r="E114" s="173" t="s">
        <v>4432</v>
      </c>
      <c r="F114" s="173" t="s">
        <v>4042</v>
      </c>
      <c r="G114" s="201" t="s">
        <v>7032</v>
      </c>
      <c r="H114" s="173" t="s">
        <v>182</v>
      </c>
      <c r="I114" s="173" t="s">
        <v>114</v>
      </c>
      <c r="J114" s="174">
        <v>3.79</v>
      </c>
      <c r="K114" s="174">
        <v>1.5</v>
      </c>
      <c r="L114" s="174">
        <v>1.47</v>
      </c>
      <c r="M114" s="173">
        <v>1.49</v>
      </c>
      <c r="N114" s="175">
        <v>767</v>
      </c>
      <c r="O114" s="512">
        <v>0.17</v>
      </c>
      <c r="P114" s="173"/>
      <c r="Q114" s="179" t="s">
        <v>1555</v>
      </c>
      <c r="R114" s="491" t="s">
        <v>1513</v>
      </c>
      <c r="S114" s="178"/>
      <c r="T114" s="177">
        <v>44937</v>
      </c>
      <c r="U114" s="177"/>
      <c r="V114" s="177">
        <v>44937</v>
      </c>
      <c r="W114" s="177"/>
      <c r="X114" s="177">
        <v>44950</v>
      </c>
      <c r="Y114" s="177"/>
      <c r="Z114" s="177"/>
      <c r="AA114" s="177"/>
      <c r="AB114" s="177"/>
      <c r="AC114" s="177">
        <v>44933</v>
      </c>
      <c r="AD114" s="181" t="s">
        <v>1507</v>
      </c>
      <c r="AE114" s="181" t="s">
        <v>69</v>
      </c>
      <c r="AF114" s="181" t="s">
        <v>142</v>
      </c>
      <c r="AG114" s="181" t="s">
        <v>1508</v>
      </c>
      <c r="AH114" s="181"/>
      <c r="AI114" s="181">
        <v>44849</v>
      </c>
      <c r="AJ114" s="181"/>
      <c r="AK114" s="181">
        <f t="shared" ca="1" si="8"/>
        <v>44958</v>
      </c>
      <c r="AL114" s="175">
        <f t="shared" ca="1" si="9"/>
        <v>109</v>
      </c>
      <c r="AM114" s="175">
        <f t="shared" ca="1" si="10"/>
        <v>8</v>
      </c>
      <c r="AN114" s="372"/>
      <c r="AO114" s="176" t="s">
        <v>4044</v>
      </c>
      <c r="AP114" s="176">
        <v>24.504999999999999</v>
      </c>
      <c r="AQ114" s="173">
        <v>24.565000000000001</v>
      </c>
      <c r="AR114" s="142">
        <v>24.590000000000003</v>
      </c>
      <c r="AS114" s="142">
        <v>24.595000000000002</v>
      </c>
      <c r="AT114" s="142" t="str">
        <f t="shared" si="11"/>
        <v/>
      </c>
      <c r="AU114" s="142">
        <v>456</v>
      </c>
      <c r="AW114" s="142" t="s">
        <v>123</v>
      </c>
    </row>
    <row r="115" spans="2:49" s="142" customFormat="1" ht="21.75" customHeight="1" x14ac:dyDescent="0.25">
      <c r="B115" s="510" t="s">
        <v>6913</v>
      </c>
      <c r="C115" s="511"/>
      <c r="D115" s="201" t="s">
        <v>5362</v>
      </c>
      <c r="E115" s="173" t="s">
        <v>4432</v>
      </c>
      <c r="F115" s="173" t="s">
        <v>4051</v>
      </c>
      <c r="G115" s="201" t="s">
        <v>7033</v>
      </c>
      <c r="H115" s="173">
        <v>304</v>
      </c>
      <c r="I115" s="173" t="s">
        <v>114</v>
      </c>
      <c r="J115" s="174">
        <v>3.78</v>
      </c>
      <c r="K115" s="174">
        <v>1.2</v>
      </c>
      <c r="L115" s="174">
        <v>1.18</v>
      </c>
      <c r="M115" s="173">
        <v>1.2</v>
      </c>
      <c r="N115" s="175">
        <v>765</v>
      </c>
      <c r="O115" s="512">
        <v>0.06</v>
      </c>
      <c r="P115" s="173"/>
      <c r="Q115" s="179" t="s">
        <v>1555</v>
      </c>
      <c r="R115" s="491" t="s">
        <v>986</v>
      </c>
      <c r="S115" s="178"/>
      <c r="T115" s="177">
        <v>44937</v>
      </c>
      <c r="U115" s="177"/>
      <c r="V115" s="177">
        <v>44938</v>
      </c>
      <c r="W115" s="177"/>
      <c r="X115" s="177"/>
      <c r="Y115" s="177"/>
      <c r="Z115" s="177">
        <v>44951</v>
      </c>
      <c r="AA115" s="177"/>
      <c r="AB115" s="177"/>
      <c r="AC115" s="177"/>
      <c r="AD115" s="181" t="s">
        <v>1345</v>
      </c>
      <c r="AE115" s="181" t="s">
        <v>69</v>
      </c>
      <c r="AF115" s="181" t="s">
        <v>142</v>
      </c>
      <c r="AG115" s="181" t="s">
        <v>2283</v>
      </c>
      <c r="AH115" s="181"/>
      <c r="AI115" s="181">
        <v>44880</v>
      </c>
      <c r="AJ115" s="181"/>
      <c r="AK115" s="181">
        <f t="shared" ca="1" si="8"/>
        <v>44958</v>
      </c>
      <c r="AL115" s="175">
        <f t="shared" ca="1" si="9"/>
        <v>78</v>
      </c>
      <c r="AM115" s="175" t="str">
        <f t="shared" si="10"/>
        <v/>
      </c>
      <c r="AN115" s="372"/>
      <c r="AO115" s="176" t="s">
        <v>3942</v>
      </c>
      <c r="AP115" s="176">
        <v>10.475</v>
      </c>
      <c r="AQ115" s="173">
        <v>10.484999999999999</v>
      </c>
      <c r="AR115" s="142">
        <v>10.509999999999998</v>
      </c>
      <c r="AS115" s="142">
        <v>10.514999999999999</v>
      </c>
      <c r="AT115" s="142" t="str">
        <f t="shared" si="11"/>
        <v/>
      </c>
      <c r="AU115" s="142">
        <v>459</v>
      </c>
      <c r="AW115" s="142" t="s">
        <v>123</v>
      </c>
    </row>
    <row r="116" spans="2:49" s="142" customFormat="1" ht="21.75" customHeight="1" x14ac:dyDescent="0.25">
      <c r="B116" s="510" t="s">
        <v>6913</v>
      </c>
      <c r="C116" s="511"/>
      <c r="D116" s="201" t="s">
        <v>5381</v>
      </c>
      <c r="E116" s="173" t="s">
        <v>4432</v>
      </c>
      <c r="F116" s="173" t="s">
        <v>4077</v>
      </c>
      <c r="G116" s="201" t="s">
        <v>7034</v>
      </c>
      <c r="H116" s="173">
        <v>304</v>
      </c>
      <c r="I116" s="173" t="s">
        <v>114</v>
      </c>
      <c r="J116" s="174">
        <v>4.38</v>
      </c>
      <c r="K116" s="174">
        <v>2</v>
      </c>
      <c r="L116" s="174">
        <v>1.97</v>
      </c>
      <c r="M116" s="173">
        <v>1.98</v>
      </c>
      <c r="N116" s="175">
        <v>765</v>
      </c>
      <c r="O116" s="512">
        <v>0.115</v>
      </c>
      <c r="P116" s="173"/>
      <c r="Q116" s="179" t="s">
        <v>1555</v>
      </c>
      <c r="R116" s="491"/>
      <c r="S116" s="178"/>
      <c r="T116" s="177">
        <v>44939</v>
      </c>
      <c r="U116" s="177"/>
      <c r="V116" s="177">
        <v>44939</v>
      </c>
      <c r="W116" s="177"/>
      <c r="X116" s="177">
        <v>44950</v>
      </c>
      <c r="Y116" s="177"/>
      <c r="Z116" s="177"/>
      <c r="AA116" s="177"/>
      <c r="AB116" s="177"/>
      <c r="AC116" s="177"/>
      <c r="AD116" s="181" t="s">
        <v>1619</v>
      </c>
      <c r="AE116" s="181" t="s">
        <v>69</v>
      </c>
      <c r="AF116" s="181" t="s">
        <v>142</v>
      </c>
      <c r="AG116" s="181" t="s">
        <v>1887</v>
      </c>
      <c r="AH116" s="181"/>
      <c r="AI116" s="181">
        <v>44880</v>
      </c>
      <c r="AJ116" s="181"/>
      <c r="AK116" s="181">
        <f t="shared" ca="1" si="8"/>
        <v>44958</v>
      </c>
      <c r="AL116" s="175">
        <f t="shared" ca="1" si="9"/>
        <v>78</v>
      </c>
      <c r="AM116" s="175">
        <f t="shared" ca="1" si="10"/>
        <v>8</v>
      </c>
      <c r="AN116" s="372"/>
      <c r="AO116" s="176" t="s">
        <v>4079</v>
      </c>
      <c r="AP116" s="176">
        <v>10.47</v>
      </c>
      <c r="AQ116" s="173">
        <v>10.48</v>
      </c>
      <c r="AR116" s="142">
        <v>10.504999999999999</v>
      </c>
      <c r="AS116" s="142">
        <v>10.51</v>
      </c>
      <c r="AT116" s="142" t="str">
        <f t="shared" si="11"/>
        <v/>
      </c>
      <c r="AU116" s="142">
        <v>459</v>
      </c>
      <c r="AW116" s="142" t="s">
        <v>123</v>
      </c>
    </row>
    <row r="117" spans="2:49" s="142" customFormat="1" ht="21.75" customHeight="1" x14ac:dyDescent="0.25">
      <c r="B117" s="510" t="s">
        <v>6913</v>
      </c>
      <c r="C117" s="511"/>
      <c r="D117" s="201" t="s">
        <v>5384</v>
      </c>
      <c r="E117" s="173" t="s">
        <v>4432</v>
      </c>
      <c r="F117" s="173" t="s">
        <v>4997</v>
      </c>
      <c r="G117" s="201" t="s">
        <v>7035</v>
      </c>
      <c r="H117" s="173" t="s">
        <v>34</v>
      </c>
      <c r="I117" s="173" t="s">
        <v>114</v>
      </c>
      <c r="J117" s="174">
        <v>2.4</v>
      </c>
      <c r="K117" s="174">
        <v>0.91</v>
      </c>
      <c r="L117" s="174"/>
      <c r="M117" s="173"/>
      <c r="N117" s="175">
        <v>620</v>
      </c>
      <c r="O117" s="512">
        <v>0.05</v>
      </c>
      <c r="P117" s="173"/>
      <c r="Q117" s="179" t="s">
        <v>1555</v>
      </c>
      <c r="R117" s="491"/>
      <c r="S117" s="178"/>
      <c r="T117" s="177">
        <v>44784</v>
      </c>
      <c r="U117" s="177"/>
      <c r="V117" s="177">
        <v>44785</v>
      </c>
      <c r="W117" s="177"/>
      <c r="X117" s="177"/>
      <c r="Y117" s="177"/>
      <c r="Z117" s="177">
        <v>44946</v>
      </c>
      <c r="AA117" s="177"/>
      <c r="AB117" s="177"/>
      <c r="AC117" s="177"/>
      <c r="AD117" s="181"/>
      <c r="AE117" s="181" t="s">
        <v>69</v>
      </c>
      <c r="AF117" s="181" t="s">
        <v>119</v>
      </c>
      <c r="AG117" s="181" t="s">
        <v>994</v>
      </c>
      <c r="AH117" s="181">
        <v>44713</v>
      </c>
      <c r="AI117" s="181">
        <v>44747</v>
      </c>
      <c r="AJ117" s="181"/>
      <c r="AK117" s="181">
        <f t="shared" ca="1" si="8"/>
        <v>44958</v>
      </c>
      <c r="AL117" s="175">
        <f t="shared" ca="1" si="9"/>
        <v>211</v>
      </c>
      <c r="AM117" s="175" t="str">
        <f t="shared" si="10"/>
        <v/>
      </c>
      <c r="AN117" s="372" t="s">
        <v>4999</v>
      </c>
      <c r="AO117" s="176" t="s">
        <v>1116</v>
      </c>
      <c r="AP117" s="176">
        <v>9.9529999999999994</v>
      </c>
      <c r="AQ117" s="173">
        <v>9.972999999999999</v>
      </c>
      <c r="AR117" s="142">
        <v>9.9979999999999976</v>
      </c>
      <c r="AS117" s="142">
        <v>10.002999999999998</v>
      </c>
      <c r="AT117" s="142" t="str">
        <f t="shared" si="11"/>
        <v/>
      </c>
      <c r="AU117" s="142">
        <v>442</v>
      </c>
      <c r="AW117" s="142" t="s">
        <v>123</v>
      </c>
    </row>
    <row r="118" spans="2:49" s="142" customFormat="1" ht="21.75" customHeight="1" x14ac:dyDescent="0.25">
      <c r="B118" s="510" t="s">
        <v>6913</v>
      </c>
      <c r="C118" s="511"/>
      <c r="D118" s="201" t="s">
        <v>5384</v>
      </c>
      <c r="E118" s="173" t="s">
        <v>4432</v>
      </c>
      <c r="F118" s="173" t="s">
        <v>5388</v>
      </c>
      <c r="G118" s="201" t="s">
        <v>7036</v>
      </c>
      <c r="H118" s="173">
        <v>304</v>
      </c>
      <c r="I118" s="173" t="s">
        <v>114</v>
      </c>
      <c r="J118" s="174">
        <v>3.84</v>
      </c>
      <c r="K118" s="174">
        <v>1.45</v>
      </c>
      <c r="L118" s="174">
        <v>1.42</v>
      </c>
      <c r="M118" s="173">
        <v>1.44</v>
      </c>
      <c r="N118" s="175">
        <v>766</v>
      </c>
      <c r="O118" s="512">
        <v>0.05</v>
      </c>
      <c r="P118" s="173"/>
      <c r="Q118" s="179" t="s">
        <v>1555</v>
      </c>
      <c r="R118" s="491" t="s">
        <v>1210</v>
      </c>
      <c r="S118" s="178" t="s">
        <v>5390</v>
      </c>
      <c r="T118" s="177">
        <v>44911</v>
      </c>
      <c r="U118" s="177"/>
      <c r="V118" s="177">
        <v>44911</v>
      </c>
      <c r="W118" s="177"/>
      <c r="X118" s="177">
        <v>44922</v>
      </c>
      <c r="Y118" s="177"/>
      <c r="Z118" s="177"/>
      <c r="AA118" s="177">
        <v>44922</v>
      </c>
      <c r="AB118" s="177"/>
      <c r="AC118" s="177"/>
      <c r="AD118" s="181" t="s">
        <v>4482</v>
      </c>
      <c r="AE118" s="181" t="s">
        <v>69</v>
      </c>
      <c r="AF118" s="181" t="s">
        <v>142</v>
      </c>
      <c r="AG118" s="181" t="s">
        <v>2283</v>
      </c>
      <c r="AH118" s="181"/>
      <c r="AI118" s="181">
        <v>44880</v>
      </c>
      <c r="AJ118" s="181"/>
      <c r="AK118" s="181">
        <f t="shared" ca="1" si="8"/>
        <v>44958</v>
      </c>
      <c r="AL118" s="175">
        <f t="shared" ca="1" si="9"/>
        <v>78</v>
      </c>
      <c r="AM118" s="175">
        <f t="shared" ca="1" si="10"/>
        <v>36</v>
      </c>
      <c r="AN118" s="372"/>
      <c r="AO118" s="176" t="s">
        <v>5391</v>
      </c>
      <c r="AP118" s="176">
        <v>10.234999999999999</v>
      </c>
      <c r="AQ118" s="173">
        <v>10.244999999999999</v>
      </c>
      <c r="AR118" s="142">
        <v>10.269999999999998</v>
      </c>
      <c r="AS118" s="142">
        <v>10.274999999999999</v>
      </c>
      <c r="AT118" s="142" t="str">
        <f t="shared" si="11"/>
        <v/>
      </c>
      <c r="AU118" s="142">
        <v>459</v>
      </c>
      <c r="AW118" s="142" t="s">
        <v>123</v>
      </c>
    </row>
    <row r="119" spans="2:49" s="142" customFormat="1" ht="21.75" customHeight="1" x14ac:dyDescent="0.25">
      <c r="B119" s="510" t="s">
        <v>6913</v>
      </c>
      <c r="C119" s="511"/>
      <c r="D119" s="201" t="s">
        <v>5384</v>
      </c>
      <c r="E119" s="173" t="s">
        <v>4432</v>
      </c>
      <c r="F119" s="173" t="s">
        <v>4336</v>
      </c>
      <c r="G119" s="201" t="s">
        <v>7037</v>
      </c>
      <c r="H119" s="173" t="s">
        <v>182</v>
      </c>
      <c r="I119" s="173" t="s">
        <v>114</v>
      </c>
      <c r="J119" s="174">
        <v>2.89</v>
      </c>
      <c r="K119" s="174">
        <v>0.9</v>
      </c>
      <c r="L119" s="174"/>
      <c r="M119" s="173"/>
      <c r="N119" s="175">
        <v>643</v>
      </c>
      <c r="O119" s="512">
        <v>0.04</v>
      </c>
      <c r="P119" s="173"/>
      <c r="Q119" s="179" t="s">
        <v>1555</v>
      </c>
      <c r="R119" s="491"/>
      <c r="S119" s="178"/>
      <c r="T119" s="177"/>
      <c r="U119" s="177">
        <v>44951</v>
      </c>
      <c r="V119" s="177"/>
      <c r="W119" s="177">
        <v>44952</v>
      </c>
      <c r="X119" s="177">
        <v>44955</v>
      </c>
      <c r="Y119" s="177"/>
      <c r="Z119" s="177"/>
      <c r="AA119" s="177"/>
      <c r="AB119" s="177"/>
      <c r="AC119" s="177"/>
      <c r="AD119" s="181" t="s">
        <v>1643</v>
      </c>
      <c r="AE119" s="181" t="s">
        <v>69</v>
      </c>
      <c r="AF119" s="181" t="s">
        <v>142</v>
      </c>
      <c r="AG119" s="181" t="s">
        <v>1594</v>
      </c>
      <c r="AH119" s="181"/>
      <c r="AI119" s="181">
        <v>44849</v>
      </c>
      <c r="AJ119" s="181"/>
      <c r="AK119" s="181">
        <f t="shared" ca="1" si="8"/>
        <v>44958</v>
      </c>
      <c r="AL119" s="175">
        <f t="shared" ca="1" si="9"/>
        <v>109</v>
      </c>
      <c r="AM119" s="175">
        <f t="shared" ca="1" si="10"/>
        <v>3</v>
      </c>
      <c r="AN119" s="372"/>
      <c r="AO119" s="176" t="s">
        <v>4321</v>
      </c>
      <c r="AP119" s="176">
        <v>10.77</v>
      </c>
      <c r="AQ119" s="173">
        <v>10.78</v>
      </c>
      <c r="AR119" s="142">
        <v>10.804999999999998</v>
      </c>
      <c r="AS119" s="142">
        <v>10.809999999999999</v>
      </c>
      <c r="AT119" s="142">
        <f t="shared" ca="1" si="11"/>
        <v>7</v>
      </c>
      <c r="AU119" s="142">
        <v>456</v>
      </c>
      <c r="AW119" s="142" t="s">
        <v>123</v>
      </c>
    </row>
    <row r="120" spans="2:49" s="142" customFormat="1" ht="21.75" customHeight="1" x14ac:dyDescent="0.25">
      <c r="B120" s="510" t="s">
        <v>6913</v>
      </c>
      <c r="C120" s="511"/>
      <c r="D120" s="201" t="s">
        <v>5395</v>
      </c>
      <c r="E120" s="173" t="s">
        <v>4432</v>
      </c>
      <c r="F120" s="173" t="s">
        <v>4908</v>
      </c>
      <c r="G120" s="201" t="s">
        <v>7038</v>
      </c>
      <c r="H120" s="173" t="s">
        <v>34</v>
      </c>
      <c r="I120" s="173" t="s">
        <v>114</v>
      </c>
      <c r="J120" s="174">
        <v>2.2000000000000002</v>
      </c>
      <c r="K120" s="174">
        <v>0.73</v>
      </c>
      <c r="L120" s="174">
        <v>0.7</v>
      </c>
      <c r="M120" s="173">
        <v>0.73</v>
      </c>
      <c r="N120" s="175">
        <v>620</v>
      </c>
      <c r="O120" s="512">
        <v>0.05</v>
      </c>
      <c r="P120" s="173"/>
      <c r="Q120" s="179" t="s">
        <v>1555</v>
      </c>
      <c r="R120" s="177"/>
      <c r="S120" s="177"/>
      <c r="T120" s="177">
        <v>44829</v>
      </c>
      <c r="U120" s="173"/>
      <c r="V120" s="173">
        <v>44831</v>
      </c>
      <c r="W120" s="181"/>
      <c r="X120" s="181">
        <v>44951</v>
      </c>
      <c r="Y120" s="181"/>
      <c r="Z120" s="181"/>
      <c r="AA120" s="181"/>
      <c r="AB120" s="181"/>
      <c r="AC120" s="181"/>
      <c r="AD120" s="176"/>
      <c r="AE120" s="176" t="s">
        <v>69</v>
      </c>
      <c r="AF120" s="176" t="s">
        <v>248</v>
      </c>
      <c r="AG120" s="176" t="s">
        <v>1145</v>
      </c>
      <c r="AH120" s="176">
        <v>44752</v>
      </c>
      <c r="AI120" s="181">
        <v>44778</v>
      </c>
      <c r="AJ120" s="181"/>
      <c r="AK120" s="181">
        <f t="shared" ca="1" si="8"/>
        <v>44958</v>
      </c>
      <c r="AL120" s="175">
        <f t="shared" ca="1" si="9"/>
        <v>180</v>
      </c>
      <c r="AM120" s="175">
        <f t="shared" ca="1" si="10"/>
        <v>7</v>
      </c>
      <c r="AO120" s="142" t="s">
        <v>1199</v>
      </c>
      <c r="AP120" s="142">
        <v>10.093999999999999</v>
      </c>
      <c r="AQ120" s="142">
        <f>AP120+0.04</f>
        <v>10.133999999999999</v>
      </c>
      <c r="AR120" s="142">
        <v>10.158999999999997</v>
      </c>
      <c r="AS120" s="142">
        <v>10.163999999999998</v>
      </c>
      <c r="AT120" s="142" t="str">
        <f t="shared" si="11"/>
        <v/>
      </c>
      <c r="AU120" s="142">
        <v>445</v>
      </c>
      <c r="AW120" s="142" t="s">
        <v>123</v>
      </c>
    </row>
    <row r="121" spans="2:49" s="142" customFormat="1" ht="21.75" customHeight="1" x14ac:dyDescent="0.25">
      <c r="B121" s="510" t="s">
        <v>6913</v>
      </c>
      <c r="C121" s="511"/>
      <c r="D121" s="201" t="s">
        <v>5395</v>
      </c>
      <c r="E121" s="173" t="s">
        <v>4432</v>
      </c>
      <c r="F121" s="173" t="s">
        <v>5100</v>
      </c>
      <c r="G121" s="201" t="s">
        <v>7039</v>
      </c>
      <c r="H121" s="173">
        <v>304</v>
      </c>
      <c r="I121" s="173" t="s">
        <v>114</v>
      </c>
      <c r="J121" s="174">
        <v>2.89</v>
      </c>
      <c r="K121" s="174">
        <v>1.1000000000000001</v>
      </c>
      <c r="L121" s="174">
        <v>1.07</v>
      </c>
      <c r="M121" s="173">
        <v>1.0900000000000001</v>
      </c>
      <c r="N121" s="175">
        <v>776</v>
      </c>
      <c r="O121" s="512">
        <v>0.06</v>
      </c>
      <c r="P121" s="173"/>
      <c r="Q121" s="179" t="s">
        <v>1555</v>
      </c>
      <c r="R121" s="177"/>
      <c r="S121" s="177"/>
      <c r="T121" s="177">
        <v>44899</v>
      </c>
      <c r="U121" s="173"/>
      <c r="V121" s="173">
        <v>44899</v>
      </c>
      <c r="W121" s="181"/>
      <c r="X121" s="181"/>
      <c r="Y121" s="181"/>
      <c r="Z121" s="181">
        <v>44956</v>
      </c>
      <c r="AA121" s="181"/>
      <c r="AB121" s="181"/>
      <c r="AC121" s="181"/>
      <c r="AD121" s="176" t="s">
        <v>1609</v>
      </c>
      <c r="AE121" s="176" t="s">
        <v>69</v>
      </c>
      <c r="AF121" s="176" t="s">
        <v>142</v>
      </c>
      <c r="AG121" s="176" t="s">
        <v>2283</v>
      </c>
      <c r="AH121" s="176"/>
      <c r="AI121" s="181">
        <v>44880</v>
      </c>
      <c r="AJ121" s="181"/>
      <c r="AK121" s="181">
        <f t="shared" ca="1" si="8"/>
        <v>44958</v>
      </c>
      <c r="AL121" s="175">
        <f t="shared" ca="1" si="9"/>
        <v>78</v>
      </c>
      <c r="AM121" s="175" t="str">
        <f t="shared" si="10"/>
        <v/>
      </c>
      <c r="AO121" s="142" t="s">
        <v>4778</v>
      </c>
      <c r="AP121" s="142">
        <v>12.1</v>
      </c>
      <c r="AQ121" s="142">
        <v>12.11</v>
      </c>
      <c r="AR121" s="142">
        <v>12.134999999999998</v>
      </c>
      <c r="AS121" s="142">
        <v>12.139999999999999</v>
      </c>
      <c r="AT121" s="142" t="str">
        <f t="shared" si="11"/>
        <v/>
      </c>
      <c r="AU121" s="142">
        <v>459</v>
      </c>
      <c r="AW121" s="142" t="s">
        <v>123</v>
      </c>
    </row>
    <row r="122" spans="2:49" s="142" customFormat="1" ht="21.75" customHeight="1" x14ac:dyDescent="0.25">
      <c r="B122" s="510" t="s">
        <v>6913</v>
      </c>
      <c r="C122" s="511"/>
      <c r="D122" s="201" t="s">
        <v>5395</v>
      </c>
      <c r="E122" s="173" t="s">
        <v>4432</v>
      </c>
      <c r="F122" s="173" t="s">
        <v>5100</v>
      </c>
      <c r="G122" s="201" t="s">
        <v>7040</v>
      </c>
      <c r="H122" s="173">
        <v>304</v>
      </c>
      <c r="I122" s="173" t="s">
        <v>114</v>
      </c>
      <c r="J122" s="174">
        <v>2.89</v>
      </c>
      <c r="K122" s="174">
        <v>1.1000000000000001</v>
      </c>
      <c r="L122" s="174">
        <v>1.07</v>
      </c>
      <c r="M122" s="173">
        <v>1.0900000000000001</v>
      </c>
      <c r="N122" s="175">
        <v>776</v>
      </c>
      <c r="O122" s="512">
        <v>0.06</v>
      </c>
      <c r="P122" s="173"/>
      <c r="Q122" s="179" t="s">
        <v>1555</v>
      </c>
      <c r="R122" s="177"/>
      <c r="S122" s="177"/>
      <c r="T122" s="177">
        <v>44899</v>
      </c>
      <c r="U122" s="173"/>
      <c r="V122" s="173">
        <v>44899</v>
      </c>
      <c r="W122" s="181"/>
      <c r="X122" s="181"/>
      <c r="Y122" s="181"/>
      <c r="Z122" s="181">
        <v>44956</v>
      </c>
      <c r="AA122" s="181"/>
      <c r="AB122" s="181"/>
      <c r="AC122" s="181"/>
      <c r="AD122" s="176" t="s">
        <v>1609</v>
      </c>
      <c r="AE122" s="176" t="s">
        <v>69</v>
      </c>
      <c r="AF122" s="176" t="s">
        <v>142</v>
      </c>
      <c r="AG122" s="176" t="s">
        <v>2283</v>
      </c>
      <c r="AH122" s="176"/>
      <c r="AI122" s="181">
        <v>44880</v>
      </c>
      <c r="AJ122" s="181"/>
      <c r="AK122" s="181">
        <f t="shared" ca="1" si="8"/>
        <v>44958</v>
      </c>
      <c r="AL122" s="175">
        <f t="shared" ca="1" si="9"/>
        <v>78</v>
      </c>
      <c r="AM122" s="175" t="str">
        <f t="shared" si="10"/>
        <v/>
      </c>
      <c r="AO122" s="142" t="s">
        <v>4778</v>
      </c>
      <c r="AP122" s="142">
        <v>12.1</v>
      </c>
      <c r="AQ122" s="142">
        <v>12.11</v>
      </c>
      <c r="AR122" s="142">
        <v>12.134999999999998</v>
      </c>
      <c r="AS122" s="142">
        <v>12.139999999999999</v>
      </c>
      <c r="AT122" s="142" t="str">
        <f t="shared" si="11"/>
        <v/>
      </c>
      <c r="AU122" s="142">
        <v>459</v>
      </c>
      <c r="AW122" s="142" t="s">
        <v>123</v>
      </c>
    </row>
    <row r="123" spans="2:49" s="142" customFormat="1" ht="21.75" customHeight="1" x14ac:dyDescent="0.25">
      <c r="B123" s="510" t="s">
        <v>6913</v>
      </c>
      <c r="C123" s="511"/>
      <c r="D123" s="201" t="s">
        <v>5395</v>
      </c>
      <c r="E123" s="173" t="s">
        <v>4432</v>
      </c>
      <c r="F123" s="173" t="s">
        <v>4228</v>
      </c>
      <c r="G123" s="201" t="s">
        <v>7041</v>
      </c>
      <c r="H123" s="173" t="s">
        <v>182</v>
      </c>
      <c r="I123" s="173" t="s">
        <v>114</v>
      </c>
      <c r="J123" s="174">
        <v>2.77</v>
      </c>
      <c r="K123" s="174">
        <v>0.9</v>
      </c>
      <c r="L123" s="174">
        <v>0.88</v>
      </c>
      <c r="M123" s="173">
        <v>0.91</v>
      </c>
      <c r="N123" s="175">
        <v>771</v>
      </c>
      <c r="O123" s="512">
        <v>0.05</v>
      </c>
      <c r="P123" s="173"/>
      <c r="Q123" s="179" t="s">
        <v>1555</v>
      </c>
      <c r="R123" s="177"/>
      <c r="S123" s="177"/>
      <c r="T123" s="177">
        <v>44950</v>
      </c>
      <c r="U123" s="173"/>
      <c r="V123" s="173">
        <v>44950</v>
      </c>
      <c r="W123" s="181"/>
      <c r="X123" s="181"/>
      <c r="Y123" s="181"/>
      <c r="Z123" s="181">
        <v>44956</v>
      </c>
      <c r="AA123" s="181"/>
      <c r="AB123" s="181"/>
      <c r="AC123" s="181"/>
      <c r="AD123" s="176" t="s">
        <v>1643</v>
      </c>
      <c r="AE123" s="176" t="s">
        <v>69</v>
      </c>
      <c r="AF123" s="176" t="s">
        <v>142</v>
      </c>
      <c r="AG123" s="176" t="s">
        <v>1584</v>
      </c>
      <c r="AH123" s="176"/>
      <c r="AI123" s="181">
        <v>44914</v>
      </c>
      <c r="AJ123" s="181"/>
      <c r="AK123" s="181">
        <f t="shared" ca="1" si="8"/>
        <v>44958</v>
      </c>
      <c r="AL123" s="175">
        <f t="shared" ca="1" si="9"/>
        <v>44</v>
      </c>
      <c r="AM123" s="175" t="str">
        <f t="shared" si="10"/>
        <v/>
      </c>
      <c r="AO123" s="142" t="s">
        <v>4213</v>
      </c>
      <c r="AP123" s="142">
        <v>10.55</v>
      </c>
      <c r="AQ123" s="142">
        <v>10.56</v>
      </c>
      <c r="AR123" s="142">
        <v>10.584999999999999</v>
      </c>
      <c r="AS123" s="142">
        <v>10.59</v>
      </c>
      <c r="AT123" s="142" t="str">
        <f t="shared" si="11"/>
        <v/>
      </c>
      <c r="AU123" s="142">
        <v>462</v>
      </c>
      <c r="AW123" s="142" t="s">
        <v>123</v>
      </c>
    </row>
    <row r="124" spans="2:49" s="142" customFormat="1" ht="21.75" customHeight="1" x14ac:dyDescent="0.25">
      <c r="B124" s="510" t="s">
        <v>6913</v>
      </c>
      <c r="C124" s="511"/>
      <c r="D124" s="201" t="s">
        <v>5408</v>
      </c>
      <c r="E124" s="173" t="s">
        <v>16</v>
      </c>
      <c r="F124" s="173" t="s">
        <v>875</v>
      </c>
      <c r="G124" s="201" t="s">
        <v>7042</v>
      </c>
      <c r="H124" s="173" t="s">
        <v>34</v>
      </c>
      <c r="I124" s="173" t="s">
        <v>70</v>
      </c>
      <c r="J124" s="174">
        <v>2.4</v>
      </c>
      <c r="K124" s="174">
        <v>0.91</v>
      </c>
      <c r="L124" s="174"/>
      <c r="M124" s="173"/>
      <c r="N124" s="175">
        <v>620</v>
      </c>
      <c r="O124" s="512">
        <v>0.25</v>
      </c>
      <c r="P124" s="173"/>
      <c r="Q124" s="179" t="s">
        <v>1555</v>
      </c>
      <c r="R124" s="177" t="s">
        <v>5409</v>
      </c>
      <c r="S124" s="177"/>
      <c r="T124" s="177">
        <v>44888</v>
      </c>
      <c r="U124" s="173"/>
      <c r="V124" s="173"/>
      <c r="W124" s="181">
        <v>44889</v>
      </c>
      <c r="X124" s="181">
        <v>44956</v>
      </c>
      <c r="Y124" s="181"/>
      <c r="Z124" s="181">
        <v>44956</v>
      </c>
      <c r="AA124" s="181"/>
      <c r="AB124" s="181"/>
      <c r="AC124" s="181"/>
      <c r="AD124" s="176"/>
      <c r="AE124" s="176" t="s">
        <v>69</v>
      </c>
      <c r="AF124" s="176" t="s">
        <v>119</v>
      </c>
      <c r="AG124" s="176" t="s">
        <v>856</v>
      </c>
      <c r="AH124" s="176">
        <v>44675</v>
      </c>
      <c r="AI124" s="181">
        <v>44699</v>
      </c>
      <c r="AJ124" s="181"/>
      <c r="AK124" s="181">
        <f t="shared" ca="1" si="8"/>
        <v>44958</v>
      </c>
      <c r="AL124" s="175">
        <f t="shared" ca="1" si="9"/>
        <v>259</v>
      </c>
      <c r="AM124" s="175">
        <f t="shared" ca="1" si="10"/>
        <v>2</v>
      </c>
      <c r="AN124" s="142" t="s">
        <v>877</v>
      </c>
      <c r="AO124" s="142" t="s">
        <v>814</v>
      </c>
      <c r="AP124" s="142">
        <v>10.130000000000001</v>
      </c>
      <c r="AQ124" s="142">
        <v>10.15</v>
      </c>
      <c r="AR124" s="142">
        <v>10.174999999999999</v>
      </c>
      <c r="AS124" s="142">
        <v>10.18</v>
      </c>
      <c r="AT124" s="142" t="str">
        <f t="shared" si="11"/>
        <v/>
      </c>
      <c r="AU124" s="142">
        <v>436</v>
      </c>
      <c r="AW124" s="142" t="s">
        <v>123</v>
      </c>
    </row>
    <row r="125" spans="2:49" s="142" customFormat="1" ht="21.75" customHeight="1" x14ac:dyDescent="0.25">
      <c r="B125" s="510" t="s">
        <v>6913</v>
      </c>
      <c r="C125" s="511"/>
      <c r="D125" s="201" t="s">
        <v>5395</v>
      </c>
      <c r="E125" s="173" t="s">
        <v>4432</v>
      </c>
      <c r="F125" s="173" t="s">
        <v>5103</v>
      </c>
      <c r="G125" s="201" t="s">
        <v>7043</v>
      </c>
      <c r="H125" s="173" t="s">
        <v>182</v>
      </c>
      <c r="I125" s="173" t="s">
        <v>114</v>
      </c>
      <c r="J125" s="174">
        <v>2.89</v>
      </c>
      <c r="K125" s="174">
        <v>1.1000000000000001</v>
      </c>
      <c r="L125" s="174">
        <v>1.06</v>
      </c>
      <c r="M125" s="173">
        <v>1.1000000000000001</v>
      </c>
      <c r="N125" s="175">
        <v>767</v>
      </c>
      <c r="O125" s="512">
        <v>8.5000000000000006E-2</v>
      </c>
      <c r="P125" s="173"/>
      <c r="Q125" s="179" t="s">
        <v>1555</v>
      </c>
      <c r="R125" s="177"/>
      <c r="S125" s="177"/>
      <c r="T125" s="177">
        <v>44900</v>
      </c>
      <c r="U125" s="173"/>
      <c r="V125" s="173">
        <v>44900</v>
      </c>
      <c r="W125" s="181"/>
      <c r="X125" s="181"/>
      <c r="Y125" s="181"/>
      <c r="Z125" s="181">
        <v>44956</v>
      </c>
      <c r="AA125" s="181"/>
      <c r="AB125" s="181"/>
      <c r="AC125" s="181"/>
      <c r="AD125" s="176" t="s">
        <v>4789</v>
      </c>
      <c r="AE125" s="176" t="s">
        <v>69</v>
      </c>
      <c r="AF125" s="176" t="s">
        <v>142</v>
      </c>
      <c r="AG125" s="176" t="s">
        <v>1594</v>
      </c>
      <c r="AH125" s="176"/>
      <c r="AI125" s="181">
        <v>44849</v>
      </c>
      <c r="AJ125" s="181"/>
      <c r="AK125" s="181">
        <f t="shared" ref="AK125:AK133" ca="1" si="12">TODAY()</f>
        <v>44958</v>
      </c>
      <c r="AL125" s="175">
        <f t="shared" ref="AL125:AL133" ca="1" si="13">IF(AI125&lt;&gt;0,AK125-AI125,0)</f>
        <v>109</v>
      </c>
      <c r="AM125" s="175" t="str">
        <f t="shared" si="10"/>
        <v/>
      </c>
      <c r="AO125" s="142" t="s">
        <v>5105</v>
      </c>
      <c r="AP125" s="142">
        <v>10.335000000000001</v>
      </c>
      <c r="AQ125" s="142">
        <v>10.345000000000001</v>
      </c>
      <c r="AR125" s="142">
        <v>10.37</v>
      </c>
      <c r="AS125" s="142">
        <v>10.375</v>
      </c>
      <c r="AT125" s="142" t="str">
        <f t="shared" si="11"/>
        <v/>
      </c>
      <c r="AU125" s="142">
        <v>456</v>
      </c>
      <c r="AW125" s="142" t="s">
        <v>123</v>
      </c>
    </row>
    <row r="126" spans="2:49" s="142" customFormat="1" ht="21.75" customHeight="1" x14ac:dyDescent="0.25">
      <c r="B126" s="510" t="s">
        <v>6913</v>
      </c>
      <c r="C126" s="511"/>
      <c r="D126" s="201" t="s">
        <v>5412</v>
      </c>
      <c r="E126" s="173" t="s">
        <v>4432</v>
      </c>
      <c r="F126" s="173" t="s">
        <v>5106</v>
      </c>
      <c r="G126" s="201" t="s">
        <v>7044</v>
      </c>
      <c r="H126" s="173" t="s">
        <v>34</v>
      </c>
      <c r="I126" s="173" t="s">
        <v>114</v>
      </c>
      <c r="J126" s="174">
        <v>2.2000000000000002</v>
      </c>
      <c r="K126" s="174">
        <v>0.73</v>
      </c>
      <c r="L126" s="174">
        <v>0.71</v>
      </c>
      <c r="M126" s="173">
        <v>0.73</v>
      </c>
      <c r="N126" s="175">
        <v>620</v>
      </c>
      <c r="O126" s="512">
        <v>0.05</v>
      </c>
      <c r="P126" s="173"/>
      <c r="Q126" s="179" t="s">
        <v>1555</v>
      </c>
      <c r="R126" s="177"/>
      <c r="S126" s="177"/>
      <c r="T126" s="177">
        <v>44829</v>
      </c>
      <c r="U126" s="173"/>
      <c r="V126" s="173">
        <v>44832</v>
      </c>
      <c r="W126" s="181"/>
      <c r="X126" s="181"/>
      <c r="Y126" s="181">
        <v>44956</v>
      </c>
      <c r="Z126" s="181"/>
      <c r="AA126" s="181"/>
      <c r="AB126" s="181"/>
      <c r="AC126" s="181"/>
      <c r="AD126" s="176"/>
      <c r="AE126" s="176" t="s">
        <v>69</v>
      </c>
      <c r="AF126" s="176" t="s">
        <v>248</v>
      </c>
      <c r="AG126" s="176" t="s">
        <v>1145</v>
      </c>
      <c r="AH126" s="176">
        <v>44752</v>
      </c>
      <c r="AI126" s="181">
        <v>44778</v>
      </c>
      <c r="AJ126" s="181"/>
      <c r="AK126" s="181">
        <f t="shared" ca="1" si="12"/>
        <v>44958</v>
      </c>
      <c r="AL126" s="175">
        <f t="shared" ca="1" si="13"/>
        <v>180</v>
      </c>
      <c r="AM126" s="175" t="str">
        <f t="shared" si="10"/>
        <v/>
      </c>
      <c r="AO126" s="142" t="s">
        <v>5108</v>
      </c>
      <c r="AP126" s="142">
        <v>10.028</v>
      </c>
      <c r="AQ126" s="142">
        <f>AP126+0.04</f>
        <v>10.068</v>
      </c>
      <c r="AR126" s="142">
        <v>10.092999999999998</v>
      </c>
      <c r="AS126" s="142">
        <v>10.097999999999999</v>
      </c>
      <c r="AT126" s="142" t="str">
        <f t="shared" si="11"/>
        <v/>
      </c>
      <c r="AU126" s="142">
        <v>445</v>
      </c>
      <c r="AW126" s="142" t="s">
        <v>123</v>
      </c>
    </row>
    <row r="127" spans="2:49" s="142" customFormat="1" ht="21.75" customHeight="1" x14ac:dyDescent="0.25">
      <c r="B127" s="510" t="s">
        <v>6913</v>
      </c>
      <c r="C127" s="511"/>
      <c r="D127" s="201" t="s">
        <v>5412</v>
      </c>
      <c r="E127" s="173" t="s">
        <v>4432</v>
      </c>
      <c r="F127" s="173" t="s">
        <v>4338</v>
      </c>
      <c r="G127" s="201" t="s">
        <v>7045</v>
      </c>
      <c r="H127" s="173" t="s">
        <v>182</v>
      </c>
      <c r="I127" s="173" t="s">
        <v>114</v>
      </c>
      <c r="J127" s="174">
        <v>2.89</v>
      </c>
      <c r="K127" s="174">
        <v>1.1499999999999999</v>
      </c>
      <c r="L127" s="174">
        <v>1.1100000000000001</v>
      </c>
      <c r="M127" s="173">
        <v>1.1399999999999999</v>
      </c>
      <c r="N127" s="175">
        <v>642</v>
      </c>
      <c r="O127" s="512">
        <v>3.5000000000000003E-2</v>
      </c>
      <c r="P127" s="173"/>
      <c r="Q127" s="179" t="s">
        <v>1555</v>
      </c>
      <c r="R127" s="177" t="s">
        <v>1592</v>
      </c>
      <c r="S127" s="177"/>
      <c r="T127" s="177"/>
      <c r="U127" s="173">
        <v>44951</v>
      </c>
      <c r="V127" s="173"/>
      <c r="W127" s="181">
        <v>44952</v>
      </c>
      <c r="X127" s="181">
        <v>44956</v>
      </c>
      <c r="Y127" s="181"/>
      <c r="Z127" s="181"/>
      <c r="AA127" s="181"/>
      <c r="AB127" s="181"/>
      <c r="AC127" s="181"/>
      <c r="AD127" s="176" t="s">
        <v>1643</v>
      </c>
      <c r="AE127" s="176" t="s">
        <v>69</v>
      </c>
      <c r="AF127" s="176" t="s">
        <v>142</v>
      </c>
      <c r="AG127" s="176" t="s">
        <v>1594</v>
      </c>
      <c r="AH127" s="176"/>
      <c r="AI127" s="181">
        <v>44849</v>
      </c>
      <c r="AJ127" s="181"/>
      <c r="AK127" s="181">
        <f t="shared" ca="1" si="12"/>
        <v>44958</v>
      </c>
      <c r="AL127" s="175">
        <f t="shared" ca="1" si="13"/>
        <v>109</v>
      </c>
      <c r="AM127" s="175">
        <f t="shared" ca="1" si="10"/>
        <v>2</v>
      </c>
      <c r="AO127" s="142" t="s">
        <v>1640</v>
      </c>
      <c r="AP127" s="142">
        <v>10.755000000000001</v>
      </c>
      <c r="AQ127" s="142">
        <v>10.765000000000001</v>
      </c>
      <c r="AR127" s="142">
        <v>10.79</v>
      </c>
      <c r="AS127" s="142">
        <v>10.795</v>
      </c>
      <c r="AT127" s="142">
        <f t="shared" ca="1" si="11"/>
        <v>7</v>
      </c>
      <c r="AU127" s="142">
        <v>456</v>
      </c>
      <c r="AW127" s="142" t="s">
        <v>123</v>
      </c>
    </row>
    <row r="128" spans="2:49" s="142" customFormat="1" ht="21.75" customHeight="1" x14ac:dyDescent="0.25">
      <c r="B128" s="510" t="s">
        <v>6913</v>
      </c>
      <c r="C128" s="511"/>
      <c r="D128" s="201" t="s">
        <v>5415</v>
      </c>
      <c r="E128" s="173" t="s">
        <v>16</v>
      </c>
      <c r="F128" s="173" t="s">
        <v>545</v>
      </c>
      <c r="G128" s="201" t="s">
        <v>7046</v>
      </c>
      <c r="H128" s="173" t="s">
        <v>34</v>
      </c>
      <c r="I128" s="173" t="s">
        <v>70</v>
      </c>
      <c r="J128" s="174">
        <v>0.72</v>
      </c>
      <c r="K128" s="174">
        <v>0.45</v>
      </c>
      <c r="L128" s="174"/>
      <c r="M128" s="173"/>
      <c r="N128" s="175">
        <v>620</v>
      </c>
      <c r="O128" s="512">
        <v>0.05</v>
      </c>
      <c r="P128" s="173"/>
      <c r="Q128" s="179" t="s">
        <v>1555</v>
      </c>
      <c r="R128" s="177"/>
      <c r="S128" s="177"/>
      <c r="T128" s="177"/>
      <c r="U128" s="173"/>
      <c r="V128" s="173"/>
      <c r="W128" s="181">
        <v>44864</v>
      </c>
      <c r="X128" s="181"/>
      <c r="Y128" s="181">
        <v>44957</v>
      </c>
      <c r="Z128" s="181"/>
      <c r="AA128" s="181"/>
      <c r="AB128" s="181"/>
      <c r="AC128" s="181"/>
      <c r="AD128" s="176"/>
      <c r="AE128" s="176" t="s">
        <v>114</v>
      </c>
      <c r="AF128" s="176" t="s">
        <v>248</v>
      </c>
      <c r="AG128" s="176"/>
      <c r="AH128" s="176"/>
      <c r="AI128" s="181">
        <v>44417</v>
      </c>
      <c r="AJ128" s="181"/>
      <c r="AK128" s="181">
        <f t="shared" ca="1" si="12"/>
        <v>44958</v>
      </c>
      <c r="AL128" s="175">
        <f t="shared" ca="1" si="13"/>
        <v>541</v>
      </c>
      <c r="AM128" s="175" t="str">
        <f t="shared" si="10"/>
        <v/>
      </c>
      <c r="AN128" s="142" t="s">
        <v>547</v>
      </c>
      <c r="AO128" s="142" t="s">
        <v>540</v>
      </c>
      <c r="AP128" s="142">
        <v>9.9770000000000003</v>
      </c>
      <c r="AQ128" s="142">
        <v>10.016999999999999</v>
      </c>
      <c r="AR128" s="142">
        <v>10.041999999999998</v>
      </c>
      <c r="AS128" s="142">
        <v>10.046999999999999</v>
      </c>
      <c r="AT128" s="142" t="str">
        <f t="shared" si="11"/>
        <v/>
      </c>
      <c r="AU128" s="142">
        <v>414</v>
      </c>
      <c r="AW128" s="142" t="s">
        <v>123</v>
      </c>
    </row>
    <row r="129" spans="2:49" s="142" customFormat="1" ht="21.75" customHeight="1" x14ac:dyDescent="0.25">
      <c r="B129" s="510" t="s">
        <v>6913</v>
      </c>
      <c r="C129" s="511"/>
      <c r="D129" s="201" t="s">
        <v>5412</v>
      </c>
      <c r="E129" s="173" t="s">
        <v>4432</v>
      </c>
      <c r="F129" s="173" t="s">
        <v>5109</v>
      </c>
      <c r="G129" s="201" t="s">
        <v>7047</v>
      </c>
      <c r="H129" s="173" t="s">
        <v>34</v>
      </c>
      <c r="I129" s="173" t="s">
        <v>114</v>
      </c>
      <c r="J129" s="174">
        <v>2.4</v>
      </c>
      <c r="K129" s="174">
        <v>0.91</v>
      </c>
      <c r="L129" s="174">
        <v>0.88</v>
      </c>
      <c r="M129" s="173">
        <v>0.91</v>
      </c>
      <c r="N129" s="175">
        <v>620</v>
      </c>
      <c r="O129" s="512">
        <v>0.03</v>
      </c>
      <c r="P129" s="173"/>
      <c r="Q129" s="179" t="s">
        <v>1555</v>
      </c>
      <c r="R129" s="177"/>
      <c r="S129" s="177"/>
      <c r="T129" s="177">
        <v>44887</v>
      </c>
      <c r="U129" s="173"/>
      <c r="V129" s="173"/>
      <c r="W129" s="181">
        <v>44888</v>
      </c>
      <c r="X129" s="181"/>
      <c r="Y129" s="181">
        <v>44956</v>
      </c>
      <c r="Z129" s="181"/>
      <c r="AA129" s="181"/>
      <c r="AB129" s="181"/>
      <c r="AC129" s="181"/>
      <c r="AD129" s="176"/>
      <c r="AE129" s="176" t="s">
        <v>69</v>
      </c>
      <c r="AF129" s="176" t="s">
        <v>119</v>
      </c>
      <c r="AG129" s="176" t="s">
        <v>2387</v>
      </c>
      <c r="AH129" s="176">
        <v>44848</v>
      </c>
      <c r="AI129" s="181">
        <v>44880</v>
      </c>
      <c r="AJ129" s="181"/>
      <c r="AK129" s="181">
        <f t="shared" ca="1" si="12"/>
        <v>44958</v>
      </c>
      <c r="AL129" s="175">
        <f t="shared" ca="1" si="13"/>
        <v>78</v>
      </c>
      <c r="AM129" s="175" t="str">
        <f t="shared" si="10"/>
        <v/>
      </c>
      <c r="AN129" s="142" t="s">
        <v>2413</v>
      </c>
      <c r="AO129" s="142" t="s">
        <v>2424</v>
      </c>
      <c r="AP129" s="142">
        <v>10.119999999999999</v>
      </c>
      <c r="AQ129" s="142">
        <v>10.139999999999999</v>
      </c>
      <c r="AR129" s="142">
        <v>10.164999999999997</v>
      </c>
      <c r="AS129" s="142">
        <v>10.169999999999998</v>
      </c>
      <c r="AT129" s="142" t="str">
        <f t="shared" si="11"/>
        <v/>
      </c>
      <c r="AU129" s="142">
        <v>461</v>
      </c>
      <c r="AW129" s="142" t="s">
        <v>123</v>
      </c>
    </row>
    <row r="130" spans="2:49" s="142" customFormat="1" ht="21.75" customHeight="1" x14ac:dyDescent="0.25">
      <c r="B130" s="510" t="s">
        <v>6913</v>
      </c>
      <c r="C130" s="511"/>
      <c r="D130" s="201" t="s">
        <v>5412</v>
      </c>
      <c r="E130" s="173" t="s">
        <v>4432</v>
      </c>
      <c r="F130" s="173" t="s">
        <v>4300</v>
      </c>
      <c r="G130" s="201" t="s">
        <v>7048</v>
      </c>
      <c r="H130" s="173">
        <v>304</v>
      </c>
      <c r="I130" s="173" t="s">
        <v>114</v>
      </c>
      <c r="J130" s="174">
        <v>2.93</v>
      </c>
      <c r="K130" s="174">
        <v>1.1499999999999999</v>
      </c>
      <c r="L130" s="174">
        <v>1.1299999999999999</v>
      </c>
      <c r="M130" s="173">
        <v>1.1499999999999999</v>
      </c>
      <c r="N130" s="175">
        <v>641</v>
      </c>
      <c r="O130" s="512">
        <v>0.05</v>
      </c>
      <c r="P130" s="173"/>
      <c r="Q130" s="179" t="s">
        <v>1555</v>
      </c>
      <c r="R130" s="177"/>
      <c r="S130" s="177"/>
      <c r="T130" s="177">
        <v>44955</v>
      </c>
      <c r="U130" s="173"/>
      <c r="V130" s="173">
        <v>44955</v>
      </c>
      <c r="W130" s="181"/>
      <c r="X130" s="181"/>
      <c r="Y130" s="181">
        <v>44957</v>
      </c>
      <c r="Z130" s="181"/>
      <c r="AA130" s="181"/>
      <c r="AB130" s="181"/>
      <c r="AC130" s="181"/>
      <c r="AD130" s="176" t="s">
        <v>1593</v>
      </c>
      <c r="AE130" s="176" t="s">
        <v>69</v>
      </c>
      <c r="AF130" s="176" t="s">
        <v>142</v>
      </c>
      <c r="AG130" s="176" t="s">
        <v>1594</v>
      </c>
      <c r="AH130" s="176"/>
      <c r="AI130" s="181">
        <v>44849</v>
      </c>
      <c r="AJ130" s="181"/>
      <c r="AK130" s="181">
        <f t="shared" ca="1" si="12"/>
        <v>44958</v>
      </c>
      <c r="AL130" s="175">
        <f t="shared" ca="1" si="13"/>
        <v>109</v>
      </c>
      <c r="AM130" s="175" t="str">
        <f t="shared" si="10"/>
        <v/>
      </c>
      <c r="AO130" s="142" t="s">
        <v>4032</v>
      </c>
      <c r="AP130" s="142">
        <v>10.58</v>
      </c>
      <c r="AQ130" s="142">
        <v>10.59</v>
      </c>
      <c r="AR130" s="142">
        <v>10.614999999999998</v>
      </c>
      <c r="AS130" s="142">
        <v>10.62</v>
      </c>
      <c r="AT130" s="142" t="str">
        <f t="shared" si="11"/>
        <v/>
      </c>
      <c r="AU130" s="142">
        <v>456</v>
      </c>
      <c r="AW130" s="142" t="s">
        <v>123</v>
      </c>
    </row>
    <row r="131" spans="2:49" s="142" customFormat="1" ht="21.75" customHeight="1" x14ac:dyDescent="0.25">
      <c r="B131" s="510" t="s">
        <v>6913</v>
      </c>
      <c r="C131" s="511"/>
      <c r="D131" s="201" t="s">
        <v>5412</v>
      </c>
      <c r="E131" s="173" t="s">
        <v>4432</v>
      </c>
      <c r="F131" s="173" t="s">
        <v>4291</v>
      </c>
      <c r="G131" s="201" t="s">
        <v>7049</v>
      </c>
      <c r="H131" s="173" t="s">
        <v>182</v>
      </c>
      <c r="I131" s="173" t="s">
        <v>114</v>
      </c>
      <c r="J131" s="174">
        <v>2.87</v>
      </c>
      <c r="K131" s="174">
        <v>0.9</v>
      </c>
      <c r="L131" s="174">
        <v>0.87</v>
      </c>
      <c r="M131" s="173">
        <v>0.9</v>
      </c>
      <c r="N131" s="175">
        <v>643</v>
      </c>
      <c r="O131" s="512">
        <v>0.08</v>
      </c>
      <c r="P131" s="173"/>
      <c r="Q131" s="179" t="s">
        <v>1555</v>
      </c>
      <c r="R131" s="177"/>
      <c r="S131" s="177"/>
      <c r="T131" s="177">
        <v>44954</v>
      </c>
      <c r="U131" s="173"/>
      <c r="V131" s="173">
        <v>44954</v>
      </c>
      <c r="W131" s="181"/>
      <c r="X131" s="181"/>
      <c r="Y131" s="181">
        <v>44957</v>
      </c>
      <c r="Z131" s="181">
        <v>44957</v>
      </c>
      <c r="AA131" s="181"/>
      <c r="AB131" s="181"/>
      <c r="AC131" s="181"/>
      <c r="AD131" s="176" t="s">
        <v>1593</v>
      </c>
      <c r="AE131" s="176" t="s">
        <v>69</v>
      </c>
      <c r="AF131" s="176" t="s">
        <v>142</v>
      </c>
      <c r="AG131" s="176" t="s">
        <v>1594</v>
      </c>
      <c r="AH131" s="176"/>
      <c r="AI131" s="181">
        <v>44849</v>
      </c>
      <c r="AJ131" s="181"/>
      <c r="AK131" s="181">
        <f t="shared" ca="1" si="12"/>
        <v>44958</v>
      </c>
      <c r="AL131" s="175">
        <f t="shared" ca="1" si="13"/>
        <v>109</v>
      </c>
      <c r="AM131" s="175" t="str">
        <f t="shared" si="10"/>
        <v/>
      </c>
      <c r="AO131" s="142" t="s">
        <v>1628</v>
      </c>
      <c r="AP131" s="142">
        <v>10.74</v>
      </c>
      <c r="AQ131" s="142">
        <v>10.75</v>
      </c>
      <c r="AR131" s="142">
        <v>10.774999999999999</v>
      </c>
      <c r="AS131" s="142">
        <v>10.78</v>
      </c>
      <c r="AT131" s="142" t="str">
        <f t="shared" si="11"/>
        <v/>
      </c>
      <c r="AU131" s="142">
        <v>456</v>
      </c>
      <c r="AW131" s="142" t="s">
        <v>123</v>
      </c>
    </row>
    <row r="133" spans="2:49" ht="17.25" customHeight="1" x14ac:dyDescent="0.25"/>
    <row r="185" spans="2:45" s="142" customFormat="1" ht="20.25" customHeight="1" x14ac:dyDescent="0.25">
      <c r="B185" s="386"/>
      <c r="C185" s="555"/>
      <c r="J185" s="187"/>
      <c r="K185" s="187"/>
      <c r="L185" s="187"/>
      <c r="M185" s="187"/>
      <c r="N185" s="188"/>
      <c r="O185" s="186"/>
      <c r="P185" s="393"/>
      <c r="Q185" s="215"/>
      <c r="R185" s="452"/>
      <c r="S185" s="45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7"/>
      <c r="AG185" s="218"/>
      <c r="AH185" s="218"/>
      <c r="AI185" s="218"/>
      <c r="AJ185" s="218"/>
      <c r="AK185" s="218"/>
      <c r="AM185" s="218"/>
      <c r="AN185" s="149"/>
      <c r="AO185" s="149"/>
      <c r="AP185" s="149"/>
      <c r="AQ185" s="149"/>
      <c r="AR185" s="149"/>
      <c r="AS185" s="149"/>
    </row>
    <row r="186" spans="2:45" s="387" customFormat="1" ht="16.5" customHeight="1" x14ac:dyDescent="0.25">
      <c r="C186" s="555"/>
      <c r="G186" s="534"/>
      <c r="J186" s="556"/>
      <c r="K186" s="556"/>
      <c r="L186" s="556"/>
      <c r="M186" s="556"/>
      <c r="N186" s="557"/>
      <c r="O186" s="558"/>
      <c r="P186" s="559"/>
      <c r="Q186" s="388"/>
      <c r="R186" s="388"/>
      <c r="S186" s="388"/>
      <c r="T186" s="560"/>
      <c r="U186" s="560"/>
      <c r="V186" s="560"/>
      <c r="W186" s="560"/>
      <c r="X186" s="560"/>
      <c r="Y186" s="560"/>
      <c r="Z186" s="560"/>
      <c r="AA186" s="560"/>
      <c r="AB186" s="560"/>
      <c r="AC186" s="560"/>
      <c r="AD186" s="561"/>
      <c r="AH186" s="386"/>
      <c r="AI186" s="386"/>
      <c r="AJ186" s="386"/>
      <c r="AK186" s="386"/>
      <c r="AL186" s="386"/>
      <c r="AM186" s="386"/>
      <c r="AP186" s="531"/>
      <c r="AQ186" s="531"/>
      <c r="AR186" s="531"/>
    </row>
    <row r="187" spans="2:45" s="387" customFormat="1" ht="16.5" customHeight="1" x14ac:dyDescent="0.25">
      <c r="C187" s="555"/>
      <c r="G187" s="534"/>
      <c r="J187" s="556"/>
      <c r="K187" s="556"/>
      <c r="L187" s="556"/>
      <c r="M187" s="556"/>
      <c r="N187" s="557"/>
      <c r="O187" s="558">
        <f>SUM(O185:O186)</f>
        <v>0</v>
      </c>
      <c r="P187" s="559"/>
      <c r="Q187" s="388"/>
      <c r="R187" s="388"/>
      <c r="S187" s="388"/>
      <c r="T187" s="560"/>
      <c r="U187" s="560"/>
      <c r="V187" s="560"/>
      <c r="W187" s="560"/>
      <c r="X187" s="560"/>
      <c r="Y187" s="560"/>
      <c r="Z187" s="560"/>
      <c r="AA187" s="560"/>
      <c r="AB187" s="560"/>
      <c r="AC187" s="560"/>
      <c r="AD187" s="561"/>
      <c r="AH187" s="386"/>
      <c r="AI187" s="386"/>
      <c r="AJ187" s="386"/>
      <c r="AK187" s="386"/>
      <c r="AL187" s="386"/>
      <c r="AM187" s="386"/>
      <c r="AP187" s="531"/>
      <c r="AQ187" s="531"/>
      <c r="AR187" s="531"/>
    </row>
    <row r="188" spans="2:45" s="387" customFormat="1" x14ac:dyDescent="0.25">
      <c r="C188" s="555"/>
      <c r="G188" s="534"/>
      <c r="J188" s="556"/>
      <c r="K188" s="556"/>
      <c r="L188" s="556"/>
      <c r="M188" s="556"/>
      <c r="N188" s="557"/>
      <c r="O188" s="558"/>
      <c r="P188" s="559"/>
      <c r="Q188" s="388"/>
      <c r="R188" s="388"/>
      <c r="S188" s="388"/>
      <c r="T188" s="560"/>
      <c r="U188" s="560"/>
      <c r="V188" s="560"/>
      <c r="W188" s="560"/>
      <c r="X188" s="560"/>
      <c r="Y188" s="560"/>
      <c r="Z188" s="560"/>
      <c r="AA188" s="560"/>
      <c r="AB188" s="560"/>
      <c r="AC188" s="560"/>
      <c r="AD188" s="561"/>
      <c r="AH188" s="386"/>
      <c r="AI188" s="386"/>
      <c r="AJ188" s="386"/>
      <c r="AK188" s="386"/>
      <c r="AL188" s="386"/>
      <c r="AM188" s="386"/>
      <c r="AP188" s="531"/>
      <c r="AQ188" s="531"/>
      <c r="AR188" s="531"/>
    </row>
    <row r="189" spans="2:45" s="387" customFormat="1" x14ac:dyDescent="0.25">
      <c r="C189" s="555"/>
      <c r="G189" s="534"/>
      <c r="J189" s="556"/>
      <c r="K189" s="556"/>
      <c r="L189" s="556"/>
      <c r="M189" s="556"/>
      <c r="N189" s="557"/>
      <c r="O189" s="558"/>
      <c r="P189" s="559"/>
      <c r="Q189" s="388"/>
      <c r="R189" s="388"/>
      <c r="S189" s="388"/>
      <c r="T189" s="560"/>
      <c r="U189" s="560"/>
      <c r="V189" s="560"/>
      <c r="W189" s="560"/>
      <c r="X189" s="560"/>
      <c r="Y189" s="560"/>
      <c r="Z189" s="560"/>
      <c r="AA189" s="560"/>
      <c r="AB189" s="560"/>
      <c r="AC189" s="560"/>
      <c r="AD189" s="561"/>
      <c r="AH189" s="386"/>
      <c r="AI189" s="386"/>
      <c r="AJ189" s="386"/>
      <c r="AK189" s="386"/>
      <c r="AL189" s="386"/>
      <c r="AM189" s="386"/>
      <c r="AP189" s="531"/>
      <c r="AQ189" s="531"/>
      <c r="AR189" s="531"/>
    </row>
    <row r="190" spans="2:45" s="387" customFormat="1" x14ac:dyDescent="0.25">
      <c r="C190" s="555"/>
      <c r="G190" s="534"/>
      <c r="J190" s="556"/>
      <c r="K190" s="556"/>
      <c r="L190" s="556"/>
      <c r="M190" s="556"/>
      <c r="N190" s="557"/>
      <c r="O190" s="558"/>
      <c r="P190" s="559"/>
      <c r="Q190" s="388"/>
      <c r="R190" s="388"/>
      <c r="S190" s="388"/>
      <c r="T190" s="560"/>
      <c r="U190" s="560"/>
      <c r="V190" s="560"/>
      <c r="W190" s="560"/>
      <c r="X190" s="560"/>
      <c r="Y190" s="560"/>
      <c r="Z190" s="560"/>
      <c r="AA190" s="560"/>
      <c r="AB190" s="560"/>
      <c r="AC190" s="560"/>
      <c r="AD190" s="561"/>
      <c r="AH190" s="386"/>
      <c r="AI190" s="386"/>
      <c r="AJ190" s="386"/>
      <c r="AK190" s="386"/>
      <c r="AL190" s="386"/>
      <c r="AM190" s="386"/>
      <c r="AP190" s="531"/>
      <c r="AQ190" s="531"/>
      <c r="AR190" s="531"/>
    </row>
  </sheetData>
  <autoFilter ref="A4:BN186" xr:uid="{00000000-0009-0000-0000-00000D000000}"/>
  <mergeCells count="1">
    <mergeCell ref="B1:AS1"/>
  </mergeCells>
  <pageMargins left="0.25" right="0.5" top="0.5" bottom="0.25" header="0.3" footer="0.3"/>
  <pageSetup scale="11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11</vt:i4>
      </vt:variant>
    </vt:vector>
  </HeadingPairs>
  <TitlesOfParts>
    <vt:vector size="29" baseType="lpstr">
      <vt:lpstr>31.01.2023</vt:lpstr>
      <vt:lpstr>Data</vt:lpstr>
      <vt:lpstr>Chart</vt:lpstr>
      <vt:lpstr>RM+WIP</vt:lpstr>
      <vt:lpstr> CPL</vt:lpstr>
      <vt:lpstr> CLN</vt:lpstr>
      <vt:lpstr>MILL</vt:lpstr>
      <vt:lpstr>MILL 2</vt:lpstr>
      <vt:lpstr>BAL</vt:lpstr>
      <vt:lpstr>BAL 2</vt:lpstr>
      <vt:lpstr>SLT</vt:lpstr>
      <vt:lpstr>SLT 2</vt:lpstr>
      <vt:lpstr>TLL</vt:lpstr>
      <vt:lpstr>CTL</vt:lpstr>
      <vt:lpstr>FG</vt:lpstr>
      <vt:lpstr>FG-KW2 COIL</vt:lpstr>
      <vt:lpstr>FG KW2 SHEETS</vt:lpstr>
      <vt:lpstr>BABY COIL 2B JANUARI</vt:lpstr>
      <vt:lpstr>' CLN'!Print_Area</vt:lpstr>
      <vt:lpstr>' CPL'!Print_Area</vt:lpstr>
      <vt:lpstr>'31.01.2023'!Print_Area</vt:lpstr>
      <vt:lpstr>Chart!Print_Area</vt:lpstr>
      <vt:lpstr>CTL!Print_Area</vt:lpstr>
      <vt:lpstr>'FG KW2 SHEETS'!Print_Area</vt:lpstr>
      <vt:lpstr>'FG-KW2 COIL'!Print_Area</vt:lpstr>
      <vt:lpstr>'RM+WIP'!Print_Area</vt:lpstr>
      <vt:lpstr>SLT!Print_Area</vt:lpstr>
      <vt:lpstr>'SLT 2'!Print_Area</vt:lpstr>
      <vt:lpstr>TLL!Print_Area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2023-02-01T04:44:53Z</dcterms:created>
  <dcterms:modified xsi:type="dcterms:W3CDTF">2023-02-01T04:46:11Z</dcterms:modified>
</cp:coreProperties>
</file>